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0.xml.rels" ContentType="application/vnd.openxmlformats-package.relationships+xml"/>
  <Override PartName="/xl/worksheets/_rels/sheet8.xml.rels" ContentType="application/vnd.openxmlformats-package.relationship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7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_rels/workbook.xml.rels" ContentType="application/vnd.openxmlformats-package.relationships+xml"/>
  <Override PartName="/xl/media/image1.wmf" ContentType="image/x-wmf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puts" sheetId="1" state="visible" r:id="rId3"/>
    <sheet name="Output" sheetId="2" state="visible" r:id="rId4"/>
    <sheet name="Power Curves" sheetId="3" state="visible" r:id="rId5"/>
    <sheet name="Gas Curves" sheetId="4" state="visible" r:id="rId6"/>
    <sheet name="Option1" sheetId="5" state="visible" r:id="rId7"/>
    <sheet name="Pricing Inputs1" sheetId="6" state="visible" r:id="rId8"/>
    <sheet name="Option2" sheetId="7" state="visible" r:id="rId9"/>
    <sheet name="Pricing Inputs2" sheetId="8" state="visible" r:id="rId10"/>
    <sheet name="Option3" sheetId="9" state="visible" r:id="rId11"/>
    <sheet name="Pricing Inputs3" sheetId="10" state="visible" r:id="rId12"/>
    <sheet name="Option4" sheetId="11" state="visible" r:id="rId13"/>
    <sheet name="Pricing Inputs4" sheetId="12" state="visible" r:id="rId14"/>
  </sheets>
  <externalReferences>
    <externalReference r:id="rId15"/>
  </externalReferences>
  <definedNames>
    <definedName function="false" hidden="false" localSheetId="3" name="_xlnm.Print_Area" vbProcedure="false">'Gas Curves'!$B$10:$P$137</definedName>
    <definedName function="false" hidden="false" localSheetId="3" name="_xlnm.Print_Titles" vbProcedure="false">'Gas Curves'!$13:$13</definedName>
    <definedName function="false" hidden="false" localSheetId="0" name="_xlnm.Print_Area" vbProcedure="false">Inputs!$A$3:$K$27</definedName>
    <definedName function="false" hidden="false" localSheetId="4" name="_xlnm.Print_Area" vbProcedure="false">Option1!$U$1:$AE$27</definedName>
    <definedName function="false" hidden="false" localSheetId="6" name="_xlnm.Print_Area" vbProcedure="false">Option2!$U$1:$AE$27</definedName>
    <definedName function="false" hidden="false" localSheetId="8" name="_xlnm.Print_Area" vbProcedure="false">Option3!$U$1:$AE$27</definedName>
    <definedName function="false" hidden="false" localSheetId="10" name="_xlnm.Print_Area" vbProcedure="false">Option4!$U$1:$AE$27</definedName>
    <definedName function="false" hidden="false" name="Availability" vbProcedure="false">#REF!</definedName>
    <definedName function="false" hidden="false" name="Basischeck" vbProcedure="false">'Pricing Inputs1'!$BI$10</definedName>
    <definedName function="false" hidden="false" name="BasisIndex" vbProcedure="false">'Power Curves'!$EB$15:$EB$28</definedName>
    <definedName function="false" hidden="false" name="BasisNumber" vbProcedure="false">'Power Curves'!$EB$13</definedName>
    <definedName function="false" hidden="false" name="BMO1" vbProcedure="false">'Pricing Inputs1'!$AV$3</definedName>
    <definedName function="false" hidden="false" name="BMO2" vbProcedure="false">'Pricing Inputs1'!$AV$8</definedName>
    <definedName function="false" hidden="false" name="BMO3" vbProcedure="false">'Pricing Inputs1'!$AV$13</definedName>
    <definedName function="false" hidden="false" name="BMO4" vbProcedure="false">'Pricing Inputs1'!$AV$18</definedName>
    <definedName function="false" hidden="false" name="BuySell1" vbProcedure="false">'Pricing Inputs1'!$AZ$31</definedName>
    <definedName function="false" hidden="false" name="BuySell2" vbProcedure="false">'Pricing Inputs1'!$AZ$35</definedName>
    <definedName function="false" hidden="false" name="BuySell3" vbProcedure="false">'Pricing Inputs1'!$AZ$39</definedName>
    <definedName function="false" hidden="false" name="BuySell4" vbProcedure="false">'Pricing Inputs1'!$AZ$43</definedName>
    <definedName function="false" hidden="false" name="CC" vbProcedure="false">'Pricing Inputs1'!$AP$9</definedName>
    <definedName function="false" hidden="false" name="CorrelationTable" vbProcedure="false">'Power Curves'!$DH$19:$DI$420</definedName>
    <definedName function="false" hidden="false" name="Curveadj" vbProcedure="false">Inputs!$A$13:$C$24</definedName>
    <definedName function="false" hidden="false" name="CurveDate" vbProcedure="false">Inputs!$D$5</definedName>
    <definedName function="false" hidden="false" name="CurveRange" vbProcedure="false">'Gas Curves'!$C$11</definedName>
    <definedName function="false" hidden="false" name="CurveValues" vbProcedure="false">#NAME? [1]Curves!$B$11:$M$377</definedName>
    <definedName function="false" hidden="false" name="CurveValues3" vbProcedure="false">#NAME? [1]Curves!$B$11:$M$377</definedName>
    <definedName function="false" hidden="false" name="DateToday" vbProcedure="false">Inputs!$D$4</definedName>
    <definedName function="false" hidden="false" name="Dayrun1" vbProcedure="false">'Pricing Inputs1'!$AR$3</definedName>
    <definedName function="false" hidden="false" name="Dayrun2" vbProcedure="false">'Pricing Inputs1'!$AR$17</definedName>
    <definedName function="false" hidden="false" name="Dayrun3" vbProcedure="false">'Pricing Inputs1'!$AR$31</definedName>
    <definedName function="false" hidden="false" name="Dayrun4" vbProcedure="false">'Pricing Inputs1'!$AR$45</definedName>
    <definedName function="false" hidden="false" name="DBase" vbProcedure="false">'Gas Curves'!$B$3</definedName>
    <definedName function="false" hidden="false" name="Gasbmo" vbProcedure="false">Inputs!$F$31</definedName>
    <definedName function="false" hidden="false" name="GasCurves" vbProcedure="false">'Gas Curves'!$B$17:$P$310</definedName>
    <definedName function="false" hidden="false" name="Gasesc" vbProcedure="false">#REF!</definedName>
    <definedName function="false" hidden="false" name="GasVolTable" vbProcedure="false">'Gas Curves'!$B$10:$H$353</definedName>
    <definedName function="false" hidden="false" name="Hrtable" vbProcedure="false">Inputs!$A$46:$C$47</definedName>
    <definedName function="false" hidden="false" name="Include1" vbProcedure="false">'Pricing Inputs1'!$BI$13</definedName>
    <definedName function="false" hidden="false" name="Include2" vbProcedure="false">'Pricing Inputs1'!$BI$15</definedName>
    <definedName function="false" hidden="false" name="Include3" vbProcedure="false">'Pricing Inputs1'!$BI$17</definedName>
    <definedName function="false" hidden="false" name="Include4" vbProcedure="false">'Pricing Inputs1'!$BI$19</definedName>
    <definedName function="false" hidden="false" name="InterestRatesTable" vbProcedure="false">'Gas Curves'!$B$10:$C$377</definedName>
    <definedName function="false" hidden="false" name="IntraPowerVol" vbProcedure="false">'Power Curves'!$CY$17:$DB$420</definedName>
    <definedName function="false" hidden="false" name="IRFirstMonth" vbProcedure="false">'Power Curves'!$A$13</definedName>
    <definedName function="false" hidden="false" name="IRTable" vbProcedure="false">'Power Curves'!$A$13:$B$289</definedName>
    <definedName function="false" hidden="false" name="LastDateOfMonthlyVol" vbProcedure="false">'Power Curves'!$W$12</definedName>
    <definedName function="false" hidden="false" name="ManualTable" vbProcedure="false">Inputs!$A$34:$J$45</definedName>
    <definedName function="false" hidden="false" name="NumberofDaysTable" vbProcedure="false">'Pricing Inputs1'!$AF$2:$AK$446</definedName>
    <definedName function="false" hidden="false" name="OffPwrVolTable" vbProcedure="false">'Power Curves'!$DL$19:$DS$402</definedName>
    <definedName function="false" hidden="false" name="OmicronCurveDate" vbProcedure="false">Inputs!$D$8</definedName>
    <definedName function="false" hidden="false" name="OmicronVol" vbProcedure="false">'Gas Curves'!$R$14:$U$310</definedName>
    <definedName function="false" hidden="false" name="OPPowerPrices" vbProcedure="false">'Power Curves'!$D$19:$K$274</definedName>
    <definedName function="false" hidden="false" name="Password" vbProcedure="false">'Gas Curves'!$B$2</definedName>
    <definedName function="false" hidden="false" name="PeakPowerCurves" vbProcedure="false">'Power Curves'!$D$19:$G$372</definedName>
    <definedName function="false" hidden="false" name="Perstart" vbProcedure="false">#REF!</definedName>
    <definedName function="false" hidden="false" name="PositionRegion" vbProcedure="false">'Power Curves'!$D$13</definedName>
    <definedName function="false" hidden="false" name="PowerVolTable" vbProcedure="false">'Power Curves'!$CY$19:$DF$420</definedName>
    <definedName function="false" hidden="false" name="Pricetype1" vbProcedure="false">'Pricing Inputs1'!$AN$3</definedName>
    <definedName function="false" hidden="false" name="Pricetype2" vbProcedure="false">'Pricing Inputs1'!$AN$9</definedName>
    <definedName function="false" hidden="false" name="Pricetype3" vbProcedure="false">'Pricing Inputs1'!$AN$15</definedName>
    <definedName function="false" hidden="false" name="Pricetype4" vbProcedure="false">'Pricing Inputs1'!$AN$21</definedName>
    <definedName function="false" hidden="false" name="PV" vbProcedure="false">'Pricing Inputs1'!$BH$3</definedName>
    <definedName function="false" hidden="false" name="Pwresc" vbProcedure="false">#REF!</definedName>
    <definedName function="false" hidden="false" name="RegionIndex" vbProcedure="false">'Power Curves'!$DX$19:$DX$47</definedName>
    <definedName function="false" hidden="false" name="RegionNumber" vbProcedure="false">'Power Curves'!$DX$18</definedName>
    <definedName function="false" hidden="false" name="SatSunPeakPwr" vbProcedure="false">'Power Curves'!$M$15:$T$242</definedName>
    <definedName function="false" hidden="false" name="ScalarTable" vbProcedure="false">'Pricing Inputs1'!$B$5:$M$32</definedName>
    <definedName function="false" hidden="false" name="ScaledPrice1" vbProcedure="false">'Pricing Inputs1'!$A$36:$J$420</definedName>
    <definedName function="false" hidden="false" name="ScaledPrice2" vbProcedure="false">'Pricing Inputs2'!$A$36:$J$420</definedName>
    <definedName function="false" hidden="false" name="ScaledPrice3" vbProcedure="false">'Pricing Inputs3'!$A$36:$J$420</definedName>
    <definedName function="false" hidden="false" name="ScaledPrice4" vbProcedure="false">'Pricing Inputs4'!$A$36:$J$420</definedName>
    <definedName function="false" hidden="false" name="Scaler1" vbProcedure="false">'Pricing Inputs1'!$AZ$3</definedName>
    <definedName function="false" hidden="false" name="Scaler2" vbProcedure="false">'Pricing Inputs1'!$AZ$7</definedName>
    <definedName function="false" hidden="false" name="Scaler3" vbProcedure="false">'Pricing Inputs1'!$AZ$11</definedName>
    <definedName function="false" hidden="false" name="Scaler4" vbProcedure="false">'Pricing Inputs1'!$AZ$16</definedName>
    <definedName function="false" hidden="false" name="Smile" vbProcedure="false">'Pricing Inputs1'!$BI$7</definedName>
    <definedName function="false" hidden="false" name="Strikeprice1" vbProcedure="false">Inputs!$G$4</definedName>
    <definedName function="false" hidden="false" name="Strikeprice2" vbProcedure="false">Inputs!$H$4</definedName>
    <definedName function="false" hidden="false" name="Strikeprice3" vbProcedure="false">Inputs!$I$4</definedName>
    <definedName function="false" hidden="false" name="Strikeprice4" vbProcedure="false">Inputs!$J$4</definedName>
    <definedName function="false" hidden="false" name="Today" vbProcedure="false">'Gas Curves'!$A$6</definedName>
    <definedName function="false" hidden="false" name="UpperLeftOfCurveTable" vbProcedure="false">'Gas Curves'!$B$11</definedName>
    <definedName function="false" hidden="false" name="UserName" vbProcedure="false">'Gas Curves'!$B$1</definedName>
    <definedName function="false" hidden="false" name="VolBMO1" vbProcedure="false">'Pricing Inputs1'!$BD$3</definedName>
    <definedName function="false" hidden="false" name="VolBMO2" vbProcedure="false">'Pricing Inputs1'!$BD$8</definedName>
    <definedName function="false" hidden="false" name="VolBMO3" vbProcedure="false">'Pricing Inputs1'!$BD$13</definedName>
    <definedName function="false" hidden="false" name="VolBMO4" vbProcedure="false">'Pricing Inputs1'!$BD$18</definedName>
    <definedName function="false" hidden="false" name="Volscale" vbProcedure="false">Inputs!$A$13:$B$24</definedName>
    <definedName function="false" hidden="false" name="Volsmile" vbProcedure="false">'Power Curves'!$AS$47:$AT$67</definedName>
    <definedName function="false" hidden="false" name="VolType1" vbProcedure="false">'Pricing Inputs1'!$BD$25</definedName>
    <definedName function="false" hidden="false" name="VolType2" vbProcedure="false">'Pricing Inputs1'!$BD$29</definedName>
    <definedName function="false" hidden="false" name="VolType3" vbProcedure="false">'Pricing Inputs1'!$BD$33</definedName>
    <definedName function="false" hidden="false" name="VolType4" vbProcedure="false">'Pricing Inputs1'!$BD$38</definedName>
    <definedName function="false" hidden="false" name="Volume1" vbProcedure="false">Inputs!$G$8</definedName>
    <definedName function="false" hidden="false" name="Volume2" vbProcedure="false">Inputs!$H$8</definedName>
    <definedName function="false" hidden="false" name="Volume3" vbProcedure="false">Inputs!$I$8</definedName>
    <definedName function="false" hidden="false" name="Volume4" vbProcedure="false">Inputs!$J$8</definedName>
    <definedName function="false" hidden="false" name="VOM" vbProcedure="false">Inputs!$F$8</definedName>
    <definedName function="false" hidden="false" name="VOMesc" vbProcedure="false">#REF!</definedName>
    <definedName function="false" hidden="false" name="_Order1" vbProcedure="false">255</definedName>
    <definedName function="false" hidden="false" name="_Order2" vbProcedure="false">0</definedName>
    <definedName function="false" hidden="false" localSheetId="3" name="CurveCode" vbProcedure="false">OFFSET('Gas Curves'!$B$13,0,0,1,COUNT('Gas Curves'!$17:$17))</definedName>
    <definedName function="false" hidden="false" localSheetId="3" name="curvevalues2" vbProcedure="false">OFFSET('Gas Curves'!$B$11,0,0,COUNT('Gas Curves'!$B:$B)+5,COUNT('Gas Curves'!$17:$17))</definedName>
    <definedName function="false" hidden="false" localSheetId="6" name="CurveValues" vbProcedure="false">#NAME? [1]Curves!$B$11:$M$377</definedName>
    <definedName function="false" hidden="false" localSheetId="6" name="CurveValues3" vbProcedure="false">#NAME? [1]Curves!$B$11:$M$377</definedName>
    <definedName function="false" hidden="false" localSheetId="8" name="CurveValues" vbProcedure="false">#NAME? [1]Curves!$B$11:$M$377</definedName>
    <definedName function="false" hidden="false" localSheetId="8" name="CurveValues3" vbProcedure="false">#NAME? [1]Curves!$B$11:$M$377</definedName>
    <definedName function="false" hidden="false" localSheetId="10" name="CurveValues" vbProcedure="false">#NAME? [1]Curves!$B$11:$M$377</definedName>
    <definedName function="false" hidden="false" localSheetId="10" name="CurveValues3" vbProcedure="false">#NAME? [1]Curves!$B$11:$M$377</definedName>
    <definedName function="true" hidden="false" name="EURO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<sst xmlns="http://schemas.openxmlformats.org/spreadsheetml/2006/main" count="4090" uniqueCount="1389">
  <si>
    <t xml:space="preserve">PRICING CURVES</t>
  </si>
  <si>
    <t xml:space="preserve">DEAL ASSUMPTIONS</t>
  </si>
  <si>
    <t xml:space="preserve">Option 1</t>
  </si>
  <si>
    <t xml:space="preserve">Option 2</t>
  </si>
  <si>
    <t xml:space="preserve">Option 3</t>
  </si>
  <si>
    <t xml:space="preserve">Option 4</t>
  </si>
  <si>
    <t xml:space="preserve">Option 2 </t>
  </si>
  <si>
    <t xml:space="preserve">Pricing Date</t>
  </si>
  <si>
    <t xml:space="preserve">Strike Price</t>
  </si>
  <si>
    <t xml:space="preserve">From</t>
  </si>
  <si>
    <t xml:space="preserve">Curve Date</t>
  </si>
  <si>
    <t xml:space="preserve">To</t>
  </si>
  <si>
    <t xml:space="preserve">Term (Yrs.)</t>
  </si>
  <si>
    <t xml:space="preserve">Term</t>
  </si>
  <si>
    <t xml:space="preserve">Power Region</t>
  </si>
  <si>
    <t xml:space="preserve">MWs</t>
  </si>
  <si>
    <t xml:space="preserve">Days to Run</t>
  </si>
  <si>
    <t xml:space="preserve">Pricing Type</t>
  </si>
  <si>
    <t xml:space="preserve">ECT- Bid, Mid, Offer</t>
  </si>
  <si>
    <t xml:space="preserve">Month</t>
  </si>
  <si>
    <t xml:space="preserve">Vol Scalar</t>
  </si>
  <si>
    <t xml:space="preserve">Curve Adj</t>
  </si>
  <si>
    <r>
      <rPr>
        <b val="true"/>
        <sz val="10"/>
        <rFont val="Arial"/>
        <family val="2"/>
      </rPr>
      <t xml:space="preserve">Volatility- Bid, Mid, Offer </t>
    </r>
    <r>
      <rPr>
        <b val="true"/>
        <sz val="10"/>
        <color rgb="FFFF0000"/>
        <rFont val="Arial"/>
        <family val="2"/>
      </rPr>
      <t xml:space="preserve">*</t>
    </r>
  </si>
  <si>
    <t xml:space="preserve">Discount Scenarios</t>
  </si>
  <si>
    <t xml:space="preserve">Hourly/Daily (Scaler use)</t>
  </si>
  <si>
    <t xml:space="preserve">Buy or Sell?</t>
  </si>
  <si>
    <t xml:space="preserve">Volatility Type</t>
  </si>
  <si>
    <t xml:space="preserve">Calculate Option</t>
  </si>
  <si>
    <t xml:space="preserve">* Note:</t>
  </si>
  <si>
    <t xml:space="preserve">If selling, Vol should be Mid/Offer</t>
  </si>
  <si>
    <t xml:space="preserve">If buying, Vol should be Mid/Bid</t>
  </si>
  <si>
    <t xml:space="preserve">MODEL OUTPUTS</t>
  </si>
  <si>
    <t xml:space="preserve">Total Value </t>
  </si>
  <si>
    <t xml:space="preserve">Levelized $/Kwm </t>
  </si>
  <si>
    <t xml:space="preserve">Total Value all Options</t>
  </si>
  <si>
    <t xml:space="preserve">Price Table</t>
  </si>
  <si>
    <t xml:space="preserve">Strike</t>
  </si>
  <si>
    <t xml:space="preserve">Total Premium</t>
  </si>
  <si>
    <t xml:space="preserve">Int Rates Curve</t>
  </si>
  <si>
    <t xml:space="preserve">Forward Power Price Curves, Volatilities and Price Profile</t>
  </si>
  <si>
    <t xml:space="preserve"> </t>
  </si>
  <si>
    <t xml:space="preserve">Last Date Of Pwr Curve:</t>
  </si>
  <si>
    <t xml:space="preserve">Basis Table</t>
  </si>
  <si>
    <t xml:space="preserve">REGION 4</t>
  </si>
  <si>
    <t xml:space="preserve">Into CINergy</t>
  </si>
  <si>
    <t xml:space="preserve">Monthly Volatilities</t>
  </si>
  <si>
    <t xml:space="preserve">Intra-Month Volatilties</t>
  </si>
  <si>
    <t xml:space="preserve">Peak</t>
  </si>
  <si>
    <t xml:space="preserve">Off Peak</t>
  </si>
  <si>
    <t xml:space="preserve">Region</t>
  </si>
  <si>
    <t xml:space="preserve">#</t>
  </si>
  <si>
    <t xml:space="preserve">PEAK</t>
  </si>
  <si>
    <t xml:space="preserve">OFF-PEAK</t>
  </si>
  <si>
    <t xml:space="preserve">Saturday</t>
  </si>
  <si>
    <t xml:space="preserve">Sunday</t>
  </si>
  <si>
    <t xml:space="preserve">Capacity</t>
  </si>
  <si>
    <t xml:space="preserve">OffPeak</t>
  </si>
  <si>
    <t xml:space="preserve">Group</t>
  </si>
  <si>
    <t xml:space="preserve">Prudent</t>
  </si>
  <si>
    <t xml:space="preserve">Correlation</t>
  </si>
  <si>
    <t xml:space="preserve">No Basis</t>
  </si>
  <si>
    <t xml:space="preserve">Bid</t>
  </si>
  <si>
    <t xml:space="preserve">Mid</t>
  </si>
  <si>
    <t xml:space="preserve">Offer</t>
  </si>
  <si>
    <t xml:space="preserve">Code</t>
  </si>
  <si>
    <t xml:space="preserve">Factor</t>
  </si>
  <si>
    <t xml:space="preserve">Start</t>
  </si>
  <si>
    <t xml:space="preserve">End</t>
  </si>
  <si>
    <t xml:space="preserve">Gas-Power</t>
  </si>
  <si>
    <t xml:space="preserve">This Section Needed for Bid,Mid,Offer Toggle</t>
  </si>
  <si>
    <t xml:space="preserve">This Section Needed for Curve Extension</t>
  </si>
  <si>
    <t xml:space="preserve">1  BUSBAR</t>
  </si>
  <si>
    <t xml:space="preserve">($/MWH)</t>
  </si>
  <si>
    <t xml:space="preserve">Intra-Month Volatilities</t>
  </si>
  <si>
    <t xml:space="preserve">Monthly Vols</t>
  </si>
  <si>
    <t xml:space="preserve">2  MID COLUMBIA</t>
  </si>
  <si>
    <t xml:space="preserve">Daily Price Profile</t>
  </si>
  <si>
    <t xml:space="preserve">Delivery Point</t>
  </si>
  <si>
    <t xml:space="preserve">3  MIDWAY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</si>
  <si>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</si>
  <si>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</si>
  <si>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</si>
  <si>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</si>
  <si>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</si>
  <si>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</si>
  <si>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</si>
  <si>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</si>
  <si>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</si>
  <si>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</si>
  <si>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</si>
  <si>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Dec</t>
  </si>
  <si>
    <t xml:space="preserve">Con. Edison</t>
  </si>
  <si>
    <t xml:space="preserve">1      NY East</t>
  </si>
  <si>
    <t xml:space="preserve">1</t>
  </si>
  <si>
    <t xml:space="preserve">4  MEAD</t>
  </si>
  <si>
    <t xml:space="preserve">HR</t>
  </si>
  <si>
    <t xml:space="preserve">P/OP</t>
  </si>
  <si>
    <t xml:space="preserve">PJM West</t>
  </si>
  <si>
    <t xml:space="preserve">1A  PJM</t>
  </si>
  <si>
    <t xml:space="preserve">1A</t>
  </si>
  <si>
    <t xml:space="preserve">5  PALO VERDE</t>
  </si>
  <si>
    <t xml:space="preserve">2</t>
  </si>
  <si>
    <t xml:space="preserve">Card Street</t>
  </si>
  <si>
    <t xml:space="preserve">1B   NEPOOL</t>
  </si>
  <si>
    <t xml:space="preserve">1B</t>
  </si>
  <si>
    <t xml:space="preserve">6  FOUR CORNERS</t>
  </si>
  <si>
    <t xml:space="preserve">NY West</t>
  </si>
  <si>
    <t xml:space="preserve">1C   NY West</t>
  </si>
  <si>
    <t xml:space="preserve">1C</t>
  </si>
  <si>
    <t xml:space="preserve">7  CRAIG</t>
  </si>
  <si>
    <t xml:space="preserve">1D   East Hub</t>
  </si>
  <si>
    <t xml:space="preserve">1D</t>
  </si>
  <si>
    <t xml:space="preserve">8  NW DELV</t>
  </si>
  <si>
    <t xml:space="preserve">1E    West Hub</t>
  </si>
  <si>
    <t xml:space="preserve">1E</t>
  </si>
  <si>
    <t xml:space="preserve">10  Into EEI-R4</t>
  </si>
  <si>
    <t xml:space="preserve">1F   Firm LD</t>
  </si>
  <si>
    <t xml:space="preserve">1F</t>
  </si>
  <si>
    <t xml:space="preserve">11  WISCONSIN-R4</t>
  </si>
  <si>
    <t xml:space="preserve">1H  NE Dispatch</t>
  </si>
  <si>
    <t xml:space="preserve">1H</t>
  </si>
  <si>
    <t xml:space="preserve">12  MICHIGAN-R4</t>
  </si>
  <si>
    <t xml:space="preserve">1Z In City NY</t>
  </si>
  <si>
    <t xml:space="preserve">1Z</t>
  </si>
  <si>
    <t xml:space="preserve">14  EAST NY-R1A</t>
  </si>
  <si>
    <t xml:space="preserve">ECAR</t>
  </si>
  <si>
    <t xml:space="preserve">2     ECAR</t>
  </si>
  <si>
    <t xml:space="preserve">15  EASTERN ECAR-R1A</t>
  </si>
  <si>
    <t xml:space="preserve">Into AEP</t>
  </si>
  <si>
    <t xml:space="preserve">2A  AEP</t>
  </si>
  <si>
    <t xml:space="preserve">2A</t>
  </si>
  <si>
    <t xml:space="preserve">OTHER</t>
  </si>
  <si>
    <t xml:space="preserve">Eastern ECAR</t>
  </si>
  <si>
    <t xml:space="preserve">2B  Eastern ECAR</t>
  </si>
  <si>
    <t xml:space="preserve">2B</t>
  </si>
  <si>
    <t xml:space="preserve">Southern Co.</t>
  </si>
  <si>
    <t xml:space="preserve">3     SERC</t>
  </si>
  <si>
    <t xml:space="preserve">3</t>
  </si>
  <si>
    <t xml:space="preserve">FP&amp;L</t>
  </si>
  <si>
    <t xml:space="preserve">3A  Florida Georgia Border</t>
  </si>
  <si>
    <t xml:space="preserve">3A</t>
  </si>
  <si>
    <t xml:space="preserve">TVA</t>
  </si>
  <si>
    <t xml:space="preserve">3B  TVA</t>
  </si>
  <si>
    <t xml:space="preserve">3B</t>
  </si>
  <si>
    <t xml:space="preserve">FRCC</t>
  </si>
  <si>
    <t xml:space="preserve">3C  Into FRCC</t>
  </si>
  <si>
    <t xml:space="preserve">3C</t>
  </si>
  <si>
    <t xml:space="preserve">CINergy</t>
  </si>
  <si>
    <t xml:space="preserve">4     CINergy</t>
  </si>
  <si>
    <t xml:space="preserve">4</t>
  </si>
  <si>
    <t xml:space="preserve">NSP</t>
  </si>
  <si>
    <t xml:space="preserve">4A  MAPP</t>
  </si>
  <si>
    <t xml:space="preserve">4A</t>
  </si>
  <si>
    <t xml:space="preserve">Southern MAPP</t>
  </si>
  <si>
    <t xml:space="preserve">4B  Southern MAPP</t>
  </si>
  <si>
    <t xml:space="preserve">4B</t>
  </si>
  <si>
    <t xml:space="preserve">COMED</t>
  </si>
  <si>
    <t xml:space="preserve">4C  COMED</t>
  </si>
  <si>
    <t xml:space="preserve">4C</t>
  </si>
  <si>
    <t xml:space="preserve">ENTERGY</t>
  </si>
  <si>
    <t xml:space="preserve">5     Entergy</t>
  </si>
  <si>
    <t xml:space="preserve">5</t>
  </si>
  <si>
    <t xml:space="preserve">Associated</t>
  </si>
  <si>
    <t xml:space="preserve">5A  Associated</t>
  </si>
  <si>
    <t xml:space="preserve">5A</t>
  </si>
  <si>
    <t xml:space="preserve">HL&amp;P</t>
  </si>
  <si>
    <t xml:space="preserve">6     ERCOT</t>
  </si>
  <si>
    <t xml:space="preserve">6</t>
  </si>
  <si>
    <t xml:space="preserve">Palo Verde</t>
  </si>
  <si>
    <t xml:space="preserve">7     Palo Verde</t>
  </si>
  <si>
    <t xml:space="preserve">7</t>
  </si>
  <si>
    <t xml:space="preserve">Rockies</t>
  </si>
  <si>
    <t xml:space="preserve">7A  Rockies</t>
  </si>
  <si>
    <t xml:space="preserve">7A</t>
  </si>
  <si>
    <t xml:space="preserve">COB</t>
  </si>
  <si>
    <t xml:space="preserve">8     COB</t>
  </si>
  <si>
    <t xml:space="preserve">8</t>
  </si>
  <si>
    <t xml:space="preserve">Mid Columbia</t>
  </si>
  <si>
    <t xml:space="preserve">9     Mid Columbia</t>
  </si>
  <si>
    <t xml:space="preserve">Volatility Smile</t>
  </si>
  <si>
    <t xml:space="preserve">Price Sensitivies</t>
  </si>
  <si>
    <t xml:space="preserve">NP-15</t>
  </si>
  <si>
    <t xml:space="preserve">10   NP-15</t>
  </si>
  <si>
    <t xml:space="preserve">SP-15</t>
  </si>
  <si>
    <t xml:space="preserve">11    SP-15</t>
  </si>
  <si>
    <t xml:space="preserve">User ID:</t>
  </si>
  <si>
    <t xml:space="preserve">model_pc</t>
  </si>
  <si>
    <t xml:space="preserve">Please enter a valid User ID for ERMS/RUNM</t>
  </si>
  <si>
    <t xml:space="preserve">Pub code</t>
  </si>
  <si>
    <t xml:space="preserve">Book type</t>
  </si>
  <si>
    <t xml:space="preserve">Curve type</t>
  </si>
  <si>
    <t xml:space="preserve">UOM</t>
  </si>
  <si>
    <t xml:space="preserve">Password:</t>
  </si>
  <si>
    <t xml:space="preserve">Please enter the Password for the User ID</t>
  </si>
  <si>
    <t xml:space="preserve">401-TUSCORARA</t>
  </si>
  <si>
    <t xml:space="preserve">D</t>
  </si>
  <si>
    <t xml:space="preserve">PR</t>
  </si>
  <si>
    <t xml:space="preserve">MMBTU</t>
  </si>
  <si>
    <t xml:space="preserve">401-TUSCORARA D PR</t>
  </si>
  <si>
    <t xml:space="preserve">I</t>
  </si>
  <si>
    <t xml:space="preserve">401-TUSCORARA I PR</t>
  </si>
  <si>
    <t xml:space="preserve">OMICRON Code</t>
  </si>
  <si>
    <t xml:space="preserve">OMICRON Region</t>
  </si>
  <si>
    <t xml:space="preserve">Database:</t>
  </si>
  <si>
    <t xml:space="preserve">egsprod</t>
  </si>
  <si>
    <t xml:space="preserve">Database into which the curves will be loaded (ex: egsprod = ERMS Prod, egstest = ERMS Test, etc.)</t>
  </si>
  <si>
    <t xml:space="preserve">CGPR-AECO/BASIS</t>
  </si>
  <si>
    <t xml:space="preserve">CGPR-AECO/BASIS D PR</t>
  </si>
  <si>
    <t xml:space="preserve">ABC/C$/IDX</t>
  </si>
  <si>
    <t xml:space="preserve">ABC/C$/IDX I PR</t>
  </si>
  <si>
    <t xml:space="preserve">NG_OMICRON_1</t>
  </si>
  <si>
    <t xml:space="preserve">Louisiana - Onshore South</t>
  </si>
  <si>
    <t xml:space="preserve">CGPR-CHIPPAWA</t>
  </si>
  <si>
    <t xml:space="preserve">CGPR-CHIPPAWA D PR</t>
  </si>
  <si>
    <t xml:space="preserve">CGPR-AECO/BASIS I PR</t>
  </si>
  <si>
    <t xml:space="preserve">NG_OMICRON_2</t>
  </si>
  <si>
    <t xml:space="preserve">HSC - East Texas - Katy</t>
  </si>
  <si>
    <t xml:space="preserve">OFFSET(K4,0,0,1,COUNT(4:4))</t>
  </si>
  <si>
    <t xml:space="preserve">CGPR-CORNWALL</t>
  </si>
  <si>
    <t xml:space="preserve">CGPR-CORNWALL D PR</t>
  </si>
  <si>
    <t xml:space="preserve">CGPR-CHIPPAWA I PR</t>
  </si>
  <si>
    <t xml:space="preserve">NG_OMICRON_3</t>
  </si>
  <si>
    <t xml:space="preserve">Oklahoma - Mid Continent</t>
  </si>
  <si>
    <t xml:space="preserve">CGPR-DAWN</t>
  </si>
  <si>
    <t xml:space="preserve">CGPR-DAWN D PR</t>
  </si>
  <si>
    <t xml:space="preserve">CGPR-DAWN I PR</t>
  </si>
  <si>
    <t xml:space="preserve">NG_OMICRON_4</t>
  </si>
  <si>
    <t xml:space="preserve">Permian Basin - San Juan Basin</t>
  </si>
  <si>
    <t xml:space="preserve">Summer</t>
  </si>
  <si>
    <t xml:space="preserve">Winter</t>
  </si>
  <si>
    <t xml:space="preserve">CGPR-EMERSONUSA</t>
  </si>
  <si>
    <t xml:space="preserve">CGPR-EMERSONUSA D PR</t>
  </si>
  <si>
    <t xml:space="preserve">CGPR-EMERSON</t>
  </si>
  <si>
    <t xml:space="preserve">CGPR-EMERSON I PR</t>
  </si>
  <si>
    <t xml:space="preserve">NG_OMICRON_5</t>
  </si>
  <si>
    <t xml:space="preserve">Northern Ventura - Northern Demarc</t>
  </si>
  <si>
    <t xml:space="preserve">Interest</t>
  </si>
  <si>
    <t xml:space="preserve">Summer Omicron</t>
  </si>
  <si>
    <t xml:space="preserve">Winter Omicron</t>
  </si>
  <si>
    <t xml:space="preserve">NG Vol Bid</t>
  </si>
  <si>
    <t xml:space="preserve">NG Vol Mid</t>
  </si>
  <si>
    <t xml:space="preserve">NG Vol Ask</t>
  </si>
  <si>
    <t xml:space="preserve">Nymex Bid</t>
  </si>
  <si>
    <t xml:space="preserve">Nymex Mid</t>
  </si>
  <si>
    <t xml:space="preserve">Nymex Ask</t>
  </si>
  <si>
    <t xml:space="preserve">Gas Basis</t>
  </si>
  <si>
    <t xml:space="preserve">CGPR-EMPRESS-US</t>
  </si>
  <si>
    <t xml:space="preserve">CGPR-EMPRESS-US D PR</t>
  </si>
  <si>
    <t xml:space="preserve">CGPR-KINGSGATE</t>
  </si>
  <si>
    <t xml:space="preserve">CGPR-KINGSGATE I PR</t>
  </si>
  <si>
    <t xml:space="preserve">NG_OMICRON_6</t>
  </si>
  <si>
    <t xml:space="preserve">Market Area:  Northeast</t>
  </si>
  <si>
    <t xml:space="preserve">CGPR-KINGSGATE D PR</t>
  </si>
  <si>
    <t xml:space="preserve">CGPR-NIAGARA</t>
  </si>
  <si>
    <t xml:space="preserve">CGPR-NIAGARA I PR</t>
  </si>
  <si>
    <t xml:space="preserve">NG_OMICRON_7</t>
  </si>
  <si>
    <t xml:space="preserve">Appalachia</t>
  </si>
  <si>
    <t xml:space="preserve">CGPR-NIAGARA D PR</t>
  </si>
  <si>
    <t xml:space="preserve">CGPR-OJIBWAY</t>
  </si>
  <si>
    <t xml:space="preserve">CGPR-OJIBWAY I PR</t>
  </si>
  <si>
    <t xml:space="preserve">NG_OMICRON_8</t>
  </si>
  <si>
    <t xml:space="preserve">Effective Date</t>
  </si>
  <si>
    <t xml:space="preserve">CGPR-OJIBWAY D PR</t>
  </si>
  <si>
    <t xml:space="preserve">CGPR-PARKWAY</t>
  </si>
  <si>
    <t xml:space="preserve">CGPR-PARKWAY I PR</t>
  </si>
  <si>
    <t xml:space="preserve">NG_OMICRON_9</t>
  </si>
  <si>
    <t xml:space="preserve">Alberta - Sumas</t>
  </si>
  <si>
    <t xml:space="preserve">Prompt Month</t>
  </si>
  <si>
    <t xml:space="preserve">CGPR-PARKWAY D PR</t>
  </si>
  <si>
    <t xml:space="preserve">CGPR-ST.CLAIR</t>
  </si>
  <si>
    <t xml:space="preserve">CGPR-ST.CLAIR I PR</t>
  </si>
  <si>
    <t xml:space="preserve">NG_OMICRON_10</t>
  </si>
  <si>
    <t xml:space="preserve">Sithe Curve (ANR/LA_ONSHO)</t>
  </si>
  <si>
    <t xml:space="preserve">Curve Code</t>
  </si>
  <si>
    <t xml:space="preserve">INTNS</t>
  </si>
  <si>
    <t xml:space="preserve">NG</t>
  </si>
  <si>
    <t xml:space="preserve">CGPR-ST.CLAIR D PR</t>
  </si>
  <si>
    <t xml:space="preserve">CGPR-STN2/IDX</t>
  </si>
  <si>
    <t xml:space="preserve">CGPR-STN2/IDX I PR</t>
  </si>
  <si>
    <t xml:space="preserve">NG_OMICRON_11</t>
  </si>
  <si>
    <t xml:space="preserve">Chicago</t>
  </si>
  <si>
    <t xml:space="preserve">Curve Type</t>
  </si>
  <si>
    <t xml:space="preserve">AA</t>
  </si>
  <si>
    <t xml:space="preserve">VO</t>
  </si>
  <si>
    <t xml:space="preserve">BV</t>
  </si>
  <si>
    <t xml:space="preserve">AV</t>
  </si>
  <si>
    <t xml:space="preserve">BP</t>
  </si>
  <si>
    <t xml:space="preserve">AP</t>
  </si>
  <si>
    <t xml:space="preserve">Omicron</t>
  </si>
  <si>
    <t xml:space="preserve">Omicron </t>
  </si>
  <si>
    <t xml:space="preserve">CGPR-WADDING</t>
  </si>
  <si>
    <t xml:space="preserve">CGPR-WADDING D PR</t>
  </si>
  <si>
    <t xml:space="preserve">CGPR-WADDING I PR</t>
  </si>
  <si>
    <t xml:space="preserve">NG_OMICRON_12</t>
  </si>
  <si>
    <t xml:space="preserve">Florida Zones 1 through 3</t>
  </si>
  <si>
    <t xml:space="preserve">Book Code 1</t>
  </si>
  <si>
    <t xml:space="preserve">R</t>
  </si>
  <si>
    <t xml:space="preserve">P</t>
  </si>
  <si>
    <t xml:space="preserve">Bid Vol</t>
  </si>
  <si>
    <t xml:space="preserve">Mid Vol</t>
  </si>
  <si>
    <t xml:space="preserve">Ask Vol</t>
  </si>
  <si>
    <t xml:space="preserve">CONSUMERS_CDA</t>
  </si>
  <si>
    <t xml:space="preserve">CONSUMERS_CDA D PR</t>
  </si>
  <si>
    <t xml:space="preserve">CONSUMERS_CDA/I</t>
  </si>
  <si>
    <t xml:space="preserve">CONSUMERS_CDA/I I PR</t>
  </si>
  <si>
    <t xml:space="preserve">Publisher</t>
  </si>
  <si>
    <t xml:space="preserve">ATEST_PC</t>
  </si>
  <si>
    <t xml:space="preserve">GHUAN</t>
  </si>
  <si>
    <t xml:space="preserve">DQUIGLE</t>
  </si>
  <si>
    <t xml:space="preserve">BMILLS</t>
  </si>
  <si>
    <t xml:space="preserve">DAWN-GDM</t>
  </si>
  <si>
    <t xml:space="preserve">DAWN-GDM D PR</t>
  </si>
  <si>
    <t xml:space="preserve">DJ/BASIN/CIG</t>
  </si>
  <si>
    <t xml:space="preserve">DJ/BASIN/CIG I PR</t>
  </si>
  <si>
    <t xml:space="preserve">DJ/BASIN/CIG D PR</t>
  </si>
  <si>
    <t xml:space="preserve">DJ/BASIN/WEST</t>
  </si>
  <si>
    <t xml:space="preserve">DJ/BASIN/WEST I PR</t>
  </si>
  <si>
    <t xml:space="preserve">DJ/BASIN/WEST D PR</t>
  </si>
  <si>
    <t xml:space="preserve">GAS DAILY</t>
  </si>
  <si>
    <t xml:space="preserve">GAS DAILY I PR</t>
  </si>
  <si>
    <t xml:space="preserve">GAS DAILY D PR</t>
  </si>
  <si>
    <t xml:space="preserve">GD-FGT/Z2</t>
  </si>
  <si>
    <t xml:space="preserve">GD-FGT/Z2 I PR</t>
  </si>
  <si>
    <t xml:space="preserve">GD-AECOUS-DAILY</t>
  </si>
  <si>
    <t xml:space="preserve">SP</t>
  </si>
  <si>
    <t xml:space="preserve">GD-AECOUS-DAILY D SP</t>
  </si>
  <si>
    <t xml:space="preserve">GD-INTRASTHUB</t>
  </si>
  <si>
    <t xml:space="preserve">GD-INTRASTHUB I PR</t>
  </si>
  <si>
    <t xml:space="preserve">GD-AGUADULCE</t>
  </si>
  <si>
    <t xml:space="preserve">GD-AGUADULCE D SP</t>
  </si>
  <si>
    <t xml:space="preserve">GD-LOW_IROQUOIS</t>
  </si>
  <si>
    <t xml:space="preserve">GD-LOW_IROQUOIS I PR</t>
  </si>
  <si>
    <t xml:space="preserve">GD-ALGONQUIN</t>
  </si>
  <si>
    <t xml:space="preserve">GD-ALGONQUIN D SP</t>
  </si>
  <si>
    <t xml:space="preserve">GD-TRANSCO/Z6</t>
  </si>
  <si>
    <t xml:space="preserve">GD-TRANSCO/Z6 I PR</t>
  </si>
  <si>
    <t xml:space="preserve">GD-ANR/LA_ONSHO</t>
  </si>
  <si>
    <t xml:space="preserve">GD-ANR/LA_ONSHO D SP</t>
  </si>
  <si>
    <t xml:space="preserve">HPL/SHPCHAN-GD</t>
  </si>
  <si>
    <t xml:space="preserve">HPL/SHPCHAN-GD I PR</t>
  </si>
  <si>
    <t xml:space="preserve">GD-ANR/OK</t>
  </si>
  <si>
    <t xml:space="preserve">GD-ANR/OK D SP</t>
  </si>
  <si>
    <t xml:space="preserve">IF-A/S E.BEAUM</t>
  </si>
  <si>
    <t xml:space="preserve">IF-A/S E.BEAUM I PR</t>
  </si>
  <si>
    <t xml:space="preserve">GD-CAL BORDER</t>
  </si>
  <si>
    <t xml:space="preserve">GD-CAL BORDER D SP</t>
  </si>
  <si>
    <t xml:space="preserve">IF-A/S EAST OFF</t>
  </si>
  <si>
    <t xml:space="preserve">IF-A/S EAST OFF I PR</t>
  </si>
  <si>
    <t xml:space="preserve">GD-CARTHAGE</t>
  </si>
  <si>
    <t xml:space="preserve">GD-CARTHAGE D SP</t>
  </si>
  <si>
    <t xml:space="preserve">IF-AGUA DULCE</t>
  </si>
  <si>
    <t xml:space="preserve">IF-AGUA DULCE I PR</t>
  </si>
  <si>
    <t xml:space="preserve">GD-CGT/APPALAC</t>
  </si>
  <si>
    <t xml:space="preserve">GD-CGT/APPALAC D SP</t>
  </si>
  <si>
    <t xml:space="preserve">IF-ANR/LA</t>
  </si>
  <si>
    <t xml:space="preserve">IF-ANR/LA I PR</t>
  </si>
  <si>
    <t xml:space="preserve">GD-CHI. GATE</t>
  </si>
  <si>
    <t xml:space="preserve">GD-CHI. GATE D SP</t>
  </si>
  <si>
    <t xml:space="preserve">IF-ANR/LA_OFFSH</t>
  </si>
  <si>
    <t xml:space="preserve">IF-ANR/LA_OFFSH I PR</t>
  </si>
  <si>
    <t xml:space="preserve">GD-CIG/RKYMTN</t>
  </si>
  <si>
    <t xml:space="preserve">GD-CIG/RKYMTN D SP</t>
  </si>
  <si>
    <t xml:space="preserve">IF-ANR/LA_ONSHO</t>
  </si>
  <si>
    <t xml:space="preserve">IF-ANR/LA_ONSHO I PR</t>
  </si>
  <si>
    <t xml:space="preserve">GD-CNG/NORTH</t>
  </si>
  <si>
    <t xml:space="preserve">GD-CNG/NORTH D SP</t>
  </si>
  <si>
    <t xml:space="preserve">IF-ANR/OK</t>
  </si>
  <si>
    <t xml:space="preserve">IF-ANR/OK I PR</t>
  </si>
  <si>
    <t xml:space="preserve">GD-CNG/SOUTH</t>
  </si>
  <si>
    <t xml:space="preserve">GD-CNG/SOUTH D SP</t>
  </si>
  <si>
    <t xml:space="preserve">IF-ARKLA/ARK-OK</t>
  </si>
  <si>
    <t xml:space="preserve">IF-ARKLA/ARK-OK I PR</t>
  </si>
  <si>
    <t xml:space="preserve">GD-COLGULF/LA</t>
  </si>
  <si>
    <t xml:space="preserve">GD-COLGULF/LA D SP</t>
  </si>
  <si>
    <t xml:space="preserve">IF-B/M OFFSHORE</t>
  </si>
  <si>
    <t xml:space="preserve">IF-B/M OFFSHORE I PR</t>
  </si>
  <si>
    <t xml:space="preserve">GD-COLGULF/RAYN</t>
  </si>
  <si>
    <t xml:space="preserve">GD-COLGULF/RAYN D SP</t>
  </si>
  <si>
    <t xml:space="preserve">IF-BONDAD(100%)</t>
  </si>
  <si>
    <t xml:space="preserve">IF-BONDAD(100%) I PR</t>
  </si>
  <si>
    <t xml:space="preserve">GD-CONSUMERS</t>
  </si>
  <si>
    <t xml:space="preserve">GD-CONSUMERS D SP</t>
  </si>
  <si>
    <t xml:space="preserve">IF-CARTHAGE</t>
  </si>
  <si>
    <t xml:space="preserve">IF-CARTHAGE I PR</t>
  </si>
  <si>
    <t xml:space="preserve">GD-CORPUS/SHPCH</t>
  </si>
  <si>
    <t xml:space="preserve">GD-CORPUS/SHPCH D SP</t>
  </si>
  <si>
    <t xml:space="preserve">IF-CGT/APPALAC</t>
  </si>
  <si>
    <t xml:space="preserve">IF-CGT/APPALAC I PR</t>
  </si>
  <si>
    <t xml:space="preserve">GD-DAWN</t>
  </si>
  <si>
    <t xml:space="preserve">GD-DAWN D SP</t>
  </si>
  <si>
    <t xml:space="preserve">IF-CGT/CITYGATE</t>
  </si>
  <si>
    <t xml:space="preserve">IF-CGT/CITYGATE I PR</t>
  </si>
  <si>
    <t xml:space="preserve">GD-DJ/BASIN</t>
  </si>
  <si>
    <t xml:space="preserve">GD-DJ/BASIN D SP</t>
  </si>
  <si>
    <t xml:space="preserve">IF-CIG/RKYMTN</t>
  </si>
  <si>
    <t xml:space="preserve">IF-CIG/RKYMTN I PR</t>
  </si>
  <si>
    <t xml:space="preserve">GD-ELPO/PERM2</t>
  </si>
  <si>
    <t xml:space="preserve">GD-ELPO/PERM2 D SP</t>
  </si>
  <si>
    <t xml:space="preserve">IF-CIG/TOMAHAWK</t>
  </si>
  <si>
    <t xml:space="preserve">IF-CIG/TOMAHAWK I PR</t>
  </si>
  <si>
    <t xml:space="preserve">GD-ELPO/SANJUAN</t>
  </si>
  <si>
    <t xml:space="preserve">GD-ELPO/SANJUAN D SP</t>
  </si>
  <si>
    <t xml:space="preserve">IF-CIG/WIC</t>
  </si>
  <si>
    <t xml:space="preserve">IF-CIG/WIC I PR</t>
  </si>
  <si>
    <t xml:space="preserve">GD-ELPO/SJBOND</t>
  </si>
  <si>
    <t xml:space="preserve">GD-ELPO/SJBOND D SP</t>
  </si>
  <si>
    <t xml:space="preserve">IF-CIG/WINDRVR</t>
  </si>
  <si>
    <t xml:space="preserve">IF-CIG/WINDRVR I PR</t>
  </si>
  <si>
    <t xml:space="preserve">GD-EMERSON</t>
  </si>
  <si>
    <t xml:space="preserve">GD-EMERSON D SP</t>
  </si>
  <si>
    <t xml:space="preserve">IF-CNG/APPALACH</t>
  </si>
  <si>
    <t xml:space="preserve">IF-CNG/APPALACH I PR</t>
  </si>
  <si>
    <t xml:space="preserve">GD-FGT/MOBILE</t>
  </si>
  <si>
    <t xml:space="preserve">GD-FGT/MOBILE D SP</t>
  </si>
  <si>
    <t xml:space="preserve">IF-CNG/NORTH</t>
  </si>
  <si>
    <t xml:space="preserve">IF-CNG/NORTH I PR</t>
  </si>
  <si>
    <t xml:space="preserve">GD-FGT/Z1</t>
  </si>
  <si>
    <t xml:space="preserve">GD-FGT/Z1 D SP</t>
  </si>
  <si>
    <t xml:space="preserve">IF-CNG/N_CITYGA</t>
  </si>
  <si>
    <t xml:space="preserve">IF-CNG/N_CITYGA I PR</t>
  </si>
  <si>
    <t xml:space="preserve">GD-FGT/Z1/CORP</t>
  </si>
  <si>
    <t xml:space="preserve">GD-FGT/Z1/CORP D SP</t>
  </si>
  <si>
    <t xml:space="preserve">IF-COLGUL/ERATH</t>
  </si>
  <si>
    <t xml:space="preserve">IF-COLGUL/ERATH I PR</t>
  </si>
  <si>
    <t xml:space="preserve">GD-FGT/Z2 D PR</t>
  </si>
  <si>
    <t xml:space="preserve">IF-COLGUL/RAYNE</t>
  </si>
  <si>
    <t xml:space="preserve">IF-COLGUL/RAYNE I PR</t>
  </si>
  <si>
    <t xml:space="preserve">GD-FGT/Z2 D SP</t>
  </si>
  <si>
    <t xml:space="preserve">IF-COLGULF/LA</t>
  </si>
  <si>
    <t xml:space="preserve">IF-COLGULF/LA I PR</t>
  </si>
  <si>
    <t xml:space="preserve">GD-FGT/Z3</t>
  </si>
  <si>
    <t xml:space="preserve">GD-FGT/Z3 D SP</t>
  </si>
  <si>
    <t xml:space="preserve">IF-COLGULF/LAOF</t>
  </si>
  <si>
    <t xml:space="preserve">IF-COLGULF/LAOF I PR</t>
  </si>
  <si>
    <t xml:space="preserve">GD-HEHUB</t>
  </si>
  <si>
    <t xml:space="preserve">GD-HEHUB D SP</t>
  </si>
  <si>
    <t xml:space="preserve">IF-CORPUS</t>
  </si>
  <si>
    <t xml:space="preserve">IF-CORPUS I PR</t>
  </si>
  <si>
    <t xml:space="preserve">GD-HPL/SHPCH</t>
  </si>
  <si>
    <t xml:space="preserve">GD-HPL/SHPCH D SP</t>
  </si>
  <si>
    <t xml:space="preserve">IF-ELPO/ANADARK</t>
  </si>
  <si>
    <t xml:space="preserve">IF-ELPO/ANADARK I PR</t>
  </si>
  <si>
    <t xml:space="preserve">GD-INTRASTHUB D PR</t>
  </si>
  <si>
    <t xml:space="preserve">IF-ELPO/PERMIAN</t>
  </si>
  <si>
    <t xml:space="preserve">IF-ELPO/PERMIAN I PR</t>
  </si>
  <si>
    <t xml:space="preserve">GD-IROQUOIS</t>
  </si>
  <si>
    <t xml:space="preserve">GD-IROQUOIS D SP</t>
  </si>
  <si>
    <t xml:space="preserve">IF-ELPO/SJ</t>
  </si>
  <si>
    <t xml:space="preserve">IF-ELPO/SJ I PR</t>
  </si>
  <si>
    <t xml:space="preserve">GD-KERN/RIVER</t>
  </si>
  <si>
    <t xml:space="preserve">GD-KERN/RIVER D SP</t>
  </si>
  <si>
    <t xml:space="preserve">IF-ELPO/SJ/KC</t>
  </si>
  <si>
    <t xml:space="preserve">IF-ELPO/SJ/KC I PR</t>
  </si>
  <si>
    <t xml:space="preserve">GD-KOCH</t>
  </si>
  <si>
    <t xml:space="preserve">GD-KOCH D SP</t>
  </si>
  <si>
    <t xml:space="preserve">IF-EPSJ(BONDAD)</t>
  </si>
  <si>
    <t xml:space="preserve">IF-EPSJ(BONDAD) I PR</t>
  </si>
  <si>
    <t xml:space="preserve">GD-KOCH/CORPUS</t>
  </si>
  <si>
    <t xml:space="preserve">GD-KOCH/CORPUS D SP</t>
  </si>
  <si>
    <t xml:space="preserve">IF-EPSJ(MILAGR)</t>
  </si>
  <si>
    <t xml:space="preserve">IF-EPSJ(MILAGR) I PR</t>
  </si>
  <si>
    <t xml:space="preserve">GD-KOCH/TX</t>
  </si>
  <si>
    <t xml:space="preserve">GD-KOCH/TX D SP</t>
  </si>
  <si>
    <t xml:space="preserve">IF-EPSJ/TWBLANC</t>
  </si>
  <si>
    <t xml:space="preserve">IF-EPSJ/TWBLANC I PR</t>
  </si>
  <si>
    <t xml:space="preserve">GD-LONESTAR</t>
  </si>
  <si>
    <t xml:space="preserve">GD-LONESTAR D SP</t>
  </si>
  <si>
    <t xml:space="preserve">IF-FGT/CTYGATE</t>
  </si>
  <si>
    <t xml:space="preserve">IF-FGT/CTYGATE I PR</t>
  </si>
  <si>
    <t xml:space="preserve">GD-LOW_IROQUOIS D PR</t>
  </si>
  <si>
    <t xml:space="preserve">IF-FGT/MKTAREA</t>
  </si>
  <si>
    <t xml:space="preserve">IF-FGT/MKTAREA I PR</t>
  </si>
  <si>
    <t xml:space="preserve">GD-MALIN-CTYGAT</t>
  </si>
  <si>
    <t xml:space="preserve">GD-MALIN-CTYGAT D SP</t>
  </si>
  <si>
    <t xml:space="preserve">IF-FGT/Z1</t>
  </si>
  <si>
    <t xml:space="preserve">IF-FGT/Z1 I PR</t>
  </si>
  <si>
    <t xml:space="preserve">GD-MICHCON</t>
  </si>
  <si>
    <t xml:space="preserve">GD-MICHCON D SP</t>
  </si>
  <si>
    <t xml:space="preserve">IF-FGT/Z2</t>
  </si>
  <si>
    <t xml:space="preserve">IF-FGT/Z2 I PR</t>
  </si>
  <si>
    <t xml:space="preserve">GD-MRT/MAINLINE</t>
  </si>
  <si>
    <t xml:space="preserve">GD-MRT/MAINLINE D SP</t>
  </si>
  <si>
    <t xml:space="preserve">IF-FGT/Z3</t>
  </si>
  <si>
    <t xml:space="preserve">IF-FGT/Z3 I PR</t>
  </si>
  <si>
    <t xml:space="preserve">GD-MRT/WEST</t>
  </si>
  <si>
    <t xml:space="preserve">GD-MRT/WEST D SP</t>
  </si>
  <si>
    <t xml:space="preserve">IF-FREEPORT</t>
  </si>
  <si>
    <t xml:space="preserve">IF-FREEPORT I PR</t>
  </si>
  <si>
    <t xml:space="preserve">GD-NGPL/(IA-IL)</t>
  </si>
  <si>
    <t xml:space="preserve">GD-NGPL/(IA-IL) D SP</t>
  </si>
  <si>
    <t xml:space="preserve">IF-HEHUB</t>
  </si>
  <si>
    <t xml:space="preserve">IF-HEHUB I PR</t>
  </si>
  <si>
    <t xml:space="preserve">GD-NGPL/AMARILO</t>
  </si>
  <si>
    <t xml:space="preserve">GD-NGPL/AMARILO D SP</t>
  </si>
  <si>
    <t xml:space="preserve">IF-HPL/SHPCHAN</t>
  </si>
  <si>
    <t xml:space="preserve">IF-HPL/SHPCHAN I PR</t>
  </si>
  <si>
    <t xml:space="preserve">GD-NGPL/CORPUS</t>
  </si>
  <si>
    <t xml:space="preserve">GD-NGPL/CORPUS D SP</t>
  </si>
  <si>
    <t xml:space="preserve">IF-IOWA_IL</t>
  </si>
  <si>
    <t xml:space="preserve">IF-IOWA_IL I PR</t>
  </si>
  <si>
    <t xml:space="preserve">GD-NGPL/LA</t>
  </si>
  <si>
    <t xml:space="preserve">GD-NGPL/LA D SP</t>
  </si>
  <si>
    <t xml:space="preserve">IF-K/COL/TN/LA</t>
  </si>
  <si>
    <t xml:space="preserve">IF-K/COL/TN/LA I PR</t>
  </si>
  <si>
    <t xml:space="preserve">GD-NGPL/OK</t>
  </si>
  <si>
    <t xml:space="preserve">GD-NGPL/OK D SP</t>
  </si>
  <si>
    <t xml:space="preserve">IF-KATY</t>
  </si>
  <si>
    <t xml:space="preserve">IF-KATY I PR</t>
  </si>
  <si>
    <t xml:space="preserve">GD-NGPL/PAN/PRM</t>
  </si>
  <si>
    <t xml:space="preserve">GD-NGPL/PAN/PRM D SP</t>
  </si>
  <si>
    <t xml:space="preserve">IF-KATY/OASIS</t>
  </si>
  <si>
    <t xml:space="preserve">IF-KATY/OASIS I PR</t>
  </si>
  <si>
    <t xml:space="preserve">GD-NGPL/TXOK-E</t>
  </si>
  <si>
    <t xml:space="preserve">GD-NGPL/TXOK-E D SP</t>
  </si>
  <si>
    <t xml:space="preserve">IF-KATY/TAIL</t>
  </si>
  <si>
    <t xml:space="preserve">IF-KATY/TAIL I PR</t>
  </si>
  <si>
    <t xml:space="preserve">GD-NGPL/TXOK-W</t>
  </si>
  <si>
    <t xml:space="preserve">GD-NGPL/TXOK-W D SP</t>
  </si>
  <si>
    <t xml:space="preserve">IF-KATY/WOFLEX</t>
  </si>
  <si>
    <t xml:space="preserve">IF-KATY/WOFLEX I PR</t>
  </si>
  <si>
    <t xml:space="preserve">GD-NIAGARA</t>
  </si>
  <si>
    <t xml:space="preserve">GD-NIAGARA D SP</t>
  </si>
  <si>
    <t xml:space="preserve">IF-KERN/QUEST</t>
  </si>
  <si>
    <t xml:space="preserve">IF-KERN/QUEST I PR</t>
  </si>
  <si>
    <t xml:space="preserve">GD-NNG/DEMARCAT</t>
  </si>
  <si>
    <t xml:space="preserve">GD-NNG/DEMARCAT D SP</t>
  </si>
  <si>
    <t xml:space="preserve">IF-KERN/RIVER</t>
  </si>
  <si>
    <t xml:space="preserve">IF-KERN/RIVER I PR</t>
  </si>
  <si>
    <t xml:space="preserve">GD-NNG/TOK</t>
  </si>
  <si>
    <t xml:space="preserve">GD-NNG/TOK D SP</t>
  </si>
  <si>
    <t xml:space="preserve">IF-KING RANCH</t>
  </si>
  <si>
    <t xml:space="preserve">IF-KING RANCH I PR</t>
  </si>
  <si>
    <t xml:space="preserve">GD-NNG/TOK(1-6)</t>
  </si>
  <si>
    <t xml:space="preserve">GD-NNG/TOK(1-6) D SP</t>
  </si>
  <si>
    <t xml:space="preserve">IF-KOCH</t>
  </si>
  <si>
    <t xml:space="preserve">IF-KOCH I PR</t>
  </si>
  <si>
    <t xml:space="preserve">GD-NNG/TOK(13)</t>
  </si>
  <si>
    <t xml:space="preserve">GD-NNG/TOK(13) D SP</t>
  </si>
  <si>
    <t xml:space="preserve">IF-KOCH/LA</t>
  </si>
  <si>
    <t xml:space="preserve">IF-KOCH/LA I PR</t>
  </si>
  <si>
    <t xml:space="preserve">GD-NNG/TOK/PAN</t>
  </si>
  <si>
    <t xml:space="preserve">GD-NNG/TOK/PAN D SP</t>
  </si>
  <si>
    <t xml:space="preserve">IF-KOCH/TX</t>
  </si>
  <si>
    <t xml:space="preserve">IF-KOCH/TX I PR</t>
  </si>
  <si>
    <t xml:space="preserve">GD-NNG/VENT</t>
  </si>
  <si>
    <t xml:space="preserve">GD-NNG/VENT D SP</t>
  </si>
  <si>
    <t xml:space="preserve">IF-LONESTAR</t>
  </si>
  <si>
    <t xml:space="preserve">IF-LONESTAR I PR</t>
  </si>
  <si>
    <t xml:space="preserve">GD-NORAM-N/S</t>
  </si>
  <si>
    <t xml:space="preserve">GD-NORAM-N/S D SP</t>
  </si>
  <si>
    <t xml:space="preserve">IF-LRC</t>
  </si>
  <si>
    <t xml:space="preserve">IF-LRC I PR</t>
  </si>
  <si>
    <t xml:space="preserve">GD-NORAM/WEST</t>
  </si>
  <si>
    <t xml:space="preserve">GD-NORAM/WEST D SP</t>
  </si>
  <si>
    <t xml:space="preserve">IF-LRC/Z1</t>
  </si>
  <si>
    <t xml:space="preserve">IF-LRC/Z1 I PR</t>
  </si>
  <si>
    <t xml:space="preserve">GD-NTHWST/CANB</t>
  </si>
  <si>
    <t xml:space="preserve">GD-NTHWST/CANB D SP</t>
  </si>
  <si>
    <t xml:space="preserve">IF-LRC/Z2</t>
  </si>
  <si>
    <t xml:space="preserve">IF-LRC/Z2 I PR</t>
  </si>
  <si>
    <t xml:space="preserve">GD-NW STANF/1ST</t>
  </si>
  <si>
    <t xml:space="preserve">GD-NW STANF/1ST D SP</t>
  </si>
  <si>
    <t xml:space="preserve">IF-LRC/Z3</t>
  </si>
  <si>
    <t xml:space="preserve">IF-LRC/Z3 I PR</t>
  </si>
  <si>
    <t xml:space="preserve">GD-NW STANFIELD</t>
  </si>
  <si>
    <t xml:space="preserve">GD-NW STANFIELD D SP</t>
  </si>
  <si>
    <t xml:space="preserve">IF-LRC/Z4</t>
  </si>
  <si>
    <t xml:space="preserve">IF-LRC/Z4 I PR</t>
  </si>
  <si>
    <t xml:space="preserve">GD-NW/IGNACIO</t>
  </si>
  <si>
    <t xml:space="preserve">GD-NW/IGNACIO D SP</t>
  </si>
  <si>
    <t xml:space="preserve">IF-LRC/Z5</t>
  </si>
  <si>
    <t xml:space="preserve">IF-LRC/Z5 I PR</t>
  </si>
  <si>
    <t xml:space="preserve">GD-NWPL_ROCKY_M</t>
  </si>
  <si>
    <t xml:space="preserve">GD-NWPL_ROCKY_M D SP</t>
  </si>
  <si>
    <t xml:space="preserve">IF-MONCHY</t>
  </si>
  <si>
    <t xml:space="preserve">IF-MONCHY I PR</t>
  </si>
  <si>
    <t xml:space="preserve">GD-PAN/TX/OK</t>
  </si>
  <si>
    <t xml:space="preserve">GD-PAN/TX/OK D SP</t>
  </si>
  <si>
    <t xml:space="preserve">IF-NGPL/HARPER</t>
  </si>
  <si>
    <t xml:space="preserve">IF-NGPL/HARPER I PR</t>
  </si>
  <si>
    <t xml:space="preserve">GD-PG&amp;E/CITIGAT</t>
  </si>
  <si>
    <t xml:space="preserve">GD-PG&amp;E/CITIGAT D SP</t>
  </si>
  <si>
    <t xml:space="preserve">IF-NGPL/LA</t>
  </si>
  <si>
    <t xml:space="preserve">IF-NGPL/LA I PR</t>
  </si>
  <si>
    <t xml:space="preserve">GD-PGT/KINGSGAT</t>
  </si>
  <si>
    <t xml:space="preserve">GD-PGT/KINGSGAT D SP</t>
  </si>
  <si>
    <t xml:space="preserve">IF-NGPL/LA-STNG</t>
  </si>
  <si>
    <t xml:space="preserve">IF-NGPL/LA-STNG I PR</t>
  </si>
  <si>
    <t xml:space="preserve">GD-QUESTAR</t>
  </si>
  <si>
    <t xml:space="preserve">GD-QUESTAR D SP</t>
  </si>
  <si>
    <t xml:space="preserve">IF-NGPL/MIDCON</t>
  </si>
  <si>
    <t xml:space="preserve">IF-NGPL/MIDCON I PR</t>
  </si>
  <si>
    <t xml:space="preserve">GD-SONAT/LA</t>
  </si>
  <si>
    <t xml:space="preserve">GD-SONAT/LA D SP</t>
  </si>
  <si>
    <t xml:space="preserve">IF-NGPL/OK-NW</t>
  </si>
  <si>
    <t xml:space="preserve">IF-NGPL/OK-NW I PR</t>
  </si>
  <si>
    <t xml:space="preserve">GD-TENN/100</t>
  </si>
  <si>
    <t xml:space="preserve">GD-TENN/100 D SP</t>
  </si>
  <si>
    <t xml:space="preserve">IF-NGPL/STX</t>
  </si>
  <si>
    <t xml:space="preserve">IF-NGPL/STX I PR</t>
  </si>
  <si>
    <t xml:space="preserve">GD-TENN/500</t>
  </si>
  <si>
    <t xml:space="preserve">GD-TENN/500 D SP</t>
  </si>
  <si>
    <t xml:space="preserve">IF-NGPL/TX</t>
  </si>
  <si>
    <t xml:space="preserve">IF-NGPL/TX I PR</t>
  </si>
  <si>
    <t xml:space="preserve">GD-TENN/800</t>
  </si>
  <si>
    <t xml:space="preserve">GD-TENN/800 D SP</t>
  </si>
  <si>
    <t xml:space="preserve">IF-NGPLTXOK</t>
  </si>
  <si>
    <t xml:space="preserve">IF-NGPLTXOK I PR</t>
  </si>
  <si>
    <t xml:space="preserve">GD-TENN/CORPUS</t>
  </si>
  <si>
    <t xml:space="preserve">GD-TENN/CORPUS D SP</t>
  </si>
  <si>
    <t xml:space="preserve">IF-NNG/DEMARCAT</t>
  </si>
  <si>
    <t xml:space="preserve">IF-NNG/DEMARCAT I PR</t>
  </si>
  <si>
    <t xml:space="preserve">GD-TETCO/ELA</t>
  </si>
  <si>
    <t xml:space="preserve">GD-TETCO/ELA D SP</t>
  </si>
  <si>
    <t xml:space="preserve">IF-NNG/TOK</t>
  </si>
  <si>
    <t xml:space="preserve">IF-NNG/TOK I PR</t>
  </si>
  <si>
    <t xml:space="preserve">GD-TETCO/ETX/CR</t>
  </si>
  <si>
    <t xml:space="preserve">GD-TETCO/ETX/CR D SP</t>
  </si>
  <si>
    <t xml:space="preserve">IF-NNG/VENT</t>
  </si>
  <si>
    <t xml:space="preserve">IF-NNG/VENT I PR</t>
  </si>
  <si>
    <t xml:space="preserve">GD-TETCO/M1</t>
  </si>
  <si>
    <t xml:space="preserve">GD-TETCO/M1 D SP</t>
  </si>
  <si>
    <t xml:space="preserve">IF-NORAM/EAST</t>
  </si>
  <si>
    <t xml:space="preserve">IF-NORAM/EAST I PR</t>
  </si>
  <si>
    <t xml:space="preserve">GD-TETCO/M3</t>
  </si>
  <si>
    <t xml:space="preserve">GD-TETCO/M3 D SP</t>
  </si>
  <si>
    <t xml:space="preserve">IF-NORAM/WEST</t>
  </si>
  <si>
    <t xml:space="preserve">IF-NORAM/WEST I PR</t>
  </si>
  <si>
    <t xml:space="preserve">GD-TETCO/STX</t>
  </si>
  <si>
    <t xml:space="preserve">GD-TETCO/STX D SP</t>
  </si>
  <si>
    <t xml:space="preserve">IF-NTHWST/CANBR</t>
  </si>
  <si>
    <t xml:space="preserve">IF-NTHWST/CANBR I PR</t>
  </si>
  <si>
    <t xml:space="preserve">GD-TETCO/WLA</t>
  </si>
  <si>
    <t xml:space="preserve">GD-TETCO/WLA D SP</t>
  </si>
  <si>
    <t xml:space="preserve">IF-NWPL_ROCKY_M</t>
  </si>
  <si>
    <t xml:space="preserve">IF-NWPL_ROCKY_M I PR</t>
  </si>
  <si>
    <t xml:space="preserve">GD-TGT/Z1</t>
  </si>
  <si>
    <t xml:space="preserve">GD-TGT/Z1 D SP</t>
  </si>
  <si>
    <t xml:space="preserve">IF-ONG/OKLAHOMA</t>
  </si>
  <si>
    <t xml:space="preserve">IF-ONG/OKLAHOMA I PR</t>
  </si>
  <si>
    <t xml:space="preserve">GD-TGT/ZSL</t>
  </si>
  <si>
    <t xml:space="preserve">GD-TGT/ZSL D SP</t>
  </si>
  <si>
    <t xml:space="preserve">IF-PAN/TX/OK</t>
  </si>
  <si>
    <t xml:space="preserve">IF-PAN/TX/OK I PR</t>
  </si>
  <si>
    <t xml:space="preserve">GD-TRANSCO/Z1</t>
  </si>
  <si>
    <t xml:space="preserve">GD-TRANSCO/Z1 D SP</t>
  </si>
  <si>
    <t xml:space="preserve">IF-QUESTAR</t>
  </si>
  <si>
    <t xml:space="preserve">IF-QUESTAR I PR</t>
  </si>
  <si>
    <t xml:space="preserve">GD-TRANSCO/Z2</t>
  </si>
  <si>
    <t xml:space="preserve">GD-TRANSCO/Z2 D SP</t>
  </si>
  <si>
    <t xml:space="preserve">IF-SONAT/LA</t>
  </si>
  <si>
    <t xml:space="preserve">IF-SONAT/LA I PR</t>
  </si>
  <si>
    <t xml:space="preserve">GD-TRANSCO/Z3</t>
  </si>
  <si>
    <t xml:space="preserve">GD-TRANSCO/Z3 D SP</t>
  </si>
  <si>
    <t xml:space="preserve">IF-TENN/LA</t>
  </si>
  <si>
    <t xml:space="preserve">IF-TENN/LA I PR</t>
  </si>
  <si>
    <t xml:space="preserve">GD-TRANSCO/Z4</t>
  </si>
  <si>
    <t xml:space="preserve">GD-TRANSCO/Z4 D SP</t>
  </si>
  <si>
    <t xml:space="preserve">IF-TENN/LA_OFF</t>
  </si>
  <si>
    <t xml:space="preserve">IF-TENN/LA_OFF I PR</t>
  </si>
  <si>
    <t xml:space="preserve">GD-TRANSCO/Z6 D PR</t>
  </si>
  <si>
    <t xml:space="preserve">IF-TENN/TX</t>
  </si>
  <si>
    <t xml:space="preserve">IF-TENN/TX I PR</t>
  </si>
  <si>
    <t xml:space="preserve">GD-TRCOZ6/NONY</t>
  </si>
  <si>
    <t xml:space="preserve">GD-TRCOZ6/NONY D SP</t>
  </si>
  <si>
    <t xml:space="preserve">IF-TENN/Z5</t>
  </si>
  <si>
    <t xml:space="preserve">IF-TENN/Z5 I PR</t>
  </si>
  <si>
    <t xml:space="preserve">GD-TRCOZ6/NY</t>
  </si>
  <si>
    <t xml:space="preserve">GD-TRCOZ6/NY D SP</t>
  </si>
  <si>
    <t xml:space="preserve">IF-TENN/Z6</t>
  </si>
  <si>
    <t xml:space="preserve">IF-TENN/Z6 I PR</t>
  </si>
  <si>
    <t xml:space="preserve">GD-TRUNKL/ELA</t>
  </si>
  <si>
    <t xml:space="preserve">GD-TRUNKL/ELA D SP</t>
  </si>
  <si>
    <t xml:space="preserve">IF-TETCO/ELA</t>
  </si>
  <si>
    <t xml:space="preserve">IF-TETCO/ELA I PR</t>
  </si>
  <si>
    <t xml:space="preserve">GD-TRUNKL/NO</t>
  </si>
  <si>
    <t xml:space="preserve">GD-TRUNKL/NO D SP</t>
  </si>
  <si>
    <t xml:space="preserve">IF-TETCO/ETX</t>
  </si>
  <si>
    <t xml:space="preserve">IF-TETCO/ETX I PR</t>
  </si>
  <si>
    <t xml:space="preserve">GD-TRUNKL/SO</t>
  </si>
  <si>
    <t xml:space="preserve">GD-TRUNKL/SO D SP</t>
  </si>
  <si>
    <t xml:space="preserve">IF-TETCO/LA</t>
  </si>
  <si>
    <t xml:space="preserve">IF-TETCO/LA I PR</t>
  </si>
  <si>
    <t xml:space="preserve">GD-TRUNKL/WLA</t>
  </si>
  <si>
    <t xml:space="preserve">GD-TRUNKL/WLA D SP</t>
  </si>
  <si>
    <t xml:space="preserve">IF-TETCO/M1</t>
  </si>
  <si>
    <t xml:space="preserve">IF-TETCO/M1 I PR</t>
  </si>
  <si>
    <t xml:space="preserve">GD-TW/PERMIAN</t>
  </si>
  <si>
    <t xml:space="preserve">GD-TW/PERMIAN D SP</t>
  </si>
  <si>
    <t xml:space="preserve">IF-TETCO/M3</t>
  </si>
  <si>
    <t xml:space="preserve">IF-TETCO/M3 I PR</t>
  </si>
  <si>
    <t xml:space="preserve">GD-TW/SJ</t>
  </si>
  <si>
    <t xml:space="preserve">GD-TW/SJ D SP</t>
  </si>
  <si>
    <t xml:space="preserve">IF-TETCO/STX</t>
  </si>
  <si>
    <t xml:space="preserve">IF-TETCO/STX I PR</t>
  </si>
  <si>
    <t xml:space="preserve">GD-TXINT/KATYTX</t>
  </si>
  <si>
    <t xml:space="preserve">GD-TXINT/KATYTX D SP</t>
  </si>
  <si>
    <t xml:space="preserve">IF-TETCO/WLA</t>
  </si>
  <si>
    <t xml:space="preserve">IF-TETCO/WLA I PR</t>
  </si>
  <si>
    <t xml:space="preserve">GD-WADDINGTON</t>
  </si>
  <si>
    <t xml:space="preserve">GD-WADDINGTON D SP</t>
  </si>
  <si>
    <t xml:space="preserve">IF-TEXOMA</t>
  </si>
  <si>
    <t xml:space="preserve">IF-TEXOMA I PR</t>
  </si>
  <si>
    <t xml:space="preserve">GD-WAHA</t>
  </si>
  <si>
    <t xml:space="preserve">GD-WAHA D SP</t>
  </si>
  <si>
    <t xml:space="preserve">IF-TEXOMA OFFER</t>
  </si>
  <si>
    <t xml:space="preserve">IF-TEXOMA OFFER I PR</t>
  </si>
  <si>
    <t xml:space="preserve">GD-WNG/TOK</t>
  </si>
  <si>
    <t xml:space="preserve">GD-WNG/TOK D SP</t>
  </si>
  <si>
    <t xml:space="preserve">IF-TGT/Z1</t>
  </si>
  <si>
    <t xml:space="preserve">IF-TGT/Z1 I PR</t>
  </si>
  <si>
    <t xml:space="preserve">GDAH-HPL/SHPCH</t>
  </si>
  <si>
    <t xml:space="preserve">GDAH-HPL/SHPCH D SP</t>
  </si>
  <si>
    <t xml:space="preserve">IF-TGT/ZSL</t>
  </si>
  <si>
    <t xml:space="preserve">IF-TGT/ZSL I PR</t>
  </si>
  <si>
    <t xml:space="preserve">GDAH-TXINT/KATY</t>
  </si>
  <si>
    <t xml:space="preserve">GDAH-TXINT/KATY D SP</t>
  </si>
  <si>
    <t xml:space="preserve">IF-THOMPSONVILL</t>
  </si>
  <si>
    <t xml:space="preserve">IF-THOMPSONVILL I PR</t>
  </si>
  <si>
    <t xml:space="preserve">GDAL-HPL/SHPCH</t>
  </si>
  <si>
    <t xml:space="preserve">GDAL-HPL/SHPCH D SP</t>
  </si>
  <si>
    <t xml:space="preserve">IF-TRANSCO/Z1</t>
  </si>
  <si>
    <t xml:space="preserve">IF-TRANSCO/Z1 I PR</t>
  </si>
  <si>
    <t xml:space="preserve">GDAL-TXINT/KATY</t>
  </si>
  <si>
    <t xml:space="preserve">GDAL-TXINT/KATY D SP</t>
  </si>
  <si>
    <t xml:space="preserve">IF-TRANSCO/Z2</t>
  </si>
  <si>
    <t xml:space="preserve">IF-TRANSCO/Z2 I PR</t>
  </si>
  <si>
    <t xml:space="preserve">GDH-CIG/RKYMTN</t>
  </si>
  <si>
    <t xml:space="preserve">GDH-CIG/RKYMTN D SP</t>
  </si>
  <si>
    <t xml:space="preserve">IF-TRANSCO/Z3</t>
  </si>
  <si>
    <t xml:space="preserve">IF-TRANSCO/Z3 I PR</t>
  </si>
  <si>
    <t xml:space="preserve">GDH-DJ/BASIN</t>
  </si>
  <si>
    <t xml:space="preserve">GDH-DJ/BASIN D SP</t>
  </si>
  <si>
    <t xml:space="preserve">IF-TRANSCO/Z4</t>
  </si>
  <si>
    <t xml:space="preserve">IF-TRANSCO/Z4 I PR</t>
  </si>
  <si>
    <t xml:space="preserve">GDH-ELPO/PERM</t>
  </si>
  <si>
    <t xml:space="preserve">GDH-ELPO/PERM D SP</t>
  </si>
  <si>
    <t xml:space="preserve">IF-TRANSCO/Z5</t>
  </si>
  <si>
    <t xml:space="preserve">IF-TRANSCO/Z5 I PR</t>
  </si>
  <si>
    <t xml:space="preserve">GDH-ELPO/SJ</t>
  </si>
  <si>
    <t xml:space="preserve">GDH-ELPO/SJ D SP</t>
  </si>
  <si>
    <t xml:space="preserve">IF-TRANSCO/Z6</t>
  </si>
  <si>
    <t xml:space="preserve">IF-TRANSCO/Z6 I PR</t>
  </si>
  <si>
    <t xml:space="preserve">GDH-HEHUB</t>
  </si>
  <si>
    <t xml:space="preserve">GDH-HEHUB D SP</t>
  </si>
  <si>
    <t xml:space="preserve">IF-TRUNK/AVG</t>
  </si>
  <si>
    <t xml:space="preserve">IF-TRUNK/AVG I PR</t>
  </si>
  <si>
    <t xml:space="preserve">GDH-HPL/SHPCH</t>
  </si>
  <si>
    <t xml:space="preserve">GDH-HPL/SHPCH D SP</t>
  </si>
  <si>
    <t xml:space="preserve">IF-TRUNKL/FLDZN</t>
  </si>
  <si>
    <t xml:space="preserve">IF-TRUNKL/FLDZN I PR</t>
  </si>
  <si>
    <t xml:space="preserve">GDH-PAN/TX/OK</t>
  </si>
  <si>
    <t xml:space="preserve">GDH-PAN/TX/OK D SP</t>
  </si>
  <si>
    <t xml:space="preserve">IF-TRUNKL/LA</t>
  </si>
  <si>
    <t xml:space="preserve">IF-TRUNKL/LA I PR</t>
  </si>
  <si>
    <t xml:space="preserve">GDH-SUMAS</t>
  </si>
  <si>
    <t xml:space="preserve">GDH-SUMAS D SP</t>
  </si>
  <si>
    <t xml:space="preserve">IF-TRUNKL/TX</t>
  </si>
  <si>
    <t xml:space="preserve">IF-TRUNKL/TX I PR</t>
  </si>
  <si>
    <t xml:space="preserve">GDH-TXINT/KATY</t>
  </si>
  <si>
    <t xml:space="preserve">GDH-TXINT/KATY D SP</t>
  </si>
  <si>
    <t xml:space="preserve">IF-TW/PERMIAN</t>
  </si>
  <si>
    <t xml:space="preserve">IF-TW/PERMIAN I PR</t>
  </si>
  <si>
    <t xml:space="preserve">GDL-ELPO/PERM</t>
  </si>
  <si>
    <t xml:space="preserve">GDL-ELPO/PERM D SP</t>
  </si>
  <si>
    <t xml:space="preserve">IF-TX CITY LOOP</t>
  </si>
  <si>
    <t xml:space="preserve">IF-TX CITY LOOP I PR</t>
  </si>
  <si>
    <t xml:space="preserve">GDL-ELPO/SJ</t>
  </si>
  <si>
    <t xml:space="preserve">GDL-ELPO/SJ D SP</t>
  </si>
  <si>
    <t xml:space="preserve">IF-VALERO/TX</t>
  </si>
  <si>
    <t xml:space="preserve">IF-VALERO/TX I PR</t>
  </si>
  <si>
    <t xml:space="preserve">GDL-HEHUB</t>
  </si>
  <si>
    <t xml:space="preserve">GDL-HEHUB D SP</t>
  </si>
  <si>
    <t xml:space="preserve">IF-VALLEY</t>
  </si>
  <si>
    <t xml:space="preserve">IF-VALLEY I PR</t>
  </si>
  <si>
    <t xml:space="preserve">GDL-HPL/SHPCH</t>
  </si>
  <si>
    <t xml:space="preserve">GDL-HPL/SHPCH D SP</t>
  </si>
  <si>
    <t xml:space="preserve">IF-WAHA</t>
  </si>
  <si>
    <t xml:space="preserve">IF-WAHA I PR</t>
  </si>
  <si>
    <t xml:space="preserve">GDL-NNG/TOK/PAN</t>
  </si>
  <si>
    <t xml:space="preserve">GDL-NNG/TOK/PAN D SP</t>
  </si>
  <si>
    <t xml:space="preserve">IF-WNG/TOK</t>
  </si>
  <si>
    <t xml:space="preserve">IF-WNG/TOK I PR</t>
  </si>
  <si>
    <t xml:space="preserve">GDL-PAN/TX/OK</t>
  </si>
  <si>
    <t xml:space="preserve">GDL-PAN/TX/OK D SP</t>
  </si>
  <si>
    <t xml:space="preserve">KING/C$/IDX</t>
  </si>
  <si>
    <t xml:space="preserve">KING/C$/IDX I PR</t>
  </si>
  <si>
    <t xml:space="preserve">GDL-TXINT/KATY</t>
  </si>
  <si>
    <t xml:space="preserve">GDL-TXINT/KATY D SP</t>
  </si>
  <si>
    <t xml:space="preserve">MICH-ST.CLAIR/I</t>
  </si>
  <si>
    <t xml:space="preserve">MICH-ST.CLAIR/I I PR</t>
  </si>
  <si>
    <t xml:space="preserve">GDP-AGUADULCE</t>
  </si>
  <si>
    <t xml:space="preserve">GDP-AGUADULCE D SP</t>
  </si>
  <si>
    <t xml:space="preserve">MICH/CONS</t>
  </si>
  <si>
    <t xml:space="preserve">MICH/CONS I PR</t>
  </si>
  <si>
    <t xml:space="preserve">GDP-ALGONQUIN</t>
  </si>
  <si>
    <t xml:space="preserve">GDP-ALGONQUIN D SP</t>
  </si>
  <si>
    <t xml:space="preserve">MICH_CG-GD</t>
  </si>
  <si>
    <t xml:space="preserve">MICH_CG-GD I PR</t>
  </si>
  <si>
    <t xml:space="preserve">GDP-ANR/LA_ONSH</t>
  </si>
  <si>
    <t xml:space="preserve">GDP-ANR/LA_ONSH D SP</t>
  </si>
  <si>
    <t xml:space="preserve">ML7/CG</t>
  </si>
  <si>
    <t xml:space="preserve">ML7/CG I PR</t>
  </si>
  <si>
    <t xml:space="preserve">GDP-ANR/OK</t>
  </si>
  <si>
    <t xml:space="preserve">GDP-ANR/OK D SP</t>
  </si>
  <si>
    <t xml:space="preserve">NAT/FUEL/LEIDY</t>
  </si>
  <si>
    <t xml:space="preserve">NAT/FUEL/LEIDY I PR</t>
  </si>
  <si>
    <t xml:space="preserve">GDP-CAL BORDER</t>
  </si>
  <si>
    <t xml:space="preserve">GDP-CAL BORDER D SP</t>
  </si>
  <si>
    <t xml:space="preserve">NGI-HPL/ETX</t>
  </si>
  <si>
    <t xml:space="preserve">NGI-HPL/ETX I PR</t>
  </si>
  <si>
    <t xml:space="preserve">GDP-CARTHAGE</t>
  </si>
  <si>
    <t xml:space="preserve">GDP-CARTHAGE D SP</t>
  </si>
  <si>
    <t xml:space="preserve">NGI-HPL/STEX</t>
  </si>
  <si>
    <t xml:space="preserve">NGI-HPL/STEX I PR</t>
  </si>
  <si>
    <t xml:space="preserve">GDP-CGT/APPALAC</t>
  </si>
  <si>
    <t xml:space="preserve">GDP-CGT/APPALAC D SP</t>
  </si>
  <si>
    <t xml:space="preserve">NGI-LIG/NO.LA</t>
  </si>
  <si>
    <t xml:space="preserve">NGI-LIG/NO.LA I PR</t>
  </si>
  <si>
    <t xml:space="preserve">GDP-CHI. GATE</t>
  </si>
  <si>
    <t xml:space="preserve">GDP-CHI. GATE D SP</t>
  </si>
  <si>
    <t xml:space="preserve">NGI-MALIN</t>
  </si>
  <si>
    <t xml:space="preserve">NGI-MALIN I PR</t>
  </si>
  <si>
    <t xml:space="preserve">GDP-CIG/RKYMTN</t>
  </si>
  <si>
    <t xml:space="preserve">GDP-CIG/RKYMTN D SP</t>
  </si>
  <si>
    <t xml:space="preserve">NGI-MICH_CG</t>
  </si>
  <si>
    <t xml:space="preserve">NGI-MICH_CG I PR</t>
  </si>
  <si>
    <t xml:space="preserve">GDP-CNG/NORTH</t>
  </si>
  <si>
    <t xml:space="preserve">GDP-CNG/NORTH D SP</t>
  </si>
  <si>
    <t xml:space="preserve">NGI-NGPL/ETXG7</t>
  </si>
  <si>
    <t xml:space="preserve">NGI-NGPL/ETXG7 I PR</t>
  </si>
  <si>
    <t xml:space="preserve">GDP-CNG/SOUTH</t>
  </si>
  <si>
    <t xml:space="preserve">GDP-CNG/SOUTH D SP</t>
  </si>
  <si>
    <t xml:space="preserve">NGI-NGPL/TX_G2</t>
  </si>
  <si>
    <t xml:space="preserve">NGI-NGPL/TX_G2 I PR</t>
  </si>
  <si>
    <t xml:space="preserve">GDP-COLGULF/LA</t>
  </si>
  <si>
    <t xml:space="preserve">GDP-COLGULF/LA D SP</t>
  </si>
  <si>
    <t xml:space="preserve">NGI-NOCAL</t>
  </si>
  <si>
    <t xml:space="preserve">NGI-NOCAL I PR</t>
  </si>
  <si>
    <t xml:space="preserve">GDP-COLGULF/RAY</t>
  </si>
  <si>
    <t xml:space="preserve">GDP-COLGULF/RAY D SP</t>
  </si>
  <si>
    <t xml:space="preserve">NGI-PGE/CG</t>
  </si>
  <si>
    <t xml:space="preserve">NGI-PGE/CG I PR</t>
  </si>
  <si>
    <t xml:space="preserve">GDP-CONSUMERS</t>
  </si>
  <si>
    <t xml:space="preserve">GDP-CONSUMERS D SP</t>
  </si>
  <si>
    <t xml:space="preserve">NGI-SOC/MAL(34/</t>
  </si>
  <si>
    <t xml:space="preserve">NGI-SOC/MAL(34/ I PR</t>
  </si>
  <si>
    <t xml:space="preserve">GDP-CORPUS/SHPC</t>
  </si>
  <si>
    <t xml:space="preserve">GDP-CORPUS/SHPC D SP</t>
  </si>
  <si>
    <t xml:space="preserve">NGI-SOCAL</t>
  </si>
  <si>
    <t xml:space="preserve">NGI-SOCAL I PR</t>
  </si>
  <si>
    <t xml:space="preserve">GDP-DAWN</t>
  </si>
  <si>
    <t xml:space="preserve">GDP-DAWN D SP</t>
  </si>
  <si>
    <t xml:space="preserve">NGI-SOCAL(KRS)</t>
  </si>
  <si>
    <t xml:space="preserve">NGI-SOCAL(KRS) I PR</t>
  </si>
  <si>
    <t xml:space="preserve">GDP-DJ/BASIN</t>
  </si>
  <si>
    <t xml:space="preserve">GDP-DJ/BASIN D SP</t>
  </si>
  <si>
    <t xml:space="preserve">NGI-TENN/NO_LA</t>
  </si>
  <si>
    <t xml:space="preserve">NGI-TENN/NO_LA I PR</t>
  </si>
  <si>
    <t xml:space="preserve">GDP-ELPO/PERM2</t>
  </si>
  <si>
    <t xml:space="preserve">GDP-ELPO/PERM2 D SP</t>
  </si>
  <si>
    <t xml:space="preserve">NGI-TGT/NO.LA</t>
  </si>
  <si>
    <t xml:space="preserve">NGI-TGT/NO.LA I PR</t>
  </si>
  <si>
    <t xml:space="preserve">GDP-ELPO/SANJUA</t>
  </si>
  <si>
    <t xml:space="preserve">GDP-ELPO/SANJUA D SP</t>
  </si>
  <si>
    <t xml:space="preserve">NGI-WHEELER</t>
  </si>
  <si>
    <t xml:space="preserve">NGI-WHEELER I PR</t>
  </si>
  <si>
    <t xml:space="preserve">GDP-ELPO/SJBOND</t>
  </si>
  <si>
    <t xml:space="preserve">GDP-ELPO/SJBOND D SP</t>
  </si>
  <si>
    <t xml:space="preserve">NGI/CHI. GATE</t>
  </si>
  <si>
    <t xml:space="preserve">NGI/CHI. GATE I PR</t>
  </si>
  <si>
    <t xml:space="preserve">GDP-FGT/MOBILE</t>
  </si>
  <si>
    <t xml:space="preserve">GDP-FGT/MOBILE D SP</t>
  </si>
  <si>
    <t xml:space="preserve">NGINDEX</t>
  </si>
  <si>
    <t xml:space="preserve">NGINDEX I PR</t>
  </si>
  <si>
    <t xml:space="preserve">GDP-FGT/Z1</t>
  </si>
  <si>
    <t xml:space="preserve">GDP-FGT/Z1 D SP</t>
  </si>
  <si>
    <t xml:space="preserve">NGMR-AECO/IDX</t>
  </si>
  <si>
    <t xml:space="preserve">NGMR-AECO/IDX I PR</t>
  </si>
  <si>
    <t xml:space="preserve">GDP-FGT/Z1/CORP</t>
  </si>
  <si>
    <t xml:space="preserve">GDP-FGT/Z1/CORP D SP</t>
  </si>
  <si>
    <t xml:space="preserve">NGMR-ALBDR/IDX</t>
  </si>
  <si>
    <t xml:space="preserve">NGMR-ALBDR/IDX I PR</t>
  </si>
  <si>
    <t xml:space="preserve">GDP-FGT/Z2</t>
  </si>
  <si>
    <t xml:space="preserve">GDP-FGT/Z2 D SP</t>
  </si>
  <si>
    <t xml:space="preserve">NGPL/AMARILO-GD</t>
  </si>
  <si>
    <t xml:space="preserve">NGPL/AMARILO-GD I PR</t>
  </si>
  <si>
    <t xml:space="preserve">GDP-FGT/Z3</t>
  </si>
  <si>
    <t xml:space="preserve">GDP-FGT/Z3 D SP</t>
  </si>
  <si>
    <t xml:space="preserve">NGPL/IA-IL-GDM</t>
  </si>
  <si>
    <t xml:space="preserve">NGPL/IA-IL-GDM I PR</t>
  </si>
  <si>
    <t xml:space="preserve">GDP-HEHUB</t>
  </si>
  <si>
    <t xml:space="preserve">GDP-HEHUB D SP</t>
  </si>
  <si>
    <t xml:space="preserve">NGPL/PER/1ST-GD</t>
  </si>
  <si>
    <t xml:space="preserve">NGPL/PER/1ST-GD I PR</t>
  </si>
  <si>
    <t xml:space="preserve">GDP-HPL+1AFTA</t>
  </si>
  <si>
    <t xml:space="preserve">GDP-HPL+1AFTA D SP</t>
  </si>
  <si>
    <t xml:space="preserve">NGW-ALGO/CITY</t>
  </si>
  <si>
    <t xml:space="preserve">NGW-ALGO/CITY I PR</t>
  </si>
  <si>
    <t xml:space="preserve">GDP-HPL+1AFTH</t>
  </si>
  <si>
    <t xml:space="preserve">GDP-HPL+1AFTH D SP</t>
  </si>
  <si>
    <t xml:space="preserve">NGW-ALGONQUIN</t>
  </si>
  <si>
    <t xml:space="preserve">NGW-ALGONQUIN I PR</t>
  </si>
  <si>
    <t xml:space="preserve">GDP-HPL+2AFTA</t>
  </si>
  <si>
    <t xml:space="preserve">GDP-HPL+2AFTA D SP</t>
  </si>
  <si>
    <t xml:space="preserve">NGW-CGE</t>
  </si>
  <si>
    <t xml:space="preserve">NGW-CGE I PR</t>
  </si>
  <si>
    <t xml:space="preserve">GDP-HPL+2AFTH</t>
  </si>
  <si>
    <t xml:space="preserve">GDP-HPL+2AFTH D SP</t>
  </si>
  <si>
    <t xml:space="preserve">NGW-CGKY</t>
  </si>
  <si>
    <t xml:space="preserve">NGW-CGKY I PR</t>
  </si>
  <si>
    <t xml:space="preserve">GDP-HPL/SHPCH</t>
  </si>
  <si>
    <t xml:space="preserve">GDP-HPL/SHPCH D SP</t>
  </si>
  <si>
    <t xml:space="preserve">NGW-CHIPPEWA</t>
  </si>
  <si>
    <t xml:space="preserve">NGW-CHIPPEWA I PR</t>
  </si>
  <si>
    <t xml:space="preserve">GDP-HPLABS+1AH</t>
  </si>
  <si>
    <t xml:space="preserve">GDP-HPLABS+1AH D SP</t>
  </si>
  <si>
    <t xml:space="preserve">NGW-FGT/Z1</t>
  </si>
  <si>
    <t xml:space="preserve">NGW-FGT/Z1 I PR</t>
  </si>
  <si>
    <t xml:space="preserve">GDP-HPLABSHIGH</t>
  </si>
  <si>
    <t xml:space="preserve">GDP-HPLABSHIGH D SP</t>
  </si>
  <si>
    <t xml:space="preserve">NGW-FGT/Z2</t>
  </si>
  <si>
    <t xml:space="preserve">NGW-FGT/Z2 I PR</t>
  </si>
  <si>
    <t xml:space="preserve">GDP-HPLRAFTA</t>
  </si>
  <si>
    <t xml:space="preserve">GDP-HPLRAFTA D SP</t>
  </si>
  <si>
    <t xml:space="preserve">NGW-FGT/Z3</t>
  </si>
  <si>
    <t xml:space="preserve">NGW-FGT/Z3 I PR</t>
  </si>
  <si>
    <t xml:space="preserve">GDP-HPLU2AFTH</t>
  </si>
  <si>
    <t xml:space="preserve">GDP-HPLU2AFTH D SP</t>
  </si>
  <si>
    <t xml:space="preserve">NGW-GB23</t>
  </si>
  <si>
    <t xml:space="preserve">NGW-GB23 I PR</t>
  </si>
  <si>
    <t xml:space="preserve">GDP-HPLV2AFTH</t>
  </si>
  <si>
    <t xml:space="preserve">GDP-HPLV2AFTH D SP</t>
  </si>
  <si>
    <t xml:space="preserve">NGW-HEHUB</t>
  </si>
  <si>
    <t xml:space="preserve">NGW-HEHUB I PR</t>
  </si>
  <si>
    <t xml:space="preserve">GDP-IROQUOIS</t>
  </si>
  <si>
    <t xml:space="preserve">GDP-IROQUOIS D SP</t>
  </si>
  <si>
    <t xml:space="preserve">NGW-IROQ/WADD</t>
  </si>
  <si>
    <t xml:space="preserve">NGW-IROQ/WADD I PR</t>
  </si>
  <si>
    <t xml:space="preserve">GDP-KERN/RIVER</t>
  </si>
  <si>
    <t xml:space="preserve">GDP-KERN/RIVER D SP</t>
  </si>
  <si>
    <t xml:space="preserve">NGW-IROQ/Z1</t>
  </si>
  <si>
    <t xml:space="preserve">NGW-IROQ/Z1 I PR</t>
  </si>
  <si>
    <t xml:space="preserve">GDP-KOCH</t>
  </si>
  <si>
    <t xml:space="preserve">GDP-KOCH D SP</t>
  </si>
  <si>
    <t xml:space="preserve">NGW-IROQ/Z2</t>
  </si>
  <si>
    <t xml:space="preserve">NGW-IROQ/Z2 I PR</t>
  </si>
  <si>
    <t xml:space="preserve">GDP-KOCH/CORPUS</t>
  </si>
  <si>
    <t xml:space="preserve">GDP-KOCH/CORPUS D SP</t>
  </si>
  <si>
    <t xml:space="preserve">NGW-ONS/TXDTP</t>
  </si>
  <si>
    <t xml:space="preserve">NGW-ONS/TXDTP I PR</t>
  </si>
  <si>
    <t xml:space="preserve">GDP-KOCH/TX</t>
  </si>
  <si>
    <t xml:space="preserve">GDP-KOCH/TX D SP</t>
  </si>
  <si>
    <t xml:space="preserve">NGW-ONS/TXDTPTW</t>
  </si>
  <si>
    <t xml:space="preserve">NGW-ONS/TXDTPTW I PR</t>
  </si>
  <si>
    <t xml:space="preserve">GDP-LONESTAR</t>
  </si>
  <si>
    <t xml:space="preserve">GDP-LONESTAR D SP</t>
  </si>
  <si>
    <t xml:space="preserve">NGW-ONSLA</t>
  </si>
  <si>
    <t xml:space="preserve">NGW-ONSLA I PR</t>
  </si>
  <si>
    <t xml:space="preserve">GDP-MALIN-CTYGA</t>
  </si>
  <si>
    <t xml:space="preserve">GDP-MALIN-CTYGA D SP</t>
  </si>
  <si>
    <t xml:space="preserve">NGW-ONSLA1</t>
  </si>
  <si>
    <t xml:space="preserve">NGW-ONSLA1 I PR</t>
  </si>
  <si>
    <t xml:space="preserve">GDP-MICHCON</t>
  </si>
  <si>
    <t xml:space="preserve">GDP-MICHCON D SP</t>
  </si>
  <si>
    <t xml:space="preserve">NGW/HH/BIDWEEK</t>
  </si>
  <si>
    <t xml:space="preserve">NGW/HH/BIDWEEK I PR</t>
  </si>
  <si>
    <t xml:space="preserve">GDP-ML7/CG</t>
  </si>
  <si>
    <t xml:space="preserve">GDP-ML7/CG D SP</t>
  </si>
  <si>
    <t xml:space="preserve">NW STANF/1ST-GD</t>
  </si>
  <si>
    <t xml:space="preserve">NW STANF/1ST-GD I PR</t>
  </si>
  <si>
    <t xml:space="preserve">GDP-MRT/MAINLIN</t>
  </si>
  <si>
    <t xml:space="preserve">GDP-MRT/MAINLIN D SP</t>
  </si>
  <si>
    <t xml:space="preserve">NX3D</t>
  </si>
  <si>
    <t xml:space="preserve">NX3D I PR</t>
  </si>
  <si>
    <t xml:space="preserve">GDP-MRT/WEST</t>
  </si>
  <si>
    <t xml:space="preserve">GDP-MRT/WEST D SP</t>
  </si>
  <si>
    <t xml:space="preserve">T/STX-VAL-AVG</t>
  </si>
  <si>
    <t xml:space="preserve">T/STX-VAL-AVG I PR</t>
  </si>
  <si>
    <t xml:space="preserve">GDP-NGPL/(IA-IL</t>
  </si>
  <si>
    <t xml:space="preserve">GDP-NGPL/(IA-IL D SP</t>
  </si>
  <si>
    <t xml:space="preserve">TRUNKL/WLA-GD</t>
  </si>
  <si>
    <t xml:space="preserve">TRUNKL/WLA-GD I PR</t>
  </si>
  <si>
    <t xml:space="preserve">GDP-NGPL/AMARIL</t>
  </si>
  <si>
    <t xml:space="preserve">GDP-NGPL/AMARIL D SP</t>
  </si>
  <si>
    <t xml:space="preserve">WAHA KCBT</t>
  </si>
  <si>
    <t xml:space="preserve">WAHA KCBT I PR</t>
  </si>
  <si>
    <t xml:space="preserve">GDP-NGPL/CORPUS</t>
  </si>
  <si>
    <t xml:space="preserve">GDP-NGPL/CORPUS D SP</t>
  </si>
  <si>
    <t xml:space="preserve">GDP-NGPL/LA</t>
  </si>
  <si>
    <t xml:space="preserve">GDP-NGPL/LA D SP</t>
  </si>
  <si>
    <t xml:space="preserve">GDP-NGPL/OK</t>
  </si>
  <si>
    <t xml:space="preserve">GDP-NGPL/OK D SP</t>
  </si>
  <si>
    <t xml:space="preserve">GDP-NGPL/PAN/PR</t>
  </si>
  <si>
    <t xml:space="preserve">GDP-NGPL/PAN/PR D SP</t>
  </si>
  <si>
    <t xml:space="preserve">GDP-NGPL/TXOK-E</t>
  </si>
  <si>
    <t xml:space="preserve">GDP-NGPL/TXOK-E D SP</t>
  </si>
  <si>
    <t xml:space="preserve">GDP-NGPL/TXOK-W</t>
  </si>
  <si>
    <t xml:space="preserve">GDP-NGPL/TXOK-W D SP</t>
  </si>
  <si>
    <t xml:space="preserve">GDP-NIAGARA</t>
  </si>
  <si>
    <t xml:space="preserve">GDP-NIAGARA D SP</t>
  </si>
  <si>
    <t xml:space="preserve">GDP-NNG/DEMARCA</t>
  </si>
  <si>
    <t xml:space="preserve">GDP-NNG/DEMARCA D SP</t>
  </si>
  <si>
    <t xml:space="preserve">GDP-NNG/TOK</t>
  </si>
  <si>
    <t xml:space="preserve">GDP-NNG/TOK D SP</t>
  </si>
  <si>
    <t xml:space="preserve">GDP-NNG/TOK(1-6</t>
  </si>
  <si>
    <t xml:space="preserve">GDP-NNG/TOK(1-6 D SP</t>
  </si>
  <si>
    <t xml:space="preserve">GDP-NNG/TOK(13)</t>
  </si>
  <si>
    <t xml:space="preserve">GDP-NNG/TOK(13) D SP</t>
  </si>
  <si>
    <t xml:space="preserve">GDP-NNG/TOK/PAN</t>
  </si>
  <si>
    <t xml:space="preserve">GDP-NNG/TOK/PAN D SP</t>
  </si>
  <si>
    <t xml:space="preserve">GDP-NNG/VENT</t>
  </si>
  <si>
    <t xml:space="preserve">GDP-NNG/VENT D SP</t>
  </si>
  <si>
    <t xml:space="preserve">GDP-NORAM-N/S</t>
  </si>
  <si>
    <t xml:space="preserve">GDP-NORAM-N/S D SP</t>
  </si>
  <si>
    <t xml:space="preserve">GDP-NORAM/WEST</t>
  </si>
  <si>
    <t xml:space="preserve">GDP-NORAM/WEST D SP</t>
  </si>
  <si>
    <t xml:space="preserve">GDP-NTHWST/CANB</t>
  </si>
  <si>
    <t xml:space="preserve">GDP-NTHWST/CANB D SP</t>
  </si>
  <si>
    <t xml:space="preserve">GDP-NW STANFIEL</t>
  </si>
  <si>
    <t xml:space="preserve">GDP-NW STANFIEL D SP</t>
  </si>
  <si>
    <t xml:space="preserve">GDP-NWPL_ROCKYM</t>
  </si>
  <si>
    <t xml:space="preserve">GDP-NWPL_ROCKYM D SP</t>
  </si>
  <si>
    <t xml:space="preserve">GDP-PAN/TX/OK</t>
  </si>
  <si>
    <t xml:space="preserve">GDP-PAN/TX/OK D SP</t>
  </si>
  <si>
    <t xml:space="preserve">GDP-PG&amp;E/CITIGA</t>
  </si>
  <si>
    <t xml:space="preserve">GDP-PG&amp;E/CITIGA D SP</t>
  </si>
  <si>
    <t xml:space="preserve">GDP-PG&amp;E/LG-PKG</t>
  </si>
  <si>
    <t xml:space="preserve">GDP-PG&amp;E/LG-PKG D SP</t>
  </si>
  <si>
    <t xml:space="preserve">GDP-PGT/KINGSGA</t>
  </si>
  <si>
    <t xml:space="preserve">GDP-PGT/KINGSGA D SP</t>
  </si>
  <si>
    <t xml:space="preserve">GDP-QUESTAR</t>
  </si>
  <si>
    <t xml:space="preserve">GDP-QUESTAR D SP</t>
  </si>
  <si>
    <t xml:space="preserve">GDP-SONAT/LA</t>
  </si>
  <si>
    <t xml:space="preserve">GDP-SONAT/LA D SP</t>
  </si>
  <si>
    <t xml:space="preserve">GDP-TENN/100</t>
  </si>
  <si>
    <t xml:space="preserve">GDP-TENN/100 D SP</t>
  </si>
  <si>
    <t xml:space="preserve">GDP-TENN/500</t>
  </si>
  <si>
    <t xml:space="preserve">GDP-TENN/500 D SP</t>
  </si>
  <si>
    <t xml:space="preserve">GDP-TENN/800</t>
  </si>
  <si>
    <t xml:space="preserve">GDP-TENN/800 D SP</t>
  </si>
  <si>
    <t xml:space="preserve">GDP-TENN/CORPUS</t>
  </si>
  <si>
    <t xml:space="preserve">GDP-TENN/CORPUS D SP</t>
  </si>
  <si>
    <t xml:space="preserve">GDP-TETCO/ELA</t>
  </si>
  <si>
    <t xml:space="preserve">GDP-TETCO/ELA D SP</t>
  </si>
  <si>
    <t xml:space="preserve">GDP-TETCO/ETX/C</t>
  </si>
  <si>
    <t xml:space="preserve">GDP-TETCO/ETX/C D SP</t>
  </si>
  <si>
    <t xml:space="preserve">GDP-TETCO/M1</t>
  </si>
  <si>
    <t xml:space="preserve">GDP-TETCO/M1 D SP</t>
  </si>
  <si>
    <t xml:space="preserve">GDP-TETCO/M3</t>
  </si>
  <si>
    <t xml:space="preserve">GDP-TETCO/M3 D SP</t>
  </si>
  <si>
    <t xml:space="preserve">GDP-TETCO/STX</t>
  </si>
  <si>
    <t xml:space="preserve">GDP-TETCO/STX D SP</t>
  </si>
  <si>
    <t xml:space="preserve">GDP-TETCO/WLA</t>
  </si>
  <si>
    <t xml:space="preserve">GDP-TETCO/WLA D SP</t>
  </si>
  <si>
    <t xml:space="preserve">GDP-TGT/Z1</t>
  </si>
  <si>
    <t xml:space="preserve">GDP-TGT/Z1 D SP</t>
  </si>
  <si>
    <t xml:space="preserve">GDP-TGT/ZSL</t>
  </si>
  <si>
    <t xml:space="preserve">GDP-TGT/ZSL D SP</t>
  </si>
  <si>
    <t xml:space="preserve">GDP-TRANSCO/Z1</t>
  </si>
  <si>
    <t xml:space="preserve">GDP-TRANSCO/Z1 D SP</t>
  </si>
  <si>
    <t xml:space="preserve">GDP-TRANSCO/Z2</t>
  </si>
  <si>
    <t xml:space="preserve">GDP-TRANSCO/Z2 D SP</t>
  </si>
  <si>
    <t xml:space="preserve">GDP-TRANSCO/Z3</t>
  </si>
  <si>
    <t xml:space="preserve">GDP-TRANSCO/Z3 D SP</t>
  </si>
  <si>
    <t xml:space="preserve">GDP-TRANSCO/Z4</t>
  </si>
  <si>
    <t xml:space="preserve">GDP-TRANSCO/Z4 D SP</t>
  </si>
  <si>
    <t xml:space="preserve">GDP-TRCOZ6/NONY</t>
  </si>
  <si>
    <t xml:space="preserve">GDP-TRCOZ6/NONY D SP</t>
  </si>
  <si>
    <t xml:space="preserve">GDP-TRCOZ6/NY</t>
  </si>
  <si>
    <t xml:space="preserve">GDP-TRCOZ6/NY D SP</t>
  </si>
  <si>
    <t xml:space="preserve">GDP-TRUNKL/ELA</t>
  </si>
  <si>
    <t xml:space="preserve">GDP-TRUNKL/ELA D SP</t>
  </si>
  <si>
    <t xml:space="preserve">GDP-TRUNKL/NO</t>
  </si>
  <si>
    <t xml:space="preserve">GDP-TRUNKL/NO D SP</t>
  </si>
  <si>
    <t xml:space="preserve">GDP-TRUNKL/SO</t>
  </si>
  <si>
    <t xml:space="preserve">GDP-TRUNKL/SO D SP</t>
  </si>
  <si>
    <t xml:space="preserve">GDP-TRUNKL/WLA</t>
  </si>
  <si>
    <t xml:space="preserve">GDP-TRUNKL/WLA D SP</t>
  </si>
  <si>
    <t xml:space="preserve">GDP-TW/PERMIAN</t>
  </si>
  <si>
    <t xml:space="preserve">GDP-TW/PERMIAN D SP</t>
  </si>
  <si>
    <t xml:space="preserve">GDP-TW/SJ</t>
  </si>
  <si>
    <t xml:space="preserve">GDP-TW/SJ D SP</t>
  </si>
  <si>
    <t xml:space="preserve">GDP-TXINT+1AFTA</t>
  </si>
  <si>
    <t xml:space="preserve">GDP-TXINT+1AFTA D SP</t>
  </si>
  <si>
    <t xml:space="preserve">GDP-TXINT+2AFTA</t>
  </si>
  <si>
    <t xml:space="preserve">GDP-TXINT+2AFTA D SP</t>
  </si>
  <si>
    <t xml:space="preserve">GDP-TXINT+2AFTH</t>
  </si>
  <si>
    <t xml:space="preserve">GDP-TXINT+2AFTH D SP</t>
  </si>
  <si>
    <t xml:space="preserve">GDP-TXINT+2AFTL</t>
  </si>
  <si>
    <t xml:space="preserve">GDP-TXINT+2AFTL D SP</t>
  </si>
  <si>
    <t xml:space="preserve">GDP-TXINT/KATYH</t>
  </si>
  <si>
    <t xml:space="preserve">GDP-TXINT/KATYH D SP</t>
  </si>
  <si>
    <t xml:space="preserve">GDP-TXINT/KATYL</t>
  </si>
  <si>
    <t xml:space="preserve">GDP-TXINT/KATYL D SP</t>
  </si>
  <si>
    <t xml:space="preserve">GDP-TXINT/KATYT</t>
  </si>
  <si>
    <t xml:space="preserve">GDP-TXINT/KATYT D SP</t>
  </si>
  <si>
    <t xml:space="preserve">GDP-TXINTFRWKA</t>
  </si>
  <si>
    <t xml:space="preserve">GDP-TXINTFRWKA D SP</t>
  </si>
  <si>
    <t xml:space="preserve">GDP-TXINTH+2FTH</t>
  </si>
  <si>
    <t xml:space="preserve">GDP-TXINTH+2FTH D SP</t>
  </si>
  <si>
    <t xml:space="preserve">GDP-TXINTL+2FTH</t>
  </si>
  <si>
    <t xml:space="preserve">GDP-TXINTL+2FTH D SP</t>
  </si>
  <si>
    <t xml:space="preserve">GDP-WAHA</t>
  </si>
  <si>
    <t xml:space="preserve">GDP-WAHA D SP</t>
  </si>
  <si>
    <t xml:space="preserve">GDP-WNG/TOK</t>
  </si>
  <si>
    <t xml:space="preserve">GDP-WNG/TOK D SP</t>
  </si>
  <si>
    <t xml:space="preserve">HPL/SHPCHAN-GD D PR</t>
  </si>
  <si>
    <t xml:space="preserve">IF-A/S E.BEAUM D PR</t>
  </si>
  <si>
    <t xml:space="preserve">IF-A/S EAST OFF D PR</t>
  </si>
  <si>
    <t xml:space="preserve">IF-AGUA DULCE D PR</t>
  </si>
  <si>
    <t xml:space="preserve">IF-ANR/LA D PR</t>
  </si>
  <si>
    <t xml:space="preserve">IF-ANR/LA_OFFSH D PR</t>
  </si>
  <si>
    <t xml:space="preserve">IF-ANR/LA_ONSHO D PR</t>
  </si>
  <si>
    <t xml:space="preserve">IF-ANR/OK D PR</t>
  </si>
  <si>
    <t xml:space="preserve">IF-ARKLA/ARK-OK D PR</t>
  </si>
  <si>
    <t xml:space="preserve">IF-B/M OFFSHORE D PR</t>
  </si>
  <si>
    <t xml:space="preserve">IF-BONDAD(100%) D PR</t>
  </si>
  <si>
    <t xml:space="preserve">IF-CARTHAGE D PR</t>
  </si>
  <si>
    <t xml:space="preserve">IF-CGT/APPALAC D PR</t>
  </si>
  <si>
    <t xml:space="preserve">IF-CGT/CITYGATE D PR</t>
  </si>
  <si>
    <t xml:space="preserve">IF-CIG/RKYMTN D PR</t>
  </si>
  <si>
    <t xml:space="preserve">IF-CIG/TOMAHAWK D PR</t>
  </si>
  <si>
    <t xml:space="preserve">IF-CIG/WIC D PR</t>
  </si>
  <si>
    <t xml:space="preserve">IF-CIG/WINDRVR D PR</t>
  </si>
  <si>
    <t xml:space="preserve">IF-CNG/APPALACH D PR</t>
  </si>
  <si>
    <t xml:space="preserve">IF-CNG/NORTH D PR</t>
  </si>
  <si>
    <t xml:space="preserve">IF-CNG/N_CITYGA D PR</t>
  </si>
  <si>
    <t xml:space="preserve">IF-COLGUL/ERATH D PR</t>
  </si>
  <si>
    <t xml:space="preserve">IF-COLGUL/RAYNE D PR</t>
  </si>
  <si>
    <t xml:space="preserve">IF-COLGULF/LA D PR</t>
  </si>
  <si>
    <t xml:space="preserve">IF-COLGULF/LAOF D PR</t>
  </si>
  <si>
    <t xml:space="preserve">IF-CORPUS D PR</t>
  </si>
  <si>
    <t xml:space="preserve">IF-ELPO/ANADARK D PR</t>
  </si>
  <si>
    <t xml:space="preserve">IF-ELPO/PERMIAN D PR</t>
  </si>
  <si>
    <t xml:space="preserve">IF-ELPO/SJ D PR</t>
  </si>
  <si>
    <t xml:space="preserve">IF-ELPO/SJ/KC D PR</t>
  </si>
  <si>
    <t xml:space="preserve">IF-EPSJ(BONDAD) D PR</t>
  </si>
  <si>
    <t xml:space="preserve">IF-EPSJ(MILAGR) D PR</t>
  </si>
  <si>
    <t xml:space="preserve">IF-EPSJ/TWBLANC D PR</t>
  </si>
  <si>
    <t xml:space="preserve">IF-FGT/CTYGATE D PR</t>
  </si>
  <si>
    <t xml:space="preserve">IF-FGT/MKTAREA D PR</t>
  </si>
  <si>
    <t xml:space="preserve">IF-FGT/Z1 D PR</t>
  </si>
  <si>
    <t xml:space="preserve">IF-FGT/Z2 D PR</t>
  </si>
  <si>
    <t xml:space="preserve">IF-FGT/Z3 D PR</t>
  </si>
  <si>
    <t xml:space="preserve">IF-FREEPORT D PR</t>
  </si>
  <si>
    <t xml:space="preserve">IF-HEHUB D PR</t>
  </si>
  <si>
    <t xml:space="preserve">IF-HPL/SHPCHAN D PR</t>
  </si>
  <si>
    <t xml:space="preserve">IF-IOWA_IL D PR</t>
  </si>
  <si>
    <t xml:space="preserve">IF-K/COL/TN/LA D PR</t>
  </si>
  <si>
    <t xml:space="preserve">IF-KATY D PR</t>
  </si>
  <si>
    <t xml:space="preserve">IF-KATY/OASIS D PR</t>
  </si>
  <si>
    <t xml:space="preserve">IF-KATY/TAIL D PR</t>
  </si>
  <si>
    <t xml:space="preserve">IF-KATY/WOFLEX D PR</t>
  </si>
  <si>
    <t xml:space="preserve">IF-KERN/QUEST D PR</t>
  </si>
  <si>
    <t xml:space="preserve">IF-KERN/RIVER D PR</t>
  </si>
  <si>
    <t xml:space="preserve">IF-KING RANCH D PR</t>
  </si>
  <si>
    <t xml:space="preserve">IF-KOCH D PR</t>
  </si>
  <si>
    <t xml:space="preserve">IF-KOCH/LA D PR</t>
  </si>
  <si>
    <t xml:space="preserve">IF-KOCH/TX D PR</t>
  </si>
  <si>
    <t xml:space="preserve">IF-LONESTAR D PR</t>
  </si>
  <si>
    <t xml:space="preserve">IF-LRC D PR</t>
  </si>
  <si>
    <t xml:space="preserve">IF-LRC/Z1 D PR</t>
  </si>
  <si>
    <t xml:space="preserve">IF-LRC/Z2 D PR</t>
  </si>
  <si>
    <t xml:space="preserve">IF-LRC/Z3 D PR</t>
  </si>
  <si>
    <t xml:space="preserve">IF-LRC/Z4 D PR</t>
  </si>
  <si>
    <t xml:space="preserve">IF-LRC/Z5 D PR</t>
  </si>
  <si>
    <t xml:space="preserve">IF-MONCHY D PR</t>
  </si>
  <si>
    <t xml:space="preserve">IF-NGPL/HARPER D PR</t>
  </si>
  <si>
    <t xml:space="preserve">IF-NGPL/LA D PR</t>
  </si>
  <si>
    <t xml:space="preserve">IF-NGPL/LA-STNG D PR</t>
  </si>
  <si>
    <t xml:space="preserve">IF-NGPL/MIDCON D PR</t>
  </si>
  <si>
    <t xml:space="preserve">IF-NGPL/OK-NW D PR</t>
  </si>
  <si>
    <t xml:space="preserve">IF-NGPL/STX D PR</t>
  </si>
  <si>
    <t xml:space="preserve">IF-NGPL/TX D PR</t>
  </si>
  <si>
    <t xml:space="preserve">IF-NGPLTXOK D PR</t>
  </si>
  <si>
    <t xml:space="preserve">IF-NNG/DEMARCAT D PR</t>
  </si>
  <si>
    <t xml:space="preserve">IF-NNG/TOK D PR</t>
  </si>
  <si>
    <t xml:space="preserve">IF-NNG/VENT D PR</t>
  </si>
  <si>
    <t xml:space="preserve">IF-NORAM/EAST D PR</t>
  </si>
  <si>
    <t xml:space="preserve">IF-NORAM/WEST D PR</t>
  </si>
  <si>
    <t xml:space="preserve">IF-NTHWST/CANBR D PR</t>
  </si>
  <si>
    <t xml:space="preserve">IF-NWPL_ROCKY_M D PR</t>
  </si>
  <si>
    <t xml:space="preserve">IF-ONG/OKLAHOMA D PR</t>
  </si>
  <si>
    <t xml:space="preserve">IF-PAN/TX/OK D PR</t>
  </si>
  <si>
    <t xml:space="preserve">IF-QUESTAR D PR</t>
  </si>
  <si>
    <t xml:space="preserve">IF-SONAT/LA D PR</t>
  </si>
  <si>
    <t xml:space="preserve">IF-TENN/LA D PR</t>
  </si>
  <si>
    <t xml:space="preserve">IF-TENN/LA_OFF D PR</t>
  </si>
  <si>
    <t xml:space="preserve">IF-TENN/TX D PR</t>
  </si>
  <si>
    <t xml:space="preserve">IF-TENN/Z5 D PR</t>
  </si>
  <si>
    <t xml:space="preserve">IF-TENN/Z6 D PR</t>
  </si>
  <si>
    <t xml:space="preserve">IF-TETCO/ELA D PR</t>
  </si>
  <si>
    <t xml:space="preserve">IF-TETCO/ETX D PR</t>
  </si>
  <si>
    <t xml:space="preserve">IF-TETCO/LA D PR</t>
  </si>
  <si>
    <t xml:space="preserve">IF-TETCO/M1 D PR</t>
  </si>
  <si>
    <t xml:space="preserve">IF-TETCO/M3 D PR</t>
  </si>
  <si>
    <t xml:space="preserve">IF-TETCO/STX D PR</t>
  </si>
  <si>
    <t xml:space="preserve">IF-TETCO/WLA D PR</t>
  </si>
  <si>
    <t xml:space="preserve">IF-TEXOMA D PR</t>
  </si>
  <si>
    <t xml:space="preserve">IF-TEXOMA OFFER D PR</t>
  </si>
  <si>
    <t xml:space="preserve">IF-TGT/Z1 D PR</t>
  </si>
  <si>
    <t xml:space="preserve">IF-TGT/ZSL D PR</t>
  </si>
  <si>
    <t xml:space="preserve">IF-THOMPSONVILL D PR</t>
  </si>
  <si>
    <t xml:space="preserve">IF-TRANSCO/Z1 D PR</t>
  </si>
  <si>
    <t xml:space="preserve">IF-TRANSCO/Z2 D PR</t>
  </si>
  <si>
    <t xml:space="preserve">IF-TRANSCO/Z3 D PR</t>
  </si>
  <si>
    <t xml:space="preserve">IF-TRANSCO/Z4 D PR</t>
  </si>
  <si>
    <t xml:space="preserve">IF-TRANSCO/Z5 D PR</t>
  </si>
  <si>
    <t xml:space="preserve">IF-TRANSCO/Z6 D PR</t>
  </si>
  <si>
    <t xml:space="preserve">IF-TRUNK/AVG D PR</t>
  </si>
  <si>
    <t xml:space="preserve">IF-TRUNKL/FLDZN D PR</t>
  </si>
  <si>
    <t xml:space="preserve">IF-TRUNKL/LA D PR</t>
  </si>
  <si>
    <t xml:space="preserve">IF-TRUNKL/TX D PR</t>
  </si>
  <si>
    <t xml:space="preserve">IF-TW/PERMIAN D PR</t>
  </si>
  <si>
    <t xml:space="preserve">IF-TX CITY LOOP D PR</t>
  </si>
  <si>
    <t xml:space="preserve">IF-VALERO/TX D PR</t>
  </si>
  <si>
    <t xml:space="preserve">IF-VALLEY D PR</t>
  </si>
  <si>
    <t xml:space="preserve">IF-WAHA D PR</t>
  </si>
  <si>
    <t xml:space="preserve">IF-WNG/TOK D PR</t>
  </si>
  <si>
    <t xml:space="preserve">MICH-ST.CLAIR</t>
  </si>
  <si>
    <t xml:space="preserve">MICH-ST.CLAIR D PR</t>
  </si>
  <si>
    <t xml:space="preserve">MICH/CONS D PR</t>
  </si>
  <si>
    <t xml:space="preserve">MICH_CG-GD D PR</t>
  </si>
  <si>
    <t xml:space="preserve">ML7/CG D PR</t>
  </si>
  <si>
    <t xml:space="preserve">NAT/FUEL/LEIDY D PR</t>
  </si>
  <si>
    <t xml:space="preserve">NGI-HPL/ETX D PR</t>
  </si>
  <si>
    <t xml:space="preserve">NGI-HPL/STEX D PR</t>
  </si>
  <si>
    <t xml:space="preserve">NGI-LIG/NO.LA D PR</t>
  </si>
  <si>
    <t xml:space="preserve">NGI-MALIN D PR</t>
  </si>
  <si>
    <t xml:space="preserve">NGI-MICH_CG D PR</t>
  </si>
  <si>
    <t xml:space="preserve">NGI-NGPL/ETXG7 D PR</t>
  </si>
  <si>
    <t xml:space="preserve">NGI-NGPL/TX_G2 D PR</t>
  </si>
  <si>
    <t xml:space="preserve">NGI-NOCAL D PR</t>
  </si>
  <si>
    <t xml:space="preserve">NGI-PGE/CG D PR</t>
  </si>
  <si>
    <t xml:space="preserve">NGI-SOC/MAL(34/ D PR</t>
  </si>
  <si>
    <t xml:space="preserve">NGI-SOCAL D PR</t>
  </si>
  <si>
    <t xml:space="preserve">NGI-SOCAL(KRS) D PR</t>
  </si>
  <si>
    <t xml:space="preserve">NGI-TENN/NO_LA D PR</t>
  </si>
  <si>
    <t xml:space="preserve">NGI-TGT/NO.LA D PR</t>
  </si>
  <si>
    <t xml:space="preserve">NGI-WHEELER D PR</t>
  </si>
  <si>
    <t xml:space="preserve">NGI/CHI. GATE D PR</t>
  </si>
  <si>
    <t xml:space="preserve">NGPL/AMARILO-GD D PR</t>
  </si>
  <si>
    <t xml:space="preserve">NGPL/IA-IL-GDM D PR</t>
  </si>
  <si>
    <t xml:space="preserve">NGPL/PER/1ST-GD D PR</t>
  </si>
  <si>
    <t xml:space="preserve">NGW-ALGO/CITY D PR</t>
  </si>
  <si>
    <t xml:space="preserve">NGW-ALGONQUIN D PR</t>
  </si>
  <si>
    <t xml:space="preserve">NGW-CGE D PR</t>
  </si>
  <si>
    <t xml:space="preserve">NGW-CGKY D PR</t>
  </si>
  <si>
    <t xml:space="preserve">NGW-CHIPPEWA D PR</t>
  </si>
  <si>
    <t xml:space="preserve">NGW-FGT/Z1 D PR</t>
  </si>
  <si>
    <t xml:space="preserve">NGW-FGT/Z2 D PR</t>
  </si>
  <si>
    <t xml:space="preserve">NGW-FGT/Z3 D PR</t>
  </si>
  <si>
    <t xml:space="preserve">NGW-GB23 D PR</t>
  </si>
  <si>
    <t xml:space="preserve">NGW-HEHUB D PR</t>
  </si>
  <si>
    <t xml:space="preserve">NGW-IROQ/WADD D PR</t>
  </si>
  <si>
    <t xml:space="preserve">NGW-IROQ/Z1 D PR</t>
  </si>
  <si>
    <t xml:space="preserve">NGW-IROQ/Z2 D PR</t>
  </si>
  <si>
    <t xml:space="preserve">NGW-ONS/TXDTP D PR</t>
  </si>
  <si>
    <t xml:space="preserve">NGW-ONS/TXDTPTW D PR</t>
  </si>
  <si>
    <t xml:space="preserve">NGW-ONSLA D PR</t>
  </si>
  <si>
    <t xml:space="preserve">NGW-ONSLA1 D PR</t>
  </si>
  <si>
    <t xml:space="preserve">NGW/HH/BIDWEEK D PR</t>
  </si>
  <si>
    <t xml:space="preserve">NIAGARA-GDM</t>
  </si>
  <si>
    <t xml:space="preserve">NIAGARA-GDM D PR</t>
  </si>
  <si>
    <t xml:space="preserve">NW STANF/1ST-GD D PR</t>
  </si>
  <si>
    <t xml:space="preserve">NX3D D PR</t>
  </si>
  <si>
    <t xml:space="preserve">STORAGE/B</t>
  </si>
  <si>
    <t xml:space="preserve">STORAGE/B D PR</t>
  </si>
  <si>
    <t xml:space="preserve">T/STX-VAL-AVG D PR</t>
  </si>
  <si>
    <t xml:space="preserve">TRUNKL/WLA-GD D PR</t>
  </si>
  <si>
    <t xml:space="preserve">WADD-GDM</t>
  </si>
  <si>
    <t xml:space="preserve">WADD-GDM D PR</t>
  </si>
  <si>
    <t xml:space="preserve">WAHA KCBT D PR</t>
  </si>
  <si>
    <t xml:space="preserve">Scaled Power Prices</t>
  </si>
  <si>
    <t xml:space="preserve">Max Run Option Premium Section 1</t>
  </si>
  <si>
    <t xml:space="preserve">Value (Intrinsic or Sprd Option Depending on Input)</t>
  </si>
  <si>
    <t xml:space="preserve">Option Inputs</t>
  </si>
  <si>
    <t xml:space="preserve">Holidays have been added to Sundays</t>
  </si>
  <si>
    <t xml:space="preserve">Mon-Fri </t>
  </si>
  <si>
    <t xml:space="preserve">Sat</t>
  </si>
  <si>
    <t xml:space="preserve">Sun</t>
  </si>
  <si>
    <t xml:space="preserve">Sat </t>
  </si>
  <si>
    <t xml:space="preserve">Total</t>
  </si>
  <si>
    <t xml:space="preserve">Off-Peak</t>
  </si>
  <si>
    <t xml:space="preserve">Interest </t>
  </si>
  <si>
    <t xml:space="preserve">Discount</t>
  </si>
  <si>
    <t xml:space="preserve">Week</t>
  </si>
  <si>
    <t xml:space="preserve">Date</t>
  </si>
  <si>
    <t xml:space="preserve">Year</t>
  </si>
  <si>
    <t xml:space="preserve">Super Peak</t>
  </si>
  <si>
    <t xml:space="preserve">Shoulder Peak</t>
  </si>
  <si>
    <t xml:space="preserve">OP</t>
  </si>
  <si>
    <t xml:space="preserve">MW</t>
  </si>
  <si>
    <t xml:space="preserve">$$$</t>
  </si>
  <si>
    <t xml:space="preserve">Monthly</t>
  </si>
  <si>
    <t xml:space="preserve">Daily </t>
  </si>
  <si>
    <t xml:space="preserve">Vol</t>
  </si>
  <si>
    <t xml:space="preserve">Daily</t>
  </si>
  <si>
    <t xml:space="preserve">Rate</t>
  </si>
  <si>
    <t xml:space="preserve">-Hol</t>
  </si>
  <si>
    <t xml:space="preserve">+Hol</t>
  </si>
  <si>
    <t xml:space="preserve">Regular Scalars</t>
  </si>
  <si>
    <t xml:space="preserve">Checks</t>
  </si>
  <si>
    <t xml:space="preserve">Must = 1</t>
  </si>
  <si>
    <t xml:space="preserve">16Hr</t>
  </si>
  <si>
    <t xml:space="preserve">Hol</t>
  </si>
  <si>
    <t xml:space="preserve">24Hr</t>
  </si>
  <si>
    <t xml:space="preserve">Pricetype1</t>
  </si>
  <si>
    <t xml:space="preserve">Control #</t>
  </si>
  <si>
    <t xml:space="preserve">Dayrun1</t>
  </si>
  <si>
    <t xml:space="preserve">control #</t>
  </si>
  <si>
    <t xml:space="preserve">BMO1</t>
  </si>
  <si>
    <t xml:space="preserve">Scalars?</t>
  </si>
  <si>
    <t xml:space="preserve">VolBMO1</t>
  </si>
  <si>
    <t xml:space="preserve">PV</t>
  </si>
  <si>
    <t xml:space="preserve">Scalar Matrix</t>
  </si>
  <si>
    <t xml:space="preserve">Super Peak Sorter</t>
  </si>
  <si>
    <t xml:space="preserve">Call Option Pricing</t>
  </si>
  <si>
    <t xml:space="preserve">RTC Mon-Fri 5X24</t>
  </si>
  <si>
    <t xml:space="preserve">Bid Curve</t>
  </si>
  <si>
    <t xml:space="preserve">Hourly</t>
  </si>
  <si>
    <t xml:space="preserve">Bid Volatility</t>
  </si>
  <si>
    <t xml:space="preserve">Notional</t>
  </si>
  <si>
    <t xml:space="preserve">Intrinsic Only Pricing</t>
  </si>
  <si>
    <t xml:space="preserve">RTC Mon-Sat 6X24</t>
  </si>
  <si>
    <t xml:space="preserve">Mid Curve</t>
  </si>
  <si>
    <t xml:space="preserve">Mid Volatility</t>
  </si>
  <si>
    <t xml:space="preserve">Present Value (Libor AA)</t>
  </si>
  <si>
    <t xml:space="preserve">Copy/Paste Special Here, Make sure Checks = 1</t>
  </si>
  <si>
    <t xml:space="preserve">Swap Pricing</t>
  </si>
  <si>
    <t xml:space="preserve">RTC Mon-Sun 7X24</t>
  </si>
  <si>
    <t xml:space="preserve">Offer Curve</t>
  </si>
  <si>
    <t xml:space="preserve">Offer Volatility</t>
  </si>
  <si>
    <t xml:space="preserve">Put Option Pricing</t>
  </si>
  <si>
    <t xml:space="preserve">On Peak Mon-Fri 5X16</t>
  </si>
  <si>
    <t xml:space="preserve">Control for Vol Smile</t>
  </si>
  <si>
    <t xml:space="preserve">On Peak Mon-Sat 6X16</t>
  </si>
  <si>
    <t xml:space="preserve">BMO2</t>
  </si>
  <si>
    <t xml:space="preserve">VolBMO2</t>
  </si>
  <si>
    <t xml:space="preserve">Pricetype2</t>
  </si>
  <si>
    <t xml:space="preserve">On Peak Mon-Sun 7X16</t>
  </si>
  <si>
    <t xml:space="preserve">Super Peak Mon-Fri 5x8</t>
  </si>
  <si>
    <t xml:space="preserve">Gas Basis Check Box</t>
  </si>
  <si>
    <t xml:space="preserve">Super Peak Mon-Sat 6x8</t>
  </si>
  <si>
    <t xml:space="preserve">Super Peak Mon-Sun 7x8</t>
  </si>
  <si>
    <t xml:space="preserve">Off Peak Mon-Sun 7x8</t>
  </si>
  <si>
    <t xml:space="preserve">BMO3</t>
  </si>
  <si>
    <t xml:space="preserve">VolBMO3</t>
  </si>
  <si>
    <t xml:space="preserve">Include Option 1</t>
  </si>
  <si>
    <t xml:space="preserve">Pricetype3</t>
  </si>
  <si>
    <t xml:space="preserve">Include Option 2</t>
  </si>
  <si>
    <t xml:space="preserve">Dayrun2</t>
  </si>
  <si>
    <t xml:space="preserve">Include Option 3</t>
  </si>
  <si>
    <t xml:space="preserve">BMO4</t>
  </si>
  <si>
    <t xml:space="preserve">VolBMO4</t>
  </si>
  <si>
    <t xml:space="preserve">Include Option 4</t>
  </si>
  <si>
    <t xml:space="preserve">Pricetype4</t>
  </si>
  <si>
    <t xml:space="preserve">Volatility</t>
  </si>
  <si>
    <t xml:space="preserve">Off Peak Mon-Fri 5x8</t>
  </si>
  <si>
    <t xml:space="preserve">Dayrun3</t>
  </si>
  <si>
    <t xml:space="preserve">BS1</t>
  </si>
  <si>
    <t xml:space="preserve">Buy</t>
  </si>
  <si>
    <t xml:space="preserve">As of 11/2000 Dynamic Scalars are in effect for REGIONS:  2,2A,2B,3,3A,3B,3C,4,4B,4C,5,5A  </t>
  </si>
  <si>
    <t xml:space="preserve">Sell</t>
  </si>
  <si>
    <t xml:space="preserve">Super Peak Scalars (Dynamic Scalars, if applicable)</t>
  </si>
  <si>
    <t xml:space="preserve">Copy/Paste Special Here, Match Dates with A37</t>
  </si>
  <si>
    <t xml:space="preserve">5x16 Pwr</t>
  </si>
  <si>
    <t xml:space="preserve">8Hr WD</t>
  </si>
  <si>
    <t xml:space="preserve">16Hr Sat</t>
  </si>
  <si>
    <t xml:space="preserve">8Hr Sat</t>
  </si>
  <si>
    <t xml:space="preserve">16Hr Sun</t>
  </si>
  <si>
    <t xml:space="preserve">8Hr Sun</t>
  </si>
  <si>
    <t xml:space="preserve">M-F,Sat,Sun</t>
  </si>
  <si>
    <t xml:space="preserve">5X16 Pwr</t>
  </si>
  <si>
    <t xml:space="preserve">Sat Peak</t>
  </si>
  <si>
    <t xml:space="preserve">Sun Peak</t>
  </si>
  <si>
    <t xml:space="preserve">Libor AA</t>
  </si>
  <si>
    <t xml:space="preserve">BS2</t>
  </si>
  <si>
    <t xml:space="preserve">Daily Price</t>
  </si>
  <si>
    <t xml:space="preserve">Scalar</t>
  </si>
  <si>
    <t xml:space="preserve">Price</t>
  </si>
  <si>
    <t xml:space="preserve">Curve</t>
  </si>
  <si>
    <t xml:space="preserve"> Curve</t>
  </si>
  <si>
    <t xml:space="preserve">OP Price</t>
  </si>
  <si>
    <t xml:space="preserve">BS3</t>
  </si>
  <si>
    <t xml:space="preserve">BS4</t>
  </si>
  <si>
    <t xml:space="preserve">Dayrun4</t>
  </si>
  <si>
    <t xml:space="preserve">16Hr WD</t>
  </si>
</sst>
</file>

<file path=xl/styles.xml><?xml version="1.0" encoding="utf-8"?>
<styleSheet xmlns="http://schemas.openxmlformats.org/spreadsheetml/2006/main">
  <numFmts count="39">
    <numFmt numFmtId="164" formatCode="General"/>
    <numFmt numFmtId="165" formatCode="[$-409]#,##0_);\(#,##0\)"/>
    <numFmt numFmtId="166" formatCode="#,##0"/>
    <numFmt numFmtId="167" formatCode="0_);[RED]\-0_)"/>
    <numFmt numFmtId="168" formatCode="mm/dd/yy"/>
    <numFmt numFmtId="169" formatCode="_(\$* #,##0.00_);_(\$* \(#,##0.00\);_(\$* \-??_);_(@_)"/>
    <numFmt numFmtId="170" formatCode="[$-409]m/d/yyyy"/>
    <numFmt numFmtId="171" formatCode="[$-409]mmm\-yy"/>
    <numFmt numFmtId="172" formatCode="#,##0.0"/>
    <numFmt numFmtId="173" formatCode="0.0"/>
    <numFmt numFmtId="174" formatCode="mmmmm"/>
    <numFmt numFmtId="175" formatCode="_(* #,##0.00_);_(* \(#,##0.00\);_(* \-??_);_(@_)"/>
    <numFmt numFmtId="176" formatCode="0%"/>
    <numFmt numFmtId="177" formatCode="mmm"/>
    <numFmt numFmtId="178" formatCode="_(\$* #,##0_);_(\$* \(#,##0\);_(\$* \-??_);_(@_)"/>
    <numFmt numFmtId="179" formatCode="\$#,##0"/>
    <numFmt numFmtId="180" formatCode="_(\$* #,##0.000_);_(\$* \(#,##0.000\);_(\$* \-??_);_(@_)"/>
    <numFmt numFmtId="181" formatCode="_(* #,##0_);_(* \(#,##0\);_(* \-??_);_(@_)"/>
    <numFmt numFmtId="182" formatCode="\$#,##0.00"/>
    <numFmt numFmtId="183" formatCode="\$#,##0_);&quot;($&quot;#,##0\)"/>
    <numFmt numFmtId="184" formatCode="mmm\-yy_)"/>
    <numFmt numFmtId="185" formatCode="0.00%"/>
    <numFmt numFmtId="186" formatCode="mm/dd/yy_)"/>
    <numFmt numFmtId="187" formatCode="\$#,##0.00_);[RED]&quot;($&quot;#,##0.00\)"/>
    <numFmt numFmtId="188" formatCode="dd\-mmm\-yy_)"/>
    <numFmt numFmtId="189" formatCode="dd\-mmm\-yy_);[RED]dd\-mmm\-yy_)"/>
    <numFmt numFmtId="190" formatCode="0.00"/>
    <numFmt numFmtId="191" formatCode="[$-409]#,##0.00_);\(#,##0.00\)"/>
    <numFmt numFmtId="192" formatCode="#,##0.0000_);\(#,##0.0000\)"/>
    <numFmt numFmtId="193" formatCode="\$#,##0.00_);&quot;($&quot;#,##0.00\)"/>
    <numFmt numFmtId="194" formatCode="[$-409]h:mm"/>
    <numFmt numFmtId="195" formatCode="0.000"/>
    <numFmt numFmtId="196" formatCode="_(\$* #,##0.0000_);_(\$* \(#,##0.0000\);_(\$* \-??_);_(@_)"/>
    <numFmt numFmtId="197" formatCode="0"/>
    <numFmt numFmtId="198" formatCode="dd\-mmm\-yy"/>
    <numFmt numFmtId="199" formatCode="0.0000"/>
    <numFmt numFmtId="200" formatCode="0E+00;\ᱨ"/>
    <numFmt numFmtId="201" formatCode="0.00000"/>
    <numFmt numFmtId="202" formatCode="0.000%"/>
  </numFmts>
  <fonts count="5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</font>
    <font>
      <sz val="8"/>
      <name val="Arial"/>
      <family val="0"/>
    </font>
    <font>
      <sz val="8"/>
      <color rgb="FF0000FF"/>
      <name val="Arial"/>
      <family val="2"/>
    </font>
    <font>
      <b val="true"/>
      <sz val="14"/>
      <color rgb="FF0000FF"/>
      <name val="Arial"/>
      <family val="2"/>
    </font>
    <font>
      <b val="true"/>
      <sz val="10"/>
      <name val="Arial"/>
      <family val="2"/>
    </font>
    <font>
      <b val="true"/>
      <sz val="10"/>
      <color rgb="FF000000"/>
      <name val="Arial"/>
      <family val="0"/>
    </font>
    <font>
      <sz val="10"/>
      <color rgb="FF0000FF"/>
      <name val="Arial"/>
      <family val="2"/>
    </font>
    <font>
      <sz val="10"/>
      <name val="Arial"/>
      <family val="2"/>
    </font>
    <font>
      <b val="true"/>
      <i val="true"/>
      <sz val="10"/>
      <color rgb="FF000000"/>
      <name val="Arial"/>
      <family val="2"/>
    </font>
    <font>
      <b val="true"/>
      <sz val="8"/>
      <name val="Arial"/>
      <family val="2"/>
    </font>
    <font>
      <b val="true"/>
      <sz val="8"/>
      <color rgb="FFFF0000"/>
      <name val="Arial"/>
      <family val="2"/>
    </font>
    <font>
      <b val="true"/>
      <sz val="10"/>
      <color rgb="FF000000"/>
      <name val="Arial"/>
      <family val="2"/>
    </font>
    <font>
      <b val="true"/>
      <sz val="9"/>
      <color rgb="FFFF0000"/>
      <name val="Arial"/>
      <family val="2"/>
    </font>
    <font>
      <b val="true"/>
      <sz val="10"/>
      <color rgb="FFFF0000"/>
      <name val="Arial"/>
      <family val="2"/>
    </font>
    <font>
      <sz val="9"/>
      <name val="Arial"/>
      <family val="2"/>
    </font>
    <font>
      <b val="true"/>
      <sz val="8"/>
      <color rgb="FFC0C0C0"/>
      <name val="Arial"/>
      <family val="2"/>
    </font>
    <font>
      <sz val="10"/>
      <color rgb="FFC0C0C0"/>
      <name val="Arial"/>
      <family val="2"/>
    </font>
    <font>
      <sz val="10"/>
      <color rgb="FFFF0000"/>
      <name val="Arial"/>
      <family val="2"/>
    </font>
    <font>
      <b val="true"/>
      <sz val="10"/>
      <color rgb="FF000080"/>
      <name val="Arial"/>
      <family val="2"/>
    </font>
    <font>
      <sz val="10"/>
      <color rgb="FFFFFFFF"/>
      <name val="Arial"/>
      <family val="2"/>
    </font>
    <font>
      <b val="true"/>
      <sz val="9"/>
      <color rgb="FFFFFFFF"/>
      <name val="Arial"/>
      <family val="2"/>
    </font>
    <font>
      <sz val="10"/>
      <color rgb="FF000000"/>
      <name val="Arial"/>
      <family val="2"/>
    </font>
    <font>
      <sz val="9"/>
      <color rgb="FFFF0000"/>
      <name val="Arial"/>
      <family val="2"/>
    </font>
    <font>
      <b val="true"/>
      <u val="single"/>
      <sz val="10"/>
      <name val="Arial"/>
      <family val="2"/>
    </font>
    <font>
      <sz val="18"/>
      <color rgb="FF0000FF"/>
      <name val="Arial"/>
      <family val="0"/>
    </font>
    <font>
      <sz val="10"/>
      <color rgb="FF0000FF"/>
      <name val="Courier New"/>
      <family val="0"/>
    </font>
    <font>
      <b val="true"/>
      <sz val="10"/>
      <color rgb="FF000000"/>
      <name val="Courier New"/>
      <family val="0"/>
    </font>
    <font>
      <b val="true"/>
      <sz val="10"/>
      <name val="Arial"/>
      <family val="0"/>
    </font>
    <font>
      <sz val="10"/>
      <color rgb="FF000000"/>
      <name val="Arial"/>
      <family val="0"/>
    </font>
    <font>
      <b val="true"/>
      <sz val="10"/>
      <color rgb="FF000000"/>
      <name val="Courier New"/>
      <family val="3"/>
    </font>
    <font>
      <sz val="10"/>
      <color rgb="FF000000"/>
      <name val="Courier New"/>
      <family val="0"/>
    </font>
    <font>
      <sz val="10"/>
      <color rgb="FF000000"/>
      <name val="Courier New"/>
      <family val="3"/>
    </font>
    <font>
      <sz val="8"/>
      <color rgb="FF000000"/>
      <name val="Arial"/>
      <family val="2"/>
    </font>
    <font>
      <b val="true"/>
      <sz val="10"/>
      <color rgb="FF0000FF"/>
      <name val="Courier New"/>
      <family val="0"/>
    </font>
    <font>
      <b val="true"/>
      <sz val="8"/>
      <color rgb="FF000000"/>
      <name val="Arial"/>
      <family val="2"/>
    </font>
    <font>
      <sz val="11"/>
      <name val="Arial"/>
      <family val="2"/>
    </font>
    <font>
      <sz val="9"/>
      <name val="Times New Roman"/>
      <family val="1"/>
    </font>
    <font>
      <b val="true"/>
      <sz val="9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 val="true"/>
      <sz val="9"/>
      <name val="Arial"/>
      <family val="2"/>
    </font>
    <font>
      <sz val="10"/>
      <color rgb="FF0000FF"/>
      <name val="Arial"/>
      <family val="0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9"/>
      <color rgb="FF0000FF"/>
      <name val="Arial"/>
      <family val="2"/>
    </font>
    <font>
      <sz val="9"/>
      <color rgb="FF0000FF"/>
      <name val="Times New Roman"/>
      <family val="1"/>
    </font>
    <font>
      <sz val="8"/>
      <color rgb="FFFFFF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FF00FF"/>
        <bgColor rgb="FFFF00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00FF00"/>
        <bgColor rgb="FF33CCCC"/>
      </patternFill>
    </fill>
    <fill>
      <patternFill patternType="solid">
        <fgColor rgb="FF99CCFF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CC00"/>
        <bgColor rgb="FFFFFF00"/>
      </patternFill>
    </fill>
    <fill>
      <patternFill patternType="solid">
        <fgColor rgb="FF993366"/>
        <bgColor rgb="FF993366"/>
      </patternFill>
    </fill>
  </fills>
  <borders count="52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2" borderId="0" applyFont="true" applyBorder="false" applyAlignment="false" applyProtection="false"/>
    <xf numFmtId="165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3" borderId="1" applyFont="true" applyBorder="true" applyAlignment="true" applyProtection="false">
      <alignment horizontal="general" vertical="bottom" textRotation="0" wrapText="false" indent="0" shrinkToFit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9" fillId="4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9" fillId="4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9" fillId="4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9" fillId="4" borderId="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0" fillId="5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1" fillId="6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1" fillId="6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6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6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2" fillId="4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2" fillId="4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2" fillId="4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9" fillId="4" borderId="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10" fillId="5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4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4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4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4" borderId="4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9" fillId="4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0" fillId="6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9" fillId="4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9" fillId="4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0" fillId="5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9" fillId="4" borderId="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9" fillId="4" borderId="1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9" fillId="4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0" fillId="0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10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4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0" fillId="0" borderId="1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10" fillId="0" borderId="1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7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0" fillId="0" borderId="2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10" fillId="0" borderId="2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0" fillId="2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2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4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right" vertical="bottom" textRotation="0" wrapText="false" indent="0" shrinkToFit="false"/>
      <protection locked="true" hidden="false"/>
    </xf>
    <xf numFmtId="168" fontId="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2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30" fillId="0" borderId="2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9" fillId="0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9" fillId="0" borderId="2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4" fontId="31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8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8" borderId="1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2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0" borderId="2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2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25" fillId="0" borderId="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2" fillId="0" borderId="29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2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6" fontId="2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35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8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32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5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2" fillId="0" borderId="2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3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2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0" borderId="2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2" fillId="0" borderId="1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2" fontId="35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3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3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3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3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1" fontId="3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8" fillId="0" borderId="2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1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29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9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93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2" fillId="0" borderId="3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0" borderId="3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2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3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0" borderId="3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2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37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2" fillId="0" borderId="2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2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3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0" borderId="3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2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2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4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7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71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7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8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8" fillId="8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3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4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4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3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4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2" fillId="0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3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4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4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4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4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9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0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11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3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7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13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8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18" fillId="7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8" fillId="4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18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8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8" fillId="1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" fillId="1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4" fillId="13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9" fontId="4" fillId="13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6" fillId="4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8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2" fontId="47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0" fillId="11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11" borderId="2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11" borderId="3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46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6" fillId="0" borderId="2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2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4" fontId="4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5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4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7" fillId="1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46" fillId="15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97" fontId="46" fillId="1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1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2" fontId="47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47" fillId="16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47" fillId="16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47" fillId="16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0" fillId="1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14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18" fillId="1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8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0" fillId="15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June Options 97" xfId="20"/>
    <cellStyle name="Unprot" xfId="21"/>
    <cellStyle name="Unprot$" xfId="22"/>
    <cellStyle name="Unprotect" xfId="23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externalLink" Target="externalLinks/externalLink1.xml"/><Relationship Id="rId16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CheckBox" checked="Checked" autoLine="false" print="true" fmlaLink="Pricing Inputs1!$BI$7" lockText="1" noThreeD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CheckBox" checked="Checked" autoLine="false" print="true" fmlaLink="Pricing Inputs1!$BI$13" lockText="1" noThreeD="1"/>
</file>

<file path=xl/ctrlProps/ctrlProps7.xml><?xml version="1.0" encoding="utf-8"?>
<formControlPr xmlns="http://schemas.microsoft.com/office/spreadsheetml/2009/9/main" objectType="CheckBox" autoLine="false" print="true" fmlaLink="Pricing Inputs1!$BI$15" lockText="1" noThreeD="1"/>
</file>

<file path=xl/ctrlProps/ctrlProps8.xml><?xml version="1.0" encoding="utf-8"?>
<formControlPr xmlns="http://schemas.microsoft.com/office/spreadsheetml/2009/9/main" objectType="CheckBox" autoLine="false" print="true" fmlaLink="Pricing Inputs1!$BI$17" lockText="1" noThreeD="1"/>
</file>

<file path=xl/ctrlProps/ctrlProps9.xml><?xml version="1.0" encoding="utf-8"?>
<formControlPr xmlns="http://schemas.microsoft.com/office/spreadsheetml/2009/9/main" objectType="CheckBox" autoLine="false" print="true" fmlaLink="Pricing Inputs1!$BI$19" lockText="1" noThreeD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42</xdr:row>
      <xdr:rowOff>152280</xdr:rowOff>
    </xdr:from>
    <xdr:to>
      <xdr:col>1</xdr:col>
      <xdr:colOff>493560</xdr:colOff>
      <xdr:row>44</xdr:row>
      <xdr:rowOff>9720</xdr:rowOff>
    </xdr:to>
    <xdr:pic>
      <xdr:nvPicPr>
        <xdr:cNvPr id="0" name="Picture 37" descr=""/>
        <xdr:cNvPicPr/>
      </xdr:nvPicPr>
      <xdr:blipFill>
        <a:blip r:embed="rId1"/>
        <a:stretch/>
      </xdr:blipFill>
      <xdr:spPr>
        <a:xfrm>
          <a:off x="0" y="9001080"/>
          <a:ext cx="1590120" cy="181080"/>
        </a:xfrm>
        <a:prstGeom prst="rect">
          <a:avLst/>
        </a:prstGeom>
        <a:solidFill>
          <a:srgbClr val="ffffff"/>
        </a:solidFill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140400</xdr:colOff>
          <xdr:row>6</xdr:row>
          <xdr:rowOff>228240</xdr:rowOff>
        </xdr:from>
        <xdr:to>
          <xdr:col>4</xdr:col>
          <xdr:colOff>372960</xdr:colOff>
          <xdr:row>7</xdr:row>
          <xdr:rowOff>228240</xdr:rowOff>
        </xdr:to>
        <xdr:sp>
          <xdr:nvSpPr>
            <xdr:cNvPr id="0" name="Drop Down 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229680</xdr:colOff>
          <xdr:row>12</xdr:row>
          <xdr:rowOff>47160</xdr:rowOff>
        </xdr:from>
        <xdr:to>
          <xdr:col>10</xdr:col>
          <xdr:colOff>625320</xdr:colOff>
          <xdr:row>13</xdr:row>
          <xdr:rowOff>75600</xdr:rowOff>
        </xdr:to>
        <xdr:sp>
          <xdr:nvSpPr>
            <xdr:cNvPr id="0" name="Drop Down 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229680</xdr:colOff>
          <xdr:row>14</xdr:row>
          <xdr:rowOff>28800</xdr:rowOff>
        </xdr:from>
        <xdr:to>
          <xdr:col>10</xdr:col>
          <xdr:colOff>595800</xdr:colOff>
          <xdr:row>15</xdr:row>
          <xdr:rowOff>56880</xdr:rowOff>
        </xdr:to>
        <xdr:sp>
          <xdr:nvSpPr>
            <xdr:cNvPr id="0" name="Drop Down 1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229680</xdr:colOff>
          <xdr:row>19</xdr:row>
          <xdr:rowOff>95400</xdr:rowOff>
        </xdr:from>
        <xdr:to>
          <xdr:col>10</xdr:col>
          <xdr:colOff>595800</xdr:colOff>
          <xdr:row>20</xdr:row>
          <xdr:rowOff>134280</xdr:rowOff>
        </xdr:to>
        <xdr:sp>
          <xdr:nvSpPr>
            <xdr:cNvPr id="0" name="Drop Down 1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229680</xdr:colOff>
          <xdr:row>15</xdr:row>
          <xdr:rowOff>151920</xdr:rowOff>
        </xdr:from>
        <xdr:to>
          <xdr:col>10</xdr:col>
          <xdr:colOff>616680</xdr:colOff>
          <xdr:row>17</xdr:row>
          <xdr:rowOff>9000</xdr:rowOff>
        </xdr:to>
        <xdr:sp>
          <xdr:nvSpPr>
            <xdr:cNvPr id="0" name="Drop Down 1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80280</xdr:colOff>
          <xdr:row>5</xdr:row>
          <xdr:rowOff>0</xdr:rowOff>
        </xdr:from>
        <xdr:to>
          <xdr:col>1</xdr:col>
          <xdr:colOff>564480</xdr:colOff>
          <xdr:row>6</xdr:row>
          <xdr:rowOff>133200</xdr:rowOff>
        </xdr:to>
        <xdr:sp>
          <xdr:nvSpPr>
            <xdr:cNvPr id="1001" name="Button 19" descr="Power Curve Refres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Power Curve Refresh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302040</xdr:colOff>
          <xdr:row>15</xdr:row>
          <xdr:rowOff>56880</xdr:rowOff>
        </xdr:from>
        <xdr:to>
          <xdr:col>3</xdr:col>
          <xdr:colOff>36720</xdr:colOff>
          <xdr:row>16</xdr:row>
          <xdr:rowOff>114480</xdr:rowOff>
        </xdr:to>
        <xdr:sp>
          <xdr:nvSpPr>
            <xdr:cNvPr id="1002" name="Check Box 22" descr="Use Vol Smi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Use Vol Smile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200160</xdr:colOff>
          <xdr:row>17</xdr:row>
          <xdr:rowOff>124200</xdr:rowOff>
        </xdr:from>
        <xdr:to>
          <xdr:col>10</xdr:col>
          <xdr:colOff>595800</xdr:colOff>
          <xdr:row>18</xdr:row>
          <xdr:rowOff>152640</xdr:rowOff>
        </xdr:to>
        <xdr:sp>
          <xdr:nvSpPr>
            <xdr:cNvPr id="0" name="Drop Down 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50400</xdr:colOff>
          <xdr:row>3</xdr:row>
          <xdr:rowOff>28800</xdr:rowOff>
        </xdr:from>
        <xdr:to>
          <xdr:col>1</xdr:col>
          <xdr:colOff>564480</xdr:colOff>
          <xdr:row>4</xdr:row>
          <xdr:rowOff>152280</xdr:rowOff>
        </xdr:to>
        <xdr:sp>
          <xdr:nvSpPr>
            <xdr:cNvPr id="1003" name="Button 32" descr="IR Curve Refres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IR Curve Refresh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229680</xdr:colOff>
          <xdr:row>21</xdr:row>
          <xdr:rowOff>76320</xdr:rowOff>
        </xdr:from>
        <xdr:to>
          <xdr:col>10</xdr:col>
          <xdr:colOff>616680</xdr:colOff>
          <xdr:row>22</xdr:row>
          <xdr:rowOff>114480</xdr:rowOff>
        </xdr:to>
        <xdr:sp>
          <xdr:nvSpPr>
            <xdr:cNvPr id="0" name="Drop Down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12</xdr:row>
          <xdr:rowOff>47160</xdr:rowOff>
        </xdr:from>
        <xdr:to>
          <xdr:col>13</xdr:col>
          <xdr:colOff>326880</xdr:colOff>
          <xdr:row>13</xdr:row>
          <xdr:rowOff>75600</xdr:rowOff>
        </xdr:to>
        <xdr:sp>
          <xdr:nvSpPr>
            <xdr:cNvPr id="0" name="Drop Down 3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456120</xdr:colOff>
          <xdr:row>12</xdr:row>
          <xdr:rowOff>57600</xdr:rowOff>
        </xdr:from>
        <xdr:to>
          <xdr:col>16</xdr:col>
          <xdr:colOff>133200</xdr:colOff>
          <xdr:row>13</xdr:row>
          <xdr:rowOff>86040</xdr:rowOff>
        </xdr:to>
        <xdr:sp>
          <xdr:nvSpPr>
            <xdr:cNvPr id="0" name="Drop Down 3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293040</xdr:colOff>
          <xdr:row>12</xdr:row>
          <xdr:rowOff>57600</xdr:rowOff>
        </xdr:from>
        <xdr:to>
          <xdr:col>18</xdr:col>
          <xdr:colOff>628920</xdr:colOff>
          <xdr:row>13</xdr:row>
          <xdr:rowOff>86040</xdr:rowOff>
        </xdr:to>
        <xdr:sp>
          <xdr:nvSpPr>
            <xdr:cNvPr id="0" name="Drop Down 4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14</xdr:row>
          <xdr:rowOff>28800</xdr:rowOff>
        </xdr:from>
        <xdr:to>
          <xdr:col>13</xdr:col>
          <xdr:colOff>326880</xdr:colOff>
          <xdr:row>15</xdr:row>
          <xdr:rowOff>56880</xdr:rowOff>
        </xdr:to>
        <xdr:sp>
          <xdr:nvSpPr>
            <xdr:cNvPr id="0" name="Drop Down 4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486720</xdr:colOff>
          <xdr:row>14</xdr:row>
          <xdr:rowOff>0</xdr:rowOff>
        </xdr:from>
        <xdr:to>
          <xdr:col>16</xdr:col>
          <xdr:colOff>133200</xdr:colOff>
          <xdr:row>15</xdr:row>
          <xdr:rowOff>37800</xdr:rowOff>
        </xdr:to>
        <xdr:sp>
          <xdr:nvSpPr>
            <xdr:cNvPr id="0" name="Drop Down 4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312840</xdr:colOff>
          <xdr:row>14</xdr:row>
          <xdr:rowOff>9720</xdr:rowOff>
        </xdr:from>
        <xdr:to>
          <xdr:col>18</xdr:col>
          <xdr:colOff>628920</xdr:colOff>
          <xdr:row>15</xdr:row>
          <xdr:rowOff>47520</xdr:rowOff>
        </xdr:to>
        <xdr:sp>
          <xdr:nvSpPr>
            <xdr:cNvPr id="0" name="Drop Down 4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15</xdr:row>
          <xdr:rowOff>162000</xdr:rowOff>
        </xdr:from>
        <xdr:to>
          <xdr:col>13</xdr:col>
          <xdr:colOff>326880</xdr:colOff>
          <xdr:row>17</xdr:row>
          <xdr:rowOff>29160</xdr:rowOff>
        </xdr:to>
        <xdr:sp>
          <xdr:nvSpPr>
            <xdr:cNvPr id="0" name="Drop Down 4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506880</xdr:colOff>
          <xdr:row>15</xdr:row>
          <xdr:rowOff>151920</xdr:rowOff>
        </xdr:from>
        <xdr:to>
          <xdr:col>16</xdr:col>
          <xdr:colOff>153360</xdr:colOff>
          <xdr:row>17</xdr:row>
          <xdr:rowOff>9000</xdr:rowOff>
        </xdr:to>
        <xdr:sp>
          <xdr:nvSpPr>
            <xdr:cNvPr id="0" name="Drop Down 4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322560</xdr:colOff>
          <xdr:row>15</xdr:row>
          <xdr:rowOff>162000</xdr:rowOff>
        </xdr:from>
        <xdr:to>
          <xdr:col>18</xdr:col>
          <xdr:colOff>637200</xdr:colOff>
          <xdr:row>17</xdr:row>
          <xdr:rowOff>28080</xdr:rowOff>
        </xdr:to>
        <xdr:sp>
          <xdr:nvSpPr>
            <xdr:cNvPr id="0" name="Drop Down 4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17</xdr:row>
          <xdr:rowOff>114120</xdr:rowOff>
        </xdr:from>
        <xdr:to>
          <xdr:col>13</xdr:col>
          <xdr:colOff>336960</xdr:colOff>
          <xdr:row>18</xdr:row>
          <xdr:rowOff>152640</xdr:rowOff>
        </xdr:to>
        <xdr:sp>
          <xdr:nvSpPr>
            <xdr:cNvPr id="0" name="Drop Down 4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516960</xdr:colOff>
          <xdr:row>17</xdr:row>
          <xdr:rowOff>105120</xdr:rowOff>
        </xdr:from>
        <xdr:to>
          <xdr:col>16</xdr:col>
          <xdr:colOff>133200</xdr:colOff>
          <xdr:row>18</xdr:row>
          <xdr:rowOff>133560</xdr:rowOff>
        </xdr:to>
        <xdr:sp>
          <xdr:nvSpPr>
            <xdr:cNvPr id="0" name="Drop Down 5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322560</xdr:colOff>
          <xdr:row>17</xdr:row>
          <xdr:rowOff>114120</xdr:rowOff>
        </xdr:from>
        <xdr:to>
          <xdr:col>18</xdr:col>
          <xdr:colOff>618840</xdr:colOff>
          <xdr:row>18</xdr:row>
          <xdr:rowOff>142560</xdr:rowOff>
        </xdr:to>
        <xdr:sp>
          <xdr:nvSpPr>
            <xdr:cNvPr id="0" name="Drop Down 5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19</xdr:row>
          <xdr:rowOff>104400</xdr:rowOff>
        </xdr:from>
        <xdr:to>
          <xdr:col>13</xdr:col>
          <xdr:colOff>336960</xdr:colOff>
          <xdr:row>20</xdr:row>
          <xdr:rowOff>143280</xdr:rowOff>
        </xdr:to>
        <xdr:sp>
          <xdr:nvSpPr>
            <xdr:cNvPr id="0" name="Drop Down 5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506880</xdr:colOff>
          <xdr:row>19</xdr:row>
          <xdr:rowOff>84960</xdr:rowOff>
        </xdr:from>
        <xdr:to>
          <xdr:col>16</xdr:col>
          <xdr:colOff>153360</xdr:colOff>
          <xdr:row>20</xdr:row>
          <xdr:rowOff>132840</xdr:rowOff>
        </xdr:to>
        <xdr:sp>
          <xdr:nvSpPr>
            <xdr:cNvPr id="0" name="Drop Down 5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312840</xdr:colOff>
          <xdr:row>19</xdr:row>
          <xdr:rowOff>84960</xdr:rowOff>
        </xdr:from>
        <xdr:to>
          <xdr:col>19</xdr:col>
          <xdr:colOff>9000</xdr:colOff>
          <xdr:row>20</xdr:row>
          <xdr:rowOff>132840</xdr:rowOff>
        </xdr:to>
        <xdr:sp>
          <xdr:nvSpPr>
            <xdr:cNvPr id="0" name="Drop Down 5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21</xdr:row>
          <xdr:rowOff>76320</xdr:rowOff>
        </xdr:from>
        <xdr:to>
          <xdr:col>13</xdr:col>
          <xdr:colOff>346680</xdr:colOff>
          <xdr:row>22</xdr:row>
          <xdr:rowOff>114480</xdr:rowOff>
        </xdr:to>
        <xdr:sp>
          <xdr:nvSpPr>
            <xdr:cNvPr id="0" name="Drop Down 5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506880</xdr:colOff>
          <xdr:row>21</xdr:row>
          <xdr:rowOff>76320</xdr:rowOff>
        </xdr:from>
        <xdr:to>
          <xdr:col>16</xdr:col>
          <xdr:colOff>163440</xdr:colOff>
          <xdr:row>22</xdr:row>
          <xdr:rowOff>114480</xdr:rowOff>
        </xdr:to>
        <xdr:sp>
          <xdr:nvSpPr>
            <xdr:cNvPr id="0" name="Drop Down 5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322560</xdr:colOff>
          <xdr:row>21</xdr:row>
          <xdr:rowOff>76320</xdr:rowOff>
        </xdr:from>
        <xdr:to>
          <xdr:col>19</xdr:col>
          <xdr:colOff>9000</xdr:colOff>
          <xdr:row>22</xdr:row>
          <xdr:rowOff>123840</xdr:rowOff>
        </xdr:to>
        <xdr:sp>
          <xdr:nvSpPr>
            <xdr:cNvPr id="0" name="Drop Down 5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210600</xdr:colOff>
          <xdr:row>23</xdr:row>
          <xdr:rowOff>47160</xdr:rowOff>
        </xdr:from>
        <xdr:to>
          <xdr:col>10</xdr:col>
          <xdr:colOff>616680</xdr:colOff>
          <xdr:row>24</xdr:row>
          <xdr:rowOff>95400</xdr:rowOff>
        </xdr:to>
        <xdr:sp>
          <xdr:nvSpPr>
            <xdr:cNvPr id="0" name="Drop Down 5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41400</xdr:colOff>
          <xdr:row>23</xdr:row>
          <xdr:rowOff>47160</xdr:rowOff>
        </xdr:from>
        <xdr:to>
          <xdr:col>13</xdr:col>
          <xdr:colOff>356760</xdr:colOff>
          <xdr:row>24</xdr:row>
          <xdr:rowOff>95400</xdr:rowOff>
        </xdr:to>
        <xdr:sp>
          <xdr:nvSpPr>
            <xdr:cNvPr id="0" name="Drop Down 6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506880</xdr:colOff>
          <xdr:row>23</xdr:row>
          <xdr:rowOff>28440</xdr:rowOff>
        </xdr:from>
        <xdr:to>
          <xdr:col>16</xdr:col>
          <xdr:colOff>153360</xdr:colOff>
          <xdr:row>24</xdr:row>
          <xdr:rowOff>84960</xdr:rowOff>
        </xdr:to>
        <xdr:sp>
          <xdr:nvSpPr>
            <xdr:cNvPr id="0" name="Drop Down 6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312840</xdr:colOff>
          <xdr:row>23</xdr:row>
          <xdr:rowOff>47160</xdr:rowOff>
        </xdr:from>
        <xdr:to>
          <xdr:col>19</xdr:col>
          <xdr:colOff>9000</xdr:colOff>
          <xdr:row>24</xdr:row>
          <xdr:rowOff>84960</xdr:rowOff>
        </xdr:to>
        <xdr:sp>
          <xdr:nvSpPr>
            <xdr:cNvPr id="0" name="Drop Down 6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261360</xdr:colOff>
          <xdr:row>8</xdr:row>
          <xdr:rowOff>152640</xdr:rowOff>
        </xdr:from>
        <xdr:to>
          <xdr:col>3</xdr:col>
          <xdr:colOff>413280</xdr:colOff>
          <xdr:row>9</xdr:row>
          <xdr:rowOff>162000</xdr:rowOff>
        </xdr:to>
        <xdr:sp>
          <xdr:nvSpPr>
            <xdr:cNvPr id="1004" name="Button 64" descr="Fill Price Tab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 Price Table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300960</xdr:colOff>
          <xdr:row>27</xdr:row>
          <xdr:rowOff>47160</xdr:rowOff>
        </xdr:from>
        <xdr:to>
          <xdr:col>10</xdr:col>
          <xdr:colOff>73800</xdr:colOff>
          <xdr:row>28</xdr:row>
          <xdr:rowOff>114120</xdr:rowOff>
        </xdr:to>
        <xdr:sp>
          <xdr:nvSpPr>
            <xdr:cNvPr id="1005" name="Check Box 65" descr="Include Option 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Include Option 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142200</xdr:colOff>
          <xdr:row>27</xdr:row>
          <xdr:rowOff>47160</xdr:rowOff>
        </xdr:from>
        <xdr:to>
          <xdr:col>12</xdr:col>
          <xdr:colOff>562320</xdr:colOff>
          <xdr:row>28</xdr:row>
          <xdr:rowOff>114120</xdr:rowOff>
        </xdr:to>
        <xdr:sp>
          <xdr:nvSpPr>
            <xdr:cNvPr id="1006" name="Check Box 69" descr="Include Option 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Include Option 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607680</xdr:colOff>
          <xdr:row>27</xdr:row>
          <xdr:rowOff>47160</xdr:rowOff>
        </xdr:from>
        <xdr:to>
          <xdr:col>15</xdr:col>
          <xdr:colOff>390240</xdr:colOff>
          <xdr:row>28</xdr:row>
          <xdr:rowOff>114120</xdr:rowOff>
        </xdr:to>
        <xdr:sp>
          <xdr:nvSpPr>
            <xdr:cNvPr id="1007" name="Check Box 70" descr="Include Option 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Include Option 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332640</xdr:colOff>
          <xdr:row>27</xdr:row>
          <xdr:rowOff>47160</xdr:rowOff>
        </xdr:from>
        <xdr:to>
          <xdr:col>18</xdr:col>
          <xdr:colOff>105120</xdr:colOff>
          <xdr:row>28</xdr:row>
          <xdr:rowOff>114120</xdr:rowOff>
        </xdr:to>
        <xdr:sp>
          <xdr:nvSpPr>
            <xdr:cNvPr id="1008" name="Check Box 71" descr="Include Option 4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Include Option 4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210600</xdr:colOff>
          <xdr:row>25</xdr:row>
          <xdr:rowOff>66960</xdr:rowOff>
        </xdr:from>
        <xdr:to>
          <xdr:col>10</xdr:col>
          <xdr:colOff>595800</xdr:colOff>
          <xdr:row>26</xdr:row>
          <xdr:rowOff>105120</xdr:rowOff>
        </xdr:to>
        <xdr:sp>
          <xdr:nvSpPr>
            <xdr:cNvPr id="0" name="Drop Down 7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675720</xdr:colOff>
          <xdr:row>25</xdr:row>
          <xdr:rowOff>66960</xdr:rowOff>
        </xdr:from>
        <xdr:to>
          <xdr:col>13</xdr:col>
          <xdr:colOff>366480</xdr:colOff>
          <xdr:row>26</xdr:row>
          <xdr:rowOff>105120</xdr:rowOff>
        </xdr:to>
        <xdr:sp>
          <xdr:nvSpPr>
            <xdr:cNvPr id="0" name="Drop Down 7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435960</xdr:colOff>
          <xdr:row>25</xdr:row>
          <xdr:rowOff>66960</xdr:rowOff>
        </xdr:from>
        <xdr:to>
          <xdr:col>16</xdr:col>
          <xdr:colOff>183600</xdr:colOff>
          <xdr:row>26</xdr:row>
          <xdr:rowOff>105120</xdr:rowOff>
        </xdr:to>
        <xdr:sp>
          <xdr:nvSpPr>
            <xdr:cNvPr id="0" name="Drop Down 7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242280</xdr:colOff>
          <xdr:row>25</xdr:row>
          <xdr:rowOff>66960</xdr:rowOff>
        </xdr:from>
        <xdr:to>
          <xdr:col>18</xdr:col>
          <xdr:colOff>628920</xdr:colOff>
          <xdr:row>26</xdr:row>
          <xdr:rowOff>105120</xdr:rowOff>
        </xdr:to>
        <xdr:sp>
          <xdr:nvSpPr>
            <xdr:cNvPr id="0" name="Drop Down 7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209520</xdr:colOff>
      <xdr:row>33</xdr:row>
      <xdr:rowOff>66240</xdr:rowOff>
    </xdr:from>
    <xdr:to>
      <xdr:col>13</xdr:col>
      <xdr:colOff>720</xdr:colOff>
      <xdr:row>35</xdr:row>
      <xdr:rowOff>105120</xdr:rowOff>
    </xdr:to>
    <xdr:sp>
      <xdr:nvSpPr>
        <xdr:cNvPr id="1" name="AutoShape 3"/>
        <xdr:cNvSpPr/>
      </xdr:nvSpPr>
      <xdr:spPr>
        <a:xfrm>
          <a:off x="8161560" y="5505120"/>
          <a:ext cx="429480" cy="362520"/>
        </a:xfrm>
        <a:custGeom>
          <a:avLst/>
          <a:gdLst/>
          <a:ahLst/>
          <a:rect l="l" t="t" r="r" b="b"/>
          <a:pathLst>
            <a:path w="47" h="38">
              <a:moveTo>
                <a:pt x="47" y="0"/>
              </a:moveTo>
              <a:cubicBezTo>
                <a:pt x="27" y="3"/>
                <a:pt x="8" y="7"/>
                <a:pt x="4" y="11"/>
              </a:cubicBezTo>
              <a:cubicBezTo>
                <a:pt x="0" y="15"/>
                <a:pt x="22" y="20"/>
                <a:pt x="23" y="23"/>
              </a:cubicBezTo>
              <a:cubicBezTo>
                <a:pt x="24" y="26"/>
                <a:pt x="14" y="27"/>
                <a:pt x="12" y="30"/>
              </a:cubicBezTo>
              <a:cubicBezTo>
                <a:pt x="10" y="33"/>
                <a:pt x="11" y="37"/>
                <a:pt x="11" y="38"/>
              </a:cubicBez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319320</xdr:colOff>
      <xdr:row>35</xdr:row>
      <xdr:rowOff>56880</xdr:rowOff>
    </xdr:from>
    <xdr:to>
      <xdr:col>12</xdr:col>
      <xdr:colOff>319680</xdr:colOff>
      <xdr:row>35</xdr:row>
      <xdr:rowOff>152640</xdr:rowOff>
    </xdr:to>
    <xdr:sp>
      <xdr:nvSpPr>
        <xdr:cNvPr id="2" name="Line 4"/>
        <xdr:cNvSpPr/>
      </xdr:nvSpPr>
      <xdr:spPr>
        <a:xfrm>
          <a:off x="8271360" y="5819400"/>
          <a:ext cx="360" cy="95760"/>
        </a:xfrm>
        <a:prstGeom prst="line">
          <a:avLst/>
        </a:prstGeom>
        <a:ln w="9360">
          <a:solidFill>
            <a:srgbClr val="000000"/>
          </a:solidFill>
          <a:miter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209520</xdr:colOff>
      <xdr:row>33</xdr:row>
      <xdr:rowOff>66600</xdr:rowOff>
    </xdr:from>
    <xdr:to>
      <xdr:col>13</xdr:col>
      <xdr:colOff>720</xdr:colOff>
      <xdr:row>35</xdr:row>
      <xdr:rowOff>104760</xdr:rowOff>
    </xdr:to>
    <xdr:sp>
      <xdr:nvSpPr>
        <xdr:cNvPr id="3" name="AutoShape 1"/>
        <xdr:cNvSpPr/>
      </xdr:nvSpPr>
      <xdr:spPr>
        <a:xfrm>
          <a:off x="8161560" y="5410080"/>
          <a:ext cx="429480" cy="362160"/>
        </a:xfrm>
        <a:custGeom>
          <a:avLst/>
          <a:gdLst/>
          <a:ahLst/>
          <a:rect l="l" t="t" r="r" b="b"/>
          <a:pathLst>
            <a:path w="47" h="38">
              <a:moveTo>
                <a:pt x="47" y="0"/>
              </a:moveTo>
              <a:cubicBezTo>
                <a:pt x="27" y="3"/>
                <a:pt x="8" y="7"/>
                <a:pt x="4" y="11"/>
              </a:cubicBezTo>
              <a:cubicBezTo>
                <a:pt x="0" y="15"/>
                <a:pt x="22" y="20"/>
                <a:pt x="23" y="23"/>
              </a:cubicBezTo>
              <a:cubicBezTo>
                <a:pt x="24" y="26"/>
                <a:pt x="14" y="27"/>
                <a:pt x="12" y="30"/>
              </a:cubicBezTo>
              <a:cubicBezTo>
                <a:pt x="10" y="33"/>
                <a:pt x="11" y="37"/>
                <a:pt x="11" y="38"/>
              </a:cubicBez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319320</xdr:colOff>
      <xdr:row>35</xdr:row>
      <xdr:rowOff>56880</xdr:rowOff>
    </xdr:from>
    <xdr:to>
      <xdr:col>12</xdr:col>
      <xdr:colOff>319680</xdr:colOff>
      <xdr:row>35</xdr:row>
      <xdr:rowOff>152280</xdr:rowOff>
    </xdr:to>
    <xdr:sp>
      <xdr:nvSpPr>
        <xdr:cNvPr id="4" name="Line 2"/>
        <xdr:cNvSpPr/>
      </xdr:nvSpPr>
      <xdr:spPr>
        <a:xfrm>
          <a:off x="8271360" y="5724360"/>
          <a:ext cx="360" cy="95400"/>
        </a:xfrm>
        <a:prstGeom prst="line">
          <a:avLst/>
        </a:prstGeom>
        <a:ln w="9360">
          <a:solidFill>
            <a:srgbClr val="000000"/>
          </a:solidFill>
          <a:miter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209520</xdr:colOff>
      <xdr:row>33</xdr:row>
      <xdr:rowOff>66600</xdr:rowOff>
    </xdr:from>
    <xdr:to>
      <xdr:col>13</xdr:col>
      <xdr:colOff>720</xdr:colOff>
      <xdr:row>35</xdr:row>
      <xdr:rowOff>104760</xdr:rowOff>
    </xdr:to>
    <xdr:sp>
      <xdr:nvSpPr>
        <xdr:cNvPr id="5" name="AutoShape 1"/>
        <xdr:cNvSpPr/>
      </xdr:nvSpPr>
      <xdr:spPr>
        <a:xfrm>
          <a:off x="8161560" y="5410080"/>
          <a:ext cx="429480" cy="362160"/>
        </a:xfrm>
        <a:custGeom>
          <a:avLst/>
          <a:gdLst/>
          <a:ahLst/>
          <a:rect l="l" t="t" r="r" b="b"/>
          <a:pathLst>
            <a:path w="47" h="38">
              <a:moveTo>
                <a:pt x="47" y="0"/>
              </a:moveTo>
              <a:cubicBezTo>
                <a:pt x="27" y="3"/>
                <a:pt x="8" y="7"/>
                <a:pt x="4" y="11"/>
              </a:cubicBezTo>
              <a:cubicBezTo>
                <a:pt x="0" y="15"/>
                <a:pt x="22" y="20"/>
                <a:pt x="23" y="23"/>
              </a:cubicBezTo>
              <a:cubicBezTo>
                <a:pt x="24" y="26"/>
                <a:pt x="14" y="27"/>
                <a:pt x="12" y="30"/>
              </a:cubicBezTo>
              <a:cubicBezTo>
                <a:pt x="10" y="33"/>
                <a:pt x="11" y="37"/>
                <a:pt x="11" y="38"/>
              </a:cubicBez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319320</xdr:colOff>
      <xdr:row>35</xdr:row>
      <xdr:rowOff>56880</xdr:rowOff>
    </xdr:from>
    <xdr:to>
      <xdr:col>12</xdr:col>
      <xdr:colOff>319680</xdr:colOff>
      <xdr:row>35</xdr:row>
      <xdr:rowOff>152280</xdr:rowOff>
    </xdr:to>
    <xdr:sp>
      <xdr:nvSpPr>
        <xdr:cNvPr id="6" name="Line 2"/>
        <xdr:cNvSpPr/>
      </xdr:nvSpPr>
      <xdr:spPr>
        <a:xfrm>
          <a:off x="8271360" y="5724360"/>
          <a:ext cx="360" cy="95400"/>
        </a:xfrm>
        <a:prstGeom prst="line">
          <a:avLst/>
        </a:prstGeom>
        <a:ln w="9360">
          <a:solidFill>
            <a:srgbClr val="000000"/>
          </a:solidFill>
          <a:miter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209520</xdr:colOff>
      <xdr:row>33</xdr:row>
      <xdr:rowOff>66600</xdr:rowOff>
    </xdr:from>
    <xdr:to>
      <xdr:col>13</xdr:col>
      <xdr:colOff>720</xdr:colOff>
      <xdr:row>35</xdr:row>
      <xdr:rowOff>104760</xdr:rowOff>
    </xdr:to>
    <xdr:sp>
      <xdr:nvSpPr>
        <xdr:cNvPr id="7" name="AutoShape 1"/>
        <xdr:cNvSpPr/>
      </xdr:nvSpPr>
      <xdr:spPr>
        <a:xfrm>
          <a:off x="8161560" y="5410080"/>
          <a:ext cx="429480" cy="362160"/>
        </a:xfrm>
        <a:custGeom>
          <a:avLst/>
          <a:gdLst/>
          <a:ahLst/>
          <a:rect l="l" t="t" r="r" b="b"/>
          <a:pathLst>
            <a:path w="47" h="38">
              <a:moveTo>
                <a:pt x="47" y="0"/>
              </a:moveTo>
              <a:cubicBezTo>
                <a:pt x="27" y="3"/>
                <a:pt x="8" y="7"/>
                <a:pt x="4" y="11"/>
              </a:cubicBezTo>
              <a:cubicBezTo>
                <a:pt x="0" y="15"/>
                <a:pt x="22" y="20"/>
                <a:pt x="23" y="23"/>
              </a:cubicBezTo>
              <a:cubicBezTo>
                <a:pt x="24" y="26"/>
                <a:pt x="14" y="27"/>
                <a:pt x="12" y="30"/>
              </a:cubicBezTo>
              <a:cubicBezTo>
                <a:pt x="10" y="33"/>
                <a:pt x="11" y="37"/>
                <a:pt x="11" y="38"/>
              </a:cubicBez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319320</xdr:colOff>
      <xdr:row>35</xdr:row>
      <xdr:rowOff>56880</xdr:rowOff>
    </xdr:from>
    <xdr:to>
      <xdr:col>12</xdr:col>
      <xdr:colOff>319680</xdr:colOff>
      <xdr:row>35</xdr:row>
      <xdr:rowOff>152280</xdr:rowOff>
    </xdr:to>
    <xdr:sp>
      <xdr:nvSpPr>
        <xdr:cNvPr id="8" name="Line 2"/>
        <xdr:cNvSpPr/>
      </xdr:nvSpPr>
      <xdr:spPr>
        <a:xfrm>
          <a:off x="8271360" y="5724360"/>
          <a:ext cx="360" cy="95400"/>
        </a:xfrm>
        <a:prstGeom prst="line">
          <a:avLst/>
        </a:prstGeom>
        <a:ln w="9360">
          <a:solidFill>
            <a:srgbClr val="000000"/>
          </a:solidFill>
          <a:miter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Curve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rves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<Relationship Id="rId6" Type="http://schemas.openxmlformats.org/officeDocument/2006/relationships/ctrlProp" Target="../ctrlProps/ctrlProps5.xml"/><Relationship Id="rId7" Type="http://schemas.openxmlformats.org/officeDocument/2006/relationships/ctrlProp" Target="../ctrlProps/ctrlProps6.xml"/><Relationship Id="rId8" Type="http://schemas.openxmlformats.org/officeDocument/2006/relationships/ctrlProp" Target="../ctrlProps/ctrlProps7.xml"/><Relationship Id="rId9" Type="http://schemas.openxmlformats.org/officeDocument/2006/relationships/ctrlProp" Target="../ctrlProps/ctrlProps8.xml"/><Relationship Id="rId10" Type="http://schemas.openxmlformats.org/officeDocument/2006/relationships/ctrlProp" Target="../ctrlProps/ctrlProps9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S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0.85"/>
    <col collapsed="false" customWidth="true" hidden="false" outlineLevel="0" max="3" min="3" style="0" width="12.42"/>
    <col collapsed="false" customWidth="true" hidden="false" outlineLevel="0" max="4" min="4" style="0" width="9.28"/>
    <col collapsed="false" customWidth="true" hidden="false" outlineLevel="0" max="5" min="5" style="0" width="4.7"/>
    <col collapsed="false" customWidth="true" hidden="false" outlineLevel="0" max="6" min="6" style="0" width="25.85"/>
    <col collapsed="false" customWidth="true" hidden="false" outlineLevel="0" max="7" min="7" style="0" width="25.28"/>
    <col collapsed="false" customWidth="true" hidden="false" outlineLevel="0" max="8" min="8" style="0" width="23.99"/>
    <col collapsed="false" customWidth="true" hidden="false" outlineLevel="0" max="9" min="9" style="0" width="24.41"/>
    <col collapsed="false" customWidth="true" hidden="false" outlineLevel="0" max="10" min="10" style="0" width="23.85"/>
    <col collapsed="false" customWidth="true" hidden="false" outlineLevel="0" max="11" min="11" style="0" width="2.7"/>
    <col collapsed="false" customWidth="true" hidden="false" outlineLevel="0" max="13" min="13" style="0" width="10.85"/>
    <col collapsed="false" customWidth="true" hidden="true" outlineLevel="0" max="15" min="14" style="0" width="0.99"/>
    <col collapsed="false" customWidth="true" hidden="false" outlineLevel="0" max="17" min="17" style="0" width="9.85"/>
    <col collapsed="false" customWidth="true" hidden="false" outlineLevel="0" max="18" min="18" style="0" width="12.14"/>
    <col collapsed="false" customWidth="true" hidden="false" outlineLevel="0" max="19" min="19" style="0" width="6.7"/>
    <col collapsed="false" customWidth="true" hidden="false" outlineLevel="0" max="20" min="20" style="0" width="9.85"/>
    <col collapsed="false" customWidth="true" hidden="false" outlineLevel="0" max="21" min="21" style="0" width="12.14"/>
    <col collapsed="false" customWidth="true" hidden="false" outlineLevel="0" max="22" min="22" style="0" width="3.7"/>
    <col collapsed="false" customWidth="true" hidden="false" outlineLevel="0" max="23" min="23" style="0" width="9.85"/>
    <col collapsed="false" customWidth="true" hidden="false" outlineLevel="0" max="24" min="24" style="0" width="12.14"/>
    <col collapsed="false" customWidth="true" hidden="false" outlineLevel="0" max="25" min="25" style="0" width="4.14"/>
  </cols>
  <sheetData>
    <row r="1" customFormat="false" ht="13.5" hidden="false" customHeight="false" outlineLevel="0" collapsed="false"/>
    <row r="2" customFormat="false" ht="23.25" hidden="false" customHeight="true" outlineLevel="0" collapsed="false">
      <c r="A2" s="1" t="s">
        <v>0</v>
      </c>
      <c r="B2" s="1"/>
      <c r="C2" s="1"/>
      <c r="D2" s="1"/>
      <c r="F2" s="1" t="s">
        <v>1</v>
      </c>
      <c r="G2" s="1"/>
      <c r="H2" s="1"/>
      <c r="I2" s="1"/>
      <c r="J2" s="1"/>
      <c r="K2" s="1"/>
    </row>
    <row r="3" customFormat="false" ht="13.5" hidden="false" customHeight="false" outlineLevel="0" collapsed="false">
      <c r="A3" s="2"/>
      <c r="B3" s="3"/>
      <c r="C3" s="3"/>
      <c r="D3" s="4"/>
      <c r="F3" s="2"/>
      <c r="G3" s="5" t="s">
        <v>2</v>
      </c>
      <c r="H3" s="5" t="s">
        <v>3</v>
      </c>
      <c r="I3" s="6" t="s">
        <v>4</v>
      </c>
      <c r="J3" s="6" t="s">
        <v>5</v>
      </c>
      <c r="K3" s="4"/>
      <c r="M3" s="7" t="s">
        <v>2</v>
      </c>
      <c r="N3" s="7" t="s">
        <v>3</v>
      </c>
      <c r="O3" s="8" t="s">
        <v>4</v>
      </c>
      <c r="P3" s="8" t="s">
        <v>6</v>
      </c>
      <c r="Q3" s="8" t="s">
        <v>4</v>
      </c>
      <c r="R3" s="8" t="s">
        <v>5</v>
      </c>
    </row>
    <row r="4" customFormat="false" ht="19.5" hidden="false" customHeight="true" outlineLevel="0" collapsed="false">
      <c r="A4" s="9"/>
      <c r="B4" s="10"/>
      <c r="C4" s="11" t="s">
        <v>7</v>
      </c>
      <c r="D4" s="12" t="n">
        <f aca="true">TODAY()</f>
        <v>45926</v>
      </c>
      <c r="F4" s="13" t="s">
        <v>8</v>
      </c>
      <c r="G4" s="14" t="n">
        <v>29</v>
      </c>
      <c r="H4" s="14" t="n">
        <v>10</v>
      </c>
      <c r="I4" s="14" t="n">
        <v>10</v>
      </c>
      <c r="J4" s="14" t="n">
        <v>10</v>
      </c>
      <c r="K4" s="4"/>
      <c r="L4" s="15" t="s">
        <v>9</v>
      </c>
      <c r="M4" s="16" t="n">
        <f aca="false">G5</f>
        <v>37257</v>
      </c>
      <c r="N4" s="17" t="n">
        <v>55</v>
      </c>
      <c r="O4" s="17" t="n">
        <v>55</v>
      </c>
      <c r="P4" s="18" t="n">
        <f aca="false">H5</f>
        <v>37257</v>
      </c>
      <c r="Q4" s="19" t="n">
        <f aca="false">I5</f>
        <v>37257</v>
      </c>
      <c r="R4" s="19" t="n">
        <f aca="false">J5</f>
        <v>37257</v>
      </c>
    </row>
    <row r="5" customFormat="false" ht="18.75" hidden="false" customHeight="true" outlineLevel="0" collapsed="false">
      <c r="A5" s="20"/>
      <c r="B5" s="21"/>
      <c r="C5" s="22" t="s">
        <v>10</v>
      </c>
      <c r="D5" s="23" t="n">
        <f aca="false">DateToday-1-IF(WEEKDAY(DateToday)&lt;3,WEEKDAY(DateToday),0)</f>
        <v>45925</v>
      </c>
      <c r="F5" s="13" t="s">
        <v>9</v>
      </c>
      <c r="G5" s="24" t="n">
        <v>37257</v>
      </c>
      <c r="H5" s="24" t="n">
        <v>37257</v>
      </c>
      <c r="I5" s="24" t="n">
        <v>37257</v>
      </c>
      <c r="J5" s="24" t="n">
        <v>37257</v>
      </c>
      <c r="K5" s="4"/>
      <c r="L5" s="15" t="s">
        <v>11</v>
      </c>
      <c r="M5" s="19" t="n">
        <f aca="false">G6</f>
        <v>39082</v>
      </c>
      <c r="P5" s="19" t="n">
        <f aca="false">H6</f>
        <v>39082</v>
      </c>
      <c r="Q5" s="19" t="n">
        <f aca="false">I6</f>
        <v>39082</v>
      </c>
      <c r="R5" s="19" t="n">
        <f aca="false">J6</f>
        <v>39082</v>
      </c>
    </row>
    <row r="6" customFormat="false" ht="18" hidden="false" customHeight="true" outlineLevel="0" collapsed="false">
      <c r="A6" s="25"/>
      <c r="B6" s="26"/>
      <c r="C6" s="27"/>
      <c r="D6" s="28"/>
      <c r="F6" s="13" t="s">
        <v>11</v>
      </c>
      <c r="G6" s="24" t="n">
        <v>39082</v>
      </c>
      <c r="H6" s="24" t="n">
        <v>39082</v>
      </c>
      <c r="I6" s="24" t="n">
        <v>39082</v>
      </c>
      <c r="J6" s="24" t="n">
        <v>39082</v>
      </c>
      <c r="K6" s="4"/>
      <c r="M6" s="29" t="s">
        <v>12</v>
      </c>
    </row>
    <row r="7" customFormat="false" ht="18" hidden="false" customHeight="true" outlineLevel="0" collapsed="false">
      <c r="A7" s="30"/>
      <c r="B7" s="3"/>
      <c r="C7" s="27"/>
      <c r="D7" s="28"/>
      <c r="F7" s="13" t="s">
        <v>13</v>
      </c>
      <c r="G7" s="31" t="n">
        <f aca="false">(G6-G5+1)/365.25</f>
        <v>4.99931553730322</v>
      </c>
      <c r="H7" s="31" t="n">
        <f aca="false">(H6-H5+1)/365.25</f>
        <v>4.99931553730322</v>
      </c>
      <c r="I7" s="31" t="n">
        <f aca="false">(I6-I5+1)/365.25</f>
        <v>4.99931553730322</v>
      </c>
      <c r="J7" s="31" t="n">
        <f aca="false">(J6-J5+1)/365.25</f>
        <v>4.99931553730322</v>
      </c>
      <c r="K7" s="4"/>
      <c r="M7" s="32" t="n">
        <f aca="false">G7</f>
        <v>4.99931553730322</v>
      </c>
      <c r="N7" s="32" t="n">
        <f aca="false">H7</f>
        <v>4.99931553730322</v>
      </c>
      <c r="O7" s="32" t="n">
        <f aca="false">I7</f>
        <v>4.99931553730322</v>
      </c>
      <c r="P7" s="32" t="n">
        <f aca="false">H7</f>
        <v>4.99931553730322</v>
      </c>
      <c r="Q7" s="32" t="n">
        <f aca="false">I7</f>
        <v>4.99931553730322</v>
      </c>
      <c r="R7" s="32" t="n">
        <f aca="false">J7</f>
        <v>4.99931553730322</v>
      </c>
    </row>
    <row r="8" customFormat="false" ht="21" hidden="false" customHeight="true" outlineLevel="0" collapsed="false">
      <c r="A8" s="33" t="s">
        <v>14</v>
      </c>
      <c r="B8" s="3"/>
      <c r="C8" s="34"/>
      <c r="D8" s="35"/>
      <c r="F8" s="13" t="s">
        <v>15</v>
      </c>
      <c r="G8" s="36" t="n">
        <v>1</v>
      </c>
      <c r="H8" s="36" t="n">
        <v>300</v>
      </c>
      <c r="I8" s="36" t="n">
        <v>300</v>
      </c>
      <c r="J8" s="36" t="n">
        <v>300</v>
      </c>
      <c r="K8" s="37"/>
      <c r="L8" s="38"/>
      <c r="M8" s="38"/>
      <c r="N8" s="38"/>
      <c r="O8" s="38"/>
      <c r="P8" s="38"/>
      <c r="Q8" s="38"/>
    </row>
    <row r="9" customFormat="false" ht="30.75" hidden="false" customHeight="true" outlineLevel="0" collapsed="false">
      <c r="A9" s="25"/>
      <c r="B9" s="3"/>
      <c r="C9" s="34"/>
      <c r="D9" s="35"/>
      <c r="F9" s="13" t="s">
        <v>16</v>
      </c>
      <c r="G9" s="3"/>
      <c r="H9" s="3"/>
      <c r="I9" s="3"/>
      <c r="J9" s="39"/>
      <c r="K9" s="37"/>
      <c r="L9" s="38"/>
      <c r="M9" s="38"/>
      <c r="N9" s="38"/>
      <c r="O9" s="38"/>
      <c r="P9" s="38"/>
      <c r="Q9" s="38"/>
    </row>
    <row r="10" customFormat="false" ht="24" hidden="false" customHeight="true" outlineLevel="0" collapsed="false">
      <c r="A10" s="40"/>
      <c r="B10" s="41"/>
      <c r="C10" s="41"/>
      <c r="D10" s="42"/>
      <c r="F10" s="13" t="s">
        <v>17</v>
      </c>
      <c r="G10" s="43"/>
      <c r="H10" s="3"/>
      <c r="I10" s="3"/>
      <c r="J10" s="39"/>
      <c r="K10" s="4"/>
    </row>
    <row r="11" customFormat="false" ht="25.5" hidden="false" customHeight="true" outlineLevel="0" collapsed="false">
      <c r="A11" s="44"/>
      <c r="B11" s="45"/>
      <c r="D11" s="46"/>
      <c r="F11" s="13" t="s">
        <v>18</v>
      </c>
      <c r="G11" s="47"/>
      <c r="H11" s="3"/>
      <c r="I11" s="3"/>
      <c r="J11" s="39"/>
      <c r="K11" s="4"/>
    </row>
    <row r="12" customFormat="false" ht="22.5" hidden="false" customHeight="true" outlineLevel="0" collapsed="false">
      <c r="A12" s="48" t="s">
        <v>19</v>
      </c>
      <c r="B12" s="49" t="s">
        <v>20</v>
      </c>
      <c r="C12" s="50" t="s">
        <v>21</v>
      </c>
      <c r="D12" s="46"/>
      <c r="F12" s="13" t="s">
        <v>22</v>
      </c>
      <c r="G12" s="3"/>
      <c r="H12" s="3"/>
      <c r="I12" s="3"/>
      <c r="J12" s="39"/>
      <c r="K12" s="4"/>
    </row>
    <row r="13" customFormat="false" ht="26.25" hidden="false" customHeight="true" outlineLevel="0" collapsed="false">
      <c r="A13" s="51" t="n">
        <v>1</v>
      </c>
      <c r="B13" s="52" t="n">
        <v>1</v>
      </c>
      <c r="C13" s="53" t="n">
        <v>1</v>
      </c>
      <c r="D13" s="46"/>
      <c r="F13" s="13" t="s">
        <v>23</v>
      </c>
      <c r="G13" s="3"/>
      <c r="H13" s="3"/>
      <c r="I13" s="3"/>
      <c r="J13" s="39"/>
      <c r="K13" s="4"/>
    </row>
    <row r="14" customFormat="false" ht="24" hidden="false" customHeight="true" outlineLevel="0" collapsed="false">
      <c r="A14" s="54" t="n">
        <v>2</v>
      </c>
      <c r="B14" s="55" t="n">
        <v>1</v>
      </c>
      <c r="C14" s="56" t="n">
        <v>1</v>
      </c>
      <c r="D14" s="46"/>
      <c r="F14" s="13" t="s">
        <v>24</v>
      </c>
      <c r="G14" s="3"/>
      <c r="H14" s="3"/>
      <c r="I14" s="3"/>
      <c r="J14" s="39"/>
      <c r="K14" s="4"/>
      <c r="L14" s="57"/>
    </row>
    <row r="15" customFormat="false" ht="25.5" hidden="false" customHeight="true" outlineLevel="0" collapsed="false">
      <c r="A15" s="54" t="n">
        <v>3</v>
      </c>
      <c r="B15" s="55" t="n">
        <v>1</v>
      </c>
      <c r="C15" s="56" t="n">
        <v>1</v>
      </c>
      <c r="D15" s="46"/>
      <c r="F15" s="13" t="s">
        <v>25</v>
      </c>
      <c r="G15" s="3"/>
      <c r="H15" s="3"/>
      <c r="I15" s="3"/>
      <c r="J15" s="3"/>
      <c r="K15" s="4"/>
    </row>
    <row r="16" customFormat="false" ht="12.75" hidden="false" customHeight="true" outlineLevel="0" collapsed="false">
      <c r="A16" s="54" t="n">
        <v>4</v>
      </c>
      <c r="B16" s="55" t="n">
        <v>1</v>
      </c>
      <c r="C16" s="56" t="n">
        <v>1</v>
      </c>
      <c r="D16" s="46"/>
      <c r="E16" s="29"/>
      <c r="F16" s="13"/>
      <c r="G16" s="3"/>
      <c r="H16" s="3"/>
      <c r="I16" s="3"/>
      <c r="J16" s="3"/>
      <c r="K16" s="4"/>
      <c r="M16" s="58"/>
      <c r="R16" s="58"/>
    </row>
    <row r="17" customFormat="false" ht="12.75" hidden="false" customHeight="false" outlineLevel="0" collapsed="false">
      <c r="A17" s="54" t="n">
        <v>5</v>
      </c>
      <c r="B17" s="55" t="n">
        <v>1</v>
      </c>
      <c r="C17" s="56" t="n">
        <v>1</v>
      </c>
      <c r="E17" s="59"/>
      <c r="F17" s="13" t="s">
        <v>26</v>
      </c>
      <c r="G17" s="3"/>
      <c r="H17" s="3"/>
      <c r="I17" s="3"/>
      <c r="J17" s="3"/>
      <c r="K17" s="4"/>
      <c r="L17" s="60"/>
      <c r="M17" s="61"/>
      <c r="N17" s="61"/>
      <c r="R17" s="61"/>
      <c r="S17" s="61"/>
    </row>
    <row r="18" customFormat="false" ht="12.75" hidden="false" customHeight="false" outlineLevel="0" collapsed="false">
      <c r="A18" s="54" t="n">
        <v>6</v>
      </c>
      <c r="B18" s="55" t="n">
        <v>1</v>
      </c>
      <c r="C18" s="56" t="n">
        <v>1</v>
      </c>
      <c r="D18" s="61"/>
      <c r="E18" s="62"/>
      <c r="F18" s="13"/>
      <c r="G18" s="3"/>
      <c r="H18" s="3"/>
      <c r="I18" s="3"/>
      <c r="J18" s="3"/>
      <c r="K18" s="4"/>
      <c r="L18" s="62"/>
      <c r="M18" s="62"/>
      <c r="N18" s="62"/>
      <c r="R18" s="62"/>
      <c r="S18" s="62"/>
    </row>
    <row r="19" customFormat="false" ht="13.5" hidden="false" customHeight="false" outlineLevel="0" collapsed="false">
      <c r="A19" s="54" t="n">
        <v>7</v>
      </c>
      <c r="B19" s="55" t="n">
        <v>1</v>
      </c>
      <c r="C19" s="56" t="n">
        <v>1</v>
      </c>
      <c r="D19" s="62"/>
      <c r="F19" s="63" t="s">
        <v>27</v>
      </c>
      <c r="G19" s="64"/>
      <c r="H19" s="64"/>
      <c r="I19" s="64"/>
      <c r="J19" s="64"/>
      <c r="K19" s="65"/>
    </row>
    <row r="20" customFormat="false" ht="12.75" hidden="false" customHeight="false" outlineLevel="0" collapsed="false">
      <c r="A20" s="54" t="n">
        <v>8</v>
      </c>
      <c r="B20" s="55" t="n">
        <v>1</v>
      </c>
      <c r="C20" s="56" t="n">
        <v>1</v>
      </c>
      <c r="D20" s="46"/>
      <c r="E20" s="66"/>
      <c r="F20" s="67" t="s">
        <v>28</v>
      </c>
      <c r="G20" s="62"/>
      <c r="H20" s="62"/>
      <c r="K20" s="61"/>
    </row>
    <row r="21" customFormat="false" ht="12.75" hidden="false" customHeight="false" outlineLevel="0" collapsed="false">
      <c r="A21" s="54" t="n">
        <v>9</v>
      </c>
      <c r="B21" s="55" t="n">
        <v>1</v>
      </c>
      <c r="C21" s="56" t="n">
        <v>1</v>
      </c>
      <c r="D21" s="46"/>
      <c r="F21" s="68" t="s">
        <v>29</v>
      </c>
      <c r="G21" s="69"/>
      <c r="H21" s="62"/>
      <c r="K21" s="62"/>
    </row>
    <row r="22" customFormat="false" ht="12.75" hidden="false" customHeight="false" outlineLevel="0" collapsed="false">
      <c r="A22" s="54" t="n">
        <v>10</v>
      </c>
      <c r="B22" s="55" t="n">
        <v>1</v>
      </c>
      <c r="C22" s="56" t="n">
        <v>1</v>
      </c>
      <c r="D22" s="46"/>
      <c r="F22" s="68" t="s">
        <v>30</v>
      </c>
      <c r="G22" s="70"/>
      <c r="H22" s="71"/>
      <c r="L22" s="72"/>
    </row>
    <row r="23" customFormat="false" ht="17.25" hidden="false" customHeight="true" outlineLevel="0" collapsed="false">
      <c r="A23" s="54" t="n">
        <v>11</v>
      </c>
      <c r="B23" s="55" t="n">
        <v>1</v>
      </c>
      <c r="C23" s="56" t="n">
        <v>1</v>
      </c>
      <c r="D23" s="73"/>
      <c r="F23" s="74"/>
      <c r="G23" s="75"/>
      <c r="H23" s="76"/>
      <c r="I23" s="61"/>
      <c r="J23" s="61"/>
      <c r="L23" s="77"/>
    </row>
    <row r="24" customFormat="false" ht="21" hidden="false" customHeight="true" outlineLevel="0" collapsed="false">
      <c r="A24" s="78" t="n">
        <v>12</v>
      </c>
      <c r="B24" s="79" t="n">
        <v>1</v>
      </c>
      <c r="C24" s="80" t="n">
        <v>1</v>
      </c>
      <c r="D24" s="73"/>
      <c r="E24" s="81"/>
      <c r="F24" s="62"/>
      <c r="G24" s="62"/>
      <c r="H24" s="62"/>
      <c r="I24" s="62"/>
      <c r="J24" s="62"/>
      <c r="L24" s="77"/>
    </row>
    <row r="25" customFormat="false" ht="17.25" hidden="false" customHeight="true" outlineLevel="0" collapsed="false">
      <c r="E25" s="81"/>
      <c r="F25" s="82" t="s">
        <v>31</v>
      </c>
      <c r="G25" s="82"/>
      <c r="H25" s="82"/>
      <c r="I25" s="82"/>
      <c r="J25" s="82"/>
      <c r="K25" s="82"/>
      <c r="L25" s="72"/>
    </row>
    <row r="26" customFormat="false" ht="12.75" hidden="false" customHeight="false" outlineLevel="0" collapsed="false">
      <c r="E26" s="62"/>
      <c r="F26" s="83"/>
      <c r="G26" s="84" t="s">
        <v>2</v>
      </c>
      <c r="H26" s="84" t="s">
        <v>3</v>
      </c>
      <c r="I26" s="84" t="s">
        <v>4</v>
      </c>
      <c r="J26" s="84" t="s">
        <v>5</v>
      </c>
      <c r="K26" s="85"/>
    </row>
    <row r="27" customFormat="false" ht="21" hidden="false" customHeight="true" outlineLevel="0" collapsed="false">
      <c r="E27" s="62"/>
      <c r="F27" s="86" t="s">
        <v>32</v>
      </c>
      <c r="G27" s="87" t="e">
        <f aca="false">IF(Include1=TRUE(),IF(BuySell1=1,-1,1)*SUM(Option1!AE4:AE255),0)</f>
        <v>#N/A</v>
      </c>
      <c r="H27" s="87" t="n">
        <f aca="false">IF(Include2=TRUE(),IF(BuySell2=1,-1,1)*SUM(Option2!AE4:AE255),0)</f>
        <v>0</v>
      </c>
      <c r="I27" s="87" t="n">
        <f aca="false">IF(Include3=TRUE(),IF(BuySell3=1,-1,1)*SUM(Option3!AE4:AE255),0)</f>
        <v>0</v>
      </c>
      <c r="J27" s="87" t="n">
        <f aca="false">IF(Include4=TRUE(),IF(BuySell4=1,-1,1)*SUM(Option4!AE4:AE255),0)</f>
        <v>0</v>
      </c>
      <c r="K27" s="85"/>
    </row>
    <row r="28" customFormat="false" ht="12.75" hidden="false" customHeight="false" outlineLevel="0" collapsed="false">
      <c r="C28" s="88"/>
      <c r="E28" s="62"/>
      <c r="F28" s="86" t="s">
        <v>33</v>
      </c>
      <c r="G28" s="89" t="e">
        <f aca="false">IF(Include1=TRUE(),(SUM(Option1!AE4:AE255)/SUM(Option1!U4:U255)/1000),0)</f>
        <v>#N/A</v>
      </c>
      <c r="H28" s="89" t="n">
        <f aca="false">IF(Include2=TRUE(),(SUM(Option2!AE4:AE255)/SUM(Option2!U4:U255)/1000),0)</f>
        <v>0</v>
      </c>
      <c r="I28" s="89" t="n">
        <f aca="false">IF(Include3=TRUE(),(SUM(Option3!AE4:AE255)/SUM(Option3!U4:U255)/1000),0)</f>
        <v>0</v>
      </c>
      <c r="J28" s="89" t="n">
        <f aca="false">IF(Include4=TRUE(),(SUM(Option4!AE4:AE255)/SUM(Option4!U4:U255)/1000),0)</f>
        <v>0</v>
      </c>
      <c r="K28" s="90"/>
    </row>
    <row r="29" customFormat="false" ht="13.5" hidden="false" customHeight="false" outlineLevel="0" collapsed="false">
      <c r="A29" s="62"/>
      <c r="B29" s="62"/>
      <c r="C29" s="91"/>
      <c r="D29" s="62"/>
      <c r="E29" s="62"/>
      <c r="F29" s="92"/>
      <c r="G29" s="93"/>
      <c r="H29" s="94"/>
      <c r="I29" s="93"/>
      <c r="J29" s="93"/>
      <c r="K29" s="95"/>
      <c r="L29" s="96"/>
    </row>
    <row r="30" customFormat="false" ht="13.5" hidden="false" customHeight="false" outlineLevel="0" collapsed="false">
      <c r="A30" s="62"/>
      <c r="B30" s="62"/>
      <c r="C30" s="62"/>
      <c r="D30" s="62"/>
      <c r="E30" s="62"/>
      <c r="F30" s="92"/>
      <c r="G30" s="84" t="s">
        <v>34</v>
      </c>
      <c r="H30" s="97" t="e">
        <f aca="false">SUM(G27:J27)</f>
        <v>#N/A</v>
      </c>
      <c r="I30" s="93"/>
      <c r="J30" s="93"/>
      <c r="K30" s="95"/>
      <c r="L30" s="96"/>
    </row>
    <row r="31" customFormat="false" ht="13.5" hidden="false" customHeight="false" outlineLevel="0" collapsed="false">
      <c r="A31" s="98"/>
      <c r="B31" s="98"/>
      <c r="C31" s="98"/>
      <c r="D31" s="98"/>
      <c r="E31" s="98"/>
      <c r="F31" s="99"/>
      <c r="G31" s="100"/>
      <c r="H31" s="101"/>
      <c r="I31" s="102"/>
      <c r="J31" s="103"/>
      <c r="K31" s="104"/>
      <c r="L31" s="105"/>
      <c r="M31" s="105"/>
    </row>
    <row r="32" customFormat="false" ht="12.75" hidden="false" customHeight="false" outlineLevel="0" collapsed="false">
      <c r="A32" s="62"/>
      <c r="B32" s="106"/>
      <c r="C32" s="106"/>
      <c r="D32" s="106"/>
      <c r="E32" s="106"/>
      <c r="F32" s="107"/>
      <c r="G32" s="62"/>
      <c r="H32" s="62"/>
      <c r="I32" s="62"/>
      <c r="J32" s="62"/>
      <c r="K32" s="96"/>
      <c r="L32" s="108"/>
      <c r="M32" s="108"/>
    </row>
    <row r="33" customFormat="false" ht="12.75" hidden="false" customHeight="false" outlineLevel="0" collapsed="false">
      <c r="A33" s="106"/>
      <c r="B33" s="106"/>
      <c r="C33" s="106"/>
      <c r="D33" s="106"/>
      <c r="E33" s="106"/>
      <c r="F33" s="107"/>
      <c r="G33" s="62"/>
      <c r="H33" s="62"/>
      <c r="I33" s="62"/>
      <c r="J33" s="109"/>
      <c r="K33" s="96"/>
    </row>
    <row r="34" customFormat="false" ht="12.75" hidden="false" customHeight="false" outlineLevel="0" collapsed="false">
      <c r="A34" s="74"/>
      <c r="B34" s="66"/>
      <c r="C34" s="74"/>
      <c r="D34" s="66"/>
      <c r="E34" s="74"/>
      <c r="F34" s="98"/>
      <c r="G34" s="98"/>
      <c r="H34" s="98"/>
      <c r="I34" s="98"/>
      <c r="J34" s="98"/>
      <c r="K34" s="105"/>
    </row>
    <row r="35" customFormat="false" ht="12.75" hidden="false" customHeight="false" outlineLevel="0" collapsed="false">
      <c r="A35" s="74"/>
      <c r="B35" s="66"/>
      <c r="C35" s="74"/>
      <c r="D35" s="66"/>
      <c r="E35" s="74"/>
      <c r="F35" s="106"/>
      <c r="G35" s="106"/>
      <c r="H35" s="106"/>
      <c r="I35" s="106"/>
      <c r="J35" s="106"/>
      <c r="K35" s="108"/>
    </row>
    <row r="36" customFormat="false" ht="12.75" hidden="false" customHeight="false" outlineLevel="0" collapsed="false">
      <c r="A36" s="74"/>
      <c r="B36" s="66"/>
      <c r="C36" s="74"/>
      <c r="D36" s="66"/>
      <c r="E36" s="74"/>
      <c r="F36" s="106"/>
      <c r="G36" s="106"/>
      <c r="H36" s="106"/>
      <c r="I36" s="106"/>
      <c r="J36" s="106"/>
    </row>
    <row r="37" customFormat="false" ht="12.75" hidden="false" customHeight="false" outlineLevel="0" collapsed="false">
      <c r="A37" s="74"/>
      <c r="B37" s="66"/>
      <c r="C37" s="106"/>
      <c r="D37" s="66"/>
      <c r="E37" s="106"/>
      <c r="F37" s="66"/>
      <c r="G37" s="74"/>
      <c r="H37" s="66"/>
      <c r="I37" s="110"/>
      <c r="J37" s="66"/>
    </row>
    <row r="38" customFormat="false" ht="12.75" hidden="false" customHeight="false" outlineLevel="0" collapsed="false">
      <c r="A38" s="74"/>
      <c r="B38" s="66"/>
      <c r="C38" s="74"/>
      <c r="D38" s="66"/>
      <c r="E38" s="74"/>
      <c r="F38" s="66"/>
      <c r="G38" s="74"/>
      <c r="H38" s="66"/>
      <c r="I38" s="110"/>
      <c r="J38" s="66"/>
    </row>
    <row r="39" customFormat="false" ht="12.75" hidden="false" customHeight="false" outlineLevel="0" collapsed="false">
      <c r="A39" s="74"/>
      <c r="B39" s="66"/>
      <c r="C39" s="74"/>
      <c r="D39" s="66"/>
      <c r="E39" s="74"/>
      <c r="F39" s="66"/>
      <c r="G39" s="74"/>
      <c r="H39" s="66"/>
      <c r="I39" s="110"/>
      <c r="J39" s="66"/>
    </row>
    <row r="40" customFormat="false" ht="12.75" hidden="false" customHeight="false" outlineLevel="0" collapsed="false">
      <c r="A40" s="74"/>
      <c r="B40" s="66"/>
      <c r="C40" s="74"/>
      <c r="D40" s="66"/>
      <c r="E40" s="74"/>
      <c r="F40" s="66"/>
      <c r="G40" s="106"/>
      <c r="H40" s="66"/>
      <c r="I40" s="106"/>
      <c r="J40" s="66"/>
    </row>
    <row r="41" customFormat="false" ht="12.75" hidden="false" customHeight="false" outlineLevel="0" collapsed="false">
      <c r="A41" s="74"/>
      <c r="B41" s="66"/>
      <c r="C41" s="74"/>
      <c r="D41" s="66"/>
      <c r="E41" s="74"/>
      <c r="F41" s="66"/>
      <c r="G41" s="74"/>
      <c r="H41" s="66"/>
      <c r="I41" s="110"/>
      <c r="J41" s="66"/>
    </row>
    <row r="42" customFormat="false" ht="12.75" hidden="false" customHeight="false" outlineLevel="0" collapsed="false">
      <c r="A42" s="74"/>
      <c r="B42" s="66"/>
      <c r="C42" s="74"/>
      <c r="D42" s="66"/>
      <c r="E42" s="74"/>
      <c r="F42" s="66"/>
      <c r="G42" s="74"/>
      <c r="H42" s="66"/>
      <c r="I42" s="110"/>
      <c r="J42" s="66"/>
    </row>
    <row r="43" customFormat="false" ht="12.75" hidden="false" customHeight="false" outlineLevel="0" collapsed="false">
      <c r="A43" s="74"/>
      <c r="B43" s="66"/>
      <c r="C43" s="74"/>
      <c r="D43" s="66"/>
      <c r="E43" s="74"/>
      <c r="F43" s="66"/>
      <c r="G43" s="74"/>
      <c r="H43" s="66"/>
      <c r="I43" s="110"/>
      <c r="J43" s="66"/>
    </row>
    <row r="44" customFormat="false" ht="12.75" hidden="false" customHeight="false" outlineLevel="0" collapsed="false">
      <c r="A44" s="74"/>
      <c r="B44" s="66"/>
      <c r="C44" s="74"/>
      <c r="D44" s="66"/>
      <c r="E44" s="74"/>
      <c r="F44" s="66"/>
      <c r="G44" s="74"/>
      <c r="H44" s="66"/>
      <c r="I44" s="110"/>
      <c r="J44" s="66"/>
    </row>
    <row r="45" customFormat="false" ht="12.75" hidden="false" customHeight="false" outlineLevel="0" collapsed="false">
      <c r="A45" s="74"/>
      <c r="B45" s="66"/>
      <c r="C45" s="74"/>
      <c r="D45" s="66"/>
      <c r="E45" s="74"/>
      <c r="F45" s="66"/>
      <c r="G45" s="74"/>
      <c r="H45" s="66"/>
      <c r="I45" s="110"/>
      <c r="J45" s="66"/>
    </row>
    <row r="46" customFormat="false" ht="12.75" hidden="false" customHeight="false" outlineLevel="0" collapsed="false">
      <c r="A46" s="105"/>
      <c r="B46" s="111"/>
      <c r="C46" s="112"/>
      <c r="F46" s="66"/>
      <c r="G46" s="74"/>
      <c r="H46" s="66"/>
      <c r="I46" s="110"/>
      <c r="J46" s="66"/>
    </row>
    <row r="47" customFormat="false" ht="12.75" hidden="false" customHeight="false" outlineLevel="0" collapsed="false">
      <c r="A47" s="105"/>
      <c r="B47" s="111"/>
      <c r="C47" s="112"/>
      <c r="F47" s="66"/>
      <c r="G47" s="74"/>
      <c r="H47" s="66"/>
      <c r="I47" s="110"/>
      <c r="J47" s="66"/>
    </row>
    <row r="48" customFormat="false" ht="12.75" hidden="false" customHeight="false" outlineLevel="0" collapsed="false">
      <c r="F48" s="66"/>
      <c r="G48" s="74"/>
      <c r="H48" s="66"/>
      <c r="I48" s="110"/>
      <c r="J48" s="66"/>
    </row>
  </sheetData>
  <mergeCells count="3">
    <mergeCell ref="A2:D2"/>
    <mergeCell ref="F2:K2"/>
    <mergeCell ref="F25:K2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9">
              <controlPr defaultSize="0" print="false" autoFill="0" autoPict="0" macro="Module1.Curverefresh">
                <anchor moveWithCells="true" sizeWithCells="false">
                  <from>
                    <xdr:col>0</xdr:col>
                    <xdr:colOff>80280</xdr:colOff>
                    <xdr:row>5</xdr:row>
                    <xdr:rowOff>0</xdr:rowOff>
                  </from>
                  <to>
                    <xdr:col>1</xdr:col>
                    <xdr:colOff>564480</xdr:colOff>
                    <xdr:row>6</xdr:row>
                    <xdr:rowOff>133200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Use Vol Smile">
              <controlPr defaultSize="0" locked="1" autoFill="0" autoLine="0" autoPict="0" print="true" altText="Check Box 22">
                <anchor moveWithCells="true" sizeWithCells="false">
                  <from>
                    <xdr:col>1</xdr:col>
                    <xdr:colOff>302040</xdr:colOff>
                    <xdr:row>15</xdr:row>
                    <xdr:rowOff>56880</xdr:rowOff>
                  </from>
                  <to>
                    <xdr:col>3</xdr:col>
                    <xdr:colOff>36720</xdr:colOff>
                    <xdr:row>16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32">
              <controlPr defaultSize="0" print="false" autoFill="0" autoPict="0" macro="Module1.LoadInTheCurves">
                <anchor moveWithCells="true" sizeWithCells="false">
                  <from>
                    <xdr:col>0</xdr:col>
                    <xdr:colOff>50400</xdr:colOff>
                    <xdr:row>3</xdr:row>
                    <xdr:rowOff>28800</xdr:rowOff>
                  </from>
                  <to>
                    <xdr:col>1</xdr:col>
                    <xdr:colOff>564480</xdr:colOff>
                    <xdr:row>4</xdr:row>
                    <xdr:rowOff>152280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64">
              <controlPr defaultSize="0" print="false" autoFill="0" autoPict="0" macro="Module3.PriceTable">
                <anchor moveWithCells="true" sizeWithCells="false">
                  <from>
                    <xdr:col>0</xdr:col>
                    <xdr:colOff>261360</xdr:colOff>
                    <xdr:row>8</xdr:row>
                    <xdr:rowOff>152640</xdr:rowOff>
                  </from>
                  <to>
                    <xdr:col>3</xdr:col>
                    <xdr:colOff>413280</xdr:colOff>
                    <xdr:row>9</xdr:row>
                    <xdr:rowOff>162000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Include Option 1">
              <controlPr defaultSize="0" locked="1" autoFill="0" autoLine="0" autoPict="0" print="true" altText="Check Box 65">
                <anchor moveWithCells="true" sizeWithCells="false">
                  <from>
                    <xdr:col>8</xdr:col>
                    <xdr:colOff>300960</xdr:colOff>
                    <xdr:row>27</xdr:row>
                    <xdr:rowOff>47160</xdr:rowOff>
                  </from>
                  <to>
                    <xdr:col>10</xdr:col>
                    <xdr:colOff>73800</xdr:colOff>
                    <xdr:row>28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Include Option 2">
              <controlPr defaultSize="0" locked="1" autoFill="0" autoLine="0" autoPict="0" print="true" altText="Check Box 69">
                <anchor moveWithCells="true" sizeWithCells="false">
                  <from>
                    <xdr:col>11</xdr:col>
                    <xdr:colOff>142200</xdr:colOff>
                    <xdr:row>27</xdr:row>
                    <xdr:rowOff>47160</xdr:rowOff>
                  </from>
                  <to>
                    <xdr:col>12</xdr:col>
                    <xdr:colOff>562320</xdr:colOff>
                    <xdr:row>28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Include Option 3">
              <controlPr defaultSize="0" locked="1" autoFill="0" autoLine="0" autoPict="0" print="true" altText="Check Box 70">
                <anchor moveWithCells="true" sizeWithCells="false">
                  <from>
                    <xdr:col>13</xdr:col>
                    <xdr:colOff>607680</xdr:colOff>
                    <xdr:row>27</xdr:row>
                    <xdr:rowOff>47160</xdr:rowOff>
                  </from>
                  <to>
                    <xdr:col>15</xdr:col>
                    <xdr:colOff>390240</xdr:colOff>
                    <xdr:row>28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Include Option 4">
              <controlPr defaultSize="0" locked="1" autoFill="0" autoLine="0" autoPict="0" print="true" altText="Check Box 71">
                <anchor moveWithCells="true" sizeWithCells="false">
                  <from>
                    <xdr:col>16</xdr:col>
                    <xdr:colOff>332640</xdr:colOff>
                    <xdr:row>27</xdr:row>
                    <xdr:rowOff>47160</xdr:rowOff>
                  </from>
                  <to>
                    <xdr:col>18</xdr:col>
                    <xdr:colOff>105120</xdr:colOff>
                    <xdr:row>28</xdr:row>
                    <xdr:rowOff>114120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144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O41" activeCellId="0" sqref="O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  <col collapsed="false" customWidth="true" hidden="false" outlineLevel="0" max="2" min="2" style="0" width="9.56"/>
    <col collapsed="false" customWidth="true" hidden="false" outlineLevel="0" max="4" min="4" style="0" width="10.13"/>
    <col collapsed="false" customWidth="true" hidden="false" outlineLevel="0" max="11" min="11" style="0" width="9.85"/>
    <col collapsed="false" customWidth="true" hidden="false" outlineLevel="0" max="33" min="33" style="0" width="5.41"/>
    <col collapsed="false" customWidth="true" hidden="false" outlineLevel="0" max="34" min="34" style="0" width="4.28"/>
    <col collapsed="false" customWidth="true" hidden="false" outlineLevel="0" max="35" min="35" style="0" width="5.85"/>
    <col collapsed="false" customWidth="true" hidden="false" outlineLevel="0" max="36" min="36" style="0" width="3.7"/>
    <col collapsed="false" customWidth="true" hidden="false" outlineLevel="0" max="37" min="37" style="0" width="4.85"/>
    <col collapsed="false" customWidth="true" hidden="false" outlineLevel="0" max="38" min="38" style="0" width="7.56"/>
    <col collapsed="false" customWidth="true" hidden="false" outlineLevel="0" max="39" min="39" style="328" width="10.13"/>
    <col collapsed="false" customWidth="true" hidden="false" outlineLevel="0" max="40" min="40" style="0" width="2.56"/>
    <col collapsed="false" customWidth="true" hidden="false" outlineLevel="0" max="41" min="41" style="0" width="17.7"/>
    <col collapsed="false" customWidth="true" hidden="false" outlineLevel="0" max="42" min="42" style="0" width="3.28"/>
    <col collapsed="false" customWidth="true" hidden="false" outlineLevel="0" max="43" min="43" style="329" width="9.14"/>
    <col collapsed="false" customWidth="true" hidden="false" outlineLevel="0" max="44" min="44" style="0" width="1.85"/>
    <col collapsed="false" customWidth="true" hidden="false" outlineLevel="0" max="45" min="45" style="0" width="21.28"/>
    <col collapsed="false" customWidth="true" hidden="false" outlineLevel="0" max="46" min="46" style="0" width="3.99"/>
    <col collapsed="false" customWidth="true" hidden="false" outlineLevel="0" max="47" min="47" style="328" width="7.42"/>
    <col collapsed="false" customWidth="true" hidden="false" outlineLevel="0" max="48" min="48" style="0" width="3.56"/>
    <col collapsed="false" customWidth="true" hidden="false" outlineLevel="0" max="49" min="49" style="0" width="14.7"/>
    <col collapsed="false" customWidth="true" hidden="false" outlineLevel="0" max="50" min="50" style="0" width="3.14"/>
    <col collapsed="false" customWidth="true" hidden="false" outlineLevel="0" max="51" min="51" style="62" width="10.56"/>
    <col collapsed="false" customWidth="true" hidden="false" outlineLevel="0" max="52" min="52" style="0" width="3.56"/>
    <col collapsed="false" customWidth="true" hidden="false" outlineLevel="0" max="53" min="53" style="0" width="21.42"/>
    <col collapsed="false" customWidth="true" hidden="false" outlineLevel="0" max="54" min="54" style="0" width="2.7"/>
    <col collapsed="false" customWidth="true" hidden="false" outlineLevel="0" max="55" min="55" style="328" width="9.28"/>
    <col collapsed="false" customWidth="true" hidden="false" outlineLevel="0" max="56" min="56" style="0" width="2.84"/>
    <col collapsed="false" customWidth="true" hidden="false" outlineLevel="0" max="57" min="57" style="0" width="21.42"/>
    <col collapsed="false" customWidth="true" hidden="false" outlineLevel="0" max="58" min="58" style="0" width="2.99"/>
    <col collapsed="false" customWidth="true" hidden="false" outlineLevel="0" max="59" min="59" style="0" width="4.99"/>
    <col collapsed="false" customWidth="true" hidden="false" outlineLevel="0" max="60" min="60" style="0" width="1.99"/>
    <col collapsed="false" customWidth="true" hidden="false" outlineLevel="0" max="61" min="61" style="0" width="18.41"/>
  </cols>
  <sheetData>
    <row r="1" customFormat="false" ht="12.75" hidden="false" customHeight="false" outlineLevel="0" collapsed="false">
      <c r="A1" s="330" t="s">
        <v>1302</v>
      </c>
      <c r="G1" s="331" t="s">
        <v>1303</v>
      </c>
      <c r="H1" s="331" t="s">
        <v>1304</v>
      </c>
      <c r="AI1" s="161" t="s">
        <v>1278</v>
      </c>
    </row>
    <row r="2" customFormat="false" ht="12.75" hidden="false" customHeight="false" outlineLevel="0" collapsed="false">
      <c r="A2" s="332"/>
      <c r="B2" s="333" t="s">
        <v>66</v>
      </c>
      <c r="C2" s="333" t="s">
        <v>67</v>
      </c>
      <c r="D2" s="332"/>
      <c r="E2" s="332"/>
      <c r="G2" s="334" t="s">
        <v>1305</v>
      </c>
      <c r="H2" s="335" t="n">
        <f aca="false">IF(N13=2,AVERAGE(B14:M29),AVERAGE(B13:M28))</f>
        <v>1.00001500065403</v>
      </c>
      <c r="I2" s="332"/>
      <c r="J2" s="332"/>
      <c r="K2" s="332"/>
      <c r="L2" s="332"/>
      <c r="M2" s="332"/>
      <c r="N2" s="332"/>
      <c r="O2" s="311"/>
      <c r="P2" s="311"/>
      <c r="AG2" s="311" t="s">
        <v>1287</v>
      </c>
      <c r="AH2" s="311" t="s">
        <v>1280</v>
      </c>
      <c r="AI2" s="312" t="s">
        <v>1281</v>
      </c>
      <c r="AJ2" s="311" t="s">
        <v>1306</v>
      </c>
      <c r="AK2" s="311" t="s">
        <v>1283</v>
      </c>
      <c r="AL2" s="311"/>
      <c r="AM2" s="419"/>
      <c r="AN2" s="62"/>
      <c r="AO2" s="341"/>
      <c r="AP2" s="341"/>
      <c r="AQ2" s="413"/>
      <c r="AR2" s="62"/>
      <c r="AS2" s="62"/>
      <c r="AT2" s="62"/>
      <c r="AU2" s="406"/>
      <c r="AV2" s="62"/>
      <c r="AW2" s="62"/>
      <c r="AX2" s="62"/>
      <c r="AZ2" s="62"/>
      <c r="BA2" s="62"/>
      <c r="BB2" s="62"/>
      <c r="BC2" s="406"/>
      <c r="BD2" s="62"/>
      <c r="BE2" s="62"/>
      <c r="BF2" s="62"/>
      <c r="BG2" s="62"/>
      <c r="BH2" s="62"/>
      <c r="BI2" s="62"/>
      <c r="BJ2" s="62"/>
      <c r="BK2" s="62"/>
    </row>
    <row r="3" customFormat="false" ht="12.75" hidden="false" customHeight="false" outlineLevel="0" collapsed="false">
      <c r="A3" s="333" t="s">
        <v>47</v>
      </c>
      <c r="B3" s="338" t="n">
        <f aca="false">IF(N13=2,A14,A13)</f>
        <v>700</v>
      </c>
      <c r="C3" s="338" t="n">
        <f aca="false">IF(N29=1,A29,A28)</f>
        <v>2200</v>
      </c>
      <c r="D3" s="332"/>
      <c r="E3" s="332"/>
      <c r="G3" s="334" t="s">
        <v>1307</v>
      </c>
      <c r="H3" s="335" t="n">
        <f aca="false">AVERAGE(B7:M30)</f>
        <v>1.00000856196963</v>
      </c>
      <c r="I3" s="332"/>
      <c r="J3" s="332"/>
      <c r="K3" s="332"/>
      <c r="L3" s="332"/>
      <c r="M3" s="332"/>
      <c r="N3" s="332"/>
      <c r="O3" s="311"/>
      <c r="P3" s="311"/>
      <c r="AG3" s="311" t="s">
        <v>1300</v>
      </c>
      <c r="AH3" s="311" t="s">
        <v>1300</v>
      </c>
      <c r="AI3" s="312" t="s">
        <v>1301</v>
      </c>
      <c r="AJ3" s="311"/>
      <c r="AK3" s="311"/>
      <c r="AL3" s="311"/>
      <c r="AM3" s="419"/>
      <c r="AN3" s="341"/>
      <c r="AO3" s="412"/>
      <c r="AP3" s="341"/>
      <c r="AQ3" s="413"/>
      <c r="AR3" s="345"/>
      <c r="AS3" s="414"/>
      <c r="AT3" s="414"/>
      <c r="AU3" s="406"/>
      <c r="AV3" s="345"/>
      <c r="AW3" s="345"/>
      <c r="AX3" s="345"/>
      <c r="AY3" s="406"/>
      <c r="AZ3" s="345"/>
      <c r="BA3" s="345"/>
      <c r="BB3" s="345"/>
      <c r="BC3" s="406"/>
      <c r="BD3" s="345"/>
      <c r="BE3" s="345"/>
      <c r="BF3" s="345"/>
      <c r="BG3" s="406"/>
      <c r="BH3" s="345"/>
      <c r="BI3" s="345"/>
      <c r="BJ3" s="415"/>
      <c r="BK3" s="62"/>
    </row>
    <row r="4" customFormat="false" ht="12.75" hidden="false" customHeight="false" outlineLevel="0" collapsed="false">
      <c r="A4" s="348"/>
      <c r="B4" s="349" t="s">
        <v>1316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50"/>
      <c r="O4" s="351" t="s">
        <v>1317</v>
      </c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F4" s="352" t="n">
        <v>36557</v>
      </c>
      <c r="AG4" s="311" t="n">
        <v>21</v>
      </c>
      <c r="AH4" s="311" t="n">
        <v>4</v>
      </c>
      <c r="AI4" s="311" t="n">
        <v>4</v>
      </c>
      <c r="AJ4" s="311" t="n">
        <v>0</v>
      </c>
      <c r="AK4" s="311" t="n">
        <v>29</v>
      </c>
      <c r="AL4" s="311"/>
      <c r="AM4" s="419"/>
      <c r="AN4" s="355"/>
      <c r="AO4" s="243"/>
      <c r="AP4" s="355"/>
      <c r="AQ4" s="416"/>
      <c r="AR4" s="345"/>
      <c r="AS4" s="106"/>
      <c r="AT4" s="106"/>
      <c r="AU4" s="406"/>
      <c r="AV4" s="345"/>
      <c r="AW4" s="362"/>
      <c r="AX4" s="362"/>
      <c r="AY4" s="362"/>
      <c r="AZ4" s="345"/>
      <c r="BA4" s="362"/>
      <c r="BB4" s="362"/>
      <c r="BC4" s="406"/>
      <c r="BD4" s="345"/>
      <c r="BE4" s="362"/>
      <c r="BF4" s="362"/>
      <c r="BG4" s="62"/>
      <c r="BH4" s="345"/>
      <c r="BI4" s="345"/>
      <c r="BJ4" s="415"/>
      <c r="BK4" s="62"/>
    </row>
    <row r="5" customFormat="false" ht="12.75" hidden="false" customHeight="false" outlineLevel="0" collapsed="false">
      <c r="A5" s="365"/>
      <c r="B5" s="366" t="n">
        <v>1</v>
      </c>
      <c r="C5" s="366" t="n">
        <v>2</v>
      </c>
      <c r="D5" s="366" t="n">
        <v>3</v>
      </c>
      <c r="E5" s="366" t="n">
        <v>4</v>
      </c>
      <c r="F5" s="366" t="n">
        <v>5</v>
      </c>
      <c r="G5" s="366" t="n">
        <v>6</v>
      </c>
      <c r="H5" s="366" t="n">
        <v>7</v>
      </c>
      <c r="I5" s="366" t="n">
        <v>8</v>
      </c>
      <c r="J5" s="366" t="n">
        <v>9</v>
      </c>
      <c r="K5" s="366" t="n">
        <v>10</v>
      </c>
      <c r="L5" s="366" t="n">
        <v>11</v>
      </c>
      <c r="M5" s="366" t="n">
        <v>12</v>
      </c>
      <c r="N5" s="365"/>
      <c r="O5" s="367" t="n">
        <v>1</v>
      </c>
      <c r="P5" s="366" t="n">
        <v>2</v>
      </c>
      <c r="Q5" s="366" t="n">
        <v>3</v>
      </c>
      <c r="R5" s="366" t="n">
        <v>4</v>
      </c>
      <c r="S5" s="366" t="n">
        <v>5</v>
      </c>
      <c r="T5" s="366" t="n">
        <v>6</v>
      </c>
      <c r="U5" s="366" t="n">
        <v>7</v>
      </c>
      <c r="V5" s="366" t="n">
        <v>8</v>
      </c>
      <c r="W5" s="366" t="n">
        <v>9</v>
      </c>
      <c r="X5" s="366" t="n">
        <v>10</v>
      </c>
      <c r="Y5" s="366" t="n">
        <v>11</v>
      </c>
      <c r="Z5" s="368" t="n">
        <v>12</v>
      </c>
      <c r="AF5" s="352" t="n">
        <v>36586</v>
      </c>
      <c r="AG5" s="311" t="n">
        <v>23</v>
      </c>
      <c r="AH5" s="311" t="n">
        <v>4</v>
      </c>
      <c r="AI5" s="311" t="n">
        <v>4</v>
      </c>
      <c r="AJ5" s="311" t="n">
        <v>0</v>
      </c>
      <c r="AK5" s="311" t="n">
        <v>31</v>
      </c>
      <c r="AL5" s="311"/>
      <c r="AM5" s="419"/>
      <c r="AN5" s="355"/>
      <c r="AO5" s="243"/>
      <c r="AP5" s="355"/>
      <c r="AQ5" s="413"/>
      <c r="AR5" s="345"/>
      <c r="AS5" s="106"/>
      <c r="AT5" s="106"/>
      <c r="AU5" s="406"/>
      <c r="AV5" s="345"/>
      <c r="AW5" s="362"/>
      <c r="AX5" s="362"/>
      <c r="AY5" s="362"/>
      <c r="AZ5" s="345"/>
      <c r="BA5" s="362"/>
      <c r="BB5" s="362"/>
      <c r="BC5" s="406"/>
      <c r="BD5" s="345"/>
      <c r="BE5" s="362"/>
      <c r="BF5" s="362"/>
      <c r="BG5" s="62"/>
      <c r="BH5" s="345"/>
      <c r="BI5" s="345"/>
      <c r="BJ5" s="415"/>
      <c r="BK5" s="62"/>
    </row>
    <row r="6" customFormat="false" ht="12.75" hidden="false" customHeight="false" outlineLevel="0" collapsed="false">
      <c r="A6" s="333" t="s">
        <v>95</v>
      </c>
      <c r="B6" s="370" t="s">
        <v>1329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 t="s">
        <v>96</v>
      </c>
      <c r="O6" s="371"/>
      <c r="P6" s="372"/>
      <c r="Q6" s="116"/>
      <c r="R6" s="116"/>
      <c r="S6" s="116"/>
      <c r="T6" s="116"/>
      <c r="U6" s="116"/>
      <c r="V6" s="116"/>
      <c r="W6" s="116"/>
      <c r="X6" s="116"/>
      <c r="Y6" s="116"/>
      <c r="Z6" s="295"/>
      <c r="AF6" s="352" t="n">
        <v>36617</v>
      </c>
      <c r="AG6" s="311" t="n">
        <v>20</v>
      </c>
      <c r="AH6" s="311" t="n">
        <v>5</v>
      </c>
      <c r="AI6" s="311" t="n">
        <v>5</v>
      </c>
      <c r="AJ6" s="311" t="n">
        <v>0</v>
      </c>
      <c r="AK6" s="311" t="n">
        <v>30</v>
      </c>
      <c r="AL6" s="311"/>
      <c r="AM6" s="419"/>
      <c r="AN6" s="355"/>
      <c r="AO6" s="243"/>
      <c r="AP6" s="355"/>
      <c r="AQ6" s="413"/>
      <c r="AR6" s="345"/>
      <c r="AS6" s="106"/>
      <c r="AT6" s="106"/>
      <c r="AU6" s="406"/>
      <c r="AV6" s="345"/>
      <c r="AW6" s="362"/>
      <c r="AX6" s="362"/>
      <c r="AY6" s="362"/>
      <c r="AZ6" s="345"/>
      <c r="BA6" s="362"/>
      <c r="BB6" s="362"/>
      <c r="BC6" s="406"/>
      <c r="BD6" s="345"/>
      <c r="BE6" s="362"/>
      <c r="BF6" s="362"/>
      <c r="BG6" s="62"/>
      <c r="BH6" s="62"/>
      <c r="BI6" s="62"/>
      <c r="BJ6" s="62"/>
      <c r="BK6" s="62"/>
    </row>
    <row r="7" customFormat="false" ht="12.75" hidden="false" customHeight="false" outlineLevel="0" collapsed="false">
      <c r="A7" s="332" t="n">
        <v>100</v>
      </c>
      <c r="B7" s="373" t="n">
        <f aca="false">'Power Curves'!AT21</f>
        <v>0.95</v>
      </c>
      <c r="C7" s="373" t="n">
        <f aca="false">'Power Curves'!AU21</f>
        <v>0.95</v>
      </c>
      <c r="D7" s="373" t="n">
        <f aca="false">'Power Curves'!AV21</f>
        <v>0.970407745105669</v>
      </c>
      <c r="E7" s="373" t="n">
        <f aca="false">'Power Curves'!AW21</f>
        <v>0.995812581084143</v>
      </c>
      <c r="F7" s="373" t="n">
        <f aca="false">'Power Curves'!AX21</f>
        <v>0.934833865798727</v>
      </c>
      <c r="G7" s="373" t="n">
        <f aca="false">'Power Curves'!AY21</f>
        <v>1.02</v>
      </c>
      <c r="H7" s="373" t="n">
        <f aca="false">'Power Curves'!AZ21</f>
        <v>1.10934059893359</v>
      </c>
      <c r="I7" s="373" t="n">
        <f aca="false">'Power Curves'!BA21</f>
        <v>1.10934059893359</v>
      </c>
      <c r="J7" s="373" t="n">
        <f aca="false">'Power Curves'!BB21</f>
        <v>1.02</v>
      </c>
      <c r="K7" s="373" t="n">
        <f aca="false">'Power Curves'!BC21</f>
        <v>0.995812581084143</v>
      </c>
      <c r="L7" s="373" t="n">
        <f aca="false">'Power Curves'!BD21</f>
        <v>0.976</v>
      </c>
      <c r="M7" s="373" t="n">
        <f aca="false">'Power Curves'!BE21</f>
        <v>0.976</v>
      </c>
      <c r="N7" s="374" t="n">
        <f aca="false">VALUE('Power Curves'!BF21)</f>
        <v>2</v>
      </c>
      <c r="O7" s="371" t="n">
        <f aca="false">IF(AND($N7=1,$N14=1),AVERAGE(B7:B14),0)</f>
        <v>0</v>
      </c>
      <c r="P7" s="372" t="n">
        <f aca="false">IF(AND($N7=1,$N14=1),AVERAGE(C7:C14),0)</f>
        <v>0</v>
      </c>
      <c r="Q7" s="372" t="n">
        <f aca="false">IF(AND($N7=1,$N14=1),AVERAGE(D7:D14),0)</f>
        <v>0</v>
      </c>
      <c r="R7" s="372" t="n">
        <f aca="false">IF(AND($N7=1,$N14=1),AVERAGE(E7:E14),0)</f>
        <v>0</v>
      </c>
      <c r="S7" s="372" t="n">
        <f aca="false">IF(AND($N7=1,$N14=1),AVERAGE(F7:F14),0)</f>
        <v>0</v>
      </c>
      <c r="T7" s="372" t="n">
        <f aca="false">IF(AND($N7=1,$N14=1),AVERAGE(G7:G14),0)</f>
        <v>0</v>
      </c>
      <c r="U7" s="372" t="n">
        <f aca="false">IF(AND($N7=1,$N14=1),AVERAGE(H7:H14),0)</f>
        <v>0</v>
      </c>
      <c r="V7" s="372" t="n">
        <f aca="false">IF(AND($N7=1,$N14=1),AVERAGE(I7:I14),0)</f>
        <v>0</v>
      </c>
      <c r="W7" s="372" t="n">
        <f aca="false">IF(AND($N7=1,$N14=1),AVERAGE(J7:J14),0)</f>
        <v>0</v>
      </c>
      <c r="X7" s="372" t="n">
        <f aca="false">IF(AND($N7=1,$N14=1),AVERAGE(K7:K14),0)</f>
        <v>0</v>
      </c>
      <c r="Y7" s="372" t="n">
        <f aca="false">IF(AND($N7=1,$N14=1),AVERAGE(L7:L14),0)</f>
        <v>0</v>
      </c>
      <c r="Z7" s="375" t="n">
        <f aca="false">IF(AND($N7=1,$N14=1),AVERAGE(M7:M14),0)</f>
        <v>0</v>
      </c>
      <c r="AF7" s="352" t="n">
        <v>36647</v>
      </c>
      <c r="AG7" s="311" t="n">
        <v>22</v>
      </c>
      <c r="AH7" s="311" t="n">
        <v>4</v>
      </c>
      <c r="AI7" s="311" t="n">
        <v>5</v>
      </c>
      <c r="AJ7" s="311" t="n">
        <v>1</v>
      </c>
      <c r="AK7" s="311" t="n">
        <v>31</v>
      </c>
      <c r="AL7" s="311"/>
      <c r="AM7" s="419"/>
      <c r="AN7" s="355"/>
      <c r="AO7" s="243"/>
      <c r="AP7" s="355"/>
      <c r="AQ7" s="413"/>
      <c r="AR7" s="345"/>
      <c r="AS7" s="106"/>
      <c r="AT7" s="106"/>
      <c r="AU7" s="406"/>
      <c r="AV7" s="62"/>
      <c r="AW7" s="62"/>
      <c r="AX7" s="62"/>
      <c r="AZ7" s="119"/>
      <c r="BA7" s="119"/>
      <c r="BB7" s="119"/>
      <c r="BC7" s="406"/>
      <c r="BD7" s="119"/>
      <c r="BE7" s="119"/>
      <c r="BF7" s="119"/>
      <c r="BG7" s="62"/>
      <c r="BH7" s="62"/>
      <c r="BI7" s="62"/>
      <c r="BJ7" s="415"/>
      <c r="BK7" s="62"/>
    </row>
    <row r="8" customFormat="false" ht="12.75" hidden="false" customHeight="false" outlineLevel="0" collapsed="false">
      <c r="A8" s="332" t="n">
        <v>200</v>
      </c>
      <c r="B8" s="373" t="n">
        <f aca="false">'Power Curves'!AT22</f>
        <v>0.9</v>
      </c>
      <c r="C8" s="373" t="n">
        <f aca="false">'Power Curves'!AU22</f>
        <v>0.9</v>
      </c>
      <c r="D8" s="373" t="n">
        <f aca="false">'Power Curves'!AV22</f>
        <v>0.934329009710238</v>
      </c>
      <c r="E8" s="373" t="n">
        <f aca="false">'Power Curves'!AW22</f>
        <v>0.867490109934275</v>
      </c>
      <c r="F8" s="373" t="n">
        <f aca="false">'Power Curves'!AX22</f>
        <v>0.93</v>
      </c>
      <c r="G8" s="373" t="n">
        <f aca="false">'Power Curves'!AY22</f>
        <v>0.95</v>
      </c>
      <c r="H8" s="373" t="n">
        <f aca="false">'Power Curves'!AZ22</f>
        <v>0.940393910647401</v>
      </c>
      <c r="I8" s="373" t="n">
        <f aca="false">'Power Curves'!BA22</f>
        <v>0.940393910647401</v>
      </c>
      <c r="J8" s="373" t="n">
        <f aca="false">'Power Curves'!BB22</f>
        <v>0.95</v>
      </c>
      <c r="K8" s="373" t="n">
        <f aca="false">'Power Curves'!BC22</f>
        <v>0.867490109934275</v>
      </c>
      <c r="L8" s="373" t="n">
        <f aca="false">'Power Curves'!BD22</f>
        <v>0.9</v>
      </c>
      <c r="M8" s="373" t="n">
        <f aca="false">'Power Curves'!BE22</f>
        <v>0.9</v>
      </c>
      <c r="N8" s="374" t="n">
        <f aca="false">VALUE('Power Curves'!BF22)</f>
        <v>2</v>
      </c>
      <c r="O8" s="371" t="n">
        <f aca="false">IF(AND($N8=1,$N15=1),AVERAGE(B8:B15),0)</f>
        <v>0</v>
      </c>
      <c r="P8" s="372" t="n">
        <f aca="false">IF(AND($N8=1,$N15=1),AVERAGE(C8:C15),0)</f>
        <v>0</v>
      </c>
      <c r="Q8" s="372" t="n">
        <f aca="false">IF(AND($N8=1,$N15=1),AVERAGE(D8:D15),0)</f>
        <v>0</v>
      </c>
      <c r="R8" s="372" t="n">
        <f aca="false">IF(AND($N8=1,$N15=1),AVERAGE(E8:E15),0)</f>
        <v>0</v>
      </c>
      <c r="S8" s="372" t="n">
        <f aca="false">IF(AND($N8=1,$N15=1),AVERAGE(F8:F15),0)</f>
        <v>0</v>
      </c>
      <c r="T8" s="372" t="n">
        <f aca="false">IF(AND($N8=1,$N15=1),AVERAGE(G8:G15),0)</f>
        <v>0</v>
      </c>
      <c r="U8" s="372" t="n">
        <f aca="false">IF(AND($N8=1,$N15=1),AVERAGE(H8:H15),0)</f>
        <v>0</v>
      </c>
      <c r="V8" s="372" t="n">
        <f aca="false">IF(AND($N8=1,$N15=1),AVERAGE(I8:I15),0)</f>
        <v>0</v>
      </c>
      <c r="W8" s="372" t="n">
        <f aca="false">IF(AND($N8=1,$N15=1),AVERAGE(J8:J15),0)</f>
        <v>0</v>
      </c>
      <c r="X8" s="372" t="n">
        <f aca="false">IF(AND($N8=1,$N15=1),AVERAGE(K8:K15),0)</f>
        <v>0</v>
      </c>
      <c r="Y8" s="372" t="n">
        <f aca="false">IF(AND($N8=1,$N15=1),AVERAGE(L8:L15),0)</f>
        <v>0</v>
      </c>
      <c r="Z8" s="375" t="n">
        <f aca="false">IF(AND($N8=1,$N15=1),AVERAGE(M8:M15),0)</f>
        <v>0</v>
      </c>
      <c r="AF8" s="352" t="n">
        <v>36678</v>
      </c>
      <c r="AG8" s="311" t="n">
        <v>22</v>
      </c>
      <c r="AH8" s="311" t="n">
        <v>4</v>
      </c>
      <c r="AI8" s="311" t="n">
        <v>4</v>
      </c>
      <c r="AJ8" s="311" t="n">
        <v>0</v>
      </c>
      <c r="AK8" s="311" t="n">
        <v>30</v>
      </c>
      <c r="AL8" s="311"/>
      <c r="AM8" s="419"/>
      <c r="AN8" s="62"/>
      <c r="AO8" s="341"/>
      <c r="AP8" s="341"/>
      <c r="AQ8" s="413"/>
      <c r="AR8" s="345"/>
      <c r="AS8" s="106"/>
      <c r="AT8" s="106"/>
      <c r="AU8" s="406"/>
      <c r="AV8" s="345"/>
      <c r="AW8" s="345"/>
      <c r="AX8" s="345"/>
      <c r="AY8" s="345"/>
      <c r="AZ8" s="119"/>
      <c r="BA8" s="62"/>
      <c r="BB8" s="62"/>
      <c r="BC8" s="406"/>
      <c r="BD8" s="345"/>
      <c r="BE8" s="345"/>
      <c r="BF8" s="345"/>
      <c r="BG8" s="62"/>
      <c r="BH8" s="62"/>
      <c r="BI8" s="62"/>
      <c r="BJ8" s="62"/>
      <c r="BK8" s="62"/>
    </row>
    <row r="9" customFormat="false" ht="12.75" hidden="false" customHeight="false" outlineLevel="0" collapsed="false">
      <c r="A9" s="332" t="n">
        <v>300</v>
      </c>
      <c r="B9" s="373" t="n">
        <f aca="false">'Power Curves'!AT23</f>
        <v>0.9</v>
      </c>
      <c r="C9" s="373" t="n">
        <f aca="false">'Power Curves'!AU23</f>
        <v>0.9</v>
      </c>
      <c r="D9" s="373" t="n">
        <f aca="false">'Power Curves'!AV23</f>
        <v>0.931716331023903</v>
      </c>
      <c r="E9" s="373" t="n">
        <f aca="false">'Power Curves'!AW23</f>
        <v>0.829968217715179</v>
      </c>
      <c r="F9" s="373" t="n">
        <f aca="false">'Power Curves'!AX23</f>
        <v>0.93</v>
      </c>
      <c r="G9" s="373" t="n">
        <f aca="false">'Power Curves'!AY23</f>
        <v>0.9</v>
      </c>
      <c r="H9" s="373" t="n">
        <f aca="false">'Power Curves'!AZ23</f>
        <v>0.833717786208317</v>
      </c>
      <c r="I9" s="373" t="n">
        <f aca="false">'Power Curves'!BA23</f>
        <v>0.833717786208317</v>
      </c>
      <c r="J9" s="373" t="n">
        <f aca="false">'Power Curves'!BB23</f>
        <v>0.9</v>
      </c>
      <c r="K9" s="373" t="n">
        <f aca="false">'Power Curves'!BC23</f>
        <v>0.829968217715179</v>
      </c>
      <c r="L9" s="373" t="n">
        <f aca="false">'Power Curves'!BD23</f>
        <v>0.9</v>
      </c>
      <c r="M9" s="373" t="n">
        <f aca="false">'Power Curves'!BE23</f>
        <v>0.9</v>
      </c>
      <c r="N9" s="374" t="n">
        <f aca="false">VALUE('Power Curves'!BF23)</f>
        <v>2</v>
      </c>
      <c r="O9" s="371" t="n">
        <f aca="false">IF(AND($N9=1,$N16=1),AVERAGE(B9:B16),0)</f>
        <v>0</v>
      </c>
      <c r="P9" s="372" t="n">
        <f aca="false">IF(AND($N9=1,$N16=1),AVERAGE(C9:C16),0)</f>
        <v>0</v>
      </c>
      <c r="Q9" s="372" t="n">
        <f aca="false">IF(AND($N9=1,$N16=1),AVERAGE(D9:D16),0)</f>
        <v>0</v>
      </c>
      <c r="R9" s="372" t="n">
        <f aca="false">IF(AND($N9=1,$N16=1),AVERAGE(E9:E16),0)</f>
        <v>0</v>
      </c>
      <c r="S9" s="372" t="n">
        <f aca="false">IF(AND($N9=1,$N16=1),AVERAGE(F9:F16),0)</f>
        <v>0</v>
      </c>
      <c r="T9" s="372" t="n">
        <f aca="false">IF(AND($N9=1,$N16=1),AVERAGE(G9:G16),0)</f>
        <v>0</v>
      </c>
      <c r="U9" s="372" t="n">
        <f aca="false">IF(AND($N9=1,$N16=1),AVERAGE(H9:H16),0)</f>
        <v>0</v>
      </c>
      <c r="V9" s="372" t="n">
        <f aca="false">IF(AND($N9=1,$N16=1),AVERAGE(I9:I16),0)</f>
        <v>0</v>
      </c>
      <c r="W9" s="372" t="n">
        <f aca="false">IF(AND($N9=1,$N16=1),AVERAGE(J9:J16),0)</f>
        <v>0</v>
      </c>
      <c r="X9" s="372" t="n">
        <f aca="false">IF(AND($N9=1,$N16=1),AVERAGE(K9:K16),0)</f>
        <v>0</v>
      </c>
      <c r="Y9" s="372" t="n">
        <f aca="false">IF(AND($N9=1,$N16=1),AVERAGE(L9:L16),0)</f>
        <v>0</v>
      </c>
      <c r="Z9" s="375" t="n">
        <f aca="false">IF(AND($N9=1,$N16=1),AVERAGE(M9:M16),0)</f>
        <v>0</v>
      </c>
      <c r="AF9" s="352" t="n">
        <v>36708</v>
      </c>
      <c r="AG9" s="311" t="n">
        <v>20</v>
      </c>
      <c r="AH9" s="311" t="n">
        <v>5</v>
      </c>
      <c r="AI9" s="311" t="n">
        <v>6</v>
      </c>
      <c r="AJ9" s="311" t="n">
        <v>1</v>
      </c>
      <c r="AK9" s="311" t="n">
        <v>31</v>
      </c>
      <c r="AL9" s="311"/>
      <c r="AM9" s="419"/>
      <c r="AN9" s="341"/>
      <c r="AO9" s="412"/>
      <c r="AP9" s="341"/>
      <c r="AQ9" s="417"/>
      <c r="AR9" s="345"/>
      <c r="AS9" s="106"/>
      <c r="AT9" s="106"/>
      <c r="AU9" s="406"/>
      <c r="AV9" s="345"/>
      <c r="AW9" s="362"/>
      <c r="AX9" s="362"/>
      <c r="AY9" s="362"/>
      <c r="AZ9" s="119"/>
      <c r="BA9" s="62"/>
      <c r="BB9" s="62"/>
      <c r="BC9" s="406"/>
      <c r="BD9" s="345"/>
      <c r="BE9" s="362"/>
      <c r="BF9" s="362"/>
      <c r="BG9" s="62"/>
      <c r="BH9" s="62"/>
      <c r="BI9" s="62"/>
      <c r="BJ9" s="62"/>
      <c r="BK9" s="62"/>
    </row>
    <row r="10" customFormat="false" ht="12.75" hidden="false" customHeight="false" outlineLevel="0" collapsed="false">
      <c r="A10" s="332" t="n">
        <v>400</v>
      </c>
      <c r="B10" s="373" t="n">
        <f aca="false">'Power Curves'!AT24</f>
        <v>0.9</v>
      </c>
      <c r="C10" s="373" t="n">
        <f aca="false">'Power Curves'!AU24</f>
        <v>0.9</v>
      </c>
      <c r="D10" s="373" t="n">
        <f aca="false">'Power Curves'!AV24</f>
        <v>0.931716331023903</v>
      </c>
      <c r="E10" s="373" t="n">
        <f aca="false">'Power Curves'!AW24</f>
        <v>0.829968217715179</v>
      </c>
      <c r="F10" s="373" t="n">
        <f aca="false">'Power Curves'!AX24</f>
        <v>0.936</v>
      </c>
      <c r="G10" s="373" t="n">
        <f aca="false">'Power Curves'!AY24</f>
        <v>0.85</v>
      </c>
      <c r="H10" s="373" t="n">
        <f aca="false">'Power Curves'!AZ24</f>
        <v>0.795557301903125</v>
      </c>
      <c r="I10" s="373" t="n">
        <f aca="false">'Power Curves'!BA24</f>
        <v>0.795557301903125</v>
      </c>
      <c r="J10" s="373" t="n">
        <f aca="false">'Power Curves'!BB24</f>
        <v>0.85</v>
      </c>
      <c r="K10" s="373" t="n">
        <f aca="false">'Power Curves'!BC24</f>
        <v>0.829968217715179</v>
      </c>
      <c r="L10" s="373" t="n">
        <f aca="false">'Power Curves'!BD24</f>
        <v>0.9</v>
      </c>
      <c r="M10" s="373" t="n">
        <f aca="false">'Power Curves'!BE24</f>
        <v>0.9</v>
      </c>
      <c r="N10" s="374" t="n">
        <f aca="false">VALUE('Power Curves'!BF24)</f>
        <v>2</v>
      </c>
      <c r="O10" s="371" t="n">
        <f aca="false">IF(AND($N10=1,$N17=1),AVERAGE(B10:B17),0)</f>
        <v>0</v>
      </c>
      <c r="P10" s="372" t="n">
        <f aca="false">IF(AND($N10=1,$N17=1),AVERAGE(C10:C17),0)</f>
        <v>0</v>
      </c>
      <c r="Q10" s="372" t="n">
        <f aca="false">IF(AND($N10=1,$N17=1),AVERAGE(D10:D17),0)</f>
        <v>0</v>
      </c>
      <c r="R10" s="372" t="n">
        <f aca="false">IF(AND($N10=1,$N17=1),AVERAGE(E10:E17),0)</f>
        <v>0</v>
      </c>
      <c r="S10" s="372" t="n">
        <f aca="false">IF(AND($N10=1,$N17=1),AVERAGE(F10:F17),0)</f>
        <v>0</v>
      </c>
      <c r="T10" s="372" t="n">
        <f aca="false">IF(AND($N10=1,$N17=1),AVERAGE(G10:G17),0)</f>
        <v>0</v>
      </c>
      <c r="U10" s="372" t="n">
        <f aca="false">IF(AND($N10=1,$N17=1),AVERAGE(H10:H17),0)</f>
        <v>0</v>
      </c>
      <c r="V10" s="372" t="n">
        <f aca="false">IF(AND($N10=1,$N17=1),AVERAGE(I10:I17),0)</f>
        <v>0</v>
      </c>
      <c r="W10" s="372" t="n">
        <f aca="false">IF(AND($N10=1,$N17=1),AVERAGE(J10:J17),0)</f>
        <v>0</v>
      </c>
      <c r="X10" s="372" t="n">
        <f aca="false">IF(AND($N10=1,$N17=1),AVERAGE(K10:K17),0)</f>
        <v>0</v>
      </c>
      <c r="Y10" s="372" t="n">
        <f aca="false">IF(AND($N10=1,$N17=1),AVERAGE(L10:L17),0)</f>
        <v>0</v>
      </c>
      <c r="Z10" s="375" t="n">
        <f aca="false">IF(AND($N10=1,$N17=1),AVERAGE(M10:M17),0)</f>
        <v>0</v>
      </c>
      <c r="AF10" s="352" t="n">
        <v>36739</v>
      </c>
      <c r="AG10" s="311" t="n">
        <v>23</v>
      </c>
      <c r="AH10" s="311" t="n">
        <v>4</v>
      </c>
      <c r="AI10" s="311" t="n">
        <v>4</v>
      </c>
      <c r="AJ10" s="311" t="n">
        <v>0</v>
      </c>
      <c r="AK10" s="311" t="n">
        <v>31</v>
      </c>
      <c r="AL10" s="311"/>
      <c r="AM10" s="419"/>
      <c r="AN10" s="355"/>
      <c r="AO10" s="243"/>
      <c r="AP10" s="341"/>
      <c r="AQ10" s="417"/>
      <c r="AR10" s="345"/>
      <c r="AS10" s="106"/>
      <c r="AT10" s="106"/>
      <c r="AU10" s="406"/>
      <c r="AV10" s="345"/>
      <c r="AW10" s="362"/>
      <c r="AX10" s="362"/>
      <c r="AY10" s="362"/>
      <c r="AZ10" s="345"/>
      <c r="BA10" s="345"/>
      <c r="BB10" s="345"/>
      <c r="BC10" s="406"/>
      <c r="BD10" s="345"/>
      <c r="BE10" s="362"/>
      <c r="BF10" s="362"/>
      <c r="BG10" s="62"/>
      <c r="BH10" s="62"/>
      <c r="BI10" s="243"/>
      <c r="BJ10" s="418"/>
      <c r="BK10" s="62"/>
    </row>
    <row r="11" customFormat="false" ht="12.75" hidden="false" customHeight="false" outlineLevel="0" collapsed="false">
      <c r="A11" s="332" t="n">
        <v>500</v>
      </c>
      <c r="B11" s="373" t="n">
        <f aca="false">'Power Curves'!AT25</f>
        <v>1</v>
      </c>
      <c r="C11" s="373" t="n">
        <f aca="false">'Power Curves'!AU25</f>
        <v>1</v>
      </c>
      <c r="D11" s="373" t="n">
        <f aca="false">'Power Curves'!AV25</f>
        <v>0.961008684423147</v>
      </c>
      <c r="E11" s="373" t="n">
        <f aca="false">'Power Curves'!AW25</f>
        <v>0.904126416732948</v>
      </c>
      <c r="F11" s="373" t="n">
        <f aca="false">'Power Curves'!AX25</f>
        <v>0.96</v>
      </c>
      <c r="G11" s="373" t="n">
        <f aca="false">'Power Curves'!AY25</f>
        <v>0.895</v>
      </c>
      <c r="H11" s="373" t="n">
        <f aca="false">'Power Curves'!AZ25</f>
        <v>0.813654783608707</v>
      </c>
      <c r="I11" s="373" t="n">
        <f aca="false">'Power Curves'!BA25</f>
        <v>0.813654783608707</v>
      </c>
      <c r="J11" s="373" t="n">
        <f aca="false">'Power Curves'!BB25</f>
        <v>0.895</v>
      </c>
      <c r="K11" s="373" t="n">
        <f aca="false">'Power Curves'!BC25</f>
        <v>0.904126416732948</v>
      </c>
      <c r="L11" s="373" t="n">
        <f aca="false">'Power Curves'!BD25</f>
        <v>0.95</v>
      </c>
      <c r="M11" s="373" t="n">
        <f aca="false">'Power Curves'!BE25</f>
        <v>0.95</v>
      </c>
      <c r="N11" s="374" t="n">
        <f aca="false">VALUE('Power Curves'!BF25)</f>
        <v>2</v>
      </c>
      <c r="O11" s="371" t="n">
        <f aca="false">IF(AND($N11=1,$N18=1),AVERAGE(B11:B18),0)</f>
        <v>0</v>
      </c>
      <c r="P11" s="372" t="n">
        <f aca="false">IF(AND($N11=1,$N18=1),AVERAGE(C11:C18),0)</f>
        <v>0</v>
      </c>
      <c r="Q11" s="372" t="n">
        <f aca="false">IF(AND($N11=1,$N18=1),AVERAGE(D11:D18),0)</f>
        <v>0</v>
      </c>
      <c r="R11" s="372" t="n">
        <f aca="false">IF(AND($N11=1,$N18=1),AVERAGE(E11:E18),0)</f>
        <v>0</v>
      </c>
      <c r="S11" s="372" t="n">
        <f aca="false">IF(AND($N11=1,$N18=1),AVERAGE(F11:F18),0)</f>
        <v>0</v>
      </c>
      <c r="T11" s="372" t="n">
        <f aca="false">IF(AND($N11=1,$N18=1),AVERAGE(G11:G18),0)</f>
        <v>0</v>
      </c>
      <c r="U11" s="372" t="n">
        <f aca="false">IF(AND($N11=1,$N18=1),AVERAGE(H11:H18),0)</f>
        <v>0</v>
      </c>
      <c r="V11" s="372" t="n">
        <f aca="false">IF(AND($N11=1,$N18=1),AVERAGE(I11:I18),0)</f>
        <v>0</v>
      </c>
      <c r="W11" s="372" t="n">
        <f aca="false">IF(AND($N11=1,$N18=1),AVERAGE(J11:J18),0)</f>
        <v>0</v>
      </c>
      <c r="X11" s="372" t="n">
        <f aca="false">IF(AND($N11=1,$N18=1),AVERAGE(K11:K18),0)</f>
        <v>0</v>
      </c>
      <c r="Y11" s="372" t="n">
        <f aca="false">IF(AND($N11=1,$N18=1),AVERAGE(L11:L18),0)</f>
        <v>0</v>
      </c>
      <c r="Z11" s="375" t="n">
        <f aca="false">IF(AND($N11=1,$N18=1),AVERAGE(M11:M18),0)</f>
        <v>0</v>
      </c>
      <c r="AF11" s="352" t="n">
        <v>36770</v>
      </c>
      <c r="AG11" s="311" t="n">
        <v>20</v>
      </c>
      <c r="AH11" s="311" t="n">
        <v>5</v>
      </c>
      <c r="AI11" s="311" t="n">
        <v>5</v>
      </c>
      <c r="AJ11" s="311" t="n">
        <v>1</v>
      </c>
      <c r="AK11" s="311" t="n">
        <v>30</v>
      </c>
      <c r="AL11" s="311"/>
      <c r="AM11" s="419"/>
      <c r="AN11" s="355"/>
      <c r="AO11" s="243"/>
      <c r="AP11" s="341"/>
      <c r="AQ11" s="417"/>
      <c r="AR11" s="345"/>
      <c r="AS11" s="106"/>
      <c r="AT11" s="106"/>
      <c r="AU11" s="406"/>
      <c r="AV11" s="345"/>
      <c r="AW11" s="362"/>
      <c r="AX11" s="362"/>
      <c r="AY11" s="362"/>
      <c r="AZ11" s="345"/>
      <c r="BA11" s="362"/>
      <c r="BB11" s="362"/>
      <c r="BC11" s="406"/>
      <c r="BD11" s="345"/>
      <c r="BE11" s="362"/>
      <c r="BF11" s="362"/>
      <c r="BG11" s="119"/>
      <c r="BH11" s="62"/>
      <c r="BI11" s="62"/>
      <c r="BJ11" s="62"/>
      <c r="BK11" s="62"/>
    </row>
    <row r="12" customFormat="false" ht="12.75" hidden="false" customHeight="false" outlineLevel="0" collapsed="false">
      <c r="A12" s="332" t="n">
        <v>600</v>
      </c>
      <c r="B12" s="373" t="n">
        <f aca="false">'Power Curves'!AT26</f>
        <v>1.35</v>
      </c>
      <c r="C12" s="373" t="n">
        <f aca="false">'Power Curves'!AU26</f>
        <v>1.35</v>
      </c>
      <c r="D12" s="373" t="n">
        <f aca="false">'Power Curves'!AV26</f>
        <v>1.06600068971274</v>
      </c>
      <c r="E12" s="373" t="n">
        <f aca="false">'Power Curves'!AW26</f>
        <v>1.15346940651923</v>
      </c>
      <c r="F12" s="373" t="n">
        <f aca="false">'Power Curves'!AX26</f>
        <v>1.2</v>
      </c>
      <c r="G12" s="373" t="n">
        <f aca="false">'Power Curves'!AY26</f>
        <v>0.92</v>
      </c>
      <c r="H12" s="373" t="n">
        <f aca="false">'Power Curves'!AZ26</f>
        <v>1.021367977662</v>
      </c>
      <c r="I12" s="373" t="n">
        <f aca="false">'Power Curves'!BA26</f>
        <v>1.021367977662</v>
      </c>
      <c r="J12" s="373" t="n">
        <f aca="false">'Power Curves'!BB26</f>
        <v>0.92</v>
      </c>
      <c r="K12" s="373" t="n">
        <f aca="false">'Power Curves'!BC26</f>
        <v>1.15346940651923</v>
      </c>
      <c r="L12" s="373" t="n">
        <f aca="false">'Power Curves'!BD26</f>
        <v>1.2</v>
      </c>
      <c r="M12" s="373" t="n">
        <f aca="false">'Power Curves'!BE26</f>
        <v>1.15</v>
      </c>
      <c r="N12" s="374" t="n">
        <f aca="false">VALUE('Power Curves'!BF26)</f>
        <v>2</v>
      </c>
      <c r="O12" s="371" t="n">
        <f aca="false">IF(AND($N12=1,$N19=1),AVERAGE(B12:B19),0)</f>
        <v>0</v>
      </c>
      <c r="P12" s="372" t="n">
        <f aca="false">IF(AND($N12=1,$N19=1),AVERAGE(C12:C19),0)</f>
        <v>0</v>
      </c>
      <c r="Q12" s="372" t="n">
        <f aca="false">IF(AND($N12=1,$N19=1),AVERAGE(D12:D19),0)</f>
        <v>0</v>
      </c>
      <c r="R12" s="372" t="n">
        <f aca="false">IF(AND($N12=1,$N19=1),AVERAGE(E12:E19),0)</f>
        <v>0</v>
      </c>
      <c r="S12" s="372" t="n">
        <f aca="false">IF(AND($N12=1,$N19=1),AVERAGE(F12:F19),0)</f>
        <v>0</v>
      </c>
      <c r="T12" s="372" t="n">
        <f aca="false">IF(AND($N12=1,$N19=1),AVERAGE(G12:G19),0)</f>
        <v>0</v>
      </c>
      <c r="U12" s="372" t="n">
        <f aca="false">IF(AND($N12=1,$N19=1),AVERAGE(H12:H19),0)</f>
        <v>0</v>
      </c>
      <c r="V12" s="372" t="n">
        <f aca="false">IF(AND($N12=1,$N19=1),AVERAGE(I12:I19),0)</f>
        <v>0</v>
      </c>
      <c r="W12" s="372" t="n">
        <f aca="false">IF(AND($N12=1,$N19=1),AVERAGE(J12:J19),0)</f>
        <v>0</v>
      </c>
      <c r="X12" s="372" t="n">
        <f aca="false">IF(AND($N12=1,$N19=1),AVERAGE(K12:K19),0)</f>
        <v>0</v>
      </c>
      <c r="Y12" s="372" t="n">
        <f aca="false">IF(AND($N12=1,$N19=1),AVERAGE(L12:L19),0)</f>
        <v>0</v>
      </c>
      <c r="Z12" s="375" t="n">
        <f aca="false">IF(AND($N12=1,$N19=1),AVERAGE(M12:M19),0)</f>
        <v>0</v>
      </c>
      <c r="AF12" s="352" t="n">
        <v>36800</v>
      </c>
      <c r="AG12" s="311" t="n">
        <v>22</v>
      </c>
      <c r="AH12" s="311" t="n">
        <v>4</v>
      </c>
      <c r="AI12" s="311" t="n">
        <v>5</v>
      </c>
      <c r="AJ12" s="311" t="n">
        <v>0</v>
      </c>
      <c r="AK12" s="311" t="n">
        <v>31</v>
      </c>
      <c r="AL12" s="311"/>
      <c r="AM12" s="419"/>
      <c r="AN12" s="355"/>
      <c r="AO12" s="243"/>
      <c r="AP12" s="62"/>
      <c r="AQ12" s="417"/>
      <c r="AR12" s="345"/>
      <c r="AS12" s="106"/>
      <c r="AT12" s="106"/>
      <c r="AU12" s="406"/>
      <c r="AV12" s="62"/>
      <c r="AW12" s="62"/>
      <c r="AX12" s="62"/>
      <c r="AZ12" s="345"/>
      <c r="BA12" s="362"/>
      <c r="BB12" s="362"/>
      <c r="BC12" s="406"/>
      <c r="BD12" s="362"/>
      <c r="BE12" s="362"/>
      <c r="BF12" s="362"/>
      <c r="BG12" s="119"/>
      <c r="BH12" s="62"/>
      <c r="BI12" s="62"/>
      <c r="BJ12" s="62"/>
      <c r="BK12" s="62"/>
    </row>
    <row r="13" customFormat="false" ht="12.75" hidden="false" customHeight="false" outlineLevel="0" collapsed="false">
      <c r="A13" s="332" t="n">
        <v>700</v>
      </c>
      <c r="B13" s="373" t="n">
        <f aca="false">'Power Curves'!AT27</f>
        <v>1.35</v>
      </c>
      <c r="C13" s="373" t="n">
        <f aca="false">'Power Curves'!AU27</f>
        <v>1.35</v>
      </c>
      <c r="D13" s="373" t="n">
        <f aca="false">'Power Curves'!AV27</f>
        <v>1.1561</v>
      </c>
      <c r="E13" s="373" t="n">
        <f aca="false">'Power Curves'!AW27</f>
        <v>1.22</v>
      </c>
      <c r="F13" s="373" t="n">
        <f aca="false">'Power Curves'!AX27</f>
        <v>0.85</v>
      </c>
      <c r="G13" s="373" t="n">
        <f aca="false">'Power Curves'!AY27</f>
        <v>0.47</v>
      </c>
      <c r="H13" s="373" t="n">
        <f aca="false">'Power Curves'!AZ27</f>
        <v>0.37</v>
      </c>
      <c r="I13" s="373" t="n">
        <f aca="false">'Power Curves'!BA27</f>
        <v>0.37</v>
      </c>
      <c r="J13" s="373" t="n">
        <f aca="false">'Power Curves'!BB27</f>
        <v>0.45</v>
      </c>
      <c r="K13" s="373" t="n">
        <f aca="false">'Power Curves'!BC27</f>
        <v>1.22</v>
      </c>
      <c r="L13" s="373" t="n">
        <f aca="false">'Power Curves'!BD27</f>
        <v>0.8</v>
      </c>
      <c r="M13" s="373" t="n">
        <f aca="false">'Power Curves'!BE27</f>
        <v>1</v>
      </c>
      <c r="N13" s="374" t="n">
        <f aca="false">VALUE('Power Curves'!BF27)</f>
        <v>1</v>
      </c>
      <c r="O13" s="371" t="n">
        <f aca="false">IF(AND($N13=1,$N20=1),AVERAGE(B13:B20),0)</f>
        <v>1.02007383501259</v>
      </c>
      <c r="P13" s="372" t="n">
        <f aca="false">IF(AND($N13=1,$N20=1),AVERAGE(C13:C20),0)</f>
        <v>1.02007383501259</v>
      </c>
      <c r="Q13" s="372" t="n">
        <f aca="false">IF(AND($N13=1,$N20=1),AVERAGE(D13:D20),0)</f>
        <v>1.0173448699422</v>
      </c>
      <c r="R13" s="372" t="n">
        <f aca="false">IF(AND($N13=1,$N20=1),AVERAGE(E13:E20),0)</f>
        <v>1.005</v>
      </c>
      <c r="S13" s="372" t="n">
        <f aca="false">IF(AND($N13=1,$N20=1),AVERAGE(F13:F20),0)</f>
        <v>0.9509375</v>
      </c>
      <c r="T13" s="372" t="n">
        <f aca="false">IF(AND($N13=1,$N20=1),AVERAGE(G13:G20),0)</f>
        <v>0.735</v>
      </c>
      <c r="U13" s="372" t="n">
        <f aca="false">IF(AND($N13=1,$N20=1),AVERAGE(H13:H20),0)</f>
        <v>0.685</v>
      </c>
      <c r="V13" s="372" t="n">
        <f aca="false">IF(AND($N13=1,$N20=1),AVERAGE(I13:I20),0)</f>
        <v>0.685</v>
      </c>
      <c r="W13" s="372" t="n">
        <f aca="false">IF(AND($N13=1,$N20=1),AVERAGE(J13:J20),0)</f>
        <v>0.706343865313653</v>
      </c>
      <c r="X13" s="372" t="n">
        <f aca="false">IF(AND($N13=1,$N20=1),AVERAGE(K13:K20),0)</f>
        <v>1.005</v>
      </c>
      <c r="Y13" s="372" t="n">
        <f aca="false">IF(AND($N13=1,$N20=1),AVERAGE(L13:L20),0)</f>
        <v>0.917568493150685</v>
      </c>
      <c r="Z13" s="375" t="n">
        <f aca="false">IF(AND($N13=1,$N20=1),AVERAGE(M13:M20),0)</f>
        <v>0.978755993150685</v>
      </c>
      <c r="AF13" s="352" t="n">
        <v>36831</v>
      </c>
      <c r="AG13" s="311" t="n">
        <v>21</v>
      </c>
      <c r="AH13" s="311" t="n">
        <v>4</v>
      </c>
      <c r="AI13" s="311" t="n">
        <v>5</v>
      </c>
      <c r="AJ13" s="311" t="n">
        <v>1</v>
      </c>
      <c r="AK13" s="311" t="n">
        <v>30</v>
      </c>
      <c r="AL13" s="311"/>
      <c r="AM13" s="419"/>
      <c r="AN13" s="355"/>
      <c r="AO13" s="243"/>
      <c r="AP13" s="341"/>
      <c r="AQ13" s="417"/>
      <c r="AR13" s="62"/>
      <c r="AS13" s="62"/>
      <c r="AT13" s="62"/>
      <c r="AU13" s="406"/>
      <c r="AV13" s="345"/>
      <c r="AW13" s="345"/>
      <c r="AX13" s="345"/>
      <c r="AY13" s="345"/>
      <c r="AZ13" s="345"/>
      <c r="BA13" s="362"/>
      <c r="BB13" s="362"/>
      <c r="BC13" s="406"/>
      <c r="BD13" s="345"/>
      <c r="BE13" s="345"/>
      <c r="BF13" s="345"/>
      <c r="BG13" s="119"/>
      <c r="BH13" s="62"/>
      <c r="BI13" s="62"/>
      <c r="BJ13" s="62"/>
      <c r="BK13" s="62"/>
    </row>
    <row r="14" customFormat="false" ht="12.75" hidden="false" customHeight="false" outlineLevel="0" collapsed="false">
      <c r="A14" s="332" t="n">
        <v>800</v>
      </c>
      <c r="B14" s="373" t="n">
        <f aca="false">'Power Curves'!AT28</f>
        <v>1.3485</v>
      </c>
      <c r="C14" s="373" t="n">
        <f aca="false">'Power Curves'!AU28</f>
        <v>1.3485</v>
      </c>
      <c r="D14" s="373" t="n">
        <f aca="false">'Power Curves'!AV28</f>
        <v>1.2485549132948</v>
      </c>
      <c r="E14" s="373" t="n">
        <f aca="false">'Power Curves'!AW28</f>
        <v>1.22</v>
      </c>
      <c r="F14" s="373" t="n">
        <f aca="false">'Power Curves'!AX28</f>
        <v>0.9175</v>
      </c>
      <c r="G14" s="373" t="n">
        <f aca="false">'Power Curves'!AY28</f>
        <v>0.47</v>
      </c>
      <c r="H14" s="373" t="n">
        <f aca="false">'Power Curves'!AZ28</f>
        <v>0.37</v>
      </c>
      <c r="I14" s="373" t="n">
        <f aca="false">'Power Curves'!BA28</f>
        <v>0.37</v>
      </c>
      <c r="J14" s="373" t="n">
        <f aca="false">'Power Curves'!BB28</f>
        <v>0.531365313653137</v>
      </c>
      <c r="K14" s="373" t="n">
        <f aca="false">'Power Curves'!BC28</f>
        <v>1.22</v>
      </c>
      <c r="L14" s="373" t="n">
        <f aca="false">'Power Curves'!BD28</f>
        <v>1.15</v>
      </c>
      <c r="M14" s="373" t="n">
        <f aca="false">'Power Curves'!BE28</f>
        <v>1.2545</v>
      </c>
      <c r="N14" s="374" t="n">
        <f aca="false">VALUE('Power Curves'!BF28)</f>
        <v>1</v>
      </c>
      <c r="O14" s="371" t="n">
        <f aca="false">IF(AND($N14=1,$N21=1),AVERAGE(B14:B21),0)</f>
        <v>0.938823835012595</v>
      </c>
      <c r="P14" s="372" t="n">
        <f aca="false">IF(AND($N14=1,$N21=1),AVERAGE(C14:C21),0)</f>
        <v>0.938823835012595</v>
      </c>
      <c r="Q14" s="372" t="n">
        <f aca="false">IF(AND($N14=1,$N21=1),AVERAGE(D14:D21),0)</f>
        <v>0.976878612716763</v>
      </c>
      <c r="R14" s="372" t="n">
        <f aca="false">IF(AND($N14=1,$N21=1),AVERAGE(E14:E21),0)</f>
        <v>0.9625</v>
      </c>
      <c r="S14" s="372" t="n">
        <f aca="false">IF(AND($N14=1,$N21=1),AVERAGE(F14:F21),0)</f>
        <v>0.9759375</v>
      </c>
      <c r="T14" s="372" t="n">
        <f aca="false">IF(AND($N14=1,$N21=1),AVERAGE(G14:G21),0)</f>
        <v>0.8675</v>
      </c>
      <c r="U14" s="372" t="n">
        <f aca="false">IF(AND($N14=1,$N21=1),AVERAGE(H14:H21),0)</f>
        <v>0.8425</v>
      </c>
      <c r="V14" s="372" t="n">
        <f aca="false">IF(AND($N14=1,$N21=1),AVERAGE(I14:I21),0)</f>
        <v>0.8425</v>
      </c>
      <c r="W14" s="372" t="n">
        <f aca="false">IF(AND($N14=1,$N21=1),AVERAGE(J14:J21),0)</f>
        <v>0.822593865313653</v>
      </c>
      <c r="X14" s="372" t="n">
        <f aca="false">IF(AND($N14=1,$N21=1),AVERAGE(K14:K21),0)</f>
        <v>0.9625</v>
      </c>
      <c r="Y14" s="372" t="n">
        <f aca="false">IF(AND($N14=1,$N21=1),AVERAGE(L14:L21),0)</f>
        <v>0.905068493150685</v>
      </c>
      <c r="Z14" s="375" t="n">
        <f aca="false">IF(AND($N14=1,$N21=1),AVERAGE(M14:M21),0)</f>
        <v>0.945005993150685</v>
      </c>
      <c r="AF14" s="352" t="n">
        <v>36861</v>
      </c>
      <c r="AG14" s="311" t="n">
        <v>20</v>
      </c>
      <c r="AH14" s="311" t="n">
        <v>5</v>
      </c>
      <c r="AI14" s="311" t="n">
        <v>6</v>
      </c>
      <c r="AJ14" s="311" t="n">
        <v>1</v>
      </c>
      <c r="AK14" s="311" t="n">
        <v>31</v>
      </c>
      <c r="AL14" s="311"/>
      <c r="AM14" s="419"/>
      <c r="AN14" s="62"/>
      <c r="AO14" s="62"/>
      <c r="AP14" s="355"/>
      <c r="AQ14" s="417"/>
      <c r="AR14" s="345"/>
      <c r="AS14" s="414"/>
      <c r="AT14" s="414"/>
      <c r="AU14" s="406"/>
      <c r="AV14" s="345"/>
      <c r="AW14" s="362"/>
      <c r="AX14" s="362"/>
      <c r="AY14" s="362"/>
      <c r="AZ14" s="62"/>
      <c r="BA14" s="62"/>
      <c r="BB14" s="62"/>
      <c r="BC14" s="406"/>
      <c r="BD14" s="345"/>
      <c r="BE14" s="362"/>
      <c r="BF14" s="362"/>
      <c r="BG14" s="62"/>
      <c r="BH14" s="62"/>
      <c r="BI14" s="62"/>
      <c r="BJ14" s="62"/>
      <c r="BK14" s="62"/>
    </row>
    <row r="15" customFormat="false" ht="12.75" hidden="false" customHeight="false" outlineLevel="0" collapsed="false">
      <c r="A15" s="332" t="n">
        <v>900</v>
      </c>
      <c r="B15" s="373" t="n">
        <f aca="false">'Power Curves'!AT29</f>
        <v>1.35</v>
      </c>
      <c r="C15" s="373" t="n">
        <f aca="false">'Power Curves'!AU29</f>
        <v>1.35</v>
      </c>
      <c r="D15" s="373" t="n">
        <f aca="false">'Power Curves'!AV29</f>
        <v>1.2485549132948</v>
      </c>
      <c r="E15" s="373" t="n">
        <f aca="false">'Power Curves'!AW29</f>
        <v>1.15</v>
      </c>
      <c r="F15" s="373" t="n">
        <f aca="false">'Power Curves'!AX29</f>
        <v>0.95</v>
      </c>
      <c r="G15" s="373" t="n">
        <f aca="false">'Power Curves'!AY29</f>
        <v>0.47</v>
      </c>
      <c r="H15" s="373" t="n">
        <f aca="false">'Power Curves'!AZ29</f>
        <v>0.37</v>
      </c>
      <c r="I15" s="373" t="n">
        <f aca="false">'Power Curves'!BA29</f>
        <v>0.37</v>
      </c>
      <c r="J15" s="373" t="n">
        <f aca="false">'Power Curves'!BB29</f>
        <v>0.560885608856089</v>
      </c>
      <c r="K15" s="373" t="n">
        <f aca="false">'Power Curves'!BC29</f>
        <v>1.15</v>
      </c>
      <c r="L15" s="373" t="n">
        <f aca="false">'Power Curves'!BD29</f>
        <v>1.15</v>
      </c>
      <c r="M15" s="373" t="n">
        <f aca="false">'Power Curves'!BE29</f>
        <v>1.26</v>
      </c>
      <c r="N15" s="374" t="n">
        <f aca="false">VALUE('Power Curves'!BF29)</f>
        <v>1</v>
      </c>
      <c r="O15" s="371" t="n">
        <f aca="false">IF(AND($N15=1,$N22=1),AVERAGE(B15:B22),0)</f>
        <v>0.870261335012595</v>
      </c>
      <c r="P15" s="372" t="n">
        <f aca="false">IF(AND($N15=1,$N22=1),AVERAGE(C15:C22),0)</f>
        <v>0.870261335012595</v>
      </c>
      <c r="Q15" s="372" t="n">
        <f aca="false">IF(AND($N15=1,$N22=1),AVERAGE(D15:D22),0)</f>
        <v>0.92485549132948</v>
      </c>
      <c r="R15" s="372" t="n">
        <f aca="false">IF(AND($N15=1,$N22=1),AVERAGE(E15:E22),0)</f>
        <v>0.92</v>
      </c>
      <c r="S15" s="372" t="n">
        <f aca="false">IF(AND($N15=1,$N22=1),AVERAGE(F15:F22),0)</f>
        <v>0.99875</v>
      </c>
      <c r="T15" s="372" t="n">
        <f aca="false">IF(AND($N15=1,$N22=1),AVERAGE(G15:G22),0)</f>
        <v>1</v>
      </c>
      <c r="U15" s="372" t="n">
        <f aca="false">IF(AND($N15=1,$N22=1),AVERAGE(H15:H22),0)</f>
        <v>1</v>
      </c>
      <c r="V15" s="372" t="n">
        <f aca="false">IF(AND($N15=1,$N22=1),AVERAGE(I15:I22),0)</f>
        <v>1</v>
      </c>
      <c r="W15" s="372" t="n">
        <f aca="false">IF(AND($N15=1,$N22=1),AVERAGE(J15:J22),0)</f>
        <v>0.934923201107011</v>
      </c>
      <c r="X15" s="372" t="n">
        <f aca="false">IF(AND($N15=1,$N22=1),AVERAGE(K15:K22),0)</f>
        <v>0.92</v>
      </c>
      <c r="Y15" s="372" t="n">
        <f aca="false">IF(AND($N15=1,$N22=1),AVERAGE(L15:L22),0)</f>
        <v>0.848818493150685</v>
      </c>
      <c r="Z15" s="375" t="n">
        <f aca="false">IF(AND($N15=1,$N22=1),AVERAGE(M15:M22),0)</f>
        <v>0.880693493150685</v>
      </c>
      <c r="AF15" s="352" t="n">
        <v>36892</v>
      </c>
      <c r="AG15" s="311" t="n">
        <v>22</v>
      </c>
      <c r="AH15" s="311" t="n">
        <v>4</v>
      </c>
      <c r="AI15" s="311" t="n">
        <v>5</v>
      </c>
      <c r="AJ15" s="311" t="n">
        <v>1</v>
      </c>
      <c r="AK15" s="311" t="n">
        <v>31</v>
      </c>
      <c r="AL15" s="311"/>
      <c r="AM15" s="419"/>
      <c r="AN15" s="341"/>
      <c r="AO15" s="412"/>
      <c r="AP15" s="355"/>
      <c r="AQ15" s="417"/>
      <c r="AR15" s="345"/>
      <c r="AS15" s="106"/>
      <c r="AT15" s="106"/>
      <c r="AU15" s="406"/>
      <c r="AV15" s="345"/>
      <c r="AW15" s="362"/>
      <c r="AX15" s="362"/>
      <c r="AY15" s="362"/>
      <c r="AZ15" s="62"/>
      <c r="BA15" s="62"/>
      <c r="BB15" s="62"/>
      <c r="BC15" s="406"/>
      <c r="BD15" s="345"/>
      <c r="BE15" s="362"/>
      <c r="BF15" s="362"/>
      <c r="BG15" s="62"/>
      <c r="BH15" s="62"/>
      <c r="BI15" s="62"/>
      <c r="BJ15" s="62"/>
      <c r="BK15" s="62"/>
    </row>
    <row r="16" customFormat="false" ht="12.75" hidden="false" customHeight="false" outlineLevel="0" collapsed="false">
      <c r="A16" s="332" t="n">
        <v>1000</v>
      </c>
      <c r="B16" s="373" t="n">
        <f aca="false">'Power Curves'!AT30</f>
        <v>1.1</v>
      </c>
      <c r="C16" s="373" t="n">
        <f aca="false">'Power Curves'!AU30</f>
        <v>1.1</v>
      </c>
      <c r="D16" s="373" t="n">
        <f aca="false">'Power Curves'!AV30</f>
        <v>1.10982658959538</v>
      </c>
      <c r="E16" s="373" t="n">
        <f aca="false">'Power Curves'!AW30</f>
        <v>1</v>
      </c>
      <c r="F16" s="373" t="n">
        <f aca="false">'Power Curves'!AX30</f>
        <v>0.97</v>
      </c>
      <c r="G16" s="373" t="n">
        <f aca="false">'Power Curves'!AY30</f>
        <v>0.47</v>
      </c>
      <c r="H16" s="373" t="n">
        <f aca="false">'Power Curves'!AZ30</f>
        <v>0.37</v>
      </c>
      <c r="I16" s="373" t="n">
        <f aca="false">'Power Curves'!BA30</f>
        <v>0.37</v>
      </c>
      <c r="J16" s="373" t="n">
        <f aca="false">'Power Curves'!BB30</f>
        <v>0.6</v>
      </c>
      <c r="K16" s="373" t="n">
        <f aca="false">'Power Curves'!BC30</f>
        <v>1</v>
      </c>
      <c r="L16" s="373" t="n">
        <f aca="false">'Power Curves'!BD30</f>
        <v>1.15</v>
      </c>
      <c r="M16" s="373" t="n">
        <f aca="false">'Power Curves'!BE30</f>
        <v>1.205</v>
      </c>
      <c r="N16" s="374" t="n">
        <f aca="false">VALUE('Power Curves'!BF30)</f>
        <v>1</v>
      </c>
      <c r="O16" s="371" t="n">
        <f aca="false">IF(AND($N16=1,$N23=1),AVERAGE(B16:B23),0)</f>
        <v>0.826511335012594</v>
      </c>
      <c r="P16" s="372" t="n">
        <f aca="false">IF(AND($N16=1,$N23=1),AVERAGE(C16:C23),0)</f>
        <v>0.826511335012594</v>
      </c>
      <c r="Q16" s="372" t="n">
        <f aca="false">IF(AND($N16=1,$N23=1),AVERAGE(D16:D23),0)</f>
        <v>0.895953757225434</v>
      </c>
      <c r="R16" s="372" t="n">
        <f aca="false">IF(AND($N16=1,$N23=1),AVERAGE(E16:E23),0)</f>
        <v>0.9075</v>
      </c>
      <c r="S16" s="372" t="n">
        <f aca="false">IF(AND($N16=1,$N23=1),AVERAGE(F16:F23),0)</f>
        <v>1.0175</v>
      </c>
      <c r="T16" s="372" t="n">
        <f aca="false">IF(AND($N16=1,$N23=1),AVERAGE(G16:G23),0)</f>
        <v>1.1325</v>
      </c>
      <c r="U16" s="372" t="n">
        <f aca="false">IF(AND($N16=1,$N23=1),AVERAGE(H16:H23),0)</f>
        <v>1.1575</v>
      </c>
      <c r="V16" s="372" t="n">
        <f aca="false">IF(AND($N16=1,$N23=1),AVERAGE(I16:I23),0)</f>
        <v>1.1575</v>
      </c>
      <c r="W16" s="372" t="n">
        <f aca="false">IF(AND($N16=1,$N23=1),AVERAGE(J16:J23),0)</f>
        <v>1.0585625</v>
      </c>
      <c r="X16" s="372" t="n">
        <f aca="false">IF(AND($N16=1,$N23=1),AVERAGE(K16:K23),0)</f>
        <v>0.9075</v>
      </c>
      <c r="Y16" s="372" t="n">
        <f aca="false">IF(AND($N16=1,$N23=1),AVERAGE(L16:L23),0)</f>
        <v>0.830068493150685</v>
      </c>
      <c r="Z16" s="375" t="n">
        <f aca="false">IF(AND($N16=1,$N23=1),AVERAGE(M16:M23),0)</f>
        <v>0.863193493150685</v>
      </c>
      <c r="AF16" s="352" t="n">
        <v>36923</v>
      </c>
      <c r="AG16" s="311" t="n">
        <v>20</v>
      </c>
      <c r="AH16" s="311" t="n">
        <v>4</v>
      </c>
      <c r="AI16" s="311" t="n">
        <v>4</v>
      </c>
      <c r="AJ16" s="311" t="n">
        <v>0</v>
      </c>
      <c r="AK16" s="311" t="n">
        <v>28</v>
      </c>
      <c r="AL16" s="311"/>
      <c r="AM16" s="419"/>
      <c r="AN16" s="355"/>
      <c r="AO16" s="243"/>
      <c r="AP16" s="355"/>
      <c r="AQ16" s="417"/>
      <c r="AR16" s="345"/>
      <c r="AS16" s="106"/>
      <c r="AT16" s="106"/>
      <c r="AU16" s="406"/>
      <c r="AV16" s="345"/>
      <c r="AW16" s="362"/>
      <c r="AX16" s="362"/>
      <c r="AY16" s="362"/>
      <c r="AZ16" s="62"/>
      <c r="BA16" s="62"/>
      <c r="BB16" s="62"/>
      <c r="BC16" s="406"/>
      <c r="BD16" s="345"/>
      <c r="BE16" s="362"/>
      <c r="BF16" s="362"/>
      <c r="BG16" s="62"/>
      <c r="BH16" s="62"/>
      <c r="BI16" s="62"/>
      <c r="BJ16" s="62"/>
      <c r="BK16" s="62"/>
    </row>
    <row r="17" customFormat="false" ht="12.75" hidden="false" customHeight="false" outlineLevel="0" collapsed="false">
      <c r="A17" s="332" t="n">
        <v>1100</v>
      </c>
      <c r="B17" s="373" t="n">
        <f aca="false">'Power Curves'!AT31</f>
        <v>0.886649874055416</v>
      </c>
      <c r="C17" s="373" t="n">
        <f aca="false">'Power Curves'!AU31</f>
        <v>0.886649874055416</v>
      </c>
      <c r="D17" s="373" t="n">
        <f aca="false">'Power Curves'!AV31</f>
        <v>0.878612716763006</v>
      </c>
      <c r="E17" s="373" t="n">
        <f aca="false">'Power Curves'!AW31</f>
        <v>0.9</v>
      </c>
      <c r="F17" s="373" t="n">
        <f aca="false">'Power Curves'!AX31</f>
        <v>0.975</v>
      </c>
      <c r="G17" s="373" t="n">
        <f aca="false">'Power Curves'!AY31</f>
        <v>0.47</v>
      </c>
      <c r="H17" s="373" t="n">
        <f aca="false">'Power Curves'!AZ31</f>
        <v>0.37</v>
      </c>
      <c r="I17" s="373" t="n">
        <f aca="false">'Power Curves'!BA31</f>
        <v>0.37</v>
      </c>
      <c r="J17" s="373" t="n">
        <f aca="false">'Power Curves'!BB31</f>
        <v>0.6635</v>
      </c>
      <c r="K17" s="373" t="n">
        <f aca="false">'Power Curves'!BC31</f>
        <v>0.9</v>
      </c>
      <c r="L17" s="373" t="n">
        <f aca="false">'Power Curves'!BD31</f>
        <v>0.920547945205479</v>
      </c>
      <c r="M17" s="373" t="n">
        <f aca="false">'Power Curves'!BE31</f>
        <v>0.920547945205479</v>
      </c>
      <c r="N17" s="374" t="n">
        <f aca="false">VALUE('Power Curves'!BF31)</f>
        <v>1</v>
      </c>
      <c r="O17" s="371" t="n">
        <f aca="false">IF(AND($N17=1,$N24=1),AVERAGE(B17:B24),0)</f>
        <v>0.851511335012595</v>
      </c>
      <c r="P17" s="372" t="n">
        <f aca="false">IF(AND($N17=1,$N24=1),AVERAGE(C17:C24),0)</f>
        <v>0.851511335012595</v>
      </c>
      <c r="Q17" s="372" t="n">
        <f aca="false">IF(AND($N17=1,$N24=1),AVERAGE(D17:D24),0)</f>
        <v>0.907514450867052</v>
      </c>
      <c r="R17" s="372" t="n">
        <f aca="false">IF(AND($N17=1,$N24=1),AVERAGE(E17:E24),0)</f>
        <v>0.9325</v>
      </c>
      <c r="S17" s="372" t="n">
        <f aca="false">IF(AND($N17=1,$N24=1),AVERAGE(F17:F24),0)</f>
        <v>1.03625</v>
      </c>
      <c r="T17" s="372" t="n">
        <f aca="false">IF(AND($N17=1,$N24=1),AVERAGE(G17:G24),0)</f>
        <v>1.265</v>
      </c>
      <c r="U17" s="372" t="n">
        <f aca="false">IF(AND($N17=1,$N24=1),AVERAGE(H17:H24),0)</f>
        <v>1.315</v>
      </c>
      <c r="V17" s="372" t="n">
        <f aca="false">IF(AND($N17=1,$N24=1),AVERAGE(I17:I24),0)</f>
        <v>1.315</v>
      </c>
      <c r="W17" s="372" t="n">
        <f aca="false">IF(AND($N17=1,$N24=1),AVERAGE(J17:J24),0)</f>
        <v>1.1710625</v>
      </c>
      <c r="X17" s="372" t="n">
        <f aca="false">IF(AND($N17=1,$N24=1),AVERAGE(K17:K24),0)</f>
        <v>0.9325</v>
      </c>
      <c r="Y17" s="372" t="n">
        <f aca="false">IF(AND($N17=1,$N24=1),AVERAGE(L17:L24),0)</f>
        <v>0.843193493150685</v>
      </c>
      <c r="Z17" s="375" t="n">
        <f aca="false">IF(AND($N17=1,$N24=1),AVERAGE(M17:M24),0)</f>
        <v>0.881318493150685</v>
      </c>
      <c r="AF17" s="352" t="n">
        <v>36951</v>
      </c>
      <c r="AG17" s="311" t="n">
        <v>22</v>
      </c>
      <c r="AH17" s="311" t="n">
        <v>5</v>
      </c>
      <c r="AI17" s="311" t="n">
        <v>4</v>
      </c>
      <c r="AJ17" s="311" t="n">
        <v>0</v>
      </c>
      <c r="AK17" s="311" t="n">
        <v>31</v>
      </c>
      <c r="AL17" s="311"/>
      <c r="AM17" s="419"/>
      <c r="AN17" s="355"/>
      <c r="AO17" s="243"/>
      <c r="AP17" s="62"/>
      <c r="AQ17" s="417"/>
      <c r="AR17" s="345"/>
      <c r="AS17" s="106"/>
      <c r="AT17" s="106"/>
      <c r="AU17" s="406"/>
      <c r="AV17" s="62"/>
      <c r="AW17" s="62"/>
      <c r="AX17" s="62"/>
      <c r="AZ17" s="62"/>
      <c r="BA17" s="62"/>
      <c r="BB17" s="62"/>
      <c r="BC17" s="406"/>
      <c r="BD17" s="362"/>
      <c r="BE17" s="362"/>
      <c r="BF17" s="362"/>
      <c r="BG17" s="62"/>
      <c r="BH17" s="62"/>
      <c r="BI17" s="62"/>
      <c r="BJ17" s="62"/>
      <c r="BK17" s="62"/>
    </row>
    <row r="18" customFormat="false" ht="12.75" hidden="false" customHeight="false" outlineLevel="0" collapsed="false">
      <c r="A18" s="332" t="n">
        <v>1200</v>
      </c>
      <c r="B18" s="373" t="n">
        <f aca="false">'Power Curves'!AT32</f>
        <v>0.72544080604534</v>
      </c>
      <c r="C18" s="373" t="n">
        <f aca="false">'Power Curves'!AU32</f>
        <v>0.72544080604534</v>
      </c>
      <c r="D18" s="373" t="n">
        <f aca="false">'Power Curves'!AV32</f>
        <v>0.832369942196532</v>
      </c>
      <c r="E18" s="373" t="n">
        <f aca="false">'Power Curves'!AW32</f>
        <v>0.85</v>
      </c>
      <c r="F18" s="373" t="n">
        <f aca="false">'Power Curves'!AX32</f>
        <v>0.98</v>
      </c>
      <c r="G18" s="373" t="n">
        <f aca="false">'Power Curves'!AY32</f>
        <v>0.47</v>
      </c>
      <c r="H18" s="373" t="n">
        <f aca="false">'Power Curves'!AZ32</f>
        <v>0.37</v>
      </c>
      <c r="I18" s="373" t="n">
        <f aca="false">'Power Curves'!BA32</f>
        <v>0.37</v>
      </c>
      <c r="J18" s="373" t="n">
        <f aca="false">'Power Curves'!BB32</f>
        <v>0.76</v>
      </c>
      <c r="K18" s="373" t="n">
        <f aca="false">'Power Curves'!BC32</f>
        <v>0.85</v>
      </c>
      <c r="L18" s="373" t="n">
        <f aca="false">'Power Curves'!BD32</f>
        <v>0.77</v>
      </c>
      <c r="M18" s="373" t="n">
        <f aca="false">'Power Curves'!BE32</f>
        <v>0.74</v>
      </c>
      <c r="N18" s="374" t="n">
        <f aca="false">VALUE('Power Curves'!BF32)</f>
        <v>1</v>
      </c>
      <c r="O18" s="371" t="n">
        <f aca="false">IF(AND($N18=1,$N25=1),AVERAGE(B18:B25),0)</f>
        <v>0.903180100755668</v>
      </c>
      <c r="P18" s="372" t="n">
        <f aca="false">IF(AND($N18=1,$N25=1),AVERAGE(C18:C25),0)</f>
        <v>0.903180100755668</v>
      </c>
      <c r="Q18" s="372" t="n">
        <f aca="false">IF(AND($N18=1,$N25=1),AVERAGE(D18:D25),0)</f>
        <v>0.947976878612717</v>
      </c>
      <c r="R18" s="372" t="n">
        <f aca="false">IF(AND($N18=1,$N25=1),AVERAGE(E18:E25),0)</f>
        <v>0.96375</v>
      </c>
      <c r="S18" s="372" t="n">
        <f aca="false">IF(AND($N18=1,$N25=1),AVERAGE(F18:F25),0)</f>
        <v>1.058125</v>
      </c>
      <c r="T18" s="372" t="n">
        <f aca="false">IF(AND($N18=1,$N25=1),AVERAGE(G18:G25),0)</f>
        <v>1.3975</v>
      </c>
      <c r="U18" s="372" t="n">
        <f aca="false">IF(AND($N18=1,$N25=1),AVERAGE(H18:H25),0)</f>
        <v>1.4725</v>
      </c>
      <c r="V18" s="372" t="n">
        <f aca="false">IF(AND($N18=1,$N25=1),AVERAGE(I18:I25),0)</f>
        <v>1.4725</v>
      </c>
      <c r="W18" s="372" t="n">
        <f aca="false">IF(AND($N18=1,$N25=1),AVERAGE(J18:J25),0)</f>
        <v>1.269375</v>
      </c>
      <c r="X18" s="372" t="n">
        <f aca="false">IF(AND($N18=1,$N25=1),AVERAGE(K18:K25),0)</f>
        <v>0.96375</v>
      </c>
      <c r="Y18" s="372" t="n">
        <f aca="false">IF(AND($N18=1,$N25=1),AVERAGE(L18:L25),0)</f>
        <v>0.920625</v>
      </c>
      <c r="Z18" s="375" t="n">
        <f aca="false">IF(AND($N18=1,$N25=1),AVERAGE(M18:M25),0)</f>
        <v>0.935</v>
      </c>
      <c r="AF18" s="352" t="n">
        <v>36982</v>
      </c>
      <c r="AG18" s="311" t="n">
        <v>21</v>
      </c>
      <c r="AH18" s="311" t="n">
        <v>4</v>
      </c>
      <c r="AI18" s="311" t="n">
        <v>5</v>
      </c>
      <c r="AJ18" s="311" t="n">
        <v>0</v>
      </c>
      <c r="AK18" s="311" t="n">
        <v>30</v>
      </c>
      <c r="AL18" s="311"/>
      <c r="AM18" s="419"/>
      <c r="AN18" s="355"/>
      <c r="AO18" s="243"/>
      <c r="AP18" s="62"/>
      <c r="AQ18" s="417"/>
      <c r="AR18" s="345"/>
      <c r="AS18" s="106"/>
      <c r="AT18" s="106"/>
      <c r="AU18" s="406"/>
      <c r="AV18" s="345"/>
      <c r="AW18" s="345"/>
      <c r="AX18" s="345"/>
      <c r="AY18" s="345"/>
      <c r="AZ18" s="62"/>
      <c r="BA18" s="62"/>
      <c r="BB18" s="62"/>
      <c r="BC18" s="406"/>
      <c r="BD18" s="345"/>
      <c r="BE18" s="345"/>
      <c r="BF18" s="345"/>
      <c r="BG18" s="62"/>
      <c r="BH18" s="62"/>
      <c r="BI18" s="62"/>
      <c r="BJ18" s="62"/>
      <c r="BK18" s="62"/>
    </row>
    <row r="19" customFormat="false" ht="12.75" hidden="false" customHeight="false" outlineLevel="0" collapsed="false">
      <c r="A19" s="332" t="n">
        <v>1300</v>
      </c>
      <c r="B19" s="373" t="n">
        <f aca="false">'Power Curves'!AT33</f>
        <v>0.7</v>
      </c>
      <c r="C19" s="373" t="n">
        <f aca="false">'Power Curves'!AU33</f>
        <v>0.7</v>
      </c>
      <c r="D19" s="373" t="n">
        <f aca="false">'Power Curves'!AV33</f>
        <v>0.832369942196532</v>
      </c>
      <c r="E19" s="373" t="n">
        <f aca="false">'Power Curves'!AW33</f>
        <v>0.85</v>
      </c>
      <c r="F19" s="373" t="n">
        <f aca="false">'Power Curves'!AX33</f>
        <v>0.975</v>
      </c>
      <c r="G19" s="373" t="n">
        <f aca="false">'Power Curves'!AY33</f>
        <v>1.53</v>
      </c>
      <c r="H19" s="373" t="n">
        <f aca="false">'Power Curves'!AZ33</f>
        <v>1.63</v>
      </c>
      <c r="I19" s="373" t="n">
        <f aca="false">'Power Curves'!BA33</f>
        <v>1.63</v>
      </c>
      <c r="J19" s="373" t="n">
        <f aca="false">'Power Curves'!BB33</f>
        <v>0.935</v>
      </c>
      <c r="K19" s="373" t="n">
        <f aca="false">'Power Curves'!BC33</f>
        <v>0.85</v>
      </c>
      <c r="L19" s="373" t="n">
        <f aca="false">'Power Curves'!BD33</f>
        <v>0.7</v>
      </c>
      <c r="M19" s="373" t="n">
        <f aca="false">'Power Curves'!BE33</f>
        <v>0.73</v>
      </c>
      <c r="N19" s="374" t="n">
        <f aca="false">VALUE('Power Curves'!BF33)</f>
        <v>1</v>
      </c>
      <c r="O19" s="371" t="n">
        <f aca="false">IF(AND($N19=1,$N26=1),AVERAGE(B19:B26),0)</f>
        <v>0.95625</v>
      </c>
      <c r="P19" s="372" t="n">
        <f aca="false">IF(AND($N19=1,$N26=1),AVERAGE(C19:C26),0)</f>
        <v>0.95625</v>
      </c>
      <c r="Q19" s="372" t="n">
        <f aca="false">IF(AND($N19=1,$N26=1),AVERAGE(D19:D26),0)</f>
        <v>0.971098265895954</v>
      </c>
      <c r="R19" s="372" t="n">
        <f aca="false">IF(AND($N19=1,$N26=1),AVERAGE(E19:E26),0)</f>
        <v>0.98875</v>
      </c>
      <c r="S19" s="372" t="n">
        <f aca="false">IF(AND($N19=1,$N26=1),AVERAGE(F19:F26),0)</f>
        <v>1.075625</v>
      </c>
      <c r="T19" s="372" t="n">
        <f aca="false">IF(AND($N19=1,$N26=1),AVERAGE(G19:G26),0)</f>
        <v>1.53</v>
      </c>
      <c r="U19" s="372" t="n">
        <f aca="false">IF(AND($N19=1,$N26=1),AVERAGE(H19:H26),0)</f>
        <v>1.63</v>
      </c>
      <c r="V19" s="372" t="n">
        <f aca="false">IF(AND($N19=1,$N26=1),AVERAGE(I19:I26),0)</f>
        <v>1.63</v>
      </c>
      <c r="W19" s="372" t="n">
        <f aca="false">IF(AND($N19=1,$N26=1),AVERAGE(J19:J26),0)</f>
        <v>1.343125</v>
      </c>
      <c r="X19" s="372" t="n">
        <f aca="false">IF(AND($N19=1,$N26=1),AVERAGE(K19:K26),0)</f>
        <v>0.98875</v>
      </c>
      <c r="Y19" s="372" t="n">
        <f aca="false">IF(AND($N19=1,$N26=1),AVERAGE(L19:L26),0)</f>
        <v>1.016875</v>
      </c>
      <c r="Z19" s="375" t="n">
        <f aca="false">IF(AND($N19=1,$N26=1),AVERAGE(M19:M26),0)</f>
        <v>0.99375</v>
      </c>
      <c r="AF19" s="352" t="n">
        <v>37012</v>
      </c>
      <c r="AG19" s="311" t="n">
        <v>22</v>
      </c>
      <c r="AH19" s="311" t="n">
        <v>4</v>
      </c>
      <c r="AI19" s="311" t="n">
        <v>5</v>
      </c>
      <c r="AJ19" s="311" t="n">
        <v>1</v>
      </c>
      <c r="AK19" s="311" t="n">
        <v>31</v>
      </c>
      <c r="AL19" s="311"/>
      <c r="AM19" s="419"/>
      <c r="AN19" s="355"/>
      <c r="AO19" s="243"/>
      <c r="AP19" s="62"/>
      <c r="AQ19" s="417"/>
      <c r="AR19" s="345"/>
      <c r="AS19" s="106"/>
      <c r="AT19" s="106"/>
      <c r="AU19" s="406"/>
      <c r="AV19" s="345"/>
      <c r="AW19" s="362"/>
      <c r="AX19" s="362"/>
      <c r="AY19" s="362"/>
      <c r="AZ19" s="62"/>
      <c r="BA19" s="62"/>
      <c r="BB19" s="62"/>
      <c r="BC19" s="406"/>
      <c r="BD19" s="345"/>
      <c r="BE19" s="362"/>
      <c r="BF19" s="362"/>
      <c r="BG19" s="62"/>
      <c r="BH19" s="62"/>
      <c r="BI19" s="62"/>
      <c r="BJ19" s="62"/>
      <c r="BK19" s="62"/>
    </row>
    <row r="20" customFormat="false" ht="12.75" hidden="false" customHeight="false" outlineLevel="0" collapsed="false">
      <c r="A20" s="332" t="n">
        <v>1400</v>
      </c>
      <c r="B20" s="373" t="n">
        <f aca="false">'Power Curves'!AT34</f>
        <v>0.7</v>
      </c>
      <c r="C20" s="373" t="n">
        <f aca="false">'Power Curves'!AU34</f>
        <v>0.7</v>
      </c>
      <c r="D20" s="373" t="n">
        <f aca="false">'Power Curves'!AV34</f>
        <v>0.832369942196532</v>
      </c>
      <c r="E20" s="373" t="n">
        <f aca="false">'Power Curves'!AW34</f>
        <v>0.85</v>
      </c>
      <c r="F20" s="373" t="n">
        <f aca="false">'Power Curves'!AX34</f>
        <v>0.99</v>
      </c>
      <c r="G20" s="373" t="n">
        <f aca="false">'Power Curves'!AY34</f>
        <v>1.53</v>
      </c>
      <c r="H20" s="373" t="n">
        <f aca="false">'Power Curves'!AZ34</f>
        <v>1.63</v>
      </c>
      <c r="I20" s="373" t="n">
        <f aca="false">'Power Curves'!BA34</f>
        <v>1.63</v>
      </c>
      <c r="J20" s="373" t="n">
        <f aca="false">'Power Curves'!BB34</f>
        <v>1.15</v>
      </c>
      <c r="K20" s="373" t="n">
        <f aca="false">'Power Curves'!BC34</f>
        <v>0.85</v>
      </c>
      <c r="L20" s="373" t="n">
        <f aca="false">'Power Curves'!BD34</f>
        <v>0.7</v>
      </c>
      <c r="M20" s="373" t="n">
        <f aca="false">'Power Curves'!BE34</f>
        <v>0.72</v>
      </c>
      <c r="N20" s="374" t="n">
        <f aca="false">VALUE('Power Curves'!BF34)</f>
        <v>1</v>
      </c>
      <c r="O20" s="371" t="n">
        <f aca="false">IF(AND($N20=1,$N27=1),AVERAGE(B20:B27),0)</f>
        <v>0.96875</v>
      </c>
      <c r="P20" s="372" t="n">
        <f aca="false">IF(AND($N20=1,$N27=1),AVERAGE(C20:C27),0)</f>
        <v>0.96875</v>
      </c>
      <c r="Q20" s="372" t="n">
        <f aca="false">IF(AND($N20=1,$N27=1),AVERAGE(D20:D27),0)</f>
        <v>0.982658959537572</v>
      </c>
      <c r="R20" s="372" t="n">
        <f aca="false">IF(AND($N20=1,$N27=1),AVERAGE(E20:E27),0)</f>
        <v>0.995</v>
      </c>
      <c r="S20" s="372" t="n">
        <f aca="false">IF(AND($N20=1,$N27=1),AVERAGE(F20:F27),0)</f>
        <v>1.0666026645768</v>
      </c>
      <c r="T20" s="372" t="n">
        <f aca="false">IF(AND($N20=1,$N27=1),AVERAGE(G20:G27),0)</f>
        <v>1.3975</v>
      </c>
      <c r="U20" s="372" t="n">
        <f aca="false">IF(AND($N20=1,$N27=1),AVERAGE(H20:H27),0)</f>
        <v>1.4725</v>
      </c>
      <c r="V20" s="372" t="n">
        <f aca="false">IF(AND($N20=1,$N27=1),AVERAGE(I20:I27),0)</f>
        <v>1.4725</v>
      </c>
      <c r="W20" s="372" t="n">
        <f aca="false">IF(AND($N20=1,$N27=1),AVERAGE(J20:J27),0)</f>
        <v>1.35125</v>
      </c>
      <c r="X20" s="372" t="n">
        <f aca="false">IF(AND($N20=1,$N27=1),AVERAGE(K20:K27),0)</f>
        <v>0.995</v>
      </c>
      <c r="Y20" s="372" t="n">
        <f aca="false">IF(AND($N20=1,$N27=1),AVERAGE(L20:L27),0)</f>
        <v>1.08</v>
      </c>
      <c r="Z20" s="375" t="n">
        <f aca="false">IF(AND($N20=1,$N27=1),AVERAGE(M20:M27),0)</f>
        <v>1.02125</v>
      </c>
      <c r="AF20" s="352" t="n">
        <v>37043</v>
      </c>
      <c r="AG20" s="311" t="n">
        <v>21</v>
      </c>
      <c r="AH20" s="311" t="n">
        <v>5</v>
      </c>
      <c r="AI20" s="311" t="n">
        <v>4</v>
      </c>
      <c r="AJ20" s="311" t="n">
        <v>0</v>
      </c>
      <c r="AK20" s="311" t="n">
        <v>30</v>
      </c>
      <c r="AL20" s="311"/>
      <c r="AM20" s="419"/>
      <c r="AN20" s="62"/>
      <c r="AO20" s="62"/>
      <c r="AP20" s="62"/>
      <c r="AQ20" s="417"/>
      <c r="AR20" s="345"/>
      <c r="AS20" s="106"/>
      <c r="AT20" s="106"/>
      <c r="AU20" s="406"/>
      <c r="AV20" s="345"/>
      <c r="AW20" s="362"/>
      <c r="AX20" s="362"/>
      <c r="AY20" s="362"/>
      <c r="AZ20" s="62"/>
      <c r="BA20" s="62"/>
      <c r="BB20" s="62"/>
      <c r="BC20" s="406"/>
      <c r="BD20" s="345"/>
      <c r="BE20" s="362"/>
      <c r="BF20" s="362"/>
      <c r="BG20" s="62"/>
      <c r="BH20" s="62"/>
      <c r="BI20" s="62"/>
      <c r="BJ20" s="62"/>
      <c r="BK20" s="62"/>
    </row>
    <row r="21" customFormat="false" ht="12.75" hidden="false" customHeight="false" outlineLevel="0" collapsed="false">
      <c r="A21" s="332" t="n">
        <v>1500</v>
      </c>
      <c r="B21" s="373" t="n">
        <f aca="false">'Power Curves'!AT35</f>
        <v>0.7</v>
      </c>
      <c r="C21" s="373" t="n">
        <f aca="false">'Power Curves'!AU35</f>
        <v>0.7</v>
      </c>
      <c r="D21" s="373" t="n">
        <f aca="false">'Power Curves'!AV35</f>
        <v>0.832369942196532</v>
      </c>
      <c r="E21" s="373" t="n">
        <f aca="false">'Power Curves'!AW35</f>
        <v>0.88</v>
      </c>
      <c r="F21" s="373" t="n">
        <f aca="false">'Power Curves'!AX35</f>
        <v>1.05</v>
      </c>
      <c r="G21" s="373" t="n">
        <f aca="false">'Power Curves'!AY35</f>
        <v>1.53</v>
      </c>
      <c r="H21" s="373" t="n">
        <f aca="false">'Power Curves'!AZ35</f>
        <v>1.63</v>
      </c>
      <c r="I21" s="373" t="n">
        <f aca="false">'Power Curves'!BA35</f>
        <v>1.63</v>
      </c>
      <c r="J21" s="373" t="n">
        <f aca="false">'Power Curves'!BB35</f>
        <v>1.38</v>
      </c>
      <c r="K21" s="373" t="n">
        <f aca="false">'Power Curves'!BC35</f>
        <v>0.88</v>
      </c>
      <c r="L21" s="373" t="n">
        <f aca="false">'Power Curves'!BD35</f>
        <v>0.7</v>
      </c>
      <c r="M21" s="373" t="n">
        <f aca="false">'Power Curves'!BE35</f>
        <v>0.73</v>
      </c>
      <c r="N21" s="374" t="n">
        <f aca="false">VALUE('Power Curves'!BF35)</f>
        <v>1</v>
      </c>
      <c r="O21" s="371" t="n">
        <f aca="false">IF(AND($N21=1,$N28=1),AVERAGE(B21:B28),0)</f>
        <v>0.98</v>
      </c>
      <c r="P21" s="372" t="n">
        <f aca="false">IF(AND($N21=1,$N28=1),AVERAGE(C21:C28),0)</f>
        <v>0.98</v>
      </c>
      <c r="Q21" s="372" t="n">
        <f aca="false">IF(AND($N21=1,$N28=1),AVERAGE(D21:D28),0)</f>
        <v>0.982658959537572</v>
      </c>
      <c r="R21" s="372" t="n">
        <f aca="false">IF(AND($N21=1,$N28=1),AVERAGE(E21:E28),0)</f>
        <v>0.995</v>
      </c>
      <c r="S21" s="372" t="n">
        <f aca="false">IF(AND($N21=1,$N28=1),AVERAGE(F21:F28),0)</f>
        <v>1.0491026645768</v>
      </c>
      <c r="T21" s="372" t="n">
        <f aca="false">IF(AND($N21=1,$N28=1),AVERAGE(G21:G28),0)</f>
        <v>1.265</v>
      </c>
      <c r="U21" s="372" t="n">
        <f aca="false">IF(AND($N21=1,$N28=1),AVERAGE(H21:H28),0)</f>
        <v>1.315</v>
      </c>
      <c r="V21" s="372" t="n">
        <f aca="false">IF(AND($N21=1,$N28=1),AVERAGE(I21:I28),0)</f>
        <v>1.315</v>
      </c>
      <c r="W21" s="372" t="n">
        <f aca="false">IF(AND($N21=1,$N28=1),AVERAGE(J21:J28),0)</f>
        <v>1.29375</v>
      </c>
      <c r="X21" s="372" t="n">
        <f aca="false">IF(AND($N21=1,$N28=1),AVERAGE(K21:K28),0)</f>
        <v>0.995</v>
      </c>
      <c r="Y21" s="372" t="n">
        <f aca="false">IF(AND($N21=1,$N28=1),AVERAGE(L21:L28),0)</f>
        <v>1.0825</v>
      </c>
      <c r="Z21" s="375" t="n">
        <f aca="false">IF(AND($N21=1,$N28=1),AVERAGE(M21:M28),0)</f>
        <v>1.02125</v>
      </c>
      <c r="AF21" s="352" t="n">
        <v>37073</v>
      </c>
      <c r="AG21" s="311" t="n">
        <v>21</v>
      </c>
      <c r="AH21" s="311" t="n">
        <v>4</v>
      </c>
      <c r="AI21" s="311" t="n">
        <v>6</v>
      </c>
      <c r="AJ21" s="311" t="n">
        <v>1</v>
      </c>
      <c r="AK21" s="311" t="n">
        <v>31</v>
      </c>
      <c r="AL21" s="311"/>
      <c r="AM21" s="419"/>
      <c r="AN21" s="341"/>
      <c r="AO21" s="412"/>
      <c r="AP21" s="62"/>
      <c r="AQ21" s="417"/>
      <c r="AR21" s="345"/>
      <c r="AS21" s="106"/>
      <c r="AT21" s="106"/>
      <c r="AU21" s="406"/>
      <c r="AV21" s="345"/>
      <c r="AW21" s="362"/>
      <c r="AX21" s="362"/>
      <c r="AY21" s="362"/>
      <c r="AZ21" s="62"/>
      <c r="BA21" s="62"/>
      <c r="BB21" s="62"/>
      <c r="BC21" s="406"/>
      <c r="BD21" s="345"/>
      <c r="BE21" s="362"/>
      <c r="BF21" s="362"/>
      <c r="BG21" s="62"/>
      <c r="BH21" s="62"/>
      <c r="BI21" s="62"/>
      <c r="BJ21" s="62"/>
      <c r="BK21" s="62"/>
    </row>
    <row r="22" customFormat="false" ht="12.75" hidden="false" customHeight="false" outlineLevel="0" collapsed="false">
      <c r="A22" s="332" t="n">
        <v>1600</v>
      </c>
      <c r="B22" s="373" t="n">
        <f aca="false">'Power Curves'!AT36</f>
        <v>0.8</v>
      </c>
      <c r="C22" s="373" t="n">
        <f aca="false">'Power Curves'!AU36</f>
        <v>0.8</v>
      </c>
      <c r="D22" s="373" t="n">
        <f aca="false">'Power Curves'!AV36</f>
        <v>0.832369942196532</v>
      </c>
      <c r="E22" s="373" t="n">
        <f aca="false">'Power Curves'!AW36</f>
        <v>0.88</v>
      </c>
      <c r="F22" s="373" t="n">
        <f aca="false">'Power Curves'!AX36</f>
        <v>1.1</v>
      </c>
      <c r="G22" s="373" t="n">
        <f aca="false">'Power Curves'!AY36</f>
        <v>1.53</v>
      </c>
      <c r="H22" s="373" t="n">
        <f aca="false">'Power Curves'!AZ36</f>
        <v>1.63</v>
      </c>
      <c r="I22" s="373" t="n">
        <f aca="false">'Power Curves'!BA36</f>
        <v>1.63</v>
      </c>
      <c r="J22" s="373" t="n">
        <f aca="false">'Power Curves'!BB36</f>
        <v>1.43</v>
      </c>
      <c r="K22" s="373" t="n">
        <f aca="false">'Power Curves'!BC36</f>
        <v>0.88</v>
      </c>
      <c r="L22" s="373" t="n">
        <f aca="false">'Power Curves'!BD36</f>
        <v>0.7</v>
      </c>
      <c r="M22" s="373" t="n">
        <f aca="false">'Power Curves'!BE36</f>
        <v>0.74</v>
      </c>
      <c r="N22" s="374" t="n">
        <f aca="false">VALUE('Power Curves'!BF36)</f>
        <v>1</v>
      </c>
      <c r="O22" s="371" t="n">
        <f aca="false">IF(AND($N22=1,$N29=1),AVERAGE(B22:B29),0)</f>
        <v>0</v>
      </c>
      <c r="P22" s="372" t="n">
        <f aca="false">IF(AND($N22=1,$N29=1),AVERAGE(C22:C29),0)</f>
        <v>0</v>
      </c>
      <c r="Q22" s="372" t="n">
        <f aca="false">IF(AND($N22=1,$N29=1),AVERAGE(D22:D29),0)</f>
        <v>0</v>
      </c>
      <c r="R22" s="372" t="n">
        <f aca="false">IF(AND($N22=1,$N29=1),AVERAGE(E22:E29),0)</f>
        <v>0</v>
      </c>
      <c r="S22" s="372" t="n">
        <f aca="false">IF(AND($N22=1,$N29=1),AVERAGE(F22:F29),0)</f>
        <v>0</v>
      </c>
      <c r="T22" s="372" t="n">
        <f aca="false">IF(AND($N22=1,$N29=1),AVERAGE(G22:G29),0)</f>
        <v>0</v>
      </c>
      <c r="U22" s="372" t="n">
        <f aca="false">IF(AND($N22=1,$N29=1),AVERAGE(H22:H29),0)</f>
        <v>0</v>
      </c>
      <c r="V22" s="372" t="n">
        <f aca="false">IF(AND($N22=1,$N29=1),AVERAGE(I22:I29),0)</f>
        <v>0</v>
      </c>
      <c r="W22" s="372" t="n">
        <f aca="false">IF(AND($N22=1,$N29=1),AVERAGE(J22:J29),0)</f>
        <v>0</v>
      </c>
      <c r="X22" s="372" t="n">
        <f aca="false">IF(AND($N22=1,$N29=1),AVERAGE(K22:K29),0)</f>
        <v>0</v>
      </c>
      <c r="Y22" s="372" t="n">
        <f aca="false">IF(AND($N22=1,$N29=1),AVERAGE(L22:L29),0)</f>
        <v>0</v>
      </c>
      <c r="Z22" s="375" t="n">
        <f aca="false">IF(AND($N22=1,$N29=1),AVERAGE(M22:M29),0)</f>
        <v>0</v>
      </c>
      <c r="AF22" s="352" t="n">
        <v>37104</v>
      </c>
      <c r="AG22" s="311" t="n">
        <v>23</v>
      </c>
      <c r="AH22" s="311" t="n">
        <v>4</v>
      </c>
      <c r="AI22" s="311" t="n">
        <v>4</v>
      </c>
      <c r="AJ22" s="311" t="n">
        <v>0</v>
      </c>
      <c r="AK22" s="311" t="n">
        <v>31</v>
      </c>
      <c r="AL22" s="311"/>
      <c r="AM22" s="419"/>
      <c r="AN22" s="355"/>
      <c r="AO22" s="243"/>
      <c r="AP22" s="62"/>
      <c r="AQ22" s="417"/>
      <c r="AR22" s="345"/>
      <c r="AS22" s="106"/>
      <c r="AT22" s="106"/>
      <c r="AU22" s="406"/>
      <c r="AV22" s="62"/>
      <c r="AW22" s="62"/>
      <c r="AX22" s="62"/>
      <c r="AZ22" s="62"/>
      <c r="BA22" s="62"/>
      <c r="BB22" s="62"/>
      <c r="BC22" s="406"/>
      <c r="BD22" s="62"/>
      <c r="BE22" s="62"/>
      <c r="BF22" s="62"/>
      <c r="BG22" s="62"/>
      <c r="BH22" s="62"/>
      <c r="BI22" s="62"/>
      <c r="BJ22" s="62"/>
      <c r="BK22" s="62"/>
    </row>
    <row r="23" customFormat="false" ht="12.75" hidden="false" customHeight="false" outlineLevel="0" collapsed="false">
      <c r="A23" s="332" t="n">
        <v>1700</v>
      </c>
      <c r="B23" s="373" t="n">
        <f aca="false">'Power Curves'!AT37</f>
        <v>1</v>
      </c>
      <c r="C23" s="373" t="n">
        <f aca="false">'Power Curves'!AU37</f>
        <v>1</v>
      </c>
      <c r="D23" s="373" t="n">
        <f aca="false">'Power Curves'!AV37</f>
        <v>1.01734104046243</v>
      </c>
      <c r="E23" s="373" t="n">
        <f aca="false">'Power Curves'!AW37</f>
        <v>1.05</v>
      </c>
      <c r="F23" s="373" t="n">
        <f aca="false">'Power Curves'!AX37</f>
        <v>1.1</v>
      </c>
      <c r="G23" s="373" t="n">
        <f aca="false">'Power Curves'!AY37</f>
        <v>1.53</v>
      </c>
      <c r="H23" s="373" t="n">
        <f aca="false">'Power Curves'!AZ37</f>
        <v>1.63</v>
      </c>
      <c r="I23" s="373" t="n">
        <f aca="false">'Power Curves'!BA37</f>
        <v>1.63</v>
      </c>
      <c r="J23" s="373" t="n">
        <f aca="false">'Power Curves'!BB37</f>
        <v>1.55</v>
      </c>
      <c r="K23" s="373" t="n">
        <f aca="false">'Power Curves'!BC37</f>
        <v>1.05</v>
      </c>
      <c r="L23" s="373" t="n">
        <f aca="false">'Power Curves'!BD37</f>
        <v>1</v>
      </c>
      <c r="M23" s="373" t="n">
        <f aca="false">'Power Curves'!BE37</f>
        <v>1.12</v>
      </c>
      <c r="N23" s="374" t="n">
        <f aca="false">VALUE('Power Curves'!BF37)</f>
        <v>1</v>
      </c>
      <c r="O23" s="371" t="n">
        <f aca="false">IF(AND($N23=1,$N30=1),AVERAGE(B23:B30),0)</f>
        <v>0</v>
      </c>
      <c r="P23" s="372" t="n">
        <f aca="false">IF(AND($N23=1,$N30=1),AVERAGE(C23:C30),0)</f>
        <v>0</v>
      </c>
      <c r="Q23" s="372" t="n">
        <f aca="false">IF(AND($N23=1,$N30=1),AVERAGE(D23:D30),0)</f>
        <v>0</v>
      </c>
      <c r="R23" s="372" t="n">
        <f aca="false">IF(AND($N23=1,$N30=1),AVERAGE(E23:E30),0)</f>
        <v>0</v>
      </c>
      <c r="S23" s="372" t="n">
        <f aca="false">IF(AND($N23=1,$N30=1),AVERAGE(F23:F30),0)</f>
        <v>0</v>
      </c>
      <c r="T23" s="372" t="n">
        <f aca="false">IF(AND($N23=1,$N30=1),AVERAGE(G23:G30),0)</f>
        <v>0</v>
      </c>
      <c r="U23" s="372" t="n">
        <f aca="false">IF(AND($N23=1,$N30=1),AVERAGE(H23:H30),0)</f>
        <v>0</v>
      </c>
      <c r="V23" s="372" t="n">
        <f aca="false">IF(AND($N23=1,$N30=1),AVERAGE(I23:I30),0)</f>
        <v>0</v>
      </c>
      <c r="W23" s="372" t="n">
        <f aca="false">IF(AND($N23=1,$N30=1),AVERAGE(J23:J30),0)</f>
        <v>0</v>
      </c>
      <c r="X23" s="372" t="n">
        <f aca="false">IF(AND($N23=1,$N30=1),AVERAGE(K23:K30),0)</f>
        <v>0</v>
      </c>
      <c r="Y23" s="372" t="n">
        <f aca="false">IF(AND($N23=1,$N30=1),AVERAGE(L23:L30),0)</f>
        <v>0</v>
      </c>
      <c r="Z23" s="375" t="n">
        <f aca="false">IF(AND($N23=1,$N30=1),AVERAGE(M23:M30),0)</f>
        <v>0</v>
      </c>
      <c r="AF23" s="352" t="n">
        <v>37135</v>
      </c>
      <c r="AG23" s="311" t="n">
        <v>19</v>
      </c>
      <c r="AH23" s="311" t="n">
        <v>5</v>
      </c>
      <c r="AI23" s="311" t="n">
        <v>6</v>
      </c>
      <c r="AJ23" s="311" t="n">
        <v>1</v>
      </c>
      <c r="AK23" s="311" t="n">
        <v>30</v>
      </c>
      <c r="AL23" s="311"/>
      <c r="AM23" s="419"/>
      <c r="AN23" s="355"/>
      <c r="AO23" s="243"/>
      <c r="AP23" s="62"/>
      <c r="AQ23" s="417"/>
      <c r="AR23" s="345"/>
      <c r="AS23" s="106"/>
      <c r="AT23" s="106"/>
      <c r="AU23" s="406"/>
      <c r="AV23" s="62"/>
      <c r="AW23" s="62"/>
      <c r="AX23" s="62"/>
      <c r="AZ23" s="62"/>
      <c r="BA23" s="62"/>
      <c r="BB23" s="62"/>
      <c r="BC23" s="406"/>
      <c r="BD23" s="62"/>
      <c r="BE23" s="62"/>
      <c r="BF23" s="62"/>
      <c r="BG23" s="62"/>
      <c r="BH23" s="62"/>
      <c r="BI23" s="62"/>
      <c r="BJ23" s="62"/>
      <c r="BK23" s="62"/>
    </row>
    <row r="24" customFormat="false" ht="12.75" hidden="false" customHeight="false" outlineLevel="0" collapsed="false">
      <c r="A24" s="332" t="n">
        <v>1800</v>
      </c>
      <c r="B24" s="373" t="n">
        <f aca="false">'Power Curves'!AT38</f>
        <v>1.3</v>
      </c>
      <c r="C24" s="373" t="n">
        <f aca="false">'Power Curves'!AU38</f>
        <v>1.3</v>
      </c>
      <c r="D24" s="373" t="n">
        <f aca="false">'Power Curves'!AV38</f>
        <v>1.20231213872832</v>
      </c>
      <c r="E24" s="373" t="n">
        <f aca="false">'Power Curves'!AW38</f>
        <v>1.2</v>
      </c>
      <c r="F24" s="373" t="n">
        <f aca="false">'Power Curves'!AX38</f>
        <v>1.12</v>
      </c>
      <c r="G24" s="373" t="n">
        <f aca="false">'Power Curves'!AY38</f>
        <v>1.53</v>
      </c>
      <c r="H24" s="373" t="n">
        <f aca="false">'Power Curves'!AZ38</f>
        <v>1.63</v>
      </c>
      <c r="I24" s="373" t="n">
        <f aca="false">'Power Curves'!BA38</f>
        <v>1.63</v>
      </c>
      <c r="J24" s="373" t="n">
        <f aca="false">'Power Curves'!BB38</f>
        <v>1.5</v>
      </c>
      <c r="K24" s="373" t="n">
        <f aca="false">'Power Curves'!BC38</f>
        <v>1.2</v>
      </c>
      <c r="L24" s="373" t="n">
        <f aca="false">'Power Curves'!BD38</f>
        <v>1.255</v>
      </c>
      <c r="M24" s="373" t="n">
        <f aca="false">'Power Curves'!BE38</f>
        <v>1.35</v>
      </c>
      <c r="N24" s="374" t="n">
        <f aca="false">VALUE('Power Curves'!BF38)</f>
        <v>1</v>
      </c>
      <c r="O24" s="371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Z24" s="375"/>
      <c r="AF24" s="352" t="n">
        <v>37165</v>
      </c>
      <c r="AG24" s="311" t="n">
        <v>23</v>
      </c>
      <c r="AH24" s="311" t="n">
        <v>4</v>
      </c>
      <c r="AI24" s="311" t="n">
        <v>4</v>
      </c>
      <c r="AJ24" s="311" t="n">
        <v>0</v>
      </c>
      <c r="AK24" s="311" t="n">
        <v>31</v>
      </c>
      <c r="AL24" s="311"/>
      <c r="AM24" s="419"/>
      <c r="AN24" s="355"/>
      <c r="AO24" s="243"/>
      <c r="AP24" s="62"/>
      <c r="AQ24" s="417"/>
      <c r="AR24" s="62"/>
      <c r="AS24" s="62"/>
      <c r="AT24" s="62"/>
      <c r="AU24" s="406"/>
      <c r="AV24" s="62"/>
      <c r="AW24" s="62"/>
      <c r="AX24" s="62"/>
      <c r="AZ24" s="62"/>
      <c r="BA24" s="62"/>
      <c r="BB24" s="62"/>
      <c r="BC24" s="406"/>
      <c r="BD24" s="62"/>
      <c r="BE24" s="62"/>
      <c r="BF24" s="62"/>
      <c r="BG24" s="62"/>
      <c r="BH24" s="62"/>
      <c r="BI24" s="62"/>
      <c r="BJ24" s="62"/>
      <c r="BK24" s="62"/>
    </row>
    <row r="25" customFormat="false" ht="12.75" hidden="false" customHeight="false" outlineLevel="0" collapsed="false">
      <c r="A25" s="332" t="n">
        <v>1900</v>
      </c>
      <c r="B25" s="373" t="n">
        <f aca="false">'Power Curves'!AT39</f>
        <v>1.3</v>
      </c>
      <c r="C25" s="373" t="n">
        <f aca="false">'Power Curves'!AU39</f>
        <v>1.3</v>
      </c>
      <c r="D25" s="373" t="n">
        <f aca="false">'Power Curves'!AV39</f>
        <v>1.20231213872832</v>
      </c>
      <c r="E25" s="373" t="n">
        <f aca="false">'Power Curves'!AW39</f>
        <v>1.15</v>
      </c>
      <c r="F25" s="373" t="n">
        <f aca="false">'Power Curves'!AX39</f>
        <v>1.15</v>
      </c>
      <c r="G25" s="373" t="n">
        <f aca="false">'Power Curves'!AY39</f>
        <v>1.53</v>
      </c>
      <c r="H25" s="373" t="n">
        <f aca="false">'Power Curves'!AZ39</f>
        <v>1.63</v>
      </c>
      <c r="I25" s="373" t="n">
        <f aca="false">'Power Curves'!BA39</f>
        <v>1.63</v>
      </c>
      <c r="J25" s="373" t="n">
        <f aca="false">'Power Curves'!BB39</f>
        <v>1.45</v>
      </c>
      <c r="K25" s="373" t="n">
        <f aca="false">'Power Curves'!BC39</f>
        <v>1.15</v>
      </c>
      <c r="L25" s="373" t="n">
        <f aca="false">'Power Curves'!BD39</f>
        <v>1.54</v>
      </c>
      <c r="M25" s="373" t="n">
        <f aca="false">'Power Curves'!BE39</f>
        <v>1.35</v>
      </c>
      <c r="N25" s="374" t="n">
        <f aca="false">VALUE('Power Curves'!BF39)</f>
        <v>1</v>
      </c>
      <c r="O25" s="371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5"/>
      <c r="AF25" s="352" t="n">
        <v>37196</v>
      </c>
      <c r="AG25" s="311" t="n">
        <v>21</v>
      </c>
      <c r="AH25" s="311" t="n">
        <v>4</v>
      </c>
      <c r="AI25" s="311" t="n">
        <v>5</v>
      </c>
      <c r="AJ25" s="311" t="n">
        <v>1</v>
      </c>
      <c r="AK25" s="311" t="n">
        <v>30</v>
      </c>
      <c r="AL25" s="311"/>
      <c r="AM25" s="419"/>
      <c r="AN25" s="355"/>
      <c r="AO25" s="243"/>
      <c r="AP25" s="62"/>
      <c r="AQ25" s="417"/>
      <c r="AR25" s="345"/>
      <c r="AS25" s="414"/>
      <c r="AT25" s="414"/>
      <c r="AU25" s="406"/>
      <c r="AV25" s="62"/>
      <c r="AW25" s="62"/>
      <c r="AX25" s="62"/>
      <c r="AZ25" s="62"/>
      <c r="BA25" s="62"/>
      <c r="BB25" s="62"/>
      <c r="BC25" s="406"/>
      <c r="BD25" s="62"/>
      <c r="BE25" s="62"/>
      <c r="BF25" s="62"/>
      <c r="BG25" s="62"/>
      <c r="BH25" s="62"/>
      <c r="BI25" s="62"/>
      <c r="BJ25" s="62"/>
      <c r="BK25" s="62"/>
    </row>
    <row r="26" customFormat="false" ht="12.75" hidden="false" customHeight="false" outlineLevel="0" collapsed="false">
      <c r="A26" s="332" t="n">
        <v>2000</v>
      </c>
      <c r="B26" s="373" t="n">
        <f aca="false">'Power Curves'!AT40</f>
        <v>1.15</v>
      </c>
      <c r="C26" s="373" t="n">
        <f aca="false">'Power Curves'!AU40</f>
        <v>1.15</v>
      </c>
      <c r="D26" s="373" t="n">
        <f aca="false">'Power Curves'!AV40</f>
        <v>1.01734104046243</v>
      </c>
      <c r="E26" s="373" t="n">
        <f aca="false">'Power Curves'!AW40</f>
        <v>1.05</v>
      </c>
      <c r="F26" s="373" t="n">
        <f aca="false">'Power Curves'!AX40</f>
        <v>1.12</v>
      </c>
      <c r="G26" s="373" t="n">
        <f aca="false">'Power Curves'!AY40</f>
        <v>1.53</v>
      </c>
      <c r="H26" s="373" t="n">
        <f aca="false">'Power Curves'!AZ40</f>
        <v>1.63</v>
      </c>
      <c r="I26" s="373" t="n">
        <f aca="false">'Power Curves'!BA40</f>
        <v>1.63</v>
      </c>
      <c r="J26" s="373" t="n">
        <f aca="false">'Power Curves'!BB40</f>
        <v>1.35</v>
      </c>
      <c r="K26" s="373" t="n">
        <f aca="false">'Power Curves'!BC40</f>
        <v>1.05</v>
      </c>
      <c r="L26" s="373" t="n">
        <f aca="false">'Power Curves'!BD40</f>
        <v>1.54</v>
      </c>
      <c r="M26" s="373" t="n">
        <f aca="false">'Power Curves'!BE40</f>
        <v>1.21</v>
      </c>
      <c r="N26" s="374" t="n">
        <f aca="false">VALUE('Power Curves'!BF40)</f>
        <v>1</v>
      </c>
      <c r="O26" s="371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Z26" s="375"/>
      <c r="AF26" s="352" t="n">
        <v>37226</v>
      </c>
      <c r="AG26" s="311" t="n">
        <v>20</v>
      </c>
      <c r="AH26" s="311" t="n">
        <v>5</v>
      </c>
      <c r="AI26" s="311" t="n">
        <v>6</v>
      </c>
      <c r="AJ26" s="311" t="n">
        <v>1</v>
      </c>
      <c r="AK26" s="311" t="n">
        <v>31</v>
      </c>
      <c r="AL26" s="311"/>
      <c r="AM26" s="419"/>
      <c r="AN26" s="62"/>
      <c r="AO26" s="62"/>
      <c r="AP26" s="62"/>
      <c r="AQ26" s="417"/>
      <c r="AR26" s="345"/>
      <c r="AS26" s="106"/>
      <c r="AT26" s="106"/>
      <c r="AU26" s="406"/>
      <c r="AV26" s="62"/>
      <c r="AW26" s="62"/>
      <c r="AX26" s="62"/>
      <c r="AZ26" s="62"/>
      <c r="BA26" s="62"/>
      <c r="BB26" s="62"/>
      <c r="BC26" s="406"/>
      <c r="BD26" s="62"/>
      <c r="BE26" s="62"/>
      <c r="BF26" s="62"/>
      <c r="BG26" s="62"/>
      <c r="BH26" s="62"/>
      <c r="BI26" s="62"/>
      <c r="BJ26" s="62"/>
      <c r="BK26" s="62"/>
    </row>
    <row r="27" customFormat="false" ht="12.75" hidden="false" customHeight="false" outlineLevel="0" collapsed="false">
      <c r="A27" s="332" t="n">
        <v>2100</v>
      </c>
      <c r="B27" s="373" t="n">
        <f aca="false">'Power Curves'!AT41</f>
        <v>0.8</v>
      </c>
      <c r="C27" s="373" t="n">
        <f aca="false">'Power Curves'!AU41</f>
        <v>0.8</v>
      </c>
      <c r="D27" s="373" t="n">
        <f aca="false">'Power Curves'!AV41</f>
        <v>0.92485549132948</v>
      </c>
      <c r="E27" s="373" t="n">
        <f aca="false">'Power Curves'!AW41</f>
        <v>0.9</v>
      </c>
      <c r="F27" s="373" t="n">
        <f aca="false">'Power Curves'!AX41</f>
        <v>0.90282131661442</v>
      </c>
      <c r="G27" s="373" t="n">
        <f aca="false">'Power Curves'!AY41</f>
        <v>0.47</v>
      </c>
      <c r="H27" s="373" t="n">
        <f aca="false">'Power Curves'!AZ41</f>
        <v>0.37</v>
      </c>
      <c r="I27" s="373" t="n">
        <f aca="false">'Power Curves'!BA41</f>
        <v>0.37</v>
      </c>
      <c r="J27" s="373" t="n">
        <f aca="false">'Power Curves'!BB41</f>
        <v>1</v>
      </c>
      <c r="K27" s="373" t="n">
        <f aca="false">'Power Curves'!BC41</f>
        <v>0.9</v>
      </c>
      <c r="L27" s="373" t="n">
        <f aca="false">'Power Curves'!BD41</f>
        <v>1.205</v>
      </c>
      <c r="M27" s="373" t="n">
        <f aca="false">'Power Curves'!BE41</f>
        <v>0.95</v>
      </c>
      <c r="N27" s="374" t="n">
        <f aca="false">VALUE('Power Curves'!BF41)</f>
        <v>1</v>
      </c>
      <c r="O27" s="371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Z27" s="375"/>
      <c r="AF27" s="352" t="n">
        <v>37257</v>
      </c>
      <c r="AG27" s="311" t="n">
        <v>22</v>
      </c>
      <c r="AH27" s="311" t="n">
        <v>4</v>
      </c>
      <c r="AI27" s="311" t="n">
        <v>5</v>
      </c>
      <c r="AJ27" s="311" t="n">
        <v>1</v>
      </c>
      <c r="AK27" s="311" t="n">
        <v>31</v>
      </c>
      <c r="AL27" s="311"/>
      <c r="AM27" s="419"/>
      <c r="AN27" s="62"/>
      <c r="AO27" s="62"/>
      <c r="AP27" s="62"/>
      <c r="AQ27" s="417"/>
      <c r="AR27" s="345"/>
      <c r="AS27" s="106"/>
      <c r="AT27" s="106"/>
      <c r="AU27" s="406"/>
      <c r="AV27" s="62"/>
      <c r="AW27" s="62"/>
      <c r="AX27" s="62"/>
      <c r="AZ27" s="62"/>
      <c r="BA27" s="62"/>
      <c r="BB27" s="62"/>
      <c r="BC27" s="406"/>
      <c r="BD27" s="62"/>
      <c r="BE27" s="62"/>
      <c r="BF27" s="62"/>
      <c r="BG27" s="62"/>
      <c r="BH27" s="62"/>
      <c r="BI27" s="62"/>
      <c r="BJ27" s="62"/>
      <c r="BK27" s="62"/>
    </row>
    <row r="28" customFormat="false" ht="12.75" hidden="false" customHeight="false" outlineLevel="0" collapsed="false">
      <c r="A28" s="332" t="n">
        <v>2200</v>
      </c>
      <c r="B28" s="373" t="n">
        <f aca="false">'Power Curves'!AT42</f>
        <v>0.79</v>
      </c>
      <c r="C28" s="373" t="n">
        <f aca="false">'Power Curves'!AU42</f>
        <v>0.79</v>
      </c>
      <c r="D28" s="373" t="n">
        <f aca="false">'Power Curves'!AV42</f>
        <v>0.832369942196532</v>
      </c>
      <c r="E28" s="373" t="n">
        <f aca="false">'Power Curves'!AW42</f>
        <v>0.85</v>
      </c>
      <c r="F28" s="373" t="n">
        <f aca="false">'Power Curves'!AX42</f>
        <v>0.85</v>
      </c>
      <c r="G28" s="373" t="n">
        <f aca="false">'Power Curves'!AY42</f>
        <v>0.47</v>
      </c>
      <c r="H28" s="373" t="n">
        <f aca="false">'Power Curves'!AZ42</f>
        <v>0.37</v>
      </c>
      <c r="I28" s="373" t="n">
        <f aca="false">'Power Curves'!BA42</f>
        <v>0.37</v>
      </c>
      <c r="J28" s="373" t="n">
        <f aca="false">'Power Curves'!BB42</f>
        <v>0.69</v>
      </c>
      <c r="K28" s="373" t="n">
        <f aca="false">'Power Curves'!BC42</f>
        <v>0.85</v>
      </c>
      <c r="L28" s="373" t="n">
        <f aca="false">'Power Curves'!BD42</f>
        <v>0.72</v>
      </c>
      <c r="M28" s="373" t="n">
        <f aca="false">'Power Curves'!BE42</f>
        <v>0.72</v>
      </c>
      <c r="N28" s="374" t="n">
        <f aca="false">VALUE('Power Curves'!BF42)</f>
        <v>1</v>
      </c>
      <c r="O28" s="371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Z28" s="375"/>
      <c r="AF28" s="352" t="n">
        <v>37288</v>
      </c>
      <c r="AG28" s="311" t="n">
        <v>20</v>
      </c>
      <c r="AH28" s="311" t="n">
        <v>4</v>
      </c>
      <c r="AI28" s="311" t="n">
        <v>4</v>
      </c>
      <c r="AJ28" s="311" t="n">
        <v>0</v>
      </c>
      <c r="AK28" s="311" t="n">
        <v>28</v>
      </c>
      <c r="AL28" s="311"/>
      <c r="AM28" s="419"/>
      <c r="AN28" s="62"/>
      <c r="AO28" s="62"/>
      <c r="AP28" s="62"/>
      <c r="AQ28" s="417"/>
      <c r="AR28" s="345"/>
      <c r="AS28" s="106"/>
      <c r="AT28" s="106"/>
      <c r="AU28" s="406"/>
      <c r="AV28" s="62"/>
      <c r="AW28" s="62"/>
      <c r="AX28" s="62"/>
      <c r="AZ28" s="62"/>
      <c r="BA28" s="62"/>
      <c r="BB28" s="62"/>
      <c r="BC28" s="406"/>
      <c r="BD28" s="62"/>
      <c r="BE28" s="62"/>
      <c r="BF28" s="62"/>
      <c r="BG28" s="62"/>
      <c r="BH28" s="62"/>
      <c r="BI28" s="62"/>
      <c r="BJ28" s="62"/>
      <c r="BK28" s="62"/>
    </row>
    <row r="29" customFormat="false" ht="12.75" hidden="false" customHeight="false" outlineLevel="0" collapsed="false">
      <c r="A29" s="332" t="n">
        <v>2300</v>
      </c>
      <c r="B29" s="373" t="n">
        <f aca="false">'Power Curves'!AT43</f>
        <v>1.05</v>
      </c>
      <c r="C29" s="373" t="n">
        <f aca="false">'Power Curves'!AU43</f>
        <v>1.05</v>
      </c>
      <c r="D29" s="373" t="n">
        <f aca="false">'Power Curves'!AV43</f>
        <v>1.13942581548393</v>
      </c>
      <c r="E29" s="373" t="n">
        <f aca="false">'Power Curves'!AW43</f>
        <v>1.26515386305201</v>
      </c>
      <c r="F29" s="373" t="n">
        <f aca="false">'Power Curves'!AX43</f>
        <v>1.15</v>
      </c>
      <c r="G29" s="373" t="n">
        <f aca="false">'Power Curves'!AY43</f>
        <v>1.25</v>
      </c>
      <c r="H29" s="373" t="n">
        <f aca="false">'Power Curves'!AZ43</f>
        <v>1.29465582024753</v>
      </c>
      <c r="I29" s="373" t="n">
        <f aca="false">'Power Curves'!BA43</f>
        <v>1.29465582024753</v>
      </c>
      <c r="J29" s="373" t="n">
        <f aca="false">'Power Curves'!BB43</f>
        <v>1.25</v>
      </c>
      <c r="K29" s="373" t="n">
        <f aca="false">'Power Curves'!BC43</f>
        <v>1.26515386305201</v>
      </c>
      <c r="L29" s="373" t="n">
        <f aca="false">'Power Curves'!BD43</f>
        <v>1.11998824052749</v>
      </c>
      <c r="M29" s="373" t="n">
        <f aca="false">'Power Curves'!BE43</f>
        <v>1.11998824052749</v>
      </c>
      <c r="N29" s="374" t="n">
        <f aca="false">VALUE('Power Curves'!BF43)</f>
        <v>2</v>
      </c>
      <c r="O29" s="371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Z29" s="375"/>
      <c r="AF29" s="352" t="n">
        <v>37316</v>
      </c>
      <c r="AG29" s="311" t="n">
        <v>21</v>
      </c>
      <c r="AH29" s="311" t="n">
        <v>5</v>
      </c>
      <c r="AI29" s="311" t="n">
        <v>5</v>
      </c>
      <c r="AJ29" s="311" t="n">
        <v>0</v>
      </c>
      <c r="AK29" s="311" t="n">
        <v>31</v>
      </c>
      <c r="AL29" s="311"/>
      <c r="AM29" s="419"/>
      <c r="AN29" s="62"/>
      <c r="AO29" s="62"/>
      <c r="AP29" s="62"/>
      <c r="AQ29" s="417"/>
      <c r="AR29" s="345"/>
      <c r="AS29" s="106"/>
      <c r="AT29" s="106"/>
      <c r="AU29" s="406"/>
      <c r="AV29" s="62"/>
      <c r="AW29" s="62"/>
      <c r="AX29" s="62"/>
      <c r="AZ29" s="62"/>
      <c r="BA29" s="62"/>
      <c r="BB29" s="62"/>
      <c r="BC29" s="406"/>
      <c r="BD29" s="62"/>
      <c r="BE29" s="62"/>
      <c r="BF29" s="62"/>
      <c r="BG29" s="62"/>
      <c r="BH29" s="62"/>
      <c r="BI29" s="62"/>
      <c r="BJ29" s="62"/>
      <c r="BK29" s="62"/>
    </row>
    <row r="30" customFormat="false" ht="12.75" hidden="false" customHeight="false" outlineLevel="0" collapsed="false">
      <c r="A30" s="332" t="n">
        <v>2400</v>
      </c>
      <c r="B30" s="373" t="n">
        <f aca="false">'Power Curves'!AT44</f>
        <v>0.95</v>
      </c>
      <c r="C30" s="373" t="n">
        <f aca="false">'Power Curves'!AU44</f>
        <v>0.95</v>
      </c>
      <c r="D30" s="373" t="n">
        <f aca="false">'Power Curves'!AV44</f>
        <v>1.06539539351647</v>
      </c>
      <c r="E30" s="373" t="n">
        <f aca="false">'Power Curves'!AW44</f>
        <v>1.15401118724704</v>
      </c>
      <c r="F30" s="373" t="n">
        <f aca="false">'Power Curves'!AX44</f>
        <v>0.958807332906934</v>
      </c>
      <c r="G30" s="373" t="n">
        <f aca="false">'Power Curves'!AY44</f>
        <v>1.21505912963884</v>
      </c>
      <c r="H30" s="373" t="n">
        <f aca="false">'Power Curves'!AZ44</f>
        <v>1.19131182078933</v>
      </c>
      <c r="I30" s="373" t="n">
        <f aca="false">'Power Curves'!BA44</f>
        <v>1.19131182078933</v>
      </c>
      <c r="J30" s="373" t="n">
        <f aca="false">'Power Curves'!BB44</f>
        <v>1.21505912963884</v>
      </c>
      <c r="K30" s="373" t="n">
        <f aca="false">'Power Curves'!BC44</f>
        <v>1.15401118724704</v>
      </c>
      <c r="L30" s="373" t="n">
        <f aca="false">'Power Curves'!BD44</f>
        <v>1.05392489132036</v>
      </c>
      <c r="M30" s="373" t="n">
        <f aca="false">'Power Curves'!BE44</f>
        <v>1.10392489132036</v>
      </c>
      <c r="N30" s="374" t="n">
        <f aca="false">VALUE('Power Curves'!BF44)</f>
        <v>2</v>
      </c>
      <c r="O30" s="371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Z30" s="375"/>
      <c r="AF30" s="352" t="n">
        <v>37347</v>
      </c>
      <c r="AG30" s="311" t="n">
        <v>22</v>
      </c>
      <c r="AH30" s="311" t="n">
        <v>4</v>
      </c>
      <c r="AI30" s="311" t="n">
        <v>4</v>
      </c>
      <c r="AJ30" s="311" t="n">
        <v>0</v>
      </c>
      <c r="AK30" s="311" t="n">
        <v>30</v>
      </c>
      <c r="AL30" s="311"/>
      <c r="AM30" s="419"/>
      <c r="AN30" s="62"/>
      <c r="AO30" s="62"/>
      <c r="AP30" s="62"/>
      <c r="AQ30" s="417"/>
      <c r="AR30" s="345"/>
      <c r="AS30" s="106"/>
      <c r="AT30" s="106"/>
      <c r="AU30" s="406"/>
      <c r="AV30" s="62"/>
      <c r="AW30" s="62"/>
      <c r="AX30" s="62"/>
      <c r="AZ30" s="62"/>
      <c r="BA30" s="62"/>
      <c r="BB30" s="62"/>
      <c r="BC30" s="406"/>
      <c r="BD30" s="62"/>
      <c r="BE30" s="62"/>
      <c r="BF30" s="62"/>
      <c r="BG30" s="62"/>
      <c r="BH30" s="62"/>
      <c r="BI30" s="62"/>
      <c r="BJ30" s="62"/>
      <c r="BK30" s="62"/>
    </row>
    <row r="31" customFormat="false" ht="12.75" hidden="false" customHeight="false" outlineLevel="0" collapsed="false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71"/>
      <c r="P31" s="372"/>
      <c r="Q31" s="116"/>
      <c r="R31" s="116"/>
      <c r="S31" s="116"/>
      <c r="T31" s="116"/>
      <c r="U31" s="116"/>
      <c r="V31" s="116"/>
      <c r="W31" s="116"/>
      <c r="X31" s="116"/>
      <c r="Y31" s="116"/>
      <c r="Z31" s="295"/>
      <c r="AF31" s="352" t="n">
        <v>37377</v>
      </c>
      <c r="AG31" s="311" t="n">
        <v>22</v>
      </c>
      <c r="AH31" s="311" t="n">
        <v>4</v>
      </c>
      <c r="AI31" s="311" t="n">
        <v>5</v>
      </c>
      <c r="AJ31" s="311" t="n">
        <v>1</v>
      </c>
      <c r="AK31" s="311" t="n">
        <v>31</v>
      </c>
      <c r="AL31" s="311"/>
      <c r="AM31" s="419"/>
      <c r="AN31" s="62"/>
      <c r="AO31" s="62"/>
      <c r="AP31" s="62"/>
      <c r="AQ31" s="417"/>
      <c r="AR31" s="345"/>
      <c r="AS31" s="106"/>
      <c r="AT31" s="106"/>
      <c r="AU31" s="406"/>
      <c r="AV31" s="62"/>
      <c r="AW31" s="62"/>
      <c r="AX31" s="62"/>
      <c r="AZ31" s="62"/>
      <c r="BA31" s="62"/>
      <c r="BB31" s="62"/>
      <c r="BC31" s="406"/>
      <c r="BD31" s="62"/>
      <c r="BE31" s="62"/>
      <c r="BF31" s="62"/>
      <c r="BG31" s="62"/>
      <c r="BH31" s="62"/>
      <c r="BI31" s="62"/>
      <c r="BJ31" s="62"/>
      <c r="BK31" s="62"/>
    </row>
    <row r="32" customFormat="false" ht="12.75" hidden="false" customHeight="false" outlineLevel="0" collapsed="false">
      <c r="A32" s="381" t="s">
        <v>1290</v>
      </c>
      <c r="B32" s="382" t="n">
        <f aca="false">O32</f>
        <v>1.02007383501259</v>
      </c>
      <c r="C32" s="382" t="n">
        <f aca="false">P32</f>
        <v>1.02007383501259</v>
      </c>
      <c r="D32" s="382" t="n">
        <f aca="false">Q32</f>
        <v>1.0173448699422</v>
      </c>
      <c r="E32" s="382" t="n">
        <f aca="false">R32</f>
        <v>1.005</v>
      </c>
      <c r="F32" s="382" t="n">
        <f aca="false">S32</f>
        <v>1.075625</v>
      </c>
      <c r="G32" s="382" t="n">
        <f aca="false">T32</f>
        <v>1.53</v>
      </c>
      <c r="H32" s="382" t="n">
        <f aca="false">U32</f>
        <v>1.63</v>
      </c>
      <c r="I32" s="382" t="n">
        <f aca="false">V32</f>
        <v>1.63</v>
      </c>
      <c r="J32" s="382" t="n">
        <f aca="false">W32</f>
        <v>1.35125</v>
      </c>
      <c r="K32" s="382" t="n">
        <f aca="false">X32</f>
        <v>1.005</v>
      </c>
      <c r="L32" s="382" t="n">
        <f aca="false">Y32</f>
        <v>1.0825</v>
      </c>
      <c r="M32" s="382" t="n">
        <f aca="false">Z32</f>
        <v>1.02125</v>
      </c>
      <c r="N32" s="311"/>
      <c r="O32" s="383" t="n">
        <f aca="false">MAX(O7:O30)</f>
        <v>1.02007383501259</v>
      </c>
      <c r="P32" s="384" t="n">
        <f aca="false">MAX(P7:P30)</f>
        <v>1.02007383501259</v>
      </c>
      <c r="Q32" s="384" t="n">
        <f aca="false">MAX(Q7:Q30)</f>
        <v>1.0173448699422</v>
      </c>
      <c r="R32" s="384" t="n">
        <f aca="false">MAX(R7:R30)</f>
        <v>1.005</v>
      </c>
      <c r="S32" s="384" t="n">
        <f aca="false">MAX(S7:S30)</f>
        <v>1.075625</v>
      </c>
      <c r="T32" s="384" t="n">
        <f aca="false">MAX(T7:T30)</f>
        <v>1.53</v>
      </c>
      <c r="U32" s="384" t="n">
        <f aca="false">MAX(U7:U30)</f>
        <v>1.63</v>
      </c>
      <c r="V32" s="384" t="n">
        <f aca="false">MAX(V7:V30)</f>
        <v>1.63</v>
      </c>
      <c r="W32" s="384" t="n">
        <f aca="false">MAX(W7:W30)</f>
        <v>1.35125</v>
      </c>
      <c r="X32" s="384" t="n">
        <f aca="false">MAX(X7:X30)</f>
        <v>1.005</v>
      </c>
      <c r="Y32" s="384" t="n">
        <f aca="false">MAX(Y7:Y30)</f>
        <v>1.0825</v>
      </c>
      <c r="Z32" s="385" t="n">
        <f aca="false">MAX(Z7:Z30)</f>
        <v>1.02125</v>
      </c>
      <c r="AF32" s="352" t="n">
        <v>37408</v>
      </c>
      <c r="AG32" s="311" t="n">
        <v>20</v>
      </c>
      <c r="AH32" s="311" t="n">
        <v>5</v>
      </c>
      <c r="AI32" s="311" t="n">
        <v>5</v>
      </c>
      <c r="AJ32" s="311" t="n">
        <v>0</v>
      </c>
      <c r="AK32" s="311" t="n">
        <v>30</v>
      </c>
      <c r="AL32" s="311"/>
      <c r="AM32" s="419"/>
      <c r="AN32" s="62"/>
      <c r="AO32" s="62"/>
      <c r="AP32" s="62"/>
      <c r="AQ32" s="417"/>
      <c r="AR32" s="345"/>
      <c r="AS32" s="106"/>
      <c r="AT32" s="106"/>
      <c r="AU32" s="406"/>
      <c r="AV32" s="62"/>
      <c r="AW32" s="62"/>
      <c r="AX32" s="62"/>
      <c r="AZ32" s="62"/>
      <c r="BA32" s="62"/>
      <c r="BB32" s="62"/>
      <c r="BC32" s="406"/>
      <c r="BD32" s="62"/>
      <c r="BE32" s="62"/>
      <c r="BF32" s="62"/>
      <c r="BG32" s="62"/>
      <c r="BH32" s="62"/>
      <c r="BI32" s="62"/>
      <c r="BJ32" s="62"/>
      <c r="BK32" s="62"/>
    </row>
    <row r="33" customFormat="false" ht="12.75" hidden="false" customHeight="false" outlineLevel="0" collapsed="false">
      <c r="A33" s="386" t="s">
        <v>1363</v>
      </c>
      <c r="B33" s="387"/>
      <c r="C33" s="387"/>
      <c r="D33" s="387"/>
      <c r="E33" s="387"/>
      <c r="F33" s="387"/>
      <c r="G33" s="387"/>
      <c r="H33" s="387"/>
      <c r="I33" s="387"/>
      <c r="J33" s="250"/>
      <c r="AF33" s="352" t="n">
        <v>37438</v>
      </c>
      <c r="AG33" s="311" t="n">
        <v>22</v>
      </c>
      <c r="AH33" s="311" t="n">
        <v>4</v>
      </c>
      <c r="AI33" s="311" t="n">
        <v>5</v>
      </c>
      <c r="AJ33" s="311" t="n">
        <v>1</v>
      </c>
      <c r="AK33" s="311" t="n">
        <v>31</v>
      </c>
      <c r="AL33" s="311"/>
      <c r="AM33" s="419"/>
      <c r="AN33" s="62"/>
      <c r="AO33" s="62"/>
      <c r="AP33" s="62"/>
      <c r="AQ33" s="417"/>
      <c r="AR33" s="345"/>
      <c r="AS33" s="106"/>
      <c r="AT33" s="106"/>
      <c r="AU33" s="406"/>
      <c r="AV33" s="62"/>
      <c r="AW33" s="62"/>
      <c r="AX33" s="62"/>
      <c r="AZ33" s="62"/>
      <c r="BA33" s="62"/>
      <c r="BB33" s="62"/>
      <c r="BC33" s="406"/>
      <c r="BD33" s="62"/>
      <c r="BE33" s="62"/>
      <c r="BF33" s="62"/>
      <c r="BG33" s="62"/>
      <c r="BH33" s="62"/>
      <c r="BI33" s="62"/>
      <c r="BJ33" s="62"/>
      <c r="BK33" s="62"/>
    </row>
    <row r="34" customFormat="false" ht="12.75" hidden="false" customHeight="false" outlineLevel="0" collapsed="false">
      <c r="A34" s="388" t="s">
        <v>1365</v>
      </c>
      <c r="E34" s="389"/>
      <c r="F34" s="189"/>
      <c r="G34" s="161"/>
      <c r="N34" s="390" t="s">
        <v>1366</v>
      </c>
      <c r="O34" s="391"/>
      <c r="P34" s="391"/>
      <c r="Q34" s="391"/>
      <c r="R34" s="391"/>
      <c r="S34" s="392"/>
      <c r="T34" s="392"/>
      <c r="U34" s="393"/>
      <c r="AF34" s="352" t="n">
        <v>37469</v>
      </c>
      <c r="AG34" s="311" t="n">
        <v>22</v>
      </c>
      <c r="AH34" s="311" t="n">
        <v>5</v>
      </c>
      <c r="AI34" s="311" t="n">
        <v>4</v>
      </c>
      <c r="AJ34" s="311" t="n">
        <v>0</v>
      </c>
      <c r="AK34" s="311" t="n">
        <v>31</v>
      </c>
      <c r="AL34" s="311"/>
      <c r="AM34" s="419"/>
      <c r="AN34" s="62"/>
      <c r="AO34" s="62"/>
      <c r="AP34" s="62"/>
      <c r="AQ34" s="417"/>
      <c r="AR34" s="345"/>
      <c r="AS34" s="106"/>
      <c r="AT34" s="106"/>
      <c r="AU34" s="406"/>
      <c r="AV34" s="62"/>
      <c r="AW34" s="62"/>
      <c r="AX34" s="62"/>
      <c r="AZ34" s="62"/>
      <c r="BA34" s="62"/>
      <c r="BB34" s="62"/>
      <c r="BC34" s="406"/>
      <c r="BD34" s="62"/>
      <c r="BE34" s="62"/>
      <c r="BF34" s="62"/>
      <c r="BG34" s="62"/>
      <c r="BH34" s="62"/>
      <c r="BI34" s="62"/>
      <c r="BJ34" s="62"/>
      <c r="BK34" s="62"/>
    </row>
    <row r="35" customFormat="false" ht="12.75" hidden="false" customHeight="false" outlineLevel="0" collapsed="false">
      <c r="B35" s="394" t="s">
        <v>1388</v>
      </c>
      <c r="C35" s="310"/>
      <c r="D35" s="312" t="s">
        <v>1368</v>
      </c>
      <c r="E35" s="394" t="s">
        <v>1369</v>
      </c>
      <c r="F35" s="312" t="s">
        <v>1370</v>
      </c>
      <c r="G35" s="394" t="s">
        <v>1371</v>
      </c>
      <c r="H35" s="312" t="s">
        <v>1372</v>
      </c>
      <c r="I35" s="394" t="s">
        <v>1373</v>
      </c>
      <c r="J35" s="394"/>
      <c r="K35" s="394"/>
      <c r="L35" s="394"/>
      <c r="N35" s="395" t="s">
        <v>1374</v>
      </c>
      <c r="O35" s="395" t="s">
        <v>1375</v>
      </c>
      <c r="P35" s="395" t="s">
        <v>1376</v>
      </c>
      <c r="Q35" s="395" t="s">
        <v>1373</v>
      </c>
      <c r="R35" s="395" t="s">
        <v>1377</v>
      </c>
      <c r="AF35" s="352" t="n">
        <v>37500</v>
      </c>
      <c r="AG35" s="311" t="n">
        <v>20</v>
      </c>
      <c r="AH35" s="311" t="n">
        <v>4</v>
      </c>
      <c r="AI35" s="311" t="n">
        <v>6</v>
      </c>
      <c r="AJ35" s="311" t="n">
        <v>1</v>
      </c>
      <c r="AK35" s="311" t="n">
        <v>30</v>
      </c>
      <c r="AM35" s="406"/>
      <c r="AN35" s="62"/>
      <c r="AO35" s="62"/>
      <c r="AP35" s="62"/>
      <c r="AQ35" s="417"/>
      <c r="AR35" s="62"/>
      <c r="AS35" s="62"/>
      <c r="AT35" s="62"/>
      <c r="AU35" s="406"/>
      <c r="AV35" s="62"/>
      <c r="AW35" s="62"/>
      <c r="AX35" s="62"/>
      <c r="AZ35" s="62"/>
      <c r="BA35" s="62"/>
      <c r="BB35" s="62"/>
      <c r="BC35" s="406"/>
      <c r="BD35" s="62"/>
      <c r="BE35" s="62"/>
      <c r="BF35" s="62"/>
      <c r="BG35" s="62"/>
      <c r="BH35" s="62"/>
      <c r="BI35" s="62"/>
      <c r="BJ35" s="62"/>
      <c r="BK35" s="62"/>
    </row>
    <row r="36" customFormat="false" ht="12.75" hidden="false" customHeight="false" outlineLevel="0" collapsed="false">
      <c r="A36" s="331" t="s">
        <v>1288</v>
      </c>
      <c r="B36" s="394" t="s">
        <v>1326</v>
      </c>
      <c r="C36" s="394" t="s">
        <v>1380</v>
      </c>
      <c r="D36" s="312" t="s">
        <v>1381</v>
      </c>
      <c r="E36" s="394" t="s">
        <v>1326</v>
      </c>
      <c r="F36" s="312" t="s">
        <v>1381</v>
      </c>
      <c r="G36" s="394" t="s">
        <v>1326</v>
      </c>
      <c r="H36" s="312" t="s">
        <v>1381</v>
      </c>
      <c r="I36" s="394" t="s">
        <v>1384</v>
      </c>
      <c r="J36" s="394"/>
      <c r="K36" s="394"/>
      <c r="L36" s="394"/>
      <c r="N36" s="395" t="s">
        <v>1381</v>
      </c>
      <c r="O36" s="395" t="s">
        <v>1381</v>
      </c>
      <c r="P36" s="395" t="s">
        <v>1381</v>
      </c>
      <c r="Q36" s="395" t="s">
        <v>1384</v>
      </c>
      <c r="R36" s="395" t="s">
        <v>1299</v>
      </c>
      <c r="AF36" s="352" t="n">
        <v>37530</v>
      </c>
      <c r="AG36" s="311" t="n">
        <v>23</v>
      </c>
      <c r="AH36" s="311" t="n">
        <v>4</v>
      </c>
      <c r="AI36" s="311" t="n">
        <v>4</v>
      </c>
      <c r="AJ36" s="311" t="n">
        <v>0</v>
      </c>
      <c r="AK36" s="311" t="n">
        <v>31</v>
      </c>
      <c r="AM36" s="406"/>
      <c r="AN36" s="62"/>
      <c r="AO36" s="62"/>
      <c r="AP36" s="62"/>
      <c r="AQ36" s="417"/>
      <c r="AR36" s="345"/>
      <c r="AS36" s="414"/>
      <c r="AT36" s="414"/>
      <c r="AU36" s="406"/>
      <c r="AV36" s="62"/>
      <c r="AW36" s="62"/>
      <c r="AX36" s="62"/>
      <c r="AZ36" s="62"/>
      <c r="BA36" s="62"/>
      <c r="BB36" s="62"/>
      <c r="BC36" s="406"/>
      <c r="BD36" s="62"/>
      <c r="BE36" s="62"/>
      <c r="BF36" s="62"/>
      <c r="BG36" s="62"/>
      <c r="BH36" s="62"/>
      <c r="BI36" s="62"/>
      <c r="BJ36" s="62"/>
      <c r="BK36" s="62"/>
    </row>
    <row r="37" customFormat="false" ht="12.75" hidden="false" customHeight="false" outlineLevel="0" collapsed="false">
      <c r="A37" s="352" t="n">
        <f aca="false">Option3!A4</f>
        <v>37257</v>
      </c>
      <c r="B37" s="396" t="n">
        <f aca="false">IF(A37="N/A"," ",N37*VLOOKUP(MONTH(A37),Curveadj,3))</f>
        <v>32.4166677565802</v>
      </c>
      <c r="C37" s="397" t="n">
        <f aca="false">IF(A37="N/A"," ",(IF(AND(Scaler3=1,MONTH(A37)&gt;=6,MONTH(A37)&lt;=8,OR($M$37="REGION 2",$M$37="REGION 2A",$M$37="REGION 2B",$M$37="REGION 3",$M$37="REGION 3A",$M$37="REGION 3B",$M$37="REGION 3C",$M$37="REGION 4",$M$37="REGION 4B",$M$37="REGION 4C",$M$37="REGION 5",$M$37="REGION 5A")),((0.059228/(B37/100))-(0.4980013/(SQRT(B37/100)))+2.137988),HLOOKUP(MONTH(A37),ScalarTable,28))))</f>
        <v>1.02007383501259</v>
      </c>
      <c r="D37" s="398" t="n">
        <f aca="false">IF(A37="N/A"," ",C37*B37)</f>
        <v>33.0673945967839</v>
      </c>
      <c r="E37" s="396" t="n">
        <f aca="false">IF(A37="N/A"," ",O37*VLOOKUP(MONTH(A37),Curveadj,3))</f>
        <v>29.320001373291</v>
      </c>
      <c r="F37" s="398" t="n">
        <f aca="false">IF(A37="N/A"," ",E37*C37)</f>
        <v>29.9085662434275</v>
      </c>
      <c r="G37" s="396" t="n">
        <f aca="false">IF(A37="N/A"," ",P37*VLOOKUP(MONTH(A37),Curveadj,3))</f>
        <v>19.820001373291</v>
      </c>
      <c r="H37" s="398" t="n">
        <f aca="false">IF(A37="N/A"," ",G37*C37)</f>
        <v>20.2178648108079</v>
      </c>
      <c r="I37" s="398" t="n">
        <f aca="false">IF(A37="N/A"," ",Q37)</f>
        <v>18.25</v>
      </c>
      <c r="J37" s="398"/>
      <c r="K37" s="399"/>
      <c r="L37" s="399"/>
      <c r="M37" s="400" t="str">
        <f aca="false">PositionRegion</f>
        <v>REGION 4</v>
      </c>
      <c r="N37" s="401" t="n">
        <f aca="false">IF(A37="N/A"," ",VLOOKUP(A37,PeakPowerCurves,(IF(BMO3=2,3,IF(BMO3=1,2,4))),FALSE()))</f>
        <v>32.4166677565802</v>
      </c>
      <c r="O37" s="401" t="n">
        <f aca="false">IF(A37="N/A"," ",VLOOKUP(A37,SatSunPeakPwr,(IF(BMO3=2,3,IF(BMO3=1,2,4))),FALSE()))</f>
        <v>29.320001373291</v>
      </c>
      <c r="P37" s="401" t="n">
        <f aca="false">IF(A37="N/A"," ",VLOOKUP(A37,SatSunPeakPwr,(IF(BMO3=2,7,IF(BMO3=1,6,8))),FALSE()))</f>
        <v>19.820001373291</v>
      </c>
      <c r="Q37" s="402" t="n">
        <f aca="false">IF(A37="N/A"," ",(VLOOKUP(A37,OPPowerPrices,(IF(BMO3=2,7,IF(BMO3=1,6,8))),FALSE())))</f>
        <v>18.25</v>
      </c>
      <c r="R37" s="403" t="e">
        <f aca="false">IF(A37="N/A"," ",(VLOOKUP($A37,IRTable,2)))</f>
        <v>#N/A</v>
      </c>
      <c r="AF37" s="352" t="n">
        <v>37561</v>
      </c>
      <c r="AG37" s="311" t="n">
        <v>20</v>
      </c>
      <c r="AH37" s="311" t="n">
        <v>5</v>
      </c>
      <c r="AI37" s="311" t="n">
        <v>5</v>
      </c>
      <c r="AJ37" s="311" t="n">
        <v>1</v>
      </c>
      <c r="AK37" s="311" t="n">
        <v>30</v>
      </c>
      <c r="AM37" s="406"/>
      <c r="AN37" s="62"/>
      <c r="AO37" s="62"/>
      <c r="AP37" s="62"/>
      <c r="AQ37" s="417"/>
      <c r="AR37" s="345"/>
      <c r="AS37" s="106"/>
      <c r="AT37" s="106"/>
      <c r="AU37" s="406"/>
      <c r="AV37" s="62"/>
      <c r="AW37" s="62"/>
      <c r="AX37" s="62"/>
      <c r="AZ37" s="62"/>
      <c r="BA37" s="62"/>
      <c r="BB37" s="62"/>
      <c r="BC37" s="406"/>
      <c r="BD37" s="62"/>
      <c r="BE37" s="62"/>
      <c r="BF37" s="62"/>
      <c r="BG37" s="62"/>
      <c r="BH37" s="62"/>
      <c r="BI37" s="62"/>
      <c r="BJ37" s="62"/>
      <c r="BK37" s="62"/>
    </row>
    <row r="38" customFormat="false" ht="12.75" hidden="false" customHeight="false" outlineLevel="0" collapsed="false">
      <c r="A38" s="352" t="n">
        <f aca="false">Option3!A5</f>
        <v>37288</v>
      </c>
      <c r="B38" s="396" t="n">
        <f aca="false">IF(A38="N/A"," ",N38*VLOOKUP(MONTH(A38),Curveadj,3))</f>
        <v>32.0666654677618</v>
      </c>
      <c r="C38" s="397" t="n">
        <f aca="false">IF(A38="N/A"," ",(IF(AND(Scaler3=1,MONTH(A38)&gt;=6,MONTH(A38)&lt;=8,OR($M$37="REGION 2",$M$37="REGION 2A",$M$37="REGION 2B",$M$37="REGION 3",$M$37="REGION 3A",$M$37="REGION 3B",$M$37="REGION 3C",$M$37="REGION 4",$M$37="REGION 4B",$M$37="REGION 4C",$M$37="REGION 5",$M$37="REGION 5A")),((0.059228/(B38/100))-(0.4980013/(SQRT(B38/100)))+2.137988),HLOOKUP(MONTH(A38),ScalarTable,28))))</f>
        <v>1.02007383501259</v>
      </c>
      <c r="D38" s="398" t="n">
        <f aca="false">IF(A38="N/A"," ",C38*B38)</f>
        <v>32.7103664197657</v>
      </c>
      <c r="E38" s="396" t="n">
        <f aca="false">IF(A38="N/A"," ",O38*VLOOKUP(MONTH(A38),Curveadj,3))</f>
        <v>26.9160012817383</v>
      </c>
      <c r="F38" s="398" t="n">
        <f aca="false">IF(A38="N/A"," ",E38*C38)</f>
        <v>27.4563086506667</v>
      </c>
      <c r="G38" s="396" t="n">
        <f aca="false">IF(A38="N/A"," ",P38*VLOOKUP(MONTH(A38),Curveadj,3))</f>
        <v>18.4165010070801</v>
      </c>
      <c r="H38" s="398" t="n">
        <f aca="false">IF(A38="N/A"," ",G38*C38)</f>
        <v>18.7861908098055</v>
      </c>
      <c r="I38" s="398" t="n">
        <f aca="false">IF(A38="N/A"," ",Q38)</f>
        <v>16.75</v>
      </c>
      <c r="J38" s="398"/>
      <c r="K38" s="399"/>
      <c r="L38" s="399"/>
      <c r="M38" s="404"/>
      <c r="N38" s="401" t="n">
        <f aca="false">IF(A38="N/A"," ",VLOOKUP(A38,PeakPowerCurves,(IF(BMO3=2,3,IF(BMO3=1,2,4))),FALSE()))</f>
        <v>32.0666654677618</v>
      </c>
      <c r="O38" s="401" t="n">
        <f aca="false">IF(A38="N/A"," ",VLOOKUP(A38,SatSunPeakPwr,(IF(BMO3=2,3,IF(BMO3=1,2,4))),FALSE()))</f>
        <v>26.9160012817383</v>
      </c>
      <c r="P38" s="401" t="n">
        <f aca="false">IF(A38="N/A"," ",VLOOKUP(A38,SatSunPeakPwr,(IF(BMO3=2,7,IF(BMO3=1,6,8))),FALSE()))</f>
        <v>18.4165010070801</v>
      </c>
      <c r="Q38" s="402" t="n">
        <f aca="false">IF(A38="N/A"," ",(VLOOKUP(A38,OPPowerPrices,(IF(BMO3=2,7,IF(BMO3=1,6,8))),FALSE())))</f>
        <v>16.75</v>
      </c>
      <c r="R38" s="403" t="e">
        <f aca="false">IF(A38="N/A"," ",(VLOOKUP($A38,IRTable,2)))</f>
        <v>#N/A</v>
      </c>
      <c r="AF38" s="352" t="n">
        <v>37591</v>
      </c>
      <c r="AG38" s="311" t="n">
        <v>21</v>
      </c>
      <c r="AH38" s="311" t="n">
        <v>4</v>
      </c>
      <c r="AI38" s="311" t="n">
        <v>6</v>
      </c>
      <c r="AJ38" s="311" t="n">
        <v>1</v>
      </c>
      <c r="AK38" s="311" t="n">
        <v>31</v>
      </c>
      <c r="AM38" s="406"/>
      <c r="AN38" s="62"/>
      <c r="AO38" s="62"/>
      <c r="AP38" s="62"/>
      <c r="AQ38" s="417"/>
      <c r="AR38" s="345"/>
      <c r="AS38" s="106"/>
      <c r="AT38" s="106"/>
      <c r="AU38" s="406"/>
      <c r="AV38" s="62"/>
      <c r="AW38" s="62"/>
      <c r="AX38" s="62"/>
      <c r="AZ38" s="62"/>
      <c r="BA38" s="62"/>
      <c r="BB38" s="62"/>
      <c r="BC38" s="406"/>
      <c r="BD38" s="62"/>
      <c r="BE38" s="62"/>
      <c r="BF38" s="62"/>
      <c r="BG38" s="62"/>
      <c r="BH38" s="62"/>
      <c r="BI38" s="62"/>
      <c r="BJ38" s="62"/>
      <c r="BK38" s="62"/>
    </row>
    <row r="39" customFormat="false" ht="12.75" hidden="false" customHeight="false" outlineLevel="0" collapsed="false">
      <c r="A39" s="352" t="n">
        <f aca="false">Option3!A6</f>
        <v>37316</v>
      </c>
      <c r="B39" s="396" t="n">
        <f aca="false">IF(A39="N/A"," ",N39*VLOOKUP(MONTH(A39),Curveadj,3))</f>
        <v>31.0197670515194</v>
      </c>
      <c r="C39" s="397" t="n">
        <f aca="false">IF(A39="N/A"," ",(IF(AND(Scaler3=1,MONTH(A39)&gt;=6,MONTH(A39)&lt;=8,OR($M$37="REGION 2",$M$37="REGION 2A",$M$37="REGION 2B",$M$37="REGION 3",$M$37="REGION 3A",$M$37="REGION 3B",$M$37="REGION 3C",$M$37="REGION 4",$M$37="REGION 4B",$M$37="REGION 4C",$M$37="REGION 5",$M$37="REGION 5A")),((0.059228/(B39/100))-(0.4980013/(SQRT(B39/100)))+2.137988),HLOOKUP(MONTH(A39),ScalarTable,28))))</f>
        <v>1.0173448699422</v>
      </c>
      <c r="D39" s="398" t="n">
        <f aca="false">IF(A39="N/A"," ",C39*B39)</f>
        <v>31.5578008766652</v>
      </c>
      <c r="E39" s="396" t="n">
        <f aca="false">IF(A39="N/A"," ",O39*VLOOKUP(MONTH(A39),Curveadj,3))</f>
        <v>21.9199990844727</v>
      </c>
      <c r="F39" s="398" t="n">
        <f aca="false">IF(A39="N/A"," ",E39*C39)</f>
        <v>22.3001986177259</v>
      </c>
      <c r="G39" s="396" t="n">
        <f aca="false">IF(A39="N/A"," ",P39*VLOOKUP(MONTH(A39),Curveadj,3))</f>
        <v>16.4200009918213</v>
      </c>
      <c r="H39" s="398" t="n">
        <f aca="false">IF(A39="N/A"," ",G39*C39)</f>
        <v>16.7048037734752</v>
      </c>
      <c r="I39" s="398" t="n">
        <f aca="false">IF(A39="N/A"," ",Q39)</f>
        <v>17.75</v>
      </c>
      <c r="J39" s="398"/>
      <c r="K39" s="399"/>
      <c r="L39" s="399"/>
      <c r="M39" s="404"/>
      <c r="N39" s="401" t="n">
        <f aca="false">IF(A39="N/A"," ",VLOOKUP(A39,PeakPowerCurves,(IF(BMO3=2,3,IF(BMO3=1,2,4))),FALSE()))</f>
        <v>31.0197670515194</v>
      </c>
      <c r="O39" s="401" t="n">
        <f aca="false">IF(A39="N/A"," ",VLOOKUP(A39,SatSunPeakPwr,(IF(BMO3=2,3,IF(BMO3=1,2,4))),FALSE()))</f>
        <v>21.9199990844727</v>
      </c>
      <c r="P39" s="401" t="n">
        <f aca="false">IF(A39="N/A"," ",VLOOKUP(A39,SatSunPeakPwr,(IF(BMO3=2,7,IF(BMO3=1,6,8))),FALSE()))</f>
        <v>16.4200009918213</v>
      </c>
      <c r="Q39" s="402" t="n">
        <f aca="false">IF(A39="N/A"," ",(VLOOKUP(A39,OPPowerPrices,(IF(BMO3=2,7,IF(BMO3=1,6,8))),FALSE())))</f>
        <v>17.75</v>
      </c>
      <c r="R39" s="403" t="e">
        <f aca="false">IF(A39="N/A"," ",(VLOOKUP($A39,IRTable,2)))</f>
        <v>#N/A</v>
      </c>
      <c r="AF39" s="352" t="n">
        <v>37622</v>
      </c>
      <c r="AG39" s="311" t="n">
        <v>22</v>
      </c>
      <c r="AH39" s="311" t="n">
        <v>4</v>
      </c>
      <c r="AI39" s="311" t="n">
        <v>5</v>
      </c>
      <c r="AJ39" s="311" t="n">
        <v>1</v>
      </c>
      <c r="AK39" s="311" t="n">
        <v>31</v>
      </c>
      <c r="AM39" s="406"/>
      <c r="AN39" s="62"/>
      <c r="AO39" s="62"/>
      <c r="AP39" s="62"/>
      <c r="AQ39" s="417"/>
      <c r="AR39" s="345"/>
      <c r="AS39" s="106"/>
      <c r="AT39" s="106"/>
      <c r="AU39" s="406"/>
      <c r="AV39" s="62"/>
      <c r="AW39" s="62"/>
      <c r="AX39" s="62"/>
      <c r="AZ39" s="62"/>
      <c r="BA39" s="62"/>
      <c r="BB39" s="62"/>
      <c r="BC39" s="406"/>
      <c r="BD39" s="62"/>
      <c r="BE39" s="62"/>
      <c r="BF39" s="62"/>
      <c r="BG39" s="62"/>
      <c r="BH39" s="62"/>
      <c r="BI39" s="62"/>
      <c r="BJ39" s="62"/>
      <c r="BK39" s="62"/>
    </row>
    <row r="40" customFormat="false" ht="12.75" hidden="false" customHeight="false" outlineLevel="0" collapsed="false">
      <c r="A40" s="352" t="n">
        <f aca="false">Option3!A7</f>
        <v>37347</v>
      </c>
      <c r="B40" s="396" t="n">
        <f aca="false">IF(A40="N/A"," ",N40*VLOOKUP(MONTH(A40),Curveadj,3))</f>
        <v>31.4697678144588</v>
      </c>
      <c r="C40" s="397" t="n">
        <f aca="false">IF(A40="N/A"," ",(IF(AND(Scaler3=1,MONTH(A40)&gt;=6,MONTH(A40)&lt;=8,OR($M$37="REGION 2",$M$37="REGION 2A",$M$37="REGION 2B",$M$37="REGION 3",$M$37="REGION 3A",$M$37="REGION 3B",$M$37="REGION 3C",$M$37="REGION 4",$M$37="REGION 4B",$M$37="REGION 4C",$M$37="REGION 5",$M$37="REGION 5A")),((0.059228/(B40/100))-(0.4980013/(SQRT(B40/100)))+2.137988),HLOOKUP(MONTH(A40),ScalarTable,28))))</f>
        <v>1.005</v>
      </c>
      <c r="D40" s="398" t="n">
        <f aca="false">IF(A40="N/A"," ",C40*B40)</f>
        <v>31.6271166535311</v>
      </c>
      <c r="E40" s="396" t="n">
        <f aca="false">IF(A40="N/A"," ",O40*VLOOKUP(MONTH(A40),Curveadj,3))</f>
        <v>21.9199990844727</v>
      </c>
      <c r="F40" s="398" t="n">
        <f aca="false">IF(A40="N/A"," ",E40*C40)</f>
        <v>22.029599079895</v>
      </c>
      <c r="G40" s="396" t="n">
        <f aca="false">IF(A40="N/A"," ",P40*VLOOKUP(MONTH(A40),Curveadj,3))</f>
        <v>16.4150018310547</v>
      </c>
      <c r="H40" s="398" t="n">
        <f aca="false">IF(A40="N/A"," ",G40*C40)</f>
        <v>16.49707684021</v>
      </c>
      <c r="I40" s="398" t="n">
        <f aca="false">IF(A40="N/A"," ",Q40)</f>
        <v>15.7500009536743</v>
      </c>
      <c r="J40" s="398"/>
      <c r="K40" s="399"/>
      <c r="L40" s="399"/>
      <c r="M40" s="404"/>
      <c r="N40" s="401" t="n">
        <f aca="false">IF(A40="N/A"," ",VLOOKUP(A40,PeakPowerCurves,(IF(BMO3=2,3,IF(BMO3=1,2,4))),FALSE()))</f>
        <v>31.4697678144588</v>
      </c>
      <c r="O40" s="401" t="n">
        <f aca="false">IF(A40="N/A"," ",VLOOKUP(A40,SatSunPeakPwr,(IF(BMO3=2,3,IF(BMO3=1,2,4))),FALSE()))</f>
        <v>21.9199990844727</v>
      </c>
      <c r="P40" s="401" t="n">
        <f aca="false">IF(A40="N/A"," ",VLOOKUP(A40,SatSunPeakPwr,(IF(BMO3=2,7,IF(BMO3=1,6,8))),FALSE()))</f>
        <v>16.4150018310547</v>
      </c>
      <c r="Q40" s="402" t="n">
        <f aca="false">IF(A40="N/A"," ",(VLOOKUP(A40,OPPowerPrices,(IF(BMO3=2,7,IF(BMO3=1,6,8))),FALSE())))</f>
        <v>15.7500009536743</v>
      </c>
      <c r="R40" s="403" t="e">
        <f aca="false">IF(A40="N/A"," ",(VLOOKUP($A40,IRTable,2)))</f>
        <v>#N/A</v>
      </c>
      <c r="AF40" s="352" t="n">
        <v>37653</v>
      </c>
      <c r="AG40" s="311" t="n">
        <v>20</v>
      </c>
      <c r="AH40" s="311" t="n">
        <v>4</v>
      </c>
      <c r="AI40" s="311" t="n">
        <v>4</v>
      </c>
      <c r="AJ40" s="311" t="n">
        <v>0</v>
      </c>
      <c r="AK40" s="311" t="n">
        <v>28</v>
      </c>
      <c r="AM40" s="406"/>
      <c r="AN40" s="62"/>
      <c r="AO40" s="62"/>
      <c r="AP40" s="62"/>
      <c r="AQ40" s="417"/>
      <c r="AR40" s="345"/>
      <c r="AS40" s="106"/>
      <c r="AT40" s="106"/>
      <c r="AU40" s="406"/>
      <c r="AV40" s="62"/>
      <c r="AW40" s="62"/>
      <c r="AX40" s="62"/>
      <c r="AZ40" s="62"/>
      <c r="BA40" s="62"/>
      <c r="BB40" s="62"/>
      <c r="BC40" s="406"/>
      <c r="BD40" s="62"/>
      <c r="BE40" s="62"/>
      <c r="BF40" s="62"/>
      <c r="BG40" s="62"/>
      <c r="BH40" s="62"/>
      <c r="BI40" s="62"/>
      <c r="BJ40" s="62"/>
      <c r="BK40" s="62"/>
    </row>
    <row r="41" customFormat="false" ht="12.75" hidden="false" customHeight="false" outlineLevel="0" collapsed="false">
      <c r="A41" s="352" t="n">
        <f aca="false">Option3!A8</f>
        <v>37377</v>
      </c>
      <c r="B41" s="396" t="n">
        <f aca="false">IF(A41="N/A"," ",N41*VLOOKUP(MONTH(A41),Curveadj,3))</f>
        <v>34.625</v>
      </c>
      <c r="C41" s="397" t="n">
        <f aca="false">IF(A41="N/A"," ",(IF(AND(Scaler3=1,MONTH(A41)&gt;=6,MONTH(A41)&lt;=8,OR($M$37="REGION 2",$M$37="REGION 2A",$M$37="REGION 2B",$M$37="REGION 3",$M$37="REGION 3A",$M$37="REGION 3B",$M$37="REGION 3C",$M$37="REGION 4",$M$37="REGION 4B",$M$37="REGION 4C",$M$37="REGION 5",$M$37="REGION 5A")),((0.059228/(B41/100))-(0.4980013/(SQRT(B41/100)))+2.137988),HLOOKUP(MONTH(A41),ScalarTable,28))))</f>
        <v>1.075625</v>
      </c>
      <c r="D41" s="398" t="n">
        <f aca="false">IF(A41="N/A"," ",C41*B41)</f>
        <v>37.243515625</v>
      </c>
      <c r="E41" s="396" t="n">
        <f aca="false">IF(A41="N/A"," ",O41*VLOOKUP(MONTH(A41),Curveadj,3))</f>
        <v>23.9199990844727</v>
      </c>
      <c r="F41" s="398" t="n">
        <f aca="false">IF(A41="N/A"," ",E41*C41)</f>
        <v>25.7289490152359</v>
      </c>
      <c r="G41" s="396" t="n">
        <f aca="false">IF(A41="N/A"," ",P41*VLOOKUP(MONTH(A41),Curveadj,3))</f>
        <v>17.4249982452393</v>
      </c>
      <c r="H41" s="398" t="n">
        <f aca="false">IF(A41="N/A"," ",G41*C41)</f>
        <v>18.7427637375355</v>
      </c>
      <c r="I41" s="398" t="n">
        <f aca="false">IF(A41="N/A"," ",Q41)</f>
        <v>17.75</v>
      </c>
      <c r="J41" s="398"/>
      <c r="K41" s="399"/>
      <c r="L41" s="399"/>
      <c r="M41" s="404"/>
      <c r="N41" s="401" t="n">
        <f aca="false">IF(A41="N/A"," ",VLOOKUP(A41,PeakPowerCurves,(IF(BMO3=2,3,IF(BMO3=1,2,4))),FALSE()))</f>
        <v>34.625</v>
      </c>
      <c r="O41" s="401" t="n">
        <f aca="false">IF(A41="N/A"," ",VLOOKUP(A41,SatSunPeakPwr,(IF(BMO3=2,3,IF(BMO3=1,2,4))),FALSE()))</f>
        <v>23.9199990844727</v>
      </c>
      <c r="P41" s="401" t="n">
        <f aca="false">IF(A41="N/A"," ",VLOOKUP(A41,SatSunPeakPwr,(IF(BMO3=2,7,IF(BMO3=1,6,8))),FALSE()))</f>
        <v>17.4249982452393</v>
      </c>
      <c r="Q41" s="402" t="n">
        <f aca="false">IF(A41="N/A"," ",(VLOOKUP(A41,OPPowerPrices,(IF(BMO3=2,7,IF(BMO3=1,6,8))),FALSE())))</f>
        <v>17.75</v>
      </c>
      <c r="R41" s="403" t="e">
        <f aca="false">IF(A41="N/A"," ",(VLOOKUP($A41,IRTable,2)))</f>
        <v>#N/A</v>
      </c>
      <c r="AF41" s="352" t="n">
        <v>37681</v>
      </c>
      <c r="AG41" s="311" t="n">
        <v>21</v>
      </c>
      <c r="AH41" s="311" t="n">
        <v>5</v>
      </c>
      <c r="AI41" s="311" t="n">
        <v>5</v>
      </c>
      <c r="AJ41" s="311" t="n">
        <v>0</v>
      </c>
      <c r="AK41" s="311" t="n">
        <v>31</v>
      </c>
      <c r="AM41" s="406"/>
      <c r="AN41" s="62"/>
      <c r="AO41" s="62"/>
      <c r="AP41" s="62"/>
      <c r="AQ41" s="417"/>
      <c r="AR41" s="345"/>
      <c r="AS41" s="106"/>
      <c r="AT41" s="106"/>
      <c r="AU41" s="406"/>
      <c r="AV41" s="62"/>
      <c r="AW41" s="62"/>
      <c r="AX41" s="62"/>
      <c r="AZ41" s="62"/>
      <c r="BA41" s="62"/>
      <c r="BB41" s="62"/>
      <c r="BC41" s="406"/>
      <c r="BD41" s="62"/>
      <c r="BE41" s="62"/>
      <c r="BF41" s="62"/>
      <c r="BG41" s="62"/>
      <c r="BH41" s="62"/>
      <c r="BI41" s="62"/>
      <c r="BJ41" s="62"/>
      <c r="BK41" s="62"/>
    </row>
    <row r="42" customFormat="false" ht="12.75" hidden="false" customHeight="false" outlineLevel="0" collapsed="false">
      <c r="A42" s="352" t="n">
        <f aca="false">Option3!A9</f>
        <v>37408</v>
      </c>
      <c r="B42" s="396" t="n">
        <f aca="false">IF(A42="N/A"," ",N42*VLOOKUP(MONTH(A42),Curveadj,3))</f>
        <v>44.75</v>
      </c>
      <c r="C42" s="397" t="n">
        <f aca="false">IF(A42="N/A"," ",(IF(AND(Scaler3=1,MONTH(A42)&gt;=6,MONTH(A42)&lt;=8,OR($M$37="REGION 2",$M$37="REGION 2A",$M$37="REGION 2B",$M$37="REGION 3",$M$37="REGION 3A",$M$37="REGION 3B",$M$37="REGION 3C",$M$37="REGION 4",$M$37="REGION 4B",$M$37="REGION 4C",$M$37="REGION 5",$M$37="REGION 5A")),((0.059228/(B42/100))-(0.4980013/(SQRT(B42/100)))+2.137988),HLOOKUP(MONTH(A42),ScalarTable,28))))</f>
        <v>1.53</v>
      </c>
      <c r="D42" s="398" t="n">
        <f aca="false">IF(A42="N/A"," ",C42*B42)</f>
        <v>68.4675</v>
      </c>
      <c r="E42" s="396" t="n">
        <f aca="false">IF(A42="N/A"," ",O42*VLOOKUP(MONTH(A42),Curveadj,3))</f>
        <v>30.9199990844727</v>
      </c>
      <c r="F42" s="398" t="n">
        <f aca="false">IF(A42="N/A"," ",E42*C42)</f>
        <v>47.3075985992432</v>
      </c>
      <c r="G42" s="396" t="n">
        <f aca="false">IF(A42="N/A"," ",P42*VLOOKUP(MONTH(A42),Curveadj,3))</f>
        <v>21.4199990844727</v>
      </c>
      <c r="H42" s="398" t="n">
        <f aca="false">IF(A42="N/A"," ",G42*C42)</f>
        <v>32.7725985992432</v>
      </c>
      <c r="I42" s="398" t="n">
        <f aca="false">IF(A42="N/A"," ",Q42)</f>
        <v>20.75</v>
      </c>
      <c r="J42" s="398"/>
      <c r="K42" s="399"/>
      <c r="L42" s="399"/>
      <c r="M42" s="404"/>
      <c r="N42" s="401" t="n">
        <f aca="false">IF(A42="N/A"," ",VLOOKUP(A42,PeakPowerCurves,(IF(BMO3=2,3,IF(BMO3=1,2,4))),FALSE()))</f>
        <v>44.75</v>
      </c>
      <c r="O42" s="401" t="n">
        <f aca="false">IF(A42="N/A"," ",VLOOKUP(A42,SatSunPeakPwr,(IF(BMO3=2,3,IF(BMO3=1,2,4))),FALSE()))</f>
        <v>30.9199990844727</v>
      </c>
      <c r="P42" s="401" t="n">
        <f aca="false">IF(A42="N/A"," ",VLOOKUP(A42,SatSunPeakPwr,(IF(BMO3=2,7,IF(BMO3=1,6,8))),FALSE()))</f>
        <v>21.4199990844727</v>
      </c>
      <c r="Q42" s="402" t="n">
        <f aca="false">IF(A42="N/A"," ",(VLOOKUP(A42,OPPowerPrices,(IF(BMO3=2,7,IF(BMO3=1,6,8))),FALSE())))</f>
        <v>20.75</v>
      </c>
      <c r="R42" s="403" t="e">
        <f aca="false">IF(A42="N/A"," ",(VLOOKUP($A42,IRTable,2)))</f>
        <v>#N/A</v>
      </c>
      <c r="AF42" s="352" t="n">
        <v>37712</v>
      </c>
      <c r="AG42" s="311" t="n">
        <v>22</v>
      </c>
      <c r="AH42" s="311" t="n">
        <v>4</v>
      </c>
      <c r="AI42" s="311" t="n">
        <v>4</v>
      </c>
      <c r="AJ42" s="311" t="n">
        <v>0</v>
      </c>
      <c r="AK42" s="311" t="n">
        <v>30</v>
      </c>
      <c r="AM42" s="406"/>
      <c r="AN42" s="62"/>
      <c r="AO42" s="62"/>
      <c r="AP42" s="62"/>
      <c r="AQ42" s="417"/>
      <c r="AR42" s="345"/>
      <c r="AS42" s="106"/>
      <c r="AT42" s="106"/>
      <c r="AU42" s="406"/>
      <c r="AV42" s="62"/>
      <c r="AW42" s="62"/>
      <c r="AX42" s="62"/>
      <c r="AZ42" s="62"/>
      <c r="BA42" s="62"/>
      <c r="BB42" s="62"/>
      <c r="BC42" s="406"/>
      <c r="BD42" s="62"/>
      <c r="BE42" s="62"/>
      <c r="BF42" s="62"/>
      <c r="BG42" s="62"/>
      <c r="BH42" s="62"/>
      <c r="BI42" s="62"/>
      <c r="BJ42" s="62"/>
      <c r="BK42" s="62"/>
    </row>
    <row r="43" customFormat="false" ht="12.75" hidden="false" customHeight="false" outlineLevel="0" collapsed="false">
      <c r="A43" s="352" t="n">
        <f aca="false">Option3!A10</f>
        <v>37438</v>
      </c>
      <c r="B43" s="396" t="n">
        <f aca="false">IF(A43="N/A"," ",N43*VLOOKUP(MONTH(A43),Curveadj,3))</f>
        <v>62.25</v>
      </c>
      <c r="C43" s="397" t="n">
        <f aca="false">IF(A43="N/A"," ",(IF(AND(Scaler3=1,MONTH(A43)&gt;=6,MONTH(A43)&lt;=8,OR($M$37="REGION 2",$M$37="REGION 2A",$M$37="REGION 2B",$M$37="REGION 3",$M$37="REGION 3A",$M$37="REGION 3B",$M$37="REGION 3C",$M$37="REGION 4",$M$37="REGION 4B",$M$37="REGION 4C",$M$37="REGION 5",$M$37="REGION 5A")),((0.059228/(B43/100))-(0.4980013/(SQRT(B43/100)))+2.137988),HLOOKUP(MONTH(A43),ScalarTable,28))))</f>
        <v>1.63</v>
      </c>
      <c r="D43" s="398" t="n">
        <f aca="false">IF(A43="N/A"," ",C43*B43)</f>
        <v>101.4675</v>
      </c>
      <c r="E43" s="396" t="n">
        <f aca="false">IF(A43="N/A"," ",O43*VLOOKUP(MONTH(A43),Curveadj,3))</f>
        <v>36.9199990844727</v>
      </c>
      <c r="F43" s="398" t="n">
        <f aca="false">IF(A43="N/A"," ",E43*C43)</f>
        <v>60.1795985076904</v>
      </c>
      <c r="G43" s="396" t="n">
        <f aca="false">IF(A43="N/A"," ",P43*VLOOKUP(MONTH(A43),Curveadj,3))</f>
        <v>27.4199990844727</v>
      </c>
      <c r="H43" s="398" t="n">
        <f aca="false">IF(A43="N/A"," ",G43*C43)</f>
        <v>44.6945985076904</v>
      </c>
      <c r="I43" s="398" t="n">
        <f aca="false">IF(A43="N/A"," ",Q43)</f>
        <v>21.25</v>
      </c>
      <c r="J43" s="398"/>
      <c r="K43" s="399"/>
      <c r="L43" s="399"/>
      <c r="M43" s="404"/>
      <c r="N43" s="401" t="n">
        <f aca="false">IF(A43="N/A"," ",VLOOKUP(A43,PeakPowerCurves,(IF(BMO3=2,3,IF(BMO3=1,2,4))),FALSE()))</f>
        <v>62.25</v>
      </c>
      <c r="O43" s="401" t="n">
        <f aca="false">IF(A43="N/A"," ",VLOOKUP(A43,SatSunPeakPwr,(IF(BMO3=2,3,IF(BMO3=1,2,4))),FALSE()))</f>
        <v>36.9199990844727</v>
      </c>
      <c r="P43" s="401" t="n">
        <f aca="false">IF(A43="N/A"," ",VLOOKUP(A43,SatSunPeakPwr,(IF(BMO3=2,7,IF(BMO3=1,6,8))),FALSE()))</f>
        <v>27.4199990844727</v>
      </c>
      <c r="Q43" s="402" t="n">
        <f aca="false">IF(A43="N/A"," ",(VLOOKUP(A43,OPPowerPrices,(IF(BMO3=2,7,IF(BMO3=1,6,8))),FALSE())))</f>
        <v>21.25</v>
      </c>
      <c r="R43" s="403" t="e">
        <f aca="false">IF(A43="N/A"," ",(VLOOKUP($A43,IRTable,2)))</f>
        <v>#N/A</v>
      </c>
      <c r="AF43" s="352" t="n">
        <v>37742</v>
      </c>
      <c r="AG43" s="311" t="n">
        <v>21</v>
      </c>
      <c r="AH43" s="311" t="n">
        <v>5</v>
      </c>
      <c r="AI43" s="311" t="n">
        <v>5</v>
      </c>
      <c r="AJ43" s="311" t="n">
        <v>1</v>
      </c>
      <c r="AK43" s="311" t="n">
        <v>31</v>
      </c>
      <c r="AM43" s="406"/>
      <c r="AN43" s="62"/>
      <c r="AO43" s="62"/>
      <c r="AP43" s="62"/>
      <c r="AQ43" s="417"/>
      <c r="AR43" s="345"/>
      <c r="AS43" s="106"/>
      <c r="AT43" s="106"/>
      <c r="AU43" s="406"/>
      <c r="AV43" s="62"/>
      <c r="AW43" s="62"/>
      <c r="AX43" s="62"/>
      <c r="AZ43" s="62"/>
      <c r="BA43" s="62"/>
      <c r="BB43" s="62"/>
      <c r="BC43" s="406"/>
      <c r="BD43" s="62"/>
      <c r="BE43" s="62"/>
      <c r="BF43" s="62"/>
      <c r="BG43" s="62"/>
      <c r="BH43" s="62"/>
      <c r="BI43" s="62"/>
      <c r="BJ43" s="62"/>
      <c r="BK43" s="62"/>
    </row>
    <row r="44" customFormat="false" ht="12.75" hidden="false" customHeight="false" outlineLevel="0" collapsed="false">
      <c r="A44" s="352" t="n">
        <f aca="false">Option3!A11</f>
        <v>37469</v>
      </c>
      <c r="B44" s="396" t="n">
        <f aca="false">IF(A44="N/A"," ",N44*VLOOKUP(MONTH(A44),Curveadj,3))</f>
        <v>62.25</v>
      </c>
      <c r="C44" s="397" t="n">
        <f aca="false">IF(A44="N/A"," ",(IF(AND(Scaler3=1,MONTH(A44)&gt;=6,MONTH(A44)&lt;=8,OR($M$37="REGION 2",$M$37="REGION 2A",$M$37="REGION 2B",$M$37="REGION 3",$M$37="REGION 3A",$M$37="REGION 3B",$M$37="REGION 3C",$M$37="REGION 4",$M$37="REGION 4B",$M$37="REGION 4C",$M$37="REGION 5",$M$37="REGION 5A")),((0.059228/(B44/100))-(0.4980013/(SQRT(B44/100)))+2.137988),HLOOKUP(MONTH(A44),ScalarTable,28))))</f>
        <v>1.63</v>
      </c>
      <c r="D44" s="398" t="n">
        <f aca="false">IF(A44="N/A"," ",C44*B44)</f>
        <v>101.4675</v>
      </c>
      <c r="E44" s="396" t="n">
        <f aca="false">IF(A44="N/A"," ",O44*VLOOKUP(MONTH(A44),Curveadj,3))</f>
        <v>34.9200028991699</v>
      </c>
      <c r="F44" s="398" t="n">
        <f aca="false">IF(A44="N/A"," ",E44*C44)</f>
        <v>56.919604725647</v>
      </c>
      <c r="G44" s="396" t="n">
        <f aca="false">IF(A44="N/A"," ",P44*VLOOKUP(MONTH(A44),Curveadj,3))</f>
        <v>27.4199990844727</v>
      </c>
      <c r="H44" s="398" t="n">
        <f aca="false">IF(A44="N/A"," ",G44*C44)</f>
        <v>44.6945985076904</v>
      </c>
      <c r="I44" s="398" t="n">
        <f aca="false">IF(A44="N/A"," ",Q44)</f>
        <v>22.25</v>
      </c>
      <c r="J44" s="398"/>
      <c r="K44" s="399"/>
      <c r="L44" s="399"/>
      <c r="M44" s="404"/>
      <c r="N44" s="401" t="n">
        <f aca="false">IF(A44="N/A"," ",VLOOKUP(A44,PeakPowerCurves,(IF(BMO3=2,3,IF(BMO3=1,2,4))),FALSE()))</f>
        <v>62.25</v>
      </c>
      <c r="O44" s="401" t="n">
        <f aca="false">IF(A44="N/A"," ",VLOOKUP(A44,SatSunPeakPwr,(IF(BMO3=2,3,IF(BMO3=1,2,4))),FALSE()))</f>
        <v>34.9200028991699</v>
      </c>
      <c r="P44" s="401" t="n">
        <f aca="false">IF(A44="N/A"," ",VLOOKUP(A44,SatSunPeakPwr,(IF(BMO3=2,7,IF(BMO3=1,6,8))),FALSE()))</f>
        <v>27.4199990844727</v>
      </c>
      <c r="Q44" s="402" t="n">
        <f aca="false">IF(A44="N/A"," ",(VLOOKUP(A44,OPPowerPrices,(IF(BMO3=2,7,IF(BMO3=1,6,8))),FALSE())))</f>
        <v>22.25</v>
      </c>
      <c r="R44" s="403" t="e">
        <f aca="false">IF(A44="N/A"," ",(VLOOKUP($A44,IRTable,2)))</f>
        <v>#N/A</v>
      </c>
      <c r="AF44" s="352" t="n">
        <v>37773</v>
      </c>
      <c r="AG44" s="311" t="n">
        <v>21</v>
      </c>
      <c r="AH44" s="311" t="n">
        <v>4</v>
      </c>
      <c r="AI44" s="311" t="n">
        <v>5</v>
      </c>
      <c r="AJ44" s="311" t="n">
        <v>0</v>
      </c>
      <c r="AK44" s="311" t="n">
        <v>30</v>
      </c>
      <c r="AM44" s="406"/>
      <c r="AN44" s="62"/>
      <c r="AO44" s="62"/>
      <c r="AP44" s="62"/>
      <c r="AQ44" s="417"/>
      <c r="AR44" s="345"/>
      <c r="AS44" s="106"/>
      <c r="AT44" s="106"/>
      <c r="AU44" s="406"/>
      <c r="AV44" s="62"/>
      <c r="AW44" s="62"/>
      <c r="AX44" s="62"/>
      <c r="AZ44" s="62"/>
      <c r="BA44" s="62"/>
      <c r="BB44" s="62"/>
      <c r="BC44" s="406"/>
      <c r="BD44" s="62"/>
      <c r="BE44" s="62"/>
      <c r="BF44" s="62"/>
      <c r="BG44" s="62"/>
      <c r="BH44" s="62"/>
      <c r="BI44" s="62"/>
      <c r="BJ44" s="62"/>
      <c r="BK44" s="62"/>
    </row>
    <row r="45" customFormat="false" ht="12.75" hidden="false" customHeight="false" outlineLevel="0" collapsed="false">
      <c r="A45" s="352" t="n">
        <f aca="false">Option3!A12</f>
        <v>37500</v>
      </c>
      <c r="B45" s="396" t="n">
        <f aca="false">IF(A45="N/A"," ",N45*VLOOKUP(MONTH(A45),Curveadj,3))</f>
        <v>29.25</v>
      </c>
      <c r="C45" s="397" t="n">
        <f aca="false">IF(A45="N/A"," ",(IF(AND(Scaler3=1,MONTH(A45)&gt;=6,MONTH(A45)&lt;=8,OR($M$37="REGION 2",$M$37="REGION 2A",$M$37="REGION 2B",$M$37="REGION 3",$M$37="REGION 3A",$M$37="REGION 3B",$M$37="REGION 3C",$M$37="REGION 4",$M$37="REGION 4B",$M$37="REGION 4C",$M$37="REGION 5",$M$37="REGION 5A")),((0.059228/(B45/100))-(0.4980013/(SQRT(B45/100)))+2.137988),HLOOKUP(MONTH(A45),ScalarTable,28))))</f>
        <v>1.35125</v>
      </c>
      <c r="D45" s="398" t="n">
        <f aca="false">IF(A45="N/A"," ",C45*B45)</f>
        <v>39.5240625</v>
      </c>
      <c r="E45" s="396" t="n">
        <f aca="false">IF(A45="N/A"," ",O45*VLOOKUP(MONTH(A45),Curveadj,3))</f>
        <v>26.9199990844727</v>
      </c>
      <c r="F45" s="398" t="n">
        <f aca="false">IF(A45="N/A"," ",E45*C45)</f>
        <v>36.3756487628937</v>
      </c>
      <c r="G45" s="396" t="n">
        <f aca="false">IF(A45="N/A"," ",P45*VLOOKUP(MONTH(A45),Curveadj,3))</f>
        <v>21.4199990844727</v>
      </c>
      <c r="H45" s="398" t="n">
        <f aca="false">IF(A45="N/A"," ",G45*C45)</f>
        <v>28.9437737628937</v>
      </c>
      <c r="I45" s="398" t="n">
        <f aca="false">IF(A45="N/A"," ",Q45)</f>
        <v>16.25</v>
      </c>
      <c r="J45" s="398"/>
      <c r="K45" s="399"/>
      <c r="L45" s="399"/>
      <c r="M45" s="404"/>
      <c r="N45" s="401" t="n">
        <f aca="false">IF(A45="N/A"," ",VLOOKUP(A45,PeakPowerCurves,(IF(BMO3=2,3,IF(BMO3=1,2,4))),FALSE()))</f>
        <v>29.25</v>
      </c>
      <c r="O45" s="401" t="n">
        <f aca="false">IF(A45="N/A"," ",VLOOKUP(A45,SatSunPeakPwr,(IF(BMO3=2,3,IF(BMO3=1,2,4))),FALSE()))</f>
        <v>26.9199990844727</v>
      </c>
      <c r="P45" s="401" t="n">
        <f aca="false">IF(A45="N/A"," ",VLOOKUP(A45,SatSunPeakPwr,(IF(BMO3=2,7,IF(BMO3=1,6,8))),FALSE()))</f>
        <v>21.4199990844727</v>
      </c>
      <c r="Q45" s="402" t="n">
        <f aca="false">IF(A45="N/A"," ",(VLOOKUP(A45,OPPowerPrices,(IF(BMO3=2,7,IF(BMO3=1,6,8))),FALSE())))</f>
        <v>16.25</v>
      </c>
      <c r="R45" s="403" t="e">
        <f aca="false">IF(A45="N/A"," ",(VLOOKUP($A45,IRTable,2)))</f>
        <v>#N/A</v>
      </c>
      <c r="AF45" s="352" t="n">
        <v>37803</v>
      </c>
      <c r="AG45" s="311" t="n">
        <v>22</v>
      </c>
      <c r="AH45" s="311" t="n">
        <v>4</v>
      </c>
      <c r="AI45" s="311" t="n">
        <v>5</v>
      </c>
      <c r="AJ45" s="311" t="n">
        <v>1</v>
      </c>
      <c r="AK45" s="311" t="n">
        <v>31</v>
      </c>
      <c r="AM45" s="406"/>
      <c r="AN45" s="62"/>
      <c r="AO45" s="62"/>
      <c r="AP45" s="62"/>
      <c r="AQ45" s="417"/>
      <c r="AR45" s="345"/>
      <c r="AS45" s="106"/>
      <c r="AT45" s="106"/>
      <c r="AU45" s="406"/>
      <c r="AV45" s="62"/>
      <c r="AW45" s="62"/>
      <c r="AX45" s="62"/>
      <c r="AZ45" s="62"/>
      <c r="BA45" s="62"/>
      <c r="BB45" s="62"/>
      <c r="BC45" s="406"/>
      <c r="BD45" s="62"/>
      <c r="BE45" s="62"/>
      <c r="BF45" s="62"/>
      <c r="BG45" s="62"/>
      <c r="BH45" s="62"/>
      <c r="BI45" s="62"/>
      <c r="BJ45" s="62"/>
      <c r="BK45" s="62"/>
    </row>
    <row r="46" customFormat="false" ht="12.75" hidden="false" customHeight="false" outlineLevel="0" collapsed="false">
      <c r="A46" s="352" t="n">
        <f aca="false">Option3!A13</f>
        <v>37530</v>
      </c>
      <c r="B46" s="396" t="n">
        <f aca="false">IF(A46="N/A"," ",N46*VLOOKUP(MONTH(A46),Curveadj,3))</f>
        <v>29.5562492907047</v>
      </c>
      <c r="C46" s="397" t="n">
        <f aca="false">IF(A46="N/A"," ",(IF(AND(Scaler3=1,MONTH(A46)&gt;=6,MONTH(A46)&lt;=8,OR($M$37="REGION 2",$M$37="REGION 2A",$M$37="REGION 2B",$M$37="REGION 3",$M$37="REGION 3A",$M$37="REGION 3B",$M$37="REGION 3C",$M$37="REGION 4",$M$37="REGION 4B",$M$37="REGION 4C",$M$37="REGION 5",$M$37="REGION 5A")),((0.059228/(B46/100))-(0.4980013/(SQRT(B46/100)))+2.137988),HLOOKUP(MONTH(A46),ScalarTable,28))))</f>
        <v>1.005</v>
      </c>
      <c r="D46" s="398" t="n">
        <f aca="false">IF(A46="N/A"," ",C46*B46)</f>
        <v>29.7040305371582</v>
      </c>
      <c r="E46" s="396" t="n">
        <f aca="false">IF(A46="N/A"," ",O46*VLOOKUP(MONTH(A46),Curveadj,3))</f>
        <v>21.9159993743897</v>
      </c>
      <c r="F46" s="398" t="n">
        <f aca="false">IF(A46="N/A"," ",E46*C46)</f>
        <v>22.0255793712616</v>
      </c>
      <c r="G46" s="396" t="n">
        <f aca="false">IF(A46="N/A"," ",P46*VLOOKUP(MONTH(A46),Curveadj,3))</f>
        <v>16.4165010070801</v>
      </c>
      <c r="H46" s="398" t="n">
        <f aca="false">IF(A46="N/A"," ",G46*C46)</f>
        <v>16.4985835121155</v>
      </c>
      <c r="I46" s="398" t="n">
        <f aca="false">IF(A46="N/A"," ",Q46)</f>
        <v>15.750002861023</v>
      </c>
      <c r="J46" s="398"/>
      <c r="K46" s="399"/>
      <c r="L46" s="399"/>
      <c r="M46" s="404"/>
      <c r="N46" s="401" t="n">
        <f aca="false">IF(A46="N/A"," ",VLOOKUP(A46,PeakPowerCurves,(IF(BMO3=2,3,IF(BMO3=1,2,4))),FALSE()))</f>
        <v>29.5562492907047</v>
      </c>
      <c r="O46" s="401" t="n">
        <f aca="false">IF(A46="N/A"," ",VLOOKUP(A46,SatSunPeakPwr,(IF(BMO3=2,3,IF(BMO3=1,2,4))),FALSE()))</f>
        <v>21.9159993743897</v>
      </c>
      <c r="P46" s="401" t="n">
        <f aca="false">IF(A46="N/A"," ",VLOOKUP(A46,SatSunPeakPwr,(IF(BMO3=2,7,IF(BMO3=1,6,8))),FALSE()))</f>
        <v>16.4165010070801</v>
      </c>
      <c r="Q46" s="402" t="n">
        <f aca="false">IF(A46="N/A"," ",(VLOOKUP(A46,OPPowerPrices,(IF(BMO3=2,7,IF(BMO3=1,6,8))),FALSE())))</f>
        <v>15.750002861023</v>
      </c>
      <c r="R46" s="403" t="e">
        <f aca="false">IF(A46="N/A"," ",(VLOOKUP($A46,IRTable,2)))</f>
        <v>#N/A</v>
      </c>
      <c r="AF46" s="352" t="n">
        <v>37834</v>
      </c>
      <c r="AG46" s="311" t="n">
        <v>21</v>
      </c>
      <c r="AH46" s="311" t="n">
        <v>5</v>
      </c>
      <c r="AI46" s="311" t="n">
        <v>5</v>
      </c>
      <c r="AJ46" s="311" t="n">
        <v>0</v>
      </c>
      <c r="AK46" s="311" t="n">
        <v>31</v>
      </c>
      <c r="AM46" s="406"/>
      <c r="AN46" s="62"/>
      <c r="AO46" s="62"/>
      <c r="AP46" s="62"/>
      <c r="AQ46" s="417"/>
      <c r="AR46" s="62"/>
      <c r="AS46" s="62"/>
      <c r="AT46" s="62"/>
      <c r="AU46" s="406"/>
      <c r="AV46" s="62"/>
      <c r="AW46" s="62"/>
      <c r="AX46" s="62"/>
      <c r="AZ46" s="62"/>
      <c r="BA46" s="62"/>
      <c r="BB46" s="62"/>
      <c r="BC46" s="406"/>
      <c r="BD46" s="62"/>
      <c r="BE46" s="62"/>
      <c r="BF46" s="62"/>
      <c r="BG46" s="62"/>
      <c r="BH46" s="62"/>
      <c r="BI46" s="62"/>
      <c r="BJ46" s="62"/>
      <c r="BK46" s="62"/>
    </row>
    <row r="47" customFormat="false" ht="12.75" hidden="false" customHeight="false" outlineLevel="0" collapsed="false">
      <c r="A47" s="352" t="n">
        <f aca="false">Option3!A14</f>
        <v>37561</v>
      </c>
      <c r="B47" s="396" t="n">
        <f aca="false">IF(A47="N/A"," ",N47*VLOOKUP(MONTH(A47),Curveadj,3))</f>
        <v>29.7562519609928</v>
      </c>
      <c r="C47" s="397" t="n">
        <f aca="false">IF(A47="N/A"," ",(IF(AND(Scaler3=1,MONTH(A47)&gt;=6,MONTH(A47)&lt;=8,OR($M$37="REGION 2",$M$37="REGION 2A",$M$37="REGION 2B",$M$37="REGION 3",$M$37="REGION 3A",$M$37="REGION 3B",$M$37="REGION 3C",$M$37="REGION 4",$M$37="REGION 4B",$M$37="REGION 4C",$M$37="REGION 5",$M$37="REGION 5A")),((0.059228/(B47/100))-(0.4980013/(SQRT(B47/100)))+2.137988),HLOOKUP(MONTH(A47),ScalarTable,28))))</f>
        <v>1.0825</v>
      </c>
      <c r="D47" s="398" t="n">
        <f aca="false">IF(A47="N/A"," ",C47*B47)</f>
        <v>32.2111427477747</v>
      </c>
      <c r="E47" s="396" t="n">
        <f aca="false">IF(A47="N/A"," ",O47*VLOOKUP(MONTH(A47),Curveadj,3))</f>
        <v>23.9199990844727</v>
      </c>
      <c r="F47" s="398" t="n">
        <f aca="false">IF(A47="N/A"," ",E47*C47)</f>
        <v>25.8933990089417</v>
      </c>
      <c r="G47" s="396" t="n">
        <f aca="false">IF(A47="N/A"," ",P47*VLOOKUP(MONTH(A47),Curveadj,3))</f>
        <v>16.4200009918213</v>
      </c>
      <c r="H47" s="398" t="n">
        <f aca="false">IF(A47="N/A"," ",G47*C47)</f>
        <v>17.7746510736465</v>
      </c>
      <c r="I47" s="398" t="n">
        <f aca="false">IF(A47="N/A"," ",Q47)</f>
        <v>16.75</v>
      </c>
      <c r="J47" s="398"/>
      <c r="K47" s="399"/>
      <c r="L47" s="399"/>
      <c r="M47" s="404"/>
      <c r="N47" s="401" t="n">
        <f aca="false">IF(A47="N/A"," ",VLOOKUP(A47,PeakPowerCurves,(IF(BMO3=2,3,IF(BMO3=1,2,4))),FALSE()))</f>
        <v>29.7562519609928</v>
      </c>
      <c r="O47" s="401" t="n">
        <f aca="false">IF(A47="N/A"," ",VLOOKUP(A47,SatSunPeakPwr,(IF(BMO3=2,3,IF(BMO3=1,2,4))),FALSE()))</f>
        <v>23.9199990844727</v>
      </c>
      <c r="P47" s="401" t="n">
        <f aca="false">IF(A47="N/A"," ",VLOOKUP(A47,SatSunPeakPwr,(IF(BMO3=2,7,IF(BMO3=1,6,8))),FALSE()))</f>
        <v>16.4200009918213</v>
      </c>
      <c r="Q47" s="402" t="n">
        <f aca="false">IF(A47="N/A"," ",(VLOOKUP(A47,OPPowerPrices,(IF(BMO3=2,7,IF(BMO3=1,6,8))),FALSE())))</f>
        <v>16.75</v>
      </c>
      <c r="R47" s="403" t="e">
        <f aca="false">IF(A47="N/A"," ",(VLOOKUP($A47,IRTable,2)))</f>
        <v>#N/A</v>
      </c>
      <c r="AF47" s="352" t="n">
        <v>37865</v>
      </c>
      <c r="AG47" s="311" t="n">
        <v>21</v>
      </c>
      <c r="AH47" s="311" t="n">
        <v>4</v>
      </c>
      <c r="AI47" s="311" t="n">
        <v>5</v>
      </c>
      <c r="AJ47" s="311" t="n">
        <v>1</v>
      </c>
      <c r="AK47" s="311" t="n">
        <v>30</v>
      </c>
      <c r="AU47" s="406"/>
    </row>
    <row r="48" customFormat="false" ht="12.75" hidden="false" customHeight="false" outlineLevel="0" collapsed="false">
      <c r="A48" s="352" t="n">
        <f aca="false">Option3!A15</f>
        <v>37591</v>
      </c>
      <c r="B48" s="396" t="n">
        <f aca="false">IF(A48="N/A"," ",N48*VLOOKUP(MONTH(A48),Curveadj,3))</f>
        <v>29.956248909235</v>
      </c>
      <c r="C48" s="397" t="n">
        <f aca="false">IF(A48="N/A"," ",(IF(AND(Scaler3=1,MONTH(A48)&gt;=6,MONTH(A48)&lt;=8,OR($M$37="REGION 2",$M$37="REGION 2A",$M$37="REGION 2B",$M$37="REGION 3",$M$37="REGION 3A",$M$37="REGION 3B",$M$37="REGION 3C",$M$37="REGION 4",$M$37="REGION 4B",$M$37="REGION 4C",$M$37="REGION 5",$M$37="REGION 5A")),((0.059228/(B48/100))-(0.4980013/(SQRT(B48/100)))+2.137988),HLOOKUP(MONTH(A48),ScalarTable,28))))</f>
        <v>1.02125</v>
      </c>
      <c r="D48" s="398" t="n">
        <f aca="false">IF(A48="N/A"," ",C48*B48)</f>
        <v>30.5928191985562</v>
      </c>
      <c r="E48" s="396" t="n">
        <f aca="false">IF(A48="N/A"," ",O48*VLOOKUP(MONTH(A48),Curveadj,3))</f>
        <v>28.9199990844727</v>
      </c>
      <c r="F48" s="398" t="n">
        <f aca="false">IF(A48="N/A"," ",E48*C48)</f>
        <v>29.5345490650177</v>
      </c>
      <c r="G48" s="396" t="n">
        <f aca="false">IF(A48="N/A"," ",P48*VLOOKUP(MONTH(A48),Curveadj,3))</f>
        <v>23.4199990844727</v>
      </c>
      <c r="H48" s="398" t="n">
        <f aca="false">IF(A48="N/A"," ",G48*C48)</f>
        <v>23.9176740650177</v>
      </c>
      <c r="I48" s="398" t="n">
        <f aca="false">IF(A48="N/A"," ",Q48)</f>
        <v>19</v>
      </c>
      <c r="J48" s="398"/>
      <c r="K48" s="399"/>
      <c r="L48" s="399"/>
      <c r="M48" s="404"/>
      <c r="N48" s="401" t="n">
        <f aca="false">IF(A48="N/A"," ",VLOOKUP(A48,PeakPowerCurves,(IF(BMO3=2,3,IF(BMO3=1,2,4))),FALSE()))</f>
        <v>29.956248909235</v>
      </c>
      <c r="O48" s="401" t="n">
        <f aca="false">IF(A48="N/A"," ",VLOOKUP(A48,SatSunPeakPwr,(IF(BMO3=2,3,IF(BMO3=1,2,4))),FALSE()))</f>
        <v>28.9199990844727</v>
      </c>
      <c r="P48" s="401" t="n">
        <f aca="false">IF(A48="N/A"," ",VLOOKUP(A48,SatSunPeakPwr,(IF(BMO3=2,7,IF(BMO3=1,6,8))),FALSE()))</f>
        <v>23.4199990844727</v>
      </c>
      <c r="Q48" s="402" t="n">
        <f aca="false">IF(A48="N/A"," ",(VLOOKUP(A48,OPPowerPrices,(IF(BMO3=2,7,IF(BMO3=1,6,8))),FALSE())))</f>
        <v>19</v>
      </c>
      <c r="R48" s="403" t="e">
        <f aca="false">IF(A48="N/A"," ",(VLOOKUP($A48,IRTable,2)))</f>
        <v>#N/A</v>
      </c>
      <c r="AF48" s="352" t="n">
        <v>37895</v>
      </c>
      <c r="AG48" s="311" t="n">
        <v>23</v>
      </c>
      <c r="AH48" s="311" t="n">
        <v>4</v>
      </c>
      <c r="AI48" s="311" t="n">
        <v>4</v>
      </c>
      <c r="AJ48" s="311" t="n">
        <v>0</v>
      </c>
      <c r="AK48" s="311" t="n">
        <v>31</v>
      </c>
      <c r="AU48" s="406"/>
    </row>
    <row r="49" customFormat="false" ht="12.75" hidden="false" customHeight="false" outlineLevel="0" collapsed="false">
      <c r="A49" s="352" t="n">
        <f aca="false">Option3!A16</f>
        <v>37622</v>
      </c>
      <c r="B49" s="396" t="n">
        <f aca="false">IF(A49="N/A"," ",IF(ISERROR(N49),B37*Pwresc,N49)*VLOOKUP(MONTH(A49),Curveadj,3))</f>
        <v>33.2857153756278</v>
      </c>
      <c r="C49" s="397" t="n">
        <f aca="false">IF(A49="N/A"," ",(IF(AND(Scaler3=1,MONTH(A49)&gt;=6,MONTH(A49)&lt;=8,OR($M$37="REGION 2",$M$37="REGION 2A",$M$37="REGION 2B",$M$37="REGION 3",$M$37="REGION 3A",$M$37="REGION 3B",$M$37="REGION 3C",$M$37="REGION 4",$M$37="REGION 4B",$M$37="REGION 4C",$M$37="REGION 5",$M$37="REGION 5A")),((0.059228/(B49/100))-(0.4980013/(SQRT(B49/100)))+2.137988),HLOOKUP(MONTH(A49),ScalarTable,28))))</f>
        <v>1.02007383501259</v>
      </c>
      <c r="D49" s="398" t="n">
        <f aca="false">IF(A49="N/A"," ",C49*B49)</f>
        <v>33.9538873343543</v>
      </c>
      <c r="E49" s="396" t="n">
        <f aca="false">IF(A49="N/A"," ",IF(ISERROR(O49),E37*Pwresc,O49)*VLOOKUP(MONTH(A49),Curveadj,3))</f>
        <v>35.2699966430664</v>
      </c>
      <c r="F49" s="398" t="n">
        <f aca="false">IF(A49="N/A"," ",E49*C49)</f>
        <v>35.9780007365741</v>
      </c>
      <c r="G49" s="396" t="n">
        <f aca="false">IF(A49="N/A"," ",IF(ISERROR(P49),G37*Pwresc,P49)*VLOOKUP(MONTH(A49),Curveadj,3))</f>
        <v>24.7699966430664</v>
      </c>
      <c r="H49" s="398" t="n">
        <f aca="false">IF(A49="N/A"," ",G49*C49)</f>
        <v>25.2672254689418</v>
      </c>
      <c r="I49" s="398" t="n">
        <f aca="false">IF(A49="N/A"," ",IF(ISERROR(Q49),I37*Pwresc,Q49))</f>
        <v>20.8899993896484</v>
      </c>
      <c r="J49" s="398"/>
      <c r="K49" s="399"/>
      <c r="L49" s="399"/>
      <c r="M49" s="404"/>
      <c r="N49" s="401" t="n">
        <f aca="false">IF(A49="N/A"," ",VLOOKUP(A49,PeakPowerCurves,(IF(BMO3=2,3,IF(BMO3=1,2,4))),FALSE()))</f>
        <v>33.2857153756278</v>
      </c>
      <c r="O49" s="401" t="n">
        <f aca="false">IF(A49="N/A"," ",VLOOKUP(A49,SatSunPeakPwr,(IF(BMO3=2,3,IF(BMO3=1,2,4))),FALSE()))</f>
        <v>35.2699966430664</v>
      </c>
      <c r="P49" s="401" t="n">
        <f aca="false">IF(A49="N/A"," ",VLOOKUP(A49,SatSunPeakPwr,(IF(BMO3=2,7,IF(BMO3=1,6,8))),FALSE()))</f>
        <v>24.7699966430664</v>
      </c>
      <c r="Q49" s="402" t="n">
        <f aca="false">IF(A49="N/A"," ",(VLOOKUP(A49,OPPowerPrices,(IF(BMO3=2,7,IF(BMO3=1,6,8))),FALSE())))</f>
        <v>20.8899993896484</v>
      </c>
      <c r="R49" s="403" t="e">
        <f aca="false">IF(A49="N/A"," ",(VLOOKUP($A49,IRTable,2)))</f>
        <v>#N/A</v>
      </c>
      <c r="AF49" s="352" t="n">
        <v>37926</v>
      </c>
      <c r="AG49" s="311" t="n">
        <v>19</v>
      </c>
      <c r="AH49" s="311" t="n">
        <v>5</v>
      </c>
      <c r="AI49" s="311" t="n">
        <v>6</v>
      </c>
      <c r="AJ49" s="311" t="n">
        <v>1</v>
      </c>
      <c r="AK49" s="311" t="n">
        <v>30</v>
      </c>
      <c r="AU49" s="406"/>
    </row>
    <row r="50" customFormat="false" ht="12.75" hidden="false" customHeight="false" outlineLevel="0" collapsed="false">
      <c r="A50" s="352" t="n">
        <f aca="false">Option3!A17</f>
        <v>37653</v>
      </c>
      <c r="B50" s="396" t="n">
        <f aca="false">IF(A50="N/A"," ",IF(ISERROR(N50),B38*Pwresc,N50)*VLOOKUP(MONTH(A50),Curveadj,3))</f>
        <v>32.6857130868094</v>
      </c>
      <c r="C50" s="397" t="n">
        <f aca="false">IF(A50="N/A"," ",(IF(AND(Scaler3=1,MONTH(A50)&gt;=6,MONTH(A50)&lt;=8,OR($M$37="REGION 2",$M$37="REGION 2A",$M$37="REGION 2B",$M$37="REGION 3",$M$37="REGION 3A",$M$37="REGION 3B",$M$37="REGION 3C",$M$37="REGION 4",$M$37="REGION 4B",$M$37="REGION 4C",$M$37="REGION 5",$M$37="REGION 5A")),((0.059228/(B50/100))-(0.4980013/(SQRT(B50/100)))+2.137988),HLOOKUP(MONTH(A50),ScalarTable,28))))</f>
        <v>1.02007383501259</v>
      </c>
      <c r="D50" s="398" t="n">
        <f aca="false">IF(A50="N/A"," ",C50*B50)</f>
        <v>33.341840698583</v>
      </c>
      <c r="E50" s="396" t="n">
        <f aca="false">IF(A50="N/A"," ",IF(ISERROR(O50),E38*Pwresc,O50)*VLOOKUP(MONTH(A50),Curveadj,3))</f>
        <v>30.765998840332</v>
      </c>
      <c r="F50" s="398" t="n">
        <f aca="false">IF(A50="N/A"," ",E50*C50)</f>
        <v>31.3835904250505</v>
      </c>
      <c r="G50" s="396" t="n">
        <f aca="false">IF(A50="N/A"," ",IF(ISERROR(P50),G38*Pwresc,P50)*VLOOKUP(MONTH(A50),Curveadj,3))</f>
        <v>22.2664985656738</v>
      </c>
      <c r="H50" s="398" t="n">
        <f aca="false">IF(A50="N/A"," ",G50*C50)</f>
        <v>22.7134725841893</v>
      </c>
      <c r="I50" s="398" t="n">
        <f aca="false">IF(A50="N/A"," ",IF(ISERROR(Q50),I38*Pwresc,Q50))</f>
        <v>19.3899993896484</v>
      </c>
      <c r="J50" s="398"/>
      <c r="K50" s="399"/>
      <c r="L50" s="399"/>
      <c r="M50" s="404"/>
      <c r="N50" s="401" t="n">
        <f aca="false">IF(A50="N/A"," ",VLOOKUP(A50,PeakPowerCurves,(IF(BMO3=2,3,IF(BMO3=1,2,4))),FALSE()))</f>
        <v>32.6857130868094</v>
      </c>
      <c r="O50" s="401" t="n">
        <f aca="false">IF(A50="N/A"," ",VLOOKUP(A50,SatSunPeakPwr,(IF(BMO3=2,3,IF(BMO3=1,2,4))),FALSE()))</f>
        <v>30.765998840332</v>
      </c>
      <c r="P50" s="401" t="n">
        <f aca="false">IF(A50="N/A"," ",VLOOKUP(A50,SatSunPeakPwr,(IF(BMO3=2,7,IF(BMO3=1,6,8))),FALSE()))</f>
        <v>22.2664985656738</v>
      </c>
      <c r="Q50" s="402" t="n">
        <f aca="false">IF(A50="N/A"," ",(VLOOKUP(A50,OPPowerPrices,(IF(BMO3=2,7,IF(BMO3=1,6,8))),FALSE())))</f>
        <v>19.3899993896484</v>
      </c>
      <c r="R50" s="403" t="e">
        <f aca="false">IF(A50="N/A"," ",(VLOOKUP($A50,IRTable,2)))</f>
        <v>#N/A</v>
      </c>
      <c r="AF50" s="352" t="n">
        <v>37956</v>
      </c>
      <c r="AG50" s="311" t="n">
        <v>22</v>
      </c>
      <c r="AH50" s="311" t="n">
        <v>4</v>
      </c>
      <c r="AI50" s="311" t="n">
        <v>5</v>
      </c>
      <c r="AJ50" s="311" t="n">
        <v>1</v>
      </c>
      <c r="AK50" s="311" t="n">
        <v>31</v>
      </c>
      <c r="AU50" s="406"/>
    </row>
    <row r="51" customFormat="false" ht="12.75" hidden="false" customHeight="false" outlineLevel="0" collapsed="false">
      <c r="A51" s="352" t="n">
        <f aca="false">Option3!A18</f>
        <v>37681</v>
      </c>
      <c r="B51" s="396" t="n">
        <f aca="false">IF(A51="N/A"," ",IF(ISERROR(N51),B39*Pwresc,N51)*VLOOKUP(MONTH(A51),Curveadj,3))</f>
        <v>31.6476779316747</v>
      </c>
      <c r="C51" s="397" t="n">
        <f aca="false">IF(A51="N/A"," ",(IF(AND(Scaler3=1,MONTH(A51)&gt;=6,MONTH(A51)&lt;=8,OR($M$37="REGION 2",$M$37="REGION 2A",$M$37="REGION 2B",$M$37="REGION 3",$M$37="REGION 3A",$M$37="REGION 3B",$M$37="REGION 3C",$M$37="REGION 4",$M$37="REGION 4B",$M$37="REGION 4C",$M$37="REGION 5",$M$37="REGION 5A")),((0.059228/(B51/100))-(0.4980013/(SQRT(B51/100)))+2.137988),HLOOKUP(MONTH(A51),ScalarTable,28))))</f>
        <v>1.0173448699422</v>
      </c>
      <c r="D51" s="398" t="n">
        <f aca="false">IF(A51="N/A"," ",C51*B51)</f>
        <v>32.1966027893721</v>
      </c>
      <c r="E51" s="396" t="n">
        <f aca="false">IF(A51="N/A"," ",IF(ISERROR(O51),E39*Pwresc,O51)*VLOOKUP(MONTH(A51),Curveadj,3))</f>
        <v>25.0199966430664</v>
      </c>
      <c r="F51" s="398" t="n">
        <f aca="false">IF(A51="N/A"," ",E51*C51)</f>
        <v>25.4539652307946</v>
      </c>
      <c r="G51" s="396" t="n">
        <f aca="false">IF(A51="N/A"," ",IF(ISERROR(P51),G39*Pwresc,P51)*VLOOKUP(MONTH(A51),Curveadj,3))</f>
        <v>19.5199966430664</v>
      </c>
      <c r="H51" s="398" t="n">
        <f aca="false">IF(A51="N/A"," ",G51*C51)</f>
        <v>19.8585684461125</v>
      </c>
      <c r="I51" s="398" t="n">
        <f aca="false">IF(A51="N/A"," ",IF(ISERROR(Q51),I39*Pwresc,Q51))</f>
        <v>20.3899993896484</v>
      </c>
      <c r="J51" s="398"/>
      <c r="K51" s="399"/>
      <c r="L51" s="399"/>
      <c r="M51" s="404"/>
      <c r="N51" s="401" t="n">
        <f aca="false">IF(A51="N/A"," ",VLOOKUP(A51,PeakPowerCurves,(IF(BMO3=2,3,IF(BMO3=1,2,4))),FALSE()))</f>
        <v>31.6476779316747</v>
      </c>
      <c r="O51" s="401" t="n">
        <f aca="false">IF(A51="N/A"," ",VLOOKUP(A51,SatSunPeakPwr,(IF(BMO3=2,3,IF(BMO3=1,2,4))),FALSE()))</f>
        <v>25.0199966430664</v>
      </c>
      <c r="P51" s="401" t="n">
        <f aca="false">IF(A51="N/A"," ",VLOOKUP(A51,SatSunPeakPwr,(IF(BMO3=2,7,IF(BMO3=1,6,8))),FALSE()))</f>
        <v>19.5199966430664</v>
      </c>
      <c r="Q51" s="402" t="n">
        <f aca="false">IF(A51="N/A"," ",(VLOOKUP(A51,OPPowerPrices,(IF(BMO3=2,7,IF(BMO3=1,6,8))),FALSE())))</f>
        <v>20.3899993896484</v>
      </c>
      <c r="R51" s="403" t="e">
        <f aca="false">IF(A51="N/A"," ",(VLOOKUP($A51,IRTable,2)))</f>
        <v>#N/A</v>
      </c>
      <c r="AF51" s="352" t="n">
        <v>37987</v>
      </c>
      <c r="AG51" s="311" t="n">
        <v>21</v>
      </c>
      <c r="AH51" s="311" t="n">
        <v>5</v>
      </c>
      <c r="AI51" s="311" t="n">
        <v>5</v>
      </c>
      <c r="AJ51" s="311" t="n">
        <v>1</v>
      </c>
      <c r="AK51" s="311" t="n">
        <v>31</v>
      </c>
      <c r="AU51" s="406"/>
    </row>
    <row r="52" customFormat="false" ht="12.75" hidden="false" customHeight="false" outlineLevel="0" collapsed="false">
      <c r="A52" s="352" t="n">
        <f aca="false">Option3!A19</f>
        <v>37712</v>
      </c>
      <c r="B52" s="396" t="n">
        <f aca="false">IF(A52="N/A"," ",IF(ISERROR(N52),B40*Pwresc,N52)*VLOOKUP(MONTH(A52),Curveadj,3))</f>
        <v>31.8476710652196</v>
      </c>
      <c r="C52" s="397" t="n">
        <f aca="false">IF(A52="N/A"," ",(IF(AND(Scaler3=1,MONTH(A52)&gt;=6,MONTH(A52)&lt;=8,OR($M$37="REGION 2",$M$37="REGION 2A",$M$37="REGION 2B",$M$37="REGION 3",$M$37="REGION 3A",$M$37="REGION 3B",$M$37="REGION 3C",$M$37="REGION 4",$M$37="REGION 4B",$M$37="REGION 4C",$M$37="REGION 5",$M$37="REGION 5A")),((0.059228/(B52/100))-(0.4980013/(SQRT(B52/100)))+2.137988),HLOOKUP(MONTH(A52),ScalarTable,28))))</f>
        <v>1.005</v>
      </c>
      <c r="D52" s="398" t="n">
        <f aca="false">IF(A52="N/A"," ",C52*B52)</f>
        <v>32.0069094205457</v>
      </c>
      <c r="E52" s="396" t="n">
        <f aca="false">IF(A52="N/A"," ",IF(ISERROR(O52),E40*Pwresc,O52)*VLOOKUP(MONTH(A52),Curveadj,3))</f>
        <v>21.5199966430664</v>
      </c>
      <c r="F52" s="398" t="n">
        <f aca="false">IF(A52="N/A"," ",E52*C52)</f>
        <v>21.6275966262817</v>
      </c>
      <c r="G52" s="396" t="n">
        <f aca="false">IF(A52="N/A"," ",IF(ISERROR(P52),G40*Pwresc,P52)*VLOOKUP(MONTH(A52),Curveadj,3))</f>
        <v>16.0149993896484</v>
      </c>
      <c r="H52" s="398" t="n">
        <f aca="false">IF(A52="N/A"," ",G52*C52)</f>
        <v>16.0950743865967</v>
      </c>
      <c r="I52" s="398" t="n">
        <f aca="false">IF(A52="N/A"," ",IF(ISERROR(Q52),I40*Pwresc,Q52))</f>
        <v>17.3899993896484</v>
      </c>
      <c r="J52" s="398"/>
      <c r="K52" s="399"/>
      <c r="L52" s="399"/>
      <c r="M52" s="404"/>
      <c r="N52" s="401" t="n">
        <f aca="false">IF(A52="N/A"," ",VLOOKUP(A52,PeakPowerCurves,(IF(BMO3=2,3,IF(BMO3=1,2,4))),FALSE()))</f>
        <v>31.8476710652196</v>
      </c>
      <c r="O52" s="401" t="n">
        <f aca="false">IF(A52="N/A"," ",VLOOKUP(A52,SatSunPeakPwr,(IF(BMO3=2,3,IF(BMO3=1,2,4))),FALSE()))</f>
        <v>21.5199966430664</v>
      </c>
      <c r="P52" s="401" t="n">
        <f aca="false">IF(A52="N/A"," ",VLOOKUP(A52,SatSunPeakPwr,(IF(BMO3=2,7,IF(BMO3=1,6,8))),FALSE()))</f>
        <v>16.0149993896484</v>
      </c>
      <c r="Q52" s="402" t="n">
        <f aca="false">IF(A52="N/A"," ",(VLOOKUP(A52,OPPowerPrices,(IF(BMO3=2,7,IF(BMO3=1,6,8))),FALSE())))</f>
        <v>17.3899993896484</v>
      </c>
      <c r="R52" s="403" t="e">
        <f aca="false">IF(A52="N/A"," ",(VLOOKUP($A52,IRTable,2)))</f>
        <v>#N/A</v>
      </c>
      <c r="AF52" s="352" t="n">
        <v>38018</v>
      </c>
      <c r="AG52" s="311" t="n">
        <v>20</v>
      </c>
      <c r="AH52" s="311" t="n">
        <v>4</v>
      </c>
      <c r="AI52" s="311" t="n">
        <v>5</v>
      </c>
      <c r="AJ52" s="311" t="n">
        <v>0</v>
      </c>
      <c r="AK52" s="311" t="n">
        <v>29</v>
      </c>
      <c r="AU52" s="406"/>
    </row>
    <row r="53" customFormat="false" ht="12.75" hidden="false" customHeight="false" outlineLevel="0" collapsed="false">
      <c r="A53" s="352" t="n">
        <f aca="false">Option3!A20</f>
        <v>37742</v>
      </c>
      <c r="B53" s="396" t="n">
        <f aca="false">IF(A53="N/A"," ",IF(ISERROR(N53),B41*Pwresc,N53)*VLOOKUP(MONTH(A53),Curveadj,3))</f>
        <v>35.125</v>
      </c>
      <c r="C53" s="397" t="n">
        <f aca="false">IF(A53="N/A"," ",(IF(AND(Scaler3=1,MONTH(A53)&gt;=6,MONTH(A53)&lt;=8,OR($M$37="REGION 2",$M$37="REGION 2A",$M$37="REGION 2B",$M$37="REGION 3",$M$37="REGION 3A",$M$37="REGION 3B",$M$37="REGION 3C",$M$37="REGION 4",$M$37="REGION 4B",$M$37="REGION 4C",$M$37="REGION 5",$M$37="REGION 5A")),((0.059228/(B53/100))-(0.4980013/(SQRT(B53/100)))+2.137988),HLOOKUP(MONTH(A53),ScalarTable,28))))</f>
        <v>1.075625</v>
      </c>
      <c r="D53" s="398" t="n">
        <f aca="false">IF(A53="N/A"," ",C53*B53)</f>
        <v>37.781328125</v>
      </c>
      <c r="E53" s="396" t="n">
        <f aca="false">IF(A53="N/A"," ",IF(ISERROR(O53),E41*Pwresc,O53)*VLOOKUP(MONTH(A53),Curveadj,3))</f>
        <v>21.8399982452393</v>
      </c>
      <c r="F53" s="398" t="n">
        <f aca="false">IF(A53="N/A"," ",E53*C53)</f>
        <v>23.4916481125355</v>
      </c>
      <c r="G53" s="396" t="n">
        <f aca="false">IF(A53="N/A"," ",IF(ISERROR(P53),G41*Pwresc,P53)*VLOOKUP(MONTH(A53),Curveadj,3))</f>
        <v>15.3450012207031</v>
      </c>
      <c r="H53" s="398" t="n">
        <f aca="false">IF(A53="N/A"," ",G53*C53)</f>
        <v>16.5054669380188</v>
      </c>
      <c r="I53" s="398" t="n">
        <f aca="false">IF(A53="N/A"," ",IF(ISERROR(Q53),I41*Pwresc,Q53))</f>
        <v>17.9300003051758</v>
      </c>
      <c r="J53" s="398"/>
      <c r="K53" s="399"/>
      <c r="L53" s="399"/>
      <c r="M53" s="404"/>
      <c r="N53" s="401" t="n">
        <f aca="false">IF(A53="N/A"," ",VLOOKUP(A53,PeakPowerCurves,(IF(BMO3=2,3,IF(BMO3=1,2,4))),FALSE()))</f>
        <v>35.125</v>
      </c>
      <c r="O53" s="401" t="n">
        <f aca="false">IF(A53="N/A"," ",VLOOKUP(A53,SatSunPeakPwr,(IF(BMO3=2,3,IF(BMO3=1,2,4))),FALSE()))</f>
        <v>21.8399982452393</v>
      </c>
      <c r="P53" s="401" t="n">
        <f aca="false">IF(A53="N/A"," ",VLOOKUP(A53,SatSunPeakPwr,(IF(BMO3=2,7,IF(BMO3=1,6,8))),FALSE()))</f>
        <v>15.3450012207031</v>
      </c>
      <c r="Q53" s="402" t="n">
        <f aca="false">IF(A53="N/A"," ",(VLOOKUP(A53,OPPowerPrices,(IF(BMO3=2,7,IF(BMO3=1,6,8))),FALSE())))</f>
        <v>17.9300003051758</v>
      </c>
      <c r="R53" s="403" t="e">
        <f aca="false">IF(A53="N/A"," ",(VLOOKUP($A53,IRTable,2)))</f>
        <v>#N/A</v>
      </c>
      <c r="AF53" s="352" t="n">
        <v>38047</v>
      </c>
      <c r="AG53" s="311" t="n">
        <v>23</v>
      </c>
      <c r="AH53" s="311" t="n">
        <v>4</v>
      </c>
      <c r="AI53" s="311" t="n">
        <v>4</v>
      </c>
      <c r="AJ53" s="311" t="n">
        <v>0</v>
      </c>
      <c r="AK53" s="311" t="n">
        <v>31</v>
      </c>
      <c r="AU53" s="406"/>
    </row>
    <row r="54" customFormat="false" ht="12.75" hidden="false" customHeight="false" outlineLevel="0" collapsed="false">
      <c r="A54" s="352" t="n">
        <f aca="false">Option3!A21</f>
        <v>37773</v>
      </c>
      <c r="B54" s="396" t="n">
        <f aca="false">IF(A54="N/A"," ",IF(ISERROR(N54),B42*Pwresc,N54)*VLOOKUP(MONTH(A54),Curveadj,3))</f>
        <v>43.5</v>
      </c>
      <c r="C54" s="397" t="n">
        <f aca="false">IF(A54="N/A"," ",(IF(AND(Scaler3=1,MONTH(A54)&gt;=6,MONTH(A54)&lt;=8,OR($M$37="REGION 2",$M$37="REGION 2A",$M$37="REGION 2B",$M$37="REGION 3",$M$37="REGION 3A",$M$37="REGION 3B",$M$37="REGION 3C",$M$37="REGION 4",$M$37="REGION 4B",$M$37="REGION 4C",$M$37="REGION 5",$M$37="REGION 5A")),((0.059228/(B54/100))-(0.4980013/(SQRT(B54/100)))+2.137988),HLOOKUP(MONTH(A54),ScalarTable,28))))</f>
        <v>1.53</v>
      </c>
      <c r="D54" s="398" t="n">
        <f aca="false">IF(A54="N/A"," ",C54*B54)</f>
        <v>66.555</v>
      </c>
      <c r="E54" s="396" t="n">
        <f aca="false">IF(A54="N/A"," ",IF(ISERROR(O54),E42*Pwresc,O54)*VLOOKUP(MONTH(A54),Curveadj,3))</f>
        <v>28.8399982452393</v>
      </c>
      <c r="F54" s="398" t="n">
        <f aca="false">IF(A54="N/A"," ",E54*C54)</f>
        <v>44.1251973152161</v>
      </c>
      <c r="G54" s="396" t="n">
        <f aca="false">IF(A54="N/A"," ",IF(ISERROR(P54),G42*Pwresc,P54)*VLOOKUP(MONTH(A54),Curveadj,3))</f>
        <v>19.3399982452393</v>
      </c>
      <c r="H54" s="398" t="n">
        <f aca="false">IF(A54="N/A"," ",G54*C54)</f>
        <v>29.5901973152161</v>
      </c>
      <c r="I54" s="398" t="n">
        <f aca="false">IF(A54="N/A"," ",IF(ISERROR(Q54),I42*Pwresc,Q54))</f>
        <v>20.1800003051758</v>
      </c>
      <c r="J54" s="398"/>
      <c r="K54" s="399"/>
      <c r="L54" s="399"/>
      <c r="M54" s="404"/>
      <c r="N54" s="401" t="n">
        <f aca="false">IF(A54="N/A"," ",VLOOKUP(A54,PeakPowerCurves,(IF(BMO3=2,3,IF(BMO3=1,2,4))),FALSE()))</f>
        <v>43.5</v>
      </c>
      <c r="O54" s="401" t="n">
        <f aca="false">IF(A54="N/A"," ",VLOOKUP(A54,SatSunPeakPwr,(IF(BMO3=2,3,IF(BMO3=1,2,4))),FALSE()))</f>
        <v>28.8399982452393</v>
      </c>
      <c r="P54" s="401" t="n">
        <f aca="false">IF(A54="N/A"," ",VLOOKUP(A54,SatSunPeakPwr,(IF(BMO3=2,7,IF(BMO3=1,6,8))),FALSE()))</f>
        <v>19.3399982452393</v>
      </c>
      <c r="Q54" s="402" t="n">
        <f aca="false">IF(A54="N/A"," ",(VLOOKUP(A54,OPPowerPrices,(IF(BMO3=2,7,IF(BMO3=1,6,8))),FALSE())))</f>
        <v>20.1800003051758</v>
      </c>
      <c r="R54" s="403" t="e">
        <f aca="false">IF(A54="N/A"," ",(VLOOKUP($A54,IRTable,2)))</f>
        <v>#N/A</v>
      </c>
      <c r="AF54" s="352" t="n">
        <v>38078</v>
      </c>
      <c r="AG54" s="311" t="n">
        <v>22</v>
      </c>
      <c r="AH54" s="311" t="n">
        <v>4</v>
      </c>
      <c r="AI54" s="311" t="n">
        <v>4</v>
      </c>
      <c r="AJ54" s="311" t="n">
        <v>0</v>
      </c>
      <c r="AK54" s="311" t="n">
        <v>30</v>
      </c>
      <c r="AU54" s="406"/>
    </row>
    <row r="55" customFormat="false" ht="12.75" hidden="false" customHeight="false" outlineLevel="0" collapsed="false">
      <c r="A55" s="352" t="n">
        <f aca="false">Option3!A22</f>
        <v>37803</v>
      </c>
      <c r="B55" s="396" t="n">
        <f aca="false">IF(A55="N/A"," ",IF(ISERROR(N55),B43*Pwresc,N55)*VLOOKUP(MONTH(A55),Curveadj,3))</f>
        <v>54.5</v>
      </c>
      <c r="C55" s="397" t="n">
        <f aca="false">IF(A55="N/A"," ",(IF(AND(Scaler3=1,MONTH(A55)&gt;=6,MONTH(A55)&lt;=8,OR($M$37="REGION 2",$M$37="REGION 2A",$M$37="REGION 2B",$M$37="REGION 3",$M$37="REGION 3A",$M$37="REGION 3B",$M$37="REGION 3C",$M$37="REGION 4",$M$37="REGION 4B",$M$37="REGION 4C",$M$37="REGION 5",$M$37="REGION 5A")),((0.059228/(B55/100))-(0.4980013/(SQRT(B55/100)))+2.137988),HLOOKUP(MONTH(A55),ScalarTable,28))))</f>
        <v>1.63</v>
      </c>
      <c r="D55" s="398" t="n">
        <f aca="false">IF(A55="N/A"," ",C55*B55)</f>
        <v>88.835</v>
      </c>
      <c r="E55" s="396" t="n">
        <f aca="false">IF(A55="N/A"," ",IF(ISERROR(O55),E43*Pwresc,O55)*VLOOKUP(MONTH(A55),Curveadj,3))</f>
        <v>34.8400039672852</v>
      </c>
      <c r="F55" s="398" t="n">
        <f aca="false">IF(A55="N/A"," ",E55*C55)</f>
        <v>56.7892064666748</v>
      </c>
      <c r="G55" s="396" t="n">
        <f aca="false">IF(A55="N/A"," ",IF(ISERROR(P55),G43*Pwresc,P55)*VLOOKUP(MONTH(A55),Curveadj,3))</f>
        <v>25.3399982452393</v>
      </c>
      <c r="H55" s="398" t="n">
        <f aca="false">IF(A55="N/A"," ",G55*C55)</f>
        <v>41.30419713974</v>
      </c>
      <c r="I55" s="398" t="n">
        <f aca="false">IF(A55="N/A"," ",IF(ISERROR(Q55),I43*Pwresc,Q55))</f>
        <v>20.6800003051758</v>
      </c>
      <c r="J55" s="398"/>
      <c r="K55" s="399"/>
      <c r="L55" s="399"/>
      <c r="M55" s="404"/>
      <c r="N55" s="401" t="n">
        <f aca="false">IF(A55="N/A"," ",VLOOKUP(A55,PeakPowerCurves,(IF(BMO3=2,3,IF(BMO3=1,2,4))),FALSE()))</f>
        <v>54.5</v>
      </c>
      <c r="O55" s="401" t="n">
        <f aca="false">IF(A55="N/A"," ",VLOOKUP(A55,SatSunPeakPwr,(IF(BMO3=2,3,IF(BMO3=1,2,4))),FALSE()))</f>
        <v>34.8400039672852</v>
      </c>
      <c r="P55" s="401" t="n">
        <f aca="false">IF(A55="N/A"," ",VLOOKUP(A55,SatSunPeakPwr,(IF(BMO3=2,7,IF(BMO3=1,6,8))),FALSE()))</f>
        <v>25.3399982452393</v>
      </c>
      <c r="Q55" s="402" t="n">
        <f aca="false">IF(A55="N/A"," ",(VLOOKUP(A55,OPPowerPrices,(IF(BMO3=2,7,IF(BMO3=1,6,8))),FALSE())))</f>
        <v>20.6800003051758</v>
      </c>
      <c r="R55" s="403" t="e">
        <f aca="false">IF(A55="N/A"," ",(VLOOKUP($A55,IRTable,2)))</f>
        <v>#N/A</v>
      </c>
      <c r="AF55" s="352" t="n">
        <v>38108</v>
      </c>
      <c r="AG55" s="311" t="n">
        <v>20</v>
      </c>
      <c r="AH55" s="311" t="n">
        <v>5</v>
      </c>
      <c r="AI55" s="311" t="n">
        <v>6</v>
      </c>
      <c r="AJ55" s="311" t="n">
        <v>1</v>
      </c>
      <c r="AK55" s="311" t="n">
        <v>31</v>
      </c>
      <c r="AU55" s="406"/>
    </row>
    <row r="56" customFormat="false" ht="12.75" hidden="false" customHeight="false" outlineLevel="0" collapsed="false">
      <c r="A56" s="352" t="n">
        <f aca="false">Option3!A23</f>
        <v>37834</v>
      </c>
      <c r="B56" s="396" t="n">
        <f aca="false">IF(A56="N/A"," ",IF(ISERROR(N56),B44*Pwresc,N56)*VLOOKUP(MONTH(A56),Curveadj,3))</f>
        <v>54.5</v>
      </c>
      <c r="C56" s="397" t="n">
        <f aca="false">IF(A56="N/A"," ",(IF(AND(Scaler3=1,MONTH(A56)&gt;=6,MONTH(A56)&lt;=8,OR($M$37="REGION 2",$M$37="REGION 2A",$M$37="REGION 2B",$M$37="REGION 3",$M$37="REGION 3A",$M$37="REGION 3B",$M$37="REGION 3C",$M$37="REGION 4",$M$37="REGION 4B",$M$37="REGION 4C",$M$37="REGION 5",$M$37="REGION 5A")),((0.059228/(B56/100))-(0.4980013/(SQRT(B56/100)))+2.137988),HLOOKUP(MONTH(A56),ScalarTable,28))))</f>
        <v>1.63</v>
      </c>
      <c r="D56" s="398" t="n">
        <f aca="false">IF(A56="N/A"," ",C56*B56)</f>
        <v>88.835</v>
      </c>
      <c r="E56" s="396" t="n">
        <f aca="false">IF(A56="N/A"," ",IF(ISERROR(O56),E44*Pwresc,O56)*VLOOKUP(MONTH(A56),Curveadj,3))</f>
        <v>32.8400077819824</v>
      </c>
      <c r="F56" s="398" t="n">
        <f aca="false">IF(A56="N/A"," ",E56*C56)</f>
        <v>53.5292126846314</v>
      </c>
      <c r="G56" s="396" t="n">
        <f aca="false">IF(A56="N/A"," ",IF(ISERROR(P56),G44*Pwresc,P56)*VLOOKUP(MONTH(A56),Curveadj,3))</f>
        <v>25.3399982452393</v>
      </c>
      <c r="H56" s="398" t="n">
        <f aca="false">IF(A56="N/A"," ",G56*C56)</f>
        <v>41.30419713974</v>
      </c>
      <c r="I56" s="398" t="n">
        <f aca="false">IF(A56="N/A"," ",IF(ISERROR(Q56),I44*Pwresc,Q56))</f>
        <v>21.6800003051758</v>
      </c>
      <c r="J56" s="398"/>
      <c r="K56" s="399"/>
      <c r="L56" s="399"/>
      <c r="M56" s="404"/>
      <c r="N56" s="401" t="n">
        <f aca="false">IF(A56="N/A"," ",VLOOKUP(A56,PeakPowerCurves,(IF(BMO3=2,3,IF(BMO3=1,2,4))),FALSE()))</f>
        <v>54.5</v>
      </c>
      <c r="O56" s="401" t="n">
        <f aca="false">IF(A56="N/A"," ",VLOOKUP(A56,SatSunPeakPwr,(IF(BMO3=2,3,IF(BMO3=1,2,4))),FALSE()))</f>
        <v>32.8400077819824</v>
      </c>
      <c r="P56" s="401" t="n">
        <f aca="false">IF(A56="N/A"," ",VLOOKUP(A56,SatSunPeakPwr,(IF(BMO3=2,7,IF(BMO3=1,6,8))),FALSE()))</f>
        <v>25.3399982452393</v>
      </c>
      <c r="Q56" s="402" t="n">
        <f aca="false">IF(A56="N/A"," ",(VLOOKUP(A56,OPPowerPrices,(IF(BMO3=2,7,IF(BMO3=1,6,8))),FALSE())))</f>
        <v>21.6800003051758</v>
      </c>
      <c r="R56" s="403" t="e">
        <f aca="false">IF(A56="N/A"," ",(VLOOKUP($A56,IRTable,2)))</f>
        <v>#N/A</v>
      </c>
      <c r="AF56" s="352" t="n">
        <v>38139</v>
      </c>
      <c r="AG56" s="311" t="n">
        <v>22</v>
      </c>
      <c r="AH56" s="311" t="n">
        <v>4</v>
      </c>
      <c r="AI56" s="311" t="n">
        <v>4</v>
      </c>
      <c r="AJ56" s="311" t="n">
        <v>0</v>
      </c>
      <c r="AK56" s="311" t="n">
        <v>30</v>
      </c>
      <c r="AU56" s="406"/>
    </row>
    <row r="57" customFormat="false" ht="12.75" hidden="false" customHeight="false" outlineLevel="0" collapsed="false">
      <c r="A57" s="352" t="n">
        <f aca="false">Option3!A24</f>
        <v>37865</v>
      </c>
      <c r="B57" s="396" t="n">
        <f aca="false">IF(A57="N/A"," ",IF(ISERROR(N57),B45*Pwresc,N57)*VLOOKUP(MONTH(A57),Curveadj,3))</f>
        <v>30</v>
      </c>
      <c r="C57" s="397" t="n">
        <f aca="false">IF(A57="N/A"," ",(IF(AND(Scaler3=1,MONTH(A57)&gt;=6,MONTH(A57)&lt;=8,OR($M$37="REGION 2",$M$37="REGION 2A",$M$37="REGION 2B",$M$37="REGION 3",$M$37="REGION 3A",$M$37="REGION 3B",$M$37="REGION 3C",$M$37="REGION 4",$M$37="REGION 4B",$M$37="REGION 4C",$M$37="REGION 5",$M$37="REGION 5A")),((0.059228/(B57/100))-(0.4980013/(SQRT(B57/100)))+2.137988),HLOOKUP(MONTH(A57),ScalarTable,28))))</f>
        <v>1.35125</v>
      </c>
      <c r="D57" s="398" t="n">
        <f aca="false">IF(A57="N/A"," ",C57*B57)</f>
        <v>40.5375</v>
      </c>
      <c r="E57" s="396" t="n">
        <f aca="false">IF(A57="N/A"," ",IF(ISERROR(O57),E45*Pwresc,O57)*VLOOKUP(MONTH(A57),Curveadj,3))</f>
        <v>24.8399982452393</v>
      </c>
      <c r="F57" s="398" t="n">
        <f aca="false">IF(A57="N/A"," ",E57*C57)</f>
        <v>33.5650476288796</v>
      </c>
      <c r="G57" s="396" t="n">
        <f aca="false">IF(A57="N/A"," ",IF(ISERROR(P57),G45*Pwresc,P57)*VLOOKUP(MONTH(A57),Curveadj,3))</f>
        <v>19.3399982452393</v>
      </c>
      <c r="H57" s="398" t="n">
        <f aca="false">IF(A57="N/A"," ",G57*C57)</f>
        <v>26.1331726288796</v>
      </c>
      <c r="I57" s="398" t="n">
        <f aca="false">IF(A57="N/A"," ",IF(ISERROR(Q57),I45*Pwresc,Q57))</f>
        <v>15.6800003051758</v>
      </c>
      <c r="J57" s="398"/>
      <c r="K57" s="399"/>
      <c r="L57" s="399"/>
      <c r="M57" s="404"/>
      <c r="N57" s="401" t="n">
        <f aca="false">IF(A57="N/A"," ",VLOOKUP(A57,PeakPowerCurves,(IF(BMO3=2,3,IF(BMO3=1,2,4))),FALSE()))</f>
        <v>30</v>
      </c>
      <c r="O57" s="401" t="n">
        <f aca="false">IF(A57="N/A"," ",VLOOKUP(A57,SatSunPeakPwr,(IF(BMO3=2,3,IF(BMO3=1,2,4))),FALSE()))</f>
        <v>24.8399982452393</v>
      </c>
      <c r="P57" s="401" t="n">
        <f aca="false">IF(A57="N/A"," ",VLOOKUP(A57,SatSunPeakPwr,(IF(BMO3=2,7,IF(BMO3=1,6,8))),FALSE()))</f>
        <v>19.3399982452393</v>
      </c>
      <c r="Q57" s="402" t="n">
        <f aca="false">IF(A57="N/A"," ",(VLOOKUP(A57,OPPowerPrices,(IF(BMO3=2,7,IF(BMO3=1,6,8))),FALSE())))</f>
        <v>15.6800003051758</v>
      </c>
      <c r="R57" s="403" t="e">
        <f aca="false">IF(A57="N/A"," ",(VLOOKUP($A57,IRTable,2)))</f>
        <v>#N/A</v>
      </c>
      <c r="AF57" s="352" t="n">
        <v>38169</v>
      </c>
      <c r="AG57" s="311" t="n">
        <v>21</v>
      </c>
      <c r="AH57" s="311" t="n">
        <v>5</v>
      </c>
      <c r="AI57" s="311" t="n">
        <v>5</v>
      </c>
      <c r="AJ57" s="311" t="n">
        <v>1</v>
      </c>
      <c r="AK57" s="311" t="n">
        <v>31</v>
      </c>
      <c r="AU57" s="406"/>
    </row>
    <row r="58" customFormat="false" ht="12.75" hidden="false" customHeight="false" outlineLevel="0" collapsed="false">
      <c r="A58" s="352" t="n">
        <f aca="false">Option3!A25</f>
        <v>37895</v>
      </c>
      <c r="B58" s="396" t="n">
        <f aca="false">IF(A58="N/A"," ",IF(ISERROR(N58),B46*Pwresc,N58)*VLOOKUP(MONTH(A58),Curveadj,3))</f>
        <v>30.4015640020371</v>
      </c>
      <c r="C58" s="397" t="n">
        <f aca="false">IF(A58="N/A"," ",(IF(AND(Scaler3=1,MONTH(A58)&gt;=6,MONTH(A58)&lt;=8,OR($M$37="REGION 2",$M$37="REGION 2A",$M$37="REGION 2B",$M$37="REGION 3",$M$37="REGION 3A",$M$37="REGION 3B",$M$37="REGION 3C",$M$37="REGION 4",$M$37="REGION 4B",$M$37="REGION 4C",$M$37="REGION 5",$M$37="REGION 5A")),((0.059228/(B58/100))-(0.4980013/(SQRT(B58/100)))+2.137988),HLOOKUP(MONTH(A58),ScalarTable,28))))</f>
        <v>1.005</v>
      </c>
      <c r="D58" s="398" t="n">
        <f aca="false">IF(A58="N/A"," ",C58*B58)</f>
        <v>30.5535718220472</v>
      </c>
      <c r="E58" s="396" t="n">
        <f aca="false">IF(A58="N/A"," ",IF(ISERROR(O58),E46*Pwresc,O58)*VLOOKUP(MONTH(A58),Curveadj,3))</f>
        <v>19.8359985351563</v>
      </c>
      <c r="F58" s="398" t="n">
        <f aca="false">IF(A58="N/A"," ",E58*C58)</f>
        <v>19.935178527832</v>
      </c>
      <c r="G58" s="396" t="n">
        <f aca="false">IF(A58="N/A"," ",IF(ISERROR(P58),G46*Pwresc,P58)*VLOOKUP(MONTH(A58),Curveadj,3))</f>
        <v>14.3365020751953</v>
      </c>
      <c r="H58" s="398" t="n">
        <f aca="false">IF(A58="N/A"," ",G58*C58)</f>
        <v>14.4081845855713</v>
      </c>
      <c r="I58" s="398" t="n">
        <f aca="false">IF(A58="N/A"," ",IF(ISERROR(Q58),I46*Pwresc,Q58))</f>
        <v>15.1800022125244</v>
      </c>
      <c r="J58" s="398"/>
      <c r="K58" s="399"/>
      <c r="L58" s="399"/>
      <c r="M58" s="404"/>
      <c r="N58" s="401" t="n">
        <f aca="false">IF(A58="N/A"," ",VLOOKUP(A58,PeakPowerCurves,(IF(BMO3=2,3,IF(BMO3=1,2,4))),FALSE()))</f>
        <v>30.4015640020371</v>
      </c>
      <c r="O58" s="401" t="n">
        <f aca="false">IF(A58="N/A"," ",VLOOKUP(A58,SatSunPeakPwr,(IF(BMO3=2,3,IF(BMO3=1,2,4))),FALSE()))</f>
        <v>19.8359985351563</v>
      </c>
      <c r="P58" s="401" t="n">
        <f aca="false">IF(A58="N/A"," ",VLOOKUP(A58,SatSunPeakPwr,(IF(BMO3=2,7,IF(BMO3=1,6,8))),FALSE()))</f>
        <v>14.3365020751953</v>
      </c>
      <c r="Q58" s="402" t="n">
        <f aca="false">IF(A58="N/A"," ",(VLOOKUP(A58,OPPowerPrices,(IF(BMO3=2,7,IF(BMO3=1,6,8))),FALSE())))</f>
        <v>15.1800022125244</v>
      </c>
      <c r="R58" s="403" t="e">
        <f aca="false">IF(A58="N/A"," ",(VLOOKUP($A58,IRTable,2)))</f>
        <v>#N/A</v>
      </c>
      <c r="AF58" s="352" t="n">
        <v>38200</v>
      </c>
      <c r="AG58" s="311" t="n">
        <v>22</v>
      </c>
      <c r="AH58" s="311" t="n">
        <v>4</v>
      </c>
      <c r="AI58" s="311" t="n">
        <v>5</v>
      </c>
      <c r="AJ58" s="311" t="n">
        <v>0</v>
      </c>
      <c r="AK58" s="311" t="n">
        <v>31</v>
      </c>
      <c r="AU58" s="406"/>
    </row>
    <row r="59" customFormat="false" ht="12.75" hidden="false" customHeight="false" outlineLevel="0" collapsed="false">
      <c r="A59" s="352" t="n">
        <f aca="false">Option3!A26</f>
        <v>37926</v>
      </c>
      <c r="B59" s="396" t="n">
        <f aca="false">IF(A59="N/A"," ",IF(ISERROR(N59),B47*Pwresc,N59)*VLOOKUP(MONTH(A59),Curveadj,3))</f>
        <v>30.5015624761581</v>
      </c>
      <c r="C59" s="397" t="n">
        <f aca="false">IF(A59="N/A"," ",(IF(AND(Scaler3=1,MONTH(A59)&gt;=6,MONTH(A59)&lt;=8,OR($M$37="REGION 2",$M$37="REGION 2A",$M$37="REGION 2B",$M$37="REGION 3",$M$37="REGION 3A",$M$37="REGION 3B",$M$37="REGION 3C",$M$37="REGION 4",$M$37="REGION 4B",$M$37="REGION 4C",$M$37="REGION 5",$M$37="REGION 5A")),((0.059228/(B59/100))-(0.4980013/(SQRT(B59/100)))+2.137988),HLOOKUP(MONTH(A59),ScalarTable,28))))</f>
        <v>1.0825</v>
      </c>
      <c r="D59" s="398" t="n">
        <f aca="false">IF(A59="N/A"," ",C59*B59)</f>
        <v>33.0179413804412</v>
      </c>
      <c r="E59" s="396" t="n">
        <f aca="false">IF(A59="N/A"," ",IF(ISERROR(O59),E47*Pwresc,O59)*VLOOKUP(MONTH(A59),Curveadj,3))</f>
        <v>21.8399982452393</v>
      </c>
      <c r="F59" s="398" t="n">
        <f aca="false">IF(A59="N/A"," ",E59*C59)</f>
        <v>23.6417981004715</v>
      </c>
      <c r="G59" s="396" t="n">
        <f aca="false">IF(A59="N/A"," ",IF(ISERROR(P59),G47*Pwresc,P59)*VLOOKUP(MONTH(A59),Curveadj,3))</f>
        <v>14.3400020599365</v>
      </c>
      <c r="H59" s="398" t="n">
        <f aca="false">IF(A59="N/A"," ",G59*C59)</f>
        <v>15.5230522298813</v>
      </c>
      <c r="I59" s="398" t="n">
        <f aca="false">IF(A59="N/A"," ",IF(ISERROR(Q59),I47*Pwresc,Q59))</f>
        <v>16.1800003051758</v>
      </c>
      <c r="J59" s="398"/>
      <c r="K59" s="399"/>
      <c r="L59" s="399"/>
      <c r="M59" s="404"/>
      <c r="N59" s="401" t="n">
        <f aca="false">IF(A59="N/A"," ",VLOOKUP(A59,PeakPowerCurves,(IF(BMO3=2,3,IF(BMO3=1,2,4))),FALSE()))</f>
        <v>30.5015624761581</v>
      </c>
      <c r="O59" s="401" t="n">
        <f aca="false">IF(A59="N/A"," ",VLOOKUP(A59,SatSunPeakPwr,(IF(BMO3=2,3,IF(BMO3=1,2,4))),FALSE()))</f>
        <v>21.8399982452393</v>
      </c>
      <c r="P59" s="401" t="n">
        <f aca="false">IF(A59="N/A"," ",VLOOKUP(A59,SatSunPeakPwr,(IF(BMO3=2,7,IF(BMO3=1,6,8))),FALSE()))</f>
        <v>14.3400020599365</v>
      </c>
      <c r="Q59" s="402" t="n">
        <f aca="false">IF(A59="N/A"," ",(VLOOKUP(A59,OPPowerPrices,(IF(BMO3=2,7,IF(BMO3=1,6,8))),FALSE())))</f>
        <v>16.1800003051758</v>
      </c>
      <c r="R59" s="403" t="e">
        <f aca="false">IF(A59="N/A"," ",(VLOOKUP($A59,IRTable,2)))</f>
        <v>#N/A</v>
      </c>
      <c r="AF59" s="352" t="n">
        <v>38231</v>
      </c>
      <c r="AG59" s="311" t="n">
        <v>21</v>
      </c>
      <c r="AH59" s="311" t="n">
        <v>4</v>
      </c>
      <c r="AI59" s="311" t="n">
        <v>5</v>
      </c>
      <c r="AJ59" s="311" t="n">
        <v>1</v>
      </c>
      <c r="AK59" s="311" t="n">
        <v>30</v>
      </c>
      <c r="AU59" s="406"/>
    </row>
    <row r="60" customFormat="false" ht="12.75" hidden="false" customHeight="false" outlineLevel="0" collapsed="false">
      <c r="A60" s="352" t="n">
        <f aca="false">Option3!A27</f>
        <v>37956</v>
      </c>
      <c r="B60" s="396" t="n">
        <f aca="false">IF(A60="N/A"," ",IF(ISERROR(N60),B48*Pwresc,N60)*VLOOKUP(MONTH(A60),Curveadj,3))</f>
        <v>30.6015609502792</v>
      </c>
      <c r="C60" s="397" t="n">
        <f aca="false">IF(A60="N/A"," ",(IF(AND(Scaler3=1,MONTH(A60)&gt;=6,MONTH(A60)&lt;=8,OR($M$37="REGION 2",$M$37="REGION 2A",$M$37="REGION 2B",$M$37="REGION 3",$M$37="REGION 3A",$M$37="REGION 3B",$M$37="REGION 3C",$M$37="REGION 4",$M$37="REGION 4B",$M$37="REGION 4C",$M$37="REGION 5",$M$37="REGION 5A")),((0.059228/(B60/100))-(0.4980013/(SQRT(B60/100)))+2.137988),HLOOKUP(MONTH(A60),ScalarTable,28))))</f>
        <v>1.02125</v>
      </c>
      <c r="D60" s="398" t="n">
        <f aca="false">IF(A60="N/A"," ",C60*B60)</f>
        <v>31.2518441204727</v>
      </c>
      <c r="E60" s="396" t="n">
        <f aca="false">IF(A60="N/A"," ",IF(ISERROR(O60),E48*Pwresc,O60)*VLOOKUP(MONTH(A60),Curveadj,3))</f>
        <v>26.8399982452393</v>
      </c>
      <c r="F60" s="398" t="n">
        <f aca="false">IF(A60="N/A"," ",E60*C60)</f>
        <v>27.4103482079506</v>
      </c>
      <c r="G60" s="396" t="n">
        <f aca="false">IF(A60="N/A"," ",IF(ISERROR(P60),G48*Pwresc,P60)*VLOOKUP(MONTH(A60),Curveadj,3))</f>
        <v>21.3399982452393</v>
      </c>
      <c r="H60" s="398" t="n">
        <f aca="false">IF(A60="N/A"," ",G60*C60)</f>
        <v>21.7934732079506</v>
      </c>
      <c r="I60" s="398" t="n">
        <f aca="false">IF(A60="N/A"," ",IF(ISERROR(Q60),I48*Pwresc,Q60))</f>
        <v>18.4300003051758</v>
      </c>
      <c r="J60" s="398"/>
      <c r="K60" s="399"/>
      <c r="L60" s="399"/>
      <c r="M60" s="404"/>
      <c r="N60" s="401" t="n">
        <f aca="false">IF(A60="N/A"," ",VLOOKUP(A60,PeakPowerCurves,(IF(BMO3=2,3,IF(BMO3=1,2,4))),FALSE()))</f>
        <v>30.6015609502792</v>
      </c>
      <c r="O60" s="401" t="n">
        <f aca="false">IF(A60="N/A"," ",VLOOKUP(A60,SatSunPeakPwr,(IF(BMO3=2,3,IF(BMO3=1,2,4))),FALSE()))</f>
        <v>26.8399982452393</v>
      </c>
      <c r="P60" s="401" t="n">
        <f aca="false">IF(A60="N/A"," ",VLOOKUP(A60,SatSunPeakPwr,(IF(BMO3=2,7,IF(BMO3=1,6,8))),FALSE()))</f>
        <v>21.3399982452393</v>
      </c>
      <c r="Q60" s="402" t="n">
        <f aca="false">IF(A60="N/A"," ",(VLOOKUP(A60,OPPowerPrices,(IF(BMO3=2,7,IF(BMO3=1,6,8))),FALSE())))</f>
        <v>18.4300003051758</v>
      </c>
      <c r="R60" s="403" t="e">
        <f aca="false">IF(A60="N/A"," ",(VLOOKUP($A60,IRTable,2)))</f>
        <v>#N/A</v>
      </c>
      <c r="AF60" s="352" t="n">
        <v>38261</v>
      </c>
      <c r="AG60" s="311" t="n">
        <v>21</v>
      </c>
      <c r="AH60" s="311" t="n">
        <v>5</v>
      </c>
      <c r="AI60" s="311" t="n">
        <v>5</v>
      </c>
      <c r="AJ60" s="311" t="n">
        <v>0</v>
      </c>
      <c r="AK60" s="311" t="n">
        <v>31</v>
      </c>
      <c r="AU60" s="406"/>
    </row>
    <row r="61" customFormat="false" ht="12.75" hidden="false" customHeight="false" outlineLevel="0" collapsed="false">
      <c r="A61" s="352" t="n">
        <f aca="false">Option3!A28</f>
        <v>37987</v>
      </c>
      <c r="B61" s="396" t="n">
        <f aca="false">IF(A61="N/A"," ",IF(ISERROR(N61),B49*Pwresc,N61)*VLOOKUP(MONTH(A61),Curveadj,3))</f>
        <v>34.3357146126883</v>
      </c>
      <c r="C61" s="397" t="n">
        <f aca="false">IF(A61="N/A"," ",(IF(AND(Scaler3=1,MONTH(A61)&gt;=6,MONTH(A61)&lt;=8,OR($M$37="REGION 2",$M$37="REGION 2A",$M$37="REGION 2B",$M$37="REGION 3",$M$37="REGION 3A",$M$37="REGION 3B",$M$37="REGION 3C",$M$37="REGION 4",$M$37="REGION 4B",$M$37="REGION 4C",$M$37="REGION 5",$M$37="REGION 5A")),((0.059228/(B61/100))-(0.4980013/(SQRT(B61/100)))+2.137988),HLOOKUP(MONTH(A61),ScalarTable,28))))</f>
        <v>1.02007383501259</v>
      </c>
      <c r="D61" s="398" t="n">
        <f aca="false">IF(A61="N/A"," ",C61*B61)</f>
        <v>35.024964082863</v>
      </c>
      <c r="E61" s="396" t="n">
        <f aca="false">IF(A61="N/A"," ",IF(ISERROR(O61),E49*Pwresc,O61)*VLOOKUP(MONTH(A61),Curveadj,3))</f>
        <v>35.5</v>
      </c>
      <c r="F61" s="398" t="n">
        <f aca="false">IF(A61="N/A"," ",E61*C61)</f>
        <v>36.2126211429471</v>
      </c>
      <c r="G61" s="396" t="n">
        <f aca="false">IF(A61="N/A"," ",IF(ISERROR(P61),G49*Pwresc,P61)*VLOOKUP(MONTH(A61),Curveadj,3))</f>
        <v>25</v>
      </c>
      <c r="H61" s="398" t="n">
        <f aca="false">IF(A61="N/A"," ",G61*C61)</f>
        <v>25.5018458753149</v>
      </c>
      <c r="I61" s="398" t="n">
        <f aca="false">IF(A61="N/A"," ",IF(ISERROR(Q61),I49*Pwresc,Q61))</f>
        <v>20.75</v>
      </c>
      <c r="J61" s="398"/>
      <c r="K61" s="399"/>
      <c r="L61" s="399"/>
      <c r="M61" s="404"/>
      <c r="N61" s="401" t="n">
        <f aca="false">IF(A61="N/A"," ",VLOOKUP(A61,PeakPowerCurves,(IF(BMO3=2,3,IF(BMO3=1,2,4))),FALSE()))</f>
        <v>34.3357146126883</v>
      </c>
      <c r="O61" s="401" t="n">
        <f aca="false">IF(A61="N/A"," ",VLOOKUP(A61,SatSunPeakPwr,(IF(BMO3=2,3,IF(BMO3=1,2,4))),FALSE()))</f>
        <v>35.5</v>
      </c>
      <c r="P61" s="401" t="n">
        <f aca="false">IF(A61="N/A"," ",VLOOKUP(A61,SatSunPeakPwr,(IF(BMO3=2,7,IF(BMO3=1,6,8))),FALSE()))</f>
        <v>25</v>
      </c>
      <c r="Q61" s="402" t="n">
        <f aca="false">IF(A61="N/A"," ",(VLOOKUP(A61,OPPowerPrices,(IF(BMO3=2,7,IF(BMO3=1,6,8))),FALSE())))</f>
        <v>20.75</v>
      </c>
      <c r="R61" s="403" t="e">
        <f aca="false">IF(A61="N/A"," ",(VLOOKUP($A61,IRTable,2)))</f>
        <v>#N/A</v>
      </c>
      <c r="AF61" s="352" t="n">
        <v>38292</v>
      </c>
      <c r="AG61" s="311" t="n">
        <v>21</v>
      </c>
      <c r="AH61" s="311" t="n">
        <v>4</v>
      </c>
      <c r="AI61" s="311" t="n">
        <v>5</v>
      </c>
      <c r="AJ61" s="311" t="n">
        <v>1</v>
      </c>
      <c r="AK61" s="311" t="n">
        <v>30</v>
      </c>
      <c r="AU61" s="406"/>
    </row>
    <row r="62" customFormat="false" ht="12.75" hidden="false" customHeight="false" outlineLevel="0" collapsed="false">
      <c r="A62" s="352" t="n">
        <f aca="false">Option3!A29</f>
        <v>38018</v>
      </c>
      <c r="B62" s="396" t="n">
        <f aca="false">IF(A62="N/A"," ",IF(ISERROR(N62),B50*Pwresc,N62)*VLOOKUP(MONTH(A62),Curveadj,3))</f>
        <v>33.7357085091727</v>
      </c>
      <c r="C62" s="397" t="n">
        <f aca="false">IF(A62="N/A"," ",(IF(AND(Scaler3=1,MONTH(A62)&gt;=6,MONTH(A62)&lt;=8,OR($M$37="REGION 2",$M$37="REGION 2A",$M$37="REGION 2B",$M$37="REGION 3",$M$37="REGION 3A",$M$37="REGION 3B",$M$37="REGION 3C",$M$37="REGION 4",$M$37="REGION 4B",$M$37="REGION 4C",$M$37="REGION 5",$M$37="REGION 5A")),((0.059228/(B62/100))-(0.4980013/(SQRT(B62/100)))+2.137988),HLOOKUP(MONTH(A62),ScalarTable,28))))</f>
        <v>1.02007383501259</v>
      </c>
      <c r="D62" s="398" t="n">
        <f aca="false">IF(A62="N/A"," ",C62*B62)</f>
        <v>34.4129135558188</v>
      </c>
      <c r="E62" s="396" t="n">
        <f aca="false">IF(A62="N/A"," ",IF(ISERROR(O62),E50*Pwresc,O62)*VLOOKUP(MONTH(A62),Curveadj,3))</f>
        <v>31.2460021972656</v>
      </c>
      <c r="F62" s="398" t="n">
        <f aca="false">IF(A62="N/A"," ",E62*C62)</f>
        <v>31.8732292901767</v>
      </c>
      <c r="G62" s="396" t="n">
        <f aca="false">IF(A62="N/A"," ",IF(ISERROR(P62),G50*Pwresc,P62)*VLOOKUP(MONTH(A62),Curveadj,3))</f>
        <v>22.7465019226074</v>
      </c>
      <c r="H62" s="398" t="n">
        <f aca="false">IF(A62="N/A"," ",G62*C62)</f>
        <v>23.2031114493155</v>
      </c>
      <c r="I62" s="398" t="n">
        <f aca="false">IF(A62="N/A"," ",IF(ISERROR(Q62),I50*Pwresc,Q62))</f>
        <v>20</v>
      </c>
      <c r="J62" s="398"/>
      <c r="K62" s="399"/>
      <c r="L62" s="399"/>
      <c r="M62" s="404"/>
      <c r="N62" s="401" t="n">
        <f aca="false">IF(A62="N/A"," ",VLOOKUP(A62,PeakPowerCurves,(IF(BMO3=2,3,IF(BMO3=1,2,4))),FALSE()))</f>
        <v>33.7357085091727</v>
      </c>
      <c r="O62" s="401" t="n">
        <f aca="false">IF(A62="N/A"," ",VLOOKUP(A62,SatSunPeakPwr,(IF(BMO3=2,3,IF(BMO3=1,2,4))),FALSE()))</f>
        <v>31.2460021972656</v>
      </c>
      <c r="P62" s="401" t="n">
        <f aca="false">IF(A62="N/A"," ",VLOOKUP(A62,SatSunPeakPwr,(IF(BMO3=2,7,IF(BMO3=1,6,8))),FALSE()))</f>
        <v>22.7465019226074</v>
      </c>
      <c r="Q62" s="402" t="n">
        <f aca="false">IF(A62="N/A"," ",(VLOOKUP(A62,OPPowerPrices,(IF(BMO3=2,7,IF(BMO3=1,6,8))),FALSE())))</f>
        <v>20</v>
      </c>
      <c r="R62" s="403" t="e">
        <f aca="false">IF(A62="N/A"," ",(VLOOKUP($A62,IRTable,2)))</f>
        <v>#N/A</v>
      </c>
      <c r="AF62" s="352" t="n">
        <v>38322</v>
      </c>
      <c r="AG62" s="311" t="n">
        <v>23</v>
      </c>
      <c r="AH62" s="311" t="n">
        <v>3</v>
      </c>
      <c r="AI62" s="311" t="n">
        <v>5</v>
      </c>
      <c r="AJ62" s="311" t="n">
        <v>1</v>
      </c>
      <c r="AK62" s="311" t="n">
        <v>31</v>
      </c>
      <c r="AU62" s="406"/>
    </row>
    <row r="63" customFormat="false" ht="12.75" hidden="false" customHeight="false" outlineLevel="0" collapsed="false">
      <c r="A63" s="352" t="n">
        <f aca="false">Option3!A30</f>
        <v>38047</v>
      </c>
      <c r="B63" s="396" t="n">
        <f aca="false">IF(A63="N/A"," ",IF(ISERROR(N63),B51*Pwresc,N63)*VLOOKUP(MONTH(A63),Curveadj,3))</f>
        <v>32.4476771687352</v>
      </c>
      <c r="C63" s="397" t="n">
        <f aca="false">IF(A63="N/A"," ",(IF(AND(Scaler3=1,MONTH(A63)&gt;=6,MONTH(A63)&lt;=8,OR($M$37="REGION 2",$M$37="REGION 2A",$M$37="REGION 2B",$M$37="REGION 3",$M$37="REGION 3A",$M$37="REGION 3B",$M$37="REGION 3C",$M$37="REGION 4",$M$37="REGION 4B",$M$37="REGION 4C",$M$37="REGION 5",$M$37="REGION 5A")),((0.059228/(B63/100))-(0.4980013/(SQRT(B63/100)))+2.137988),HLOOKUP(MONTH(A63),ScalarTable,28))))</f>
        <v>1.0173448699422</v>
      </c>
      <c r="D63" s="398" t="n">
        <f aca="false">IF(A63="N/A"," ",C63*B63)</f>
        <v>33.0104779091533</v>
      </c>
      <c r="E63" s="396" t="n">
        <f aca="false">IF(A63="N/A"," ",IF(ISERROR(O63),E51*Pwresc,O63)*VLOOKUP(MONTH(A63),Curveadj,3))</f>
        <v>25.5</v>
      </c>
      <c r="F63" s="398" t="n">
        <f aca="false">IF(A63="N/A"," ",E63*C63)</f>
        <v>25.942294183526</v>
      </c>
      <c r="G63" s="396" t="n">
        <f aca="false">IF(A63="N/A"," ",IF(ISERROR(P63),G51*Pwresc,P63)*VLOOKUP(MONTH(A63),Curveadj,3))</f>
        <v>20</v>
      </c>
      <c r="H63" s="398" t="n">
        <f aca="false">IF(A63="N/A"," ",G63*C63)</f>
        <v>20.3468973988439</v>
      </c>
      <c r="I63" s="398" t="n">
        <f aca="false">IF(A63="N/A"," ",IF(ISERROR(Q63),I51*Pwresc,Q63))</f>
        <v>21</v>
      </c>
      <c r="J63" s="398"/>
      <c r="K63" s="399"/>
      <c r="L63" s="399"/>
      <c r="M63" s="404"/>
      <c r="N63" s="401" t="n">
        <f aca="false">IF(A63="N/A"," ",VLOOKUP(A63,PeakPowerCurves,(IF(BMO3=2,3,IF(BMO3=1,2,4))),FALSE()))</f>
        <v>32.4476771687352</v>
      </c>
      <c r="O63" s="401" t="n">
        <f aca="false">IF(A63="N/A"," ",VLOOKUP(A63,SatSunPeakPwr,(IF(BMO3=2,3,IF(BMO3=1,2,4))),FALSE()))</f>
        <v>25.5</v>
      </c>
      <c r="P63" s="401" t="n">
        <f aca="false">IF(A63="N/A"," ",VLOOKUP(A63,SatSunPeakPwr,(IF(BMO3=2,7,IF(BMO3=1,6,8))),FALSE()))</f>
        <v>20</v>
      </c>
      <c r="Q63" s="402" t="n">
        <f aca="false">IF(A63="N/A"," ",(VLOOKUP(A63,OPPowerPrices,(IF(BMO3=2,7,IF(BMO3=1,6,8))),FALSE())))</f>
        <v>21</v>
      </c>
      <c r="R63" s="403" t="e">
        <f aca="false">IF(A63="N/A"," ",(VLOOKUP($A63,IRTable,2)))</f>
        <v>#N/A</v>
      </c>
      <c r="AF63" s="352" t="n">
        <v>38353</v>
      </c>
      <c r="AG63" s="311" t="n">
        <v>21</v>
      </c>
      <c r="AH63" s="311" t="n">
        <v>4</v>
      </c>
      <c r="AI63" s="311" t="n">
        <v>6</v>
      </c>
      <c r="AJ63" s="311" t="n">
        <v>1</v>
      </c>
      <c r="AK63" s="311" t="n">
        <v>31</v>
      </c>
      <c r="AU63" s="406"/>
    </row>
    <row r="64" customFormat="false" ht="12.75" hidden="false" customHeight="false" outlineLevel="0" collapsed="false">
      <c r="A64" s="352" t="n">
        <f aca="false">Option3!A31</f>
        <v>38078</v>
      </c>
      <c r="B64" s="396" t="n">
        <f aca="false">IF(A64="N/A"," ",IF(ISERROR(N64),B52*Pwresc,N64)*VLOOKUP(MONTH(A64),Curveadj,3))</f>
        <v>32.6476779316747</v>
      </c>
      <c r="C64" s="397" t="n">
        <f aca="false">IF(A64="N/A"," ",(IF(AND(Scaler3=1,MONTH(A64)&gt;=6,MONTH(A64)&lt;=8,OR($M$37="REGION 2",$M$37="REGION 2A",$M$37="REGION 2B",$M$37="REGION 3",$M$37="REGION 3A",$M$37="REGION 3B",$M$37="REGION 3C",$M$37="REGION 4",$M$37="REGION 4B",$M$37="REGION 4C",$M$37="REGION 5",$M$37="REGION 5A")),((0.059228/(B64/100))-(0.4980013/(SQRT(B64/100)))+2.137988),HLOOKUP(MONTH(A64),ScalarTable,28))))</f>
        <v>1.005</v>
      </c>
      <c r="D64" s="398" t="n">
        <f aca="false">IF(A64="N/A"," ",C64*B64)</f>
        <v>32.8109163213331</v>
      </c>
      <c r="E64" s="396" t="n">
        <f aca="false">IF(A64="N/A"," ",IF(ISERROR(O64),E52*Pwresc,O64)*VLOOKUP(MONTH(A64),Curveadj,3))</f>
        <v>22</v>
      </c>
      <c r="F64" s="398" t="n">
        <f aca="false">IF(A64="N/A"," ",E64*C64)</f>
        <v>22.11</v>
      </c>
      <c r="G64" s="396" t="n">
        <f aca="false">IF(A64="N/A"," ",IF(ISERROR(P64),G52*Pwresc,P64)*VLOOKUP(MONTH(A64),Curveadj,3))</f>
        <v>16.4950008392334</v>
      </c>
      <c r="H64" s="398" t="n">
        <f aca="false">IF(A64="N/A"," ",G64*C64)</f>
        <v>16.5774758434296</v>
      </c>
      <c r="I64" s="398" t="n">
        <f aca="false">IF(A64="N/A"," ",IF(ISERROR(Q64),I52*Pwresc,Q64))</f>
        <v>18</v>
      </c>
      <c r="J64" s="398"/>
      <c r="K64" s="399"/>
      <c r="L64" s="399"/>
      <c r="M64" s="404"/>
      <c r="N64" s="401" t="n">
        <f aca="false">IF(A64="N/A"," ",VLOOKUP(A64,PeakPowerCurves,(IF(BMO3=2,3,IF(BMO3=1,2,4))),FALSE()))</f>
        <v>32.6476779316747</v>
      </c>
      <c r="O64" s="401" t="n">
        <f aca="false">IF(A64="N/A"," ",VLOOKUP(A64,SatSunPeakPwr,(IF(BMO3=2,3,IF(BMO3=1,2,4))),FALSE()))</f>
        <v>22</v>
      </c>
      <c r="P64" s="401" t="n">
        <f aca="false">IF(A64="N/A"," ",VLOOKUP(A64,SatSunPeakPwr,(IF(BMO3=2,7,IF(BMO3=1,6,8))),FALSE()))</f>
        <v>16.4950008392334</v>
      </c>
      <c r="Q64" s="402" t="n">
        <f aca="false">IF(A64="N/A"," ",(VLOOKUP(A64,OPPowerPrices,(IF(BMO3=2,7,IF(BMO3=1,6,8))),FALSE())))</f>
        <v>18</v>
      </c>
      <c r="R64" s="403" t="e">
        <f aca="false">IF(A64="N/A"," ",(VLOOKUP($A64,IRTable,2)))</f>
        <v>#N/A</v>
      </c>
      <c r="AF64" s="352" t="n">
        <v>38384</v>
      </c>
      <c r="AG64" s="311" t="n">
        <v>20</v>
      </c>
      <c r="AH64" s="311" t="n">
        <v>4</v>
      </c>
      <c r="AI64" s="311" t="n">
        <v>4</v>
      </c>
      <c r="AJ64" s="311" t="n">
        <v>0</v>
      </c>
      <c r="AK64" s="311" t="n">
        <v>28</v>
      </c>
      <c r="AU64" s="406"/>
    </row>
    <row r="65" customFormat="false" ht="12.75" hidden="false" customHeight="false" outlineLevel="0" collapsed="false">
      <c r="A65" s="352" t="n">
        <f aca="false">Option3!A32</f>
        <v>38108</v>
      </c>
      <c r="B65" s="396" t="n">
        <f aca="false">IF(A65="N/A"," ",IF(ISERROR(N65),B53*Pwresc,N65)*VLOOKUP(MONTH(A65),Curveadj,3))</f>
        <v>35.4250030517578</v>
      </c>
      <c r="C65" s="397" t="n">
        <f aca="false">IF(A65="N/A"," ",(IF(AND(Scaler3=1,MONTH(A65)&gt;=6,MONTH(A65)&lt;=8,OR($M$37="REGION 2",$M$37="REGION 2A",$M$37="REGION 2B",$M$37="REGION 3",$M$37="REGION 3A",$M$37="REGION 3B",$M$37="REGION 3C",$M$37="REGION 4",$M$37="REGION 4B",$M$37="REGION 4C",$M$37="REGION 5",$M$37="REGION 5A")),((0.059228/(B65/100))-(0.4980013/(SQRT(B65/100)))+2.137988),HLOOKUP(MONTH(A65),ScalarTable,28))))</f>
        <v>1.075625</v>
      </c>
      <c r="D65" s="398" t="n">
        <f aca="false">IF(A65="N/A"," ",C65*B65)</f>
        <v>38.104018907547</v>
      </c>
      <c r="E65" s="396" t="n">
        <f aca="false">IF(A65="N/A"," ",IF(ISERROR(O65),E53*Pwresc,O65)*VLOOKUP(MONTH(A65),Curveadj,3))</f>
        <v>22.2900009155273</v>
      </c>
      <c r="F65" s="398" t="n">
        <f aca="false">IF(A65="N/A"," ",E65*C65)</f>
        <v>23.9756822347641</v>
      </c>
      <c r="G65" s="396" t="n">
        <f aca="false">IF(A65="N/A"," ",IF(ISERROR(P65),G53*Pwresc,P65)*VLOOKUP(MONTH(A65),Curveadj,3))</f>
        <v>15.7950000762939</v>
      </c>
      <c r="H65" s="398" t="n">
        <f aca="false">IF(A65="N/A"," ",G65*C65)</f>
        <v>16.9894969570637</v>
      </c>
      <c r="I65" s="398" t="n">
        <f aca="false">IF(A65="N/A"," ",IF(ISERROR(Q65),I53*Pwresc,Q65))</f>
        <v>18.5400009155273</v>
      </c>
      <c r="J65" s="398"/>
      <c r="K65" s="399"/>
      <c r="L65" s="399"/>
      <c r="M65" s="404"/>
      <c r="N65" s="401" t="n">
        <f aca="false">IF(A65="N/A"," ",VLOOKUP(A65,PeakPowerCurves,(IF(BMO3=2,3,IF(BMO3=1,2,4))),FALSE()))</f>
        <v>35.4250030517578</v>
      </c>
      <c r="O65" s="401" t="n">
        <f aca="false">IF(A65="N/A"," ",VLOOKUP(A65,SatSunPeakPwr,(IF(BMO3=2,3,IF(BMO3=1,2,4))),FALSE()))</f>
        <v>22.2900009155273</v>
      </c>
      <c r="P65" s="401" t="n">
        <f aca="false">IF(A65="N/A"," ",VLOOKUP(A65,SatSunPeakPwr,(IF(BMO3=2,7,IF(BMO3=1,6,8))),FALSE()))</f>
        <v>15.7950000762939</v>
      </c>
      <c r="Q65" s="402" t="n">
        <f aca="false">IF(A65="N/A"," ",(VLOOKUP(A65,OPPowerPrices,(IF(BMO3=2,7,IF(BMO3=1,6,8))),FALSE())))</f>
        <v>18.5400009155273</v>
      </c>
      <c r="R65" s="403" t="e">
        <f aca="false">IF(A65="N/A"," ",(VLOOKUP($A65,IRTable,2)))</f>
        <v>#N/A</v>
      </c>
      <c r="AF65" s="352" t="n">
        <v>38412</v>
      </c>
      <c r="AG65" s="311" t="n">
        <v>23</v>
      </c>
      <c r="AH65" s="311" t="n">
        <v>4</v>
      </c>
      <c r="AI65" s="311" t="n">
        <v>4</v>
      </c>
      <c r="AJ65" s="311" t="n">
        <v>0</v>
      </c>
      <c r="AK65" s="311" t="n">
        <v>31</v>
      </c>
      <c r="AU65" s="406"/>
    </row>
    <row r="66" customFormat="false" ht="12.75" hidden="false" customHeight="false" outlineLevel="0" collapsed="false">
      <c r="A66" s="352" t="n">
        <f aca="false">Option3!A33</f>
        <v>38139</v>
      </c>
      <c r="B66" s="396" t="n">
        <f aca="false">IF(A66="N/A"," ",IF(ISERROR(N66),B54*Pwresc,N66)*VLOOKUP(MONTH(A66),Curveadj,3))</f>
        <v>42.6250038146973</v>
      </c>
      <c r="C66" s="397" t="n">
        <f aca="false">IF(A66="N/A"," ",(IF(AND(Scaler3=1,MONTH(A66)&gt;=6,MONTH(A66)&lt;=8,OR($M$37="REGION 2",$M$37="REGION 2A",$M$37="REGION 2B",$M$37="REGION 3",$M$37="REGION 3A",$M$37="REGION 3B",$M$37="REGION 3C",$M$37="REGION 4",$M$37="REGION 4B",$M$37="REGION 4C",$M$37="REGION 5",$M$37="REGION 5A")),((0.059228/(B66/100))-(0.4980013/(SQRT(B66/100)))+2.137988),HLOOKUP(MONTH(A66),ScalarTable,28))))</f>
        <v>1.53</v>
      </c>
      <c r="D66" s="398" t="n">
        <f aca="false">IF(A66="N/A"," ",C66*B66)</f>
        <v>65.2162558364868</v>
      </c>
      <c r="E66" s="396" t="n">
        <f aca="false">IF(A66="N/A"," ",IF(ISERROR(O66),E54*Pwresc,O66)*VLOOKUP(MONTH(A66),Curveadj,3))</f>
        <v>29.2900009155273</v>
      </c>
      <c r="F66" s="398" t="n">
        <f aca="false">IF(A66="N/A"," ",E66*C66)</f>
        <v>44.8137014007568</v>
      </c>
      <c r="G66" s="396" t="n">
        <f aca="false">IF(A66="N/A"," ",IF(ISERROR(P66),G54*Pwresc,P66)*VLOOKUP(MONTH(A66),Curveadj,3))</f>
        <v>19.7900009155273</v>
      </c>
      <c r="H66" s="398" t="n">
        <f aca="false">IF(A66="N/A"," ",G66*C66)</f>
        <v>30.2787014007568</v>
      </c>
      <c r="I66" s="398" t="n">
        <f aca="false">IF(A66="N/A"," ",IF(ISERROR(Q66),I54*Pwresc,Q66))</f>
        <v>21.5400009155273</v>
      </c>
      <c r="J66" s="398"/>
      <c r="K66" s="399"/>
      <c r="L66" s="399"/>
      <c r="M66" s="404"/>
      <c r="N66" s="401" t="n">
        <f aca="false">IF(A66="N/A"," ",VLOOKUP(A66,PeakPowerCurves,(IF(BMO3=2,3,IF(BMO3=1,2,4))),FALSE()))</f>
        <v>42.6250038146973</v>
      </c>
      <c r="O66" s="401" t="n">
        <f aca="false">IF(A66="N/A"," ",VLOOKUP(A66,SatSunPeakPwr,(IF(BMO3=2,3,IF(BMO3=1,2,4))),FALSE()))</f>
        <v>29.2900009155273</v>
      </c>
      <c r="P66" s="401" t="n">
        <f aca="false">IF(A66="N/A"," ",VLOOKUP(A66,SatSunPeakPwr,(IF(BMO3=2,7,IF(BMO3=1,6,8))),FALSE()))</f>
        <v>19.7900009155273</v>
      </c>
      <c r="Q66" s="402" t="n">
        <f aca="false">IF(A66="N/A"," ",(VLOOKUP(A66,OPPowerPrices,(IF(BMO3=2,7,IF(BMO3=1,6,8))),FALSE())))</f>
        <v>21.5400009155273</v>
      </c>
      <c r="R66" s="403" t="e">
        <f aca="false">IF(A66="N/A"," ",(VLOOKUP($A66,IRTable,2)))</f>
        <v>#N/A</v>
      </c>
      <c r="AF66" s="352" t="n">
        <v>38443</v>
      </c>
      <c r="AG66" s="311" t="n">
        <v>21</v>
      </c>
      <c r="AH66" s="311" t="n">
        <v>5</v>
      </c>
      <c r="AI66" s="311" t="n">
        <v>4</v>
      </c>
      <c r="AJ66" s="311" t="n">
        <v>0</v>
      </c>
      <c r="AK66" s="311" t="n">
        <v>30</v>
      </c>
      <c r="AU66" s="406"/>
    </row>
    <row r="67" customFormat="false" ht="12.75" hidden="false" customHeight="false" outlineLevel="0" collapsed="false">
      <c r="A67" s="352" t="n">
        <f aca="false">Option3!A34</f>
        <v>38169</v>
      </c>
      <c r="B67" s="396" t="n">
        <f aca="false">IF(A67="N/A"," ",IF(ISERROR(N67),B55*Pwresc,N67)*VLOOKUP(MONTH(A67),Curveadj,3))</f>
        <v>52.5</v>
      </c>
      <c r="C67" s="397" t="n">
        <f aca="false">IF(A67="N/A"," ",(IF(AND(Scaler3=1,MONTH(A67)&gt;=6,MONTH(A67)&lt;=8,OR($M$37="REGION 2",$M$37="REGION 2A",$M$37="REGION 2B",$M$37="REGION 3",$M$37="REGION 3A",$M$37="REGION 3B",$M$37="REGION 3C",$M$37="REGION 4",$M$37="REGION 4B",$M$37="REGION 4C",$M$37="REGION 5",$M$37="REGION 5A")),((0.059228/(B67/100))-(0.4980013/(SQRT(B67/100)))+2.137988),HLOOKUP(MONTH(A67),ScalarTable,28))))</f>
        <v>1.63</v>
      </c>
      <c r="D67" s="398" t="n">
        <f aca="false">IF(A67="N/A"," ",C67*B67)</f>
        <v>85.575</v>
      </c>
      <c r="E67" s="396" t="n">
        <f aca="false">IF(A67="N/A"," ",IF(ISERROR(O67),E55*Pwresc,O67)*VLOOKUP(MONTH(A67),Curveadj,3))</f>
        <v>35.2900009155273</v>
      </c>
      <c r="F67" s="398" t="n">
        <f aca="false">IF(A67="N/A"," ",E67*C67)</f>
        <v>57.5227014923096</v>
      </c>
      <c r="G67" s="396" t="n">
        <f aca="false">IF(A67="N/A"," ",IF(ISERROR(P67),G55*Pwresc,P67)*VLOOKUP(MONTH(A67),Curveadj,3))</f>
        <v>25.7900009155273</v>
      </c>
      <c r="H67" s="398" t="n">
        <f aca="false">IF(A67="N/A"," ",G67*C67)</f>
        <v>42.0377014923096</v>
      </c>
      <c r="I67" s="398" t="n">
        <f aca="false">IF(A67="N/A"," ",IF(ISERROR(Q67),I55*Pwresc,Q67))</f>
        <v>22.0400009155273</v>
      </c>
      <c r="J67" s="398"/>
      <c r="K67" s="399"/>
      <c r="L67" s="399"/>
      <c r="M67" s="404"/>
      <c r="N67" s="401" t="n">
        <f aca="false">IF(A67="N/A"," ",VLOOKUP(A67,PeakPowerCurves,(IF(BMO3=2,3,IF(BMO3=1,2,4))),FALSE()))</f>
        <v>52.5</v>
      </c>
      <c r="O67" s="401" t="n">
        <f aca="false">IF(A67="N/A"," ",VLOOKUP(A67,SatSunPeakPwr,(IF(BMO3=2,3,IF(BMO3=1,2,4))),FALSE()))</f>
        <v>35.2900009155273</v>
      </c>
      <c r="P67" s="401" t="n">
        <f aca="false">IF(A67="N/A"," ",VLOOKUP(A67,SatSunPeakPwr,(IF(BMO3=2,7,IF(BMO3=1,6,8))),FALSE()))</f>
        <v>25.7900009155273</v>
      </c>
      <c r="Q67" s="402" t="n">
        <f aca="false">IF(A67="N/A"," ",(VLOOKUP(A67,OPPowerPrices,(IF(BMO3=2,7,IF(BMO3=1,6,8))),FALSE())))</f>
        <v>22.0400009155273</v>
      </c>
      <c r="R67" s="403" t="e">
        <f aca="false">IF(A67="N/A"," ",(VLOOKUP($A67,IRTable,2)))</f>
        <v>#N/A</v>
      </c>
      <c r="AF67" s="352" t="n">
        <v>38473</v>
      </c>
      <c r="AG67" s="311" t="n">
        <v>21</v>
      </c>
      <c r="AH67" s="311" t="n">
        <v>4</v>
      </c>
      <c r="AI67" s="311" t="n">
        <v>6</v>
      </c>
      <c r="AJ67" s="311" t="n">
        <v>1</v>
      </c>
      <c r="AK67" s="311" t="n">
        <v>31</v>
      </c>
      <c r="AU67" s="406"/>
    </row>
    <row r="68" customFormat="false" ht="12.75" hidden="false" customHeight="false" outlineLevel="0" collapsed="false">
      <c r="A68" s="352" t="n">
        <f aca="false">Option3!A35</f>
        <v>38200</v>
      </c>
      <c r="B68" s="396" t="n">
        <f aca="false">IF(A68="N/A"," ",IF(ISERROR(N68),B56*Pwresc,N68)*VLOOKUP(MONTH(A68),Curveadj,3))</f>
        <v>52.5</v>
      </c>
      <c r="C68" s="397" t="n">
        <f aca="false">IF(A68="N/A"," ",(IF(AND(Scaler3=1,MONTH(A68)&gt;=6,MONTH(A68)&lt;=8,OR($M$37="REGION 2",$M$37="REGION 2A",$M$37="REGION 2B",$M$37="REGION 3",$M$37="REGION 3A",$M$37="REGION 3B",$M$37="REGION 3C",$M$37="REGION 4",$M$37="REGION 4B",$M$37="REGION 4C",$M$37="REGION 5",$M$37="REGION 5A")),((0.059228/(B68/100))-(0.4980013/(SQRT(B68/100)))+2.137988),HLOOKUP(MONTH(A68),ScalarTable,28))))</f>
        <v>1.63</v>
      </c>
      <c r="D68" s="398" t="n">
        <f aca="false">IF(A68="N/A"," ",C68*B68)</f>
        <v>85.575</v>
      </c>
      <c r="E68" s="396" t="n">
        <f aca="false">IF(A68="N/A"," ",IF(ISERROR(O68),E56*Pwresc,O68)*VLOOKUP(MONTH(A68),Curveadj,3))</f>
        <v>33.2900047302246</v>
      </c>
      <c r="F68" s="398" t="n">
        <f aca="false">IF(A68="N/A"," ",E68*C68)</f>
        <v>54.2627077102661</v>
      </c>
      <c r="G68" s="396" t="n">
        <f aca="false">IF(A68="N/A"," ",IF(ISERROR(P68),G56*Pwresc,P68)*VLOOKUP(MONTH(A68),Curveadj,3))</f>
        <v>25.7900009155273</v>
      </c>
      <c r="H68" s="398" t="n">
        <f aca="false">IF(A68="N/A"," ",G68*C68)</f>
        <v>42.0377014923096</v>
      </c>
      <c r="I68" s="398" t="n">
        <f aca="false">IF(A68="N/A"," ",IF(ISERROR(Q68),I56*Pwresc,Q68))</f>
        <v>23.0400009155273</v>
      </c>
      <c r="J68" s="398"/>
      <c r="K68" s="399"/>
      <c r="L68" s="399"/>
      <c r="M68" s="404"/>
      <c r="N68" s="401" t="n">
        <f aca="false">IF(A68="N/A"," ",VLOOKUP(A68,PeakPowerCurves,(IF(BMO3=2,3,IF(BMO3=1,2,4))),FALSE()))</f>
        <v>52.5</v>
      </c>
      <c r="O68" s="401" t="n">
        <f aca="false">IF(A68="N/A"," ",VLOOKUP(A68,SatSunPeakPwr,(IF(BMO3=2,3,IF(BMO3=1,2,4))),FALSE()))</f>
        <v>33.2900047302246</v>
      </c>
      <c r="P68" s="401" t="n">
        <f aca="false">IF(A68="N/A"," ",VLOOKUP(A68,SatSunPeakPwr,(IF(BMO3=2,7,IF(BMO3=1,6,8))),FALSE()))</f>
        <v>25.7900009155273</v>
      </c>
      <c r="Q68" s="402" t="n">
        <f aca="false">IF(A68="N/A"," ",(VLOOKUP(A68,OPPowerPrices,(IF(BMO3=2,7,IF(BMO3=1,6,8))),FALSE())))</f>
        <v>23.0400009155273</v>
      </c>
      <c r="R68" s="403" t="e">
        <f aca="false">IF(A68="N/A"," ",(VLOOKUP($A68,IRTable,2)))</f>
        <v>#N/A</v>
      </c>
      <c r="AF68" s="352" t="n">
        <v>38504</v>
      </c>
      <c r="AG68" s="311" t="n">
        <v>22</v>
      </c>
      <c r="AH68" s="311" t="n">
        <v>4</v>
      </c>
      <c r="AI68" s="311" t="n">
        <v>4</v>
      </c>
      <c r="AJ68" s="311" t="n">
        <v>0</v>
      </c>
      <c r="AK68" s="311" t="n">
        <v>30</v>
      </c>
      <c r="AU68" s="406"/>
    </row>
    <row r="69" customFormat="false" ht="12.75" hidden="false" customHeight="false" outlineLevel="0" collapsed="false">
      <c r="A69" s="352" t="n">
        <f aca="false">Option3!A36</f>
        <v>38231</v>
      </c>
      <c r="B69" s="396" t="n">
        <f aca="false">IF(A69="N/A"," ",IF(ISERROR(N69),B57*Pwresc,N69)*VLOOKUP(MONTH(A69),Curveadj,3))</f>
        <v>30.3000011444092</v>
      </c>
      <c r="C69" s="397" t="n">
        <f aca="false">IF(A69="N/A"," ",(IF(AND(Scaler3=1,MONTH(A69)&gt;=6,MONTH(A69)&lt;=8,OR($M$37="REGION 2",$M$37="REGION 2A",$M$37="REGION 2B",$M$37="REGION 3",$M$37="REGION 3A",$M$37="REGION 3B",$M$37="REGION 3C",$M$37="REGION 4",$M$37="REGION 4B",$M$37="REGION 4C",$M$37="REGION 5",$M$37="REGION 5A")),((0.059228/(B69/100))-(0.4980013/(SQRT(B69/100)))+2.137988),HLOOKUP(MONTH(A69),ScalarTable,28))))</f>
        <v>1.35125</v>
      </c>
      <c r="D69" s="398" t="n">
        <f aca="false">IF(A69="N/A"," ",C69*B69)</f>
        <v>40.9428765463829</v>
      </c>
      <c r="E69" s="396" t="n">
        <f aca="false">IF(A69="N/A"," ",IF(ISERROR(O69),E57*Pwresc,O69)*VLOOKUP(MONTH(A69),Curveadj,3))</f>
        <v>25.2900009155273</v>
      </c>
      <c r="F69" s="398" t="n">
        <f aca="false">IF(A69="N/A"," ",E69*C69)</f>
        <v>34.1731137371063</v>
      </c>
      <c r="G69" s="396" t="n">
        <f aca="false">IF(A69="N/A"," ",IF(ISERROR(P69),G57*Pwresc,P69)*VLOOKUP(MONTH(A69),Curveadj,3))</f>
        <v>19.7900009155273</v>
      </c>
      <c r="H69" s="398" t="n">
        <f aca="false">IF(A69="N/A"," ",G69*C69)</f>
        <v>26.7412387371063</v>
      </c>
      <c r="I69" s="398" t="n">
        <f aca="false">IF(A69="N/A"," ",IF(ISERROR(Q69),I57*Pwresc,Q69))</f>
        <v>17.0400009155273</v>
      </c>
      <c r="J69" s="398"/>
      <c r="K69" s="399"/>
      <c r="L69" s="399"/>
      <c r="M69" s="404"/>
      <c r="N69" s="401" t="n">
        <f aca="false">IF(A69="N/A"," ",VLOOKUP(A69,PeakPowerCurves,(IF(BMO3=2,3,IF(BMO3=1,2,4))),FALSE()))</f>
        <v>30.3000011444092</v>
      </c>
      <c r="O69" s="401" t="n">
        <f aca="false">IF(A69="N/A"," ",VLOOKUP(A69,SatSunPeakPwr,(IF(BMO3=2,3,IF(BMO3=1,2,4))),FALSE()))</f>
        <v>25.2900009155273</v>
      </c>
      <c r="P69" s="401" t="n">
        <f aca="false">IF(A69="N/A"," ",VLOOKUP(A69,SatSunPeakPwr,(IF(BMO3=2,7,IF(BMO3=1,6,8))),FALSE()))</f>
        <v>19.7900009155273</v>
      </c>
      <c r="Q69" s="402" t="n">
        <f aca="false">IF(A69="N/A"," ",(VLOOKUP(A69,OPPowerPrices,(IF(BMO3=2,7,IF(BMO3=1,6,8))),FALSE())))</f>
        <v>17.0400009155273</v>
      </c>
      <c r="R69" s="403" t="e">
        <f aca="false">IF(A69="N/A"," ",(VLOOKUP($A69,IRTable,2)))</f>
        <v>#N/A</v>
      </c>
      <c r="AF69" s="352" t="n">
        <v>38534</v>
      </c>
      <c r="AG69" s="311" t="n">
        <v>20</v>
      </c>
      <c r="AH69" s="311" t="n">
        <v>5</v>
      </c>
      <c r="AI69" s="311" t="n">
        <v>6</v>
      </c>
      <c r="AJ69" s="311" t="n">
        <v>1</v>
      </c>
      <c r="AK69" s="311" t="n">
        <v>31</v>
      </c>
      <c r="AU69" s="406"/>
    </row>
    <row r="70" customFormat="false" ht="12.75" hidden="false" customHeight="false" outlineLevel="0" collapsed="false">
      <c r="A70" s="352" t="n">
        <f aca="false">Option3!A37</f>
        <v>38261</v>
      </c>
      <c r="B70" s="396" t="n">
        <f aca="false">IF(A70="N/A"," ",IF(ISERROR(N70),B58*Pwresc,N70)*VLOOKUP(MONTH(A70),Curveadj,3))</f>
        <v>30.9515632390976</v>
      </c>
      <c r="C70" s="397" t="n">
        <f aca="false">IF(A70="N/A"," ",(IF(AND(Scaler3=1,MONTH(A70)&gt;=6,MONTH(A70)&lt;=8,OR($M$37="REGION 2",$M$37="REGION 2A",$M$37="REGION 2B",$M$37="REGION 3",$M$37="REGION 3A",$M$37="REGION 3B",$M$37="REGION 3C",$M$37="REGION 4",$M$37="REGION 4B",$M$37="REGION 4C",$M$37="REGION 5",$M$37="REGION 5A")),((0.059228/(B70/100))-(0.4980013/(SQRT(B70/100)))+2.137988),HLOOKUP(MONTH(A70),ScalarTable,28))))</f>
        <v>1.005</v>
      </c>
      <c r="D70" s="398" t="n">
        <f aca="false">IF(A70="N/A"," ",C70*B70)</f>
        <v>31.1063210552931</v>
      </c>
      <c r="E70" s="396" t="n">
        <f aca="false">IF(A70="N/A"," ",IF(ISERROR(O70),E58*Pwresc,O70)*VLOOKUP(MONTH(A70),Curveadj,3))</f>
        <v>20.2860012054443</v>
      </c>
      <c r="F70" s="398" t="n">
        <f aca="false">IF(A70="N/A"," ",E70*C70)</f>
        <v>20.3874312114716</v>
      </c>
      <c r="G70" s="396" t="n">
        <f aca="false">IF(A70="N/A"," ",IF(ISERROR(P70),G58*Pwresc,P70)*VLOOKUP(MONTH(A70),Curveadj,3))</f>
        <v>14.7865009307861</v>
      </c>
      <c r="H70" s="398" t="n">
        <f aca="false">IF(A70="N/A"," ",G70*C70)</f>
        <v>14.8604334354401</v>
      </c>
      <c r="I70" s="398" t="n">
        <f aca="false">IF(A70="N/A"," ",IF(ISERROR(Q70),I58*Pwresc,Q70))</f>
        <v>16.540002822876</v>
      </c>
      <c r="J70" s="398"/>
      <c r="K70" s="399"/>
      <c r="L70" s="399"/>
      <c r="M70" s="404"/>
      <c r="N70" s="401" t="n">
        <f aca="false">IF(A70="N/A"," ",VLOOKUP(A70,PeakPowerCurves,(IF(BMO3=2,3,IF(BMO3=1,2,4))),FALSE()))</f>
        <v>30.9515632390976</v>
      </c>
      <c r="O70" s="401" t="n">
        <f aca="false">IF(A70="N/A"," ",VLOOKUP(A70,SatSunPeakPwr,(IF(BMO3=2,3,IF(BMO3=1,2,4))),FALSE()))</f>
        <v>20.2860012054443</v>
      </c>
      <c r="P70" s="401" t="n">
        <f aca="false">IF(A70="N/A"," ",VLOOKUP(A70,SatSunPeakPwr,(IF(BMO3=2,7,IF(BMO3=1,6,8))),FALSE()))</f>
        <v>14.7865009307861</v>
      </c>
      <c r="Q70" s="402" t="n">
        <f aca="false">IF(A70="N/A"," ",(VLOOKUP(A70,OPPowerPrices,(IF(BMO3=2,7,IF(BMO3=1,6,8))),FALSE())))</f>
        <v>16.540002822876</v>
      </c>
      <c r="R70" s="403" t="e">
        <f aca="false">IF(A70="N/A"," ",(VLOOKUP($A70,IRTable,2)))</f>
        <v>#N/A</v>
      </c>
      <c r="AF70" s="352" t="n">
        <v>38565</v>
      </c>
      <c r="AG70" s="311" t="n">
        <v>23</v>
      </c>
      <c r="AH70" s="311" t="n">
        <v>4</v>
      </c>
      <c r="AI70" s="311" t="n">
        <v>4</v>
      </c>
      <c r="AJ70" s="311" t="n">
        <v>0</v>
      </c>
      <c r="AK70" s="311" t="n">
        <v>31</v>
      </c>
      <c r="AU70" s="406"/>
    </row>
    <row r="71" customFormat="false" ht="12.75" hidden="false" customHeight="false" outlineLevel="0" collapsed="false">
      <c r="A71" s="352" t="n">
        <f aca="false">Option3!A38</f>
        <v>38292</v>
      </c>
      <c r="B71" s="396" t="n">
        <f aca="false">IF(A71="N/A"," ",IF(ISERROR(N71),B59*Pwresc,N71)*VLOOKUP(MONTH(A71),Curveadj,3))</f>
        <v>31.0515617132187</v>
      </c>
      <c r="C71" s="397" t="n">
        <f aca="false">IF(A71="N/A"," ",(IF(AND(Scaler3=1,MONTH(A71)&gt;=6,MONTH(A71)&lt;=8,OR($M$37="REGION 2",$M$37="REGION 2A",$M$37="REGION 2B",$M$37="REGION 3",$M$37="REGION 3A",$M$37="REGION 3B",$M$37="REGION 3C",$M$37="REGION 4",$M$37="REGION 4B",$M$37="REGION 4C",$M$37="REGION 5",$M$37="REGION 5A")),((0.059228/(B71/100))-(0.4980013/(SQRT(B71/100)))+2.137988),HLOOKUP(MONTH(A71),ScalarTable,28))))</f>
        <v>1.0825</v>
      </c>
      <c r="D71" s="398" t="n">
        <f aca="false">IF(A71="N/A"," ",C71*B71)</f>
        <v>33.6133155545592</v>
      </c>
      <c r="E71" s="396" t="n">
        <f aca="false">IF(A71="N/A"," ",IF(ISERROR(O71),E59*Pwresc,O71)*VLOOKUP(MONTH(A71),Curveadj,3))</f>
        <v>22.2900009155273</v>
      </c>
      <c r="F71" s="398" t="n">
        <f aca="false">IF(A71="N/A"," ",E71*C71)</f>
        <v>24.1289259910584</v>
      </c>
      <c r="G71" s="396" t="n">
        <f aca="false">IF(A71="N/A"," ",IF(ISERROR(P71),G59*Pwresc,P71)*VLOOKUP(MONTH(A71),Curveadj,3))</f>
        <v>14.7900009155273</v>
      </c>
      <c r="H71" s="398" t="n">
        <f aca="false">IF(A71="N/A"," ",G71*C71)</f>
        <v>16.0101759910584</v>
      </c>
      <c r="I71" s="398" t="n">
        <f aca="false">IF(A71="N/A"," ",IF(ISERROR(Q71),I59*Pwresc,Q71))</f>
        <v>17.5400009155273</v>
      </c>
      <c r="J71" s="398"/>
      <c r="K71" s="399"/>
      <c r="L71" s="399"/>
      <c r="M71" s="404"/>
      <c r="N71" s="401" t="n">
        <f aca="false">IF(A71="N/A"," ",VLOOKUP(A71,PeakPowerCurves,(IF(BMO3=2,3,IF(BMO3=1,2,4))),FALSE()))</f>
        <v>31.0515617132187</v>
      </c>
      <c r="O71" s="401" t="n">
        <f aca="false">IF(A71="N/A"," ",VLOOKUP(A71,SatSunPeakPwr,(IF(BMO3=2,3,IF(BMO3=1,2,4))),FALSE()))</f>
        <v>22.2900009155273</v>
      </c>
      <c r="P71" s="401" t="n">
        <f aca="false">IF(A71="N/A"," ",VLOOKUP(A71,SatSunPeakPwr,(IF(BMO3=2,7,IF(BMO3=1,6,8))),FALSE()))</f>
        <v>14.7900009155273</v>
      </c>
      <c r="Q71" s="402" t="n">
        <f aca="false">IF(A71="N/A"," ",(VLOOKUP(A71,OPPowerPrices,(IF(BMO3=2,7,IF(BMO3=1,6,8))),FALSE())))</f>
        <v>17.5400009155273</v>
      </c>
      <c r="R71" s="403" t="e">
        <f aca="false">IF(A71="N/A"," ",(VLOOKUP($A71,IRTable,2)))</f>
        <v>#N/A</v>
      </c>
      <c r="AF71" s="352" t="n">
        <v>38596</v>
      </c>
      <c r="AG71" s="311" t="n">
        <v>21</v>
      </c>
      <c r="AH71" s="311" t="n">
        <v>4</v>
      </c>
      <c r="AI71" s="311" t="n">
        <v>5</v>
      </c>
      <c r="AJ71" s="311" t="n">
        <v>1</v>
      </c>
      <c r="AK71" s="311" t="n">
        <v>30</v>
      </c>
      <c r="AU71" s="406"/>
    </row>
    <row r="72" customFormat="false" ht="12.75" hidden="false" customHeight="false" outlineLevel="0" collapsed="false">
      <c r="A72" s="352" t="n">
        <f aca="false">Option3!A39</f>
        <v>38322</v>
      </c>
      <c r="B72" s="396" t="n">
        <f aca="false">IF(A72="N/A"," ",IF(ISERROR(N72),B60*Pwresc,N72)*VLOOKUP(MONTH(A72),Curveadj,3))</f>
        <v>31.1515601873398</v>
      </c>
      <c r="C72" s="397" t="n">
        <f aca="false">IF(A72="N/A"," ",(IF(AND(Scaler3=1,MONTH(A72)&gt;=6,MONTH(A72)&lt;=8,OR($M$37="REGION 2",$M$37="REGION 2A",$M$37="REGION 2B",$M$37="REGION 3",$M$37="REGION 3A",$M$37="REGION 3B",$M$37="REGION 3C",$M$37="REGION 4",$M$37="REGION 4B",$M$37="REGION 4C",$M$37="REGION 5",$M$37="REGION 5A")),((0.059228/(B72/100))-(0.4980013/(SQRT(B72/100)))+2.137988),HLOOKUP(MONTH(A72),ScalarTable,28))))</f>
        <v>1.02125</v>
      </c>
      <c r="D72" s="398" t="n">
        <f aca="false">IF(A72="N/A"," ",C72*B72)</f>
        <v>31.8135308413208</v>
      </c>
      <c r="E72" s="396" t="n">
        <f aca="false">IF(A72="N/A"," ",IF(ISERROR(O72),E60*Pwresc,O72)*VLOOKUP(MONTH(A72),Curveadj,3))</f>
        <v>27.2900009155273</v>
      </c>
      <c r="F72" s="398" t="n">
        <f aca="false">IF(A72="N/A"," ",E72*C72)</f>
        <v>27.8699134349823</v>
      </c>
      <c r="G72" s="396" t="n">
        <f aca="false">IF(A72="N/A"," ",IF(ISERROR(P72),G60*Pwresc,P72)*VLOOKUP(MONTH(A72),Curveadj,3))</f>
        <v>21.7900009155273</v>
      </c>
      <c r="H72" s="398" t="n">
        <f aca="false">IF(A72="N/A"," ",G72*C72)</f>
        <v>22.2530384349823</v>
      </c>
      <c r="I72" s="398" t="n">
        <f aca="false">IF(A72="N/A"," ",IF(ISERROR(Q72),I60*Pwresc,Q72))</f>
        <v>19.7900009155273</v>
      </c>
      <c r="J72" s="398"/>
      <c r="K72" s="399"/>
      <c r="L72" s="399"/>
      <c r="M72" s="404"/>
      <c r="N72" s="401" t="n">
        <f aca="false">IF(A72="N/A"," ",VLOOKUP(A72,PeakPowerCurves,(IF(BMO3=2,3,IF(BMO3=1,2,4))),FALSE()))</f>
        <v>31.1515601873398</v>
      </c>
      <c r="O72" s="401" t="n">
        <f aca="false">IF(A72="N/A"," ",VLOOKUP(A72,SatSunPeakPwr,(IF(BMO3=2,3,IF(BMO3=1,2,4))),FALSE()))</f>
        <v>27.2900009155273</v>
      </c>
      <c r="P72" s="401" t="n">
        <f aca="false">IF(A72="N/A"," ",VLOOKUP(A72,SatSunPeakPwr,(IF(BMO3=2,7,IF(BMO3=1,6,8))),FALSE()))</f>
        <v>21.7900009155273</v>
      </c>
      <c r="Q72" s="402" t="n">
        <f aca="false">IF(A72="N/A"," ",(VLOOKUP(A72,OPPowerPrices,(IF(BMO3=2,7,IF(BMO3=1,6,8))),FALSE())))</f>
        <v>19.7900009155273</v>
      </c>
      <c r="R72" s="403" t="e">
        <f aca="false">IF(A72="N/A"," ",(VLOOKUP($A72,IRTable,2)))</f>
        <v>#N/A</v>
      </c>
      <c r="AF72" s="352" t="n">
        <v>38626</v>
      </c>
      <c r="AG72" s="311" t="n">
        <v>21</v>
      </c>
      <c r="AH72" s="311" t="n">
        <v>5</v>
      </c>
      <c r="AI72" s="311" t="n">
        <v>5</v>
      </c>
      <c r="AJ72" s="311" t="n">
        <v>0</v>
      </c>
      <c r="AK72" s="311" t="n">
        <v>31</v>
      </c>
      <c r="AU72" s="406"/>
    </row>
    <row r="73" customFormat="false" ht="12.75" hidden="false" customHeight="false" outlineLevel="0" collapsed="false">
      <c r="A73" s="352" t="n">
        <f aca="false">Option3!A40</f>
        <v>38353</v>
      </c>
      <c r="B73" s="396" t="n">
        <f aca="false">IF(A73="N/A"," ",IF(ISERROR(N73),B61*Pwresc,N73)*VLOOKUP(MONTH(A73),Curveadj,3))</f>
        <v>35.1757147652762</v>
      </c>
      <c r="C73" s="397" t="n">
        <f aca="false">IF(A73="N/A"," ",(IF(AND(Scaler3=1,MONTH(A73)&gt;=6,MONTH(A73)&lt;=8,OR($M$37="REGION 2",$M$37="REGION 2A",$M$37="REGION 2B",$M$37="REGION 3",$M$37="REGION 3A",$M$37="REGION 3B",$M$37="REGION 3C",$M$37="REGION 4",$M$37="REGION 4B",$M$37="REGION 4C",$M$37="REGION 5",$M$37="REGION 5A")),((0.059228/(B73/100))-(0.4980013/(SQRT(B73/100)))+2.137988),HLOOKUP(MONTH(A73),ScalarTable,28))))</f>
        <v>1.02007383501259</v>
      </c>
      <c r="D73" s="398" t="n">
        <f aca="false">IF(A73="N/A"," ",C73*B73)</f>
        <v>35.8818262599245</v>
      </c>
      <c r="E73" s="396" t="n">
        <f aca="false">IF(A73="N/A"," ",IF(ISERROR(O73),E61*Pwresc,O73)*VLOOKUP(MONTH(A73),Curveadj,3))</f>
        <v>35.75</v>
      </c>
      <c r="F73" s="398" t="n">
        <f aca="false">IF(A73="N/A"," ",E73*C73)</f>
        <v>36.4676396017003</v>
      </c>
      <c r="G73" s="396" t="n">
        <f aca="false">IF(A73="N/A"," ",IF(ISERROR(P73),G61*Pwresc,P73)*VLOOKUP(MONTH(A73),Curveadj,3))</f>
        <v>25.25</v>
      </c>
      <c r="H73" s="398" t="n">
        <f aca="false">IF(A73="N/A"," ",G73*C73)</f>
        <v>25.756864334068</v>
      </c>
      <c r="I73" s="398" t="n">
        <f aca="false">IF(A73="N/A"," ",IF(ISERROR(Q73),I61*Pwresc,Q73))</f>
        <v>22</v>
      </c>
      <c r="J73" s="398"/>
      <c r="K73" s="399"/>
      <c r="L73" s="399"/>
      <c r="M73" s="404"/>
      <c r="N73" s="401" t="n">
        <f aca="false">IF(A73="N/A"," ",VLOOKUP(A73,PeakPowerCurves,(IF(BMO3=2,3,IF(BMO3=1,2,4))),FALSE()))</f>
        <v>35.1757147652762</v>
      </c>
      <c r="O73" s="401" t="n">
        <f aca="false">IF(A73="N/A"," ",VLOOKUP(A73,SatSunPeakPwr,(IF(BMO3=2,3,IF(BMO3=1,2,4))),FALSE()))</f>
        <v>35.75</v>
      </c>
      <c r="P73" s="401" t="n">
        <f aca="false">IF(A73="N/A"," ",VLOOKUP(A73,SatSunPeakPwr,(IF(BMO3=2,7,IF(BMO3=1,6,8))),FALSE()))</f>
        <v>25.25</v>
      </c>
      <c r="Q73" s="402" t="n">
        <f aca="false">IF(A73="N/A"," ",(VLOOKUP(A73,OPPowerPrices,(IF(BMO3=2,7,IF(BMO3=1,6,8))),FALSE())))</f>
        <v>22</v>
      </c>
      <c r="R73" s="403" t="e">
        <f aca="false">IF(A73="N/A"," ",(VLOOKUP($A73,IRTable,2)))</f>
        <v>#N/A</v>
      </c>
      <c r="AF73" s="352" t="n">
        <v>38657</v>
      </c>
      <c r="AG73" s="311" t="n">
        <v>21</v>
      </c>
      <c r="AH73" s="311" t="n">
        <v>4</v>
      </c>
      <c r="AI73" s="311" t="n">
        <v>5</v>
      </c>
      <c r="AJ73" s="311" t="n">
        <v>1</v>
      </c>
      <c r="AK73" s="311" t="n">
        <v>30</v>
      </c>
      <c r="AU73" s="406"/>
    </row>
    <row r="74" customFormat="false" ht="12.75" hidden="false" customHeight="false" outlineLevel="0" collapsed="false">
      <c r="A74" s="352" t="n">
        <f aca="false">Option3!A41</f>
        <v>38384</v>
      </c>
      <c r="B74" s="396" t="n">
        <f aca="false">IF(A74="N/A"," ",IF(ISERROR(N74),B62*Pwresc,N74)*VLOOKUP(MONTH(A74),Curveadj,3))</f>
        <v>34.5757124764579</v>
      </c>
      <c r="C74" s="397" t="n">
        <f aca="false">IF(A74="N/A"," ",(IF(AND(Scaler3=1,MONTH(A74)&gt;=6,MONTH(A74)&lt;=8,OR($M$37="REGION 2",$M$37="REGION 2A",$M$37="REGION 2B",$M$37="REGION 3",$M$37="REGION 3A",$M$37="REGION 3B",$M$37="REGION 3C",$M$37="REGION 4",$M$37="REGION 4B",$M$37="REGION 4C",$M$37="REGION 5",$M$37="REGION 5A")),((0.059228/(B74/100))-(0.4980013/(SQRT(B74/100)))+2.137988),HLOOKUP(MONTH(A74),ScalarTable,28))))</f>
        <v>1.02007383501259</v>
      </c>
      <c r="D74" s="398" t="n">
        <f aca="false">IF(A74="N/A"," ",C74*B74)</f>
        <v>35.2697796241532</v>
      </c>
      <c r="E74" s="396" t="n">
        <f aca="false">IF(A74="N/A"," ",IF(ISERROR(O74),E62*Pwresc,O74)*VLOOKUP(MONTH(A74),Curveadj,3))</f>
        <v>31.2460021972656</v>
      </c>
      <c r="F74" s="398" t="n">
        <f aca="false">IF(A74="N/A"," ",E74*C74)</f>
        <v>31.8732292901767</v>
      </c>
      <c r="G74" s="396" t="n">
        <f aca="false">IF(A74="N/A"," ",IF(ISERROR(P74),G62*Pwresc,P74)*VLOOKUP(MONTH(A74),Curveadj,3))</f>
        <v>22.7465019226074</v>
      </c>
      <c r="H74" s="398" t="n">
        <f aca="false">IF(A74="N/A"," ",G74*C74)</f>
        <v>23.2031114493155</v>
      </c>
      <c r="I74" s="398" t="n">
        <f aca="false">IF(A74="N/A"," ",IF(ISERROR(Q74),I62*Pwresc,Q74))</f>
        <v>20.5</v>
      </c>
      <c r="J74" s="398"/>
      <c r="K74" s="399"/>
      <c r="L74" s="399"/>
      <c r="M74" s="404"/>
      <c r="N74" s="401" t="n">
        <f aca="false">IF(A74="N/A"," ",VLOOKUP(A74,PeakPowerCurves,(IF(BMO3=2,3,IF(BMO3=1,2,4))),FALSE()))</f>
        <v>34.5757124764579</v>
      </c>
      <c r="O74" s="401" t="n">
        <f aca="false">IF(A74="N/A"," ",VLOOKUP(A74,SatSunPeakPwr,(IF(BMO3=2,3,IF(BMO3=1,2,4))),FALSE()))</f>
        <v>31.2460021972656</v>
      </c>
      <c r="P74" s="401" t="n">
        <f aca="false">IF(A74="N/A"," ",VLOOKUP(A74,SatSunPeakPwr,(IF(BMO3=2,7,IF(BMO3=1,6,8))),FALSE()))</f>
        <v>22.7465019226074</v>
      </c>
      <c r="Q74" s="402" t="n">
        <f aca="false">IF(A74="N/A"," ",(VLOOKUP(A74,OPPowerPrices,(IF(BMO3=2,7,IF(BMO3=1,6,8))),FALSE())))</f>
        <v>20.5</v>
      </c>
      <c r="R74" s="403" t="e">
        <f aca="false">IF(A74="N/A"," ",(VLOOKUP($A74,IRTable,2)))</f>
        <v>#N/A</v>
      </c>
      <c r="AF74" s="352" t="n">
        <v>38687</v>
      </c>
      <c r="AG74" s="311" t="n">
        <v>21</v>
      </c>
      <c r="AH74" s="311" t="n">
        <v>5</v>
      </c>
      <c r="AI74" s="311" t="n">
        <v>5</v>
      </c>
      <c r="AJ74" s="311" t="n">
        <v>1</v>
      </c>
      <c r="AK74" s="311" t="n">
        <v>31</v>
      </c>
      <c r="AU74" s="406"/>
    </row>
    <row r="75" customFormat="false" ht="12.75" hidden="false" customHeight="false" outlineLevel="0" collapsed="false">
      <c r="A75" s="352" t="n">
        <f aca="false">Option3!A42</f>
        <v>38412</v>
      </c>
      <c r="B75" s="396" t="n">
        <f aca="false">IF(A75="N/A"," ",IF(ISERROR(N75),B63*Pwresc,N75)*VLOOKUP(MONTH(A75),Curveadj,3))</f>
        <v>33.2876773213231</v>
      </c>
      <c r="C75" s="397" t="n">
        <f aca="false">IF(A75="N/A"," ",(IF(AND(Scaler3=1,MONTH(A75)&gt;=6,MONTH(A75)&lt;=8,OR($M$37="REGION 2",$M$37="REGION 2A",$M$37="REGION 2B",$M$37="REGION 3",$M$37="REGION 3A",$M$37="REGION 3B",$M$37="REGION 3C",$M$37="REGION 4",$M$37="REGION 4B",$M$37="REGION 4C",$M$37="REGION 5",$M$37="REGION 5A")),((0.059228/(B75/100))-(0.4980013/(SQRT(B75/100)))+2.137988),HLOOKUP(MONTH(A75),ScalarTable,28))))</f>
        <v>1.0173448699422</v>
      </c>
      <c r="D75" s="398" t="n">
        <f aca="false">IF(A75="N/A"," ",C75*B75)</f>
        <v>33.8650477551393</v>
      </c>
      <c r="E75" s="396" t="n">
        <f aca="false">IF(A75="N/A"," ",IF(ISERROR(O75),E63*Pwresc,O75)*VLOOKUP(MONTH(A75),Curveadj,3))</f>
        <v>25.5</v>
      </c>
      <c r="F75" s="398" t="n">
        <f aca="false">IF(A75="N/A"," ",E75*C75)</f>
        <v>25.942294183526</v>
      </c>
      <c r="G75" s="396" t="n">
        <f aca="false">IF(A75="N/A"," ",IF(ISERROR(P75),G63*Pwresc,P75)*VLOOKUP(MONTH(A75),Curveadj,3))</f>
        <v>20</v>
      </c>
      <c r="H75" s="398" t="n">
        <f aca="false">IF(A75="N/A"," ",G75*C75)</f>
        <v>20.3468973988439</v>
      </c>
      <c r="I75" s="398" t="n">
        <f aca="false">IF(A75="N/A"," ",IF(ISERROR(Q75),I63*Pwresc,Q75))</f>
        <v>21.5</v>
      </c>
      <c r="J75" s="398"/>
      <c r="K75" s="399"/>
      <c r="L75" s="399"/>
      <c r="M75" s="404"/>
      <c r="N75" s="401" t="n">
        <f aca="false">IF(A75="N/A"," ",VLOOKUP(A75,PeakPowerCurves,(IF(BMO3=2,3,IF(BMO3=1,2,4))),FALSE()))</f>
        <v>33.2876773213231</v>
      </c>
      <c r="O75" s="401" t="n">
        <f aca="false">IF(A75="N/A"," ",VLOOKUP(A75,SatSunPeakPwr,(IF(BMO3=2,3,IF(BMO3=1,2,4))),FALSE()))</f>
        <v>25.5</v>
      </c>
      <c r="P75" s="401" t="n">
        <f aca="false">IF(A75="N/A"," ",VLOOKUP(A75,SatSunPeakPwr,(IF(BMO3=2,7,IF(BMO3=1,6,8))),FALSE()))</f>
        <v>20</v>
      </c>
      <c r="Q75" s="402" t="n">
        <f aca="false">IF(A75="N/A"," ",(VLOOKUP(A75,OPPowerPrices,(IF(BMO3=2,7,IF(BMO3=1,6,8))),FALSE())))</f>
        <v>21.5</v>
      </c>
      <c r="R75" s="403" t="e">
        <f aca="false">IF(A75="N/A"," ",(VLOOKUP($A75,IRTable,2)))</f>
        <v>#N/A</v>
      </c>
      <c r="AF75" s="352" t="n">
        <v>38718</v>
      </c>
      <c r="AG75" s="311" t="n">
        <v>21</v>
      </c>
      <c r="AH75" s="311" t="n">
        <v>4</v>
      </c>
      <c r="AI75" s="311" t="n">
        <v>6</v>
      </c>
      <c r="AJ75" s="311" t="n">
        <v>1</v>
      </c>
      <c r="AK75" s="311" t="n">
        <v>31</v>
      </c>
      <c r="AU75" s="406"/>
    </row>
    <row r="76" customFormat="false" ht="12.75" hidden="false" customHeight="false" outlineLevel="0" collapsed="false">
      <c r="A76" s="352" t="n">
        <f aca="false">Option3!A43</f>
        <v>38443</v>
      </c>
      <c r="B76" s="396" t="n">
        <f aca="false">IF(A76="N/A"," ",IF(ISERROR(N76),B64*Pwresc,N76)*VLOOKUP(MONTH(A76),Curveadj,3))</f>
        <v>33.4876780842626</v>
      </c>
      <c r="C76" s="397" t="n">
        <f aca="false">IF(A76="N/A"," ",(IF(AND(Scaler3=1,MONTH(A76)&gt;=6,MONTH(A76)&lt;=8,OR($M$37="REGION 2",$M$37="REGION 2A",$M$37="REGION 2B",$M$37="REGION 3",$M$37="REGION 3A",$M$37="REGION 3B",$M$37="REGION 3C",$M$37="REGION 4",$M$37="REGION 4B",$M$37="REGION 4C",$M$37="REGION 5",$M$37="REGION 5A")),((0.059228/(B76/100))-(0.4980013/(SQRT(B76/100)))+2.137988),HLOOKUP(MONTH(A76),ScalarTable,28))))</f>
        <v>1.005</v>
      </c>
      <c r="D76" s="398" t="n">
        <f aca="false">IF(A76="N/A"," ",C76*B76)</f>
        <v>33.6551164746839</v>
      </c>
      <c r="E76" s="396" t="n">
        <f aca="false">IF(A76="N/A"," ",IF(ISERROR(O76),E64*Pwresc,O76)*VLOOKUP(MONTH(A76),Curveadj,3))</f>
        <v>22</v>
      </c>
      <c r="F76" s="398" t="n">
        <f aca="false">IF(A76="N/A"," ",E76*C76)</f>
        <v>22.11</v>
      </c>
      <c r="G76" s="396" t="n">
        <f aca="false">IF(A76="N/A"," ",IF(ISERROR(P76),G64*Pwresc,P76)*VLOOKUP(MONTH(A76),Curveadj,3))</f>
        <v>16.4950008392334</v>
      </c>
      <c r="H76" s="398" t="n">
        <f aca="false">IF(A76="N/A"," ",G76*C76)</f>
        <v>16.5774758434296</v>
      </c>
      <c r="I76" s="398" t="n">
        <f aca="false">IF(A76="N/A"," ",IF(ISERROR(Q76),I64*Pwresc,Q76))</f>
        <v>18.5</v>
      </c>
      <c r="J76" s="398"/>
      <c r="K76" s="399"/>
      <c r="L76" s="399"/>
      <c r="M76" s="404"/>
      <c r="N76" s="401" t="n">
        <f aca="false">IF(A76="N/A"," ",VLOOKUP(A76,PeakPowerCurves,(IF(BMO3=2,3,IF(BMO3=1,2,4))),FALSE()))</f>
        <v>33.4876780842626</v>
      </c>
      <c r="O76" s="401" t="n">
        <f aca="false">IF(A76="N/A"," ",VLOOKUP(A76,SatSunPeakPwr,(IF(BMO3=2,3,IF(BMO3=1,2,4))),FALSE()))</f>
        <v>22</v>
      </c>
      <c r="P76" s="401" t="n">
        <f aca="false">IF(A76="N/A"," ",VLOOKUP(A76,SatSunPeakPwr,(IF(BMO3=2,7,IF(BMO3=1,6,8))),FALSE()))</f>
        <v>16.4950008392334</v>
      </c>
      <c r="Q76" s="402" t="n">
        <f aca="false">IF(A76="N/A"," ",(VLOOKUP(A76,OPPowerPrices,(IF(BMO3=2,7,IF(BMO3=1,6,8))),FALSE())))</f>
        <v>18.5</v>
      </c>
      <c r="R76" s="403" t="e">
        <f aca="false">IF(A76="N/A"," ",(VLOOKUP($A76,IRTable,2)))</f>
        <v>#N/A</v>
      </c>
      <c r="AF76" s="352" t="n">
        <v>38749</v>
      </c>
      <c r="AG76" s="311" t="n">
        <v>20</v>
      </c>
      <c r="AH76" s="311" t="n">
        <v>4</v>
      </c>
      <c r="AI76" s="311" t="n">
        <v>4</v>
      </c>
      <c r="AJ76" s="311" t="n">
        <v>0</v>
      </c>
      <c r="AK76" s="311" t="n">
        <v>28</v>
      </c>
      <c r="AU76" s="406"/>
    </row>
    <row r="77" customFormat="false" ht="12.75" hidden="false" customHeight="false" outlineLevel="0" collapsed="false">
      <c r="A77" s="352" t="n">
        <f aca="false">Option3!A44</f>
        <v>38473</v>
      </c>
      <c r="B77" s="396" t="n">
        <f aca="false">IF(A77="N/A"," ",IF(ISERROR(N77),B65*Pwresc,N77)*VLOOKUP(MONTH(A77),Curveadj,3))</f>
        <v>36.2650032043457</v>
      </c>
      <c r="C77" s="397" t="n">
        <f aca="false">IF(A77="N/A"," ",(IF(AND(Scaler3=1,MONTH(A77)&gt;=6,MONTH(A77)&lt;=8,OR($M$37="REGION 2",$M$37="REGION 2A",$M$37="REGION 2B",$M$37="REGION 3",$M$37="REGION 3A",$M$37="REGION 3B",$M$37="REGION 3C",$M$37="REGION 4",$M$37="REGION 4B",$M$37="REGION 4C",$M$37="REGION 5",$M$37="REGION 5A")),((0.059228/(B77/100))-(0.4980013/(SQRT(B77/100)))+2.137988),HLOOKUP(MONTH(A77),ScalarTable,28))))</f>
        <v>1.075625</v>
      </c>
      <c r="D77" s="398" t="n">
        <f aca="false">IF(A77="N/A"," ",C77*B77)</f>
        <v>39.0075440716743</v>
      </c>
      <c r="E77" s="396" t="n">
        <f aca="false">IF(A77="N/A"," ",IF(ISERROR(O77),E65*Pwresc,O77)*VLOOKUP(MONTH(A77),Curveadj,3))</f>
        <v>22.2900009155273</v>
      </c>
      <c r="F77" s="398" t="n">
        <f aca="false">IF(A77="N/A"," ",E77*C77)</f>
        <v>23.9756822347641</v>
      </c>
      <c r="G77" s="396" t="n">
        <f aca="false">IF(A77="N/A"," ",IF(ISERROR(P77),G65*Pwresc,P77)*VLOOKUP(MONTH(A77),Curveadj,3))</f>
        <v>15.7950000762939</v>
      </c>
      <c r="H77" s="398" t="n">
        <f aca="false">IF(A77="N/A"," ",G77*C77)</f>
        <v>16.9894969570637</v>
      </c>
      <c r="I77" s="398" t="n">
        <f aca="false">IF(A77="N/A"," ",IF(ISERROR(Q77),I65*Pwresc,Q77))</f>
        <v>19.0400009155273</v>
      </c>
      <c r="J77" s="398"/>
      <c r="K77" s="399"/>
      <c r="L77" s="399"/>
      <c r="M77" s="404"/>
      <c r="N77" s="401" t="n">
        <f aca="false">IF(A77="N/A"," ",VLOOKUP(A77,PeakPowerCurves,(IF(BMO3=2,3,IF(BMO3=1,2,4))),FALSE()))</f>
        <v>36.2650032043457</v>
      </c>
      <c r="O77" s="401" t="n">
        <f aca="false">IF(A77="N/A"," ",VLOOKUP(A77,SatSunPeakPwr,(IF(BMO3=2,3,IF(BMO3=1,2,4))),FALSE()))</f>
        <v>22.2900009155273</v>
      </c>
      <c r="P77" s="401" t="n">
        <f aca="false">IF(A77="N/A"," ",VLOOKUP(A77,SatSunPeakPwr,(IF(BMO3=2,7,IF(BMO3=1,6,8))),FALSE()))</f>
        <v>15.7950000762939</v>
      </c>
      <c r="Q77" s="402" t="n">
        <f aca="false">IF(A77="N/A"," ",(VLOOKUP(A77,OPPowerPrices,(IF(BMO3=2,7,IF(BMO3=1,6,8))),FALSE())))</f>
        <v>19.0400009155273</v>
      </c>
      <c r="R77" s="403" t="e">
        <f aca="false">IF(A77="N/A"," ",(VLOOKUP($A77,IRTable,2)))</f>
        <v>#N/A</v>
      </c>
      <c r="AF77" s="352" t="n">
        <v>38777</v>
      </c>
      <c r="AG77" s="311" t="n">
        <v>23</v>
      </c>
      <c r="AH77" s="311" t="n">
        <v>4</v>
      </c>
      <c r="AI77" s="311" t="n">
        <v>4</v>
      </c>
      <c r="AJ77" s="311" t="n">
        <v>0</v>
      </c>
      <c r="AK77" s="311" t="n">
        <v>31</v>
      </c>
      <c r="AU77" s="406"/>
    </row>
    <row r="78" customFormat="false" ht="12.75" hidden="false" customHeight="false" outlineLevel="0" collapsed="false">
      <c r="A78" s="352" t="n">
        <f aca="false">Option3!A45</f>
        <v>38504</v>
      </c>
      <c r="B78" s="396" t="n">
        <f aca="false">IF(A78="N/A"," ",IF(ISERROR(N78),B66*Pwresc,N78)*VLOOKUP(MONTH(A78),Curveadj,3))</f>
        <v>42.3750038146973</v>
      </c>
      <c r="C78" s="397" t="n">
        <f aca="false">IF(A78="N/A"," ",(IF(AND(Scaler3=1,MONTH(A78)&gt;=6,MONTH(A78)&lt;=8,OR($M$37="REGION 2",$M$37="REGION 2A",$M$37="REGION 2B",$M$37="REGION 3",$M$37="REGION 3A",$M$37="REGION 3B",$M$37="REGION 3C",$M$37="REGION 4",$M$37="REGION 4B",$M$37="REGION 4C",$M$37="REGION 5",$M$37="REGION 5A")),((0.059228/(B78/100))-(0.4980013/(SQRT(B78/100)))+2.137988),HLOOKUP(MONTH(A78),ScalarTable,28))))</f>
        <v>1.53</v>
      </c>
      <c r="D78" s="398" t="n">
        <f aca="false">IF(A78="N/A"," ",C78*B78)</f>
        <v>64.8337558364868</v>
      </c>
      <c r="E78" s="396" t="n">
        <f aca="false">IF(A78="N/A"," ",IF(ISERROR(O78),E66*Pwresc,O78)*VLOOKUP(MONTH(A78),Curveadj,3))</f>
        <v>29.2900009155273</v>
      </c>
      <c r="F78" s="398" t="n">
        <f aca="false">IF(A78="N/A"," ",E78*C78)</f>
        <v>44.8137014007568</v>
      </c>
      <c r="G78" s="396" t="n">
        <f aca="false">IF(A78="N/A"," ",IF(ISERROR(P78),G66*Pwresc,P78)*VLOOKUP(MONTH(A78),Curveadj,3))</f>
        <v>19.7900009155273</v>
      </c>
      <c r="H78" s="398" t="n">
        <f aca="false">IF(A78="N/A"," ",G78*C78)</f>
        <v>30.2787014007568</v>
      </c>
      <c r="I78" s="398" t="n">
        <f aca="false">IF(A78="N/A"," ",IF(ISERROR(Q78),I66*Pwresc,Q78))</f>
        <v>22.0400009155273</v>
      </c>
      <c r="J78" s="398"/>
      <c r="K78" s="399"/>
      <c r="L78" s="399"/>
      <c r="M78" s="404"/>
      <c r="N78" s="401" t="n">
        <f aca="false">IF(A78="N/A"," ",VLOOKUP(A78,PeakPowerCurves,(IF(BMO3=2,3,IF(BMO3=1,2,4))),FALSE()))</f>
        <v>42.3750038146973</v>
      </c>
      <c r="O78" s="401" t="n">
        <f aca="false">IF(A78="N/A"," ",VLOOKUP(A78,SatSunPeakPwr,(IF(BMO3=2,3,IF(BMO3=1,2,4))),FALSE()))</f>
        <v>29.2900009155273</v>
      </c>
      <c r="P78" s="401" t="n">
        <f aca="false">IF(A78="N/A"," ",VLOOKUP(A78,SatSunPeakPwr,(IF(BMO3=2,7,IF(BMO3=1,6,8))),FALSE()))</f>
        <v>19.7900009155273</v>
      </c>
      <c r="Q78" s="402" t="n">
        <f aca="false">IF(A78="N/A"," ",(VLOOKUP(A78,OPPowerPrices,(IF(BMO3=2,7,IF(BMO3=1,6,8))),FALSE())))</f>
        <v>22.0400009155273</v>
      </c>
      <c r="R78" s="403" t="e">
        <f aca="false">IF(A78="N/A"," ",(VLOOKUP($A78,IRTable,2)))</f>
        <v>#N/A</v>
      </c>
      <c r="AF78" s="352" t="n">
        <v>38808</v>
      </c>
      <c r="AG78" s="311" t="n">
        <v>20</v>
      </c>
      <c r="AH78" s="311" t="n">
        <v>5</v>
      </c>
      <c r="AI78" s="311" t="n">
        <v>5</v>
      </c>
      <c r="AJ78" s="311" t="n">
        <v>0</v>
      </c>
      <c r="AK78" s="311" t="n">
        <v>30</v>
      </c>
      <c r="AU78" s="406"/>
    </row>
    <row r="79" customFormat="false" ht="12.75" hidden="false" customHeight="false" outlineLevel="0" collapsed="false">
      <c r="A79" s="352" t="n">
        <f aca="false">Option3!A46</f>
        <v>38534</v>
      </c>
      <c r="B79" s="396" t="n">
        <f aca="false">IF(A79="N/A"," ",IF(ISERROR(N79),B67*Pwresc,N79)*VLOOKUP(MONTH(A79),Curveadj,3))</f>
        <v>50.5</v>
      </c>
      <c r="C79" s="397" t="n">
        <f aca="false">IF(A79="N/A"," ",(IF(AND(Scaler3=1,MONTH(A79)&gt;=6,MONTH(A79)&lt;=8,OR($M$37="REGION 2",$M$37="REGION 2A",$M$37="REGION 2B",$M$37="REGION 3",$M$37="REGION 3A",$M$37="REGION 3B",$M$37="REGION 3C",$M$37="REGION 4",$M$37="REGION 4B",$M$37="REGION 4C",$M$37="REGION 5",$M$37="REGION 5A")),((0.059228/(B79/100))-(0.4980013/(SQRT(B79/100)))+2.137988),HLOOKUP(MONTH(A79),ScalarTable,28))))</f>
        <v>1.63</v>
      </c>
      <c r="D79" s="398" t="n">
        <f aca="false">IF(A79="N/A"," ",C79*B79)</f>
        <v>82.315</v>
      </c>
      <c r="E79" s="396" t="n">
        <f aca="false">IF(A79="N/A"," ",IF(ISERROR(O79),E67*Pwresc,O79)*VLOOKUP(MONTH(A79),Curveadj,3))</f>
        <v>35.2900009155273</v>
      </c>
      <c r="F79" s="398" t="n">
        <f aca="false">IF(A79="N/A"," ",E79*C79)</f>
        <v>57.5227014923096</v>
      </c>
      <c r="G79" s="396" t="n">
        <f aca="false">IF(A79="N/A"," ",IF(ISERROR(P79),G67*Pwresc,P79)*VLOOKUP(MONTH(A79),Curveadj,3))</f>
        <v>25.7900009155273</v>
      </c>
      <c r="H79" s="398" t="n">
        <f aca="false">IF(A79="N/A"," ",G79*C79)</f>
        <v>42.0377014923096</v>
      </c>
      <c r="I79" s="398" t="n">
        <f aca="false">IF(A79="N/A"," ",IF(ISERROR(Q79),I67*Pwresc,Q79))</f>
        <v>22.5400009155273</v>
      </c>
      <c r="J79" s="398"/>
      <c r="K79" s="399"/>
      <c r="L79" s="399"/>
      <c r="M79" s="404"/>
      <c r="N79" s="401" t="n">
        <f aca="false">IF(A79="N/A"," ",VLOOKUP(A79,PeakPowerCurves,(IF(BMO3=2,3,IF(BMO3=1,2,4))),FALSE()))</f>
        <v>50.5</v>
      </c>
      <c r="O79" s="401" t="n">
        <f aca="false">IF(A79="N/A"," ",VLOOKUP(A79,SatSunPeakPwr,(IF(BMO3=2,3,IF(BMO3=1,2,4))),FALSE()))</f>
        <v>35.2900009155273</v>
      </c>
      <c r="P79" s="401" t="n">
        <f aca="false">IF(A79="N/A"," ",VLOOKUP(A79,SatSunPeakPwr,(IF(BMO3=2,7,IF(BMO3=1,6,8))),FALSE()))</f>
        <v>25.7900009155273</v>
      </c>
      <c r="Q79" s="402" t="n">
        <f aca="false">IF(A79="N/A"," ",(VLOOKUP(A79,OPPowerPrices,(IF(BMO3=2,7,IF(BMO3=1,6,8))),FALSE())))</f>
        <v>22.5400009155273</v>
      </c>
      <c r="R79" s="403" t="e">
        <f aca="false">IF(A79="N/A"," ",(VLOOKUP($A79,IRTable,2)))</f>
        <v>#N/A</v>
      </c>
      <c r="AF79" s="352" t="n">
        <v>38838</v>
      </c>
      <c r="AG79" s="311" t="n">
        <v>22</v>
      </c>
      <c r="AH79" s="311" t="n">
        <v>4</v>
      </c>
      <c r="AI79" s="311" t="n">
        <v>5</v>
      </c>
      <c r="AJ79" s="311" t="n">
        <v>1</v>
      </c>
      <c r="AK79" s="311" t="n">
        <v>31</v>
      </c>
      <c r="AU79" s="406"/>
    </row>
    <row r="80" customFormat="false" ht="12.75" hidden="false" customHeight="false" outlineLevel="0" collapsed="false">
      <c r="A80" s="352" t="n">
        <f aca="false">Option3!A47</f>
        <v>38565</v>
      </c>
      <c r="B80" s="396" t="n">
        <f aca="false">IF(A80="N/A"," ",IF(ISERROR(N80),B68*Pwresc,N80)*VLOOKUP(MONTH(A80),Curveadj,3))</f>
        <v>50.5</v>
      </c>
      <c r="C80" s="397" t="n">
        <f aca="false">IF(A80="N/A"," ",(IF(AND(Scaler3=1,MONTH(A80)&gt;=6,MONTH(A80)&lt;=8,OR($M$37="REGION 2",$M$37="REGION 2A",$M$37="REGION 2B",$M$37="REGION 3",$M$37="REGION 3A",$M$37="REGION 3B",$M$37="REGION 3C",$M$37="REGION 4",$M$37="REGION 4B",$M$37="REGION 4C",$M$37="REGION 5",$M$37="REGION 5A")),((0.059228/(B80/100))-(0.4980013/(SQRT(B80/100)))+2.137988),HLOOKUP(MONTH(A80),ScalarTable,28))))</f>
        <v>1.63</v>
      </c>
      <c r="D80" s="398" t="n">
        <f aca="false">IF(A80="N/A"," ",C80*B80)</f>
        <v>82.315</v>
      </c>
      <c r="E80" s="396" t="n">
        <f aca="false">IF(A80="N/A"," ",IF(ISERROR(O80),E68*Pwresc,O80)*VLOOKUP(MONTH(A80),Curveadj,3))</f>
        <v>33.2900047302246</v>
      </c>
      <c r="F80" s="398" t="n">
        <f aca="false">IF(A80="N/A"," ",E80*C80)</f>
        <v>54.2627077102661</v>
      </c>
      <c r="G80" s="396" t="n">
        <f aca="false">IF(A80="N/A"," ",IF(ISERROR(P80),G68*Pwresc,P80)*VLOOKUP(MONTH(A80),Curveadj,3))</f>
        <v>25.7900009155273</v>
      </c>
      <c r="H80" s="398" t="n">
        <f aca="false">IF(A80="N/A"," ",G80*C80)</f>
        <v>42.0377014923096</v>
      </c>
      <c r="I80" s="398" t="n">
        <f aca="false">IF(A80="N/A"," ",IF(ISERROR(Q80),I68*Pwresc,Q80))</f>
        <v>23.5400009155273</v>
      </c>
      <c r="J80" s="398"/>
      <c r="K80" s="399"/>
      <c r="L80" s="399"/>
      <c r="M80" s="404"/>
      <c r="N80" s="401" t="n">
        <f aca="false">IF(A80="N/A"," ",VLOOKUP(A80,PeakPowerCurves,(IF(BMO3=2,3,IF(BMO3=1,2,4))),FALSE()))</f>
        <v>50.5</v>
      </c>
      <c r="O80" s="401" t="n">
        <f aca="false">IF(A80="N/A"," ",VLOOKUP(A80,SatSunPeakPwr,(IF(BMO3=2,3,IF(BMO3=1,2,4))),FALSE()))</f>
        <v>33.2900047302246</v>
      </c>
      <c r="P80" s="401" t="n">
        <f aca="false">IF(A80="N/A"," ",VLOOKUP(A80,SatSunPeakPwr,(IF(BMO3=2,7,IF(BMO3=1,6,8))),FALSE()))</f>
        <v>25.7900009155273</v>
      </c>
      <c r="Q80" s="402" t="n">
        <f aca="false">IF(A80="N/A"," ",(VLOOKUP(A80,OPPowerPrices,(IF(BMO3=2,7,IF(BMO3=1,6,8))),FALSE())))</f>
        <v>23.5400009155273</v>
      </c>
      <c r="R80" s="403" t="e">
        <f aca="false">IF(A80="N/A"," ",(VLOOKUP($A80,IRTable,2)))</f>
        <v>#N/A</v>
      </c>
      <c r="AF80" s="352" t="n">
        <v>38869</v>
      </c>
      <c r="AG80" s="311" t="n">
        <v>22</v>
      </c>
      <c r="AH80" s="311" t="n">
        <v>4</v>
      </c>
      <c r="AI80" s="311" t="n">
        <v>4</v>
      </c>
      <c r="AJ80" s="311" t="n">
        <v>0</v>
      </c>
      <c r="AK80" s="311" t="n">
        <v>30</v>
      </c>
      <c r="AU80" s="406"/>
    </row>
    <row r="81" customFormat="false" ht="12.75" hidden="false" customHeight="false" outlineLevel="0" collapsed="false">
      <c r="A81" s="352" t="n">
        <f aca="false">Option3!A48</f>
        <v>38596</v>
      </c>
      <c r="B81" s="396" t="n">
        <f aca="false">IF(A81="N/A"," ",IF(ISERROR(N81),B69*Pwresc,N81)*VLOOKUP(MONTH(A81),Curveadj,3))</f>
        <v>31.1399993896484</v>
      </c>
      <c r="C81" s="397" t="n">
        <f aca="false">IF(A81="N/A"," ",(IF(AND(Scaler3=1,MONTH(A81)&gt;=6,MONTH(A81)&lt;=8,OR($M$37="REGION 2",$M$37="REGION 2A",$M$37="REGION 2B",$M$37="REGION 3",$M$37="REGION 3A",$M$37="REGION 3B",$M$37="REGION 3C",$M$37="REGION 4",$M$37="REGION 4B",$M$37="REGION 4C",$M$37="REGION 5",$M$37="REGION 5A")),((0.059228/(B81/100))-(0.4980013/(SQRT(B81/100)))+2.137988),HLOOKUP(MONTH(A81),ScalarTable,28))))</f>
        <v>1.35125</v>
      </c>
      <c r="D81" s="398" t="n">
        <f aca="false">IF(A81="N/A"," ",C81*B81)</f>
        <v>42.0779241752625</v>
      </c>
      <c r="E81" s="396" t="n">
        <f aca="false">IF(A81="N/A"," ",IF(ISERROR(O81),E69*Pwresc,O81)*VLOOKUP(MONTH(A81),Curveadj,3))</f>
        <v>25.2900009155273</v>
      </c>
      <c r="F81" s="398" t="n">
        <f aca="false">IF(A81="N/A"," ",E81*C81)</f>
        <v>34.1731137371063</v>
      </c>
      <c r="G81" s="396" t="n">
        <f aca="false">IF(A81="N/A"," ",IF(ISERROR(P81),G69*Pwresc,P81)*VLOOKUP(MONTH(A81),Curveadj,3))</f>
        <v>19.7900009155273</v>
      </c>
      <c r="H81" s="398" t="n">
        <f aca="false">IF(A81="N/A"," ",G81*C81)</f>
        <v>26.7412387371063</v>
      </c>
      <c r="I81" s="398" t="n">
        <f aca="false">IF(A81="N/A"," ",IF(ISERROR(Q81),I69*Pwresc,Q81))</f>
        <v>17.5400009155273</v>
      </c>
      <c r="J81" s="398"/>
      <c r="K81" s="399"/>
      <c r="L81" s="399"/>
      <c r="M81" s="404"/>
      <c r="N81" s="401" t="n">
        <f aca="false">IF(A81="N/A"," ",VLOOKUP(A81,PeakPowerCurves,(IF(BMO3=2,3,IF(BMO3=1,2,4))),FALSE()))</f>
        <v>31.1399993896484</v>
      </c>
      <c r="O81" s="401" t="n">
        <f aca="false">IF(A81="N/A"," ",VLOOKUP(A81,SatSunPeakPwr,(IF(BMO3=2,3,IF(BMO3=1,2,4))),FALSE()))</f>
        <v>25.2900009155273</v>
      </c>
      <c r="P81" s="401" t="n">
        <f aca="false">IF(A81="N/A"," ",VLOOKUP(A81,SatSunPeakPwr,(IF(BMO3=2,7,IF(BMO3=1,6,8))),FALSE()))</f>
        <v>19.7900009155273</v>
      </c>
      <c r="Q81" s="402" t="n">
        <f aca="false">IF(A81="N/A"," ",(VLOOKUP(A81,OPPowerPrices,(IF(BMO3=2,7,IF(BMO3=1,6,8))),FALSE())))</f>
        <v>17.5400009155273</v>
      </c>
      <c r="R81" s="403" t="e">
        <f aca="false">IF(A81="N/A"," ",(VLOOKUP($A81,IRTable,2)))</f>
        <v>#N/A</v>
      </c>
      <c r="AF81" s="352" t="n">
        <v>38899</v>
      </c>
      <c r="AG81" s="311" t="n">
        <v>20</v>
      </c>
      <c r="AH81" s="311" t="n">
        <v>5</v>
      </c>
      <c r="AI81" s="311" t="n">
        <v>6</v>
      </c>
      <c r="AJ81" s="311" t="n">
        <v>1</v>
      </c>
      <c r="AK81" s="311" t="n">
        <v>31</v>
      </c>
      <c r="AU81" s="406"/>
    </row>
    <row r="82" customFormat="false" ht="12.75" hidden="false" customHeight="false" outlineLevel="0" collapsed="false">
      <c r="A82" s="352" t="n">
        <f aca="false">Option3!A49</f>
        <v>38626</v>
      </c>
      <c r="B82" s="396" t="n">
        <f aca="false">IF(A82="N/A"," ",IF(ISERROR(N82),B70*Pwresc,N82)*VLOOKUP(MONTH(A82),Curveadj,3))</f>
        <v>32.0415614843369</v>
      </c>
      <c r="C82" s="397" t="n">
        <f aca="false">IF(A82="N/A"," ",(IF(AND(Scaler3=1,MONTH(A82)&gt;=6,MONTH(A82)&lt;=8,OR($M$37="REGION 2",$M$37="REGION 2A",$M$37="REGION 2B",$M$37="REGION 3",$M$37="REGION 3A",$M$37="REGION 3B",$M$37="REGION 3C",$M$37="REGION 4",$M$37="REGION 4B",$M$37="REGION 4C",$M$37="REGION 5",$M$37="REGION 5A")),((0.059228/(B82/100))-(0.4980013/(SQRT(B82/100)))+2.137988),HLOOKUP(MONTH(A82),ScalarTable,28))))</f>
        <v>1.005</v>
      </c>
      <c r="D82" s="398" t="n">
        <f aca="false">IF(A82="N/A"," ",C82*B82)</f>
        <v>32.2017692917585</v>
      </c>
      <c r="E82" s="396" t="n">
        <f aca="false">IF(A82="N/A"," ",IF(ISERROR(O82),E70*Pwresc,O82)*VLOOKUP(MONTH(A82),Curveadj,3))</f>
        <v>20.2860012054443</v>
      </c>
      <c r="F82" s="398" t="n">
        <f aca="false">IF(A82="N/A"," ",E82*C82)</f>
        <v>20.3874312114716</v>
      </c>
      <c r="G82" s="396" t="n">
        <f aca="false">IF(A82="N/A"," ",IF(ISERROR(P82),G70*Pwresc,P82)*VLOOKUP(MONTH(A82),Curveadj,3))</f>
        <v>14.7865009307861</v>
      </c>
      <c r="H82" s="398" t="n">
        <f aca="false">IF(A82="N/A"," ",G82*C82)</f>
        <v>14.8604334354401</v>
      </c>
      <c r="I82" s="398" t="n">
        <f aca="false">IF(A82="N/A"," ",IF(ISERROR(Q82),I70*Pwresc,Q82))</f>
        <v>17.040002822876</v>
      </c>
      <c r="J82" s="398"/>
      <c r="K82" s="399"/>
      <c r="L82" s="399"/>
      <c r="M82" s="404"/>
      <c r="N82" s="401" t="n">
        <f aca="false">IF(A82="N/A"," ",VLOOKUP(A82,PeakPowerCurves,(IF(BMO3=2,3,IF(BMO3=1,2,4))),FALSE()))</f>
        <v>32.0415614843369</v>
      </c>
      <c r="O82" s="401" t="n">
        <f aca="false">IF(A82="N/A"," ",VLOOKUP(A82,SatSunPeakPwr,(IF(BMO3=2,3,IF(BMO3=1,2,4))),FALSE()))</f>
        <v>20.2860012054443</v>
      </c>
      <c r="P82" s="401" t="n">
        <f aca="false">IF(A82="N/A"," ",VLOOKUP(A82,SatSunPeakPwr,(IF(BMO3=2,7,IF(BMO3=1,6,8))),FALSE()))</f>
        <v>14.7865009307861</v>
      </c>
      <c r="Q82" s="402" t="n">
        <f aca="false">IF(A82="N/A"," ",(VLOOKUP(A82,OPPowerPrices,(IF(BMO3=2,7,IF(BMO3=1,6,8))),FALSE())))</f>
        <v>17.040002822876</v>
      </c>
      <c r="R82" s="403" t="e">
        <f aca="false">IF(A82="N/A"," ",(VLOOKUP($A82,IRTable,2)))</f>
        <v>#N/A</v>
      </c>
      <c r="AF82" s="352" t="n">
        <v>38930</v>
      </c>
      <c r="AG82" s="311" t="n">
        <v>23</v>
      </c>
      <c r="AH82" s="311" t="n">
        <v>4</v>
      </c>
      <c r="AI82" s="311" t="n">
        <v>4</v>
      </c>
      <c r="AJ82" s="311" t="n">
        <v>0</v>
      </c>
      <c r="AK82" s="311" t="n">
        <v>31</v>
      </c>
      <c r="AU82" s="406"/>
    </row>
    <row r="83" customFormat="false" ht="12.75" hidden="false" customHeight="false" outlineLevel="0" collapsed="false">
      <c r="A83" s="352" t="n">
        <f aca="false">Option3!A50</f>
        <v>38657</v>
      </c>
      <c r="B83" s="396" t="n">
        <f aca="false">IF(A83="N/A"," ",IF(ISERROR(N83),B71*Pwresc,N83)*VLOOKUP(MONTH(A83),Curveadj,3))</f>
        <v>32.1415637731552</v>
      </c>
      <c r="C83" s="397" t="n">
        <f aca="false">IF(A83="N/A"," ",(IF(AND(Scaler3=1,MONTH(A83)&gt;=6,MONTH(A83)&lt;=8,OR($M$37="REGION 2",$M$37="REGION 2A",$M$37="REGION 2B",$M$37="REGION 3",$M$37="REGION 3A",$M$37="REGION 3B",$M$37="REGION 3C",$M$37="REGION 4",$M$37="REGION 4B",$M$37="REGION 4C",$M$37="REGION 5",$M$37="REGION 5A")),((0.059228/(B83/100))-(0.4980013/(SQRT(B83/100)))+2.137988),HLOOKUP(MONTH(A83),ScalarTable,28))))</f>
        <v>1.0825</v>
      </c>
      <c r="D83" s="398" t="n">
        <f aca="false">IF(A83="N/A"," ",C83*B83)</f>
        <v>34.7932427844405</v>
      </c>
      <c r="E83" s="396" t="n">
        <f aca="false">IF(A83="N/A"," ",IF(ISERROR(O83),E71*Pwresc,O83)*VLOOKUP(MONTH(A83),Curveadj,3))</f>
        <v>22.2900009155273</v>
      </c>
      <c r="F83" s="398" t="n">
        <f aca="false">IF(A83="N/A"," ",E83*C83)</f>
        <v>24.1289259910584</v>
      </c>
      <c r="G83" s="396" t="n">
        <f aca="false">IF(A83="N/A"," ",IF(ISERROR(P83),G71*Pwresc,P83)*VLOOKUP(MONTH(A83),Curveadj,3))</f>
        <v>14.7900009155273</v>
      </c>
      <c r="H83" s="398" t="n">
        <f aca="false">IF(A83="N/A"," ",G83*C83)</f>
        <v>16.0101759910584</v>
      </c>
      <c r="I83" s="398" t="n">
        <f aca="false">IF(A83="N/A"," ",IF(ISERROR(Q83),I71*Pwresc,Q83))</f>
        <v>18.0400009155273</v>
      </c>
      <c r="J83" s="398"/>
      <c r="K83" s="399"/>
      <c r="L83" s="399"/>
      <c r="M83" s="404"/>
      <c r="N83" s="401" t="n">
        <f aca="false">IF(A83="N/A"," ",VLOOKUP(A83,PeakPowerCurves,(IF(BMO3=2,3,IF(BMO3=1,2,4))),FALSE()))</f>
        <v>32.1415637731552</v>
      </c>
      <c r="O83" s="401" t="n">
        <f aca="false">IF(A83="N/A"," ",VLOOKUP(A83,SatSunPeakPwr,(IF(BMO3=2,3,IF(BMO3=1,2,4))),FALSE()))</f>
        <v>22.2900009155273</v>
      </c>
      <c r="P83" s="401" t="n">
        <f aca="false">IF(A83="N/A"," ",VLOOKUP(A83,SatSunPeakPwr,(IF(BMO3=2,7,IF(BMO3=1,6,8))),FALSE()))</f>
        <v>14.7900009155273</v>
      </c>
      <c r="Q83" s="402" t="n">
        <f aca="false">IF(A83="N/A"," ",(VLOOKUP(A83,OPPowerPrices,(IF(BMO3=2,7,IF(BMO3=1,6,8))),FALSE())))</f>
        <v>18.0400009155273</v>
      </c>
      <c r="R83" s="403" t="e">
        <f aca="false">IF(A83="N/A"," ",(VLOOKUP($A83,IRTable,2)))</f>
        <v>#N/A</v>
      </c>
      <c r="AF83" s="352" t="n">
        <v>38961</v>
      </c>
      <c r="AG83" s="311" t="n">
        <v>20</v>
      </c>
      <c r="AH83" s="311" t="n">
        <v>5</v>
      </c>
      <c r="AI83" s="311" t="n">
        <v>5</v>
      </c>
      <c r="AJ83" s="311" t="n">
        <v>1</v>
      </c>
      <c r="AK83" s="311" t="n">
        <v>30</v>
      </c>
      <c r="AU83" s="406"/>
    </row>
    <row r="84" customFormat="false" ht="12.75" hidden="false" customHeight="false" outlineLevel="0" collapsed="false">
      <c r="A84" s="352" t="n">
        <f aca="false">Option3!A51</f>
        <v>38687</v>
      </c>
      <c r="B84" s="396" t="n">
        <f aca="false">IF(A84="N/A"," ",IF(ISERROR(N84),B72*Pwresc,N84)*VLOOKUP(MONTH(A84),Curveadj,3))</f>
        <v>32.2415622472763</v>
      </c>
      <c r="C84" s="397" t="n">
        <f aca="false">IF(A84="N/A"," ",(IF(AND(Scaler3=1,MONTH(A84)&gt;=6,MONTH(A84)&lt;=8,OR($M$37="REGION 2",$M$37="REGION 2A",$M$37="REGION 2B",$M$37="REGION 3",$M$37="REGION 3A",$M$37="REGION 3B",$M$37="REGION 3C",$M$37="REGION 4",$M$37="REGION 4B",$M$37="REGION 4C",$M$37="REGION 5",$M$37="REGION 5A")),((0.059228/(B84/100))-(0.4980013/(SQRT(B84/100)))+2.137988),HLOOKUP(MONTH(A84),ScalarTable,28))))</f>
        <v>1.02125</v>
      </c>
      <c r="D84" s="398" t="n">
        <f aca="false">IF(A84="N/A"," ",C84*B84)</f>
        <v>32.9266954450309</v>
      </c>
      <c r="E84" s="396" t="n">
        <f aca="false">IF(A84="N/A"," ",IF(ISERROR(O84),E72*Pwresc,O84)*VLOOKUP(MONTH(A84),Curveadj,3))</f>
        <v>27.2900009155273</v>
      </c>
      <c r="F84" s="398" t="n">
        <f aca="false">IF(A84="N/A"," ",E84*C84)</f>
        <v>27.8699134349823</v>
      </c>
      <c r="G84" s="396" t="n">
        <f aca="false">IF(A84="N/A"," ",IF(ISERROR(P84),G72*Pwresc,P84)*VLOOKUP(MONTH(A84),Curveadj,3))</f>
        <v>21.7900009155273</v>
      </c>
      <c r="H84" s="398" t="n">
        <f aca="false">IF(A84="N/A"," ",G84*C84)</f>
        <v>22.2530384349823</v>
      </c>
      <c r="I84" s="398" t="n">
        <f aca="false">IF(A84="N/A"," ",IF(ISERROR(Q84),I72*Pwresc,Q84))</f>
        <v>20.2900009155273</v>
      </c>
      <c r="J84" s="398"/>
      <c r="K84" s="399"/>
      <c r="L84" s="399"/>
      <c r="M84" s="404"/>
      <c r="N84" s="401" t="n">
        <f aca="false">IF(A84="N/A"," ",VLOOKUP(A84,PeakPowerCurves,(IF(BMO3=2,3,IF(BMO3=1,2,4))),FALSE()))</f>
        <v>32.2415622472763</v>
      </c>
      <c r="O84" s="401" t="n">
        <f aca="false">IF(A84="N/A"," ",VLOOKUP(A84,SatSunPeakPwr,(IF(BMO3=2,3,IF(BMO3=1,2,4))),FALSE()))</f>
        <v>27.2900009155273</v>
      </c>
      <c r="P84" s="401" t="n">
        <f aca="false">IF(A84="N/A"," ",VLOOKUP(A84,SatSunPeakPwr,(IF(BMO3=2,7,IF(BMO3=1,6,8))),FALSE()))</f>
        <v>21.7900009155273</v>
      </c>
      <c r="Q84" s="402" t="n">
        <f aca="false">IF(A84="N/A"," ",(VLOOKUP(A84,OPPowerPrices,(IF(BMO3=2,7,IF(BMO3=1,6,8))),FALSE())))</f>
        <v>20.2900009155273</v>
      </c>
      <c r="R84" s="403" t="e">
        <f aca="false">IF(A84="N/A"," ",(VLOOKUP($A84,IRTable,2)))</f>
        <v>#N/A</v>
      </c>
      <c r="AF84" s="352" t="n">
        <v>38991</v>
      </c>
      <c r="AG84" s="311" t="n">
        <v>22</v>
      </c>
      <c r="AH84" s="311" t="n">
        <v>4</v>
      </c>
      <c r="AI84" s="311" t="n">
        <v>5</v>
      </c>
      <c r="AJ84" s="311" t="n">
        <v>0</v>
      </c>
      <c r="AK84" s="311" t="n">
        <v>31</v>
      </c>
      <c r="AU84" s="406"/>
    </row>
    <row r="85" customFormat="false" ht="12.75" hidden="false" customHeight="false" outlineLevel="0" collapsed="false">
      <c r="A85" s="352" t="n">
        <f aca="false">Option3!A52</f>
        <v>38718</v>
      </c>
      <c r="B85" s="396" t="n">
        <f aca="false">IF(A85="N/A"," ",IF(ISERROR(N85),B73*Pwresc,N85)*VLOOKUP(MONTH(A85),Curveadj,3))</f>
        <v>35.1157172066825</v>
      </c>
      <c r="C85" s="397" t="n">
        <f aca="false">IF(A85="N/A"," ",(IF(AND(Scaler3=1,MONTH(A85)&gt;=6,MONTH(A85)&lt;=8,OR($M$37="REGION 2",$M$37="REGION 2A",$M$37="REGION 2B",$M$37="REGION 3",$M$37="REGION 3A",$M$37="REGION 3B",$M$37="REGION 3C",$M$37="REGION 4",$M$37="REGION 4B",$M$37="REGION 4C",$M$37="REGION 5",$M$37="REGION 5A")),((0.059228/(B85/100))-(0.4980013/(SQRT(B85/100)))+2.137988),HLOOKUP(MONTH(A85),ScalarTable,28))))</f>
        <v>1.02007383501259</v>
      </c>
      <c r="D85" s="398" t="n">
        <f aca="false">IF(A85="N/A"," ",C85*B85)</f>
        <v>35.8206243202383</v>
      </c>
      <c r="E85" s="396" t="n">
        <f aca="false">IF(A85="N/A"," ",IF(ISERROR(O85),E73*Pwresc,O85)*VLOOKUP(MONTH(A85),Curveadj,3))</f>
        <v>35.75</v>
      </c>
      <c r="F85" s="398" t="n">
        <f aca="false">IF(A85="N/A"," ",E85*C85)</f>
        <v>36.4676396017003</v>
      </c>
      <c r="G85" s="396" t="n">
        <f aca="false">IF(A85="N/A"," ",IF(ISERROR(P85),G73*Pwresc,P85)*VLOOKUP(MONTH(A85),Curveadj,3))</f>
        <v>25.25</v>
      </c>
      <c r="H85" s="398" t="n">
        <f aca="false">IF(A85="N/A"," ",G85*C85)</f>
        <v>25.756864334068</v>
      </c>
      <c r="I85" s="398" t="n">
        <f aca="false">IF(A85="N/A"," ",IF(ISERROR(Q85),I73*Pwresc,Q85))</f>
        <v>22.5</v>
      </c>
      <c r="J85" s="398"/>
      <c r="K85" s="399"/>
      <c r="L85" s="399"/>
      <c r="M85" s="404"/>
      <c r="N85" s="401" t="n">
        <f aca="false">IF(A85="N/A"," ",VLOOKUP(A85,PeakPowerCurves,(IF(BMO3=2,3,IF(BMO3=1,2,4))),FALSE()))</f>
        <v>35.1157172066825</v>
      </c>
      <c r="O85" s="401" t="n">
        <f aca="false">IF(A85="N/A"," ",VLOOKUP(A85,SatSunPeakPwr,(IF(BMO3=2,3,IF(BMO3=1,2,4))),FALSE()))</f>
        <v>35.75</v>
      </c>
      <c r="P85" s="401" t="n">
        <f aca="false">IF(A85="N/A"," ",VLOOKUP(A85,SatSunPeakPwr,(IF(BMO3=2,7,IF(BMO3=1,6,8))),FALSE()))</f>
        <v>25.25</v>
      </c>
      <c r="Q85" s="402" t="n">
        <f aca="false">IF(A85="N/A"," ",(VLOOKUP(A85,OPPowerPrices,(IF(BMO3=2,7,IF(BMO3=1,6,8))),FALSE())))</f>
        <v>22.5</v>
      </c>
      <c r="R85" s="403" t="e">
        <f aca="false">IF(A85="N/A"," ",(VLOOKUP($A85,IRTable,2)))</f>
        <v>#N/A</v>
      </c>
      <c r="AF85" s="352" t="n">
        <v>39022</v>
      </c>
      <c r="AG85" s="311" t="n">
        <v>21</v>
      </c>
      <c r="AH85" s="311" t="n">
        <v>4</v>
      </c>
      <c r="AI85" s="311" t="n">
        <v>5</v>
      </c>
      <c r="AJ85" s="311" t="n">
        <v>1</v>
      </c>
      <c r="AK85" s="311" t="n">
        <v>30</v>
      </c>
      <c r="AU85" s="406"/>
    </row>
    <row r="86" customFormat="false" ht="12.75" hidden="false" customHeight="false" outlineLevel="0" collapsed="false">
      <c r="A86" s="352" t="n">
        <f aca="false">Option3!A53</f>
        <v>38749</v>
      </c>
      <c r="B86" s="396" t="n">
        <f aca="false">IF(A86="N/A"," ",IF(ISERROR(N86),B74*Pwresc,N86)*VLOOKUP(MONTH(A86),Curveadj,3))</f>
        <v>34.5157149178641</v>
      </c>
      <c r="C86" s="397" t="n">
        <f aca="false">IF(A86="N/A"," ",(IF(AND(Scaler3=1,MONTH(A86)&gt;=6,MONTH(A86)&lt;=8,OR($M$37="REGION 2",$M$37="REGION 2A",$M$37="REGION 2B",$M$37="REGION 3",$M$37="REGION 3A",$M$37="REGION 3B",$M$37="REGION 3C",$M$37="REGION 4",$M$37="REGION 4B",$M$37="REGION 4C",$M$37="REGION 5",$M$37="REGION 5A")),((0.059228/(B86/100))-(0.4980013/(SQRT(B86/100)))+2.137988),HLOOKUP(MONTH(A86),ScalarTable,28))))</f>
        <v>1.02007383501259</v>
      </c>
      <c r="D86" s="398" t="n">
        <f aca="false">IF(A86="N/A"," ",C86*B86)</f>
        <v>35.2085776844671</v>
      </c>
      <c r="E86" s="396" t="n">
        <f aca="false">IF(A86="N/A"," ",IF(ISERROR(O86),E74*Pwresc,O86)*VLOOKUP(MONTH(A86),Curveadj,3))</f>
        <v>31.2460021972656</v>
      </c>
      <c r="F86" s="398" t="n">
        <f aca="false">IF(A86="N/A"," ",E86*C86)</f>
        <v>31.8732292901767</v>
      </c>
      <c r="G86" s="396" t="n">
        <f aca="false">IF(A86="N/A"," ",IF(ISERROR(P86),G74*Pwresc,P86)*VLOOKUP(MONTH(A86),Curveadj,3))</f>
        <v>22.7465019226074</v>
      </c>
      <c r="H86" s="398" t="n">
        <f aca="false">IF(A86="N/A"," ",G86*C86)</f>
        <v>23.2031114493155</v>
      </c>
      <c r="I86" s="398" t="n">
        <f aca="false">IF(A86="N/A"," ",IF(ISERROR(Q86),I74*Pwresc,Q86))</f>
        <v>21</v>
      </c>
      <c r="J86" s="398"/>
      <c r="K86" s="399"/>
      <c r="L86" s="399"/>
      <c r="M86" s="404"/>
      <c r="N86" s="401" t="n">
        <f aca="false">IF(A86="N/A"," ",VLOOKUP(A86,PeakPowerCurves,(IF(BMO3=2,3,IF(BMO3=1,2,4))),FALSE()))</f>
        <v>34.5157149178641</v>
      </c>
      <c r="O86" s="401" t="n">
        <f aca="false">IF(A86="N/A"," ",VLOOKUP(A86,SatSunPeakPwr,(IF(BMO3=2,3,IF(BMO3=1,2,4))),FALSE()))</f>
        <v>31.2460021972656</v>
      </c>
      <c r="P86" s="401" t="n">
        <f aca="false">IF(A86="N/A"," ",VLOOKUP(A86,SatSunPeakPwr,(IF(BMO3=2,7,IF(BMO3=1,6,8))),FALSE()))</f>
        <v>22.7465019226074</v>
      </c>
      <c r="Q86" s="402" t="n">
        <f aca="false">IF(A86="N/A"," ",(VLOOKUP(A86,OPPowerPrices,(IF(BMO3=2,7,IF(BMO3=1,6,8))),FALSE())))</f>
        <v>21</v>
      </c>
      <c r="R86" s="403" t="e">
        <f aca="false">IF(A86="N/A"," ",(VLOOKUP($A86,IRTable,2)))</f>
        <v>#N/A</v>
      </c>
      <c r="AF86" s="352" t="n">
        <v>39052</v>
      </c>
      <c r="AG86" s="311" t="n">
        <v>20</v>
      </c>
      <c r="AH86" s="311" t="n">
        <v>5</v>
      </c>
      <c r="AI86" s="311" t="n">
        <v>6</v>
      </c>
      <c r="AJ86" s="311" t="n">
        <v>1</v>
      </c>
      <c r="AK86" s="311" t="n">
        <v>31</v>
      </c>
      <c r="AU86" s="406"/>
    </row>
    <row r="87" customFormat="false" ht="12.75" hidden="false" customHeight="false" outlineLevel="0" collapsed="false">
      <c r="A87" s="352" t="n">
        <f aca="false">Option3!A54</f>
        <v>38777</v>
      </c>
      <c r="B87" s="396" t="n">
        <f aca="false">IF(A87="N/A"," ",IF(ISERROR(N87),B75*Pwresc,N87)*VLOOKUP(MONTH(A87),Curveadj,3))</f>
        <v>33.2276797627294</v>
      </c>
      <c r="C87" s="397" t="n">
        <f aca="false">IF(A87="N/A"," ",(IF(AND(Scaler3=1,MONTH(A87)&gt;=6,MONTH(A87)&lt;=8,OR($M$37="REGION 2",$M$37="REGION 2A",$M$37="REGION 2B",$M$37="REGION 3",$M$37="REGION 3A",$M$37="REGION 3B",$M$37="REGION 3C",$M$37="REGION 4",$M$37="REGION 4B",$M$37="REGION 4C",$M$37="REGION 5",$M$37="REGION 5A")),((0.059228/(B87/100))-(0.4980013/(SQRT(B87/100)))+2.137988),HLOOKUP(MONTH(A87),ScalarTable,28))))</f>
        <v>1.0173448699422</v>
      </c>
      <c r="D87" s="398" t="n">
        <f aca="false">IF(A87="N/A"," ",C87*B87)</f>
        <v>33.8040095466949</v>
      </c>
      <c r="E87" s="396" t="n">
        <f aca="false">IF(A87="N/A"," ",IF(ISERROR(O87),E75*Pwresc,O87)*VLOOKUP(MONTH(A87),Curveadj,3))</f>
        <v>25.5</v>
      </c>
      <c r="F87" s="398" t="n">
        <f aca="false">IF(A87="N/A"," ",E87*C87)</f>
        <v>25.942294183526</v>
      </c>
      <c r="G87" s="396" t="n">
        <f aca="false">IF(A87="N/A"," ",IF(ISERROR(P87),G75*Pwresc,P87)*VLOOKUP(MONTH(A87),Curveadj,3))</f>
        <v>20</v>
      </c>
      <c r="H87" s="398" t="n">
        <f aca="false">IF(A87="N/A"," ",G87*C87)</f>
        <v>20.3468973988439</v>
      </c>
      <c r="I87" s="398" t="n">
        <f aca="false">IF(A87="N/A"," ",IF(ISERROR(Q87),I75*Pwresc,Q87))</f>
        <v>22</v>
      </c>
      <c r="J87" s="398"/>
      <c r="K87" s="399"/>
      <c r="L87" s="399"/>
      <c r="M87" s="404"/>
      <c r="N87" s="401" t="n">
        <f aca="false">IF(A87="N/A"," ",VLOOKUP(A87,PeakPowerCurves,(IF(BMO3=2,3,IF(BMO3=1,2,4))),FALSE()))</f>
        <v>33.2276797627294</v>
      </c>
      <c r="O87" s="401" t="n">
        <f aca="false">IF(A87="N/A"," ",VLOOKUP(A87,SatSunPeakPwr,(IF(BMO3=2,3,IF(BMO3=1,2,4))),FALSE()))</f>
        <v>25.5</v>
      </c>
      <c r="P87" s="401" t="n">
        <f aca="false">IF(A87="N/A"," ",VLOOKUP(A87,SatSunPeakPwr,(IF(BMO3=2,7,IF(BMO3=1,6,8))),FALSE()))</f>
        <v>20</v>
      </c>
      <c r="Q87" s="402" t="n">
        <f aca="false">IF(A87="N/A"," ",(VLOOKUP(A87,OPPowerPrices,(IF(BMO3=2,7,IF(BMO3=1,6,8))),FALSE())))</f>
        <v>22</v>
      </c>
      <c r="R87" s="403" t="e">
        <f aca="false">IF(A87="N/A"," ",(VLOOKUP($A87,IRTable,2)))</f>
        <v>#N/A</v>
      </c>
      <c r="AF87" s="352" t="n">
        <v>39083</v>
      </c>
      <c r="AG87" s="311" t="n">
        <v>22</v>
      </c>
      <c r="AH87" s="311" t="n">
        <v>4</v>
      </c>
      <c r="AI87" s="311" t="n">
        <v>5</v>
      </c>
      <c r="AJ87" s="311" t="n">
        <v>1</v>
      </c>
      <c r="AK87" s="311" t="n">
        <v>31</v>
      </c>
      <c r="AU87" s="406"/>
    </row>
    <row r="88" customFormat="false" ht="12.75" hidden="false" customHeight="false" outlineLevel="0" collapsed="false">
      <c r="A88" s="352" t="n">
        <f aca="false">Option3!A55</f>
        <v>38808</v>
      </c>
      <c r="B88" s="396" t="n">
        <f aca="false">IF(A88="N/A"," ",IF(ISERROR(N88),B76*Pwresc,N88)*VLOOKUP(MONTH(A88),Curveadj,3))</f>
        <v>33.4276805256688</v>
      </c>
      <c r="C88" s="397" t="n">
        <f aca="false">IF(A88="N/A"," ",(IF(AND(Scaler3=1,MONTH(A88)&gt;=6,MONTH(A88)&lt;=8,OR($M$37="REGION 2",$M$37="REGION 2A",$M$37="REGION 2B",$M$37="REGION 3",$M$37="REGION 3A",$M$37="REGION 3B",$M$37="REGION 3C",$M$37="REGION 4",$M$37="REGION 4B",$M$37="REGION 4C",$M$37="REGION 5",$M$37="REGION 5A")),((0.059228/(B88/100))-(0.4980013/(SQRT(B88/100)))+2.137988),HLOOKUP(MONTH(A88),ScalarTable,28))))</f>
        <v>1.005</v>
      </c>
      <c r="D88" s="398" t="n">
        <f aca="false">IF(A88="N/A"," ",C88*B88)</f>
        <v>33.5948189282972</v>
      </c>
      <c r="E88" s="396" t="n">
        <f aca="false">IF(A88="N/A"," ",IF(ISERROR(O88),E76*Pwresc,O88)*VLOOKUP(MONTH(A88),Curveadj,3))</f>
        <v>22</v>
      </c>
      <c r="F88" s="398" t="n">
        <f aca="false">IF(A88="N/A"," ",E88*C88)</f>
        <v>22.11</v>
      </c>
      <c r="G88" s="396" t="n">
        <f aca="false">IF(A88="N/A"," ",IF(ISERROR(P88),G76*Pwresc,P88)*VLOOKUP(MONTH(A88),Curveadj,3))</f>
        <v>16.4950008392334</v>
      </c>
      <c r="H88" s="398" t="n">
        <f aca="false">IF(A88="N/A"," ",G88*C88)</f>
        <v>16.5774758434296</v>
      </c>
      <c r="I88" s="398" t="n">
        <f aca="false">IF(A88="N/A"," ",IF(ISERROR(Q88),I76*Pwresc,Q88))</f>
        <v>19</v>
      </c>
      <c r="J88" s="398"/>
      <c r="K88" s="399"/>
      <c r="L88" s="399"/>
      <c r="M88" s="404"/>
      <c r="N88" s="401" t="n">
        <f aca="false">IF(A88="N/A"," ",VLOOKUP(A88,PeakPowerCurves,(IF(BMO3=2,3,IF(BMO3=1,2,4))),FALSE()))</f>
        <v>33.4276805256688</v>
      </c>
      <c r="O88" s="401" t="n">
        <f aca="false">IF(A88="N/A"," ",VLOOKUP(A88,SatSunPeakPwr,(IF(BMO3=2,3,IF(BMO3=1,2,4))),FALSE()))</f>
        <v>22</v>
      </c>
      <c r="P88" s="401" t="n">
        <f aca="false">IF(A88="N/A"," ",VLOOKUP(A88,SatSunPeakPwr,(IF(BMO3=2,7,IF(BMO3=1,6,8))),FALSE()))</f>
        <v>16.4950008392334</v>
      </c>
      <c r="Q88" s="402" t="n">
        <f aca="false">IF(A88="N/A"," ",(VLOOKUP(A88,OPPowerPrices,(IF(BMO3=2,7,IF(BMO3=1,6,8))),FALSE())))</f>
        <v>19</v>
      </c>
      <c r="R88" s="403" t="e">
        <f aca="false">IF(A88="N/A"," ",(VLOOKUP($A88,IRTable,2)))</f>
        <v>#N/A</v>
      </c>
      <c r="AF88" s="352" t="n">
        <v>39114</v>
      </c>
      <c r="AG88" s="311" t="n">
        <v>20</v>
      </c>
      <c r="AH88" s="311" t="n">
        <v>4</v>
      </c>
      <c r="AI88" s="311" t="n">
        <v>4</v>
      </c>
      <c r="AJ88" s="311" t="n">
        <v>0</v>
      </c>
      <c r="AK88" s="311" t="n">
        <v>28</v>
      </c>
      <c r="AU88" s="406"/>
    </row>
    <row r="89" customFormat="false" ht="12.75" hidden="false" customHeight="false" outlineLevel="0" collapsed="false">
      <c r="A89" s="352" t="n">
        <f aca="false">Option3!A56</f>
        <v>38838</v>
      </c>
      <c r="B89" s="396" t="n">
        <f aca="false">IF(A89="N/A"," ",IF(ISERROR(N89),B77*Pwresc,N89)*VLOOKUP(MONTH(A89),Curveadj,3))</f>
        <v>36.7050018310547</v>
      </c>
      <c r="C89" s="397" t="n">
        <f aca="false">IF(A89="N/A"," ",(IF(AND(Scaler3=1,MONTH(A89)&gt;=6,MONTH(A89)&lt;=8,OR($M$37="REGION 2",$M$37="REGION 2A",$M$37="REGION 2B",$M$37="REGION 3",$M$37="REGION 3A",$M$37="REGION 3B",$M$37="REGION 3C",$M$37="REGION 4",$M$37="REGION 4B",$M$37="REGION 4C",$M$37="REGION 5",$M$37="REGION 5A")),((0.059228/(B89/100))-(0.4980013/(SQRT(B89/100)))+2.137988),HLOOKUP(MONTH(A89),ScalarTable,28))))</f>
        <v>1.075625</v>
      </c>
      <c r="D89" s="398" t="n">
        <f aca="false">IF(A89="N/A"," ",C89*B89)</f>
        <v>39.4808175945282</v>
      </c>
      <c r="E89" s="396" t="n">
        <f aca="false">IF(A89="N/A"," ",IF(ISERROR(O89),E77*Pwresc,O89)*VLOOKUP(MONTH(A89),Curveadj,3))</f>
        <v>22.2900009155273</v>
      </c>
      <c r="F89" s="398" t="n">
        <f aca="false">IF(A89="N/A"," ",E89*C89)</f>
        <v>23.9756822347641</v>
      </c>
      <c r="G89" s="396" t="n">
        <f aca="false">IF(A89="N/A"," ",IF(ISERROR(P89),G77*Pwresc,P89)*VLOOKUP(MONTH(A89),Curveadj,3))</f>
        <v>15.7950000762939</v>
      </c>
      <c r="H89" s="398" t="n">
        <f aca="false">IF(A89="N/A"," ",G89*C89)</f>
        <v>16.9894969570637</v>
      </c>
      <c r="I89" s="398" t="n">
        <f aca="false">IF(A89="N/A"," ",IF(ISERROR(Q89),I77*Pwresc,Q89))</f>
        <v>19.5400009155273</v>
      </c>
      <c r="J89" s="398"/>
      <c r="K89" s="399"/>
      <c r="L89" s="399"/>
      <c r="M89" s="404"/>
      <c r="N89" s="401" t="n">
        <f aca="false">IF(A89="N/A"," ",VLOOKUP(A89,PeakPowerCurves,(IF(BMO3=2,3,IF(BMO3=1,2,4))),FALSE()))</f>
        <v>36.7050018310547</v>
      </c>
      <c r="O89" s="401" t="n">
        <f aca="false">IF(A89="N/A"," ",VLOOKUP(A89,SatSunPeakPwr,(IF(BMO3=2,3,IF(BMO3=1,2,4))),FALSE()))</f>
        <v>22.2900009155273</v>
      </c>
      <c r="P89" s="401" t="n">
        <f aca="false">IF(A89="N/A"," ",VLOOKUP(A89,SatSunPeakPwr,(IF(BMO3=2,7,IF(BMO3=1,6,8))),FALSE()))</f>
        <v>15.7950000762939</v>
      </c>
      <c r="Q89" s="402" t="n">
        <f aca="false">IF(A89="N/A"," ",(VLOOKUP(A89,OPPowerPrices,(IF(BMO3=2,7,IF(BMO3=1,6,8))),FALSE())))</f>
        <v>19.5400009155273</v>
      </c>
      <c r="R89" s="403" t="e">
        <f aca="false">IF(A89="N/A"," ",(VLOOKUP($A89,IRTable,2)))</f>
        <v>#N/A</v>
      </c>
      <c r="AF89" s="352" t="n">
        <v>39142</v>
      </c>
      <c r="AG89" s="311" t="n">
        <v>22</v>
      </c>
      <c r="AH89" s="311" t="n">
        <v>5</v>
      </c>
      <c r="AI89" s="311" t="n">
        <v>4</v>
      </c>
      <c r="AJ89" s="311" t="n">
        <v>0</v>
      </c>
      <c r="AK89" s="311" t="n">
        <v>31</v>
      </c>
      <c r="AU89" s="406"/>
    </row>
    <row r="90" customFormat="false" ht="12.75" hidden="false" customHeight="false" outlineLevel="0" collapsed="false">
      <c r="A90" s="352" t="n">
        <f aca="false">Option3!A57</f>
        <v>38869</v>
      </c>
      <c r="B90" s="396" t="n">
        <f aca="false">IF(A90="N/A"," ",IF(ISERROR(N90),B78*Pwresc,N90)*VLOOKUP(MONTH(A90),Curveadj,3))</f>
        <v>42.6250038146973</v>
      </c>
      <c r="C90" s="397" t="n">
        <f aca="false">IF(A90="N/A"," ",(IF(AND(Scaler3=1,MONTH(A90)&gt;=6,MONTH(A90)&lt;=8,OR($M$37="REGION 2",$M$37="REGION 2A",$M$37="REGION 2B",$M$37="REGION 3",$M$37="REGION 3A",$M$37="REGION 3B",$M$37="REGION 3C",$M$37="REGION 4",$M$37="REGION 4B",$M$37="REGION 4C",$M$37="REGION 5",$M$37="REGION 5A")),((0.059228/(B90/100))-(0.4980013/(SQRT(B90/100)))+2.137988),HLOOKUP(MONTH(A90),ScalarTable,28))))</f>
        <v>1.53</v>
      </c>
      <c r="D90" s="398" t="n">
        <f aca="false">IF(A90="N/A"," ",C90*B90)</f>
        <v>65.2162558364868</v>
      </c>
      <c r="E90" s="396" t="n">
        <f aca="false">IF(A90="N/A"," ",IF(ISERROR(O90),E78*Pwresc,O90)*VLOOKUP(MONTH(A90),Curveadj,3))</f>
        <v>29.2900009155273</v>
      </c>
      <c r="F90" s="398" t="n">
        <f aca="false">IF(A90="N/A"," ",E90*C90)</f>
        <v>44.8137014007568</v>
      </c>
      <c r="G90" s="396" t="n">
        <f aca="false">IF(A90="N/A"," ",IF(ISERROR(P90),G78*Pwresc,P90)*VLOOKUP(MONTH(A90),Curveadj,3))</f>
        <v>19.7900009155273</v>
      </c>
      <c r="H90" s="398" t="n">
        <f aca="false">IF(A90="N/A"," ",G90*C90)</f>
        <v>30.2787014007568</v>
      </c>
      <c r="I90" s="398" t="n">
        <f aca="false">IF(A90="N/A"," ",IF(ISERROR(Q90),I78*Pwresc,Q90))</f>
        <v>22.5400009155273</v>
      </c>
      <c r="J90" s="398"/>
      <c r="K90" s="399"/>
      <c r="L90" s="399"/>
      <c r="M90" s="404"/>
      <c r="N90" s="401" t="n">
        <f aca="false">IF(A90="N/A"," ",VLOOKUP(A90,PeakPowerCurves,(IF(BMO3=2,3,IF(BMO3=1,2,4))),FALSE()))</f>
        <v>42.6250038146973</v>
      </c>
      <c r="O90" s="401" t="n">
        <f aca="false">IF(A90="N/A"," ",VLOOKUP(A90,SatSunPeakPwr,(IF(BMO3=2,3,IF(BMO3=1,2,4))),FALSE()))</f>
        <v>29.2900009155273</v>
      </c>
      <c r="P90" s="401" t="n">
        <f aca="false">IF(A90="N/A"," ",VLOOKUP(A90,SatSunPeakPwr,(IF(BMO3=2,7,IF(BMO3=1,6,8))),FALSE()))</f>
        <v>19.7900009155273</v>
      </c>
      <c r="Q90" s="402" t="n">
        <f aca="false">IF(A90="N/A"," ",(VLOOKUP(A90,OPPowerPrices,(IF(BMO3=2,7,IF(BMO3=1,6,8))),FALSE())))</f>
        <v>22.5400009155273</v>
      </c>
      <c r="R90" s="403" t="e">
        <f aca="false">IF(A90="N/A"," ",(VLOOKUP($A90,IRTable,2)))</f>
        <v>#N/A</v>
      </c>
      <c r="AF90" s="352" t="n">
        <v>39173</v>
      </c>
      <c r="AG90" s="311" t="n">
        <v>21</v>
      </c>
      <c r="AH90" s="311" t="n">
        <v>4</v>
      </c>
      <c r="AI90" s="311" t="n">
        <v>5</v>
      </c>
      <c r="AJ90" s="311" t="n">
        <v>0</v>
      </c>
      <c r="AK90" s="311" t="n">
        <v>30</v>
      </c>
      <c r="AU90" s="406"/>
    </row>
    <row r="91" customFormat="false" ht="12.75" hidden="false" customHeight="false" outlineLevel="0" collapsed="false">
      <c r="A91" s="352" t="n">
        <f aca="false">Option3!A58</f>
        <v>38899</v>
      </c>
      <c r="B91" s="396" t="n">
        <f aca="false">IF(A91="N/A"," ",IF(ISERROR(N91),B79*Pwresc,N91)*VLOOKUP(MONTH(A91),Curveadj,3))</f>
        <v>51.75</v>
      </c>
      <c r="C91" s="397" t="n">
        <f aca="false">IF(A91="N/A"," ",(IF(AND(Scaler3=1,MONTH(A91)&gt;=6,MONTH(A91)&lt;=8,OR($M$37="REGION 2",$M$37="REGION 2A",$M$37="REGION 2B",$M$37="REGION 3",$M$37="REGION 3A",$M$37="REGION 3B",$M$37="REGION 3C",$M$37="REGION 4",$M$37="REGION 4B",$M$37="REGION 4C",$M$37="REGION 5",$M$37="REGION 5A")),((0.059228/(B91/100))-(0.4980013/(SQRT(B91/100)))+2.137988),HLOOKUP(MONTH(A91),ScalarTable,28))))</f>
        <v>1.63</v>
      </c>
      <c r="D91" s="398" t="n">
        <f aca="false">IF(A91="N/A"," ",C91*B91)</f>
        <v>84.3525</v>
      </c>
      <c r="E91" s="396" t="n">
        <f aca="false">IF(A91="N/A"," ",IF(ISERROR(O91),E79*Pwresc,O91)*VLOOKUP(MONTH(A91),Curveadj,3))</f>
        <v>35.2900009155273</v>
      </c>
      <c r="F91" s="398" t="n">
        <f aca="false">IF(A91="N/A"," ",E91*C91)</f>
        <v>57.5227014923096</v>
      </c>
      <c r="G91" s="396" t="n">
        <f aca="false">IF(A91="N/A"," ",IF(ISERROR(P91),G79*Pwresc,P91)*VLOOKUP(MONTH(A91),Curveadj,3))</f>
        <v>25.7900009155273</v>
      </c>
      <c r="H91" s="398" t="n">
        <f aca="false">IF(A91="N/A"," ",G91*C91)</f>
        <v>42.0377014923096</v>
      </c>
      <c r="I91" s="398" t="n">
        <f aca="false">IF(A91="N/A"," ",IF(ISERROR(Q91),I79*Pwresc,Q91))</f>
        <v>23.0400009155273</v>
      </c>
      <c r="J91" s="398"/>
      <c r="K91" s="399"/>
      <c r="L91" s="399"/>
      <c r="M91" s="404"/>
      <c r="N91" s="401" t="n">
        <f aca="false">IF(A91="N/A"," ",VLOOKUP(A91,PeakPowerCurves,(IF(BMO3=2,3,IF(BMO3=1,2,4))),FALSE()))</f>
        <v>51.75</v>
      </c>
      <c r="O91" s="401" t="n">
        <f aca="false">IF(A91="N/A"," ",VLOOKUP(A91,SatSunPeakPwr,(IF(BMO3=2,3,IF(BMO3=1,2,4))),FALSE()))</f>
        <v>35.2900009155273</v>
      </c>
      <c r="P91" s="401" t="n">
        <f aca="false">IF(A91="N/A"," ",VLOOKUP(A91,SatSunPeakPwr,(IF(BMO3=2,7,IF(BMO3=1,6,8))),FALSE()))</f>
        <v>25.7900009155273</v>
      </c>
      <c r="Q91" s="402" t="n">
        <f aca="false">IF(A91="N/A"," ",(VLOOKUP(A91,OPPowerPrices,(IF(BMO3=2,7,IF(BMO3=1,6,8))),FALSE())))</f>
        <v>23.0400009155273</v>
      </c>
      <c r="R91" s="403" t="e">
        <f aca="false">IF(A91="N/A"," ",(VLOOKUP($A91,IRTable,2)))</f>
        <v>#N/A</v>
      </c>
      <c r="AF91" s="352" t="n">
        <v>39203</v>
      </c>
      <c r="AG91" s="311" t="n">
        <v>22</v>
      </c>
      <c r="AH91" s="311" t="n">
        <v>4</v>
      </c>
      <c r="AI91" s="311" t="n">
        <v>5</v>
      </c>
      <c r="AJ91" s="311" t="n">
        <v>1</v>
      </c>
      <c r="AK91" s="311" t="n">
        <v>31</v>
      </c>
      <c r="AU91" s="406"/>
    </row>
    <row r="92" customFormat="false" ht="12.75" hidden="false" customHeight="false" outlineLevel="0" collapsed="false">
      <c r="A92" s="352" t="n">
        <f aca="false">Option3!A59</f>
        <v>38930</v>
      </c>
      <c r="B92" s="396" t="n">
        <f aca="false">IF(A92="N/A"," ",IF(ISERROR(N92),B80*Pwresc,N92)*VLOOKUP(MONTH(A92),Curveadj,3))</f>
        <v>51.75</v>
      </c>
      <c r="C92" s="397" t="n">
        <f aca="false">IF(A92="N/A"," ",(IF(AND(Scaler3=1,MONTH(A92)&gt;=6,MONTH(A92)&lt;=8,OR($M$37="REGION 2",$M$37="REGION 2A",$M$37="REGION 2B",$M$37="REGION 3",$M$37="REGION 3A",$M$37="REGION 3B",$M$37="REGION 3C",$M$37="REGION 4",$M$37="REGION 4B",$M$37="REGION 4C",$M$37="REGION 5",$M$37="REGION 5A")),((0.059228/(B92/100))-(0.4980013/(SQRT(B92/100)))+2.137988),HLOOKUP(MONTH(A92),ScalarTable,28))))</f>
        <v>1.63</v>
      </c>
      <c r="D92" s="398" t="n">
        <f aca="false">IF(A92="N/A"," ",C92*B92)</f>
        <v>84.3525</v>
      </c>
      <c r="E92" s="396" t="n">
        <f aca="false">IF(A92="N/A"," ",IF(ISERROR(O92),E80*Pwresc,O92)*VLOOKUP(MONTH(A92),Curveadj,3))</f>
        <v>33.2900047302246</v>
      </c>
      <c r="F92" s="398" t="n">
        <f aca="false">IF(A92="N/A"," ",E92*C92)</f>
        <v>54.2627077102661</v>
      </c>
      <c r="G92" s="396" t="n">
        <f aca="false">IF(A92="N/A"," ",IF(ISERROR(P92),G80*Pwresc,P92)*VLOOKUP(MONTH(A92),Curveadj,3))</f>
        <v>25.7900009155273</v>
      </c>
      <c r="H92" s="398" t="n">
        <f aca="false">IF(A92="N/A"," ",G92*C92)</f>
        <v>42.0377014923096</v>
      </c>
      <c r="I92" s="398" t="n">
        <f aca="false">IF(A92="N/A"," ",IF(ISERROR(Q92),I80*Pwresc,Q92))</f>
        <v>24.0400009155273</v>
      </c>
      <c r="J92" s="398"/>
      <c r="K92" s="399"/>
      <c r="L92" s="399"/>
      <c r="M92" s="404"/>
      <c r="N92" s="401" t="n">
        <f aca="false">IF(A92="N/A"," ",VLOOKUP(A92,PeakPowerCurves,(IF(BMO3=2,3,IF(BMO3=1,2,4))),FALSE()))</f>
        <v>51.75</v>
      </c>
      <c r="O92" s="401" t="n">
        <f aca="false">IF(A92="N/A"," ",VLOOKUP(A92,SatSunPeakPwr,(IF(BMO3=2,3,IF(BMO3=1,2,4))),FALSE()))</f>
        <v>33.2900047302246</v>
      </c>
      <c r="P92" s="401" t="n">
        <f aca="false">IF(A92="N/A"," ",VLOOKUP(A92,SatSunPeakPwr,(IF(BMO3=2,7,IF(BMO3=1,6,8))),FALSE()))</f>
        <v>25.7900009155273</v>
      </c>
      <c r="Q92" s="402" t="n">
        <f aca="false">IF(A92="N/A"," ",(VLOOKUP(A92,OPPowerPrices,(IF(BMO3=2,7,IF(BMO3=1,6,8))),FALSE())))</f>
        <v>24.0400009155273</v>
      </c>
      <c r="R92" s="403" t="e">
        <f aca="false">IF(A92="N/A"," ",(VLOOKUP($A92,IRTable,2)))</f>
        <v>#N/A</v>
      </c>
      <c r="AF92" s="352" t="n">
        <v>39234</v>
      </c>
      <c r="AG92" s="311" t="n">
        <v>21</v>
      </c>
      <c r="AH92" s="311" t="n">
        <v>5</v>
      </c>
      <c r="AI92" s="311" t="n">
        <v>4</v>
      </c>
      <c r="AJ92" s="311" t="n">
        <v>0</v>
      </c>
      <c r="AK92" s="311" t="n">
        <v>30</v>
      </c>
      <c r="AU92" s="406"/>
    </row>
    <row r="93" customFormat="false" ht="12.75" hidden="false" customHeight="false" outlineLevel="0" collapsed="false">
      <c r="A93" s="352" t="n">
        <f aca="false">Option3!A60</f>
        <v>38961</v>
      </c>
      <c r="B93" s="396" t="n">
        <f aca="false">IF(A93="N/A"," ",IF(ISERROR(N93),B81*Pwresc,N93)*VLOOKUP(MONTH(A93),Curveadj,3))</f>
        <v>30.8299999237061</v>
      </c>
      <c r="C93" s="397" t="n">
        <f aca="false">IF(A93="N/A"," ",(IF(AND(Scaler3=1,MONTH(A93)&gt;=6,MONTH(A93)&lt;=8,OR($M$37="REGION 2",$M$37="REGION 2A",$M$37="REGION 2B",$M$37="REGION 3",$M$37="REGION 3A",$M$37="REGION 3B",$M$37="REGION 3C",$M$37="REGION 4",$M$37="REGION 4B",$M$37="REGION 4C",$M$37="REGION 5",$M$37="REGION 5A")),((0.059228/(B93/100))-(0.4980013/(SQRT(B93/100)))+2.137988),HLOOKUP(MONTH(A93),ScalarTable,28))))</f>
        <v>1.35125</v>
      </c>
      <c r="D93" s="398" t="n">
        <f aca="false">IF(A93="N/A"," ",C93*B93)</f>
        <v>41.6590373969078</v>
      </c>
      <c r="E93" s="396" t="n">
        <f aca="false">IF(A93="N/A"," ",IF(ISERROR(O93),E81*Pwresc,O93)*VLOOKUP(MONTH(A93),Curveadj,3))</f>
        <v>25.2900009155273</v>
      </c>
      <c r="F93" s="398" t="n">
        <f aca="false">IF(A93="N/A"," ",E93*C93)</f>
        <v>34.1731137371063</v>
      </c>
      <c r="G93" s="396" t="n">
        <f aca="false">IF(A93="N/A"," ",IF(ISERROR(P93),G81*Pwresc,P93)*VLOOKUP(MONTH(A93),Curveadj,3))</f>
        <v>19.7900009155273</v>
      </c>
      <c r="H93" s="398" t="n">
        <f aca="false">IF(A93="N/A"," ",G93*C93)</f>
        <v>26.7412387371063</v>
      </c>
      <c r="I93" s="398" t="n">
        <f aca="false">IF(A93="N/A"," ",IF(ISERROR(Q93),I81*Pwresc,Q93))</f>
        <v>18.0400009155273</v>
      </c>
      <c r="J93" s="398"/>
      <c r="K93" s="399"/>
      <c r="L93" s="399"/>
      <c r="M93" s="404"/>
      <c r="N93" s="401" t="n">
        <f aca="false">IF(A93="N/A"," ",VLOOKUP(A93,PeakPowerCurves,(IF(BMO3=2,3,IF(BMO3=1,2,4))),FALSE()))</f>
        <v>30.8299999237061</v>
      </c>
      <c r="O93" s="401" t="n">
        <f aca="false">IF(A93="N/A"," ",VLOOKUP(A93,SatSunPeakPwr,(IF(BMO3=2,3,IF(BMO3=1,2,4))),FALSE()))</f>
        <v>25.2900009155273</v>
      </c>
      <c r="P93" s="401" t="n">
        <f aca="false">IF(A93="N/A"," ",VLOOKUP(A93,SatSunPeakPwr,(IF(BMO3=2,7,IF(BMO3=1,6,8))),FALSE()))</f>
        <v>19.7900009155273</v>
      </c>
      <c r="Q93" s="402" t="n">
        <f aca="false">IF(A93="N/A"," ",(VLOOKUP(A93,OPPowerPrices,(IF(BMO3=2,7,IF(BMO3=1,6,8))),FALSE())))</f>
        <v>18.0400009155273</v>
      </c>
      <c r="R93" s="403" t="e">
        <f aca="false">IF(A93="N/A"," ",(VLOOKUP($A93,IRTable,2)))</f>
        <v>#N/A</v>
      </c>
      <c r="AF93" s="352" t="n">
        <v>39264</v>
      </c>
      <c r="AG93" s="311" t="n">
        <v>21</v>
      </c>
      <c r="AH93" s="311" t="n">
        <v>4</v>
      </c>
      <c r="AI93" s="311" t="n">
        <v>6</v>
      </c>
      <c r="AJ93" s="311" t="n">
        <v>1</v>
      </c>
      <c r="AK93" s="311" t="n">
        <v>31</v>
      </c>
      <c r="AU93" s="406"/>
    </row>
    <row r="94" customFormat="false" ht="12.75" hidden="false" customHeight="false" outlineLevel="0" collapsed="false">
      <c r="A94" s="352" t="n">
        <f aca="false">Option3!A61</f>
        <v>38991</v>
      </c>
      <c r="B94" s="396" t="n">
        <f aca="false">IF(A94="N/A"," ",IF(ISERROR(N94),B82*Pwresc,N94)*VLOOKUP(MONTH(A94),Curveadj,3))</f>
        <v>31.9815639257431</v>
      </c>
      <c r="C94" s="397" t="n">
        <f aca="false">IF(A94="N/A"," ",(IF(AND(Scaler3=1,MONTH(A94)&gt;=6,MONTH(A94)&lt;=8,OR($M$37="REGION 2",$M$37="REGION 2A",$M$37="REGION 2B",$M$37="REGION 3",$M$37="REGION 3A",$M$37="REGION 3B",$M$37="REGION 3C",$M$37="REGION 4",$M$37="REGION 4B",$M$37="REGION 4C",$M$37="REGION 5",$M$37="REGION 5A")),((0.059228/(B94/100))-(0.4980013/(SQRT(B94/100)))+2.137988),HLOOKUP(MONTH(A94),ScalarTable,28))))</f>
        <v>1.005</v>
      </c>
      <c r="D94" s="398" t="n">
        <f aca="false">IF(A94="N/A"," ",C94*B94)</f>
        <v>32.1414717453718</v>
      </c>
      <c r="E94" s="396" t="n">
        <f aca="false">IF(A94="N/A"," ",IF(ISERROR(O94),E82*Pwresc,O94)*VLOOKUP(MONTH(A94),Curveadj,3))</f>
        <v>20.2860012054443</v>
      </c>
      <c r="F94" s="398" t="n">
        <f aca="false">IF(A94="N/A"," ",E94*C94)</f>
        <v>20.3874312114716</v>
      </c>
      <c r="G94" s="396" t="n">
        <f aca="false">IF(A94="N/A"," ",IF(ISERROR(P94),G82*Pwresc,P94)*VLOOKUP(MONTH(A94),Curveadj,3))</f>
        <v>14.7865009307861</v>
      </c>
      <c r="H94" s="398" t="n">
        <f aca="false">IF(A94="N/A"," ",G94*C94)</f>
        <v>14.8604334354401</v>
      </c>
      <c r="I94" s="398" t="n">
        <f aca="false">IF(A94="N/A"," ",IF(ISERROR(Q94),I82*Pwresc,Q94))</f>
        <v>17.540002822876</v>
      </c>
      <c r="J94" s="398"/>
      <c r="K94" s="399"/>
      <c r="L94" s="399"/>
      <c r="M94" s="404"/>
      <c r="N94" s="401" t="n">
        <f aca="false">IF(A94="N/A"," ",VLOOKUP(A94,PeakPowerCurves,(IF(BMO3=2,3,IF(BMO3=1,2,4))),FALSE()))</f>
        <v>31.9815639257431</v>
      </c>
      <c r="O94" s="401" t="n">
        <f aca="false">IF(A94="N/A"," ",VLOOKUP(A94,SatSunPeakPwr,(IF(BMO3=2,3,IF(BMO3=1,2,4))),FALSE()))</f>
        <v>20.2860012054443</v>
      </c>
      <c r="P94" s="401" t="n">
        <f aca="false">IF(A94="N/A"," ",VLOOKUP(A94,SatSunPeakPwr,(IF(BMO3=2,7,IF(BMO3=1,6,8))),FALSE()))</f>
        <v>14.7865009307861</v>
      </c>
      <c r="Q94" s="402" t="n">
        <f aca="false">IF(A94="N/A"," ",(VLOOKUP(A94,OPPowerPrices,(IF(BMO3=2,7,IF(BMO3=1,6,8))),FALSE())))</f>
        <v>17.540002822876</v>
      </c>
      <c r="R94" s="403" t="e">
        <f aca="false">IF(A94="N/A"," ",(VLOOKUP($A94,IRTable,2)))</f>
        <v>#N/A</v>
      </c>
      <c r="AF94" s="352" t="n">
        <v>39295</v>
      </c>
      <c r="AG94" s="311" t="n">
        <v>23</v>
      </c>
      <c r="AH94" s="311" t="n">
        <v>4</v>
      </c>
      <c r="AI94" s="311" t="n">
        <v>4</v>
      </c>
      <c r="AJ94" s="311" t="n">
        <v>0</v>
      </c>
      <c r="AK94" s="311" t="n">
        <v>31</v>
      </c>
      <c r="AU94" s="406"/>
    </row>
    <row r="95" customFormat="false" ht="12.75" hidden="false" customHeight="false" outlineLevel="0" collapsed="false">
      <c r="A95" s="352" t="n">
        <f aca="false">Option3!A62</f>
        <v>39022</v>
      </c>
      <c r="B95" s="396" t="n">
        <f aca="false">IF(A95="N/A"," ",IF(ISERROR(N95),B83*Pwresc,N95)*VLOOKUP(MONTH(A95),Curveadj,3))</f>
        <v>32.0815623998642</v>
      </c>
      <c r="C95" s="397" t="n">
        <f aca="false">IF(A95="N/A"," ",(IF(AND(Scaler3=1,MONTH(A95)&gt;=6,MONTH(A95)&lt;=8,OR($M$37="REGION 2",$M$37="REGION 2A",$M$37="REGION 2B",$M$37="REGION 3",$M$37="REGION 3A",$M$37="REGION 3B",$M$37="REGION 3C",$M$37="REGION 4",$M$37="REGION 4B",$M$37="REGION 4C",$M$37="REGION 5",$M$37="REGION 5A")),((0.059228/(B95/100))-(0.4980013/(SQRT(B95/100)))+2.137988),HLOOKUP(MONTH(A95),ScalarTable,28))))</f>
        <v>1.0825</v>
      </c>
      <c r="D95" s="398" t="n">
        <f aca="false">IF(A95="N/A"," ",C95*B95)</f>
        <v>34.728291297853</v>
      </c>
      <c r="E95" s="396" t="n">
        <f aca="false">IF(A95="N/A"," ",IF(ISERROR(O95),E83*Pwresc,O95)*VLOOKUP(MONTH(A95),Curveadj,3))</f>
        <v>22.2900009155273</v>
      </c>
      <c r="F95" s="398" t="n">
        <f aca="false">IF(A95="N/A"," ",E95*C95)</f>
        <v>24.1289259910584</v>
      </c>
      <c r="G95" s="396" t="n">
        <f aca="false">IF(A95="N/A"," ",IF(ISERROR(P95),G83*Pwresc,P95)*VLOOKUP(MONTH(A95),Curveadj,3))</f>
        <v>14.7900009155273</v>
      </c>
      <c r="H95" s="398" t="n">
        <f aca="false">IF(A95="N/A"," ",G95*C95)</f>
        <v>16.0101759910584</v>
      </c>
      <c r="I95" s="398" t="n">
        <f aca="false">IF(A95="N/A"," ",IF(ISERROR(Q95),I83*Pwresc,Q95))</f>
        <v>18.5400009155273</v>
      </c>
      <c r="J95" s="398"/>
      <c r="K95" s="399"/>
      <c r="L95" s="399"/>
      <c r="M95" s="404"/>
      <c r="N95" s="401" t="n">
        <f aca="false">IF(A95="N/A"," ",VLOOKUP(A95,PeakPowerCurves,(IF(BMO3=2,3,IF(BMO3=1,2,4))),FALSE()))</f>
        <v>32.0815623998642</v>
      </c>
      <c r="O95" s="401" t="n">
        <f aca="false">IF(A95="N/A"," ",VLOOKUP(A95,SatSunPeakPwr,(IF(BMO3=2,3,IF(BMO3=1,2,4))),FALSE()))</f>
        <v>22.2900009155273</v>
      </c>
      <c r="P95" s="401" t="n">
        <f aca="false">IF(A95="N/A"," ",VLOOKUP(A95,SatSunPeakPwr,(IF(BMO3=2,7,IF(BMO3=1,6,8))),FALSE()))</f>
        <v>14.7900009155273</v>
      </c>
      <c r="Q95" s="402" t="n">
        <f aca="false">IF(A95="N/A"," ",(VLOOKUP(A95,OPPowerPrices,(IF(BMO3=2,7,IF(BMO3=1,6,8))),FALSE())))</f>
        <v>18.5400009155273</v>
      </c>
      <c r="R95" s="403" t="e">
        <f aca="false">IF(A95="N/A"," ",(VLOOKUP($A95,IRTable,2)))</f>
        <v>#N/A</v>
      </c>
      <c r="AF95" s="352" t="n">
        <v>39326</v>
      </c>
      <c r="AG95" s="311" t="n">
        <v>19</v>
      </c>
      <c r="AH95" s="311" t="n">
        <v>5</v>
      </c>
      <c r="AI95" s="311" t="n">
        <v>6</v>
      </c>
      <c r="AJ95" s="311" t="n">
        <v>1</v>
      </c>
      <c r="AK95" s="311" t="n">
        <v>30</v>
      </c>
      <c r="AU95" s="406"/>
    </row>
    <row r="96" customFormat="false" ht="12.75" hidden="false" customHeight="false" outlineLevel="0" collapsed="false">
      <c r="A96" s="352" t="n">
        <f aca="false">Option3!A63</f>
        <v>39052</v>
      </c>
      <c r="B96" s="396" t="n">
        <f aca="false">IF(A96="N/A"," ",IF(ISERROR(N96),B84*Pwresc,N96)*VLOOKUP(MONTH(A96),Curveadj,3))</f>
        <v>32.1815608739853</v>
      </c>
      <c r="C96" s="397" t="n">
        <f aca="false">IF(A96="N/A"," ",(IF(AND(Scaler3=1,MONTH(A96)&gt;=6,MONTH(A96)&lt;=8,OR($M$37="REGION 2",$M$37="REGION 2A",$M$37="REGION 2B",$M$37="REGION 3",$M$37="REGION 3A",$M$37="REGION 3B",$M$37="REGION 3C",$M$37="REGION 4",$M$37="REGION 4B",$M$37="REGION 4C",$M$37="REGION 5",$M$37="REGION 5A")),((0.059228/(B96/100))-(0.4980013/(SQRT(B96/100)))+2.137988),HLOOKUP(MONTH(A96),ScalarTable,28))))</f>
        <v>1.02125</v>
      </c>
      <c r="D96" s="398" t="n">
        <f aca="false">IF(A96="N/A"," ",C96*B96)</f>
        <v>32.8654190425575</v>
      </c>
      <c r="E96" s="396" t="n">
        <f aca="false">IF(A96="N/A"," ",IF(ISERROR(O96),E84*Pwresc,O96)*VLOOKUP(MONTH(A96),Curveadj,3))</f>
        <v>27.2900009155273</v>
      </c>
      <c r="F96" s="398" t="n">
        <f aca="false">IF(A96="N/A"," ",E96*C96)</f>
        <v>27.8699134349823</v>
      </c>
      <c r="G96" s="396" t="n">
        <f aca="false">IF(A96="N/A"," ",IF(ISERROR(P96),G84*Pwresc,P96)*VLOOKUP(MONTH(A96),Curveadj,3))</f>
        <v>21.7900009155273</v>
      </c>
      <c r="H96" s="398" t="n">
        <f aca="false">IF(A96="N/A"," ",G96*C96)</f>
        <v>22.2530384349823</v>
      </c>
      <c r="I96" s="398" t="n">
        <f aca="false">IF(A96="N/A"," ",IF(ISERROR(Q96),I84*Pwresc,Q96))</f>
        <v>20.7900009155273</v>
      </c>
      <c r="J96" s="398"/>
      <c r="K96" s="399"/>
      <c r="L96" s="399"/>
      <c r="M96" s="404"/>
      <c r="N96" s="401" t="n">
        <f aca="false">IF(A96="N/A"," ",VLOOKUP(A96,PeakPowerCurves,(IF(BMO3=2,3,IF(BMO3=1,2,4))),FALSE()))</f>
        <v>32.1815608739853</v>
      </c>
      <c r="O96" s="401" t="n">
        <f aca="false">IF(A96="N/A"," ",VLOOKUP(A96,SatSunPeakPwr,(IF(BMO3=2,3,IF(BMO3=1,2,4))),FALSE()))</f>
        <v>27.2900009155273</v>
      </c>
      <c r="P96" s="401" t="n">
        <f aca="false">IF(A96="N/A"," ",VLOOKUP(A96,SatSunPeakPwr,(IF(BMO3=2,7,IF(BMO3=1,6,8))),FALSE()))</f>
        <v>21.7900009155273</v>
      </c>
      <c r="Q96" s="402" t="n">
        <f aca="false">IF(A96="N/A"," ",(VLOOKUP(A96,OPPowerPrices,(IF(BMO3=2,7,IF(BMO3=1,6,8))),FALSE())))</f>
        <v>20.7900009155273</v>
      </c>
      <c r="R96" s="403" t="e">
        <f aca="false">IF(A96="N/A"," ",(VLOOKUP($A96,IRTable,2)))</f>
        <v>#N/A</v>
      </c>
      <c r="AF96" s="352" t="n">
        <v>39356</v>
      </c>
      <c r="AG96" s="311" t="n">
        <v>23</v>
      </c>
      <c r="AH96" s="311" t="n">
        <v>4</v>
      </c>
      <c r="AI96" s="311" t="n">
        <v>4</v>
      </c>
      <c r="AJ96" s="311" t="n">
        <v>0</v>
      </c>
      <c r="AK96" s="311" t="n">
        <v>31</v>
      </c>
      <c r="AU96" s="406"/>
    </row>
    <row r="97" customFormat="false" ht="12.75" hidden="false" customHeight="false" outlineLevel="0" collapsed="false">
      <c r="A97" s="352" t="str">
        <f aca="false">Option3!A64</f>
        <v>N/A</v>
      </c>
      <c r="B97" s="396" t="str">
        <f aca="false">IF(A97="N/A"," ",IF(ISERROR(N97),B85*Pwresc,N97)*VLOOKUP(MONTH(A97),Curveadj,3))</f>
        <v> </v>
      </c>
      <c r="C97" s="397" t="str">
        <f aca="false">IF(A97="N/A"," ",(IF(AND(Scaler3=1,MONTH(A97)&gt;=6,MONTH(A97)&lt;=8,OR($M$37="REGION 2",$M$37="REGION 2A",$M$37="REGION 2B",$M$37="REGION 3",$M$37="REGION 3A",$M$37="REGION 3B",$M$37="REGION 3C",$M$37="REGION 4",$M$37="REGION 4B",$M$37="REGION 4C",$M$37="REGION 5",$M$37="REGION 5A")),((0.059228/(B97/100))-(0.4980013/(SQRT(B97/100)))+2.137988),HLOOKUP(MONTH(A97),ScalarTable,28))))</f>
        <v> </v>
      </c>
      <c r="D97" s="398" t="str">
        <f aca="false">IF(A97="N/A"," ",C97*B97)</f>
        <v> </v>
      </c>
      <c r="E97" s="396" t="str">
        <f aca="false">IF(A97="N/A"," ",IF(ISERROR(O97),E85*Pwresc,O97)*VLOOKUP(MONTH(A97),Curveadj,3))</f>
        <v> </v>
      </c>
      <c r="F97" s="398" t="str">
        <f aca="false">IF(A97="N/A"," ",E97*C97)</f>
        <v> </v>
      </c>
      <c r="G97" s="396" t="str">
        <f aca="false">IF(A97="N/A"," ",IF(ISERROR(P97),G85*Pwresc,P97)*VLOOKUP(MONTH(A97),Curveadj,3))</f>
        <v> </v>
      </c>
      <c r="H97" s="398" t="str">
        <f aca="false">IF(A97="N/A"," ",G97*C97)</f>
        <v> </v>
      </c>
      <c r="I97" s="398" t="str">
        <f aca="false">IF(A97="N/A"," ",IF(ISERROR(Q97),I85*Pwresc,Q97))</f>
        <v> </v>
      </c>
      <c r="J97" s="398"/>
      <c r="K97" s="399"/>
      <c r="L97" s="399"/>
      <c r="M97" s="404"/>
      <c r="N97" s="401" t="str">
        <f aca="false">IF(A97="N/A"," ",VLOOKUP(A97,PeakPowerCurves,(IF(BMO3=2,3,IF(BMO3=1,2,4))),FALSE()))</f>
        <v> </v>
      </c>
      <c r="O97" s="401" t="str">
        <f aca="false">IF(A97="N/A"," ",VLOOKUP(A97,SatSunPeakPwr,(IF(BMO3=2,3,IF(BMO3=1,2,4))),FALSE()))</f>
        <v> </v>
      </c>
      <c r="P97" s="401" t="str">
        <f aca="false">IF(A97="N/A"," ",VLOOKUP(A97,SatSunPeakPwr,(IF(BMO3=2,7,IF(BMO3=1,6,8))),FALSE()))</f>
        <v> </v>
      </c>
      <c r="Q97" s="402" t="str">
        <f aca="false">IF(A97="N/A"," ",(VLOOKUP(A97,OPPowerPrices,(IF(BMO3=2,7,IF(BMO3=1,6,8))),FALSE())))</f>
        <v> </v>
      </c>
      <c r="R97" s="403" t="str">
        <f aca="false">IF(A97="N/A"," ",(VLOOKUP($A97,IRTable,2)))</f>
        <v> </v>
      </c>
      <c r="AF97" s="352" t="n">
        <v>39387</v>
      </c>
      <c r="AG97" s="311" t="n">
        <v>21</v>
      </c>
      <c r="AH97" s="311" t="n">
        <v>4</v>
      </c>
      <c r="AI97" s="311" t="n">
        <v>5</v>
      </c>
      <c r="AJ97" s="311" t="n">
        <v>1</v>
      </c>
      <c r="AK97" s="311" t="n">
        <v>30</v>
      </c>
      <c r="AU97" s="406"/>
    </row>
    <row r="98" customFormat="false" ht="12.75" hidden="false" customHeight="false" outlineLevel="0" collapsed="false">
      <c r="A98" s="352" t="str">
        <f aca="false">Option3!A65</f>
        <v>N/A</v>
      </c>
      <c r="B98" s="396" t="str">
        <f aca="false">IF(A98="N/A"," ",IF(ISERROR(N98),B86*Pwresc,N98)*VLOOKUP(MONTH(A98),Curveadj,3))</f>
        <v> </v>
      </c>
      <c r="C98" s="397" t="str">
        <f aca="false">IF(A98="N/A"," ",(IF(AND(Scaler3=1,MONTH(A98)&gt;=6,MONTH(A98)&lt;=8,OR($M$37="REGION 2",$M$37="REGION 2A",$M$37="REGION 2B",$M$37="REGION 3",$M$37="REGION 3A",$M$37="REGION 3B",$M$37="REGION 3C",$M$37="REGION 4",$M$37="REGION 4B",$M$37="REGION 4C",$M$37="REGION 5",$M$37="REGION 5A")),((0.059228/(B98/100))-(0.4980013/(SQRT(B98/100)))+2.137988),HLOOKUP(MONTH(A98),ScalarTable,28))))</f>
        <v> </v>
      </c>
      <c r="D98" s="398" t="str">
        <f aca="false">IF(A98="N/A"," ",C98*B98)</f>
        <v> </v>
      </c>
      <c r="E98" s="396" t="str">
        <f aca="false">IF(A98="N/A"," ",IF(ISERROR(O98),E86*Pwresc,O98)*VLOOKUP(MONTH(A98),Curveadj,3))</f>
        <v> </v>
      </c>
      <c r="F98" s="398" t="str">
        <f aca="false">IF(A98="N/A"," ",E98*C98)</f>
        <v> </v>
      </c>
      <c r="G98" s="396" t="str">
        <f aca="false">IF(A98="N/A"," ",IF(ISERROR(P98),G86*Pwresc,P98)*VLOOKUP(MONTH(A98),Curveadj,3))</f>
        <v> </v>
      </c>
      <c r="H98" s="398" t="str">
        <f aca="false">IF(A98="N/A"," ",G98*C98)</f>
        <v> </v>
      </c>
      <c r="I98" s="398" t="str">
        <f aca="false">IF(A98="N/A"," ",IF(ISERROR(Q98),I86*Pwresc,Q98))</f>
        <v> </v>
      </c>
      <c r="J98" s="398"/>
      <c r="K98" s="399"/>
      <c r="L98" s="399"/>
      <c r="M98" s="404"/>
      <c r="N98" s="401" t="str">
        <f aca="false">IF(A98="N/A"," ",VLOOKUP(A98,PeakPowerCurves,(IF(BMO3=2,3,IF(BMO3=1,2,4))),FALSE()))</f>
        <v> </v>
      </c>
      <c r="O98" s="401" t="str">
        <f aca="false">IF(A98="N/A"," ",VLOOKUP(A98,SatSunPeakPwr,(IF(BMO3=2,3,IF(BMO3=1,2,4))),FALSE()))</f>
        <v> </v>
      </c>
      <c r="P98" s="401" t="str">
        <f aca="false">IF(A98="N/A"," ",VLOOKUP(A98,SatSunPeakPwr,(IF(BMO3=2,7,IF(BMO3=1,6,8))),FALSE()))</f>
        <v> </v>
      </c>
      <c r="Q98" s="402" t="str">
        <f aca="false">IF(A98="N/A"," ",(VLOOKUP(A98,OPPowerPrices,(IF(BMO3=2,7,IF(BMO3=1,6,8))),FALSE())))</f>
        <v> </v>
      </c>
      <c r="R98" s="403" t="str">
        <f aca="false">IF(A98="N/A"," ",(VLOOKUP($A98,IRTable,2)))</f>
        <v> </v>
      </c>
      <c r="AF98" s="352" t="n">
        <v>39417</v>
      </c>
      <c r="AG98" s="311" t="n">
        <v>20</v>
      </c>
      <c r="AH98" s="311" t="n">
        <v>5</v>
      </c>
      <c r="AI98" s="311" t="n">
        <v>6</v>
      </c>
      <c r="AJ98" s="311" t="n">
        <v>1</v>
      </c>
      <c r="AK98" s="311" t="n">
        <v>31</v>
      </c>
      <c r="AU98" s="406"/>
    </row>
    <row r="99" customFormat="false" ht="12.75" hidden="false" customHeight="false" outlineLevel="0" collapsed="false">
      <c r="A99" s="352" t="str">
        <f aca="false">Option3!A66</f>
        <v>N/A</v>
      </c>
      <c r="B99" s="396" t="str">
        <f aca="false">IF(A99="N/A"," ",IF(ISERROR(N99),B87*Pwresc,N99)*VLOOKUP(MONTH(A99),Curveadj,3))</f>
        <v> </v>
      </c>
      <c r="C99" s="397" t="str">
        <f aca="false">IF(A99="N/A"," ",(IF(AND(Scaler3=1,MONTH(A99)&gt;=6,MONTH(A99)&lt;=8,OR($M$37="REGION 2",$M$37="REGION 2A",$M$37="REGION 2B",$M$37="REGION 3",$M$37="REGION 3A",$M$37="REGION 3B",$M$37="REGION 3C",$M$37="REGION 4",$M$37="REGION 4B",$M$37="REGION 4C",$M$37="REGION 5",$M$37="REGION 5A")),((0.059228/(B99/100))-(0.4980013/(SQRT(B99/100)))+2.137988),HLOOKUP(MONTH(A99),ScalarTable,28))))</f>
        <v> </v>
      </c>
      <c r="D99" s="398" t="str">
        <f aca="false">IF(A99="N/A"," ",C99*B99)</f>
        <v> </v>
      </c>
      <c r="E99" s="396" t="str">
        <f aca="false">IF(A99="N/A"," ",IF(ISERROR(O99),E87*Pwresc,O99)*VLOOKUP(MONTH(A99),Curveadj,3))</f>
        <v> </v>
      </c>
      <c r="F99" s="398" t="str">
        <f aca="false">IF(A99="N/A"," ",E99*C99)</f>
        <v> </v>
      </c>
      <c r="G99" s="396" t="str">
        <f aca="false">IF(A99="N/A"," ",IF(ISERROR(P99),G87*Pwresc,P99)*VLOOKUP(MONTH(A99),Curveadj,3))</f>
        <v> </v>
      </c>
      <c r="H99" s="398" t="str">
        <f aca="false">IF(A99="N/A"," ",G99*C99)</f>
        <v> </v>
      </c>
      <c r="I99" s="398" t="str">
        <f aca="false">IF(A99="N/A"," ",IF(ISERROR(Q99),I87*Pwresc,Q99))</f>
        <v> </v>
      </c>
      <c r="J99" s="398"/>
      <c r="K99" s="399"/>
      <c r="L99" s="399"/>
      <c r="M99" s="404"/>
      <c r="N99" s="401" t="str">
        <f aca="false">IF(A99="N/A"," ",VLOOKUP(A99,PeakPowerCurves,(IF(BMO3=2,3,IF(BMO3=1,2,4))),FALSE()))</f>
        <v> </v>
      </c>
      <c r="O99" s="401" t="str">
        <f aca="false">IF(A99="N/A"," ",VLOOKUP(A99,SatSunPeakPwr,(IF(BMO3=2,3,IF(BMO3=1,2,4))),FALSE()))</f>
        <v> </v>
      </c>
      <c r="P99" s="401" t="str">
        <f aca="false">IF(A99="N/A"," ",VLOOKUP(A99,SatSunPeakPwr,(IF(BMO3=2,7,IF(BMO3=1,6,8))),FALSE()))</f>
        <v> </v>
      </c>
      <c r="Q99" s="402" t="str">
        <f aca="false">IF(A99="N/A"," ",(VLOOKUP(A99,OPPowerPrices,(IF(BMO3=2,7,IF(BMO3=1,6,8))),FALSE())))</f>
        <v> </v>
      </c>
      <c r="R99" s="403" t="str">
        <f aca="false">IF(A99="N/A"," ",(VLOOKUP($A99,IRTable,2)))</f>
        <v> </v>
      </c>
      <c r="AF99" s="352" t="n">
        <v>39448</v>
      </c>
      <c r="AG99" s="311" t="n">
        <v>22</v>
      </c>
      <c r="AH99" s="311" t="n">
        <v>4</v>
      </c>
      <c r="AI99" s="311" t="n">
        <v>5</v>
      </c>
      <c r="AJ99" s="311" t="n">
        <v>1</v>
      </c>
      <c r="AK99" s="311" t="n">
        <v>31</v>
      </c>
      <c r="AU99" s="406"/>
    </row>
    <row r="100" customFormat="false" ht="12.75" hidden="false" customHeight="false" outlineLevel="0" collapsed="false">
      <c r="A100" s="352" t="str">
        <f aca="false">Option3!A67</f>
        <v>N/A</v>
      </c>
      <c r="B100" s="396" t="str">
        <f aca="false">IF(A100="N/A"," ",IF(ISERROR(N100),B88*Pwresc,N100)*VLOOKUP(MONTH(A100),Curveadj,3))</f>
        <v> </v>
      </c>
      <c r="C100" s="397" t="str">
        <f aca="false">IF(A100="N/A"," ",(IF(AND(Scaler3=1,MONTH(A100)&gt;=6,MONTH(A100)&lt;=8,OR($M$37="REGION 2",$M$37="REGION 2A",$M$37="REGION 2B",$M$37="REGION 3",$M$37="REGION 3A",$M$37="REGION 3B",$M$37="REGION 3C",$M$37="REGION 4",$M$37="REGION 4B",$M$37="REGION 4C",$M$37="REGION 5",$M$37="REGION 5A")),((0.059228/(B100/100))-(0.4980013/(SQRT(B100/100)))+2.137988),HLOOKUP(MONTH(A100),ScalarTable,28))))</f>
        <v> </v>
      </c>
      <c r="D100" s="398" t="str">
        <f aca="false">IF(A100="N/A"," ",C100*B100)</f>
        <v> </v>
      </c>
      <c r="E100" s="396" t="str">
        <f aca="false">IF(A100="N/A"," ",IF(ISERROR(O100),E88*Pwresc,O100)*VLOOKUP(MONTH(A100),Curveadj,3))</f>
        <v> </v>
      </c>
      <c r="F100" s="398" t="str">
        <f aca="false">IF(A100="N/A"," ",E100*C100)</f>
        <v> </v>
      </c>
      <c r="G100" s="396" t="str">
        <f aca="false">IF(A100="N/A"," ",IF(ISERROR(P100),G88*Pwresc,P100)*VLOOKUP(MONTH(A100),Curveadj,3))</f>
        <v> </v>
      </c>
      <c r="H100" s="398" t="str">
        <f aca="false">IF(A100="N/A"," ",G100*C100)</f>
        <v> </v>
      </c>
      <c r="I100" s="398" t="str">
        <f aca="false">IF(A100="N/A"," ",IF(ISERROR(Q100),I88*Pwresc,Q100))</f>
        <v> </v>
      </c>
      <c r="J100" s="398"/>
      <c r="K100" s="399"/>
      <c r="L100" s="399"/>
      <c r="M100" s="404"/>
      <c r="N100" s="401" t="str">
        <f aca="false">IF(A100="N/A"," ",VLOOKUP(A100,PeakPowerCurves,(IF(BMO3=2,3,IF(BMO3=1,2,4))),FALSE()))</f>
        <v> </v>
      </c>
      <c r="O100" s="401" t="str">
        <f aca="false">IF(A100="N/A"," ",VLOOKUP(A100,SatSunPeakPwr,(IF(BMO3=2,3,IF(BMO3=1,2,4))),FALSE()))</f>
        <v> </v>
      </c>
      <c r="P100" s="401" t="str">
        <f aca="false">IF(A100="N/A"," ",VLOOKUP(A100,SatSunPeakPwr,(IF(BMO3=2,7,IF(BMO3=1,6,8))),FALSE()))</f>
        <v> </v>
      </c>
      <c r="Q100" s="402" t="str">
        <f aca="false">IF(A100="N/A"," ",(VLOOKUP(A100,OPPowerPrices,(IF(BMO3=2,7,IF(BMO3=1,6,8))),FALSE())))</f>
        <v> </v>
      </c>
      <c r="R100" s="403" t="str">
        <f aca="false">IF(A100="N/A"," ",(VLOOKUP($A100,IRTable,2)))</f>
        <v> </v>
      </c>
      <c r="AF100" s="352" t="n">
        <v>39479</v>
      </c>
      <c r="AG100" s="311" t="n">
        <v>21</v>
      </c>
      <c r="AH100" s="311" t="n">
        <v>4</v>
      </c>
      <c r="AI100" s="311" t="n">
        <v>4</v>
      </c>
      <c r="AJ100" s="311" t="n">
        <v>0</v>
      </c>
      <c r="AK100" s="311" t="n">
        <v>29</v>
      </c>
      <c r="AU100" s="406"/>
    </row>
    <row r="101" customFormat="false" ht="12.75" hidden="false" customHeight="false" outlineLevel="0" collapsed="false">
      <c r="A101" s="352" t="str">
        <f aca="false">Option3!A68</f>
        <v>N/A</v>
      </c>
      <c r="B101" s="396" t="str">
        <f aca="false">IF(A101="N/A"," ",IF(ISERROR(N101),B89*Pwresc,N101)*VLOOKUP(MONTH(A101),Curveadj,3))</f>
        <v> </v>
      </c>
      <c r="C101" s="397" t="str">
        <f aca="false">IF(A101="N/A"," ",(IF(AND(Scaler3=1,MONTH(A101)&gt;=6,MONTH(A101)&lt;=8,OR($M$37="REGION 2",$M$37="REGION 2A",$M$37="REGION 2B",$M$37="REGION 3",$M$37="REGION 3A",$M$37="REGION 3B",$M$37="REGION 3C",$M$37="REGION 4",$M$37="REGION 4B",$M$37="REGION 4C",$M$37="REGION 5",$M$37="REGION 5A")),((0.059228/(B101/100))-(0.4980013/(SQRT(B101/100)))+2.137988),HLOOKUP(MONTH(A101),ScalarTable,28))))</f>
        <v> </v>
      </c>
      <c r="D101" s="398" t="str">
        <f aca="false">IF(A101="N/A"," ",C101*B101)</f>
        <v> </v>
      </c>
      <c r="E101" s="396" t="str">
        <f aca="false">IF(A101="N/A"," ",IF(ISERROR(O101),E89*Pwresc,O101)*VLOOKUP(MONTH(A101),Curveadj,3))</f>
        <v> </v>
      </c>
      <c r="F101" s="398" t="str">
        <f aca="false">IF(A101="N/A"," ",E101*C101)</f>
        <v> </v>
      </c>
      <c r="G101" s="396" t="str">
        <f aca="false">IF(A101="N/A"," ",IF(ISERROR(P101),G89*Pwresc,P101)*VLOOKUP(MONTH(A101),Curveadj,3))</f>
        <v> </v>
      </c>
      <c r="H101" s="398" t="str">
        <f aca="false">IF(A101="N/A"," ",G101*C101)</f>
        <v> </v>
      </c>
      <c r="I101" s="398" t="str">
        <f aca="false">IF(A101="N/A"," ",IF(ISERROR(Q101),I89*Pwresc,Q101))</f>
        <v> </v>
      </c>
      <c r="J101" s="398"/>
      <c r="K101" s="399"/>
      <c r="L101" s="399"/>
      <c r="M101" s="404"/>
      <c r="N101" s="401" t="str">
        <f aca="false">IF(A101="N/A"," ",VLOOKUP(A101,PeakPowerCurves,(IF(BMO3=2,3,IF(BMO3=1,2,4))),FALSE()))</f>
        <v> </v>
      </c>
      <c r="O101" s="401" t="str">
        <f aca="false">IF(A101="N/A"," ",VLOOKUP(A101,SatSunPeakPwr,(IF(BMO3=2,3,IF(BMO3=1,2,4))),FALSE()))</f>
        <v> </v>
      </c>
      <c r="P101" s="401" t="str">
        <f aca="false">IF(A101="N/A"," ",VLOOKUP(A101,SatSunPeakPwr,(IF(BMO3=2,7,IF(BMO3=1,6,8))),FALSE()))</f>
        <v> </v>
      </c>
      <c r="Q101" s="402" t="str">
        <f aca="false">IF(A101="N/A"," ",(VLOOKUP(A101,OPPowerPrices,(IF(BMO3=2,7,IF(BMO3=1,6,8))),FALSE())))</f>
        <v> </v>
      </c>
      <c r="R101" s="403" t="str">
        <f aca="false">IF(A101="N/A"," ",(VLOOKUP($A101,IRTable,2)))</f>
        <v> </v>
      </c>
      <c r="AF101" s="352" t="n">
        <v>39508</v>
      </c>
      <c r="AG101" s="311" t="n">
        <v>21</v>
      </c>
      <c r="AH101" s="311" t="n">
        <v>5</v>
      </c>
      <c r="AI101" s="311" t="n">
        <v>5</v>
      </c>
      <c r="AJ101" s="311" t="n">
        <v>0</v>
      </c>
      <c r="AK101" s="311" t="n">
        <v>31</v>
      </c>
      <c r="AU101" s="406"/>
    </row>
    <row r="102" customFormat="false" ht="12.75" hidden="false" customHeight="false" outlineLevel="0" collapsed="false">
      <c r="A102" s="352" t="str">
        <f aca="false">Option3!A69</f>
        <v>N/A</v>
      </c>
      <c r="B102" s="396" t="str">
        <f aca="false">IF(A102="N/A"," ",IF(ISERROR(N102),B90*Pwresc,N102)*VLOOKUP(MONTH(A102),Curveadj,3))</f>
        <v> </v>
      </c>
      <c r="C102" s="397" t="str">
        <f aca="false">IF(A102="N/A"," ",(IF(AND(Scaler3=1,MONTH(A102)&gt;=6,MONTH(A102)&lt;=8,OR($M$37="REGION 2",$M$37="REGION 2A",$M$37="REGION 2B",$M$37="REGION 3",$M$37="REGION 3A",$M$37="REGION 3B",$M$37="REGION 3C",$M$37="REGION 4",$M$37="REGION 4B",$M$37="REGION 4C",$M$37="REGION 5",$M$37="REGION 5A")),((0.059228/(B102/100))-(0.4980013/(SQRT(B102/100)))+2.137988),HLOOKUP(MONTH(A102),ScalarTable,28))))</f>
        <v> </v>
      </c>
      <c r="D102" s="398" t="str">
        <f aca="false">IF(A102="N/A"," ",C102*B102)</f>
        <v> </v>
      </c>
      <c r="E102" s="396" t="str">
        <f aca="false">IF(A102="N/A"," ",IF(ISERROR(O102),E90*Pwresc,O102)*VLOOKUP(MONTH(A102),Curveadj,3))</f>
        <v> </v>
      </c>
      <c r="F102" s="398" t="str">
        <f aca="false">IF(A102="N/A"," ",E102*C102)</f>
        <v> </v>
      </c>
      <c r="G102" s="396" t="str">
        <f aca="false">IF(A102="N/A"," ",IF(ISERROR(P102),G90*Pwresc,P102)*VLOOKUP(MONTH(A102),Curveadj,3))</f>
        <v> </v>
      </c>
      <c r="H102" s="398" t="str">
        <f aca="false">IF(A102="N/A"," ",G102*C102)</f>
        <v> </v>
      </c>
      <c r="I102" s="398" t="str">
        <f aca="false">IF(A102="N/A"," ",IF(ISERROR(Q102),I90*Pwresc,Q102))</f>
        <v> </v>
      </c>
      <c r="J102" s="398"/>
      <c r="K102" s="399"/>
      <c r="L102" s="399"/>
      <c r="M102" s="404"/>
      <c r="N102" s="401" t="str">
        <f aca="false">IF(A102="N/A"," ",VLOOKUP(A102,PeakPowerCurves,(IF(BMO3=2,3,IF(BMO3=1,2,4))),FALSE()))</f>
        <v> </v>
      </c>
      <c r="O102" s="401" t="str">
        <f aca="false">IF(A102="N/A"," ",VLOOKUP(A102,SatSunPeakPwr,(IF(BMO3=2,3,IF(BMO3=1,2,4))),FALSE()))</f>
        <v> </v>
      </c>
      <c r="P102" s="401" t="str">
        <f aca="false">IF(A102="N/A"," ",VLOOKUP(A102,SatSunPeakPwr,(IF(BMO3=2,7,IF(BMO3=1,6,8))),FALSE()))</f>
        <v> </v>
      </c>
      <c r="Q102" s="402" t="str">
        <f aca="false">IF(A102="N/A"," ",(VLOOKUP(A102,OPPowerPrices,(IF(BMO3=2,7,IF(BMO3=1,6,8))),FALSE())))</f>
        <v> </v>
      </c>
      <c r="R102" s="403" t="str">
        <f aca="false">IF(A102="N/A"," ",(VLOOKUP($A102,IRTable,2)))</f>
        <v> </v>
      </c>
      <c r="AF102" s="352" t="n">
        <v>39539</v>
      </c>
      <c r="AG102" s="311" t="n">
        <v>22</v>
      </c>
      <c r="AH102" s="311" t="n">
        <v>4</v>
      </c>
      <c r="AI102" s="311" t="n">
        <v>4</v>
      </c>
      <c r="AJ102" s="311" t="n">
        <v>0</v>
      </c>
      <c r="AK102" s="311" t="n">
        <v>30</v>
      </c>
      <c r="AU102" s="406"/>
    </row>
    <row r="103" customFormat="false" ht="12.75" hidden="false" customHeight="false" outlineLevel="0" collapsed="false">
      <c r="A103" s="352" t="str">
        <f aca="false">Option3!A70</f>
        <v>N/A</v>
      </c>
      <c r="B103" s="396" t="str">
        <f aca="false">IF(A103="N/A"," ",IF(ISERROR(N103),B91*Pwresc,N103)*VLOOKUP(MONTH(A103),Curveadj,3))</f>
        <v> </v>
      </c>
      <c r="C103" s="397" t="str">
        <f aca="false">IF(A103="N/A"," ",(IF(AND(Scaler3=1,MONTH(A103)&gt;=6,MONTH(A103)&lt;=8,OR($M$37="REGION 2",$M$37="REGION 2A",$M$37="REGION 2B",$M$37="REGION 3",$M$37="REGION 3A",$M$37="REGION 3B",$M$37="REGION 3C",$M$37="REGION 4",$M$37="REGION 4B",$M$37="REGION 4C",$M$37="REGION 5",$M$37="REGION 5A")),((0.059228/(B103/100))-(0.4980013/(SQRT(B103/100)))+2.137988),HLOOKUP(MONTH(A103),ScalarTable,28))))</f>
        <v> </v>
      </c>
      <c r="D103" s="398" t="str">
        <f aca="false">IF(A103="N/A"," ",C103*B103)</f>
        <v> </v>
      </c>
      <c r="E103" s="396" t="str">
        <f aca="false">IF(A103="N/A"," ",IF(ISERROR(O103),E91*Pwresc,O103)*VLOOKUP(MONTH(A103),Curveadj,3))</f>
        <v> </v>
      </c>
      <c r="F103" s="398" t="str">
        <f aca="false">IF(A103="N/A"," ",E103*C103)</f>
        <v> </v>
      </c>
      <c r="G103" s="396" t="str">
        <f aca="false">IF(A103="N/A"," ",IF(ISERROR(P103),G91*Pwresc,P103)*VLOOKUP(MONTH(A103),Curveadj,3))</f>
        <v> </v>
      </c>
      <c r="H103" s="398" t="str">
        <f aca="false">IF(A103="N/A"," ",G103*C103)</f>
        <v> </v>
      </c>
      <c r="I103" s="398" t="str">
        <f aca="false">IF(A103="N/A"," ",IF(ISERROR(Q103),I91*Pwresc,Q103))</f>
        <v> </v>
      </c>
      <c r="J103" s="398"/>
      <c r="K103" s="399"/>
      <c r="L103" s="399"/>
      <c r="M103" s="404"/>
      <c r="N103" s="401" t="str">
        <f aca="false">IF(A103="N/A"," ",VLOOKUP(A103,PeakPowerCurves,(IF(BMO3=2,3,IF(BMO3=1,2,4))),FALSE()))</f>
        <v> </v>
      </c>
      <c r="O103" s="401" t="str">
        <f aca="false">IF(A103="N/A"," ",VLOOKUP(A103,SatSunPeakPwr,(IF(BMO3=2,3,IF(BMO3=1,2,4))),FALSE()))</f>
        <v> </v>
      </c>
      <c r="P103" s="401" t="str">
        <f aca="false">IF(A103="N/A"," ",VLOOKUP(A103,SatSunPeakPwr,(IF(BMO3=2,7,IF(BMO3=1,6,8))),FALSE()))</f>
        <v> </v>
      </c>
      <c r="Q103" s="402" t="str">
        <f aca="false">IF(A103="N/A"," ",(VLOOKUP(A103,OPPowerPrices,(IF(BMO3=2,7,IF(BMO3=1,6,8))),FALSE())))</f>
        <v> </v>
      </c>
      <c r="R103" s="403" t="str">
        <f aca="false">IF(A103="N/A"," ",(VLOOKUP($A103,IRTable,2)))</f>
        <v> </v>
      </c>
      <c r="AF103" s="352" t="n">
        <v>39569</v>
      </c>
      <c r="AG103" s="311" t="n">
        <v>21</v>
      </c>
      <c r="AH103" s="311" t="n">
        <v>5</v>
      </c>
      <c r="AI103" s="311" t="n">
        <v>5</v>
      </c>
      <c r="AJ103" s="311" t="n">
        <v>1</v>
      </c>
      <c r="AK103" s="311" t="n">
        <v>31</v>
      </c>
      <c r="AU103" s="406"/>
    </row>
    <row r="104" customFormat="false" ht="12.75" hidden="false" customHeight="false" outlineLevel="0" collapsed="false">
      <c r="A104" s="352" t="str">
        <f aca="false">Option3!A71</f>
        <v>N/A</v>
      </c>
      <c r="B104" s="396" t="str">
        <f aca="false">IF(A104="N/A"," ",IF(ISERROR(N104),B92*Pwresc,N104)*VLOOKUP(MONTH(A104),Curveadj,3))</f>
        <v> </v>
      </c>
      <c r="C104" s="397" t="str">
        <f aca="false">IF(A104="N/A"," ",(IF(AND(Scaler3=1,MONTH(A104)&gt;=6,MONTH(A104)&lt;=8,OR($M$37="REGION 2",$M$37="REGION 2A",$M$37="REGION 2B",$M$37="REGION 3",$M$37="REGION 3A",$M$37="REGION 3B",$M$37="REGION 3C",$M$37="REGION 4",$M$37="REGION 4B",$M$37="REGION 4C",$M$37="REGION 5",$M$37="REGION 5A")),((0.059228/(B104/100))-(0.4980013/(SQRT(B104/100)))+2.137988),HLOOKUP(MONTH(A104),ScalarTable,28))))</f>
        <v> </v>
      </c>
      <c r="D104" s="398" t="str">
        <f aca="false">IF(A104="N/A"," ",C104*B104)</f>
        <v> </v>
      </c>
      <c r="E104" s="396" t="str">
        <f aca="false">IF(A104="N/A"," ",IF(ISERROR(O104),E92*Pwresc,O104)*VLOOKUP(MONTH(A104),Curveadj,3))</f>
        <v> </v>
      </c>
      <c r="F104" s="398" t="str">
        <f aca="false">IF(A104="N/A"," ",E104*C104)</f>
        <v> </v>
      </c>
      <c r="G104" s="396" t="str">
        <f aca="false">IF(A104="N/A"," ",IF(ISERROR(P104),G92*Pwresc,P104)*VLOOKUP(MONTH(A104),Curveadj,3))</f>
        <v> </v>
      </c>
      <c r="H104" s="398" t="str">
        <f aca="false">IF(A104="N/A"," ",G104*C104)</f>
        <v> </v>
      </c>
      <c r="I104" s="398" t="str">
        <f aca="false">IF(A104="N/A"," ",IF(ISERROR(Q104),I92*Pwresc,Q104))</f>
        <v> </v>
      </c>
      <c r="J104" s="398"/>
      <c r="K104" s="399"/>
      <c r="L104" s="399"/>
      <c r="M104" s="404"/>
      <c r="N104" s="401" t="str">
        <f aca="false">IF(A104="N/A"," ",VLOOKUP(A104,PeakPowerCurves,(IF(BMO3=2,3,IF(BMO3=1,2,4))),FALSE()))</f>
        <v> </v>
      </c>
      <c r="O104" s="401" t="str">
        <f aca="false">IF(A104="N/A"," ",VLOOKUP(A104,SatSunPeakPwr,(IF(BMO3=2,3,IF(BMO3=1,2,4))),FALSE()))</f>
        <v> </v>
      </c>
      <c r="P104" s="401" t="str">
        <f aca="false">IF(A104="N/A"," ",VLOOKUP(A104,SatSunPeakPwr,(IF(BMO3=2,7,IF(BMO3=1,6,8))),FALSE()))</f>
        <v> </v>
      </c>
      <c r="Q104" s="402" t="str">
        <f aca="false">IF(A104="N/A"," ",(VLOOKUP(A104,OPPowerPrices,(IF(BMO3=2,7,IF(BMO3=1,6,8))),FALSE())))</f>
        <v> </v>
      </c>
      <c r="R104" s="403" t="str">
        <f aca="false">IF(A104="N/A"," ",(VLOOKUP($A104,IRTable,2)))</f>
        <v> </v>
      </c>
      <c r="AF104" s="352" t="n">
        <v>39600</v>
      </c>
      <c r="AG104" s="311" t="n">
        <v>21</v>
      </c>
      <c r="AH104" s="311" t="n">
        <v>4</v>
      </c>
      <c r="AI104" s="311" t="n">
        <v>5</v>
      </c>
      <c r="AJ104" s="311" t="n">
        <v>0</v>
      </c>
      <c r="AK104" s="311" t="n">
        <v>30</v>
      </c>
      <c r="AU104" s="406"/>
    </row>
    <row r="105" customFormat="false" ht="12.75" hidden="false" customHeight="false" outlineLevel="0" collapsed="false">
      <c r="A105" s="352" t="str">
        <f aca="false">Option3!A72</f>
        <v>N/A</v>
      </c>
      <c r="B105" s="396" t="str">
        <f aca="false">IF(A105="N/A"," ",IF(ISERROR(N105),B93*Pwresc,N105)*VLOOKUP(MONTH(A105),Curveadj,3))</f>
        <v> </v>
      </c>
      <c r="C105" s="397" t="str">
        <f aca="false">IF(A105="N/A"," ",(IF(AND(Scaler3=1,MONTH(A105)&gt;=6,MONTH(A105)&lt;=8,OR($M$37="REGION 2",$M$37="REGION 2A",$M$37="REGION 2B",$M$37="REGION 3",$M$37="REGION 3A",$M$37="REGION 3B",$M$37="REGION 3C",$M$37="REGION 4",$M$37="REGION 4B",$M$37="REGION 4C",$M$37="REGION 5",$M$37="REGION 5A")),((0.059228/(B105/100))-(0.4980013/(SQRT(B105/100)))+2.137988),HLOOKUP(MONTH(A105),ScalarTable,28))))</f>
        <v> </v>
      </c>
      <c r="D105" s="398" t="str">
        <f aca="false">IF(A105="N/A"," ",C105*B105)</f>
        <v> </v>
      </c>
      <c r="E105" s="396" t="str">
        <f aca="false">IF(A105="N/A"," ",IF(ISERROR(O105),E93*Pwresc,O105)*VLOOKUP(MONTH(A105),Curveadj,3))</f>
        <v> </v>
      </c>
      <c r="F105" s="398" t="str">
        <f aca="false">IF(A105="N/A"," ",E105*C105)</f>
        <v> </v>
      </c>
      <c r="G105" s="396" t="str">
        <f aca="false">IF(A105="N/A"," ",IF(ISERROR(P105),G93*Pwresc,P105)*VLOOKUP(MONTH(A105),Curveadj,3))</f>
        <v> </v>
      </c>
      <c r="H105" s="398" t="str">
        <f aca="false">IF(A105="N/A"," ",G105*C105)</f>
        <v> </v>
      </c>
      <c r="I105" s="398" t="str">
        <f aca="false">IF(A105="N/A"," ",IF(ISERROR(Q105),I93*Pwresc,Q105))</f>
        <v> </v>
      </c>
      <c r="J105" s="398"/>
      <c r="K105" s="399"/>
      <c r="L105" s="399"/>
      <c r="M105" s="404"/>
      <c r="N105" s="401" t="str">
        <f aca="false">IF(A105="N/A"," ",VLOOKUP(A105,PeakPowerCurves,(IF(BMO3=2,3,IF(BMO3=1,2,4))),FALSE()))</f>
        <v> </v>
      </c>
      <c r="O105" s="401" t="str">
        <f aca="false">IF(A105="N/A"," ",VLOOKUP(A105,SatSunPeakPwr,(IF(BMO3=2,3,IF(BMO3=1,2,4))),FALSE()))</f>
        <v> </v>
      </c>
      <c r="P105" s="401" t="str">
        <f aca="false">IF(A105="N/A"," ",VLOOKUP(A105,SatSunPeakPwr,(IF(BMO3=2,7,IF(BMO3=1,6,8))),FALSE()))</f>
        <v> </v>
      </c>
      <c r="Q105" s="402" t="str">
        <f aca="false">IF(A105="N/A"," ",(VLOOKUP(A105,OPPowerPrices,(IF(BMO3=2,7,IF(BMO3=1,6,8))),FALSE())))</f>
        <v> </v>
      </c>
      <c r="R105" s="403" t="str">
        <f aca="false">IF(A105="N/A"," ",(VLOOKUP($A105,IRTable,2)))</f>
        <v> </v>
      </c>
      <c r="AF105" s="352" t="n">
        <v>39630</v>
      </c>
      <c r="AG105" s="311" t="n">
        <v>22</v>
      </c>
      <c r="AH105" s="311" t="n">
        <v>4</v>
      </c>
      <c r="AI105" s="311" t="n">
        <v>5</v>
      </c>
      <c r="AJ105" s="311" t="n">
        <v>1</v>
      </c>
      <c r="AK105" s="311" t="n">
        <v>31</v>
      </c>
      <c r="AU105" s="406"/>
    </row>
    <row r="106" customFormat="false" ht="12.75" hidden="false" customHeight="false" outlineLevel="0" collapsed="false">
      <c r="A106" s="352" t="str">
        <f aca="false">Option3!A73</f>
        <v>N/A</v>
      </c>
      <c r="B106" s="396" t="str">
        <f aca="false">IF(A106="N/A"," ",IF(ISERROR(N106),B94*Pwresc,N106)*VLOOKUP(MONTH(A106),Curveadj,3))</f>
        <v> </v>
      </c>
      <c r="C106" s="397" t="str">
        <f aca="false">IF(A106="N/A"," ",(IF(AND(Scaler3=1,MONTH(A106)&gt;=6,MONTH(A106)&lt;=8,OR($M$37="REGION 2",$M$37="REGION 2A",$M$37="REGION 2B",$M$37="REGION 3",$M$37="REGION 3A",$M$37="REGION 3B",$M$37="REGION 3C",$M$37="REGION 4",$M$37="REGION 4B",$M$37="REGION 4C",$M$37="REGION 5",$M$37="REGION 5A")),((0.059228/(B106/100))-(0.4980013/(SQRT(B106/100)))+2.137988),HLOOKUP(MONTH(A106),ScalarTable,28))))</f>
        <v> </v>
      </c>
      <c r="D106" s="398" t="str">
        <f aca="false">IF(A106="N/A"," ",C106*B106)</f>
        <v> </v>
      </c>
      <c r="E106" s="396" t="str">
        <f aca="false">IF(A106="N/A"," ",IF(ISERROR(O106),E94*Pwresc,O106)*VLOOKUP(MONTH(A106),Curveadj,3))</f>
        <v> </v>
      </c>
      <c r="F106" s="398" t="str">
        <f aca="false">IF(A106="N/A"," ",E106*C106)</f>
        <v> </v>
      </c>
      <c r="G106" s="396" t="str">
        <f aca="false">IF(A106="N/A"," ",IF(ISERROR(P106),G94*Pwresc,P106)*VLOOKUP(MONTH(A106),Curveadj,3))</f>
        <v> </v>
      </c>
      <c r="H106" s="398" t="str">
        <f aca="false">IF(A106="N/A"," ",G106*C106)</f>
        <v> </v>
      </c>
      <c r="I106" s="398" t="str">
        <f aca="false">IF(A106="N/A"," ",IF(ISERROR(Q106),I94*Pwresc,Q106))</f>
        <v> </v>
      </c>
      <c r="J106" s="398"/>
      <c r="K106" s="399"/>
      <c r="L106" s="399"/>
      <c r="M106" s="404"/>
      <c r="N106" s="401" t="str">
        <f aca="false">IF(A106="N/A"," ",VLOOKUP(A106,PeakPowerCurves,(IF(BMO3=2,3,IF(BMO3=1,2,4))),FALSE()))</f>
        <v> </v>
      </c>
      <c r="O106" s="401" t="str">
        <f aca="false">IF(A106="N/A"," ",VLOOKUP(A106,SatSunPeakPwr,(IF(BMO3=2,3,IF(BMO3=1,2,4))),FALSE()))</f>
        <v> </v>
      </c>
      <c r="P106" s="401" t="str">
        <f aca="false">IF(A106="N/A"," ",VLOOKUP(A106,SatSunPeakPwr,(IF(BMO3=2,7,IF(BMO3=1,6,8))),FALSE()))</f>
        <v> </v>
      </c>
      <c r="Q106" s="402" t="str">
        <f aca="false">IF(A106="N/A"," ",(VLOOKUP(A106,OPPowerPrices,(IF(BMO3=2,7,IF(BMO3=1,6,8))),FALSE())))</f>
        <v> </v>
      </c>
      <c r="R106" s="403" t="str">
        <f aca="false">IF(A106="N/A"," ",(VLOOKUP($A106,IRTable,2)))</f>
        <v> </v>
      </c>
      <c r="AF106" s="352" t="n">
        <v>39661</v>
      </c>
      <c r="AG106" s="311" t="n">
        <v>21</v>
      </c>
      <c r="AH106" s="311" t="n">
        <v>5</v>
      </c>
      <c r="AI106" s="311" t="n">
        <v>5</v>
      </c>
      <c r="AJ106" s="311" t="n">
        <v>0</v>
      </c>
      <c r="AK106" s="311" t="n">
        <v>31</v>
      </c>
      <c r="AU106" s="406"/>
    </row>
    <row r="107" customFormat="false" ht="12.75" hidden="false" customHeight="false" outlineLevel="0" collapsed="false">
      <c r="A107" s="352" t="str">
        <f aca="false">Option3!A74</f>
        <v>N/A</v>
      </c>
      <c r="B107" s="396" t="str">
        <f aca="false">IF(A107="N/A"," ",IF(ISERROR(N107),B95*Pwresc,N107)*VLOOKUP(MONTH(A107),Curveadj,3))</f>
        <v> </v>
      </c>
      <c r="C107" s="397" t="str">
        <f aca="false">IF(A107="N/A"," ",(IF(AND(Scaler3=1,MONTH(A107)&gt;=6,MONTH(A107)&lt;=8,OR($M$37="REGION 2",$M$37="REGION 2A",$M$37="REGION 2B",$M$37="REGION 3",$M$37="REGION 3A",$M$37="REGION 3B",$M$37="REGION 3C",$M$37="REGION 4",$M$37="REGION 4B",$M$37="REGION 4C",$M$37="REGION 5",$M$37="REGION 5A")),((0.059228/(B107/100))-(0.4980013/(SQRT(B107/100)))+2.137988),HLOOKUP(MONTH(A107),ScalarTable,28))))</f>
        <v> </v>
      </c>
      <c r="D107" s="398" t="str">
        <f aca="false">IF(A107="N/A"," ",C107*B107)</f>
        <v> </v>
      </c>
      <c r="E107" s="396" t="str">
        <f aca="false">IF(A107="N/A"," ",IF(ISERROR(O107),E95*Pwresc,O107)*VLOOKUP(MONTH(A107),Curveadj,3))</f>
        <v> </v>
      </c>
      <c r="F107" s="398" t="str">
        <f aca="false">IF(A107="N/A"," ",E107*C107)</f>
        <v> </v>
      </c>
      <c r="G107" s="396" t="str">
        <f aca="false">IF(A107="N/A"," ",IF(ISERROR(P107),G95*Pwresc,P107)*VLOOKUP(MONTH(A107),Curveadj,3))</f>
        <v> </v>
      </c>
      <c r="H107" s="398" t="str">
        <f aca="false">IF(A107="N/A"," ",G107*C107)</f>
        <v> </v>
      </c>
      <c r="I107" s="398" t="str">
        <f aca="false">IF(A107="N/A"," ",IF(ISERROR(Q107),I95*Pwresc,Q107))</f>
        <v> </v>
      </c>
      <c r="J107" s="398"/>
      <c r="K107" s="399"/>
      <c r="L107" s="399"/>
      <c r="M107" s="404"/>
      <c r="N107" s="401" t="str">
        <f aca="false">IF(A107="N/A"," ",VLOOKUP(A107,PeakPowerCurves,(IF(BMO3=2,3,IF(BMO3=1,2,4))),FALSE()))</f>
        <v> </v>
      </c>
      <c r="O107" s="401" t="str">
        <f aca="false">IF(A107="N/A"," ",VLOOKUP(A107,SatSunPeakPwr,(IF(BMO3=2,3,IF(BMO3=1,2,4))),FALSE()))</f>
        <v> </v>
      </c>
      <c r="P107" s="401" t="str">
        <f aca="false">IF(A107="N/A"," ",VLOOKUP(A107,SatSunPeakPwr,(IF(BMO3=2,7,IF(BMO3=1,6,8))),FALSE()))</f>
        <v> </v>
      </c>
      <c r="Q107" s="402" t="str">
        <f aca="false">IF(A107="N/A"," ",(VLOOKUP(A107,OPPowerPrices,(IF(BMO3=2,7,IF(BMO3=1,6,8))),FALSE())))</f>
        <v> </v>
      </c>
      <c r="R107" s="403" t="str">
        <f aca="false">IF(A107="N/A"," ",(VLOOKUP($A107,IRTable,2)))</f>
        <v> </v>
      </c>
      <c r="AF107" s="352" t="n">
        <v>39692</v>
      </c>
      <c r="AG107" s="311" t="n">
        <v>21</v>
      </c>
      <c r="AH107" s="311" t="n">
        <v>4</v>
      </c>
      <c r="AI107" s="311" t="n">
        <v>5</v>
      </c>
      <c r="AJ107" s="311" t="n">
        <v>1</v>
      </c>
      <c r="AK107" s="311" t="n">
        <v>30</v>
      </c>
      <c r="AU107" s="406"/>
    </row>
    <row r="108" customFormat="false" ht="12.75" hidden="false" customHeight="false" outlineLevel="0" collapsed="false">
      <c r="A108" s="352" t="str">
        <f aca="false">Option3!A75</f>
        <v>N/A</v>
      </c>
      <c r="B108" s="396" t="str">
        <f aca="false">IF(A108="N/A"," ",IF(ISERROR(N108),B96*Pwresc,N108)*VLOOKUP(MONTH(A108),Curveadj,3))</f>
        <v> </v>
      </c>
      <c r="C108" s="397" t="str">
        <f aca="false">IF(A108="N/A"," ",(IF(AND(Scaler3=1,MONTH(A108)&gt;=6,MONTH(A108)&lt;=8,OR($M$37="REGION 2",$M$37="REGION 2A",$M$37="REGION 2B",$M$37="REGION 3",$M$37="REGION 3A",$M$37="REGION 3B",$M$37="REGION 3C",$M$37="REGION 4",$M$37="REGION 4B",$M$37="REGION 4C",$M$37="REGION 5",$M$37="REGION 5A")),((0.059228/(B108/100))-(0.4980013/(SQRT(B108/100)))+2.137988),HLOOKUP(MONTH(A108),ScalarTable,28))))</f>
        <v> </v>
      </c>
      <c r="D108" s="398" t="str">
        <f aca="false">IF(A108="N/A"," ",C108*B108)</f>
        <v> </v>
      </c>
      <c r="E108" s="396" t="str">
        <f aca="false">IF(A108="N/A"," ",IF(ISERROR(O108),E96*Pwresc,O108)*VLOOKUP(MONTH(A108),Curveadj,3))</f>
        <v> </v>
      </c>
      <c r="F108" s="398" t="str">
        <f aca="false">IF(A108="N/A"," ",E108*C108)</f>
        <v> </v>
      </c>
      <c r="G108" s="396" t="str">
        <f aca="false">IF(A108="N/A"," ",IF(ISERROR(P108),G96*Pwresc,P108)*VLOOKUP(MONTH(A108),Curveadj,3))</f>
        <v> </v>
      </c>
      <c r="H108" s="398" t="str">
        <f aca="false">IF(A108="N/A"," ",G108*C108)</f>
        <v> </v>
      </c>
      <c r="I108" s="398" t="str">
        <f aca="false">IF(A108="N/A"," ",IF(ISERROR(Q108),I96*Pwresc,Q108))</f>
        <v> </v>
      </c>
      <c r="J108" s="398"/>
      <c r="K108" s="399"/>
      <c r="L108" s="399"/>
      <c r="M108" s="404"/>
      <c r="N108" s="401" t="str">
        <f aca="false">IF(A108="N/A"," ",VLOOKUP(A108,PeakPowerCurves,(IF(BMO3=2,3,IF(BMO3=1,2,4))),FALSE()))</f>
        <v> </v>
      </c>
      <c r="O108" s="401" t="str">
        <f aca="false">IF(A108="N/A"," ",VLOOKUP(A108,SatSunPeakPwr,(IF(BMO3=2,3,IF(BMO3=1,2,4))),FALSE()))</f>
        <v> </v>
      </c>
      <c r="P108" s="401" t="str">
        <f aca="false">IF(A108="N/A"," ",VLOOKUP(A108,SatSunPeakPwr,(IF(BMO3=2,7,IF(BMO3=1,6,8))),FALSE()))</f>
        <v> </v>
      </c>
      <c r="Q108" s="402" t="str">
        <f aca="false">IF(A108="N/A"," ",(VLOOKUP(A108,OPPowerPrices,(IF(BMO3=2,7,IF(BMO3=1,6,8))),FALSE())))</f>
        <v> </v>
      </c>
      <c r="R108" s="403" t="str">
        <f aca="false">IF(A108="N/A"," ",(VLOOKUP($A108,IRTable,2)))</f>
        <v> </v>
      </c>
      <c r="AF108" s="352" t="n">
        <v>39722</v>
      </c>
      <c r="AG108" s="311" t="n">
        <v>23</v>
      </c>
      <c r="AH108" s="311" t="n">
        <v>4</v>
      </c>
      <c r="AI108" s="311" t="n">
        <v>4</v>
      </c>
      <c r="AJ108" s="311" t="n">
        <v>0</v>
      </c>
      <c r="AK108" s="311" t="n">
        <v>31</v>
      </c>
      <c r="AU108" s="406"/>
    </row>
    <row r="109" customFormat="false" ht="12.75" hidden="false" customHeight="false" outlineLevel="0" collapsed="false">
      <c r="A109" s="352" t="str">
        <f aca="false">Option3!A76</f>
        <v>N/A</v>
      </c>
      <c r="B109" s="396" t="str">
        <f aca="false">IF(A109="N/A"," ",IF(ISERROR(N109),B97*Pwresc,N109)*VLOOKUP(MONTH(A109),Curveadj,3))</f>
        <v> </v>
      </c>
      <c r="C109" s="397" t="str">
        <f aca="false">IF(A109="N/A"," ",(IF(AND(Scaler3=1,MONTH(A109)&gt;=6,MONTH(A109)&lt;=8,OR($M$37="REGION 2",$M$37="REGION 2A",$M$37="REGION 2B",$M$37="REGION 3",$M$37="REGION 3A",$M$37="REGION 3B",$M$37="REGION 3C",$M$37="REGION 4",$M$37="REGION 4B",$M$37="REGION 4C",$M$37="REGION 5",$M$37="REGION 5A")),((0.059228/(B109/100))-(0.4980013/(SQRT(B109/100)))+2.137988),HLOOKUP(MONTH(A109),ScalarTable,28))))</f>
        <v> </v>
      </c>
      <c r="D109" s="398" t="str">
        <f aca="false">IF(A109="N/A"," ",C109*B109)</f>
        <v> </v>
      </c>
      <c r="E109" s="396" t="str">
        <f aca="false">IF(A109="N/A"," ",IF(ISERROR(O109),E97*Pwresc,O109)*VLOOKUP(MONTH(A109),Curveadj,3))</f>
        <v> </v>
      </c>
      <c r="F109" s="398" t="str">
        <f aca="false">IF(A109="N/A"," ",E109*C109)</f>
        <v> </v>
      </c>
      <c r="G109" s="396" t="str">
        <f aca="false">IF(A109="N/A"," ",IF(ISERROR(P109),G97*Pwresc,P109)*VLOOKUP(MONTH(A109),Curveadj,3))</f>
        <v> </v>
      </c>
      <c r="H109" s="398" t="str">
        <f aca="false">IF(A109="N/A"," ",G109*C109)</f>
        <v> </v>
      </c>
      <c r="I109" s="398" t="str">
        <f aca="false">IF(A109="N/A"," ",IF(ISERROR(Q109),I97*Pwresc,Q109))</f>
        <v> </v>
      </c>
      <c r="J109" s="398"/>
      <c r="K109" s="399"/>
      <c r="L109" s="399"/>
      <c r="M109" s="404"/>
      <c r="N109" s="401" t="str">
        <f aca="false">IF(A109="N/A"," ",VLOOKUP(A109,PeakPowerCurves,(IF(BMO3=2,3,IF(BMO3=1,2,4))),FALSE()))</f>
        <v> </v>
      </c>
      <c r="O109" s="401" t="str">
        <f aca="false">IF(A109="N/A"," ",VLOOKUP(A109,SatSunPeakPwr,(IF(BMO3=2,3,IF(BMO3=1,2,4))),FALSE()))</f>
        <v> </v>
      </c>
      <c r="P109" s="401" t="str">
        <f aca="false">IF(A109="N/A"," ",VLOOKUP(A109,SatSunPeakPwr,(IF(BMO3=2,7,IF(BMO3=1,6,8))),FALSE()))</f>
        <v> </v>
      </c>
      <c r="Q109" s="402" t="str">
        <f aca="false">IF(A109="N/A"," ",(VLOOKUP(A109,OPPowerPrices,(IF(BMO3=2,7,IF(BMO3=1,6,8))),FALSE())))</f>
        <v> </v>
      </c>
      <c r="R109" s="403" t="str">
        <f aca="false">IF(A109="N/A"," ",(VLOOKUP($A109,IRTable,2)))</f>
        <v> </v>
      </c>
      <c r="AF109" s="352" t="n">
        <v>39753</v>
      </c>
      <c r="AG109" s="311" t="n">
        <v>19</v>
      </c>
      <c r="AH109" s="311" t="n">
        <v>5</v>
      </c>
      <c r="AI109" s="311" t="n">
        <v>6</v>
      </c>
      <c r="AJ109" s="311" t="n">
        <v>1</v>
      </c>
      <c r="AK109" s="311" t="n">
        <v>30</v>
      </c>
      <c r="AU109" s="406"/>
    </row>
    <row r="110" customFormat="false" ht="12.75" hidden="false" customHeight="false" outlineLevel="0" collapsed="false">
      <c r="A110" s="352" t="str">
        <f aca="false">Option3!A77</f>
        <v>N/A</v>
      </c>
      <c r="B110" s="396" t="str">
        <f aca="false">IF(A110="N/A"," ",IF(ISERROR(N110),B98*Pwresc,N110)*VLOOKUP(MONTH(A110),Curveadj,3))</f>
        <v> </v>
      </c>
      <c r="C110" s="397" t="str">
        <f aca="false">IF(A110="N/A"," ",(IF(AND(Scaler3=1,MONTH(A110)&gt;=6,MONTH(A110)&lt;=8,OR($M$37="REGION 2",$M$37="REGION 2A",$M$37="REGION 2B",$M$37="REGION 3",$M$37="REGION 3A",$M$37="REGION 3B",$M$37="REGION 3C",$M$37="REGION 4",$M$37="REGION 4B",$M$37="REGION 4C",$M$37="REGION 5",$M$37="REGION 5A")),((0.059228/(B110/100))-(0.4980013/(SQRT(B110/100)))+2.137988),HLOOKUP(MONTH(A110),ScalarTable,28))))</f>
        <v> </v>
      </c>
      <c r="D110" s="398" t="str">
        <f aca="false">IF(A110="N/A"," ",C110*B110)</f>
        <v> </v>
      </c>
      <c r="E110" s="396" t="str">
        <f aca="false">IF(A110="N/A"," ",IF(ISERROR(O110),E98*Pwresc,O110)*VLOOKUP(MONTH(A110),Curveadj,3))</f>
        <v> </v>
      </c>
      <c r="F110" s="398" t="str">
        <f aca="false">IF(A110="N/A"," ",E110*C110)</f>
        <v> </v>
      </c>
      <c r="G110" s="396" t="str">
        <f aca="false">IF(A110="N/A"," ",IF(ISERROR(P110),G98*Pwresc,P110)*VLOOKUP(MONTH(A110),Curveadj,3))</f>
        <v> </v>
      </c>
      <c r="H110" s="398" t="str">
        <f aca="false">IF(A110="N/A"," ",G110*C110)</f>
        <v> </v>
      </c>
      <c r="I110" s="398" t="str">
        <f aca="false">IF(A110="N/A"," ",IF(ISERROR(Q110),I98*Pwresc,Q110))</f>
        <v> </v>
      </c>
      <c r="J110" s="398"/>
      <c r="K110" s="399"/>
      <c r="L110" s="399"/>
      <c r="M110" s="404"/>
      <c r="N110" s="401" t="str">
        <f aca="false">IF(A110="N/A"," ",VLOOKUP(A110,PeakPowerCurves,(IF(BMO3=2,3,IF(BMO3=1,2,4))),FALSE()))</f>
        <v> </v>
      </c>
      <c r="O110" s="401" t="str">
        <f aca="false">IF(A110="N/A"," ",VLOOKUP(A110,SatSunPeakPwr,(IF(BMO3=2,3,IF(BMO3=1,2,4))),FALSE()))</f>
        <v> </v>
      </c>
      <c r="P110" s="401" t="str">
        <f aca="false">IF(A110="N/A"," ",VLOOKUP(A110,SatSunPeakPwr,(IF(BMO3=2,7,IF(BMO3=1,6,8))),FALSE()))</f>
        <v> </v>
      </c>
      <c r="Q110" s="402" t="str">
        <f aca="false">IF(A110="N/A"," ",(VLOOKUP(A110,OPPowerPrices,(IF(BMO3=2,7,IF(BMO3=1,6,8))),FALSE())))</f>
        <v> </v>
      </c>
      <c r="R110" s="403" t="str">
        <f aca="false">IF(A110="N/A"," ",(VLOOKUP($A110,IRTable,2)))</f>
        <v> </v>
      </c>
      <c r="AF110" s="352" t="n">
        <v>39783</v>
      </c>
      <c r="AG110" s="311" t="n">
        <v>22</v>
      </c>
      <c r="AH110" s="311" t="n">
        <v>4</v>
      </c>
      <c r="AI110" s="311" t="n">
        <v>5</v>
      </c>
      <c r="AJ110" s="311" t="n">
        <v>1</v>
      </c>
      <c r="AK110" s="311" t="n">
        <v>31</v>
      </c>
      <c r="AU110" s="406"/>
    </row>
    <row r="111" customFormat="false" ht="12.75" hidden="false" customHeight="false" outlineLevel="0" collapsed="false">
      <c r="A111" s="352" t="str">
        <f aca="false">Option3!A78</f>
        <v>N/A</v>
      </c>
      <c r="B111" s="396" t="str">
        <f aca="false">IF(A111="N/A"," ",IF(ISERROR(N111),B99*Pwresc,N111)*VLOOKUP(MONTH(A111),Curveadj,3))</f>
        <v> </v>
      </c>
      <c r="C111" s="397" t="str">
        <f aca="false">IF(A111="N/A"," ",(IF(AND(Scaler3=1,MONTH(A111)&gt;=6,MONTH(A111)&lt;=8,OR($M$37="REGION 2",$M$37="REGION 2A",$M$37="REGION 2B",$M$37="REGION 3",$M$37="REGION 3A",$M$37="REGION 3B",$M$37="REGION 3C",$M$37="REGION 4",$M$37="REGION 4B",$M$37="REGION 4C",$M$37="REGION 5",$M$37="REGION 5A")),((0.059228/(B111/100))-(0.4980013/(SQRT(B111/100)))+2.137988),HLOOKUP(MONTH(A111),ScalarTable,28))))</f>
        <v> </v>
      </c>
      <c r="D111" s="398" t="str">
        <f aca="false">IF(A111="N/A"," ",C111*B111)</f>
        <v> </v>
      </c>
      <c r="E111" s="396" t="str">
        <f aca="false">IF(A111="N/A"," ",IF(ISERROR(O111),E99*Pwresc,O111)*VLOOKUP(MONTH(A111),Curveadj,3))</f>
        <v> </v>
      </c>
      <c r="F111" s="398" t="str">
        <f aca="false">IF(A111="N/A"," ",E111*C111)</f>
        <v> </v>
      </c>
      <c r="G111" s="396" t="str">
        <f aca="false">IF(A111="N/A"," ",IF(ISERROR(P111),G99*Pwresc,P111)*VLOOKUP(MONTH(A111),Curveadj,3))</f>
        <v> </v>
      </c>
      <c r="H111" s="398" t="str">
        <f aca="false">IF(A111="N/A"," ",G111*C111)</f>
        <v> </v>
      </c>
      <c r="I111" s="398" t="str">
        <f aca="false">IF(A111="N/A"," ",IF(ISERROR(Q111),I99*Pwresc,Q111))</f>
        <v> </v>
      </c>
      <c r="J111" s="398"/>
      <c r="K111" s="399"/>
      <c r="L111" s="399"/>
      <c r="M111" s="404"/>
      <c r="N111" s="401" t="str">
        <f aca="false">IF(A111="N/A"," ",VLOOKUP(A111,PeakPowerCurves,(IF(BMO3=2,3,IF(BMO3=1,2,4))),FALSE()))</f>
        <v> </v>
      </c>
      <c r="O111" s="401" t="str">
        <f aca="false">IF(A111="N/A"," ",VLOOKUP(A111,SatSunPeakPwr,(IF(BMO3=2,3,IF(BMO3=1,2,4))),FALSE()))</f>
        <v> </v>
      </c>
      <c r="P111" s="401" t="str">
        <f aca="false">IF(A111="N/A"," ",VLOOKUP(A111,SatSunPeakPwr,(IF(BMO3=2,7,IF(BMO3=1,6,8))),FALSE()))</f>
        <v> </v>
      </c>
      <c r="Q111" s="402" t="str">
        <f aca="false">IF(A111="N/A"," ",(VLOOKUP(A111,OPPowerPrices,(IF(BMO3=2,7,IF(BMO3=1,6,8))),FALSE())))</f>
        <v> </v>
      </c>
      <c r="R111" s="403" t="str">
        <f aca="false">IF(A111="N/A"," ",(VLOOKUP($A111,IRTable,2)))</f>
        <v> </v>
      </c>
      <c r="AF111" s="352" t="n">
        <v>39814</v>
      </c>
      <c r="AG111" s="311" t="n">
        <v>21</v>
      </c>
      <c r="AH111" s="311" t="n">
        <v>5</v>
      </c>
      <c r="AI111" s="311" t="n">
        <v>5</v>
      </c>
      <c r="AJ111" s="311" t="n">
        <v>1</v>
      </c>
      <c r="AK111" s="311" t="n">
        <v>31</v>
      </c>
      <c r="AU111" s="406"/>
    </row>
    <row r="112" customFormat="false" ht="12.75" hidden="false" customHeight="false" outlineLevel="0" collapsed="false">
      <c r="A112" s="352" t="str">
        <f aca="false">Option3!A79</f>
        <v>N/A</v>
      </c>
      <c r="B112" s="396" t="str">
        <f aca="false">IF(A112="N/A"," ",IF(ISERROR(N112),B100*Pwresc,N112)*VLOOKUP(MONTH(A112),Curveadj,3))</f>
        <v> </v>
      </c>
      <c r="C112" s="397" t="str">
        <f aca="false">IF(A112="N/A"," ",(IF(AND(Scaler3=1,MONTH(A112)&gt;=6,MONTH(A112)&lt;=8,OR($M$37="REGION 2",$M$37="REGION 2A",$M$37="REGION 2B",$M$37="REGION 3",$M$37="REGION 3A",$M$37="REGION 3B",$M$37="REGION 3C",$M$37="REGION 4",$M$37="REGION 4B",$M$37="REGION 4C",$M$37="REGION 5",$M$37="REGION 5A")),((0.059228/(B112/100))-(0.4980013/(SQRT(B112/100)))+2.137988),HLOOKUP(MONTH(A112),ScalarTable,28))))</f>
        <v> </v>
      </c>
      <c r="D112" s="398" t="str">
        <f aca="false">IF(A112="N/A"," ",C112*B112)</f>
        <v> </v>
      </c>
      <c r="E112" s="396" t="str">
        <f aca="false">IF(A112="N/A"," ",IF(ISERROR(O112),E100*Pwresc,O112)*VLOOKUP(MONTH(A112),Curveadj,3))</f>
        <v> </v>
      </c>
      <c r="F112" s="398" t="str">
        <f aca="false">IF(A112="N/A"," ",E112*C112)</f>
        <v> </v>
      </c>
      <c r="G112" s="396" t="str">
        <f aca="false">IF(A112="N/A"," ",IF(ISERROR(P112),G100*Pwresc,P112)*VLOOKUP(MONTH(A112),Curveadj,3))</f>
        <v> </v>
      </c>
      <c r="H112" s="398" t="str">
        <f aca="false">IF(A112="N/A"," ",G112*C112)</f>
        <v> </v>
      </c>
      <c r="I112" s="398" t="str">
        <f aca="false">IF(A112="N/A"," ",IF(ISERROR(Q112),I100*Pwresc,Q112))</f>
        <v> </v>
      </c>
      <c r="J112" s="398"/>
      <c r="K112" s="399"/>
      <c r="L112" s="399"/>
      <c r="M112" s="404"/>
      <c r="N112" s="401" t="str">
        <f aca="false">IF(A112="N/A"," ",VLOOKUP(A112,PeakPowerCurves,(IF(BMO3=2,3,IF(BMO3=1,2,4))),FALSE()))</f>
        <v> </v>
      </c>
      <c r="O112" s="401" t="str">
        <f aca="false">IF(A112="N/A"," ",VLOOKUP(A112,SatSunPeakPwr,(IF(BMO3=2,3,IF(BMO3=1,2,4))),FALSE()))</f>
        <v> </v>
      </c>
      <c r="P112" s="401" t="str">
        <f aca="false">IF(A112="N/A"," ",VLOOKUP(A112,SatSunPeakPwr,(IF(BMO3=2,7,IF(BMO3=1,6,8))),FALSE()))</f>
        <v> </v>
      </c>
      <c r="Q112" s="402" t="str">
        <f aca="false">IF(A112="N/A"," ",(VLOOKUP(A112,OPPowerPrices,(IF(BMO3=2,7,IF(BMO3=1,6,8))),FALSE())))</f>
        <v> </v>
      </c>
      <c r="R112" s="403" t="str">
        <f aca="false">IF(A112="N/A"," ",(VLOOKUP($A112,IRTable,2)))</f>
        <v> </v>
      </c>
      <c r="AF112" s="352" t="n">
        <v>39845</v>
      </c>
      <c r="AG112" s="311" t="n">
        <v>20</v>
      </c>
      <c r="AH112" s="311" t="n">
        <v>4</v>
      </c>
      <c r="AI112" s="311" t="n">
        <v>4</v>
      </c>
      <c r="AJ112" s="311" t="n">
        <v>0</v>
      </c>
      <c r="AK112" s="311" t="n">
        <v>28</v>
      </c>
      <c r="AU112" s="406"/>
    </row>
    <row r="113" customFormat="false" ht="12.75" hidden="false" customHeight="false" outlineLevel="0" collapsed="false">
      <c r="A113" s="352" t="str">
        <f aca="false">Option3!A80</f>
        <v>N/A</v>
      </c>
      <c r="B113" s="396" t="str">
        <f aca="false">IF(A113="N/A"," ",IF(ISERROR(N113),B101*Pwresc,N113)*VLOOKUP(MONTH(A113),Curveadj,3))</f>
        <v> </v>
      </c>
      <c r="C113" s="397" t="str">
        <f aca="false">IF(A113="N/A"," ",(IF(AND(Scaler3=1,MONTH(A113)&gt;=6,MONTH(A113)&lt;=8,OR($M$37="REGION 2",$M$37="REGION 2A",$M$37="REGION 2B",$M$37="REGION 3",$M$37="REGION 3A",$M$37="REGION 3B",$M$37="REGION 3C",$M$37="REGION 4",$M$37="REGION 4B",$M$37="REGION 4C",$M$37="REGION 5",$M$37="REGION 5A")),((0.059228/(B113/100))-(0.4980013/(SQRT(B113/100)))+2.137988),HLOOKUP(MONTH(A113),ScalarTable,28))))</f>
        <v> </v>
      </c>
      <c r="D113" s="398" t="str">
        <f aca="false">IF(A113="N/A"," ",C113*B113)</f>
        <v> </v>
      </c>
      <c r="E113" s="396" t="str">
        <f aca="false">IF(A113="N/A"," ",IF(ISERROR(O113),E101*Pwresc,O113)*VLOOKUP(MONTH(A113),Curveadj,3))</f>
        <v> </v>
      </c>
      <c r="F113" s="398" t="str">
        <f aca="false">IF(A113="N/A"," ",E113*C113)</f>
        <v> </v>
      </c>
      <c r="G113" s="396" t="str">
        <f aca="false">IF(A113="N/A"," ",IF(ISERROR(P113),G101*Pwresc,P113)*VLOOKUP(MONTH(A113),Curveadj,3))</f>
        <v> </v>
      </c>
      <c r="H113" s="398" t="str">
        <f aca="false">IF(A113="N/A"," ",G113*C113)</f>
        <v> </v>
      </c>
      <c r="I113" s="398" t="str">
        <f aca="false">IF(A113="N/A"," ",IF(ISERROR(Q113),I101*Pwresc,Q113))</f>
        <v> </v>
      </c>
      <c r="J113" s="398"/>
      <c r="K113" s="399"/>
      <c r="L113" s="399"/>
      <c r="M113" s="404"/>
      <c r="N113" s="401" t="str">
        <f aca="false">IF(A113="N/A"," ",VLOOKUP(A113,PeakPowerCurves,(IF(BMO3=2,3,IF(BMO3=1,2,4))),FALSE()))</f>
        <v> </v>
      </c>
      <c r="O113" s="401" t="str">
        <f aca="false">IF(A113="N/A"," ",VLOOKUP(A113,SatSunPeakPwr,(IF(BMO3=2,3,IF(BMO3=1,2,4))),FALSE()))</f>
        <v> </v>
      </c>
      <c r="P113" s="401" t="str">
        <f aca="false">IF(A113="N/A"," ",VLOOKUP(A113,SatSunPeakPwr,(IF(BMO3=2,7,IF(BMO3=1,6,8))),FALSE()))</f>
        <v> </v>
      </c>
      <c r="Q113" s="402" t="str">
        <f aca="false">IF(A113="N/A"," ",(VLOOKUP(A113,OPPowerPrices,(IF(BMO3=2,7,IF(BMO3=1,6,8))),FALSE())))</f>
        <v> </v>
      </c>
      <c r="R113" s="403" t="str">
        <f aca="false">IF(A113="N/A"," ",(VLOOKUP($A113,IRTable,2)))</f>
        <v> </v>
      </c>
      <c r="AF113" s="352" t="n">
        <v>39873</v>
      </c>
      <c r="AG113" s="311" t="n">
        <v>22</v>
      </c>
      <c r="AH113" s="311" t="n">
        <v>4</v>
      </c>
      <c r="AI113" s="311" t="n">
        <v>5</v>
      </c>
      <c r="AJ113" s="311" t="n">
        <v>0</v>
      </c>
      <c r="AK113" s="311" t="n">
        <v>31</v>
      </c>
      <c r="AU113" s="406"/>
    </row>
    <row r="114" customFormat="false" ht="12.75" hidden="false" customHeight="false" outlineLevel="0" collapsed="false">
      <c r="A114" s="352" t="str">
        <f aca="false">Option3!A81</f>
        <v>N/A</v>
      </c>
      <c r="B114" s="396" t="str">
        <f aca="false">IF(A114="N/A"," ",IF(ISERROR(N114),B102*Pwresc,N114)*VLOOKUP(MONTH(A114),Curveadj,3))</f>
        <v> </v>
      </c>
      <c r="C114" s="397" t="str">
        <f aca="false">IF(A114="N/A"," ",(IF(AND(Scaler3=1,MONTH(A114)&gt;=6,MONTH(A114)&lt;=8,OR($M$37="REGION 2",$M$37="REGION 2A",$M$37="REGION 2B",$M$37="REGION 3",$M$37="REGION 3A",$M$37="REGION 3B",$M$37="REGION 3C",$M$37="REGION 4",$M$37="REGION 4B",$M$37="REGION 4C",$M$37="REGION 5",$M$37="REGION 5A")),((0.059228/(B114/100))-(0.4980013/(SQRT(B114/100)))+2.137988),HLOOKUP(MONTH(A114),ScalarTable,28))))</f>
        <v> </v>
      </c>
      <c r="D114" s="398" t="str">
        <f aca="false">IF(A114="N/A"," ",C114*B114)</f>
        <v> </v>
      </c>
      <c r="E114" s="396" t="str">
        <f aca="false">IF(A114="N/A"," ",IF(ISERROR(O114),E102*Pwresc,O114)*VLOOKUP(MONTH(A114),Curveadj,3))</f>
        <v> </v>
      </c>
      <c r="F114" s="398" t="str">
        <f aca="false">IF(A114="N/A"," ",E114*C114)</f>
        <v> </v>
      </c>
      <c r="G114" s="396" t="str">
        <f aca="false">IF(A114="N/A"," ",IF(ISERROR(P114),G102*Pwresc,P114)*VLOOKUP(MONTH(A114),Curveadj,3))</f>
        <v> </v>
      </c>
      <c r="H114" s="398" t="str">
        <f aca="false">IF(A114="N/A"," ",G114*C114)</f>
        <v> </v>
      </c>
      <c r="I114" s="398" t="str">
        <f aca="false">IF(A114="N/A"," ",IF(ISERROR(Q114),I102*Pwresc,Q114))</f>
        <v> </v>
      </c>
      <c r="J114" s="398"/>
      <c r="K114" s="399"/>
      <c r="L114" s="399"/>
      <c r="M114" s="404"/>
      <c r="N114" s="401" t="str">
        <f aca="false">IF(A114="N/A"," ",VLOOKUP(A114,PeakPowerCurves,(IF(BMO3=2,3,IF(BMO3=1,2,4))),FALSE()))</f>
        <v> </v>
      </c>
      <c r="O114" s="401" t="str">
        <f aca="false">IF(A114="N/A"," ",VLOOKUP(A114,SatSunPeakPwr,(IF(BMO3=2,3,IF(BMO3=1,2,4))),FALSE()))</f>
        <v> </v>
      </c>
      <c r="P114" s="401" t="str">
        <f aca="false">IF(A114="N/A"," ",VLOOKUP(A114,SatSunPeakPwr,(IF(BMO3=2,7,IF(BMO3=1,6,8))),FALSE()))</f>
        <v> </v>
      </c>
      <c r="Q114" s="402" t="str">
        <f aca="false">IF(A114="N/A"," ",(VLOOKUP(A114,OPPowerPrices,(IF(BMO3=2,7,IF(BMO3=1,6,8))),FALSE())))</f>
        <v> </v>
      </c>
      <c r="R114" s="403" t="str">
        <f aca="false">IF(A114="N/A"," ",(VLOOKUP($A114,IRTable,2)))</f>
        <v> </v>
      </c>
      <c r="AF114" s="352" t="n">
        <v>39904</v>
      </c>
      <c r="AG114" s="311" t="n">
        <v>22</v>
      </c>
      <c r="AH114" s="311" t="n">
        <v>4</v>
      </c>
      <c r="AI114" s="311" t="n">
        <v>4</v>
      </c>
      <c r="AJ114" s="311" t="n">
        <v>0</v>
      </c>
      <c r="AK114" s="311" t="n">
        <v>30</v>
      </c>
      <c r="AU114" s="406"/>
    </row>
    <row r="115" customFormat="false" ht="12.75" hidden="false" customHeight="false" outlineLevel="0" collapsed="false">
      <c r="A115" s="352" t="str">
        <f aca="false">Option3!A82</f>
        <v>N/A</v>
      </c>
      <c r="B115" s="396" t="str">
        <f aca="false">IF(A115="N/A"," ",IF(ISERROR(N115),B103*Pwresc,N115)*VLOOKUP(MONTH(A115),Curveadj,3))</f>
        <v> </v>
      </c>
      <c r="C115" s="397" t="str">
        <f aca="false">IF(A115="N/A"," ",(IF(AND(Scaler3=1,MONTH(A115)&gt;=6,MONTH(A115)&lt;=8,OR($M$37="REGION 2",$M$37="REGION 2A",$M$37="REGION 2B",$M$37="REGION 3",$M$37="REGION 3A",$M$37="REGION 3B",$M$37="REGION 3C",$M$37="REGION 4",$M$37="REGION 4B",$M$37="REGION 4C",$M$37="REGION 5",$M$37="REGION 5A")),((0.059228/(B115/100))-(0.4980013/(SQRT(B115/100)))+2.137988),HLOOKUP(MONTH(A115),ScalarTable,28))))</f>
        <v> </v>
      </c>
      <c r="D115" s="398" t="str">
        <f aca="false">IF(A115="N/A"," ",C115*B115)</f>
        <v> </v>
      </c>
      <c r="E115" s="396" t="str">
        <f aca="false">IF(A115="N/A"," ",IF(ISERROR(O115),E103*Pwresc,O115)*VLOOKUP(MONTH(A115),Curveadj,3))</f>
        <v> </v>
      </c>
      <c r="F115" s="398" t="str">
        <f aca="false">IF(A115="N/A"," ",E115*C115)</f>
        <v> </v>
      </c>
      <c r="G115" s="396" t="str">
        <f aca="false">IF(A115="N/A"," ",IF(ISERROR(P115),G103*Pwresc,P115)*VLOOKUP(MONTH(A115),Curveadj,3))</f>
        <v> </v>
      </c>
      <c r="H115" s="398" t="str">
        <f aca="false">IF(A115="N/A"," ",G115*C115)</f>
        <v> </v>
      </c>
      <c r="I115" s="398" t="str">
        <f aca="false">IF(A115="N/A"," ",IF(ISERROR(Q115),I103*Pwresc,Q115))</f>
        <v> </v>
      </c>
      <c r="J115" s="398"/>
      <c r="K115" s="399"/>
      <c r="L115" s="399"/>
      <c r="M115" s="404"/>
      <c r="N115" s="401" t="str">
        <f aca="false">IF(A115="N/A"," ",VLOOKUP(A115,PeakPowerCurves,(IF(BMO3=2,3,IF(BMO3=1,2,4))),FALSE()))</f>
        <v> </v>
      </c>
      <c r="O115" s="401" t="str">
        <f aca="false">IF(A115="N/A"," ",VLOOKUP(A115,SatSunPeakPwr,(IF(BMO3=2,3,IF(BMO3=1,2,4))),FALSE()))</f>
        <v> </v>
      </c>
      <c r="P115" s="401" t="str">
        <f aca="false">IF(A115="N/A"," ",VLOOKUP(A115,SatSunPeakPwr,(IF(BMO3=2,7,IF(BMO3=1,6,8))),FALSE()))</f>
        <v> </v>
      </c>
      <c r="Q115" s="402" t="str">
        <f aca="false">IF(A115="N/A"," ",(VLOOKUP(A115,OPPowerPrices,(IF(BMO3=2,7,IF(BMO3=1,6,8))),FALSE())))</f>
        <v> </v>
      </c>
      <c r="R115" s="403" t="str">
        <f aca="false">IF(A115="N/A"," ",(VLOOKUP($A115,IRTable,2)))</f>
        <v> </v>
      </c>
      <c r="AF115" s="352" t="n">
        <v>39934</v>
      </c>
      <c r="AG115" s="311" t="n">
        <v>20</v>
      </c>
      <c r="AH115" s="311" t="n">
        <v>5</v>
      </c>
      <c r="AI115" s="311" t="n">
        <v>6</v>
      </c>
      <c r="AJ115" s="311" t="n">
        <v>1</v>
      </c>
      <c r="AK115" s="311" t="n">
        <v>31</v>
      </c>
      <c r="AU115" s="406"/>
    </row>
    <row r="116" customFormat="false" ht="12.75" hidden="false" customHeight="false" outlineLevel="0" collapsed="false">
      <c r="A116" s="352" t="str">
        <f aca="false">Option3!A83</f>
        <v>N/A</v>
      </c>
      <c r="B116" s="396" t="str">
        <f aca="false">IF(A116="N/A"," ",IF(ISERROR(N116),B104*Pwresc,N116)*VLOOKUP(MONTH(A116),Curveadj,3))</f>
        <v> </v>
      </c>
      <c r="C116" s="397" t="str">
        <f aca="false">IF(A116="N/A"," ",(IF(AND(Scaler3=1,MONTH(A116)&gt;=6,MONTH(A116)&lt;=8,OR($M$37="REGION 2",$M$37="REGION 2A",$M$37="REGION 2B",$M$37="REGION 3",$M$37="REGION 3A",$M$37="REGION 3B",$M$37="REGION 3C",$M$37="REGION 4",$M$37="REGION 4B",$M$37="REGION 4C",$M$37="REGION 5",$M$37="REGION 5A")),((0.059228/(B116/100))-(0.4980013/(SQRT(B116/100)))+2.137988),HLOOKUP(MONTH(A116),ScalarTable,28))))</f>
        <v> </v>
      </c>
      <c r="D116" s="398" t="str">
        <f aca="false">IF(A116="N/A"," ",C116*B116)</f>
        <v> </v>
      </c>
      <c r="E116" s="396" t="str">
        <f aca="false">IF(A116="N/A"," ",IF(ISERROR(O116),E104*Pwresc,O116)*VLOOKUP(MONTH(A116),Curveadj,3))</f>
        <v> </v>
      </c>
      <c r="F116" s="398" t="str">
        <f aca="false">IF(A116="N/A"," ",E116*C116)</f>
        <v> </v>
      </c>
      <c r="G116" s="396" t="str">
        <f aca="false">IF(A116="N/A"," ",IF(ISERROR(P116),G104*Pwresc,P116)*VLOOKUP(MONTH(A116),Curveadj,3))</f>
        <v> </v>
      </c>
      <c r="H116" s="398" t="str">
        <f aca="false">IF(A116="N/A"," ",G116*C116)</f>
        <v> </v>
      </c>
      <c r="I116" s="398" t="str">
        <f aca="false">IF(A116="N/A"," ",IF(ISERROR(Q116),I104*Pwresc,Q116))</f>
        <v> </v>
      </c>
      <c r="J116" s="398"/>
      <c r="K116" s="399"/>
      <c r="L116" s="399"/>
      <c r="M116" s="404"/>
      <c r="N116" s="401" t="str">
        <f aca="false">IF(A116="N/A"," ",VLOOKUP(A116,PeakPowerCurves,(IF(BMO3=2,3,IF(BMO3=1,2,4))),FALSE()))</f>
        <v> </v>
      </c>
      <c r="O116" s="401" t="str">
        <f aca="false">IF(A116="N/A"," ",VLOOKUP(A116,SatSunPeakPwr,(IF(BMO3=2,3,IF(BMO3=1,2,4))),FALSE()))</f>
        <v> </v>
      </c>
      <c r="P116" s="401" t="str">
        <f aca="false">IF(A116="N/A"," ",VLOOKUP(A116,SatSunPeakPwr,(IF(BMO3=2,7,IF(BMO3=1,6,8))),FALSE()))</f>
        <v> </v>
      </c>
      <c r="Q116" s="402" t="str">
        <f aca="false">IF(A116="N/A"," ",(VLOOKUP(A116,OPPowerPrices,(IF(BMO3=2,7,IF(BMO3=1,6,8))),FALSE())))</f>
        <v> </v>
      </c>
      <c r="R116" s="403" t="str">
        <f aca="false">IF(A116="N/A"," ",(VLOOKUP($A116,IRTable,2)))</f>
        <v> </v>
      </c>
      <c r="AF116" s="352" t="n">
        <v>39965</v>
      </c>
      <c r="AG116" s="311" t="n">
        <v>22</v>
      </c>
      <c r="AH116" s="311" t="n">
        <v>4</v>
      </c>
      <c r="AI116" s="311" t="n">
        <v>4</v>
      </c>
      <c r="AJ116" s="311" t="n">
        <v>0</v>
      </c>
      <c r="AK116" s="311" t="n">
        <v>30</v>
      </c>
      <c r="AU116" s="406"/>
    </row>
    <row r="117" customFormat="false" ht="12.75" hidden="false" customHeight="false" outlineLevel="0" collapsed="false">
      <c r="A117" s="352" t="str">
        <f aca="false">Option3!A84</f>
        <v>N/A</v>
      </c>
      <c r="B117" s="396" t="str">
        <f aca="false">IF(A117="N/A"," ",IF(ISERROR(N117),B105*Pwresc,N117)*VLOOKUP(MONTH(A117),Curveadj,3))</f>
        <v> </v>
      </c>
      <c r="C117" s="397" t="str">
        <f aca="false">IF(A117="N/A"," ",(IF(AND(Scaler3=1,MONTH(A117)&gt;=6,MONTH(A117)&lt;=8,OR($M$37="REGION 2",$M$37="REGION 2A",$M$37="REGION 2B",$M$37="REGION 3",$M$37="REGION 3A",$M$37="REGION 3B",$M$37="REGION 3C",$M$37="REGION 4",$M$37="REGION 4B",$M$37="REGION 4C",$M$37="REGION 5",$M$37="REGION 5A")),((0.059228/(B117/100))-(0.4980013/(SQRT(B117/100)))+2.137988),HLOOKUP(MONTH(A117),ScalarTable,28))))</f>
        <v> </v>
      </c>
      <c r="D117" s="398" t="str">
        <f aca="false">IF(A117="N/A"," ",C117*B117)</f>
        <v> </v>
      </c>
      <c r="E117" s="396" t="str">
        <f aca="false">IF(A117="N/A"," ",IF(ISERROR(O117),E105*Pwresc,O117)*VLOOKUP(MONTH(A117),Curveadj,3))</f>
        <v> </v>
      </c>
      <c r="F117" s="398" t="str">
        <f aca="false">IF(A117="N/A"," ",E117*C117)</f>
        <v> </v>
      </c>
      <c r="G117" s="396" t="str">
        <f aca="false">IF(A117="N/A"," ",IF(ISERROR(P117),G105*Pwresc,P117)*VLOOKUP(MONTH(A117),Curveadj,3))</f>
        <v> </v>
      </c>
      <c r="H117" s="398" t="str">
        <f aca="false">IF(A117="N/A"," ",G117*C117)</f>
        <v> </v>
      </c>
      <c r="I117" s="398" t="str">
        <f aca="false">IF(A117="N/A"," ",IF(ISERROR(Q117),I105*Pwresc,Q117))</f>
        <v> </v>
      </c>
      <c r="J117" s="398"/>
      <c r="K117" s="399"/>
      <c r="L117" s="399"/>
      <c r="M117" s="404"/>
      <c r="N117" s="401" t="str">
        <f aca="false">IF(A117="N/A"," ",VLOOKUP(A117,PeakPowerCurves,(IF(BMO3=2,3,IF(BMO3=1,2,4))),FALSE()))</f>
        <v> </v>
      </c>
      <c r="O117" s="401" t="str">
        <f aca="false">IF(A117="N/A"," ",VLOOKUP(A117,SatSunPeakPwr,(IF(BMO3=2,3,IF(BMO3=1,2,4))),FALSE()))</f>
        <v> </v>
      </c>
      <c r="P117" s="401" t="str">
        <f aca="false">IF(A117="N/A"," ",VLOOKUP(A117,SatSunPeakPwr,(IF(BMO3=2,7,IF(BMO3=1,6,8))),FALSE()))</f>
        <v> </v>
      </c>
      <c r="Q117" s="402" t="str">
        <f aca="false">IF(A117="N/A"," ",(VLOOKUP(A117,OPPowerPrices,(IF(BMO3=2,7,IF(BMO3=1,6,8))),FALSE())))</f>
        <v> </v>
      </c>
      <c r="R117" s="403" t="str">
        <f aca="false">IF(A117="N/A"," ",(VLOOKUP($A117,IRTable,2)))</f>
        <v> </v>
      </c>
      <c r="AF117" s="352" t="n">
        <v>39995</v>
      </c>
      <c r="AG117" s="311" t="n">
        <v>23</v>
      </c>
      <c r="AH117" s="311" t="n">
        <v>3</v>
      </c>
      <c r="AI117" s="311" t="n">
        <v>5</v>
      </c>
      <c r="AJ117" s="311" t="n">
        <v>1</v>
      </c>
      <c r="AK117" s="311" t="n">
        <v>31</v>
      </c>
      <c r="AU117" s="406"/>
    </row>
    <row r="118" customFormat="false" ht="12.75" hidden="false" customHeight="false" outlineLevel="0" collapsed="false">
      <c r="A118" s="352" t="str">
        <f aca="false">Option3!A85</f>
        <v>N/A</v>
      </c>
      <c r="B118" s="396" t="str">
        <f aca="false">IF(A118="N/A"," ",IF(ISERROR(N118),B106*Pwresc,N118)*VLOOKUP(MONTH(A118),Curveadj,3))</f>
        <v> </v>
      </c>
      <c r="C118" s="397" t="str">
        <f aca="false">IF(A118="N/A"," ",(IF(AND(Scaler3=1,MONTH(A118)&gt;=6,MONTH(A118)&lt;=8,OR($M$37="REGION 2",$M$37="REGION 2A",$M$37="REGION 2B",$M$37="REGION 3",$M$37="REGION 3A",$M$37="REGION 3B",$M$37="REGION 3C",$M$37="REGION 4",$M$37="REGION 4B",$M$37="REGION 4C",$M$37="REGION 5",$M$37="REGION 5A")),((0.059228/(B118/100))-(0.4980013/(SQRT(B118/100)))+2.137988),HLOOKUP(MONTH(A118),ScalarTable,28))))</f>
        <v> </v>
      </c>
      <c r="D118" s="398" t="str">
        <f aca="false">IF(A118="N/A"," ",C118*B118)</f>
        <v> </v>
      </c>
      <c r="E118" s="396" t="str">
        <f aca="false">IF(A118="N/A"," ",IF(ISERROR(O118),E106*Pwresc,O118)*VLOOKUP(MONTH(A118),Curveadj,3))</f>
        <v> </v>
      </c>
      <c r="F118" s="398" t="str">
        <f aca="false">IF(A118="N/A"," ",E118*C118)</f>
        <v> </v>
      </c>
      <c r="G118" s="396" t="str">
        <f aca="false">IF(A118="N/A"," ",IF(ISERROR(P118),G106*Pwresc,P118)*VLOOKUP(MONTH(A118),Curveadj,3))</f>
        <v> </v>
      </c>
      <c r="H118" s="398" t="str">
        <f aca="false">IF(A118="N/A"," ",G118*C118)</f>
        <v> </v>
      </c>
      <c r="I118" s="398" t="str">
        <f aca="false">IF(A118="N/A"," ",IF(ISERROR(Q118),I106*Pwresc,Q118))</f>
        <v> </v>
      </c>
      <c r="J118" s="398"/>
      <c r="K118" s="399"/>
      <c r="L118" s="399"/>
      <c r="M118" s="404"/>
      <c r="N118" s="401" t="str">
        <f aca="false">IF(A118="N/A"," ",VLOOKUP(A118,PeakPowerCurves,(IF(BMO3=2,3,IF(BMO3=1,2,4))),FALSE()))</f>
        <v> </v>
      </c>
      <c r="O118" s="401" t="str">
        <f aca="false">IF(A118="N/A"," ",VLOOKUP(A118,SatSunPeakPwr,(IF(BMO3=2,3,IF(BMO3=1,2,4))),FALSE()))</f>
        <v> </v>
      </c>
      <c r="P118" s="401" t="str">
        <f aca="false">IF(A118="N/A"," ",VLOOKUP(A118,SatSunPeakPwr,(IF(BMO3=2,7,IF(BMO3=1,6,8))),FALSE()))</f>
        <v> </v>
      </c>
      <c r="Q118" s="402" t="str">
        <f aca="false">IF(A118="N/A"," ",(VLOOKUP(A118,OPPowerPrices,(IF(BMO3=2,7,IF(BMO3=1,6,8))),FALSE())))</f>
        <v> </v>
      </c>
      <c r="R118" s="403" t="str">
        <f aca="false">IF(A118="N/A"," ",(VLOOKUP($A118,IRTable,2)))</f>
        <v> </v>
      </c>
      <c r="AF118" s="352" t="n">
        <v>40026</v>
      </c>
      <c r="AG118" s="311" t="n">
        <v>21</v>
      </c>
      <c r="AH118" s="311" t="n">
        <v>5</v>
      </c>
      <c r="AI118" s="311" t="n">
        <v>5</v>
      </c>
      <c r="AJ118" s="311" t="n">
        <v>0</v>
      </c>
      <c r="AK118" s="311" t="n">
        <v>31</v>
      </c>
      <c r="AU118" s="406"/>
    </row>
    <row r="119" customFormat="false" ht="12.75" hidden="false" customHeight="false" outlineLevel="0" collapsed="false">
      <c r="A119" s="352" t="str">
        <f aca="false">Option3!A86</f>
        <v>N/A</v>
      </c>
      <c r="B119" s="396" t="str">
        <f aca="false">IF(A119="N/A"," ",IF(ISERROR(N119),B107*Pwresc,N119)*VLOOKUP(MONTH(A119),Curveadj,3))</f>
        <v> </v>
      </c>
      <c r="C119" s="397" t="str">
        <f aca="false">IF(A119="N/A"," ",(IF(AND(Scaler3=1,MONTH(A119)&gt;=6,MONTH(A119)&lt;=8,OR($M$37="REGION 2",$M$37="REGION 2A",$M$37="REGION 2B",$M$37="REGION 3",$M$37="REGION 3A",$M$37="REGION 3B",$M$37="REGION 3C",$M$37="REGION 4",$M$37="REGION 4B",$M$37="REGION 4C",$M$37="REGION 5",$M$37="REGION 5A")),((0.059228/(B119/100))-(0.4980013/(SQRT(B119/100)))+2.137988),HLOOKUP(MONTH(A119),ScalarTable,28))))</f>
        <v> </v>
      </c>
      <c r="D119" s="398" t="str">
        <f aca="false">IF(A119="N/A"," ",C119*B119)</f>
        <v> </v>
      </c>
      <c r="E119" s="396" t="str">
        <f aca="false">IF(A119="N/A"," ",IF(ISERROR(O119),E107*Pwresc,O119)*VLOOKUP(MONTH(A119),Curveadj,3))</f>
        <v> </v>
      </c>
      <c r="F119" s="398" t="str">
        <f aca="false">IF(A119="N/A"," ",E119*C119)</f>
        <v> </v>
      </c>
      <c r="G119" s="396" t="str">
        <f aca="false">IF(A119="N/A"," ",IF(ISERROR(P119),G107*Pwresc,P119)*VLOOKUP(MONTH(A119),Curveadj,3))</f>
        <v> </v>
      </c>
      <c r="H119" s="398" t="str">
        <f aca="false">IF(A119="N/A"," ",G119*C119)</f>
        <v> </v>
      </c>
      <c r="I119" s="398" t="str">
        <f aca="false">IF(A119="N/A"," ",IF(ISERROR(Q119),I107*Pwresc,Q119))</f>
        <v> </v>
      </c>
      <c r="J119" s="398"/>
      <c r="K119" s="399"/>
      <c r="L119" s="399"/>
      <c r="M119" s="404"/>
      <c r="N119" s="401" t="str">
        <f aca="false">IF(A119="N/A"," ",VLOOKUP(A119,PeakPowerCurves,(IF(BMO3=2,3,IF(BMO3=1,2,4))),FALSE()))</f>
        <v> </v>
      </c>
      <c r="O119" s="401" t="str">
        <f aca="false">IF(A119="N/A"," ",VLOOKUP(A119,SatSunPeakPwr,(IF(BMO3=2,3,IF(BMO3=1,2,4))),FALSE()))</f>
        <v> </v>
      </c>
      <c r="P119" s="401" t="str">
        <f aca="false">IF(A119="N/A"," ",VLOOKUP(A119,SatSunPeakPwr,(IF(BMO3=2,7,IF(BMO3=1,6,8))),FALSE()))</f>
        <v> </v>
      </c>
      <c r="Q119" s="402" t="str">
        <f aca="false">IF(A119="N/A"," ",(VLOOKUP(A119,OPPowerPrices,(IF(BMO3=2,7,IF(BMO3=1,6,8))),FALSE())))</f>
        <v> </v>
      </c>
      <c r="R119" s="403" t="str">
        <f aca="false">IF(A119="N/A"," ",(VLOOKUP($A119,IRTable,2)))</f>
        <v> </v>
      </c>
      <c r="AF119" s="352" t="n">
        <v>40057</v>
      </c>
      <c r="AG119" s="311" t="n">
        <v>21</v>
      </c>
      <c r="AH119" s="311" t="n">
        <v>4</v>
      </c>
      <c r="AI119" s="311" t="n">
        <v>5</v>
      </c>
      <c r="AJ119" s="311" t="n">
        <v>1</v>
      </c>
      <c r="AK119" s="311" t="n">
        <v>30</v>
      </c>
      <c r="AU119" s="406"/>
    </row>
    <row r="120" customFormat="false" ht="12.75" hidden="false" customHeight="false" outlineLevel="0" collapsed="false">
      <c r="A120" s="352" t="str">
        <f aca="false">Option3!A87</f>
        <v>N/A</v>
      </c>
      <c r="B120" s="396" t="str">
        <f aca="false">IF(A120="N/A"," ",IF(ISERROR(N120),B108*Pwresc,N120)*VLOOKUP(MONTH(A120),Curveadj,3))</f>
        <v> </v>
      </c>
      <c r="C120" s="397" t="str">
        <f aca="false">IF(A120="N/A"," ",(IF(AND(Scaler3=1,MONTH(A120)&gt;=6,MONTH(A120)&lt;=8,OR($M$37="REGION 2",$M$37="REGION 2A",$M$37="REGION 2B",$M$37="REGION 3",$M$37="REGION 3A",$M$37="REGION 3B",$M$37="REGION 3C",$M$37="REGION 4",$M$37="REGION 4B",$M$37="REGION 4C",$M$37="REGION 5",$M$37="REGION 5A")),((0.059228/(B120/100))-(0.4980013/(SQRT(B120/100)))+2.137988),HLOOKUP(MONTH(A120),ScalarTable,28))))</f>
        <v> </v>
      </c>
      <c r="D120" s="398" t="str">
        <f aca="false">IF(A120="N/A"," ",C120*B120)</f>
        <v> </v>
      </c>
      <c r="E120" s="396" t="str">
        <f aca="false">IF(A120="N/A"," ",IF(ISERROR(O120),E108*Pwresc,O120)*VLOOKUP(MONTH(A120),Curveadj,3))</f>
        <v> </v>
      </c>
      <c r="F120" s="398" t="str">
        <f aca="false">IF(A120="N/A"," ",E120*C120)</f>
        <v> </v>
      </c>
      <c r="G120" s="396" t="str">
        <f aca="false">IF(A120="N/A"," ",IF(ISERROR(P120),G108*Pwresc,P120)*VLOOKUP(MONTH(A120),Curveadj,3))</f>
        <v> </v>
      </c>
      <c r="H120" s="398" t="str">
        <f aca="false">IF(A120="N/A"," ",G120*C120)</f>
        <v> </v>
      </c>
      <c r="I120" s="398" t="str">
        <f aca="false">IF(A120="N/A"," ",IF(ISERROR(Q120),I108*Pwresc,Q120))</f>
        <v> </v>
      </c>
      <c r="J120" s="398"/>
      <c r="K120" s="399"/>
      <c r="L120" s="399"/>
      <c r="M120" s="404"/>
      <c r="N120" s="401" t="str">
        <f aca="false">IF(A120="N/A"," ",VLOOKUP(A120,PeakPowerCurves,(IF(BMO3=2,3,IF(BMO3=1,2,4))),FALSE()))</f>
        <v> </v>
      </c>
      <c r="O120" s="401" t="str">
        <f aca="false">IF(A120="N/A"," ",VLOOKUP(A120,SatSunPeakPwr,(IF(BMO3=2,3,IF(BMO3=1,2,4))),FALSE()))</f>
        <v> </v>
      </c>
      <c r="P120" s="401" t="str">
        <f aca="false">IF(A120="N/A"," ",VLOOKUP(A120,SatSunPeakPwr,(IF(BMO3=2,7,IF(BMO3=1,6,8))),FALSE()))</f>
        <v> </v>
      </c>
      <c r="Q120" s="402" t="str">
        <f aca="false">IF(A120="N/A"," ",(VLOOKUP(A120,OPPowerPrices,(IF(BMO3=2,7,IF(BMO3=1,6,8))),FALSE())))</f>
        <v> </v>
      </c>
      <c r="R120" s="403" t="str">
        <f aca="false">IF(A120="N/A"," ",(VLOOKUP($A120,IRTable,2)))</f>
        <v> </v>
      </c>
      <c r="AF120" s="352" t="n">
        <v>40087</v>
      </c>
      <c r="AG120" s="311" t="n">
        <v>22</v>
      </c>
      <c r="AH120" s="311" t="n">
        <v>5</v>
      </c>
      <c r="AI120" s="311" t="n">
        <v>4</v>
      </c>
      <c r="AJ120" s="311" t="n">
        <v>0</v>
      </c>
      <c r="AK120" s="311" t="n">
        <v>31</v>
      </c>
      <c r="AU120" s="406"/>
    </row>
    <row r="121" customFormat="false" ht="12.75" hidden="false" customHeight="false" outlineLevel="0" collapsed="false">
      <c r="A121" s="352" t="str">
        <f aca="false">Option3!A88</f>
        <v>N/A</v>
      </c>
      <c r="B121" s="396" t="str">
        <f aca="false">IF(A121="N/A"," ",IF(ISERROR(N121),B109*Pwresc,N121)*VLOOKUP(MONTH(A121),Curveadj,3))</f>
        <v> </v>
      </c>
      <c r="C121" s="397" t="str">
        <f aca="false">IF(A121="N/A"," ",(IF(AND(Scaler3=1,MONTH(A121)&gt;=6,MONTH(A121)&lt;=8,OR($M$37="REGION 2",$M$37="REGION 2A",$M$37="REGION 2B",$M$37="REGION 3",$M$37="REGION 3A",$M$37="REGION 3B",$M$37="REGION 3C",$M$37="REGION 4",$M$37="REGION 4B",$M$37="REGION 4C",$M$37="REGION 5",$M$37="REGION 5A")),((0.059228/(B121/100))-(0.4980013/(SQRT(B121/100)))+2.137988),HLOOKUP(MONTH(A121),ScalarTable,28))))</f>
        <v> </v>
      </c>
      <c r="D121" s="398" t="str">
        <f aca="false">IF(A121="N/A"," ",C121*B121)</f>
        <v> </v>
      </c>
      <c r="E121" s="396" t="str">
        <f aca="false">IF(A121="N/A"," ",IF(ISERROR(O121),E109*Pwresc,O121)*VLOOKUP(MONTH(A121),Curveadj,3))</f>
        <v> </v>
      </c>
      <c r="F121" s="398" t="str">
        <f aca="false">IF(A121="N/A"," ",E121*C121)</f>
        <v> </v>
      </c>
      <c r="G121" s="396" t="str">
        <f aca="false">IF(A121="N/A"," ",IF(ISERROR(P121),G109*Pwresc,P121)*VLOOKUP(MONTH(A121),Curveadj,3))</f>
        <v> </v>
      </c>
      <c r="H121" s="398" t="str">
        <f aca="false">IF(A121="N/A"," ",G121*C121)</f>
        <v> </v>
      </c>
      <c r="I121" s="398" t="str">
        <f aca="false">IF(A121="N/A"," ",IF(ISERROR(Q121),I109*Pwresc,Q121))</f>
        <v> </v>
      </c>
      <c r="J121" s="398"/>
      <c r="K121" s="399"/>
      <c r="L121" s="399"/>
      <c r="M121" s="404"/>
      <c r="N121" s="401" t="str">
        <f aca="false">IF(A121="N/A"," ",VLOOKUP(A121,PeakPowerCurves,(IF(BMO3=2,3,IF(BMO3=1,2,4))),FALSE()))</f>
        <v> </v>
      </c>
      <c r="O121" s="401" t="str">
        <f aca="false">IF(A121="N/A"," ",VLOOKUP(A121,SatSunPeakPwr,(IF(BMO3=2,3,IF(BMO3=1,2,4))),FALSE()))</f>
        <v> </v>
      </c>
      <c r="P121" s="401" t="str">
        <f aca="false">IF(A121="N/A"," ",VLOOKUP(A121,SatSunPeakPwr,(IF(BMO3=2,7,IF(BMO3=1,6,8))),FALSE()))</f>
        <v> </v>
      </c>
      <c r="Q121" s="402" t="str">
        <f aca="false">IF(A121="N/A"," ",(VLOOKUP(A121,OPPowerPrices,(IF(BMO3=2,7,IF(BMO3=1,6,8))),FALSE())))</f>
        <v> </v>
      </c>
      <c r="R121" s="403" t="str">
        <f aca="false">IF(A121="N/A"," ",(VLOOKUP($A121,IRTable,2)))</f>
        <v> </v>
      </c>
      <c r="AF121" s="352" t="n">
        <v>40118</v>
      </c>
      <c r="AG121" s="311" t="n">
        <v>20</v>
      </c>
      <c r="AH121" s="311" t="n">
        <v>4</v>
      </c>
      <c r="AI121" s="311" t="n">
        <v>6</v>
      </c>
      <c r="AJ121" s="311" t="n">
        <v>1</v>
      </c>
      <c r="AK121" s="311" t="n">
        <v>30</v>
      </c>
      <c r="AU121" s="406"/>
    </row>
    <row r="122" customFormat="false" ht="12.75" hidden="false" customHeight="false" outlineLevel="0" collapsed="false">
      <c r="A122" s="352" t="str">
        <f aca="false">Option3!A89</f>
        <v>N/A</v>
      </c>
      <c r="B122" s="396" t="str">
        <f aca="false">IF(A122="N/A"," ",IF(ISERROR(N122),B110*Pwresc,N122)*VLOOKUP(MONTH(A122),Curveadj,3))</f>
        <v> </v>
      </c>
      <c r="C122" s="397" t="str">
        <f aca="false">IF(A122="N/A"," ",(IF(AND(Scaler3=1,MONTH(A122)&gt;=6,MONTH(A122)&lt;=8,OR($M$37="REGION 2",$M$37="REGION 2A",$M$37="REGION 2B",$M$37="REGION 3",$M$37="REGION 3A",$M$37="REGION 3B",$M$37="REGION 3C",$M$37="REGION 4",$M$37="REGION 4B",$M$37="REGION 4C",$M$37="REGION 5",$M$37="REGION 5A")),((0.059228/(B122/100))-(0.4980013/(SQRT(B122/100)))+2.137988),HLOOKUP(MONTH(A122),ScalarTable,28))))</f>
        <v> </v>
      </c>
      <c r="D122" s="398" t="str">
        <f aca="false">IF(A122="N/A"," ",C122*B122)</f>
        <v> </v>
      </c>
      <c r="E122" s="396" t="str">
        <f aca="false">IF(A122="N/A"," ",IF(ISERROR(O122),E110*Pwresc,O122)*VLOOKUP(MONTH(A122),Curveadj,3))</f>
        <v> </v>
      </c>
      <c r="F122" s="398" t="str">
        <f aca="false">IF(A122="N/A"," ",E122*C122)</f>
        <v> </v>
      </c>
      <c r="G122" s="396" t="str">
        <f aca="false">IF(A122="N/A"," ",IF(ISERROR(P122),G110*Pwresc,P122)*VLOOKUP(MONTH(A122),Curveadj,3))</f>
        <v> </v>
      </c>
      <c r="H122" s="398" t="str">
        <f aca="false">IF(A122="N/A"," ",G122*C122)</f>
        <v> </v>
      </c>
      <c r="I122" s="398" t="str">
        <f aca="false">IF(A122="N/A"," ",IF(ISERROR(Q122),I110*Pwresc,Q122))</f>
        <v> </v>
      </c>
      <c r="J122" s="398"/>
      <c r="K122" s="399"/>
      <c r="L122" s="399"/>
      <c r="M122" s="404"/>
      <c r="N122" s="401" t="str">
        <f aca="false">IF(A122="N/A"," ",VLOOKUP(A122,PeakPowerCurves,(IF(BMO3=2,3,IF(BMO3=1,2,4))),FALSE()))</f>
        <v> </v>
      </c>
      <c r="O122" s="401" t="str">
        <f aca="false">IF(A122="N/A"," ",VLOOKUP(A122,SatSunPeakPwr,(IF(BMO3=2,3,IF(BMO3=1,2,4))),FALSE()))</f>
        <v> </v>
      </c>
      <c r="P122" s="401" t="str">
        <f aca="false">IF(A122="N/A"," ",VLOOKUP(A122,SatSunPeakPwr,(IF(BMO3=2,7,IF(BMO3=1,6,8))),FALSE()))</f>
        <v> </v>
      </c>
      <c r="Q122" s="402" t="str">
        <f aca="false">IF(A122="N/A"," ",(VLOOKUP(A122,OPPowerPrices,(IF(BMO3=2,7,IF(BMO3=1,6,8))),FALSE())))</f>
        <v> </v>
      </c>
      <c r="R122" s="403" t="str">
        <f aca="false">IF(A122="N/A"," ",(VLOOKUP($A122,IRTable,2)))</f>
        <v> </v>
      </c>
      <c r="AF122" s="352" t="n">
        <v>40148</v>
      </c>
      <c r="AG122" s="311" t="n">
        <v>22</v>
      </c>
      <c r="AH122" s="311" t="n">
        <v>4</v>
      </c>
      <c r="AI122" s="311" t="n">
        <v>5</v>
      </c>
      <c r="AJ122" s="311" t="n">
        <v>1</v>
      </c>
      <c r="AK122" s="311" t="n">
        <v>31</v>
      </c>
      <c r="AU122" s="406"/>
    </row>
    <row r="123" customFormat="false" ht="12.75" hidden="false" customHeight="false" outlineLevel="0" collapsed="false">
      <c r="A123" s="352" t="str">
        <f aca="false">Option3!A90</f>
        <v>N/A</v>
      </c>
      <c r="B123" s="396" t="str">
        <f aca="false">IF(A123="N/A"," ",IF(ISERROR(N123),B111*Pwresc,N123)*VLOOKUP(MONTH(A123),Curveadj,3))</f>
        <v> </v>
      </c>
      <c r="C123" s="397" t="str">
        <f aca="false">IF(A123="N/A"," ",(IF(AND(Scaler3=1,MONTH(A123)&gt;=6,MONTH(A123)&lt;=8,OR($M$37="REGION 2",$M$37="REGION 2A",$M$37="REGION 2B",$M$37="REGION 3",$M$37="REGION 3A",$M$37="REGION 3B",$M$37="REGION 3C",$M$37="REGION 4",$M$37="REGION 4B",$M$37="REGION 4C",$M$37="REGION 5",$M$37="REGION 5A")),((0.059228/(B123/100))-(0.4980013/(SQRT(B123/100)))+2.137988),HLOOKUP(MONTH(A123),ScalarTable,28))))</f>
        <v> </v>
      </c>
      <c r="D123" s="398" t="str">
        <f aca="false">IF(A123="N/A"," ",C123*B123)</f>
        <v> </v>
      </c>
      <c r="E123" s="396" t="str">
        <f aca="false">IF(A123="N/A"," ",IF(ISERROR(O123),E111*Pwresc,O123)*VLOOKUP(MONTH(A123),Curveadj,3))</f>
        <v> </v>
      </c>
      <c r="F123" s="398" t="str">
        <f aca="false">IF(A123="N/A"," ",E123*C123)</f>
        <v> </v>
      </c>
      <c r="G123" s="396" t="str">
        <f aca="false">IF(A123="N/A"," ",IF(ISERROR(P123),G111*Pwresc,P123)*VLOOKUP(MONTH(A123),Curveadj,3))</f>
        <v> </v>
      </c>
      <c r="H123" s="398" t="str">
        <f aca="false">IF(A123="N/A"," ",G123*C123)</f>
        <v> </v>
      </c>
      <c r="I123" s="398" t="str">
        <f aca="false">IF(A123="N/A"," ",IF(ISERROR(Q123),I111*Pwresc,Q123))</f>
        <v> </v>
      </c>
      <c r="J123" s="398"/>
      <c r="K123" s="399"/>
      <c r="L123" s="399"/>
      <c r="M123" s="404"/>
      <c r="N123" s="401" t="str">
        <f aca="false">IF(A123="N/A"," ",VLOOKUP(A123,PeakPowerCurves,(IF(BMO3=2,3,IF(BMO3=1,2,4))),FALSE()))</f>
        <v> </v>
      </c>
      <c r="O123" s="401" t="str">
        <f aca="false">IF(A123="N/A"," ",VLOOKUP(A123,SatSunPeakPwr,(IF(BMO3=2,3,IF(BMO3=1,2,4))),FALSE()))</f>
        <v> </v>
      </c>
      <c r="P123" s="401" t="str">
        <f aca="false">IF(A123="N/A"," ",VLOOKUP(A123,SatSunPeakPwr,(IF(BMO3=2,7,IF(BMO3=1,6,8))),FALSE()))</f>
        <v> </v>
      </c>
      <c r="Q123" s="402" t="str">
        <f aca="false">IF(A123="N/A"," ",(VLOOKUP(A123,OPPowerPrices,(IF(BMO3=2,7,IF(BMO3=1,6,8))),FALSE())))</f>
        <v> </v>
      </c>
      <c r="R123" s="403" t="str">
        <f aca="false">IF(A123="N/A"," ",(VLOOKUP($A123,IRTable,2)))</f>
        <v> </v>
      </c>
      <c r="AF123" s="352" t="n">
        <v>40179</v>
      </c>
      <c r="AG123" s="311" t="n">
        <v>20</v>
      </c>
      <c r="AH123" s="311" t="n">
        <v>5</v>
      </c>
      <c r="AI123" s="311" t="n">
        <v>6</v>
      </c>
      <c r="AJ123" s="311" t="n">
        <v>1</v>
      </c>
      <c r="AK123" s="311" t="n">
        <v>31</v>
      </c>
      <c r="AU123" s="406"/>
    </row>
    <row r="124" customFormat="false" ht="12.75" hidden="false" customHeight="false" outlineLevel="0" collapsed="false">
      <c r="A124" s="352" t="str">
        <f aca="false">Option3!A91</f>
        <v>N/A</v>
      </c>
      <c r="B124" s="396" t="str">
        <f aca="false">IF(A124="N/A"," ",IF(ISERROR(N124),B112*Pwresc,N124)*VLOOKUP(MONTH(A124),Curveadj,3))</f>
        <v> </v>
      </c>
      <c r="C124" s="397" t="str">
        <f aca="false">IF(A124="N/A"," ",(IF(AND(Scaler3=1,MONTH(A124)&gt;=6,MONTH(A124)&lt;=8,OR($M$37="REGION 2",$M$37="REGION 2A",$M$37="REGION 2B",$M$37="REGION 3",$M$37="REGION 3A",$M$37="REGION 3B",$M$37="REGION 3C",$M$37="REGION 4",$M$37="REGION 4B",$M$37="REGION 4C",$M$37="REGION 5",$M$37="REGION 5A")),((0.059228/(B124/100))-(0.4980013/(SQRT(B124/100)))+2.137988),HLOOKUP(MONTH(A124),ScalarTable,28))))</f>
        <v> </v>
      </c>
      <c r="D124" s="398" t="str">
        <f aca="false">IF(A124="N/A"," ",C124*B124)</f>
        <v> </v>
      </c>
      <c r="E124" s="396" t="str">
        <f aca="false">IF(A124="N/A"," ",IF(ISERROR(O124),E112*Pwresc,O124)*VLOOKUP(MONTH(A124),Curveadj,3))</f>
        <v> </v>
      </c>
      <c r="F124" s="398" t="str">
        <f aca="false">IF(A124="N/A"," ",E124*C124)</f>
        <v> </v>
      </c>
      <c r="G124" s="396" t="str">
        <f aca="false">IF(A124="N/A"," ",IF(ISERROR(P124),G112*Pwresc,P124)*VLOOKUP(MONTH(A124),Curveadj,3))</f>
        <v> </v>
      </c>
      <c r="H124" s="398" t="str">
        <f aca="false">IF(A124="N/A"," ",G124*C124)</f>
        <v> </v>
      </c>
      <c r="I124" s="398" t="str">
        <f aca="false">IF(A124="N/A"," ",IF(ISERROR(Q124),I112*Pwresc,Q124))</f>
        <v> </v>
      </c>
      <c r="J124" s="398"/>
      <c r="K124" s="399"/>
      <c r="L124" s="399"/>
      <c r="M124" s="404"/>
      <c r="N124" s="401" t="str">
        <f aca="false">IF(A124="N/A"," ",VLOOKUP(A124,PeakPowerCurves,(IF(BMO3=2,3,IF(BMO3=1,2,4))),FALSE()))</f>
        <v> </v>
      </c>
      <c r="O124" s="401" t="str">
        <f aca="false">IF(A124="N/A"," ",VLOOKUP(A124,SatSunPeakPwr,(IF(BMO3=2,3,IF(BMO3=1,2,4))),FALSE()))</f>
        <v> </v>
      </c>
      <c r="P124" s="401" t="str">
        <f aca="false">IF(A124="N/A"," ",VLOOKUP(A124,SatSunPeakPwr,(IF(BMO3=2,7,IF(BMO3=1,6,8))),FALSE()))</f>
        <v> </v>
      </c>
      <c r="Q124" s="402" t="str">
        <f aca="false">IF(A124="N/A"," ",(VLOOKUP(A124,OPPowerPrices,(IF(BMO3=2,7,IF(BMO3=1,6,8))),FALSE())))</f>
        <v> </v>
      </c>
      <c r="R124" s="403" t="str">
        <f aca="false">IF(A124="N/A"," ",(VLOOKUP($A124,IRTable,2)))</f>
        <v> </v>
      </c>
      <c r="AF124" s="352" t="n">
        <v>40210</v>
      </c>
      <c r="AG124" s="311" t="n">
        <v>20</v>
      </c>
      <c r="AH124" s="311" t="n">
        <v>4</v>
      </c>
      <c r="AI124" s="311" t="n">
        <v>4</v>
      </c>
      <c r="AJ124" s="311" t="n">
        <v>0</v>
      </c>
      <c r="AK124" s="311" t="n">
        <v>28</v>
      </c>
      <c r="AU124" s="406"/>
    </row>
    <row r="125" customFormat="false" ht="12.75" hidden="false" customHeight="false" outlineLevel="0" collapsed="false">
      <c r="A125" s="352" t="str">
        <f aca="false">Option3!A92</f>
        <v>N/A</v>
      </c>
      <c r="B125" s="396" t="str">
        <f aca="false">IF(A125="N/A"," ",IF(ISERROR(N125),B113*Pwresc,N125)*VLOOKUP(MONTH(A125),Curveadj,3))</f>
        <v> </v>
      </c>
      <c r="C125" s="397" t="str">
        <f aca="false">IF(A125="N/A"," ",(IF(AND(Scaler3=1,MONTH(A125)&gt;=6,MONTH(A125)&lt;=8,OR($M$37="REGION 2",$M$37="REGION 2A",$M$37="REGION 2B",$M$37="REGION 3",$M$37="REGION 3A",$M$37="REGION 3B",$M$37="REGION 3C",$M$37="REGION 4",$M$37="REGION 4B",$M$37="REGION 4C",$M$37="REGION 5",$M$37="REGION 5A")),((0.059228/(B125/100))-(0.4980013/(SQRT(B125/100)))+2.137988),HLOOKUP(MONTH(A125),ScalarTable,28))))</f>
        <v> </v>
      </c>
      <c r="D125" s="398" t="str">
        <f aca="false">IF(A125="N/A"," ",C125*B125)</f>
        <v> </v>
      </c>
      <c r="E125" s="396" t="str">
        <f aca="false">IF(A125="N/A"," ",IF(ISERROR(O125),E113*Pwresc,O125)*VLOOKUP(MONTH(A125),Curveadj,3))</f>
        <v> </v>
      </c>
      <c r="F125" s="398" t="str">
        <f aca="false">IF(A125="N/A"," ",E125*C125)</f>
        <v> </v>
      </c>
      <c r="G125" s="396" t="str">
        <f aca="false">IF(A125="N/A"," ",IF(ISERROR(P125),G113*Pwresc,P125)*VLOOKUP(MONTH(A125),Curveadj,3))</f>
        <v> </v>
      </c>
      <c r="H125" s="398" t="str">
        <f aca="false">IF(A125="N/A"," ",G125*C125)</f>
        <v> </v>
      </c>
      <c r="I125" s="398" t="str">
        <f aca="false">IF(A125="N/A"," ",IF(ISERROR(Q125),I113*Pwresc,Q125))</f>
        <v> </v>
      </c>
      <c r="J125" s="398"/>
      <c r="K125" s="399"/>
      <c r="L125" s="399"/>
      <c r="M125" s="404"/>
      <c r="N125" s="401" t="str">
        <f aca="false">IF(A125="N/A"," ",VLOOKUP(A125,PeakPowerCurves,(IF(BMO3=2,3,IF(BMO3=1,2,4))),FALSE()))</f>
        <v> </v>
      </c>
      <c r="O125" s="401" t="str">
        <f aca="false">IF(A125="N/A"," ",VLOOKUP(A125,SatSunPeakPwr,(IF(BMO3=2,3,IF(BMO3=1,2,4))),FALSE()))</f>
        <v> </v>
      </c>
      <c r="P125" s="401" t="str">
        <f aca="false">IF(A125="N/A"," ",VLOOKUP(A125,SatSunPeakPwr,(IF(BMO3=2,7,IF(BMO3=1,6,8))),FALSE()))</f>
        <v> </v>
      </c>
      <c r="Q125" s="402" t="str">
        <f aca="false">IF(A125="N/A"," ",(VLOOKUP(A125,OPPowerPrices,(IF(BMO3=2,7,IF(BMO3=1,6,8))),FALSE())))</f>
        <v> </v>
      </c>
      <c r="R125" s="403" t="str">
        <f aca="false">IF(A125="N/A"," ",(VLOOKUP($A125,IRTable,2)))</f>
        <v> </v>
      </c>
      <c r="AF125" s="352" t="n">
        <v>40238</v>
      </c>
      <c r="AG125" s="311" t="n">
        <v>23</v>
      </c>
      <c r="AH125" s="311" t="n">
        <v>4</v>
      </c>
      <c r="AI125" s="311" t="n">
        <v>4</v>
      </c>
      <c r="AJ125" s="311" t="n">
        <v>0</v>
      </c>
      <c r="AK125" s="311" t="n">
        <v>31</v>
      </c>
      <c r="AU125" s="406"/>
    </row>
    <row r="126" customFormat="false" ht="12.75" hidden="false" customHeight="false" outlineLevel="0" collapsed="false">
      <c r="A126" s="352" t="str">
        <f aca="false">Option3!A93</f>
        <v>N/A</v>
      </c>
      <c r="B126" s="396" t="str">
        <f aca="false">IF(A126="N/A"," ",IF(ISERROR(N126),B114*Pwresc,N126)*VLOOKUP(MONTH(A126),Curveadj,3))</f>
        <v> </v>
      </c>
      <c r="C126" s="397" t="str">
        <f aca="false">IF(A126="N/A"," ",(IF(AND(Scaler3=1,MONTH(A126)&gt;=6,MONTH(A126)&lt;=8,OR($M$37="REGION 2",$M$37="REGION 2A",$M$37="REGION 2B",$M$37="REGION 3",$M$37="REGION 3A",$M$37="REGION 3B",$M$37="REGION 3C",$M$37="REGION 4",$M$37="REGION 4B",$M$37="REGION 4C",$M$37="REGION 5",$M$37="REGION 5A")),((0.059228/(B126/100))-(0.4980013/(SQRT(B126/100)))+2.137988),HLOOKUP(MONTH(A126),ScalarTable,28))))</f>
        <v> </v>
      </c>
      <c r="D126" s="398" t="str">
        <f aca="false">IF(A126="N/A"," ",C126*B126)</f>
        <v> </v>
      </c>
      <c r="E126" s="396" t="str">
        <f aca="false">IF(A126="N/A"," ",IF(ISERROR(O126),E114*Pwresc,O126)*VLOOKUP(MONTH(A126),Curveadj,3))</f>
        <v> </v>
      </c>
      <c r="F126" s="398" t="str">
        <f aca="false">IF(A126="N/A"," ",E126*C126)</f>
        <v> </v>
      </c>
      <c r="G126" s="396" t="str">
        <f aca="false">IF(A126="N/A"," ",IF(ISERROR(P126),G114*Pwresc,P126)*VLOOKUP(MONTH(A126),Curveadj,3))</f>
        <v> </v>
      </c>
      <c r="H126" s="398" t="str">
        <f aca="false">IF(A126="N/A"," ",G126*C126)</f>
        <v> </v>
      </c>
      <c r="I126" s="398" t="str">
        <f aca="false">IF(A126="N/A"," ",IF(ISERROR(Q126),I114*Pwresc,Q126))</f>
        <v> </v>
      </c>
      <c r="J126" s="398"/>
      <c r="K126" s="399"/>
      <c r="L126" s="399"/>
      <c r="M126" s="404"/>
      <c r="N126" s="401" t="str">
        <f aca="false">IF(A126="N/A"," ",VLOOKUP(A126,PeakPowerCurves,(IF(BMO3=2,3,IF(BMO3=1,2,4))),FALSE()))</f>
        <v> </v>
      </c>
      <c r="O126" s="401" t="str">
        <f aca="false">IF(A126="N/A"," ",VLOOKUP(A126,SatSunPeakPwr,(IF(BMO3=2,3,IF(BMO3=1,2,4))),FALSE()))</f>
        <v> </v>
      </c>
      <c r="P126" s="401" t="str">
        <f aca="false">IF(A126="N/A"," ",VLOOKUP(A126,SatSunPeakPwr,(IF(BMO3=2,7,IF(BMO3=1,6,8))),FALSE()))</f>
        <v> </v>
      </c>
      <c r="Q126" s="402" t="str">
        <f aca="false">IF(A126="N/A"," ",(VLOOKUP(A126,OPPowerPrices,(IF(BMO3=2,7,IF(BMO3=1,6,8))),FALSE())))</f>
        <v> </v>
      </c>
      <c r="R126" s="403" t="str">
        <f aca="false">IF(A126="N/A"," ",(VLOOKUP($A126,IRTable,2)))</f>
        <v> </v>
      </c>
      <c r="AF126" s="352" t="n">
        <v>40269</v>
      </c>
      <c r="AG126" s="311" t="n">
        <v>22</v>
      </c>
      <c r="AH126" s="311" t="n">
        <v>4</v>
      </c>
      <c r="AI126" s="311" t="n">
        <v>4</v>
      </c>
      <c r="AJ126" s="311" t="n">
        <v>0</v>
      </c>
      <c r="AK126" s="311" t="n">
        <v>30</v>
      </c>
      <c r="AU126" s="406"/>
    </row>
    <row r="127" customFormat="false" ht="12.75" hidden="false" customHeight="false" outlineLevel="0" collapsed="false">
      <c r="A127" s="352" t="str">
        <f aca="false">Option3!A94</f>
        <v>N/A</v>
      </c>
      <c r="B127" s="396" t="str">
        <f aca="false">IF(A127="N/A"," ",IF(ISERROR(N127),B115*Pwresc,N127)*VLOOKUP(MONTH(A127),Curveadj,3))</f>
        <v> </v>
      </c>
      <c r="C127" s="397" t="str">
        <f aca="false">IF(A127="N/A"," ",(IF(AND(Scaler3=1,MONTH(A127)&gt;=6,MONTH(A127)&lt;=8,OR($M$37="REGION 2",$M$37="REGION 2A",$M$37="REGION 2B",$M$37="REGION 3",$M$37="REGION 3A",$M$37="REGION 3B",$M$37="REGION 3C",$M$37="REGION 4",$M$37="REGION 4B",$M$37="REGION 4C",$M$37="REGION 5",$M$37="REGION 5A")),((0.059228/(B127/100))-(0.4980013/(SQRT(B127/100)))+2.137988),HLOOKUP(MONTH(A127),ScalarTable,28))))</f>
        <v> </v>
      </c>
      <c r="D127" s="398" t="str">
        <f aca="false">IF(A127="N/A"," ",C127*B127)</f>
        <v> </v>
      </c>
      <c r="E127" s="396" t="str">
        <f aca="false">IF(A127="N/A"," ",IF(ISERROR(O127),E115*Pwresc,O127)*VLOOKUP(MONTH(A127),Curveadj,3))</f>
        <v> </v>
      </c>
      <c r="F127" s="398" t="str">
        <f aca="false">IF(A127="N/A"," ",E127*C127)</f>
        <v> </v>
      </c>
      <c r="G127" s="396" t="str">
        <f aca="false">IF(A127="N/A"," ",IF(ISERROR(P127),G115*Pwresc,P127)*VLOOKUP(MONTH(A127),Curveadj,3))</f>
        <v> </v>
      </c>
      <c r="H127" s="398" t="str">
        <f aca="false">IF(A127="N/A"," ",G127*C127)</f>
        <v> </v>
      </c>
      <c r="I127" s="398" t="str">
        <f aca="false">IF(A127="N/A"," ",IF(ISERROR(Q127),I115*Pwresc,Q127))</f>
        <v> </v>
      </c>
      <c r="J127" s="398"/>
      <c r="K127" s="399"/>
      <c r="L127" s="399"/>
      <c r="M127" s="404"/>
      <c r="N127" s="401" t="str">
        <f aca="false">IF(A127="N/A"," ",VLOOKUP(A127,PeakPowerCurves,(IF(BMO3=2,3,IF(BMO3=1,2,4))),FALSE()))</f>
        <v> </v>
      </c>
      <c r="O127" s="401" t="str">
        <f aca="false">IF(A127="N/A"," ",VLOOKUP(A127,SatSunPeakPwr,(IF(BMO3=2,3,IF(BMO3=1,2,4))),FALSE()))</f>
        <v> </v>
      </c>
      <c r="P127" s="401" t="str">
        <f aca="false">IF(A127="N/A"," ",VLOOKUP(A127,SatSunPeakPwr,(IF(BMO3=2,7,IF(BMO3=1,6,8))),FALSE()))</f>
        <v> </v>
      </c>
      <c r="Q127" s="402" t="str">
        <f aca="false">IF(A127="N/A"," ",(VLOOKUP(A127,OPPowerPrices,(IF(BMO3=2,7,IF(BMO3=1,6,8))),FALSE())))</f>
        <v> </v>
      </c>
      <c r="R127" s="403" t="str">
        <f aca="false">IF(A127="N/A"," ",(VLOOKUP($A127,IRTable,2)))</f>
        <v> </v>
      </c>
      <c r="AF127" s="352" t="n">
        <v>40299</v>
      </c>
      <c r="AG127" s="311" t="n">
        <v>20</v>
      </c>
      <c r="AH127" s="311" t="n">
        <v>5</v>
      </c>
      <c r="AI127" s="311" t="n">
        <v>6</v>
      </c>
      <c r="AJ127" s="311" t="n">
        <v>1</v>
      </c>
      <c r="AK127" s="311" t="n">
        <v>31</v>
      </c>
      <c r="AU127" s="406"/>
    </row>
    <row r="128" customFormat="false" ht="12.75" hidden="false" customHeight="false" outlineLevel="0" collapsed="false">
      <c r="A128" s="352" t="str">
        <f aca="false">Option3!A95</f>
        <v>N/A</v>
      </c>
      <c r="B128" s="396" t="str">
        <f aca="false">IF(A128="N/A"," ",IF(ISERROR(N128),B116*Pwresc,N128)*VLOOKUP(MONTH(A128),Curveadj,3))</f>
        <v> </v>
      </c>
      <c r="C128" s="397" t="str">
        <f aca="false">IF(A128="N/A"," ",(IF(AND(Scaler3=1,MONTH(A128)&gt;=6,MONTH(A128)&lt;=8,OR($M$37="REGION 2",$M$37="REGION 2A",$M$37="REGION 2B",$M$37="REGION 3",$M$37="REGION 3A",$M$37="REGION 3B",$M$37="REGION 3C",$M$37="REGION 4",$M$37="REGION 4B",$M$37="REGION 4C",$M$37="REGION 5",$M$37="REGION 5A")),((0.059228/(B128/100))-(0.4980013/(SQRT(B128/100)))+2.137988),HLOOKUP(MONTH(A128),ScalarTable,28))))</f>
        <v> </v>
      </c>
      <c r="D128" s="398" t="str">
        <f aca="false">IF(A128="N/A"," ",C128*B128)</f>
        <v> </v>
      </c>
      <c r="E128" s="396" t="str">
        <f aca="false">IF(A128="N/A"," ",IF(ISERROR(O128),E116*Pwresc,O128)*VLOOKUP(MONTH(A128),Curveadj,3))</f>
        <v> </v>
      </c>
      <c r="F128" s="398" t="str">
        <f aca="false">IF(A128="N/A"," ",E128*C128)</f>
        <v> </v>
      </c>
      <c r="G128" s="396" t="str">
        <f aca="false">IF(A128="N/A"," ",IF(ISERROR(P128),G116*Pwresc,P128)*VLOOKUP(MONTH(A128),Curveadj,3))</f>
        <v> </v>
      </c>
      <c r="H128" s="398" t="str">
        <f aca="false">IF(A128="N/A"," ",G128*C128)</f>
        <v> </v>
      </c>
      <c r="I128" s="398" t="str">
        <f aca="false">IF(A128="N/A"," ",IF(ISERROR(Q128),I116*Pwresc,Q128))</f>
        <v> </v>
      </c>
      <c r="J128" s="398"/>
      <c r="K128" s="399"/>
      <c r="L128" s="399"/>
      <c r="M128" s="404"/>
      <c r="N128" s="401" t="str">
        <f aca="false">IF(A128="N/A"," ",VLOOKUP(A128,PeakPowerCurves,(IF(BMO3=2,3,IF(BMO3=1,2,4))),FALSE()))</f>
        <v> </v>
      </c>
      <c r="O128" s="401" t="str">
        <f aca="false">IF(A128="N/A"," ",VLOOKUP(A128,SatSunPeakPwr,(IF(BMO3=2,3,IF(BMO3=1,2,4))),FALSE()))</f>
        <v> </v>
      </c>
      <c r="P128" s="401" t="str">
        <f aca="false">IF(A128="N/A"," ",VLOOKUP(A128,SatSunPeakPwr,(IF(BMO3=2,7,IF(BMO3=1,6,8))),FALSE()))</f>
        <v> </v>
      </c>
      <c r="Q128" s="402" t="str">
        <f aca="false">IF(A128="N/A"," ",(VLOOKUP(A128,OPPowerPrices,(IF(BMO3=2,7,IF(BMO3=1,6,8))),FALSE())))</f>
        <v> </v>
      </c>
      <c r="R128" s="403" t="str">
        <f aca="false">IF(A128="N/A"," ",(VLOOKUP($A128,IRTable,2)))</f>
        <v> </v>
      </c>
      <c r="AF128" s="352" t="n">
        <v>40330</v>
      </c>
      <c r="AG128" s="311" t="n">
        <v>22</v>
      </c>
      <c r="AH128" s="311" t="n">
        <v>4</v>
      </c>
      <c r="AI128" s="311" t="n">
        <v>4</v>
      </c>
      <c r="AJ128" s="311" t="n">
        <v>0</v>
      </c>
      <c r="AK128" s="311" t="n">
        <v>30</v>
      </c>
      <c r="AU128" s="406"/>
    </row>
    <row r="129" customFormat="false" ht="12.75" hidden="false" customHeight="false" outlineLevel="0" collapsed="false">
      <c r="A129" s="352" t="str">
        <f aca="false">Option3!A96</f>
        <v>N/A</v>
      </c>
      <c r="B129" s="396" t="str">
        <f aca="false">IF(A129="N/A"," ",IF(ISERROR(N129),B117*Pwresc,N129)*VLOOKUP(MONTH(A129),Curveadj,3))</f>
        <v> </v>
      </c>
      <c r="C129" s="397" t="str">
        <f aca="false">IF(A129="N/A"," ",(IF(AND(Scaler3=1,MONTH(A129)&gt;=6,MONTH(A129)&lt;=8,OR($M$37="REGION 2",$M$37="REGION 2A",$M$37="REGION 2B",$M$37="REGION 3",$M$37="REGION 3A",$M$37="REGION 3B",$M$37="REGION 3C",$M$37="REGION 4",$M$37="REGION 4B",$M$37="REGION 4C",$M$37="REGION 5",$M$37="REGION 5A")),((0.059228/(B129/100))-(0.4980013/(SQRT(B129/100)))+2.137988),HLOOKUP(MONTH(A129),ScalarTable,28))))</f>
        <v> </v>
      </c>
      <c r="D129" s="398" t="str">
        <f aca="false">IF(A129="N/A"," ",C129*B129)</f>
        <v> </v>
      </c>
      <c r="E129" s="396" t="str">
        <f aca="false">IF(A129="N/A"," ",IF(ISERROR(O129),E117*Pwresc,O129)*VLOOKUP(MONTH(A129),Curveadj,3))</f>
        <v> </v>
      </c>
      <c r="F129" s="398" t="str">
        <f aca="false">IF(A129="N/A"," ",E129*C129)</f>
        <v> </v>
      </c>
      <c r="G129" s="396" t="str">
        <f aca="false">IF(A129="N/A"," ",IF(ISERROR(P129),G117*Pwresc,P129)*VLOOKUP(MONTH(A129),Curveadj,3))</f>
        <v> </v>
      </c>
      <c r="H129" s="398" t="str">
        <f aca="false">IF(A129="N/A"," ",G129*C129)</f>
        <v> </v>
      </c>
      <c r="I129" s="398" t="str">
        <f aca="false">IF(A129="N/A"," ",IF(ISERROR(Q129),I117*Pwresc,Q129))</f>
        <v> </v>
      </c>
      <c r="J129" s="398"/>
      <c r="K129" s="399"/>
      <c r="L129" s="399"/>
      <c r="M129" s="404"/>
      <c r="N129" s="401" t="str">
        <f aca="false">IF(A129="N/A"," ",VLOOKUP(A129,PeakPowerCurves,(IF(BMO3=2,3,IF(BMO3=1,2,4))),FALSE()))</f>
        <v> </v>
      </c>
      <c r="O129" s="401" t="str">
        <f aca="false">IF(A129="N/A"," ",VLOOKUP(A129,SatSunPeakPwr,(IF(BMO3=2,3,IF(BMO3=1,2,4))),FALSE()))</f>
        <v> </v>
      </c>
      <c r="P129" s="401" t="str">
        <f aca="false">IF(A129="N/A"," ",VLOOKUP(A129,SatSunPeakPwr,(IF(BMO3=2,7,IF(BMO3=1,6,8))),FALSE()))</f>
        <v> </v>
      </c>
      <c r="Q129" s="402" t="str">
        <f aca="false">IF(A129="N/A"," ",(VLOOKUP(A129,OPPowerPrices,(IF(BMO3=2,7,IF(BMO3=1,6,8))),FALSE())))</f>
        <v> </v>
      </c>
      <c r="R129" s="403" t="str">
        <f aca="false">IF(A129="N/A"," ",(VLOOKUP($A129,IRTable,2)))</f>
        <v> </v>
      </c>
      <c r="AF129" s="352" t="n">
        <v>40360</v>
      </c>
      <c r="AG129" s="311" t="n">
        <v>21</v>
      </c>
      <c r="AH129" s="311" t="n">
        <v>5</v>
      </c>
      <c r="AI129" s="311" t="n">
        <v>5</v>
      </c>
      <c r="AJ129" s="311" t="n">
        <v>1</v>
      </c>
      <c r="AK129" s="311" t="n">
        <v>31</v>
      </c>
      <c r="AU129" s="406"/>
    </row>
    <row r="130" customFormat="false" ht="12.75" hidden="false" customHeight="false" outlineLevel="0" collapsed="false">
      <c r="A130" s="352" t="str">
        <f aca="false">Option3!A97</f>
        <v>N/A</v>
      </c>
      <c r="B130" s="396" t="str">
        <f aca="false">IF(A130="N/A"," ",IF(ISERROR(N130),B118*Pwresc,N130)*VLOOKUP(MONTH(A130),Curveadj,3))</f>
        <v> </v>
      </c>
      <c r="C130" s="397" t="str">
        <f aca="false">IF(A130="N/A"," ",(IF(AND(Scaler3=1,MONTH(A130)&gt;=6,MONTH(A130)&lt;=8,OR($M$37="REGION 2",$M$37="REGION 2A",$M$37="REGION 2B",$M$37="REGION 3",$M$37="REGION 3A",$M$37="REGION 3B",$M$37="REGION 3C",$M$37="REGION 4",$M$37="REGION 4B",$M$37="REGION 4C",$M$37="REGION 5",$M$37="REGION 5A")),((0.059228/(B130/100))-(0.4980013/(SQRT(B130/100)))+2.137988),HLOOKUP(MONTH(A130),ScalarTable,28))))</f>
        <v> </v>
      </c>
      <c r="D130" s="398" t="str">
        <f aca="false">IF(A130="N/A"," ",C130*B130)</f>
        <v> </v>
      </c>
      <c r="E130" s="396" t="str">
        <f aca="false">IF(A130="N/A"," ",IF(ISERROR(O130),E118*Pwresc,O130)*VLOOKUP(MONTH(A130),Curveadj,3))</f>
        <v> </v>
      </c>
      <c r="F130" s="398" t="str">
        <f aca="false">IF(A130="N/A"," ",E130*C130)</f>
        <v> </v>
      </c>
      <c r="G130" s="396" t="str">
        <f aca="false">IF(A130="N/A"," ",IF(ISERROR(P130),G118*Pwresc,P130)*VLOOKUP(MONTH(A130),Curveadj,3))</f>
        <v> </v>
      </c>
      <c r="H130" s="398" t="str">
        <f aca="false">IF(A130="N/A"," ",G130*C130)</f>
        <v> </v>
      </c>
      <c r="I130" s="398" t="str">
        <f aca="false">IF(A130="N/A"," ",IF(ISERROR(Q130),I118*Pwresc,Q130))</f>
        <v> </v>
      </c>
      <c r="J130" s="398"/>
      <c r="K130" s="399"/>
      <c r="L130" s="399"/>
      <c r="M130" s="404"/>
      <c r="N130" s="401" t="str">
        <f aca="false">IF(A130="N/A"," ",VLOOKUP(A130,PeakPowerCurves,(IF(BMO3=2,3,IF(BMO3=1,2,4))),FALSE()))</f>
        <v> </v>
      </c>
      <c r="O130" s="401" t="str">
        <f aca="false">IF(A130="N/A"," ",VLOOKUP(A130,SatSunPeakPwr,(IF(BMO3=2,3,IF(BMO3=1,2,4))),FALSE()))</f>
        <v> </v>
      </c>
      <c r="P130" s="401" t="str">
        <f aca="false">IF(A130="N/A"," ",VLOOKUP(A130,SatSunPeakPwr,(IF(BMO3=2,7,IF(BMO3=1,6,8))),FALSE()))</f>
        <v> </v>
      </c>
      <c r="Q130" s="402" t="str">
        <f aca="false">IF(A130="N/A"," ",(VLOOKUP(A130,OPPowerPrices,(IF(BMO3=2,7,IF(BMO3=1,6,8))),FALSE())))</f>
        <v> </v>
      </c>
      <c r="R130" s="403" t="str">
        <f aca="false">IF(A130="N/A"," ",(VLOOKUP($A130,IRTable,2)))</f>
        <v> </v>
      </c>
      <c r="AF130" s="352" t="n">
        <v>40391</v>
      </c>
      <c r="AG130" s="311" t="n">
        <v>22</v>
      </c>
      <c r="AH130" s="311" t="n">
        <v>4</v>
      </c>
      <c r="AI130" s="311" t="n">
        <v>5</v>
      </c>
      <c r="AJ130" s="311" t="n">
        <v>0</v>
      </c>
      <c r="AK130" s="311" t="n">
        <v>31</v>
      </c>
      <c r="AU130" s="406"/>
    </row>
    <row r="131" customFormat="false" ht="12.75" hidden="false" customHeight="false" outlineLevel="0" collapsed="false">
      <c r="A131" s="352" t="str">
        <f aca="false">Option3!A98</f>
        <v>N/A</v>
      </c>
      <c r="B131" s="396" t="str">
        <f aca="false">IF(A131="N/A"," ",IF(ISERROR(N131),B119*Pwresc,N131)*VLOOKUP(MONTH(A131),Curveadj,3))</f>
        <v> </v>
      </c>
      <c r="C131" s="397" t="str">
        <f aca="false">IF(A131="N/A"," ",(IF(AND(Scaler3=1,MONTH(A131)&gt;=6,MONTH(A131)&lt;=8,OR($M$37="REGION 2",$M$37="REGION 2A",$M$37="REGION 2B",$M$37="REGION 3",$M$37="REGION 3A",$M$37="REGION 3B",$M$37="REGION 3C",$M$37="REGION 4",$M$37="REGION 4B",$M$37="REGION 4C",$M$37="REGION 5",$M$37="REGION 5A")),((0.059228/(B131/100))-(0.4980013/(SQRT(B131/100)))+2.137988),HLOOKUP(MONTH(A131),ScalarTable,28))))</f>
        <v> </v>
      </c>
      <c r="D131" s="398" t="str">
        <f aca="false">IF(A131="N/A"," ",C131*B131)</f>
        <v> </v>
      </c>
      <c r="E131" s="396" t="str">
        <f aca="false">IF(A131="N/A"," ",IF(ISERROR(O131),E119*Pwresc,O131)*VLOOKUP(MONTH(A131),Curveadj,3))</f>
        <v> </v>
      </c>
      <c r="F131" s="398" t="str">
        <f aca="false">IF(A131="N/A"," ",E131*C131)</f>
        <v> </v>
      </c>
      <c r="G131" s="396" t="str">
        <f aca="false">IF(A131="N/A"," ",IF(ISERROR(P131),G119*Pwresc,P131)*VLOOKUP(MONTH(A131),Curveadj,3))</f>
        <v> </v>
      </c>
      <c r="H131" s="398" t="str">
        <f aca="false">IF(A131="N/A"," ",G131*C131)</f>
        <v> </v>
      </c>
      <c r="I131" s="398" t="str">
        <f aca="false">IF(A131="N/A"," ",IF(ISERROR(Q131),I119*Pwresc,Q131))</f>
        <v> </v>
      </c>
      <c r="J131" s="398"/>
      <c r="K131" s="399"/>
      <c r="L131" s="399"/>
      <c r="M131" s="404"/>
      <c r="N131" s="401" t="str">
        <f aca="false">IF(A131="N/A"," ",VLOOKUP(A131,PeakPowerCurves,(IF(BMO3=2,3,IF(BMO3=1,2,4))),FALSE()))</f>
        <v> </v>
      </c>
      <c r="O131" s="401" t="str">
        <f aca="false">IF(A131="N/A"," ",VLOOKUP(A131,SatSunPeakPwr,(IF(BMO3=2,3,IF(BMO3=1,2,4))),FALSE()))</f>
        <v> </v>
      </c>
      <c r="P131" s="401" t="str">
        <f aca="false">IF(A131="N/A"," ",VLOOKUP(A131,SatSunPeakPwr,(IF(BMO3=2,7,IF(BMO3=1,6,8))),FALSE()))</f>
        <v> </v>
      </c>
      <c r="Q131" s="402" t="str">
        <f aca="false">IF(A131="N/A"," ",(VLOOKUP(A131,OPPowerPrices,(IF(BMO3=2,7,IF(BMO3=1,6,8))),FALSE())))</f>
        <v> </v>
      </c>
      <c r="R131" s="403" t="str">
        <f aca="false">IF(A131="N/A"," ",(VLOOKUP($A131,IRTable,2)))</f>
        <v> </v>
      </c>
      <c r="AF131" s="352" t="n">
        <v>40422</v>
      </c>
      <c r="AG131" s="311" t="n">
        <v>21</v>
      </c>
      <c r="AH131" s="311" t="n">
        <v>4</v>
      </c>
      <c r="AI131" s="311" t="n">
        <v>5</v>
      </c>
      <c r="AJ131" s="311" t="n">
        <v>1</v>
      </c>
      <c r="AK131" s="311" t="n">
        <v>30</v>
      </c>
      <c r="AU131" s="406"/>
    </row>
    <row r="132" customFormat="false" ht="12.75" hidden="false" customHeight="false" outlineLevel="0" collapsed="false">
      <c r="A132" s="352" t="str">
        <f aca="false">Option3!A99</f>
        <v>N/A</v>
      </c>
      <c r="B132" s="396" t="str">
        <f aca="false">IF(A132="N/A"," ",IF(ISERROR(N132),B120*Pwresc,N132)*VLOOKUP(MONTH(A132),Curveadj,3))</f>
        <v> </v>
      </c>
      <c r="C132" s="397" t="str">
        <f aca="false">IF(A132="N/A"," ",(IF(AND(Scaler3=1,MONTH(A132)&gt;=6,MONTH(A132)&lt;=8,OR($M$37="REGION 2",$M$37="REGION 2A",$M$37="REGION 2B",$M$37="REGION 3",$M$37="REGION 3A",$M$37="REGION 3B",$M$37="REGION 3C",$M$37="REGION 4",$M$37="REGION 4B",$M$37="REGION 4C",$M$37="REGION 5",$M$37="REGION 5A")),((0.059228/(B132/100))-(0.4980013/(SQRT(B132/100)))+2.137988),HLOOKUP(MONTH(A132),ScalarTable,28))))</f>
        <v> </v>
      </c>
      <c r="D132" s="398" t="str">
        <f aca="false">IF(A132="N/A"," ",C132*B132)</f>
        <v> </v>
      </c>
      <c r="E132" s="396" t="str">
        <f aca="false">IF(A132="N/A"," ",IF(ISERROR(O132),E120*Pwresc,O132)*VLOOKUP(MONTH(A132),Curveadj,3))</f>
        <v> </v>
      </c>
      <c r="F132" s="398" t="str">
        <f aca="false">IF(A132="N/A"," ",E132*C132)</f>
        <v> </v>
      </c>
      <c r="G132" s="396" t="str">
        <f aca="false">IF(A132="N/A"," ",IF(ISERROR(P132),G120*Pwresc,P132)*VLOOKUP(MONTH(A132),Curveadj,3))</f>
        <v> </v>
      </c>
      <c r="H132" s="398" t="str">
        <f aca="false">IF(A132="N/A"," ",G132*C132)</f>
        <v> </v>
      </c>
      <c r="I132" s="398" t="str">
        <f aca="false">IF(A132="N/A"," ",IF(ISERROR(Q132),I120*Pwresc,Q132))</f>
        <v> </v>
      </c>
      <c r="J132" s="398"/>
      <c r="K132" s="399"/>
      <c r="L132" s="399"/>
      <c r="M132" s="404"/>
      <c r="N132" s="401" t="str">
        <f aca="false">IF(A132="N/A"," ",VLOOKUP(A132,PeakPowerCurves,(IF(BMO3=2,3,IF(BMO3=1,2,4))),FALSE()))</f>
        <v> </v>
      </c>
      <c r="O132" s="401" t="str">
        <f aca="false">IF(A132="N/A"," ",VLOOKUP(A132,SatSunPeakPwr,(IF(BMO3=2,3,IF(BMO3=1,2,4))),FALSE()))</f>
        <v> </v>
      </c>
      <c r="P132" s="401" t="str">
        <f aca="false">IF(A132="N/A"," ",VLOOKUP(A132,SatSunPeakPwr,(IF(BMO3=2,7,IF(BMO3=1,6,8))),FALSE()))</f>
        <v> </v>
      </c>
      <c r="Q132" s="402" t="str">
        <f aca="false">IF(A132="N/A"," ",(VLOOKUP(A132,OPPowerPrices,(IF(BMO3=2,7,IF(BMO3=1,6,8))),FALSE())))</f>
        <v> </v>
      </c>
      <c r="R132" s="403" t="str">
        <f aca="false">IF(A132="N/A"," ",(VLOOKUP($A132,IRTable,2)))</f>
        <v> </v>
      </c>
      <c r="AF132" s="352" t="n">
        <v>40452</v>
      </c>
      <c r="AG132" s="311" t="n">
        <v>21</v>
      </c>
      <c r="AH132" s="311" t="n">
        <v>5</v>
      </c>
      <c r="AI132" s="311" t="n">
        <v>5</v>
      </c>
      <c r="AJ132" s="311" t="n">
        <v>0</v>
      </c>
      <c r="AK132" s="311" t="n">
        <v>31</v>
      </c>
      <c r="AU132" s="406"/>
    </row>
    <row r="133" customFormat="false" ht="12.75" hidden="false" customHeight="false" outlineLevel="0" collapsed="false">
      <c r="A133" s="352" t="str">
        <f aca="false">Option3!A100</f>
        <v>N/A</v>
      </c>
      <c r="B133" s="396" t="str">
        <f aca="false">IF(A133="N/A"," ",IF(ISERROR(N133),B121*Pwresc,N133)*VLOOKUP(MONTH(A133),Curveadj,3))</f>
        <v> </v>
      </c>
      <c r="C133" s="397" t="str">
        <f aca="false">IF(A133="N/A"," ",(IF(AND(Scaler3=1,MONTH(A133)&gt;=6,MONTH(A133)&lt;=8,OR($M$37="REGION 2",$M$37="REGION 2A",$M$37="REGION 2B",$M$37="REGION 3",$M$37="REGION 3A",$M$37="REGION 3B",$M$37="REGION 3C",$M$37="REGION 4",$M$37="REGION 4B",$M$37="REGION 4C",$M$37="REGION 5",$M$37="REGION 5A")),((0.059228/(B133/100))-(0.4980013/(SQRT(B133/100)))+2.137988),HLOOKUP(MONTH(A133),ScalarTable,28))))</f>
        <v> </v>
      </c>
      <c r="D133" s="398" t="str">
        <f aca="false">IF(A133="N/A"," ",C133*B133)</f>
        <v> </v>
      </c>
      <c r="E133" s="396" t="str">
        <f aca="false">IF(A133="N/A"," ",IF(ISERROR(O133),E121*Pwresc,O133)*VLOOKUP(MONTH(A133),Curveadj,3))</f>
        <v> </v>
      </c>
      <c r="F133" s="398" t="str">
        <f aca="false">IF(A133="N/A"," ",E133*C133)</f>
        <v> </v>
      </c>
      <c r="G133" s="396" t="str">
        <f aca="false">IF(A133="N/A"," ",IF(ISERROR(P133),G121*Pwresc,P133)*VLOOKUP(MONTH(A133),Curveadj,3))</f>
        <v> </v>
      </c>
      <c r="H133" s="398" t="str">
        <f aca="false">IF(A133="N/A"," ",G133*C133)</f>
        <v> </v>
      </c>
      <c r="I133" s="398" t="str">
        <f aca="false">IF(A133="N/A"," ",IF(ISERROR(Q133),I121*Pwresc,Q133))</f>
        <v> </v>
      </c>
      <c r="J133" s="398"/>
      <c r="K133" s="399"/>
      <c r="L133" s="399"/>
      <c r="M133" s="404"/>
      <c r="N133" s="401" t="str">
        <f aca="false">IF(A133="N/A"," ",VLOOKUP(A133,PeakPowerCurves,(IF(BMO3=2,3,IF(BMO3=1,2,4))),FALSE()))</f>
        <v> </v>
      </c>
      <c r="O133" s="401" t="str">
        <f aca="false">IF(A133="N/A"," ",VLOOKUP(A133,SatSunPeakPwr,(IF(BMO3=2,3,IF(BMO3=1,2,4))),FALSE()))</f>
        <v> </v>
      </c>
      <c r="P133" s="401" t="str">
        <f aca="false">IF(A133="N/A"," ",VLOOKUP(A133,SatSunPeakPwr,(IF(BMO3=2,7,IF(BMO3=1,6,8))),FALSE()))</f>
        <v> </v>
      </c>
      <c r="Q133" s="402" t="str">
        <f aca="false">IF(A133="N/A"," ",(VLOOKUP(A133,OPPowerPrices,(IF(BMO3=2,7,IF(BMO3=1,6,8))),FALSE())))</f>
        <v> </v>
      </c>
      <c r="R133" s="403" t="str">
        <f aca="false">IF(A133="N/A"," ",(VLOOKUP($A133,IRTable,2)))</f>
        <v> </v>
      </c>
      <c r="AF133" s="352" t="n">
        <v>40483</v>
      </c>
      <c r="AG133" s="311" t="n">
        <v>21</v>
      </c>
      <c r="AH133" s="311" t="n">
        <v>4</v>
      </c>
      <c r="AI133" s="311" t="n">
        <v>5</v>
      </c>
      <c r="AJ133" s="311" t="n">
        <v>1</v>
      </c>
      <c r="AK133" s="311" t="n">
        <v>30</v>
      </c>
      <c r="AU133" s="406"/>
    </row>
    <row r="134" customFormat="false" ht="12.75" hidden="false" customHeight="false" outlineLevel="0" collapsed="false">
      <c r="A134" s="352" t="str">
        <f aca="false">Option3!A101</f>
        <v>N/A</v>
      </c>
      <c r="B134" s="396" t="str">
        <f aca="false">IF(A134="N/A"," ",IF(ISERROR(N134),B122*Pwresc,N134)*VLOOKUP(MONTH(A134),Curveadj,3))</f>
        <v> </v>
      </c>
      <c r="C134" s="397" t="str">
        <f aca="false">IF(A134="N/A"," ",(IF(AND(Scaler3=1,MONTH(A134)&gt;=6,MONTH(A134)&lt;=8,OR($M$37="REGION 2",$M$37="REGION 2A",$M$37="REGION 2B",$M$37="REGION 3",$M$37="REGION 3A",$M$37="REGION 3B",$M$37="REGION 3C",$M$37="REGION 4",$M$37="REGION 4B",$M$37="REGION 4C",$M$37="REGION 5",$M$37="REGION 5A")),((0.059228/(B134/100))-(0.4980013/(SQRT(B134/100)))+2.137988),HLOOKUP(MONTH(A134),ScalarTable,28))))</f>
        <v> </v>
      </c>
      <c r="D134" s="398" t="str">
        <f aca="false">IF(A134="N/A"," ",C134*B134)</f>
        <v> </v>
      </c>
      <c r="E134" s="396" t="str">
        <f aca="false">IF(A134="N/A"," ",IF(ISERROR(O134),E122*Pwresc,O134)*VLOOKUP(MONTH(A134),Curveadj,3))</f>
        <v> </v>
      </c>
      <c r="F134" s="398" t="str">
        <f aca="false">IF(A134="N/A"," ",E134*C134)</f>
        <v> </v>
      </c>
      <c r="G134" s="396" t="str">
        <f aca="false">IF(A134="N/A"," ",IF(ISERROR(P134),G122*Pwresc,P134)*VLOOKUP(MONTH(A134),Curveadj,3))</f>
        <v> </v>
      </c>
      <c r="H134" s="398" t="str">
        <f aca="false">IF(A134="N/A"," ",G134*C134)</f>
        <v> </v>
      </c>
      <c r="I134" s="398" t="str">
        <f aca="false">IF(A134="N/A"," ",IF(ISERROR(Q134),I122*Pwresc,Q134))</f>
        <v> </v>
      </c>
      <c r="J134" s="398"/>
      <c r="K134" s="399"/>
      <c r="L134" s="399"/>
      <c r="M134" s="404"/>
      <c r="N134" s="401" t="str">
        <f aca="false">IF(A134="N/A"," ",VLOOKUP(A134,PeakPowerCurves,(IF(BMO3=2,3,IF(BMO3=1,2,4))),FALSE()))</f>
        <v> </v>
      </c>
      <c r="O134" s="401" t="str">
        <f aca="false">IF(A134="N/A"," ",VLOOKUP(A134,SatSunPeakPwr,(IF(BMO3=2,3,IF(BMO3=1,2,4))),FALSE()))</f>
        <v> </v>
      </c>
      <c r="P134" s="401" t="str">
        <f aca="false">IF(A134="N/A"," ",VLOOKUP(A134,SatSunPeakPwr,(IF(BMO3=2,7,IF(BMO3=1,6,8))),FALSE()))</f>
        <v> </v>
      </c>
      <c r="Q134" s="402" t="str">
        <f aca="false">IF(A134="N/A"," ",(VLOOKUP(A134,OPPowerPrices,(IF(BMO3=2,7,IF(BMO3=1,6,8))),FALSE())))</f>
        <v> </v>
      </c>
      <c r="R134" s="403" t="str">
        <f aca="false">IF(A134="N/A"," ",(VLOOKUP($A134,IRTable,2)))</f>
        <v> </v>
      </c>
      <c r="AF134" s="352" t="n">
        <v>40513</v>
      </c>
      <c r="AG134" s="311" t="n">
        <v>23</v>
      </c>
      <c r="AH134" s="311" t="n">
        <v>3</v>
      </c>
      <c r="AI134" s="311" t="n">
        <v>5</v>
      </c>
      <c r="AJ134" s="311" t="n">
        <v>1</v>
      </c>
      <c r="AK134" s="311" t="n">
        <v>31</v>
      </c>
      <c r="AU134" s="406"/>
    </row>
    <row r="135" customFormat="false" ht="12.75" hidden="false" customHeight="false" outlineLevel="0" collapsed="false">
      <c r="A135" s="352" t="str">
        <f aca="false">Option3!A102</f>
        <v>N/A</v>
      </c>
      <c r="B135" s="396" t="str">
        <f aca="false">IF(A135="N/A"," ",IF(ISERROR(N135),B123*Pwresc,N135)*VLOOKUP(MONTH(A135),Curveadj,3))</f>
        <v> </v>
      </c>
      <c r="C135" s="397" t="str">
        <f aca="false">IF(A135="N/A"," ",(IF(AND(Scaler3=1,MONTH(A135)&gt;=6,MONTH(A135)&lt;=8,OR($M$37="REGION 2",$M$37="REGION 2A",$M$37="REGION 2B",$M$37="REGION 3",$M$37="REGION 3A",$M$37="REGION 3B",$M$37="REGION 3C",$M$37="REGION 4",$M$37="REGION 4B",$M$37="REGION 4C",$M$37="REGION 5",$M$37="REGION 5A")),((0.059228/(B135/100))-(0.4980013/(SQRT(B135/100)))+2.137988),HLOOKUP(MONTH(A135),ScalarTable,28))))</f>
        <v> </v>
      </c>
      <c r="D135" s="398" t="str">
        <f aca="false">IF(A135="N/A"," ",C135*B135)</f>
        <v> </v>
      </c>
      <c r="E135" s="396" t="str">
        <f aca="false">IF(A135="N/A"," ",IF(ISERROR(O135),E123*Pwresc,O135)*VLOOKUP(MONTH(A135),Curveadj,3))</f>
        <v> </v>
      </c>
      <c r="F135" s="398" t="str">
        <f aca="false">IF(A135="N/A"," ",E135*C135)</f>
        <v> </v>
      </c>
      <c r="G135" s="396" t="str">
        <f aca="false">IF(A135="N/A"," ",IF(ISERROR(P135),G123*Pwresc,P135)*VLOOKUP(MONTH(A135),Curveadj,3))</f>
        <v> </v>
      </c>
      <c r="H135" s="398" t="str">
        <f aca="false">IF(A135="N/A"," ",G135*C135)</f>
        <v> </v>
      </c>
      <c r="I135" s="398" t="str">
        <f aca="false">IF(A135="N/A"," ",IF(ISERROR(Q135),I123*Pwresc,Q135))</f>
        <v> </v>
      </c>
      <c r="J135" s="398"/>
      <c r="K135" s="399"/>
      <c r="L135" s="399"/>
      <c r="M135" s="404"/>
      <c r="N135" s="401" t="str">
        <f aca="false">IF(A135="N/A"," ",VLOOKUP(A135,PeakPowerCurves,(IF(BMO3=2,3,IF(BMO3=1,2,4))),FALSE()))</f>
        <v> </v>
      </c>
      <c r="O135" s="401" t="str">
        <f aca="false">IF(A135="N/A"," ",VLOOKUP(A135,SatSunPeakPwr,(IF(BMO3=2,3,IF(BMO3=1,2,4))),FALSE()))</f>
        <v> </v>
      </c>
      <c r="P135" s="401" t="str">
        <f aca="false">IF(A135="N/A"," ",VLOOKUP(A135,SatSunPeakPwr,(IF(BMO3=2,7,IF(BMO3=1,6,8))),FALSE()))</f>
        <v> </v>
      </c>
      <c r="Q135" s="402" t="str">
        <f aca="false">IF(A135="N/A"," ",(VLOOKUP(A135,OPPowerPrices,(IF(BMO3=2,7,IF(BMO3=1,6,8))),FALSE())))</f>
        <v> </v>
      </c>
      <c r="R135" s="403" t="str">
        <f aca="false">IF(A135="N/A"," ",(VLOOKUP($A135,IRTable,2)))</f>
        <v> </v>
      </c>
      <c r="AF135" s="352" t="n">
        <v>40544</v>
      </c>
      <c r="AG135" s="311" t="n">
        <v>21</v>
      </c>
      <c r="AH135" s="311" t="n">
        <v>4</v>
      </c>
      <c r="AI135" s="311" t="n">
        <v>6</v>
      </c>
      <c r="AJ135" s="311" t="n">
        <v>1</v>
      </c>
      <c r="AK135" s="311" t="n">
        <v>31</v>
      </c>
      <c r="AU135" s="406"/>
    </row>
    <row r="136" customFormat="false" ht="12.75" hidden="false" customHeight="false" outlineLevel="0" collapsed="false">
      <c r="A136" s="352" t="str">
        <f aca="false">Option3!A103</f>
        <v>N/A</v>
      </c>
      <c r="B136" s="396" t="str">
        <f aca="false">IF(A136="N/A"," ",IF(ISERROR(N136),B124*Pwresc,N136)*VLOOKUP(MONTH(A136),Curveadj,3))</f>
        <v> </v>
      </c>
      <c r="C136" s="397" t="str">
        <f aca="false">IF(A136="N/A"," ",(IF(AND(Scaler3=1,MONTH(A136)&gt;=6,MONTH(A136)&lt;=8,OR($M$37="REGION 2",$M$37="REGION 2A",$M$37="REGION 2B",$M$37="REGION 3",$M$37="REGION 3A",$M$37="REGION 3B",$M$37="REGION 3C",$M$37="REGION 4",$M$37="REGION 4B",$M$37="REGION 4C",$M$37="REGION 5",$M$37="REGION 5A")),((0.059228/(B136/100))-(0.4980013/(SQRT(B136/100)))+2.137988),HLOOKUP(MONTH(A136),ScalarTable,28))))</f>
        <v> </v>
      </c>
      <c r="D136" s="398" t="str">
        <f aca="false">IF(A136="N/A"," ",C136*B136)</f>
        <v> </v>
      </c>
      <c r="E136" s="396" t="str">
        <f aca="false">IF(A136="N/A"," ",IF(ISERROR(O136),E124*Pwresc,O136)*VLOOKUP(MONTH(A136),Curveadj,3))</f>
        <v> </v>
      </c>
      <c r="F136" s="398" t="str">
        <f aca="false">IF(A136="N/A"," ",E136*C136)</f>
        <v> </v>
      </c>
      <c r="G136" s="396" t="str">
        <f aca="false">IF(A136="N/A"," ",IF(ISERROR(P136),G124*Pwresc,P136)*VLOOKUP(MONTH(A136),Curveadj,3))</f>
        <v> </v>
      </c>
      <c r="H136" s="398" t="str">
        <f aca="false">IF(A136="N/A"," ",G136*C136)</f>
        <v> </v>
      </c>
      <c r="I136" s="398" t="str">
        <f aca="false">IF(A136="N/A"," ",IF(ISERROR(Q136),I124*Pwresc,Q136))</f>
        <v> </v>
      </c>
      <c r="J136" s="398"/>
      <c r="K136" s="399"/>
      <c r="L136" s="399"/>
      <c r="M136" s="404"/>
      <c r="N136" s="401" t="str">
        <f aca="false">IF(A136="N/A"," ",VLOOKUP(A136,PeakPowerCurves,(IF(BMO3=2,3,IF(BMO3=1,2,4))),FALSE()))</f>
        <v> </v>
      </c>
      <c r="O136" s="401" t="str">
        <f aca="false">IF(A136="N/A"," ",VLOOKUP(A136,SatSunPeakPwr,(IF(BMO3=2,3,IF(BMO3=1,2,4))),FALSE()))</f>
        <v> </v>
      </c>
      <c r="P136" s="401" t="str">
        <f aca="false">IF(A136="N/A"," ",VLOOKUP(A136,SatSunPeakPwr,(IF(BMO3=2,7,IF(BMO3=1,6,8))),FALSE()))</f>
        <v> </v>
      </c>
      <c r="Q136" s="402" t="str">
        <f aca="false">IF(A136="N/A"," ",(VLOOKUP(A136,OPPowerPrices,(IF(BMO3=2,7,IF(BMO3=1,6,8))),FALSE())))</f>
        <v> </v>
      </c>
      <c r="R136" s="403" t="str">
        <f aca="false">IF(A136="N/A"," ",(VLOOKUP($A136,IRTable,2)))</f>
        <v> </v>
      </c>
      <c r="AF136" s="352" t="n">
        <v>40575</v>
      </c>
      <c r="AG136" s="311" t="n">
        <v>20</v>
      </c>
      <c r="AH136" s="311" t="n">
        <v>4</v>
      </c>
      <c r="AI136" s="311" t="n">
        <v>4</v>
      </c>
      <c r="AJ136" s="311" t="n">
        <v>0</v>
      </c>
      <c r="AK136" s="311" t="n">
        <v>28</v>
      </c>
      <c r="AU136" s="406"/>
    </row>
    <row r="137" customFormat="false" ht="12.75" hidden="false" customHeight="false" outlineLevel="0" collapsed="false">
      <c r="A137" s="352" t="str">
        <f aca="false">Option3!A104</f>
        <v>N/A</v>
      </c>
      <c r="B137" s="396" t="str">
        <f aca="false">IF(A137="N/A"," ",IF(ISERROR(N137),B125*Pwresc,N137)*VLOOKUP(MONTH(A137),Curveadj,3))</f>
        <v> </v>
      </c>
      <c r="C137" s="397" t="str">
        <f aca="false">IF(A137="N/A"," ",(IF(AND(Scaler3=1,MONTH(A137)&gt;=6,MONTH(A137)&lt;=8,OR($M$37="REGION 2",$M$37="REGION 2A",$M$37="REGION 2B",$M$37="REGION 3",$M$37="REGION 3A",$M$37="REGION 3B",$M$37="REGION 3C",$M$37="REGION 4",$M$37="REGION 4B",$M$37="REGION 4C",$M$37="REGION 5",$M$37="REGION 5A")),((0.059228/(B137/100))-(0.4980013/(SQRT(B137/100)))+2.137988),HLOOKUP(MONTH(A137),ScalarTable,28))))</f>
        <v> </v>
      </c>
      <c r="D137" s="398" t="str">
        <f aca="false">IF(A137="N/A"," ",C137*B137)</f>
        <v> </v>
      </c>
      <c r="E137" s="396" t="str">
        <f aca="false">IF(A137="N/A"," ",IF(ISERROR(O137),E125*Pwresc,O137)*VLOOKUP(MONTH(A137),Curveadj,3))</f>
        <v> </v>
      </c>
      <c r="F137" s="398" t="str">
        <f aca="false">IF(A137="N/A"," ",E137*C137)</f>
        <v> </v>
      </c>
      <c r="G137" s="396" t="str">
        <f aca="false">IF(A137="N/A"," ",IF(ISERROR(P137),G125*Pwresc,P137)*VLOOKUP(MONTH(A137),Curveadj,3))</f>
        <v> </v>
      </c>
      <c r="H137" s="398" t="str">
        <f aca="false">IF(A137="N/A"," ",G137*C137)</f>
        <v> </v>
      </c>
      <c r="I137" s="398" t="str">
        <f aca="false">IF(A137="N/A"," ",IF(ISERROR(Q137),I125*Pwresc,Q137))</f>
        <v> </v>
      </c>
      <c r="J137" s="398"/>
      <c r="K137" s="399"/>
      <c r="L137" s="399"/>
      <c r="M137" s="404"/>
      <c r="N137" s="401" t="str">
        <f aca="false">IF(A137="N/A"," ",VLOOKUP(A137,PeakPowerCurves,(IF(BMO3=2,3,IF(BMO3=1,2,4))),FALSE()))</f>
        <v> </v>
      </c>
      <c r="O137" s="401" t="str">
        <f aca="false">IF(A137="N/A"," ",VLOOKUP(A137,SatSunPeakPwr,(IF(BMO3=2,3,IF(BMO3=1,2,4))),FALSE()))</f>
        <v> </v>
      </c>
      <c r="P137" s="401" t="str">
        <f aca="false">IF(A137="N/A"," ",VLOOKUP(A137,SatSunPeakPwr,(IF(BMO3=2,7,IF(BMO3=1,6,8))),FALSE()))</f>
        <v> </v>
      </c>
      <c r="Q137" s="402" t="str">
        <f aca="false">IF(A137="N/A"," ",(VLOOKUP(A137,OPPowerPrices,(IF(BMO3=2,7,IF(BMO3=1,6,8))),FALSE())))</f>
        <v> </v>
      </c>
      <c r="R137" s="403" t="str">
        <f aca="false">IF(A137="N/A"," ",(VLOOKUP($A137,IRTable,2)))</f>
        <v> </v>
      </c>
      <c r="AF137" s="352" t="n">
        <v>40603</v>
      </c>
      <c r="AG137" s="311" t="n">
        <v>23</v>
      </c>
      <c r="AH137" s="311" t="n">
        <v>4</v>
      </c>
      <c r="AI137" s="311" t="n">
        <v>4</v>
      </c>
      <c r="AJ137" s="311" t="n">
        <v>0</v>
      </c>
      <c r="AK137" s="311" t="n">
        <v>31</v>
      </c>
      <c r="AU137" s="406"/>
    </row>
    <row r="138" customFormat="false" ht="12.75" hidden="false" customHeight="false" outlineLevel="0" collapsed="false">
      <c r="A138" s="352" t="str">
        <f aca="false">Option3!A105</f>
        <v>N/A</v>
      </c>
      <c r="B138" s="396" t="str">
        <f aca="false">IF(A138="N/A"," ",IF(ISERROR(N138),B126*Pwresc,N138)*VLOOKUP(MONTH(A138),Curveadj,3))</f>
        <v> </v>
      </c>
      <c r="C138" s="397" t="str">
        <f aca="false">IF(A138="N/A"," ",(IF(AND(Scaler3=1,MONTH(A138)&gt;=6,MONTH(A138)&lt;=8,OR($M$37="REGION 2",$M$37="REGION 2A",$M$37="REGION 2B",$M$37="REGION 3",$M$37="REGION 3A",$M$37="REGION 3B",$M$37="REGION 3C",$M$37="REGION 4",$M$37="REGION 4B",$M$37="REGION 4C",$M$37="REGION 5",$M$37="REGION 5A")),((0.059228/(B138/100))-(0.4980013/(SQRT(B138/100)))+2.137988),HLOOKUP(MONTH(A138),ScalarTable,28))))</f>
        <v> </v>
      </c>
      <c r="D138" s="398" t="str">
        <f aca="false">IF(A138="N/A"," ",C138*B138)</f>
        <v> </v>
      </c>
      <c r="E138" s="396" t="str">
        <f aca="false">IF(A138="N/A"," ",IF(ISERROR(O138),E126*Pwresc,O138)*VLOOKUP(MONTH(A138),Curveadj,3))</f>
        <v> </v>
      </c>
      <c r="F138" s="398" t="str">
        <f aca="false">IF(A138="N/A"," ",E138*C138)</f>
        <v> </v>
      </c>
      <c r="G138" s="396" t="str">
        <f aca="false">IF(A138="N/A"," ",IF(ISERROR(P138),G126*Pwresc,P138)*VLOOKUP(MONTH(A138),Curveadj,3))</f>
        <v> </v>
      </c>
      <c r="H138" s="398" t="str">
        <f aca="false">IF(A138="N/A"," ",G138*C138)</f>
        <v> </v>
      </c>
      <c r="I138" s="398" t="str">
        <f aca="false">IF(A138="N/A"," ",IF(ISERROR(Q138),I126*Pwresc,Q138))</f>
        <v> </v>
      </c>
      <c r="J138" s="398"/>
      <c r="K138" s="399"/>
      <c r="L138" s="399"/>
      <c r="M138" s="404"/>
      <c r="N138" s="401" t="str">
        <f aca="false">IF(A138="N/A"," ",VLOOKUP(A138,PeakPowerCurves,(IF(BMO3=2,3,IF(BMO3=1,2,4))),FALSE()))</f>
        <v> </v>
      </c>
      <c r="O138" s="401" t="str">
        <f aca="false">IF(A138="N/A"," ",VLOOKUP(A138,SatSunPeakPwr,(IF(BMO3=2,3,IF(BMO3=1,2,4))),FALSE()))</f>
        <v> </v>
      </c>
      <c r="P138" s="401" t="str">
        <f aca="false">IF(A138="N/A"," ",VLOOKUP(A138,SatSunPeakPwr,(IF(BMO3=2,7,IF(BMO3=1,6,8))),FALSE()))</f>
        <v> </v>
      </c>
      <c r="Q138" s="402" t="str">
        <f aca="false">IF(A138="N/A"," ",(VLOOKUP(A138,OPPowerPrices,(IF(BMO3=2,7,IF(BMO3=1,6,8))),FALSE())))</f>
        <v> </v>
      </c>
      <c r="R138" s="403" t="str">
        <f aca="false">IF(A138="N/A"," ",(VLOOKUP($A138,IRTable,2)))</f>
        <v> </v>
      </c>
      <c r="AF138" s="352" t="n">
        <v>40634</v>
      </c>
      <c r="AG138" s="311" t="n">
        <v>21</v>
      </c>
      <c r="AH138" s="311" t="n">
        <v>5</v>
      </c>
      <c r="AI138" s="311" t="n">
        <v>4</v>
      </c>
      <c r="AJ138" s="311" t="n">
        <v>0</v>
      </c>
      <c r="AK138" s="311" t="n">
        <v>30</v>
      </c>
      <c r="AU138" s="406"/>
    </row>
    <row r="139" customFormat="false" ht="12.75" hidden="false" customHeight="false" outlineLevel="0" collapsed="false">
      <c r="A139" s="352" t="str">
        <f aca="false">Option3!A106</f>
        <v>N/A</v>
      </c>
      <c r="B139" s="396" t="str">
        <f aca="false">IF(A139="N/A"," ",IF(ISERROR(N139),B127*Pwresc,N139)*VLOOKUP(MONTH(A139),Curveadj,3))</f>
        <v> </v>
      </c>
      <c r="C139" s="397" t="str">
        <f aca="false">IF(A139="N/A"," ",(IF(AND(Scaler3=1,MONTH(A139)&gt;=6,MONTH(A139)&lt;=8,OR($M$37="REGION 2",$M$37="REGION 2A",$M$37="REGION 2B",$M$37="REGION 3",$M$37="REGION 3A",$M$37="REGION 3B",$M$37="REGION 3C",$M$37="REGION 4",$M$37="REGION 4B",$M$37="REGION 4C",$M$37="REGION 5",$M$37="REGION 5A")),((0.059228/(B139/100))-(0.4980013/(SQRT(B139/100)))+2.137988),HLOOKUP(MONTH(A139),ScalarTable,28))))</f>
        <v> </v>
      </c>
      <c r="D139" s="398" t="str">
        <f aca="false">IF(A139="N/A"," ",C139*B139)</f>
        <v> </v>
      </c>
      <c r="E139" s="396" t="str">
        <f aca="false">IF(A139="N/A"," ",IF(ISERROR(O139),E127*Pwresc,O139)*VLOOKUP(MONTH(A139),Curveadj,3))</f>
        <v> </v>
      </c>
      <c r="F139" s="398" t="str">
        <f aca="false">IF(A139="N/A"," ",E139*C139)</f>
        <v> </v>
      </c>
      <c r="G139" s="396" t="str">
        <f aca="false">IF(A139="N/A"," ",IF(ISERROR(P139),G127*Pwresc,P139)*VLOOKUP(MONTH(A139),Curveadj,3))</f>
        <v> </v>
      </c>
      <c r="H139" s="398" t="str">
        <f aca="false">IF(A139="N/A"," ",G139*C139)</f>
        <v> </v>
      </c>
      <c r="I139" s="398" t="str">
        <f aca="false">IF(A139="N/A"," ",IF(ISERROR(Q139),I127*Pwresc,Q139))</f>
        <v> </v>
      </c>
      <c r="J139" s="398"/>
      <c r="K139" s="399"/>
      <c r="L139" s="399"/>
      <c r="M139" s="404"/>
      <c r="N139" s="401" t="str">
        <f aca="false">IF(A139="N/A"," ",VLOOKUP(A139,PeakPowerCurves,(IF(BMO3=2,3,IF(BMO3=1,2,4))),FALSE()))</f>
        <v> </v>
      </c>
      <c r="O139" s="401" t="str">
        <f aca="false">IF(A139="N/A"," ",VLOOKUP(A139,SatSunPeakPwr,(IF(BMO3=2,3,IF(BMO3=1,2,4))),FALSE()))</f>
        <v> </v>
      </c>
      <c r="P139" s="401" t="str">
        <f aca="false">IF(A139="N/A"," ",VLOOKUP(A139,SatSunPeakPwr,(IF(BMO3=2,7,IF(BMO3=1,6,8))),FALSE()))</f>
        <v> </v>
      </c>
      <c r="Q139" s="402" t="str">
        <f aca="false">IF(A139="N/A"," ",(VLOOKUP(A139,OPPowerPrices,(IF(BMO3=2,7,IF(BMO3=1,6,8))),FALSE())))</f>
        <v> </v>
      </c>
      <c r="R139" s="403" t="str">
        <f aca="false">IF(A139="N/A"," ",(VLOOKUP($A139,IRTable,2)))</f>
        <v> </v>
      </c>
      <c r="AF139" s="352" t="n">
        <v>40664</v>
      </c>
      <c r="AG139" s="311" t="n">
        <v>21</v>
      </c>
      <c r="AH139" s="311" t="n">
        <v>4</v>
      </c>
      <c r="AI139" s="311" t="n">
        <v>6</v>
      </c>
      <c r="AJ139" s="311" t="n">
        <v>1</v>
      </c>
      <c r="AK139" s="311" t="n">
        <v>31</v>
      </c>
      <c r="AU139" s="406"/>
    </row>
    <row r="140" customFormat="false" ht="12.75" hidden="false" customHeight="false" outlineLevel="0" collapsed="false">
      <c r="A140" s="352" t="str">
        <f aca="false">Option3!A107</f>
        <v>N/A</v>
      </c>
      <c r="B140" s="396" t="str">
        <f aca="false">IF(A140="N/A"," ",IF(ISERROR(N140),B128*Pwresc,N140)*VLOOKUP(MONTH(A140),Curveadj,3))</f>
        <v> </v>
      </c>
      <c r="C140" s="397" t="str">
        <f aca="false">IF(A140="N/A"," ",(IF(AND(Scaler3=1,MONTH(A140)&gt;=6,MONTH(A140)&lt;=8,OR($M$37="REGION 2",$M$37="REGION 2A",$M$37="REGION 2B",$M$37="REGION 3",$M$37="REGION 3A",$M$37="REGION 3B",$M$37="REGION 3C",$M$37="REGION 4",$M$37="REGION 4B",$M$37="REGION 4C",$M$37="REGION 5",$M$37="REGION 5A")),((0.059228/(B140/100))-(0.4980013/(SQRT(B140/100)))+2.137988),HLOOKUP(MONTH(A140),ScalarTable,28))))</f>
        <v> </v>
      </c>
      <c r="D140" s="398" t="str">
        <f aca="false">IF(A140="N/A"," ",C140*B140)</f>
        <v> </v>
      </c>
      <c r="E140" s="396" t="str">
        <f aca="false">IF(A140="N/A"," ",IF(ISERROR(O140),E128*Pwresc,O140)*VLOOKUP(MONTH(A140),Curveadj,3))</f>
        <v> </v>
      </c>
      <c r="F140" s="398" t="str">
        <f aca="false">IF(A140="N/A"," ",E140*C140)</f>
        <v> </v>
      </c>
      <c r="G140" s="396" t="str">
        <f aca="false">IF(A140="N/A"," ",IF(ISERROR(P140),G128*Pwresc,P140)*VLOOKUP(MONTH(A140),Curveadj,3))</f>
        <v> </v>
      </c>
      <c r="H140" s="398" t="str">
        <f aca="false">IF(A140="N/A"," ",G140*C140)</f>
        <v> </v>
      </c>
      <c r="I140" s="398" t="str">
        <f aca="false">IF(A140="N/A"," ",IF(ISERROR(Q140),I128*Pwresc,Q140))</f>
        <v> </v>
      </c>
      <c r="J140" s="398"/>
      <c r="K140" s="399"/>
      <c r="L140" s="399"/>
      <c r="M140" s="404"/>
      <c r="N140" s="401" t="str">
        <f aca="false">IF(A140="N/A"," ",VLOOKUP(A140,PeakPowerCurves,(IF(BMO3=2,3,IF(BMO3=1,2,4))),FALSE()))</f>
        <v> </v>
      </c>
      <c r="O140" s="401" t="str">
        <f aca="false">IF(A140="N/A"," ",VLOOKUP(A140,SatSunPeakPwr,(IF(BMO3=2,3,IF(BMO3=1,2,4))),FALSE()))</f>
        <v> </v>
      </c>
      <c r="P140" s="401" t="str">
        <f aca="false">IF(A140="N/A"," ",VLOOKUP(A140,SatSunPeakPwr,(IF(BMO3=2,7,IF(BMO3=1,6,8))),FALSE()))</f>
        <v> </v>
      </c>
      <c r="Q140" s="402" t="str">
        <f aca="false">IF(A140="N/A"," ",(VLOOKUP(A140,OPPowerPrices,(IF(BMO3=2,7,IF(BMO3=1,6,8))),FALSE())))</f>
        <v> </v>
      </c>
      <c r="R140" s="403" t="str">
        <f aca="false">IF(A140="N/A"," ",(VLOOKUP($A140,IRTable,2)))</f>
        <v> </v>
      </c>
      <c r="AF140" s="352" t="n">
        <v>40695</v>
      </c>
      <c r="AG140" s="311" t="n">
        <v>22</v>
      </c>
      <c r="AH140" s="311" t="n">
        <v>4</v>
      </c>
      <c r="AI140" s="311" t="n">
        <v>4</v>
      </c>
      <c r="AJ140" s="311" t="n">
        <v>0</v>
      </c>
      <c r="AK140" s="311" t="n">
        <v>30</v>
      </c>
      <c r="AU140" s="406"/>
    </row>
    <row r="141" customFormat="false" ht="12.75" hidden="false" customHeight="false" outlineLevel="0" collapsed="false">
      <c r="A141" s="352" t="str">
        <f aca="false">Option3!A108</f>
        <v>N/A</v>
      </c>
      <c r="B141" s="396" t="str">
        <f aca="false">IF(A141="N/A"," ",IF(ISERROR(N141),B129*Pwresc,N141)*VLOOKUP(MONTH(A141),Curveadj,3))</f>
        <v> </v>
      </c>
      <c r="C141" s="397" t="str">
        <f aca="false">IF(A141="N/A"," ",(IF(AND(Scaler3=1,MONTH(A141)&gt;=6,MONTH(A141)&lt;=8,OR($M$37="REGION 2",$M$37="REGION 2A",$M$37="REGION 2B",$M$37="REGION 3",$M$37="REGION 3A",$M$37="REGION 3B",$M$37="REGION 3C",$M$37="REGION 4",$M$37="REGION 4B",$M$37="REGION 4C",$M$37="REGION 5",$M$37="REGION 5A")),((0.059228/(B141/100))-(0.4980013/(SQRT(B141/100)))+2.137988),HLOOKUP(MONTH(A141),ScalarTable,28))))</f>
        <v> </v>
      </c>
      <c r="D141" s="398" t="str">
        <f aca="false">IF(A141="N/A"," ",C141*B141)</f>
        <v> </v>
      </c>
      <c r="E141" s="396" t="str">
        <f aca="false">IF(A141="N/A"," ",IF(ISERROR(O141),E129*Pwresc,O141)*VLOOKUP(MONTH(A141),Curveadj,3))</f>
        <v> </v>
      </c>
      <c r="F141" s="398" t="str">
        <f aca="false">IF(A141="N/A"," ",E141*C141)</f>
        <v> </v>
      </c>
      <c r="G141" s="396" t="str">
        <f aca="false">IF(A141="N/A"," ",IF(ISERROR(P141),G129*Pwresc,P141)*VLOOKUP(MONTH(A141),Curveadj,3))</f>
        <v> </v>
      </c>
      <c r="H141" s="398" t="str">
        <f aca="false">IF(A141="N/A"," ",G141*C141)</f>
        <v> </v>
      </c>
      <c r="I141" s="398" t="str">
        <f aca="false">IF(A141="N/A"," ",IF(ISERROR(Q141),I129*Pwresc,Q141))</f>
        <v> </v>
      </c>
      <c r="J141" s="398"/>
      <c r="K141" s="399"/>
      <c r="L141" s="399"/>
      <c r="M141" s="404"/>
      <c r="N141" s="401" t="str">
        <f aca="false">IF(A141="N/A"," ",VLOOKUP(A141,PeakPowerCurves,(IF(BMO3=2,3,IF(BMO3=1,2,4))),FALSE()))</f>
        <v> </v>
      </c>
      <c r="O141" s="401" t="str">
        <f aca="false">IF(A141="N/A"," ",VLOOKUP(A141,SatSunPeakPwr,(IF(BMO3=2,3,IF(BMO3=1,2,4))),FALSE()))</f>
        <v> </v>
      </c>
      <c r="P141" s="401" t="str">
        <f aca="false">IF(A141="N/A"," ",VLOOKUP(A141,SatSunPeakPwr,(IF(BMO3=2,7,IF(BMO3=1,6,8))),FALSE()))</f>
        <v> </v>
      </c>
      <c r="Q141" s="402" t="str">
        <f aca="false">IF(A141="N/A"," ",(VLOOKUP(A141,OPPowerPrices,(IF(BMO3=2,7,IF(BMO3=1,6,8))),FALSE())))</f>
        <v> </v>
      </c>
      <c r="R141" s="403" t="str">
        <f aca="false">IF(A141="N/A"," ",(VLOOKUP($A141,IRTable,2)))</f>
        <v> </v>
      </c>
      <c r="AF141" s="352" t="n">
        <v>40725</v>
      </c>
      <c r="AG141" s="311" t="n">
        <v>20</v>
      </c>
      <c r="AH141" s="311" t="n">
        <v>5</v>
      </c>
      <c r="AI141" s="311" t="n">
        <v>6</v>
      </c>
      <c r="AJ141" s="311" t="n">
        <v>1</v>
      </c>
      <c r="AK141" s="311" t="n">
        <v>31</v>
      </c>
      <c r="AU141" s="406"/>
    </row>
    <row r="142" customFormat="false" ht="12.75" hidden="false" customHeight="false" outlineLevel="0" collapsed="false">
      <c r="A142" s="352" t="str">
        <f aca="false">Option3!A109</f>
        <v>N/A</v>
      </c>
      <c r="B142" s="396" t="str">
        <f aca="false">IF(A142="N/A"," ",IF(ISERROR(N142),B130*Pwresc,N142)*VLOOKUP(MONTH(A142),Curveadj,3))</f>
        <v> </v>
      </c>
      <c r="C142" s="397" t="str">
        <f aca="false">IF(A142="N/A"," ",(IF(AND(Scaler3=1,MONTH(A142)&gt;=6,MONTH(A142)&lt;=8,OR($M$37="REGION 2",$M$37="REGION 2A",$M$37="REGION 2B",$M$37="REGION 3",$M$37="REGION 3A",$M$37="REGION 3B",$M$37="REGION 3C",$M$37="REGION 4",$M$37="REGION 4B",$M$37="REGION 4C",$M$37="REGION 5",$M$37="REGION 5A")),((0.059228/(B142/100))-(0.4980013/(SQRT(B142/100)))+2.137988),HLOOKUP(MONTH(A142),ScalarTable,28))))</f>
        <v> </v>
      </c>
      <c r="D142" s="398" t="str">
        <f aca="false">IF(A142="N/A"," ",C142*B142)</f>
        <v> </v>
      </c>
      <c r="E142" s="396" t="str">
        <f aca="false">IF(A142="N/A"," ",IF(ISERROR(O142),E130*Pwresc,O142)*VLOOKUP(MONTH(A142),Curveadj,3))</f>
        <v> </v>
      </c>
      <c r="F142" s="398" t="str">
        <f aca="false">IF(A142="N/A"," ",E142*C142)</f>
        <v> </v>
      </c>
      <c r="G142" s="396" t="str">
        <f aca="false">IF(A142="N/A"," ",IF(ISERROR(P142),G130*Pwresc,P142)*VLOOKUP(MONTH(A142),Curveadj,3))</f>
        <v> </v>
      </c>
      <c r="H142" s="398" t="str">
        <f aca="false">IF(A142="N/A"," ",G142*C142)</f>
        <v> </v>
      </c>
      <c r="I142" s="398" t="str">
        <f aca="false">IF(A142="N/A"," ",IF(ISERROR(Q142),I130*Pwresc,Q142))</f>
        <v> </v>
      </c>
      <c r="J142" s="398"/>
      <c r="K142" s="399"/>
      <c r="L142" s="399"/>
      <c r="M142" s="404"/>
      <c r="N142" s="401" t="str">
        <f aca="false">IF(A142="N/A"," ",VLOOKUP(A142,PeakPowerCurves,(IF(BMO3=2,3,IF(BMO3=1,2,4))),FALSE()))</f>
        <v> </v>
      </c>
      <c r="O142" s="401" t="str">
        <f aca="false">IF(A142="N/A"," ",VLOOKUP(A142,SatSunPeakPwr,(IF(BMO3=2,3,IF(BMO3=1,2,4))),FALSE()))</f>
        <v> </v>
      </c>
      <c r="P142" s="401" t="str">
        <f aca="false">IF(A142="N/A"," ",VLOOKUP(A142,SatSunPeakPwr,(IF(BMO3=2,7,IF(BMO3=1,6,8))),FALSE()))</f>
        <v> </v>
      </c>
      <c r="Q142" s="402" t="str">
        <f aca="false">IF(A142="N/A"," ",(VLOOKUP(A142,OPPowerPrices,(IF(BMO3=2,7,IF(BMO3=1,6,8))),FALSE())))</f>
        <v> </v>
      </c>
      <c r="R142" s="403" t="str">
        <f aca="false">IF(A142="N/A"," ",(VLOOKUP($A142,IRTable,2)))</f>
        <v> </v>
      </c>
      <c r="AF142" s="352" t="n">
        <v>40756</v>
      </c>
      <c r="AG142" s="311" t="n">
        <v>23</v>
      </c>
      <c r="AH142" s="311" t="n">
        <v>4</v>
      </c>
      <c r="AI142" s="311" t="n">
        <v>4</v>
      </c>
      <c r="AJ142" s="311" t="n">
        <v>0</v>
      </c>
      <c r="AK142" s="311" t="n">
        <v>31</v>
      </c>
      <c r="AU142" s="406"/>
    </row>
    <row r="143" customFormat="false" ht="12.75" hidden="false" customHeight="false" outlineLevel="0" collapsed="false">
      <c r="A143" s="352" t="str">
        <f aca="false">Option3!A110</f>
        <v>N/A</v>
      </c>
      <c r="B143" s="396" t="str">
        <f aca="false">IF(A143="N/A"," ",IF(ISERROR(N143),B131*Pwresc,N143)*VLOOKUP(MONTH(A143),Curveadj,3))</f>
        <v> </v>
      </c>
      <c r="C143" s="397" t="str">
        <f aca="false">IF(A143="N/A"," ",(IF(AND(Scaler3=1,MONTH(A143)&gt;=6,MONTH(A143)&lt;=8,OR($M$37="REGION 2",$M$37="REGION 2A",$M$37="REGION 2B",$M$37="REGION 3",$M$37="REGION 3A",$M$37="REGION 3B",$M$37="REGION 3C",$M$37="REGION 4",$M$37="REGION 4B",$M$37="REGION 4C",$M$37="REGION 5",$M$37="REGION 5A")),((0.059228/(B143/100))-(0.4980013/(SQRT(B143/100)))+2.137988),HLOOKUP(MONTH(A143),ScalarTable,28))))</f>
        <v> </v>
      </c>
      <c r="D143" s="398" t="str">
        <f aca="false">IF(A143="N/A"," ",C143*B143)</f>
        <v> </v>
      </c>
      <c r="E143" s="396" t="str">
        <f aca="false">IF(A143="N/A"," ",IF(ISERROR(O143),E131*Pwresc,O143)*VLOOKUP(MONTH(A143),Curveadj,3))</f>
        <v> </v>
      </c>
      <c r="F143" s="398" t="str">
        <f aca="false">IF(A143="N/A"," ",E143*C143)</f>
        <v> </v>
      </c>
      <c r="G143" s="396" t="str">
        <f aca="false">IF(A143="N/A"," ",IF(ISERROR(P143),G131*Pwresc,P143)*VLOOKUP(MONTH(A143),Curveadj,3))</f>
        <v> </v>
      </c>
      <c r="H143" s="398" t="str">
        <f aca="false">IF(A143="N/A"," ",G143*C143)</f>
        <v> </v>
      </c>
      <c r="I143" s="398" t="str">
        <f aca="false">IF(A143="N/A"," ",IF(ISERROR(Q143),I131*Pwresc,Q143))</f>
        <v> </v>
      </c>
      <c r="J143" s="398"/>
      <c r="K143" s="399"/>
      <c r="L143" s="399"/>
      <c r="M143" s="404"/>
      <c r="N143" s="401" t="str">
        <f aca="false">IF(A143="N/A"," ",VLOOKUP(A143,PeakPowerCurves,(IF(BMO3=2,3,IF(BMO3=1,2,4))),FALSE()))</f>
        <v> </v>
      </c>
      <c r="O143" s="401" t="str">
        <f aca="false">IF(A143="N/A"," ",VLOOKUP(A143,SatSunPeakPwr,(IF(BMO3=2,3,IF(BMO3=1,2,4))),FALSE()))</f>
        <v> </v>
      </c>
      <c r="P143" s="401" t="str">
        <f aca="false">IF(A143="N/A"," ",VLOOKUP(A143,SatSunPeakPwr,(IF(BMO3=2,7,IF(BMO3=1,6,8))),FALSE()))</f>
        <v> </v>
      </c>
      <c r="Q143" s="402" t="str">
        <f aca="false">IF(A143="N/A"," ",(VLOOKUP(A143,OPPowerPrices,(IF(BMO3=2,7,IF(BMO3=1,6,8))),FALSE())))</f>
        <v> </v>
      </c>
      <c r="R143" s="403" t="str">
        <f aca="false">IF(A143="N/A"," ",(VLOOKUP($A143,IRTable,2)))</f>
        <v> </v>
      </c>
      <c r="AF143" s="352" t="n">
        <v>40787</v>
      </c>
      <c r="AG143" s="311" t="n">
        <v>21</v>
      </c>
      <c r="AH143" s="311" t="n">
        <v>4</v>
      </c>
      <c r="AI143" s="311" t="n">
        <v>5</v>
      </c>
      <c r="AJ143" s="311" t="n">
        <v>1</v>
      </c>
      <c r="AK143" s="311" t="n">
        <v>30</v>
      </c>
      <c r="AU143" s="406"/>
    </row>
    <row r="144" customFormat="false" ht="12.75" hidden="false" customHeight="false" outlineLevel="0" collapsed="false">
      <c r="A144" s="352" t="str">
        <f aca="false">Option3!A111</f>
        <v>N/A</v>
      </c>
      <c r="B144" s="396" t="str">
        <f aca="false">IF(A144="N/A"," ",IF(ISERROR(N144),B132*Pwresc,N144)*VLOOKUP(MONTH(A144),Curveadj,3))</f>
        <v> </v>
      </c>
      <c r="C144" s="397" t="str">
        <f aca="false">IF(A144="N/A"," ",(IF(AND(Scaler3=1,MONTH(A144)&gt;=6,MONTH(A144)&lt;=8,OR($M$37="REGION 2",$M$37="REGION 2A",$M$37="REGION 2B",$M$37="REGION 3",$M$37="REGION 3A",$M$37="REGION 3B",$M$37="REGION 3C",$M$37="REGION 4",$M$37="REGION 4B",$M$37="REGION 4C",$M$37="REGION 5",$M$37="REGION 5A")),((0.059228/(B144/100))-(0.4980013/(SQRT(B144/100)))+2.137988),HLOOKUP(MONTH(A144),ScalarTable,28))))</f>
        <v> </v>
      </c>
      <c r="D144" s="398" t="str">
        <f aca="false">IF(A144="N/A"," ",C144*B144)</f>
        <v> </v>
      </c>
      <c r="E144" s="396" t="str">
        <f aca="false">IF(A144="N/A"," ",IF(ISERROR(O144),E132*Pwresc,O144)*VLOOKUP(MONTH(A144),Curveadj,3))</f>
        <v> </v>
      </c>
      <c r="F144" s="398" t="str">
        <f aca="false">IF(A144="N/A"," ",E144*C144)</f>
        <v> </v>
      </c>
      <c r="G144" s="396" t="str">
        <f aca="false">IF(A144="N/A"," ",IF(ISERROR(P144),G132*Pwresc,P144)*VLOOKUP(MONTH(A144),Curveadj,3))</f>
        <v> </v>
      </c>
      <c r="H144" s="398" t="str">
        <f aca="false">IF(A144="N/A"," ",G144*C144)</f>
        <v> </v>
      </c>
      <c r="I144" s="398" t="str">
        <f aca="false">IF(A144="N/A"," ",IF(ISERROR(Q144),I132*Pwresc,Q144))</f>
        <v> </v>
      </c>
      <c r="J144" s="398"/>
      <c r="K144" s="399"/>
      <c r="L144" s="399"/>
      <c r="M144" s="404"/>
      <c r="N144" s="401" t="str">
        <f aca="false">IF(A144="N/A"," ",VLOOKUP(A144,PeakPowerCurves,(IF(BMO3=2,3,IF(BMO3=1,2,4))),FALSE()))</f>
        <v> </v>
      </c>
      <c r="O144" s="401" t="str">
        <f aca="false">IF(A144="N/A"," ",VLOOKUP(A144,SatSunPeakPwr,(IF(BMO3=2,3,IF(BMO3=1,2,4))),FALSE()))</f>
        <v> </v>
      </c>
      <c r="P144" s="401" t="str">
        <f aca="false">IF(A144="N/A"," ",VLOOKUP(A144,SatSunPeakPwr,(IF(BMO3=2,7,IF(BMO3=1,6,8))),FALSE()))</f>
        <v> </v>
      </c>
      <c r="Q144" s="402" t="str">
        <f aca="false">IF(A144="N/A"," ",(VLOOKUP(A144,OPPowerPrices,(IF(BMO3=2,7,IF(BMO3=1,6,8))),FALSE())))</f>
        <v> </v>
      </c>
      <c r="R144" s="403" t="str">
        <f aca="false">IF(A144="N/A"," ",(VLOOKUP($A144,IRTable,2)))</f>
        <v> </v>
      </c>
      <c r="AF144" s="352" t="n">
        <v>40817</v>
      </c>
      <c r="AG144" s="311" t="n">
        <v>21</v>
      </c>
      <c r="AH144" s="311" t="n">
        <v>5</v>
      </c>
      <c r="AI144" s="311" t="n">
        <v>5</v>
      </c>
      <c r="AJ144" s="311" t="n">
        <v>0</v>
      </c>
      <c r="AK144" s="311" t="n">
        <v>31</v>
      </c>
      <c r="AU144" s="406"/>
    </row>
    <row r="145" customFormat="false" ht="12.75" hidden="false" customHeight="false" outlineLevel="0" collapsed="false">
      <c r="A145" s="352" t="str">
        <f aca="false">Option3!A112</f>
        <v>N/A</v>
      </c>
      <c r="B145" s="396" t="str">
        <f aca="false">IF(A145="N/A"," ",IF(ISERROR(N145),B133*Pwresc,N145)*VLOOKUP(MONTH(A145),Curveadj,3))</f>
        <v> </v>
      </c>
      <c r="C145" s="397" t="str">
        <f aca="false">IF(A145="N/A"," ",(IF(AND(Scaler3=1,MONTH(A145)&gt;=6,MONTH(A145)&lt;=8,OR($M$37="REGION 2",$M$37="REGION 2A",$M$37="REGION 2B",$M$37="REGION 3",$M$37="REGION 3A",$M$37="REGION 3B",$M$37="REGION 3C",$M$37="REGION 4",$M$37="REGION 4B",$M$37="REGION 4C",$M$37="REGION 5",$M$37="REGION 5A")),((0.059228/(B145/100))-(0.4980013/(SQRT(B145/100)))+2.137988),HLOOKUP(MONTH(A145),ScalarTable,28))))</f>
        <v> </v>
      </c>
      <c r="D145" s="398" t="str">
        <f aca="false">IF(A145="N/A"," ",C145*B145)</f>
        <v> </v>
      </c>
      <c r="E145" s="396" t="str">
        <f aca="false">IF(A145="N/A"," ",IF(ISERROR(O145),E133*Pwresc,O145)*VLOOKUP(MONTH(A145),Curveadj,3))</f>
        <v> </v>
      </c>
      <c r="F145" s="398" t="str">
        <f aca="false">IF(A145="N/A"," ",E145*C145)</f>
        <v> </v>
      </c>
      <c r="G145" s="396" t="str">
        <f aca="false">IF(A145="N/A"," ",IF(ISERROR(P145),G133*Pwresc,P145)*VLOOKUP(MONTH(A145),Curveadj,3))</f>
        <v> </v>
      </c>
      <c r="H145" s="398" t="str">
        <f aca="false">IF(A145="N/A"," ",G145*C145)</f>
        <v> </v>
      </c>
      <c r="I145" s="398" t="str">
        <f aca="false">IF(A145="N/A"," ",IF(ISERROR(Q145),I133*Pwresc,Q145))</f>
        <v> </v>
      </c>
      <c r="J145" s="398"/>
      <c r="K145" s="399"/>
      <c r="L145" s="399"/>
      <c r="M145" s="404"/>
      <c r="N145" s="401" t="str">
        <f aca="false">IF(A145="N/A"," ",VLOOKUP(A145,PeakPowerCurves,(IF(BMO3=2,3,IF(BMO3=1,2,4))),FALSE()))</f>
        <v> </v>
      </c>
      <c r="O145" s="401" t="str">
        <f aca="false">IF(A145="N/A"," ",VLOOKUP(A145,SatSunPeakPwr,(IF(BMO3=2,3,IF(BMO3=1,2,4))),FALSE()))</f>
        <v> </v>
      </c>
      <c r="P145" s="401" t="str">
        <f aca="false">IF(A145="N/A"," ",VLOOKUP(A145,SatSunPeakPwr,(IF(BMO3=2,7,IF(BMO3=1,6,8))),FALSE()))</f>
        <v> </v>
      </c>
      <c r="Q145" s="402" t="str">
        <f aca="false">IF(A145="N/A"," ",(VLOOKUP(A145,OPPowerPrices,(IF(BMO3=2,7,IF(BMO3=1,6,8))),FALSE())))</f>
        <v> </v>
      </c>
      <c r="R145" s="403" t="str">
        <f aca="false">IF(A145="N/A"," ",(VLOOKUP($A145,IRTable,2)))</f>
        <v> </v>
      </c>
      <c r="AF145" s="352" t="n">
        <v>40848</v>
      </c>
      <c r="AG145" s="311" t="n">
        <v>21</v>
      </c>
      <c r="AH145" s="311" t="n">
        <v>4</v>
      </c>
      <c r="AI145" s="311" t="n">
        <v>5</v>
      </c>
      <c r="AJ145" s="311" t="n">
        <v>1</v>
      </c>
      <c r="AK145" s="311" t="n">
        <v>30</v>
      </c>
      <c r="AU145" s="406"/>
    </row>
    <row r="146" customFormat="false" ht="12.75" hidden="false" customHeight="false" outlineLevel="0" collapsed="false">
      <c r="A146" s="352" t="str">
        <f aca="false">Option3!A113</f>
        <v>N/A</v>
      </c>
      <c r="B146" s="396" t="str">
        <f aca="false">IF(A146="N/A"," ",IF(ISERROR(N146),B134*Pwresc,N146)*VLOOKUP(MONTH(A146),Curveadj,3))</f>
        <v> </v>
      </c>
      <c r="C146" s="397" t="str">
        <f aca="false">IF(A146="N/A"," ",(IF(AND(Scaler3=1,MONTH(A146)&gt;=6,MONTH(A146)&lt;=8,OR($M$37="REGION 2",$M$37="REGION 2A",$M$37="REGION 2B",$M$37="REGION 3",$M$37="REGION 3A",$M$37="REGION 3B",$M$37="REGION 3C",$M$37="REGION 4",$M$37="REGION 4B",$M$37="REGION 4C",$M$37="REGION 5",$M$37="REGION 5A")),((0.059228/(B146/100))-(0.4980013/(SQRT(B146/100)))+2.137988),HLOOKUP(MONTH(A146),ScalarTable,28))))</f>
        <v> </v>
      </c>
      <c r="D146" s="398" t="str">
        <f aca="false">IF(A146="N/A"," ",C146*B146)</f>
        <v> </v>
      </c>
      <c r="E146" s="396" t="str">
        <f aca="false">IF(A146="N/A"," ",IF(ISERROR(O146),E134*Pwresc,O146)*VLOOKUP(MONTH(A146),Curveadj,3))</f>
        <v> </v>
      </c>
      <c r="F146" s="398" t="str">
        <f aca="false">IF(A146="N/A"," ",E146*C146)</f>
        <v> </v>
      </c>
      <c r="G146" s="396" t="str">
        <f aca="false">IF(A146="N/A"," ",IF(ISERROR(P146),G134*Pwresc,P146)*VLOOKUP(MONTH(A146),Curveadj,3))</f>
        <v> </v>
      </c>
      <c r="H146" s="398" t="str">
        <f aca="false">IF(A146="N/A"," ",G146*C146)</f>
        <v> </v>
      </c>
      <c r="I146" s="398" t="str">
        <f aca="false">IF(A146="N/A"," ",IF(ISERROR(Q146),I134*Pwresc,Q146))</f>
        <v> </v>
      </c>
      <c r="J146" s="398"/>
      <c r="K146" s="399"/>
      <c r="L146" s="399"/>
      <c r="M146" s="404"/>
      <c r="N146" s="401" t="str">
        <f aca="false">IF(A146="N/A"," ",VLOOKUP(A146,PeakPowerCurves,(IF(BMO3=2,3,IF(BMO3=1,2,4))),FALSE()))</f>
        <v> </v>
      </c>
      <c r="O146" s="401" t="str">
        <f aca="false">IF(A146="N/A"," ",VLOOKUP(A146,SatSunPeakPwr,(IF(BMO3=2,3,IF(BMO3=1,2,4))),FALSE()))</f>
        <v> </v>
      </c>
      <c r="P146" s="401" t="str">
        <f aca="false">IF(A146="N/A"," ",VLOOKUP(A146,SatSunPeakPwr,(IF(BMO3=2,7,IF(BMO3=1,6,8))),FALSE()))</f>
        <v> </v>
      </c>
      <c r="Q146" s="402" t="str">
        <f aca="false">IF(A146="N/A"," ",(VLOOKUP(A146,OPPowerPrices,(IF(BMO3=2,7,IF(BMO3=1,6,8))),FALSE())))</f>
        <v> </v>
      </c>
      <c r="R146" s="403" t="str">
        <f aca="false">IF(A146="N/A"," ",(VLOOKUP($A146,IRTable,2)))</f>
        <v> </v>
      </c>
      <c r="AF146" s="352" t="n">
        <v>40878</v>
      </c>
      <c r="AG146" s="311" t="n">
        <v>21</v>
      </c>
      <c r="AH146" s="311" t="n">
        <v>5</v>
      </c>
      <c r="AI146" s="311" t="n">
        <v>5</v>
      </c>
      <c r="AJ146" s="311" t="n">
        <v>1</v>
      </c>
      <c r="AK146" s="311" t="n">
        <v>31</v>
      </c>
      <c r="AU146" s="406"/>
    </row>
    <row r="147" customFormat="false" ht="12.75" hidden="false" customHeight="false" outlineLevel="0" collapsed="false">
      <c r="A147" s="352" t="str">
        <f aca="false">Option3!A114</f>
        <v>N/A</v>
      </c>
      <c r="B147" s="396" t="str">
        <f aca="false">IF(A147="N/A"," ",IF(ISERROR(N147),B135*Pwresc,N147)*VLOOKUP(MONTH(A147),Curveadj,3))</f>
        <v> </v>
      </c>
      <c r="C147" s="397" t="str">
        <f aca="false">IF(A147="N/A"," ",(IF(AND(Scaler3=1,MONTH(A147)&gt;=6,MONTH(A147)&lt;=8,OR($M$37="REGION 2",$M$37="REGION 2A",$M$37="REGION 2B",$M$37="REGION 3",$M$37="REGION 3A",$M$37="REGION 3B",$M$37="REGION 3C",$M$37="REGION 4",$M$37="REGION 4B",$M$37="REGION 4C",$M$37="REGION 5",$M$37="REGION 5A")),((0.059228/(B147/100))-(0.4980013/(SQRT(B147/100)))+2.137988),HLOOKUP(MONTH(A147),ScalarTable,28))))</f>
        <v> </v>
      </c>
      <c r="D147" s="398" t="str">
        <f aca="false">IF(A147="N/A"," ",C147*B147)</f>
        <v> </v>
      </c>
      <c r="E147" s="396" t="str">
        <f aca="false">IF(A147="N/A"," ",IF(ISERROR(O147),E135*Pwresc,O147)*VLOOKUP(MONTH(A147),Curveadj,3))</f>
        <v> </v>
      </c>
      <c r="F147" s="398" t="str">
        <f aca="false">IF(A147="N/A"," ",E147*C147)</f>
        <v> </v>
      </c>
      <c r="G147" s="396" t="str">
        <f aca="false">IF(A147="N/A"," ",IF(ISERROR(P147),G135*Pwresc,P147)*VLOOKUP(MONTH(A147),Curveadj,3))</f>
        <v> </v>
      </c>
      <c r="H147" s="398" t="str">
        <f aca="false">IF(A147="N/A"," ",G147*C147)</f>
        <v> </v>
      </c>
      <c r="I147" s="398" t="str">
        <f aca="false">IF(A147="N/A"," ",IF(ISERROR(Q147),I135*Pwresc,Q147))</f>
        <v> </v>
      </c>
      <c r="J147" s="398"/>
      <c r="K147" s="399"/>
      <c r="L147" s="399"/>
      <c r="M147" s="404"/>
      <c r="N147" s="401" t="str">
        <f aca="false">IF(A147="N/A"," ",VLOOKUP(A147,PeakPowerCurves,(IF(BMO3=2,3,IF(BMO3=1,2,4))),FALSE()))</f>
        <v> </v>
      </c>
      <c r="O147" s="401" t="str">
        <f aca="false">IF(A147="N/A"," ",VLOOKUP(A147,SatSunPeakPwr,(IF(BMO3=2,3,IF(BMO3=1,2,4))),FALSE()))</f>
        <v> </v>
      </c>
      <c r="P147" s="401" t="str">
        <f aca="false">IF(A147="N/A"," ",VLOOKUP(A147,SatSunPeakPwr,(IF(BMO3=2,7,IF(BMO3=1,6,8))),FALSE()))</f>
        <v> </v>
      </c>
      <c r="Q147" s="402" t="str">
        <f aca="false">IF(A147="N/A"," ",(VLOOKUP(A147,OPPowerPrices,(IF(BMO3=2,7,IF(BMO3=1,6,8))),FALSE())))</f>
        <v> </v>
      </c>
      <c r="R147" s="403" t="str">
        <f aca="false">IF(A147="N/A"," ",(VLOOKUP($A147,IRTable,2)))</f>
        <v> </v>
      </c>
      <c r="AF147" s="352" t="n">
        <v>40909</v>
      </c>
      <c r="AG147" s="311" t="n">
        <v>21</v>
      </c>
      <c r="AH147" s="311" t="n">
        <v>4</v>
      </c>
      <c r="AI147" s="311" t="n">
        <v>6</v>
      </c>
      <c r="AJ147" s="311" t="n">
        <v>1</v>
      </c>
      <c r="AK147" s="311" t="n">
        <v>31</v>
      </c>
      <c r="AU147" s="406"/>
    </row>
    <row r="148" customFormat="false" ht="12.75" hidden="false" customHeight="false" outlineLevel="0" collapsed="false">
      <c r="A148" s="352" t="str">
        <f aca="false">Option3!A115</f>
        <v>N/A</v>
      </c>
      <c r="B148" s="396" t="str">
        <f aca="false">IF(A148="N/A"," ",IF(ISERROR(N148),B136*Pwresc,N148)*VLOOKUP(MONTH(A148),Curveadj,3))</f>
        <v> </v>
      </c>
      <c r="C148" s="397" t="str">
        <f aca="false">IF(A148="N/A"," ",(IF(AND(Scaler3=1,MONTH(A148)&gt;=6,MONTH(A148)&lt;=8,OR($M$37="REGION 2",$M$37="REGION 2A",$M$37="REGION 2B",$M$37="REGION 3",$M$37="REGION 3A",$M$37="REGION 3B",$M$37="REGION 3C",$M$37="REGION 4",$M$37="REGION 4B",$M$37="REGION 4C",$M$37="REGION 5",$M$37="REGION 5A")),((0.059228/(B148/100))-(0.4980013/(SQRT(B148/100)))+2.137988),HLOOKUP(MONTH(A148),ScalarTable,28))))</f>
        <v> </v>
      </c>
      <c r="D148" s="398" t="str">
        <f aca="false">IF(A148="N/A"," ",C148*B148)</f>
        <v> </v>
      </c>
      <c r="E148" s="396" t="str">
        <f aca="false">IF(A148="N/A"," ",IF(ISERROR(O148),E136*Pwresc,O148)*VLOOKUP(MONTH(A148),Curveadj,3))</f>
        <v> </v>
      </c>
      <c r="F148" s="398" t="str">
        <f aca="false">IF(A148="N/A"," ",E148*C148)</f>
        <v> </v>
      </c>
      <c r="G148" s="396" t="str">
        <f aca="false">IF(A148="N/A"," ",IF(ISERROR(P148),G136*Pwresc,P148)*VLOOKUP(MONTH(A148),Curveadj,3))</f>
        <v> </v>
      </c>
      <c r="H148" s="398" t="str">
        <f aca="false">IF(A148="N/A"," ",G148*C148)</f>
        <v> </v>
      </c>
      <c r="I148" s="398" t="str">
        <f aca="false">IF(A148="N/A"," ",IF(ISERROR(Q148),I136*Pwresc,Q148))</f>
        <v> </v>
      </c>
      <c r="J148" s="398"/>
      <c r="K148" s="399"/>
      <c r="L148" s="399"/>
      <c r="M148" s="404"/>
      <c r="N148" s="401" t="str">
        <f aca="false">IF(A148="N/A"," ",VLOOKUP(A148,PeakPowerCurves,(IF(BMO3=2,3,IF(BMO3=1,2,4))),FALSE()))</f>
        <v> </v>
      </c>
      <c r="O148" s="401" t="str">
        <f aca="false">IF(A148="N/A"," ",VLOOKUP(A148,SatSunPeakPwr,(IF(BMO3=2,3,IF(BMO3=1,2,4))),FALSE()))</f>
        <v> </v>
      </c>
      <c r="P148" s="401" t="str">
        <f aca="false">IF(A148="N/A"," ",VLOOKUP(A148,SatSunPeakPwr,(IF(BMO3=2,7,IF(BMO3=1,6,8))),FALSE()))</f>
        <v> </v>
      </c>
      <c r="Q148" s="402" t="str">
        <f aca="false">IF(A148="N/A"," ",(VLOOKUP(A148,OPPowerPrices,(IF(BMO3=2,7,IF(BMO3=1,6,8))),FALSE())))</f>
        <v> </v>
      </c>
      <c r="R148" s="403" t="str">
        <f aca="false">IF(A148="N/A"," ",(VLOOKUP($A148,IRTable,2)))</f>
        <v> </v>
      </c>
      <c r="AF148" s="352" t="n">
        <v>40940</v>
      </c>
      <c r="AG148" s="311" t="n">
        <v>21</v>
      </c>
      <c r="AH148" s="311" t="n">
        <v>4</v>
      </c>
      <c r="AI148" s="311" t="n">
        <v>4</v>
      </c>
      <c r="AJ148" s="311" t="n">
        <v>0</v>
      </c>
      <c r="AK148" s="311" t="n">
        <v>29</v>
      </c>
      <c r="AU148" s="406"/>
    </row>
    <row r="149" customFormat="false" ht="12.75" hidden="false" customHeight="false" outlineLevel="0" collapsed="false">
      <c r="A149" s="352" t="str">
        <f aca="false">Option3!A116</f>
        <v>N/A</v>
      </c>
      <c r="B149" s="396" t="str">
        <f aca="false">IF(A149="N/A"," ",IF(ISERROR(N149),B137*Pwresc,N149)*VLOOKUP(MONTH(A149),Curveadj,3))</f>
        <v> </v>
      </c>
      <c r="C149" s="397" t="str">
        <f aca="false">IF(A149="N/A"," ",(IF(AND(Scaler3=1,MONTH(A149)&gt;=6,MONTH(A149)&lt;=8,OR($M$37="REGION 2",$M$37="REGION 2A",$M$37="REGION 2B",$M$37="REGION 3",$M$37="REGION 3A",$M$37="REGION 3B",$M$37="REGION 3C",$M$37="REGION 4",$M$37="REGION 4B",$M$37="REGION 4C",$M$37="REGION 5",$M$37="REGION 5A")),((0.059228/(B149/100))-(0.4980013/(SQRT(B149/100)))+2.137988),HLOOKUP(MONTH(A149),ScalarTable,28))))</f>
        <v> </v>
      </c>
      <c r="D149" s="398" t="str">
        <f aca="false">IF(A149="N/A"," ",C149*B149)</f>
        <v> </v>
      </c>
      <c r="E149" s="396" t="str">
        <f aca="false">IF(A149="N/A"," ",IF(ISERROR(O149),E137*Pwresc,O149)*VLOOKUP(MONTH(A149),Curveadj,3))</f>
        <v> </v>
      </c>
      <c r="F149" s="398" t="str">
        <f aca="false">IF(A149="N/A"," ",E149*C149)</f>
        <v> </v>
      </c>
      <c r="G149" s="396" t="str">
        <f aca="false">IF(A149="N/A"," ",IF(ISERROR(P149),G137*Pwresc,P149)*VLOOKUP(MONTH(A149),Curveadj,3))</f>
        <v> </v>
      </c>
      <c r="H149" s="398" t="str">
        <f aca="false">IF(A149="N/A"," ",G149*C149)</f>
        <v> </v>
      </c>
      <c r="I149" s="398" t="str">
        <f aca="false">IF(A149="N/A"," ",IF(ISERROR(Q149),I137*Pwresc,Q149))</f>
        <v> </v>
      </c>
      <c r="J149" s="398"/>
      <c r="K149" s="399"/>
      <c r="L149" s="399"/>
      <c r="M149" s="404"/>
      <c r="N149" s="401" t="str">
        <f aca="false">IF(A149="N/A"," ",VLOOKUP(A149,PeakPowerCurves,(IF(BMO3=2,3,IF(BMO3=1,2,4))),FALSE()))</f>
        <v> </v>
      </c>
      <c r="O149" s="401" t="str">
        <f aca="false">IF(A149="N/A"," ",VLOOKUP(A149,SatSunPeakPwr,(IF(BMO3=2,3,IF(BMO3=1,2,4))),FALSE()))</f>
        <v> </v>
      </c>
      <c r="P149" s="401" t="str">
        <f aca="false">IF(A149="N/A"," ",VLOOKUP(A149,SatSunPeakPwr,(IF(BMO3=2,7,IF(BMO3=1,6,8))),FALSE()))</f>
        <v> </v>
      </c>
      <c r="Q149" s="402" t="str">
        <f aca="false">IF(A149="N/A"," ",(VLOOKUP(A149,OPPowerPrices,(IF(BMO3=2,7,IF(BMO3=1,6,8))),FALSE())))</f>
        <v> </v>
      </c>
      <c r="R149" s="403" t="str">
        <f aca="false">IF(A149="N/A"," ",(VLOOKUP($A149,IRTable,2)))</f>
        <v> </v>
      </c>
      <c r="AF149" s="352" t="n">
        <v>40969</v>
      </c>
      <c r="AG149" s="311" t="n">
        <v>22</v>
      </c>
      <c r="AH149" s="311" t="n">
        <v>5</v>
      </c>
      <c r="AI149" s="311" t="n">
        <v>4</v>
      </c>
      <c r="AJ149" s="311" t="n">
        <v>0</v>
      </c>
      <c r="AK149" s="311" t="n">
        <v>31</v>
      </c>
      <c r="AU149" s="406"/>
    </row>
    <row r="150" customFormat="false" ht="12.75" hidden="false" customHeight="false" outlineLevel="0" collapsed="false">
      <c r="A150" s="352" t="str">
        <f aca="false">Option3!A117</f>
        <v>N/A</v>
      </c>
      <c r="B150" s="396" t="str">
        <f aca="false">IF(A150="N/A"," ",IF(ISERROR(N150),B138*Pwresc,N150)*VLOOKUP(MONTH(A150),Curveadj,3))</f>
        <v> </v>
      </c>
      <c r="C150" s="397" t="str">
        <f aca="false">IF(A150="N/A"," ",(IF(AND(Scaler3=1,MONTH(A150)&gt;=6,MONTH(A150)&lt;=8,OR($M$37="REGION 2",$M$37="REGION 2A",$M$37="REGION 2B",$M$37="REGION 3",$M$37="REGION 3A",$M$37="REGION 3B",$M$37="REGION 3C",$M$37="REGION 4",$M$37="REGION 4B",$M$37="REGION 4C",$M$37="REGION 5",$M$37="REGION 5A")),((0.059228/(B150/100))-(0.4980013/(SQRT(B150/100)))+2.137988),HLOOKUP(MONTH(A150),ScalarTable,28))))</f>
        <v> </v>
      </c>
      <c r="D150" s="398" t="str">
        <f aca="false">IF(A150="N/A"," ",C150*B150)</f>
        <v> </v>
      </c>
      <c r="E150" s="396" t="str">
        <f aca="false">IF(A150="N/A"," ",IF(ISERROR(O150),E138*Pwresc,O150)*VLOOKUP(MONTH(A150),Curveadj,3))</f>
        <v> </v>
      </c>
      <c r="F150" s="398" t="str">
        <f aca="false">IF(A150="N/A"," ",E150*C150)</f>
        <v> </v>
      </c>
      <c r="G150" s="396" t="str">
        <f aca="false">IF(A150="N/A"," ",IF(ISERROR(P150),G138*Pwresc,P150)*VLOOKUP(MONTH(A150),Curveadj,3))</f>
        <v> </v>
      </c>
      <c r="H150" s="398" t="str">
        <f aca="false">IF(A150="N/A"," ",G150*C150)</f>
        <v> </v>
      </c>
      <c r="I150" s="398" t="str">
        <f aca="false">IF(A150="N/A"," ",IF(ISERROR(Q150),I138*Pwresc,Q150))</f>
        <v> </v>
      </c>
      <c r="J150" s="398"/>
      <c r="K150" s="399"/>
      <c r="L150" s="399"/>
      <c r="M150" s="404"/>
      <c r="N150" s="401" t="str">
        <f aca="false">IF(A150="N/A"," ",VLOOKUP(A150,PeakPowerCurves,(IF(BMO3=2,3,IF(BMO3=1,2,4))),FALSE()))</f>
        <v> </v>
      </c>
      <c r="O150" s="401" t="str">
        <f aca="false">IF(A150="N/A"," ",VLOOKUP(A150,SatSunPeakPwr,(IF(BMO3=2,3,IF(BMO3=1,2,4))),FALSE()))</f>
        <v> </v>
      </c>
      <c r="P150" s="401" t="str">
        <f aca="false">IF(A150="N/A"," ",VLOOKUP(A150,SatSunPeakPwr,(IF(BMO3=2,7,IF(BMO3=1,6,8))),FALSE()))</f>
        <v> </v>
      </c>
      <c r="Q150" s="402" t="str">
        <f aca="false">IF(A150="N/A"," ",(VLOOKUP(A150,OPPowerPrices,(IF(BMO3=2,7,IF(BMO3=1,6,8))),FALSE())))</f>
        <v> </v>
      </c>
      <c r="R150" s="403" t="str">
        <f aca="false">IF(A150="N/A"," ",(VLOOKUP($A150,IRTable,2)))</f>
        <v> </v>
      </c>
      <c r="AF150" s="352" t="n">
        <v>41000</v>
      </c>
      <c r="AG150" s="311" t="n">
        <v>21</v>
      </c>
      <c r="AH150" s="311" t="n">
        <v>4</v>
      </c>
      <c r="AI150" s="311" t="n">
        <v>5</v>
      </c>
      <c r="AJ150" s="311" t="n">
        <v>0</v>
      </c>
      <c r="AK150" s="311" t="n">
        <v>30</v>
      </c>
      <c r="AU150" s="406"/>
    </row>
    <row r="151" customFormat="false" ht="12.75" hidden="false" customHeight="false" outlineLevel="0" collapsed="false">
      <c r="A151" s="352" t="str">
        <f aca="false">Option3!A118</f>
        <v>N/A</v>
      </c>
      <c r="B151" s="396" t="str">
        <f aca="false">IF(A151="N/A"," ",IF(ISERROR(N151),B139*Pwresc,N151)*VLOOKUP(MONTH(A151),Curveadj,3))</f>
        <v> </v>
      </c>
      <c r="C151" s="397" t="str">
        <f aca="false">IF(A151="N/A"," ",(IF(AND(Scaler3=1,MONTH(A151)&gt;=6,MONTH(A151)&lt;=8,OR($M$37="REGION 2",$M$37="REGION 2A",$M$37="REGION 2B",$M$37="REGION 3",$M$37="REGION 3A",$M$37="REGION 3B",$M$37="REGION 3C",$M$37="REGION 4",$M$37="REGION 4B",$M$37="REGION 4C",$M$37="REGION 5",$M$37="REGION 5A")),((0.059228/(B151/100))-(0.4980013/(SQRT(B151/100)))+2.137988),HLOOKUP(MONTH(A151),ScalarTable,28))))</f>
        <v> </v>
      </c>
      <c r="D151" s="398" t="str">
        <f aca="false">IF(A151="N/A"," ",C151*B151)</f>
        <v> </v>
      </c>
      <c r="E151" s="396" t="str">
        <f aca="false">IF(A151="N/A"," ",IF(ISERROR(O151),E139*Pwresc,O151)*VLOOKUP(MONTH(A151),Curveadj,3))</f>
        <v> </v>
      </c>
      <c r="F151" s="398" t="str">
        <f aca="false">IF(A151="N/A"," ",E151*C151)</f>
        <v> </v>
      </c>
      <c r="G151" s="396" t="str">
        <f aca="false">IF(A151="N/A"," ",IF(ISERROR(P151),G139*Pwresc,P151)*VLOOKUP(MONTH(A151),Curveadj,3))</f>
        <v> </v>
      </c>
      <c r="H151" s="398" t="str">
        <f aca="false">IF(A151="N/A"," ",G151*C151)</f>
        <v> </v>
      </c>
      <c r="I151" s="398" t="str">
        <f aca="false">IF(A151="N/A"," ",IF(ISERROR(Q151),I139*Pwresc,Q151))</f>
        <v> </v>
      </c>
      <c r="J151" s="398"/>
      <c r="K151" s="399"/>
      <c r="L151" s="399"/>
      <c r="M151" s="404"/>
      <c r="N151" s="401" t="str">
        <f aca="false">IF(A151="N/A"," ",VLOOKUP(A151,PeakPowerCurves,(IF(BMO3=2,3,IF(BMO3=1,2,4))),FALSE()))</f>
        <v> </v>
      </c>
      <c r="O151" s="401" t="str">
        <f aca="false">IF(A151="N/A"," ",VLOOKUP(A151,SatSunPeakPwr,(IF(BMO3=2,3,IF(BMO3=1,2,4))),FALSE()))</f>
        <v> </v>
      </c>
      <c r="P151" s="401" t="str">
        <f aca="false">IF(A151="N/A"," ",VLOOKUP(A151,SatSunPeakPwr,(IF(BMO3=2,7,IF(BMO3=1,6,8))),FALSE()))</f>
        <v> </v>
      </c>
      <c r="Q151" s="402" t="str">
        <f aca="false">IF(A151="N/A"," ",(VLOOKUP(A151,OPPowerPrices,(IF(BMO3=2,7,IF(BMO3=1,6,8))),FALSE())))</f>
        <v> </v>
      </c>
      <c r="R151" s="403" t="str">
        <f aca="false">IF(A151="N/A"," ",(VLOOKUP($A151,IRTable,2)))</f>
        <v> </v>
      </c>
      <c r="AF151" s="352" t="n">
        <v>41030</v>
      </c>
      <c r="AG151" s="311" t="n">
        <v>22</v>
      </c>
      <c r="AH151" s="311" t="n">
        <v>4</v>
      </c>
      <c r="AI151" s="311" t="n">
        <v>5</v>
      </c>
      <c r="AJ151" s="311" t="n">
        <v>1</v>
      </c>
      <c r="AK151" s="311" t="n">
        <v>31</v>
      </c>
      <c r="AU151" s="406"/>
    </row>
    <row r="152" customFormat="false" ht="12.75" hidden="false" customHeight="false" outlineLevel="0" collapsed="false">
      <c r="A152" s="352" t="str">
        <f aca="false">Option3!A119</f>
        <v>N/A</v>
      </c>
      <c r="B152" s="396" t="str">
        <f aca="false">IF(A152="N/A"," ",IF(ISERROR(N152),B140*Pwresc,N152)*VLOOKUP(MONTH(A152),Curveadj,3))</f>
        <v> </v>
      </c>
      <c r="C152" s="397" t="str">
        <f aca="false">IF(A152="N/A"," ",(IF(AND(Scaler3=1,MONTH(A152)&gt;=6,MONTH(A152)&lt;=8,OR($M$37="REGION 2",$M$37="REGION 2A",$M$37="REGION 2B",$M$37="REGION 3",$M$37="REGION 3A",$M$37="REGION 3B",$M$37="REGION 3C",$M$37="REGION 4",$M$37="REGION 4B",$M$37="REGION 4C",$M$37="REGION 5",$M$37="REGION 5A")),((0.059228/(B152/100))-(0.4980013/(SQRT(B152/100)))+2.137988),HLOOKUP(MONTH(A152),ScalarTable,28))))</f>
        <v> </v>
      </c>
      <c r="D152" s="398" t="str">
        <f aca="false">IF(A152="N/A"," ",C152*B152)</f>
        <v> </v>
      </c>
      <c r="E152" s="396" t="str">
        <f aca="false">IF(A152="N/A"," ",IF(ISERROR(O152),E140*Pwresc,O152)*VLOOKUP(MONTH(A152),Curveadj,3))</f>
        <v> </v>
      </c>
      <c r="F152" s="398" t="str">
        <f aca="false">IF(A152="N/A"," ",E152*C152)</f>
        <v> </v>
      </c>
      <c r="G152" s="396" t="str">
        <f aca="false">IF(A152="N/A"," ",IF(ISERROR(P152),G140*Pwresc,P152)*VLOOKUP(MONTH(A152),Curveadj,3))</f>
        <v> </v>
      </c>
      <c r="H152" s="398" t="str">
        <f aca="false">IF(A152="N/A"," ",G152*C152)</f>
        <v> </v>
      </c>
      <c r="I152" s="398" t="str">
        <f aca="false">IF(A152="N/A"," ",IF(ISERROR(Q152),I140*Pwresc,Q152))</f>
        <v> </v>
      </c>
      <c r="J152" s="398"/>
      <c r="K152" s="399"/>
      <c r="L152" s="399"/>
      <c r="M152" s="404"/>
      <c r="N152" s="401" t="str">
        <f aca="false">IF(A152="N/A"," ",VLOOKUP(A152,PeakPowerCurves,(IF(BMO3=2,3,IF(BMO3=1,2,4))),FALSE()))</f>
        <v> </v>
      </c>
      <c r="O152" s="401" t="str">
        <f aca="false">IF(A152="N/A"," ",VLOOKUP(A152,SatSunPeakPwr,(IF(BMO3=2,3,IF(BMO3=1,2,4))),FALSE()))</f>
        <v> </v>
      </c>
      <c r="P152" s="401" t="str">
        <f aca="false">IF(A152="N/A"," ",VLOOKUP(A152,SatSunPeakPwr,(IF(BMO3=2,7,IF(BMO3=1,6,8))),FALSE()))</f>
        <v> </v>
      </c>
      <c r="Q152" s="402" t="str">
        <f aca="false">IF(A152="N/A"," ",(VLOOKUP(A152,OPPowerPrices,(IF(BMO3=2,7,IF(BMO3=1,6,8))),FALSE())))</f>
        <v> </v>
      </c>
      <c r="R152" s="403" t="str">
        <f aca="false">IF(A152="N/A"," ",(VLOOKUP($A152,IRTable,2)))</f>
        <v> </v>
      </c>
      <c r="AF152" s="352" t="n">
        <v>41061</v>
      </c>
      <c r="AG152" s="311" t="n">
        <v>21</v>
      </c>
      <c r="AH152" s="311" t="n">
        <v>5</v>
      </c>
      <c r="AI152" s="311" t="n">
        <v>4</v>
      </c>
      <c r="AJ152" s="311" t="n">
        <v>0</v>
      </c>
      <c r="AK152" s="311" t="n">
        <v>30</v>
      </c>
      <c r="AU152" s="406"/>
    </row>
    <row r="153" customFormat="false" ht="12.75" hidden="false" customHeight="false" outlineLevel="0" collapsed="false">
      <c r="A153" s="352" t="str">
        <f aca="false">Option3!A120</f>
        <v>N/A</v>
      </c>
      <c r="B153" s="396" t="str">
        <f aca="false">IF(A153="N/A"," ",IF(ISERROR(N153),B141*Pwresc,N153)*VLOOKUP(MONTH(A153),Curveadj,3))</f>
        <v> </v>
      </c>
      <c r="C153" s="397" t="str">
        <f aca="false">IF(A153="N/A"," ",(IF(AND(Scaler3=1,MONTH(A153)&gt;=6,MONTH(A153)&lt;=8,OR($M$37="REGION 2",$M$37="REGION 2A",$M$37="REGION 2B",$M$37="REGION 3",$M$37="REGION 3A",$M$37="REGION 3B",$M$37="REGION 3C",$M$37="REGION 4",$M$37="REGION 4B",$M$37="REGION 4C",$M$37="REGION 5",$M$37="REGION 5A")),((0.059228/(B153/100))-(0.4980013/(SQRT(B153/100)))+2.137988),HLOOKUP(MONTH(A153),ScalarTable,28))))</f>
        <v> </v>
      </c>
      <c r="D153" s="398" t="str">
        <f aca="false">IF(A153="N/A"," ",C153*B153)</f>
        <v> </v>
      </c>
      <c r="E153" s="396" t="str">
        <f aca="false">IF(A153="N/A"," ",IF(ISERROR(O153),E141*Pwresc,O153)*VLOOKUP(MONTH(A153),Curveadj,3))</f>
        <v> </v>
      </c>
      <c r="F153" s="398" t="str">
        <f aca="false">IF(A153="N/A"," ",E153*C153)</f>
        <v> </v>
      </c>
      <c r="G153" s="396" t="str">
        <f aca="false">IF(A153="N/A"," ",IF(ISERROR(P153),G141*Pwresc,P153)*VLOOKUP(MONTH(A153),Curveadj,3))</f>
        <v> </v>
      </c>
      <c r="H153" s="398" t="str">
        <f aca="false">IF(A153="N/A"," ",G153*C153)</f>
        <v> </v>
      </c>
      <c r="I153" s="398" t="str">
        <f aca="false">IF(A153="N/A"," ",IF(ISERROR(Q153),I141*Pwresc,Q153))</f>
        <v> </v>
      </c>
      <c r="J153" s="398"/>
      <c r="K153" s="399"/>
      <c r="L153" s="399"/>
      <c r="M153" s="404"/>
      <c r="N153" s="401" t="str">
        <f aca="false">IF(A153="N/A"," ",VLOOKUP(A153,PeakPowerCurves,(IF(BMO3=2,3,IF(BMO3=1,2,4))),FALSE()))</f>
        <v> </v>
      </c>
      <c r="O153" s="401" t="str">
        <f aca="false">IF(A153="N/A"," ",VLOOKUP(A153,SatSunPeakPwr,(IF(BMO3=2,3,IF(BMO3=1,2,4))),FALSE()))</f>
        <v> </v>
      </c>
      <c r="P153" s="401" t="str">
        <f aca="false">IF(A153="N/A"," ",VLOOKUP(A153,SatSunPeakPwr,(IF(BMO3=2,7,IF(BMO3=1,6,8))),FALSE()))</f>
        <v> </v>
      </c>
      <c r="Q153" s="402" t="str">
        <f aca="false">IF(A153="N/A"," ",(VLOOKUP(A153,OPPowerPrices,(IF(BMO3=2,7,IF(BMO3=1,6,8))),FALSE())))</f>
        <v> </v>
      </c>
      <c r="R153" s="403" t="str">
        <f aca="false">IF(A153="N/A"," ",(VLOOKUP($A153,IRTable,2)))</f>
        <v> </v>
      </c>
      <c r="AF153" s="352" t="n">
        <v>41091</v>
      </c>
      <c r="AG153" s="311" t="n">
        <v>21</v>
      </c>
      <c r="AH153" s="311" t="n">
        <v>4</v>
      </c>
      <c r="AI153" s="311" t="n">
        <v>6</v>
      </c>
      <c r="AJ153" s="311" t="n">
        <v>1</v>
      </c>
      <c r="AK153" s="311" t="n">
        <v>31</v>
      </c>
      <c r="AU153" s="406"/>
    </row>
    <row r="154" customFormat="false" ht="12.75" hidden="false" customHeight="false" outlineLevel="0" collapsed="false">
      <c r="A154" s="352" t="str">
        <f aca="false">Option3!A121</f>
        <v>N/A</v>
      </c>
      <c r="B154" s="396" t="str">
        <f aca="false">IF(A154="N/A"," ",IF(ISERROR(N154),B142*Pwresc,N154)*VLOOKUP(MONTH(A154),Curveadj,3))</f>
        <v> </v>
      </c>
      <c r="C154" s="397" t="str">
        <f aca="false">IF(A154="N/A"," ",(IF(AND(Scaler3=1,MONTH(A154)&gt;=6,MONTH(A154)&lt;=8,OR($M$37="REGION 2",$M$37="REGION 2A",$M$37="REGION 2B",$M$37="REGION 3",$M$37="REGION 3A",$M$37="REGION 3B",$M$37="REGION 3C",$M$37="REGION 4",$M$37="REGION 4B",$M$37="REGION 4C",$M$37="REGION 5",$M$37="REGION 5A")),((0.059228/(B154/100))-(0.4980013/(SQRT(B154/100)))+2.137988),HLOOKUP(MONTH(A154),ScalarTable,28))))</f>
        <v> </v>
      </c>
      <c r="D154" s="398" t="str">
        <f aca="false">IF(A154="N/A"," ",C154*B154)</f>
        <v> </v>
      </c>
      <c r="E154" s="396" t="str">
        <f aca="false">IF(A154="N/A"," ",IF(ISERROR(O154),E142*Pwresc,O154)*VLOOKUP(MONTH(A154),Curveadj,3))</f>
        <v> </v>
      </c>
      <c r="F154" s="398" t="str">
        <f aca="false">IF(A154="N/A"," ",E154*C154)</f>
        <v> </v>
      </c>
      <c r="G154" s="396" t="str">
        <f aca="false">IF(A154="N/A"," ",IF(ISERROR(P154),G142*Pwresc,P154)*VLOOKUP(MONTH(A154),Curveadj,3))</f>
        <v> </v>
      </c>
      <c r="H154" s="398" t="str">
        <f aca="false">IF(A154="N/A"," ",G154*C154)</f>
        <v> </v>
      </c>
      <c r="I154" s="398" t="str">
        <f aca="false">IF(A154="N/A"," ",IF(ISERROR(Q154),I142*Pwresc,Q154))</f>
        <v> </v>
      </c>
      <c r="J154" s="398"/>
      <c r="K154" s="399"/>
      <c r="L154" s="399"/>
      <c r="M154" s="404"/>
      <c r="N154" s="401" t="str">
        <f aca="false">IF(A154="N/A"," ",VLOOKUP(A154,PeakPowerCurves,(IF(BMO3=2,3,IF(BMO3=1,2,4))),FALSE()))</f>
        <v> </v>
      </c>
      <c r="O154" s="401" t="str">
        <f aca="false">IF(A154="N/A"," ",VLOOKUP(A154,SatSunPeakPwr,(IF(BMO3=2,3,IF(BMO3=1,2,4))),FALSE()))</f>
        <v> </v>
      </c>
      <c r="P154" s="401" t="str">
        <f aca="false">IF(A154="N/A"," ",VLOOKUP(A154,SatSunPeakPwr,(IF(BMO3=2,7,IF(BMO3=1,6,8))),FALSE()))</f>
        <v> </v>
      </c>
      <c r="Q154" s="402" t="str">
        <f aca="false">IF(A154="N/A"," ",(VLOOKUP(A154,OPPowerPrices,(IF(BMO3=2,7,IF(BMO3=1,6,8))),FALSE())))</f>
        <v> </v>
      </c>
      <c r="R154" s="403" t="str">
        <f aca="false">IF(A154="N/A"," ",(VLOOKUP($A154,IRTable,2)))</f>
        <v> </v>
      </c>
      <c r="AF154" s="352" t="n">
        <v>41122</v>
      </c>
      <c r="AG154" s="311" t="n">
        <v>23</v>
      </c>
      <c r="AH154" s="311" t="n">
        <v>4</v>
      </c>
      <c r="AI154" s="311" t="n">
        <v>4</v>
      </c>
      <c r="AJ154" s="311" t="n">
        <v>0</v>
      </c>
      <c r="AK154" s="311" t="n">
        <v>31</v>
      </c>
      <c r="AU154" s="406"/>
    </row>
    <row r="155" customFormat="false" ht="12.75" hidden="false" customHeight="false" outlineLevel="0" collapsed="false">
      <c r="A155" s="352" t="str">
        <f aca="false">Option3!A122</f>
        <v>N/A</v>
      </c>
      <c r="B155" s="396" t="str">
        <f aca="false">IF(A155="N/A"," ",IF(ISERROR(N155),B143*Pwresc,N155)*VLOOKUP(MONTH(A155),Curveadj,3))</f>
        <v> </v>
      </c>
      <c r="C155" s="397" t="str">
        <f aca="false">IF(A155="N/A"," ",(IF(AND(Scaler3=1,MONTH(A155)&gt;=6,MONTH(A155)&lt;=8,OR($M$37="REGION 2",$M$37="REGION 2A",$M$37="REGION 2B",$M$37="REGION 3",$M$37="REGION 3A",$M$37="REGION 3B",$M$37="REGION 3C",$M$37="REGION 4",$M$37="REGION 4B",$M$37="REGION 4C",$M$37="REGION 5",$M$37="REGION 5A")),((0.059228/(B155/100))-(0.4980013/(SQRT(B155/100)))+2.137988),HLOOKUP(MONTH(A155),ScalarTable,28))))</f>
        <v> </v>
      </c>
      <c r="D155" s="398" t="str">
        <f aca="false">IF(A155="N/A"," ",C155*B155)</f>
        <v> </v>
      </c>
      <c r="E155" s="396" t="str">
        <f aca="false">IF(A155="N/A"," ",IF(ISERROR(O155),E143*Pwresc,O155)*VLOOKUP(MONTH(A155),Curveadj,3))</f>
        <v> </v>
      </c>
      <c r="F155" s="398" t="str">
        <f aca="false">IF(A155="N/A"," ",E155*C155)</f>
        <v> </v>
      </c>
      <c r="G155" s="396" t="str">
        <f aca="false">IF(A155="N/A"," ",IF(ISERROR(P155),G143*Pwresc,P155)*VLOOKUP(MONTH(A155),Curveadj,3))</f>
        <v> </v>
      </c>
      <c r="H155" s="398" t="str">
        <f aca="false">IF(A155="N/A"," ",G155*C155)</f>
        <v> </v>
      </c>
      <c r="I155" s="398" t="str">
        <f aca="false">IF(A155="N/A"," ",IF(ISERROR(Q155),I143*Pwresc,Q155))</f>
        <v> </v>
      </c>
      <c r="J155" s="398"/>
      <c r="K155" s="399"/>
      <c r="L155" s="399"/>
      <c r="M155" s="404"/>
      <c r="N155" s="401" t="str">
        <f aca="false">IF(A155="N/A"," ",VLOOKUP(A155,PeakPowerCurves,(IF(BMO3=2,3,IF(BMO3=1,2,4))),FALSE()))</f>
        <v> </v>
      </c>
      <c r="O155" s="401" t="str">
        <f aca="false">IF(A155="N/A"," ",VLOOKUP(A155,SatSunPeakPwr,(IF(BMO3=2,3,IF(BMO3=1,2,4))),FALSE()))</f>
        <v> </v>
      </c>
      <c r="P155" s="401" t="str">
        <f aca="false">IF(A155="N/A"," ",VLOOKUP(A155,SatSunPeakPwr,(IF(BMO3=2,7,IF(BMO3=1,6,8))),FALSE()))</f>
        <v> </v>
      </c>
      <c r="Q155" s="402" t="str">
        <f aca="false">IF(A155="N/A"," ",(VLOOKUP(A155,OPPowerPrices,(IF(BMO3=2,7,IF(BMO3=1,6,8))),FALSE())))</f>
        <v> </v>
      </c>
      <c r="R155" s="403" t="str">
        <f aca="false">IF(A155="N/A"," ",(VLOOKUP($A155,IRTable,2)))</f>
        <v> </v>
      </c>
      <c r="AF155" s="352" t="n">
        <v>41153</v>
      </c>
      <c r="AG155" s="311" t="n">
        <v>19</v>
      </c>
      <c r="AH155" s="311" t="n">
        <v>5</v>
      </c>
      <c r="AI155" s="311" t="n">
        <v>6</v>
      </c>
      <c r="AJ155" s="311" t="n">
        <v>1</v>
      </c>
      <c r="AK155" s="311" t="n">
        <v>30</v>
      </c>
      <c r="AU155" s="406"/>
    </row>
    <row r="156" customFormat="false" ht="12.75" hidden="false" customHeight="false" outlineLevel="0" collapsed="false">
      <c r="A156" s="352" t="str">
        <f aca="false">Option3!A123</f>
        <v>N/A</v>
      </c>
      <c r="B156" s="396" t="str">
        <f aca="false">IF(A156="N/A"," ",IF(ISERROR(N156),B144*Pwresc,N156)*VLOOKUP(MONTH(A156),Curveadj,3))</f>
        <v> </v>
      </c>
      <c r="C156" s="397" t="str">
        <f aca="false">IF(A156="N/A"," ",(IF(AND(Scaler3=1,MONTH(A156)&gt;=6,MONTH(A156)&lt;=8,OR($M$37="REGION 2",$M$37="REGION 2A",$M$37="REGION 2B",$M$37="REGION 3",$M$37="REGION 3A",$M$37="REGION 3B",$M$37="REGION 3C",$M$37="REGION 4",$M$37="REGION 4B",$M$37="REGION 4C",$M$37="REGION 5",$M$37="REGION 5A")),((0.059228/(B156/100))-(0.4980013/(SQRT(B156/100)))+2.137988),HLOOKUP(MONTH(A156),ScalarTable,28))))</f>
        <v> </v>
      </c>
      <c r="D156" s="398" t="str">
        <f aca="false">IF(A156="N/A"," ",C156*B156)</f>
        <v> </v>
      </c>
      <c r="E156" s="396" t="str">
        <f aca="false">IF(A156="N/A"," ",IF(ISERROR(O156),E144*Pwresc,O156)*VLOOKUP(MONTH(A156),Curveadj,3))</f>
        <v> </v>
      </c>
      <c r="F156" s="398" t="str">
        <f aca="false">IF(A156="N/A"," ",E156*C156)</f>
        <v> </v>
      </c>
      <c r="G156" s="396" t="str">
        <f aca="false">IF(A156="N/A"," ",IF(ISERROR(P156),G144*Pwresc,P156)*VLOOKUP(MONTH(A156),Curveadj,3))</f>
        <v> </v>
      </c>
      <c r="H156" s="398" t="str">
        <f aca="false">IF(A156="N/A"," ",G156*C156)</f>
        <v> </v>
      </c>
      <c r="I156" s="398" t="str">
        <f aca="false">IF(A156="N/A"," ",IF(ISERROR(Q156),I144*Pwresc,Q156))</f>
        <v> </v>
      </c>
      <c r="J156" s="398"/>
      <c r="K156" s="399"/>
      <c r="L156" s="399"/>
      <c r="M156" s="404"/>
      <c r="N156" s="401" t="str">
        <f aca="false">IF(A156="N/A"," ",VLOOKUP(A156,PeakPowerCurves,(IF(BMO3=2,3,IF(BMO3=1,2,4))),FALSE()))</f>
        <v> </v>
      </c>
      <c r="O156" s="401" t="str">
        <f aca="false">IF(A156="N/A"," ",VLOOKUP(A156,SatSunPeakPwr,(IF(BMO3=2,3,IF(BMO3=1,2,4))),FALSE()))</f>
        <v> </v>
      </c>
      <c r="P156" s="401" t="str">
        <f aca="false">IF(A156="N/A"," ",VLOOKUP(A156,SatSunPeakPwr,(IF(BMO3=2,7,IF(BMO3=1,6,8))),FALSE()))</f>
        <v> </v>
      </c>
      <c r="Q156" s="402" t="str">
        <f aca="false">IF(A156="N/A"," ",(VLOOKUP(A156,OPPowerPrices,(IF(BMO3=2,7,IF(BMO3=1,6,8))),FALSE())))</f>
        <v> </v>
      </c>
      <c r="R156" s="403" t="str">
        <f aca="false">IF(A156="N/A"," ",(VLOOKUP($A156,IRTable,2)))</f>
        <v> </v>
      </c>
      <c r="AF156" s="352" t="n">
        <v>41183</v>
      </c>
      <c r="AG156" s="311" t="n">
        <v>23</v>
      </c>
      <c r="AH156" s="311" t="n">
        <v>4</v>
      </c>
      <c r="AI156" s="311" t="n">
        <v>4</v>
      </c>
      <c r="AJ156" s="311" t="n">
        <v>0</v>
      </c>
      <c r="AK156" s="311" t="n">
        <v>31</v>
      </c>
      <c r="AU156" s="406"/>
    </row>
    <row r="157" customFormat="false" ht="12.75" hidden="false" customHeight="false" outlineLevel="0" collapsed="false">
      <c r="A157" s="352" t="str">
        <f aca="false">Option3!A124</f>
        <v>N/A</v>
      </c>
      <c r="B157" s="396" t="str">
        <f aca="false">IF(A157="N/A"," ",IF(ISERROR(N157),B145*Pwresc,N157)*VLOOKUP(MONTH(A157),Curveadj,3))</f>
        <v> </v>
      </c>
      <c r="C157" s="397" t="str">
        <f aca="false">IF(A157="N/A"," ",(IF(AND(Scaler3=1,MONTH(A157)&gt;=6,MONTH(A157)&lt;=8,OR($M$37="REGION 2",$M$37="REGION 2A",$M$37="REGION 2B",$M$37="REGION 3",$M$37="REGION 3A",$M$37="REGION 3B",$M$37="REGION 3C",$M$37="REGION 4",$M$37="REGION 4B",$M$37="REGION 4C",$M$37="REGION 5",$M$37="REGION 5A")),((0.059228/(B157/100))-(0.4980013/(SQRT(B157/100)))+2.137988),HLOOKUP(MONTH(A157),ScalarTable,28))))</f>
        <v> </v>
      </c>
      <c r="D157" s="398" t="str">
        <f aca="false">IF(A157="N/A"," ",C157*B157)</f>
        <v> </v>
      </c>
      <c r="E157" s="396" t="str">
        <f aca="false">IF(A157="N/A"," ",IF(ISERROR(O157),E145*Pwresc,O157)*VLOOKUP(MONTH(A157),Curveadj,3))</f>
        <v> </v>
      </c>
      <c r="F157" s="398" t="str">
        <f aca="false">IF(A157="N/A"," ",E157*C157)</f>
        <v> </v>
      </c>
      <c r="G157" s="396" t="str">
        <f aca="false">IF(A157="N/A"," ",IF(ISERROR(P157),G145*Pwresc,P157)*VLOOKUP(MONTH(A157),Curveadj,3))</f>
        <v> </v>
      </c>
      <c r="H157" s="398" t="str">
        <f aca="false">IF(A157="N/A"," ",G157*C157)</f>
        <v> </v>
      </c>
      <c r="I157" s="398" t="str">
        <f aca="false">IF(A157="N/A"," ",IF(ISERROR(Q157),I145*Pwresc,Q157))</f>
        <v> </v>
      </c>
      <c r="J157" s="398"/>
      <c r="K157" s="399"/>
      <c r="L157" s="399"/>
      <c r="M157" s="404"/>
      <c r="N157" s="401" t="str">
        <f aca="false">IF(A157="N/A"," ",VLOOKUP(A157,PeakPowerCurves,(IF(BMO3=2,3,IF(BMO3=1,2,4))),FALSE()))</f>
        <v> </v>
      </c>
      <c r="O157" s="401" t="str">
        <f aca="false">IF(A157="N/A"," ",VLOOKUP(A157,SatSunPeakPwr,(IF(BMO3=2,3,IF(BMO3=1,2,4))),FALSE()))</f>
        <v> </v>
      </c>
      <c r="P157" s="401" t="str">
        <f aca="false">IF(A157="N/A"," ",VLOOKUP(A157,SatSunPeakPwr,(IF(BMO3=2,7,IF(BMO3=1,6,8))),FALSE()))</f>
        <v> </v>
      </c>
      <c r="Q157" s="402" t="str">
        <f aca="false">IF(A157="N/A"," ",(VLOOKUP(A157,OPPowerPrices,(IF(BMO3=2,7,IF(BMO3=1,6,8))),FALSE())))</f>
        <v> </v>
      </c>
      <c r="R157" s="403" t="str">
        <f aca="false">IF(A157="N/A"," ",(VLOOKUP($A157,IRTable,2)))</f>
        <v> </v>
      </c>
      <c r="AF157" s="352" t="n">
        <v>41214</v>
      </c>
      <c r="AG157" s="311" t="n">
        <v>21</v>
      </c>
      <c r="AH157" s="311" t="n">
        <v>4</v>
      </c>
      <c r="AI157" s="311" t="n">
        <v>5</v>
      </c>
      <c r="AJ157" s="311" t="n">
        <v>1</v>
      </c>
      <c r="AK157" s="311" t="n">
        <v>30</v>
      </c>
      <c r="AU157" s="406"/>
    </row>
    <row r="158" customFormat="false" ht="12.75" hidden="false" customHeight="false" outlineLevel="0" collapsed="false">
      <c r="A158" s="352" t="str">
        <f aca="false">Option3!A125</f>
        <v>N/A</v>
      </c>
      <c r="B158" s="396" t="str">
        <f aca="false">IF(A158="N/A"," ",IF(ISERROR(N158),B146*Pwresc,N158)*VLOOKUP(MONTH(A158),Curveadj,3))</f>
        <v> </v>
      </c>
      <c r="C158" s="397" t="str">
        <f aca="false">IF(A158="N/A"," ",(IF(AND(Scaler3=1,MONTH(A158)&gt;=6,MONTH(A158)&lt;=8,OR($M$37="REGION 2",$M$37="REGION 2A",$M$37="REGION 2B",$M$37="REGION 3",$M$37="REGION 3A",$M$37="REGION 3B",$M$37="REGION 3C",$M$37="REGION 4",$M$37="REGION 4B",$M$37="REGION 4C",$M$37="REGION 5",$M$37="REGION 5A")),((0.059228/(B158/100))-(0.4980013/(SQRT(B158/100)))+2.137988),HLOOKUP(MONTH(A158),ScalarTable,28))))</f>
        <v> </v>
      </c>
      <c r="D158" s="398" t="str">
        <f aca="false">IF(A158="N/A"," ",C158*B158)</f>
        <v> </v>
      </c>
      <c r="E158" s="396" t="str">
        <f aca="false">IF(A158="N/A"," ",IF(ISERROR(O158),E146*Pwresc,O158)*VLOOKUP(MONTH(A158),Curveadj,3))</f>
        <v> </v>
      </c>
      <c r="F158" s="398" t="str">
        <f aca="false">IF(A158="N/A"," ",E158*C158)</f>
        <v> </v>
      </c>
      <c r="G158" s="396" t="str">
        <f aca="false">IF(A158="N/A"," ",IF(ISERROR(P158),G146*Pwresc,P158)*VLOOKUP(MONTH(A158),Curveadj,3))</f>
        <v> </v>
      </c>
      <c r="H158" s="398" t="str">
        <f aca="false">IF(A158="N/A"," ",G158*C158)</f>
        <v> </v>
      </c>
      <c r="I158" s="398" t="str">
        <f aca="false">IF(A158="N/A"," ",IF(ISERROR(Q158),I146*Pwresc,Q158))</f>
        <v> </v>
      </c>
      <c r="J158" s="398"/>
      <c r="K158" s="399"/>
      <c r="L158" s="399"/>
      <c r="M158" s="404"/>
      <c r="N158" s="401" t="str">
        <f aca="false">IF(A158="N/A"," ",VLOOKUP(A158,PeakPowerCurves,(IF(BMO3=2,3,IF(BMO3=1,2,4))),FALSE()))</f>
        <v> </v>
      </c>
      <c r="O158" s="401" t="str">
        <f aca="false">IF(A158="N/A"," ",VLOOKUP(A158,SatSunPeakPwr,(IF(BMO3=2,3,IF(BMO3=1,2,4))),FALSE()))</f>
        <v> </v>
      </c>
      <c r="P158" s="401" t="str">
        <f aca="false">IF(A158="N/A"," ",VLOOKUP(A158,SatSunPeakPwr,(IF(BMO3=2,7,IF(BMO3=1,6,8))),FALSE()))</f>
        <v> </v>
      </c>
      <c r="Q158" s="402" t="str">
        <f aca="false">IF(A158="N/A"," ",(VLOOKUP(A158,OPPowerPrices,(IF(BMO3=2,7,IF(BMO3=1,6,8))),FALSE())))</f>
        <v> </v>
      </c>
      <c r="R158" s="403" t="str">
        <f aca="false">IF(A158="N/A"," ",(VLOOKUP($A158,IRTable,2)))</f>
        <v> </v>
      </c>
      <c r="AF158" s="352" t="n">
        <v>41244</v>
      </c>
      <c r="AG158" s="311" t="n">
        <v>20</v>
      </c>
      <c r="AH158" s="311" t="n">
        <v>5</v>
      </c>
      <c r="AI158" s="311" t="n">
        <v>6</v>
      </c>
      <c r="AJ158" s="311" t="n">
        <v>1</v>
      </c>
      <c r="AK158" s="311" t="n">
        <v>31</v>
      </c>
      <c r="AU158" s="406"/>
    </row>
    <row r="159" customFormat="false" ht="12.75" hidden="false" customHeight="false" outlineLevel="0" collapsed="false">
      <c r="A159" s="352" t="str">
        <f aca="false">Option3!A126</f>
        <v>N/A</v>
      </c>
      <c r="B159" s="396" t="str">
        <f aca="false">IF(A159="N/A"," ",IF(ISERROR(N159),B147*Pwresc,N159)*VLOOKUP(MONTH(A159),Curveadj,3))</f>
        <v> </v>
      </c>
      <c r="C159" s="397" t="str">
        <f aca="false">IF(A159="N/A"," ",(IF(AND(Scaler3=1,MONTH(A159)&gt;=6,MONTH(A159)&lt;=8,OR($M$37="REGION 2",$M$37="REGION 2A",$M$37="REGION 2B",$M$37="REGION 3",$M$37="REGION 3A",$M$37="REGION 3B",$M$37="REGION 3C",$M$37="REGION 4",$M$37="REGION 4B",$M$37="REGION 4C",$M$37="REGION 5",$M$37="REGION 5A")),((0.059228/(B159/100))-(0.4980013/(SQRT(B159/100)))+2.137988),HLOOKUP(MONTH(A159),ScalarTable,28))))</f>
        <v> </v>
      </c>
      <c r="D159" s="398" t="str">
        <f aca="false">IF(A159="N/A"," ",C159*B159)</f>
        <v> </v>
      </c>
      <c r="E159" s="396" t="str">
        <f aca="false">IF(A159="N/A"," ",IF(ISERROR(O159),E147*Pwresc,O159)*VLOOKUP(MONTH(A159),Curveadj,3))</f>
        <v> </v>
      </c>
      <c r="F159" s="398" t="str">
        <f aca="false">IF(A159="N/A"," ",E159*C159)</f>
        <v> </v>
      </c>
      <c r="G159" s="396" t="str">
        <f aca="false">IF(A159="N/A"," ",IF(ISERROR(P159),G147*Pwresc,P159)*VLOOKUP(MONTH(A159),Curveadj,3))</f>
        <v> </v>
      </c>
      <c r="H159" s="398" t="str">
        <f aca="false">IF(A159="N/A"," ",G159*C159)</f>
        <v> </v>
      </c>
      <c r="I159" s="398" t="str">
        <f aca="false">IF(A159="N/A"," ",IF(ISERROR(Q159),I147*Pwresc,Q159))</f>
        <v> </v>
      </c>
      <c r="J159" s="398"/>
      <c r="K159" s="399"/>
      <c r="L159" s="399"/>
      <c r="M159" s="404"/>
      <c r="N159" s="401" t="str">
        <f aca="false">IF(A159="N/A"," ",VLOOKUP(A159,PeakPowerCurves,(IF(BMO3=2,3,IF(BMO3=1,2,4))),FALSE()))</f>
        <v> </v>
      </c>
      <c r="O159" s="401" t="str">
        <f aca="false">IF(A159="N/A"," ",VLOOKUP(A159,SatSunPeakPwr,(IF(BMO3=2,3,IF(BMO3=1,2,4))),FALSE()))</f>
        <v> </v>
      </c>
      <c r="P159" s="401" t="str">
        <f aca="false">IF(A159="N/A"," ",VLOOKUP(A159,SatSunPeakPwr,(IF(BMO3=2,7,IF(BMO3=1,6,8))),FALSE()))</f>
        <v> </v>
      </c>
      <c r="Q159" s="402" t="str">
        <f aca="false">IF(A159="N/A"," ",(VLOOKUP(A159,OPPowerPrices,(IF(BMO3=2,7,IF(BMO3=1,6,8))),FALSE())))</f>
        <v> </v>
      </c>
      <c r="R159" s="403" t="str">
        <f aca="false">IF(A159="N/A"," ",(VLOOKUP($A159,IRTable,2)))</f>
        <v> </v>
      </c>
      <c r="AF159" s="352" t="n">
        <v>41275</v>
      </c>
      <c r="AG159" s="311" t="n">
        <v>22</v>
      </c>
      <c r="AH159" s="311" t="n">
        <v>4</v>
      </c>
      <c r="AI159" s="311" t="n">
        <v>5</v>
      </c>
      <c r="AJ159" s="311" t="n">
        <v>1</v>
      </c>
      <c r="AK159" s="311" t="n">
        <v>31</v>
      </c>
      <c r="AU159" s="406"/>
    </row>
    <row r="160" customFormat="false" ht="12.75" hidden="false" customHeight="false" outlineLevel="0" collapsed="false">
      <c r="A160" s="352" t="str">
        <f aca="false">Option3!A127</f>
        <v>N/A</v>
      </c>
      <c r="B160" s="396" t="str">
        <f aca="false">IF(A160="N/A"," ",IF(ISERROR(N160),B148*Pwresc,N160)*VLOOKUP(MONTH(A160),Curveadj,3))</f>
        <v> </v>
      </c>
      <c r="C160" s="397" t="str">
        <f aca="false">IF(A160="N/A"," ",(IF(AND(Scaler3=1,MONTH(A160)&gt;=6,MONTH(A160)&lt;=8,OR($M$37="REGION 2",$M$37="REGION 2A",$M$37="REGION 2B",$M$37="REGION 3",$M$37="REGION 3A",$M$37="REGION 3B",$M$37="REGION 3C",$M$37="REGION 4",$M$37="REGION 4B",$M$37="REGION 4C",$M$37="REGION 5",$M$37="REGION 5A")),((0.059228/(B160/100))-(0.4980013/(SQRT(B160/100)))+2.137988),HLOOKUP(MONTH(A160),ScalarTable,28))))</f>
        <v> </v>
      </c>
      <c r="D160" s="398" t="str">
        <f aca="false">IF(A160="N/A"," ",C160*B160)</f>
        <v> </v>
      </c>
      <c r="E160" s="396" t="str">
        <f aca="false">IF(A160="N/A"," ",IF(ISERROR(O160),E148*Pwresc,O160)*VLOOKUP(MONTH(A160),Curveadj,3))</f>
        <v> </v>
      </c>
      <c r="F160" s="398" t="str">
        <f aca="false">IF(A160="N/A"," ",E160*C160)</f>
        <v> </v>
      </c>
      <c r="G160" s="396" t="str">
        <f aca="false">IF(A160="N/A"," ",IF(ISERROR(P160),G148*Pwresc,P160)*VLOOKUP(MONTH(A160),Curveadj,3))</f>
        <v> </v>
      </c>
      <c r="H160" s="398" t="str">
        <f aca="false">IF(A160="N/A"," ",G160*C160)</f>
        <v> </v>
      </c>
      <c r="I160" s="398" t="str">
        <f aca="false">IF(A160="N/A"," ",IF(ISERROR(Q160),I148*Pwresc,Q160))</f>
        <v> </v>
      </c>
      <c r="J160" s="398"/>
      <c r="K160" s="399"/>
      <c r="L160" s="399"/>
      <c r="M160" s="404"/>
      <c r="N160" s="401" t="str">
        <f aca="false">IF(A160="N/A"," ",VLOOKUP(A160,PeakPowerCurves,(IF(BMO3=2,3,IF(BMO3=1,2,4))),FALSE()))</f>
        <v> </v>
      </c>
      <c r="O160" s="401" t="str">
        <f aca="false">IF(A160="N/A"," ",VLOOKUP(A160,SatSunPeakPwr,(IF(BMO3=2,3,IF(BMO3=1,2,4))),FALSE()))</f>
        <v> </v>
      </c>
      <c r="P160" s="401" t="str">
        <f aca="false">IF(A160="N/A"," ",VLOOKUP(A160,SatSunPeakPwr,(IF(BMO3=2,7,IF(BMO3=1,6,8))),FALSE()))</f>
        <v> </v>
      </c>
      <c r="Q160" s="402" t="str">
        <f aca="false">IF(A160="N/A"," ",(VLOOKUP(A160,OPPowerPrices,(IF(BMO3=2,7,IF(BMO3=1,6,8))),FALSE())))</f>
        <v> </v>
      </c>
      <c r="R160" s="403" t="str">
        <f aca="false">IF(A160="N/A"," ",(VLOOKUP($A160,IRTable,2)))</f>
        <v> </v>
      </c>
      <c r="AF160" s="352" t="n">
        <v>41306</v>
      </c>
      <c r="AG160" s="311" t="n">
        <v>20</v>
      </c>
      <c r="AH160" s="311" t="n">
        <v>4</v>
      </c>
      <c r="AI160" s="311" t="n">
        <v>4</v>
      </c>
      <c r="AJ160" s="311" t="n">
        <v>0</v>
      </c>
      <c r="AK160" s="311" t="n">
        <v>28</v>
      </c>
      <c r="AU160" s="406"/>
    </row>
    <row r="161" customFormat="false" ht="12.75" hidden="false" customHeight="false" outlineLevel="0" collapsed="false">
      <c r="A161" s="352" t="str">
        <f aca="false">Option3!A128</f>
        <v>N/A</v>
      </c>
      <c r="B161" s="396" t="str">
        <f aca="false">IF(A161="N/A"," ",IF(ISERROR(N161),B149*Pwresc,N161)*VLOOKUP(MONTH(A161),Curveadj,3))</f>
        <v> </v>
      </c>
      <c r="C161" s="397" t="str">
        <f aca="false">IF(A161="N/A"," ",(IF(AND(Scaler3=1,MONTH(A161)&gt;=6,MONTH(A161)&lt;=8,OR($M$37="REGION 2",$M$37="REGION 2A",$M$37="REGION 2B",$M$37="REGION 3",$M$37="REGION 3A",$M$37="REGION 3B",$M$37="REGION 3C",$M$37="REGION 4",$M$37="REGION 4B",$M$37="REGION 4C",$M$37="REGION 5",$M$37="REGION 5A")),((0.059228/(B161/100))-(0.4980013/(SQRT(B161/100)))+2.137988),HLOOKUP(MONTH(A161),ScalarTable,28))))</f>
        <v> </v>
      </c>
      <c r="D161" s="398" t="str">
        <f aca="false">IF(A161="N/A"," ",C161*B161)</f>
        <v> </v>
      </c>
      <c r="E161" s="396" t="str">
        <f aca="false">IF(A161="N/A"," ",IF(ISERROR(O161),E149*Pwresc,O161)*VLOOKUP(MONTH(A161),Curveadj,3))</f>
        <v> </v>
      </c>
      <c r="F161" s="398" t="str">
        <f aca="false">IF(A161="N/A"," ",E161*C161)</f>
        <v> </v>
      </c>
      <c r="G161" s="396" t="str">
        <f aca="false">IF(A161="N/A"," ",IF(ISERROR(P161),G149*Pwresc,P161)*VLOOKUP(MONTH(A161),Curveadj,3))</f>
        <v> </v>
      </c>
      <c r="H161" s="398" t="str">
        <f aca="false">IF(A161="N/A"," ",G161*C161)</f>
        <v> </v>
      </c>
      <c r="I161" s="398" t="str">
        <f aca="false">IF(A161="N/A"," ",IF(ISERROR(Q161),I149*Pwresc,Q161))</f>
        <v> </v>
      </c>
      <c r="J161" s="398"/>
      <c r="K161" s="399"/>
      <c r="L161" s="399"/>
      <c r="M161" s="404"/>
      <c r="N161" s="401" t="str">
        <f aca="false">IF(A161="N/A"," ",VLOOKUP(A161,PeakPowerCurves,(IF(BMO3=2,3,IF(BMO3=1,2,4))),FALSE()))</f>
        <v> </v>
      </c>
      <c r="O161" s="401" t="str">
        <f aca="false">IF(A161="N/A"," ",VLOOKUP(A161,SatSunPeakPwr,(IF(BMO3=2,3,IF(BMO3=1,2,4))),FALSE()))</f>
        <v> </v>
      </c>
      <c r="P161" s="401" t="str">
        <f aca="false">IF(A161="N/A"," ",VLOOKUP(A161,SatSunPeakPwr,(IF(BMO3=2,7,IF(BMO3=1,6,8))),FALSE()))</f>
        <v> </v>
      </c>
      <c r="Q161" s="402" t="str">
        <f aca="false">IF(A161="N/A"," ",(VLOOKUP(A161,OPPowerPrices,(IF(BMO3=2,7,IF(BMO3=1,6,8))),FALSE())))</f>
        <v> </v>
      </c>
      <c r="R161" s="403" t="str">
        <f aca="false">IF(A161="N/A"," ",(VLOOKUP($A161,IRTable,2)))</f>
        <v> </v>
      </c>
      <c r="AF161" s="352" t="n">
        <v>41334</v>
      </c>
      <c r="AG161" s="311" t="n">
        <v>21</v>
      </c>
      <c r="AH161" s="311" t="n">
        <v>5</v>
      </c>
      <c r="AI161" s="311" t="n">
        <v>5</v>
      </c>
      <c r="AJ161" s="311" t="n">
        <v>0</v>
      </c>
      <c r="AK161" s="311" t="n">
        <v>31</v>
      </c>
      <c r="AU161" s="406"/>
    </row>
    <row r="162" customFormat="false" ht="12.75" hidden="false" customHeight="false" outlineLevel="0" collapsed="false">
      <c r="A162" s="352" t="str">
        <f aca="false">Option3!A129</f>
        <v>N/A</v>
      </c>
      <c r="B162" s="396" t="str">
        <f aca="false">IF(A162="N/A"," ",IF(ISERROR(N162),B150*Pwresc,N162)*VLOOKUP(MONTH(A162),Curveadj,3))</f>
        <v> </v>
      </c>
      <c r="C162" s="397" t="str">
        <f aca="false">IF(A162="N/A"," ",(IF(AND(Scaler3=1,MONTH(A162)&gt;=6,MONTH(A162)&lt;=8,OR($M$37="REGION 2",$M$37="REGION 2A",$M$37="REGION 2B",$M$37="REGION 3",$M$37="REGION 3A",$M$37="REGION 3B",$M$37="REGION 3C",$M$37="REGION 4",$M$37="REGION 4B",$M$37="REGION 4C",$M$37="REGION 5",$M$37="REGION 5A")),((0.059228/(B162/100))-(0.4980013/(SQRT(B162/100)))+2.137988),HLOOKUP(MONTH(A162),ScalarTable,28))))</f>
        <v> </v>
      </c>
      <c r="D162" s="398" t="str">
        <f aca="false">IF(A162="N/A"," ",C162*B162)</f>
        <v> </v>
      </c>
      <c r="E162" s="396" t="str">
        <f aca="false">IF(A162="N/A"," ",IF(ISERROR(O162),E150*Pwresc,O162)*VLOOKUP(MONTH(A162),Curveadj,3))</f>
        <v> </v>
      </c>
      <c r="F162" s="398" t="str">
        <f aca="false">IF(A162="N/A"," ",E162*C162)</f>
        <v> </v>
      </c>
      <c r="G162" s="396" t="str">
        <f aca="false">IF(A162="N/A"," ",IF(ISERROR(P162),G150*Pwresc,P162)*VLOOKUP(MONTH(A162),Curveadj,3))</f>
        <v> </v>
      </c>
      <c r="H162" s="398" t="str">
        <f aca="false">IF(A162="N/A"," ",G162*C162)</f>
        <v> </v>
      </c>
      <c r="I162" s="398" t="str">
        <f aca="false">IF(A162="N/A"," ",IF(ISERROR(Q162),I150*Pwresc,Q162))</f>
        <v> </v>
      </c>
      <c r="J162" s="398"/>
      <c r="K162" s="399"/>
      <c r="L162" s="399"/>
      <c r="M162" s="404"/>
      <c r="N162" s="401" t="str">
        <f aca="false">IF(A162="N/A"," ",VLOOKUP(A162,PeakPowerCurves,(IF(BMO3=2,3,IF(BMO3=1,2,4))),FALSE()))</f>
        <v> </v>
      </c>
      <c r="O162" s="401" t="str">
        <f aca="false">IF(A162="N/A"," ",VLOOKUP(A162,SatSunPeakPwr,(IF(BMO3=2,3,IF(BMO3=1,2,4))),FALSE()))</f>
        <v> </v>
      </c>
      <c r="P162" s="401" t="str">
        <f aca="false">IF(A162="N/A"," ",VLOOKUP(A162,SatSunPeakPwr,(IF(BMO3=2,7,IF(BMO3=1,6,8))),FALSE()))</f>
        <v> </v>
      </c>
      <c r="Q162" s="402" t="str">
        <f aca="false">IF(A162="N/A"," ",(VLOOKUP(A162,OPPowerPrices,(IF(BMO3=2,7,IF(BMO3=1,6,8))),FALSE())))</f>
        <v> </v>
      </c>
      <c r="R162" s="403" t="str">
        <f aca="false">IF(A162="N/A"," ",(VLOOKUP($A162,IRTable,2)))</f>
        <v> </v>
      </c>
      <c r="AF162" s="352" t="n">
        <v>41365</v>
      </c>
      <c r="AG162" s="311" t="n">
        <v>22</v>
      </c>
      <c r="AH162" s="311" t="n">
        <v>4</v>
      </c>
      <c r="AI162" s="311" t="n">
        <v>4</v>
      </c>
      <c r="AJ162" s="311" t="n">
        <v>0</v>
      </c>
      <c r="AK162" s="311" t="n">
        <v>30</v>
      </c>
      <c r="AU162" s="406"/>
    </row>
    <row r="163" customFormat="false" ht="12.75" hidden="false" customHeight="false" outlineLevel="0" collapsed="false">
      <c r="A163" s="352" t="str">
        <f aca="false">Option3!A130</f>
        <v>N/A</v>
      </c>
      <c r="B163" s="396" t="str">
        <f aca="false">IF(A163="N/A"," ",IF(ISERROR(N163),B151*Pwresc,N163)*VLOOKUP(MONTH(A163),Curveadj,3))</f>
        <v> </v>
      </c>
      <c r="C163" s="397" t="str">
        <f aca="false">IF(A163="N/A"," ",(IF(AND(Scaler3=1,MONTH(A163)&gt;=6,MONTH(A163)&lt;=8,OR($M$37="REGION 2",$M$37="REGION 2A",$M$37="REGION 2B",$M$37="REGION 3",$M$37="REGION 3A",$M$37="REGION 3B",$M$37="REGION 3C",$M$37="REGION 4",$M$37="REGION 4B",$M$37="REGION 4C",$M$37="REGION 5",$M$37="REGION 5A")),((0.059228/(B163/100))-(0.4980013/(SQRT(B163/100)))+2.137988),HLOOKUP(MONTH(A163),ScalarTable,28))))</f>
        <v> </v>
      </c>
      <c r="D163" s="398" t="str">
        <f aca="false">IF(A163="N/A"," ",C163*B163)</f>
        <v> </v>
      </c>
      <c r="E163" s="396" t="str">
        <f aca="false">IF(A163="N/A"," ",IF(ISERROR(O163),E151*Pwresc,O163)*VLOOKUP(MONTH(A163),Curveadj,3))</f>
        <v> </v>
      </c>
      <c r="F163" s="398" t="str">
        <f aca="false">IF(A163="N/A"," ",E163*C163)</f>
        <v> </v>
      </c>
      <c r="G163" s="396" t="str">
        <f aca="false">IF(A163="N/A"," ",IF(ISERROR(P163),G151*Pwresc,P163)*VLOOKUP(MONTH(A163),Curveadj,3))</f>
        <v> </v>
      </c>
      <c r="H163" s="398" t="str">
        <f aca="false">IF(A163="N/A"," ",G163*C163)</f>
        <v> </v>
      </c>
      <c r="I163" s="398" t="str">
        <f aca="false">IF(A163="N/A"," ",IF(ISERROR(Q163),I151*Pwresc,Q163))</f>
        <v> </v>
      </c>
      <c r="J163" s="398"/>
      <c r="K163" s="399"/>
      <c r="L163" s="399"/>
      <c r="M163" s="404"/>
      <c r="N163" s="401" t="str">
        <f aca="false">IF(A163="N/A"," ",VLOOKUP(A163,PeakPowerCurves,(IF(BMO3=2,3,IF(BMO3=1,2,4))),FALSE()))</f>
        <v> </v>
      </c>
      <c r="O163" s="401" t="str">
        <f aca="false">IF(A163="N/A"," ",VLOOKUP(A163,SatSunPeakPwr,(IF(BMO3=2,3,IF(BMO3=1,2,4))),FALSE()))</f>
        <v> </v>
      </c>
      <c r="P163" s="401" t="str">
        <f aca="false">IF(A163="N/A"," ",VLOOKUP(A163,SatSunPeakPwr,(IF(BMO3=2,7,IF(BMO3=1,6,8))),FALSE()))</f>
        <v> </v>
      </c>
      <c r="Q163" s="402" t="str">
        <f aca="false">IF(A163="N/A"," ",(VLOOKUP(A163,OPPowerPrices,(IF(BMO3=2,7,IF(BMO3=1,6,8))),FALSE())))</f>
        <v> </v>
      </c>
      <c r="R163" s="403" t="str">
        <f aca="false">IF(A163="N/A"," ",(VLOOKUP($A163,IRTable,2)))</f>
        <v> </v>
      </c>
      <c r="AF163" s="352" t="n">
        <v>41395</v>
      </c>
      <c r="AG163" s="311" t="n">
        <v>22</v>
      </c>
      <c r="AH163" s="311" t="n">
        <v>4</v>
      </c>
      <c r="AI163" s="311" t="n">
        <v>5</v>
      </c>
      <c r="AJ163" s="311" t="n">
        <v>1</v>
      </c>
      <c r="AK163" s="311" t="n">
        <v>31</v>
      </c>
      <c r="AU163" s="406"/>
    </row>
    <row r="164" customFormat="false" ht="12.75" hidden="false" customHeight="false" outlineLevel="0" collapsed="false">
      <c r="A164" s="352" t="str">
        <f aca="false">Option3!A131</f>
        <v>N/A</v>
      </c>
      <c r="B164" s="396" t="str">
        <f aca="false">IF(A164="N/A"," ",IF(ISERROR(N164),B152*Pwresc,N164)*VLOOKUP(MONTH(A164),Curveadj,3))</f>
        <v> </v>
      </c>
      <c r="C164" s="397" t="str">
        <f aca="false">IF(A164="N/A"," ",(IF(AND(Scaler3=1,MONTH(A164)&gt;=6,MONTH(A164)&lt;=8,OR($M$37="REGION 2",$M$37="REGION 2A",$M$37="REGION 2B",$M$37="REGION 3",$M$37="REGION 3A",$M$37="REGION 3B",$M$37="REGION 3C",$M$37="REGION 4",$M$37="REGION 4B",$M$37="REGION 4C",$M$37="REGION 5",$M$37="REGION 5A")),((0.059228/(B164/100))-(0.4980013/(SQRT(B164/100)))+2.137988),HLOOKUP(MONTH(A164),ScalarTable,28))))</f>
        <v> </v>
      </c>
      <c r="D164" s="398" t="str">
        <f aca="false">IF(A164="N/A"," ",C164*B164)</f>
        <v> </v>
      </c>
      <c r="E164" s="396" t="str">
        <f aca="false">IF(A164="N/A"," ",IF(ISERROR(O164),E152*Pwresc,O164)*VLOOKUP(MONTH(A164),Curveadj,3))</f>
        <v> </v>
      </c>
      <c r="F164" s="398" t="str">
        <f aca="false">IF(A164="N/A"," ",E164*C164)</f>
        <v> </v>
      </c>
      <c r="G164" s="396" t="str">
        <f aca="false">IF(A164="N/A"," ",IF(ISERROR(P164),G152*Pwresc,P164)*VLOOKUP(MONTH(A164),Curveadj,3))</f>
        <v> </v>
      </c>
      <c r="H164" s="398" t="str">
        <f aca="false">IF(A164="N/A"," ",G164*C164)</f>
        <v> </v>
      </c>
      <c r="I164" s="398" t="str">
        <f aca="false">IF(A164="N/A"," ",IF(ISERROR(Q164),I152*Pwresc,Q164))</f>
        <v> </v>
      </c>
      <c r="J164" s="398"/>
      <c r="K164" s="399"/>
      <c r="L164" s="399"/>
      <c r="M164" s="404"/>
      <c r="N164" s="401" t="str">
        <f aca="false">IF(A164="N/A"," ",VLOOKUP(A164,PeakPowerCurves,(IF(BMO3=2,3,IF(BMO3=1,2,4))),FALSE()))</f>
        <v> </v>
      </c>
      <c r="O164" s="401" t="str">
        <f aca="false">IF(A164="N/A"," ",VLOOKUP(A164,SatSunPeakPwr,(IF(BMO3=2,3,IF(BMO3=1,2,4))),FALSE()))</f>
        <v> </v>
      </c>
      <c r="P164" s="401" t="str">
        <f aca="false">IF(A164="N/A"," ",VLOOKUP(A164,SatSunPeakPwr,(IF(BMO3=2,7,IF(BMO3=1,6,8))),FALSE()))</f>
        <v> </v>
      </c>
      <c r="Q164" s="402" t="str">
        <f aca="false">IF(A164="N/A"," ",(VLOOKUP(A164,OPPowerPrices,(IF(BMO3=2,7,IF(BMO3=1,6,8))),FALSE())))</f>
        <v> </v>
      </c>
      <c r="R164" s="403" t="str">
        <f aca="false">IF(A164="N/A"," ",(VLOOKUP($A164,IRTable,2)))</f>
        <v> </v>
      </c>
      <c r="AF164" s="352" t="n">
        <v>41426</v>
      </c>
      <c r="AG164" s="311" t="n">
        <v>20</v>
      </c>
      <c r="AH164" s="311" t="n">
        <v>5</v>
      </c>
      <c r="AI164" s="311" t="n">
        <v>5</v>
      </c>
      <c r="AJ164" s="311" t="n">
        <v>0</v>
      </c>
      <c r="AK164" s="311" t="n">
        <v>30</v>
      </c>
      <c r="AU164" s="406"/>
    </row>
    <row r="165" customFormat="false" ht="12.75" hidden="false" customHeight="false" outlineLevel="0" collapsed="false">
      <c r="A165" s="352" t="str">
        <f aca="false">Option3!A132</f>
        <v>N/A</v>
      </c>
      <c r="B165" s="396" t="str">
        <f aca="false">IF(A165="N/A"," ",IF(ISERROR(N165),B153*Pwresc,N165)*VLOOKUP(MONTH(A165),Curveadj,3))</f>
        <v> </v>
      </c>
      <c r="C165" s="397" t="str">
        <f aca="false">IF(A165="N/A"," ",(IF(AND(Scaler3=1,MONTH(A165)&gt;=6,MONTH(A165)&lt;=8,OR($M$37="REGION 2",$M$37="REGION 2A",$M$37="REGION 2B",$M$37="REGION 3",$M$37="REGION 3A",$M$37="REGION 3B",$M$37="REGION 3C",$M$37="REGION 4",$M$37="REGION 4B",$M$37="REGION 4C",$M$37="REGION 5",$M$37="REGION 5A")),((0.059228/(B165/100))-(0.4980013/(SQRT(B165/100)))+2.137988),HLOOKUP(MONTH(A165),ScalarTable,28))))</f>
        <v> </v>
      </c>
      <c r="D165" s="398" t="str">
        <f aca="false">IF(A165="N/A"," ",C165*B165)</f>
        <v> </v>
      </c>
      <c r="E165" s="396" t="str">
        <f aca="false">IF(A165="N/A"," ",IF(ISERROR(O165),E153*Pwresc,O165)*VLOOKUP(MONTH(A165),Curveadj,3))</f>
        <v> </v>
      </c>
      <c r="F165" s="398" t="str">
        <f aca="false">IF(A165="N/A"," ",E165*C165)</f>
        <v> </v>
      </c>
      <c r="G165" s="396" t="str">
        <f aca="false">IF(A165="N/A"," ",IF(ISERROR(P165),G153*Pwresc,P165)*VLOOKUP(MONTH(A165),Curveadj,3))</f>
        <v> </v>
      </c>
      <c r="H165" s="398" t="str">
        <f aca="false">IF(A165="N/A"," ",G165*C165)</f>
        <v> </v>
      </c>
      <c r="I165" s="398" t="str">
        <f aca="false">IF(A165="N/A"," ",IF(ISERROR(Q165),I153*Pwresc,Q165))</f>
        <v> </v>
      </c>
      <c r="J165" s="398"/>
      <c r="K165" s="399"/>
      <c r="L165" s="399"/>
      <c r="M165" s="404"/>
      <c r="N165" s="401" t="str">
        <f aca="false">IF(A165="N/A"," ",VLOOKUP(A165,PeakPowerCurves,(IF(BMO3=2,3,IF(BMO3=1,2,4))),FALSE()))</f>
        <v> </v>
      </c>
      <c r="O165" s="401" t="str">
        <f aca="false">IF(A165="N/A"," ",VLOOKUP(A165,SatSunPeakPwr,(IF(BMO3=2,3,IF(BMO3=1,2,4))),FALSE()))</f>
        <v> </v>
      </c>
      <c r="P165" s="401" t="str">
        <f aca="false">IF(A165="N/A"," ",VLOOKUP(A165,SatSunPeakPwr,(IF(BMO3=2,7,IF(BMO3=1,6,8))),FALSE()))</f>
        <v> </v>
      </c>
      <c r="Q165" s="402" t="str">
        <f aca="false">IF(A165="N/A"," ",(VLOOKUP(A165,OPPowerPrices,(IF(BMO3=2,7,IF(BMO3=1,6,8))),FALSE())))</f>
        <v> </v>
      </c>
      <c r="R165" s="403" t="str">
        <f aca="false">IF(A165="N/A"," ",(VLOOKUP($A165,IRTable,2)))</f>
        <v> </v>
      </c>
      <c r="AF165" s="352" t="n">
        <v>41456</v>
      </c>
      <c r="AG165" s="311" t="n">
        <v>22</v>
      </c>
      <c r="AH165" s="311" t="n">
        <v>4</v>
      </c>
      <c r="AI165" s="311" t="n">
        <v>5</v>
      </c>
      <c r="AJ165" s="311" t="n">
        <v>1</v>
      </c>
      <c r="AK165" s="311" t="n">
        <v>31</v>
      </c>
      <c r="AU165" s="406"/>
    </row>
    <row r="166" customFormat="false" ht="12.75" hidden="false" customHeight="false" outlineLevel="0" collapsed="false">
      <c r="A166" s="352" t="str">
        <f aca="false">Option3!A133</f>
        <v>N/A</v>
      </c>
      <c r="B166" s="396" t="str">
        <f aca="false">IF(A166="N/A"," ",IF(ISERROR(N166),B154*Pwresc,N166)*VLOOKUP(MONTH(A166),Curveadj,3))</f>
        <v> </v>
      </c>
      <c r="C166" s="397" t="str">
        <f aca="false">IF(A166="N/A"," ",(IF(AND(Scaler3=1,MONTH(A166)&gt;=6,MONTH(A166)&lt;=8,OR($M$37="REGION 2",$M$37="REGION 2A",$M$37="REGION 2B",$M$37="REGION 3",$M$37="REGION 3A",$M$37="REGION 3B",$M$37="REGION 3C",$M$37="REGION 4",$M$37="REGION 4B",$M$37="REGION 4C",$M$37="REGION 5",$M$37="REGION 5A")),((0.059228/(B166/100))-(0.4980013/(SQRT(B166/100)))+2.137988),HLOOKUP(MONTH(A166),ScalarTable,28))))</f>
        <v> </v>
      </c>
      <c r="D166" s="398" t="str">
        <f aca="false">IF(A166="N/A"," ",C166*B166)</f>
        <v> </v>
      </c>
      <c r="E166" s="396" t="str">
        <f aca="false">IF(A166="N/A"," ",IF(ISERROR(O166),E154*Pwresc,O166)*VLOOKUP(MONTH(A166),Curveadj,3))</f>
        <v> </v>
      </c>
      <c r="F166" s="398" t="str">
        <f aca="false">IF(A166="N/A"," ",E166*C166)</f>
        <v> </v>
      </c>
      <c r="G166" s="396" t="str">
        <f aca="false">IF(A166="N/A"," ",IF(ISERROR(P166),G154*Pwresc,P166)*VLOOKUP(MONTH(A166),Curveadj,3))</f>
        <v> </v>
      </c>
      <c r="H166" s="398" t="str">
        <f aca="false">IF(A166="N/A"," ",G166*C166)</f>
        <v> </v>
      </c>
      <c r="I166" s="398" t="str">
        <f aca="false">IF(A166="N/A"," ",IF(ISERROR(Q166),I154*Pwresc,Q166))</f>
        <v> </v>
      </c>
      <c r="J166" s="398"/>
      <c r="K166" s="399"/>
      <c r="L166" s="399"/>
      <c r="M166" s="404"/>
      <c r="N166" s="401" t="str">
        <f aca="false">IF(A166="N/A"," ",VLOOKUP(A166,PeakPowerCurves,(IF(BMO3=2,3,IF(BMO3=1,2,4))),FALSE()))</f>
        <v> </v>
      </c>
      <c r="O166" s="401" t="str">
        <f aca="false">IF(A166="N/A"," ",VLOOKUP(A166,SatSunPeakPwr,(IF(BMO3=2,3,IF(BMO3=1,2,4))),FALSE()))</f>
        <v> </v>
      </c>
      <c r="P166" s="401" t="str">
        <f aca="false">IF(A166="N/A"," ",VLOOKUP(A166,SatSunPeakPwr,(IF(BMO3=2,7,IF(BMO3=1,6,8))),FALSE()))</f>
        <v> </v>
      </c>
      <c r="Q166" s="402" t="str">
        <f aca="false">IF(A166="N/A"," ",(VLOOKUP(A166,OPPowerPrices,(IF(BMO3=2,7,IF(BMO3=1,6,8))),FALSE())))</f>
        <v> </v>
      </c>
      <c r="R166" s="403" t="str">
        <f aca="false">IF(A166="N/A"," ",(VLOOKUP($A166,IRTable,2)))</f>
        <v> </v>
      </c>
      <c r="AF166" s="352" t="n">
        <v>41487</v>
      </c>
      <c r="AG166" s="311" t="n">
        <v>22</v>
      </c>
      <c r="AH166" s="311" t="n">
        <v>5</v>
      </c>
      <c r="AI166" s="311" t="n">
        <v>4</v>
      </c>
      <c r="AJ166" s="311" t="n">
        <v>0</v>
      </c>
      <c r="AK166" s="311" t="n">
        <v>31</v>
      </c>
      <c r="AU166" s="406"/>
    </row>
    <row r="167" customFormat="false" ht="12.75" hidden="false" customHeight="false" outlineLevel="0" collapsed="false">
      <c r="A167" s="352" t="str">
        <f aca="false">Option3!A134</f>
        <v>N/A</v>
      </c>
      <c r="B167" s="396" t="str">
        <f aca="false">IF(A167="N/A"," ",IF(ISERROR(N167),B155*Pwresc,N167)*VLOOKUP(MONTH(A167),Curveadj,3))</f>
        <v> </v>
      </c>
      <c r="C167" s="397" t="str">
        <f aca="false">IF(A167="N/A"," ",(IF(AND(Scaler3=1,MONTH(A167)&gt;=6,MONTH(A167)&lt;=8,OR($M$37="REGION 2",$M$37="REGION 2A",$M$37="REGION 2B",$M$37="REGION 3",$M$37="REGION 3A",$M$37="REGION 3B",$M$37="REGION 3C",$M$37="REGION 4",$M$37="REGION 4B",$M$37="REGION 4C",$M$37="REGION 5",$M$37="REGION 5A")),((0.059228/(B167/100))-(0.4980013/(SQRT(B167/100)))+2.137988),HLOOKUP(MONTH(A167),ScalarTable,28))))</f>
        <v> </v>
      </c>
      <c r="D167" s="398" t="str">
        <f aca="false">IF(A167="N/A"," ",C167*B167)</f>
        <v> </v>
      </c>
      <c r="E167" s="396" t="str">
        <f aca="false">IF(A167="N/A"," ",IF(ISERROR(O167),E155*Pwresc,O167)*VLOOKUP(MONTH(A167),Curveadj,3))</f>
        <v> </v>
      </c>
      <c r="F167" s="398" t="str">
        <f aca="false">IF(A167="N/A"," ",E167*C167)</f>
        <v> </v>
      </c>
      <c r="G167" s="396" t="str">
        <f aca="false">IF(A167="N/A"," ",IF(ISERROR(P167),G155*Pwresc,P167)*VLOOKUP(MONTH(A167),Curveadj,3))</f>
        <v> </v>
      </c>
      <c r="H167" s="398" t="str">
        <f aca="false">IF(A167="N/A"," ",G167*C167)</f>
        <v> </v>
      </c>
      <c r="I167" s="398" t="str">
        <f aca="false">IF(A167="N/A"," ",IF(ISERROR(Q167),I155*Pwresc,Q167))</f>
        <v> </v>
      </c>
      <c r="J167" s="398"/>
      <c r="K167" s="399"/>
      <c r="L167" s="399"/>
      <c r="M167" s="404"/>
      <c r="N167" s="401" t="str">
        <f aca="false">IF(A167="N/A"," ",VLOOKUP(A167,PeakPowerCurves,(IF(BMO3=2,3,IF(BMO3=1,2,4))),FALSE()))</f>
        <v> </v>
      </c>
      <c r="O167" s="401" t="str">
        <f aca="false">IF(A167="N/A"," ",VLOOKUP(A167,SatSunPeakPwr,(IF(BMO3=2,3,IF(BMO3=1,2,4))),FALSE()))</f>
        <v> </v>
      </c>
      <c r="P167" s="401" t="str">
        <f aca="false">IF(A167="N/A"," ",VLOOKUP(A167,SatSunPeakPwr,(IF(BMO3=2,7,IF(BMO3=1,6,8))),FALSE()))</f>
        <v> </v>
      </c>
      <c r="Q167" s="402" t="str">
        <f aca="false">IF(A167="N/A"," ",(VLOOKUP(A167,OPPowerPrices,(IF(BMO3=2,7,IF(BMO3=1,6,8))),FALSE())))</f>
        <v> </v>
      </c>
      <c r="R167" s="403" t="str">
        <f aca="false">IF(A167="N/A"," ",(VLOOKUP($A167,IRTable,2)))</f>
        <v> </v>
      </c>
      <c r="AF167" s="352" t="n">
        <v>41518</v>
      </c>
      <c r="AG167" s="311" t="n">
        <v>20</v>
      </c>
      <c r="AH167" s="311" t="n">
        <v>4</v>
      </c>
      <c r="AI167" s="311" t="n">
        <v>6</v>
      </c>
      <c r="AJ167" s="311" t="n">
        <v>1</v>
      </c>
      <c r="AK167" s="311" t="n">
        <v>30</v>
      </c>
      <c r="AU167" s="406"/>
    </row>
    <row r="168" customFormat="false" ht="12.75" hidden="false" customHeight="false" outlineLevel="0" collapsed="false">
      <c r="A168" s="352" t="str">
        <f aca="false">Option3!A135</f>
        <v>N/A</v>
      </c>
      <c r="B168" s="396" t="str">
        <f aca="false">IF(A168="N/A"," ",IF(ISERROR(N168),B156*Pwresc,N168)*VLOOKUP(MONTH(A168),Curveadj,3))</f>
        <v> </v>
      </c>
      <c r="C168" s="397" t="str">
        <f aca="false">IF(A168="N/A"," ",(IF(AND(Scaler3=1,MONTH(A168)&gt;=6,MONTH(A168)&lt;=8,OR($M$37="REGION 2",$M$37="REGION 2A",$M$37="REGION 2B",$M$37="REGION 3",$M$37="REGION 3A",$M$37="REGION 3B",$M$37="REGION 3C",$M$37="REGION 4",$M$37="REGION 4B",$M$37="REGION 4C",$M$37="REGION 5",$M$37="REGION 5A")),((0.059228/(B168/100))-(0.4980013/(SQRT(B168/100)))+2.137988),HLOOKUP(MONTH(A168),ScalarTable,28))))</f>
        <v> </v>
      </c>
      <c r="D168" s="398" t="str">
        <f aca="false">IF(A168="N/A"," ",C168*B168)</f>
        <v> </v>
      </c>
      <c r="E168" s="396" t="str">
        <f aca="false">IF(A168="N/A"," ",IF(ISERROR(O168),E156*Pwresc,O168)*VLOOKUP(MONTH(A168),Curveadj,3))</f>
        <v> </v>
      </c>
      <c r="F168" s="398" t="str">
        <f aca="false">IF(A168="N/A"," ",E168*C168)</f>
        <v> </v>
      </c>
      <c r="G168" s="396" t="str">
        <f aca="false">IF(A168="N/A"," ",IF(ISERROR(P168),G156*Pwresc,P168)*VLOOKUP(MONTH(A168),Curveadj,3))</f>
        <v> </v>
      </c>
      <c r="H168" s="398" t="str">
        <f aca="false">IF(A168="N/A"," ",G168*C168)</f>
        <v> </v>
      </c>
      <c r="I168" s="398" t="str">
        <f aca="false">IF(A168="N/A"," ",IF(ISERROR(Q168),I156*Pwresc,Q168))</f>
        <v> </v>
      </c>
      <c r="J168" s="398"/>
      <c r="K168" s="399"/>
      <c r="L168" s="399"/>
      <c r="M168" s="404"/>
      <c r="N168" s="401" t="str">
        <f aca="false">IF(A168="N/A"," ",VLOOKUP(A168,PeakPowerCurves,(IF(BMO3=2,3,IF(BMO3=1,2,4))),FALSE()))</f>
        <v> </v>
      </c>
      <c r="O168" s="401" t="str">
        <f aca="false">IF(A168="N/A"," ",VLOOKUP(A168,SatSunPeakPwr,(IF(BMO3=2,3,IF(BMO3=1,2,4))),FALSE()))</f>
        <v> </v>
      </c>
      <c r="P168" s="401" t="str">
        <f aca="false">IF(A168="N/A"," ",VLOOKUP(A168,SatSunPeakPwr,(IF(BMO3=2,7,IF(BMO3=1,6,8))),FALSE()))</f>
        <v> </v>
      </c>
      <c r="Q168" s="402" t="str">
        <f aca="false">IF(A168="N/A"," ",(VLOOKUP(A168,OPPowerPrices,(IF(BMO3=2,7,IF(BMO3=1,6,8))),FALSE())))</f>
        <v> </v>
      </c>
      <c r="R168" s="403" t="str">
        <f aca="false">IF(A168="N/A"," ",(VLOOKUP($A168,IRTable,2)))</f>
        <v> </v>
      </c>
      <c r="AF168" s="352" t="n">
        <v>41548</v>
      </c>
      <c r="AG168" s="311" t="n">
        <v>23</v>
      </c>
      <c r="AH168" s="311" t="n">
        <v>4</v>
      </c>
      <c r="AI168" s="311" t="n">
        <v>4</v>
      </c>
      <c r="AJ168" s="311" t="n">
        <v>0</v>
      </c>
      <c r="AK168" s="311" t="n">
        <v>31</v>
      </c>
      <c r="AU168" s="406"/>
    </row>
    <row r="169" customFormat="false" ht="12.75" hidden="false" customHeight="false" outlineLevel="0" collapsed="false">
      <c r="A169" s="352" t="str">
        <f aca="false">Option3!A136</f>
        <v>N/A</v>
      </c>
      <c r="B169" s="396" t="str">
        <f aca="false">IF(A169="N/A"," ",IF(ISERROR(N169),B157*Pwresc,N169)*VLOOKUP(MONTH(A169),Curveadj,3))</f>
        <v> </v>
      </c>
      <c r="C169" s="397" t="str">
        <f aca="false">IF(A169="N/A"," ",(IF(AND(Scaler3=1,MONTH(A169)&gt;=6,MONTH(A169)&lt;=8,OR($M$37="REGION 2",$M$37="REGION 2A",$M$37="REGION 2B",$M$37="REGION 3",$M$37="REGION 3A",$M$37="REGION 3B",$M$37="REGION 3C",$M$37="REGION 4",$M$37="REGION 4B",$M$37="REGION 4C",$M$37="REGION 5",$M$37="REGION 5A")),((0.059228/(B169/100))-(0.4980013/(SQRT(B169/100)))+2.137988),HLOOKUP(MONTH(A169),ScalarTable,28))))</f>
        <v> </v>
      </c>
      <c r="D169" s="398" t="str">
        <f aca="false">IF(A169="N/A"," ",C169*B169)</f>
        <v> </v>
      </c>
      <c r="E169" s="396" t="str">
        <f aca="false">IF(A169="N/A"," ",IF(ISERROR(O169),E157*Pwresc,O169)*VLOOKUP(MONTH(A169),Curveadj,3))</f>
        <v> </v>
      </c>
      <c r="F169" s="398" t="str">
        <f aca="false">IF(A169="N/A"," ",E169*C169)</f>
        <v> </v>
      </c>
      <c r="G169" s="396" t="str">
        <f aca="false">IF(A169="N/A"," ",IF(ISERROR(P169),G157*Pwresc,P169)*VLOOKUP(MONTH(A169),Curveadj,3))</f>
        <v> </v>
      </c>
      <c r="H169" s="398" t="str">
        <f aca="false">IF(A169="N/A"," ",G169*C169)</f>
        <v> </v>
      </c>
      <c r="I169" s="398" t="str">
        <f aca="false">IF(A169="N/A"," ",IF(ISERROR(Q169),I157*Pwresc,Q169))</f>
        <v> </v>
      </c>
      <c r="J169" s="398"/>
      <c r="K169" s="399"/>
      <c r="L169" s="399"/>
      <c r="M169" s="404"/>
      <c r="N169" s="401" t="str">
        <f aca="false">IF(A169="N/A"," ",VLOOKUP(A169,PeakPowerCurves,(IF(BMO3=2,3,IF(BMO3=1,2,4))),FALSE()))</f>
        <v> </v>
      </c>
      <c r="O169" s="401" t="str">
        <f aca="false">IF(A169="N/A"," ",VLOOKUP(A169,SatSunPeakPwr,(IF(BMO3=2,3,IF(BMO3=1,2,4))),FALSE()))</f>
        <v> </v>
      </c>
      <c r="P169" s="401" t="str">
        <f aca="false">IF(A169="N/A"," ",VLOOKUP(A169,SatSunPeakPwr,(IF(BMO3=2,7,IF(BMO3=1,6,8))),FALSE()))</f>
        <v> </v>
      </c>
      <c r="Q169" s="402" t="str">
        <f aca="false">IF(A169="N/A"," ",(VLOOKUP(A169,OPPowerPrices,(IF(BMO3=2,7,IF(BMO3=1,6,8))),FALSE())))</f>
        <v> </v>
      </c>
      <c r="R169" s="403" t="str">
        <f aca="false">IF(A169="N/A"," ",(VLOOKUP($A169,IRTable,2)))</f>
        <v> </v>
      </c>
      <c r="AF169" s="352" t="n">
        <v>41579</v>
      </c>
      <c r="AG169" s="311" t="n">
        <v>20</v>
      </c>
      <c r="AH169" s="311" t="n">
        <v>5</v>
      </c>
      <c r="AI169" s="311" t="n">
        <v>5</v>
      </c>
      <c r="AJ169" s="311" t="n">
        <v>1</v>
      </c>
      <c r="AK169" s="311" t="n">
        <v>30</v>
      </c>
      <c r="AU169" s="406"/>
    </row>
    <row r="170" customFormat="false" ht="12.75" hidden="false" customHeight="false" outlineLevel="0" collapsed="false">
      <c r="A170" s="352" t="str">
        <f aca="false">Option3!A137</f>
        <v>N/A</v>
      </c>
      <c r="B170" s="396" t="str">
        <f aca="false">IF(A170="N/A"," ",IF(ISERROR(N170),B158*Pwresc,N170)*VLOOKUP(MONTH(A170),Curveadj,3))</f>
        <v> </v>
      </c>
      <c r="C170" s="397" t="str">
        <f aca="false">IF(A170="N/A"," ",(IF(AND(Scaler3=1,MONTH(A170)&gt;=6,MONTH(A170)&lt;=8,OR($M$37="REGION 2",$M$37="REGION 2A",$M$37="REGION 2B",$M$37="REGION 3",$M$37="REGION 3A",$M$37="REGION 3B",$M$37="REGION 3C",$M$37="REGION 4",$M$37="REGION 4B",$M$37="REGION 4C",$M$37="REGION 5",$M$37="REGION 5A")),((0.059228/(B170/100))-(0.4980013/(SQRT(B170/100)))+2.137988),HLOOKUP(MONTH(A170),ScalarTable,28))))</f>
        <v> </v>
      </c>
      <c r="D170" s="398" t="str">
        <f aca="false">IF(A170="N/A"," ",C170*B170)</f>
        <v> </v>
      </c>
      <c r="E170" s="396" t="str">
        <f aca="false">IF(A170="N/A"," ",IF(ISERROR(O170),E158*Pwresc,O170)*VLOOKUP(MONTH(A170),Curveadj,3))</f>
        <v> </v>
      </c>
      <c r="F170" s="398" t="str">
        <f aca="false">IF(A170="N/A"," ",E170*C170)</f>
        <v> </v>
      </c>
      <c r="G170" s="396" t="str">
        <f aca="false">IF(A170="N/A"," ",IF(ISERROR(P170),G158*Pwresc,P170)*VLOOKUP(MONTH(A170),Curveadj,3))</f>
        <v> </v>
      </c>
      <c r="H170" s="398" t="str">
        <f aca="false">IF(A170="N/A"," ",G170*C170)</f>
        <v> </v>
      </c>
      <c r="I170" s="398" t="str">
        <f aca="false">IF(A170="N/A"," ",IF(ISERROR(Q170),I158*Pwresc,Q170))</f>
        <v> </v>
      </c>
      <c r="J170" s="398"/>
      <c r="K170" s="399"/>
      <c r="L170" s="399"/>
      <c r="M170" s="404"/>
      <c r="N170" s="401" t="str">
        <f aca="false">IF(A170="N/A"," ",VLOOKUP(A170,PeakPowerCurves,(IF(BMO3=2,3,IF(BMO3=1,2,4))),FALSE()))</f>
        <v> </v>
      </c>
      <c r="O170" s="401" t="str">
        <f aca="false">IF(A170="N/A"," ",VLOOKUP(A170,SatSunPeakPwr,(IF(BMO3=2,3,IF(BMO3=1,2,4))),FALSE()))</f>
        <v> </v>
      </c>
      <c r="P170" s="401" t="str">
        <f aca="false">IF(A170="N/A"," ",VLOOKUP(A170,SatSunPeakPwr,(IF(BMO3=2,7,IF(BMO3=1,6,8))),FALSE()))</f>
        <v> </v>
      </c>
      <c r="Q170" s="402" t="str">
        <f aca="false">IF(A170="N/A"," ",(VLOOKUP(A170,OPPowerPrices,(IF(BMO3=2,7,IF(BMO3=1,6,8))),FALSE())))</f>
        <v> </v>
      </c>
      <c r="R170" s="403" t="str">
        <f aca="false">IF(A170="N/A"," ",(VLOOKUP($A170,IRTable,2)))</f>
        <v> </v>
      </c>
      <c r="AF170" s="352" t="n">
        <v>41609</v>
      </c>
      <c r="AG170" s="311" t="n">
        <v>21</v>
      </c>
      <c r="AH170" s="311" t="n">
        <v>4</v>
      </c>
      <c r="AI170" s="311" t="n">
        <v>6</v>
      </c>
      <c r="AJ170" s="311" t="n">
        <v>1</v>
      </c>
      <c r="AK170" s="311" t="n">
        <v>31</v>
      </c>
      <c r="AU170" s="406"/>
    </row>
    <row r="171" customFormat="false" ht="12.75" hidden="false" customHeight="false" outlineLevel="0" collapsed="false">
      <c r="A171" s="352" t="str">
        <f aca="false">Option3!A138</f>
        <v>N/A</v>
      </c>
      <c r="B171" s="396" t="str">
        <f aca="false">IF(A171="N/A"," ",IF(ISERROR(N171),B159*Pwresc,N171)*VLOOKUP(MONTH(A171),Curveadj,3))</f>
        <v> </v>
      </c>
      <c r="C171" s="397" t="str">
        <f aca="false">IF(A171="N/A"," ",(IF(AND(Scaler3=1,MONTH(A171)&gt;=6,MONTH(A171)&lt;=8,OR($M$37="REGION 2",$M$37="REGION 2A",$M$37="REGION 2B",$M$37="REGION 3",$M$37="REGION 3A",$M$37="REGION 3B",$M$37="REGION 3C",$M$37="REGION 4",$M$37="REGION 4B",$M$37="REGION 4C",$M$37="REGION 5",$M$37="REGION 5A")),((0.059228/(B171/100))-(0.4980013/(SQRT(B171/100)))+2.137988),HLOOKUP(MONTH(A171),ScalarTable,28))))</f>
        <v> </v>
      </c>
      <c r="D171" s="398" t="str">
        <f aca="false">IF(A171="N/A"," ",C171*B171)</f>
        <v> </v>
      </c>
      <c r="E171" s="396" t="str">
        <f aca="false">IF(A171="N/A"," ",IF(ISERROR(O171),E159*Pwresc,O171)*VLOOKUP(MONTH(A171),Curveadj,3))</f>
        <v> </v>
      </c>
      <c r="F171" s="398" t="str">
        <f aca="false">IF(A171="N/A"," ",E171*C171)</f>
        <v> </v>
      </c>
      <c r="G171" s="396" t="str">
        <f aca="false">IF(A171="N/A"," ",IF(ISERROR(P171),G159*Pwresc,P171)*VLOOKUP(MONTH(A171),Curveadj,3))</f>
        <v> </v>
      </c>
      <c r="H171" s="398" t="str">
        <f aca="false">IF(A171="N/A"," ",G171*C171)</f>
        <v> </v>
      </c>
      <c r="I171" s="398" t="str">
        <f aca="false">IF(A171="N/A"," ",IF(ISERROR(Q171),I159*Pwresc,Q171))</f>
        <v> </v>
      </c>
      <c r="J171" s="398"/>
      <c r="K171" s="399"/>
      <c r="L171" s="399"/>
      <c r="M171" s="404"/>
      <c r="N171" s="401" t="str">
        <f aca="false">IF(A171="N/A"," ",VLOOKUP(A171,PeakPowerCurves,(IF(BMO3=2,3,IF(BMO3=1,2,4))),FALSE()))</f>
        <v> </v>
      </c>
      <c r="O171" s="401" t="str">
        <f aca="false">IF(A171="N/A"," ",VLOOKUP(A171,SatSunPeakPwr,(IF(BMO3=2,3,IF(BMO3=1,2,4))),FALSE()))</f>
        <v> </v>
      </c>
      <c r="P171" s="401" t="str">
        <f aca="false">IF(A171="N/A"," ",VLOOKUP(A171,SatSunPeakPwr,(IF(BMO3=2,7,IF(BMO3=1,6,8))),FALSE()))</f>
        <v> </v>
      </c>
      <c r="Q171" s="402" t="str">
        <f aca="false">IF(A171="N/A"," ",(VLOOKUP(A171,OPPowerPrices,(IF(BMO3=2,7,IF(BMO3=1,6,8))),FALSE())))</f>
        <v> </v>
      </c>
      <c r="R171" s="403" t="str">
        <f aca="false">IF(A171="N/A"," ",(VLOOKUP($A171,IRTable,2)))</f>
        <v> </v>
      </c>
      <c r="AF171" s="352" t="n">
        <v>41640</v>
      </c>
      <c r="AG171" s="311" t="n">
        <v>22</v>
      </c>
      <c r="AH171" s="311" t="n">
        <v>4</v>
      </c>
      <c r="AI171" s="311" t="n">
        <v>5</v>
      </c>
      <c r="AJ171" s="311" t="n">
        <v>1</v>
      </c>
      <c r="AK171" s="311" t="n">
        <v>31</v>
      </c>
      <c r="AU171" s="406"/>
    </row>
    <row r="172" customFormat="false" ht="12.75" hidden="false" customHeight="false" outlineLevel="0" collapsed="false">
      <c r="A172" s="352" t="str">
        <f aca="false">Option3!A139</f>
        <v>N/A</v>
      </c>
      <c r="B172" s="396" t="str">
        <f aca="false">IF(A172="N/A"," ",IF(ISERROR(N172),B160*Pwresc,N172)*VLOOKUP(MONTH(A172),Curveadj,3))</f>
        <v> </v>
      </c>
      <c r="C172" s="397" t="str">
        <f aca="false">IF(A172="N/A"," ",(IF(AND(Scaler3=1,MONTH(A172)&gt;=6,MONTH(A172)&lt;=8,OR($M$37="REGION 2",$M$37="REGION 2A",$M$37="REGION 2B",$M$37="REGION 3",$M$37="REGION 3A",$M$37="REGION 3B",$M$37="REGION 3C",$M$37="REGION 4",$M$37="REGION 4B",$M$37="REGION 4C",$M$37="REGION 5",$M$37="REGION 5A")),((0.059228/(B172/100))-(0.4980013/(SQRT(B172/100)))+2.137988),HLOOKUP(MONTH(A172),ScalarTable,28))))</f>
        <v> </v>
      </c>
      <c r="D172" s="398" t="str">
        <f aca="false">IF(A172="N/A"," ",C172*B172)</f>
        <v> </v>
      </c>
      <c r="E172" s="396" t="str">
        <f aca="false">IF(A172="N/A"," ",IF(ISERROR(O172),E160*Pwresc,O172)*VLOOKUP(MONTH(A172),Curveadj,3))</f>
        <v> </v>
      </c>
      <c r="F172" s="398" t="str">
        <f aca="false">IF(A172="N/A"," ",E172*C172)</f>
        <v> </v>
      </c>
      <c r="G172" s="396" t="str">
        <f aca="false">IF(A172="N/A"," ",IF(ISERROR(P172),G160*Pwresc,P172)*VLOOKUP(MONTH(A172),Curveadj,3))</f>
        <v> </v>
      </c>
      <c r="H172" s="398" t="str">
        <f aca="false">IF(A172="N/A"," ",G172*C172)</f>
        <v> </v>
      </c>
      <c r="I172" s="398" t="str">
        <f aca="false">IF(A172="N/A"," ",IF(ISERROR(Q172),I160*Pwresc,Q172))</f>
        <v> </v>
      </c>
      <c r="J172" s="398"/>
      <c r="K172" s="399"/>
      <c r="L172" s="399"/>
      <c r="M172" s="404"/>
      <c r="N172" s="401" t="str">
        <f aca="false">IF(A172="N/A"," ",VLOOKUP(A172,PeakPowerCurves,(IF(BMO3=2,3,IF(BMO3=1,2,4))),FALSE()))</f>
        <v> </v>
      </c>
      <c r="O172" s="401" t="str">
        <f aca="false">IF(A172="N/A"," ",VLOOKUP(A172,SatSunPeakPwr,(IF(BMO3=2,3,IF(BMO3=1,2,4))),FALSE()))</f>
        <v> </v>
      </c>
      <c r="P172" s="401" t="str">
        <f aca="false">IF(A172="N/A"," ",VLOOKUP(A172,SatSunPeakPwr,(IF(BMO3=2,7,IF(BMO3=1,6,8))),FALSE()))</f>
        <v> </v>
      </c>
      <c r="Q172" s="402" t="str">
        <f aca="false">IF(A172="N/A"," ",(VLOOKUP(A172,OPPowerPrices,(IF(BMO3=2,7,IF(BMO3=1,6,8))),FALSE())))</f>
        <v> </v>
      </c>
      <c r="R172" s="403" t="str">
        <f aca="false">IF(A172="N/A"," ",(VLOOKUP($A172,IRTable,2)))</f>
        <v> </v>
      </c>
      <c r="AF172" s="352" t="n">
        <v>41671</v>
      </c>
      <c r="AG172" s="311" t="n">
        <v>20</v>
      </c>
      <c r="AH172" s="311" t="n">
        <v>4</v>
      </c>
      <c r="AI172" s="311" t="n">
        <v>4</v>
      </c>
      <c r="AJ172" s="311" t="n">
        <v>0</v>
      </c>
      <c r="AK172" s="311" t="n">
        <v>28</v>
      </c>
      <c r="AU172" s="406"/>
    </row>
    <row r="173" customFormat="false" ht="12.75" hidden="false" customHeight="false" outlineLevel="0" collapsed="false">
      <c r="A173" s="352" t="str">
        <f aca="false">Option3!A140</f>
        <v>N/A</v>
      </c>
      <c r="B173" s="396" t="str">
        <f aca="false">IF(A173="N/A"," ",IF(ISERROR(N173),B161*Pwresc,N173)*VLOOKUP(MONTH(A173),Curveadj,3))</f>
        <v> </v>
      </c>
      <c r="C173" s="397" t="str">
        <f aca="false">IF(A173="N/A"," ",(IF(AND(Scaler3=1,MONTH(A173)&gt;=6,MONTH(A173)&lt;=8,OR($M$37="REGION 2",$M$37="REGION 2A",$M$37="REGION 2B",$M$37="REGION 3",$M$37="REGION 3A",$M$37="REGION 3B",$M$37="REGION 3C",$M$37="REGION 4",$M$37="REGION 4B",$M$37="REGION 4C",$M$37="REGION 5",$M$37="REGION 5A")),((0.059228/(B173/100))-(0.4980013/(SQRT(B173/100)))+2.137988),HLOOKUP(MONTH(A173),ScalarTable,28))))</f>
        <v> </v>
      </c>
      <c r="D173" s="398" t="str">
        <f aca="false">IF(A173="N/A"," ",C173*B173)</f>
        <v> </v>
      </c>
      <c r="E173" s="396" t="str">
        <f aca="false">IF(A173="N/A"," ",IF(ISERROR(O173),E161*Pwresc,O173)*VLOOKUP(MONTH(A173),Curveadj,3))</f>
        <v> </v>
      </c>
      <c r="F173" s="398" t="str">
        <f aca="false">IF(A173="N/A"," ",E173*C173)</f>
        <v> </v>
      </c>
      <c r="G173" s="396" t="str">
        <f aca="false">IF(A173="N/A"," ",IF(ISERROR(P173),G161*Pwresc,P173)*VLOOKUP(MONTH(A173),Curveadj,3))</f>
        <v> </v>
      </c>
      <c r="H173" s="398" t="str">
        <f aca="false">IF(A173="N/A"," ",G173*C173)</f>
        <v> </v>
      </c>
      <c r="I173" s="398" t="str">
        <f aca="false">IF(A173="N/A"," ",IF(ISERROR(Q173),I161*Pwresc,Q173))</f>
        <v> </v>
      </c>
      <c r="J173" s="398"/>
      <c r="K173" s="399"/>
      <c r="L173" s="399"/>
      <c r="M173" s="404"/>
      <c r="N173" s="401" t="str">
        <f aca="false">IF(A173="N/A"," ",VLOOKUP(A173,PeakPowerCurves,(IF(BMO3=2,3,IF(BMO3=1,2,4))),FALSE()))</f>
        <v> </v>
      </c>
      <c r="O173" s="401" t="str">
        <f aca="false">IF(A173="N/A"," ",VLOOKUP(A173,SatSunPeakPwr,(IF(BMO3=2,3,IF(BMO3=1,2,4))),FALSE()))</f>
        <v> </v>
      </c>
      <c r="P173" s="401" t="str">
        <f aca="false">IF(A173="N/A"," ",VLOOKUP(A173,SatSunPeakPwr,(IF(BMO3=2,7,IF(BMO3=1,6,8))),FALSE()))</f>
        <v> </v>
      </c>
      <c r="Q173" s="402" t="str">
        <f aca="false">IF(A173="N/A"," ",(VLOOKUP(A173,OPPowerPrices,(IF(BMO3=2,7,IF(BMO3=1,6,8))),FALSE())))</f>
        <v> </v>
      </c>
      <c r="R173" s="403" t="str">
        <f aca="false">IF(A173="N/A"," ",(VLOOKUP($A173,IRTable,2)))</f>
        <v> </v>
      </c>
      <c r="AF173" s="352" t="n">
        <v>41699</v>
      </c>
      <c r="AG173" s="311" t="n">
        <v>21</v>
      </c>
      <c r="AH173" s="311" t="n">
        <v>5</v>
      </c>
      <c r="AI173" s="311" t="n">
        <v>5</v>
      </c>
      <c r="AJ173" s="311" t="n">
        <v>0</v>
      </c>
      <c r="AK173" s="311" t="n">
        <v>31</v>
      </c>
      <c r="AU173" s="406"/>
    </row>
    <row r="174" customFormat="false" ht="12.75" hidden="false" customHeight="false" outlineLevel="0" collapsed="false">
      <c r="A174" s="352" t="str">
        <f aca="false">Option3!A141</f>
        <v>N/A</v>
      </c>
      <c r="B174" s="396" t="str">
        <f aca="false">IF(A174="N/A"," ",IF(ISERROR(N174),B162*Pwresc,N174)*VLOOKUP(MONTH(A174),Curveadj,3))</f>
        <v> </v>
      </c>
      <c r="C174" s="397" t="str">
        <f aca="false">IF(A174="N/A"," ",(IF(AND(Scaler3=1,MONTH(A174)&gt;=6,MONTH(A174)&lt;=8,OR($M$37="REGION 2",$M$37="REGION 2A",$M$37="REGION 2B",$M$37="REGION 3",$M$37="REGION 3A",$M$37="REGION 3B",$M$37="REGION 3C",$M$37="REGION 4",$M$37="REGION 4B",$M$37="REGION 4C",$M$37="REGION 5",$M$37="REGION 5A")),((0.059228/(B174/100))-(0.4980013/(SQRT(B174/100)))+2.137988),HLOOKUP(MONTH(A174),ScalarTable,28))))</f>
        <v> </v>
      </c>
      <c r="D174" s="398" t="str">
        <f aca="false">IF(A174="N/A"," ",C174*B174)</f>
        <v> </v>
      </c>
      <c r="E174" s="396" t="str">
        <f aca="false">IF(A174="N/A"," ",IF(ISERROR(O174),E162*Pwresc,O174)*VLOOKUP(MONTH(A174),Curveadj,3))</f>
        <v> </v>
      </c>
      <c r="F174" s="398" t="str">
        <f aca="false">IF(A174="N/A"," ",E174*C174)</f>
        <v> </v>
      </c>
      <c r="G174" s="396" t="str">
        <f aca="false">IF(A174="N/A"," ",IF(ISERROR(P174),G162*Pwresc,P174)*VLOOKUP(MONTH(A174),Curveadj,3))</f>
        <v> </v>
      </c>
      <c r="H174" s="398" t="str">
        <f aca="false">IF(A174="N/A"," ",G174*C174)</f>
        <v> </v>
      </c>
      <c r="I174" s="398" t="str">
        <f aca="false">IF(A174="N/A"," ",IF(ISERROR(Q174),I162*Pwresc,Q174))</f>
        <v> </v>
      </c>
      <c r="J174" s="398"/>
      <c r="K174" s="399"/>
      <c r="L174" s="399"/>
      <c r="M174" s="404"/>
      <c r="N174" s="401" t="str">
        <f aca="false">IF(A174="N/A"," ",VLOOKUP(A174,PeakPowerCurves,(IF(BMO3=2,3,IF(BMO3=1,2,4))),FALSE()))</f>
        <v> </v>
      </c>
      <c r="O174" s="401" t="str">
        <f aca="false">IF(A174="N/A"," ",VLOOKUP(A174,SatSunPeakPwr,(IF(BMO3=2,3,IF(BMO3=1,2,4))),FALSE()))</f>
        <v> </v>
      </c>
      <c r="P174" s="401" t="str">
        <f aca="false">IF(A174="N/A"," ",VLOOKUP(A174,SatSunPeakPwr,(IF(BMO3=2,7,IF(BMO3=1,6,8))),FALSE()))</f>
        <v> </v>
      </c>
      <c r="Q174" s="402" t="str">
        <f aca="false">IF(A174="N/A"," ",(VLOOKUP(A174,OPPowerPrices,(IF(BMO3=2,7,IF(BMO3=1,6,8))),FALSE())))</f>
        <v> </v>
      </c>
      <c r="R174" s="403" t="str">
        <f aca="false">IF(A174="N/A"," ",(VLOOKUP($A174,IRTable,2)))</f>
        <v> </v>
      </c>
      <c r="AF174" s="352" t="n">
        <v>41730</v>
      </c>
      <c r="AG174" s="311" t="n">
        <v>22</v>
      </c>
      <c r="AH174" s="311" t="n">
        <v>4</v>
      </c>
      <c r="AI174" s="311" t="n">
        <v>4</v>
      </c>
      <c r="AJ174" s="311" t="n">
        <v>0</v>
      </c>
      <c r="AK174" s="311" t="n">
        <v>30</v>
      </c>
      <c r="AU174" s="406"/>
    </row>
    <row r="175" customFormat="false" ht="12.75" hidden="false" customHeight="false" outlineLevel="0" collapsed="false">
      <c r="A175" s="352" t="str">
        <f aca="false">Option3!A142</f>
        <v>N/A</v>
      </c>
      <c r="B175" s="396" t="str">
        <f aca="false">IF(A175="N/A"," ",IF(ISERROR(N175),B163*Pwresc,N175)*VLOOKUP(MONTH(A175),Curveadj,3))</f>
        <v> </v>
      </c>
      <c r="C175" s="397" t="str">
        <f aca="false">IF(A175="N/A"," ",(IF(AND(Scaler3=1,MONTH(A175)&gt;=6,MONTH(A175)&lt;=8,OR($M$37="REGION 2",$M$37="REGION 2A",$M$37="REGION 2B",$M$37="REGION 3",$M$37="REGION 3A",$M$37="REGION 3B",$M$37="REGION 3C",$M$37="REGION 4",$M$37="REGION 4B",$M$37="REGION 4C",$M$37="REGION 5",$M$37="REGION 5A")),((0.059228/(B175/100))-(0.4980013/(SQRT(B175/100)))+2.137988),HLOOKUP(MONTH(A175),ScalarTable,28))))</f>
        <v> </v>
      </c>
      <c r="D175" s="398" t="str">
        <f aca="false">IF(A175="N/A"," ",C175*B175)</f>
        <v> </v>
      </c>
      <c r="E175" s="396" t="str">
        <f aca="false">IF(A175="N/A"," ",IF(ISERROR(O175),E163*Pwresc,O175)*VLOOKUP(MONTH(A175),Curveadj,3))</f>
        <v> </v>
      </c>
      <c r="F175" s="398" t="str">
        <f aca="false">IF(A175="N/A"," ",E175*C175)</f>
        <v> </v>
      </c>
      <c r="G175" s="396" t="str">
        <f aca="false">IF(A175="N/A"," ",IF(ISERROR(P175),G163*Pwresc,P175)*VLOOKUP(MONTH(A175),Curveadj,3))</f>
        <v> </v>
      </c>
      <c r="H175" s="398" t="str">
        <f aca="false">IF(A175="N/A"," ",G175*C175)</f>
        <v> </v>
      </c>
      <c r="I175" s="398" t="str">
        <f aca="false">IF(A175="N/A"," ",IF(ISERROR(Q175),I163*Pwresc,Q175))</f>
        <v> </v>
      </c>
      <c r="J175" s="398"/>
      <c r="K175" s="399"/>
      <c r="L175" s="399"/>
      <c r="M175" s="404"/>
      <c r="N175" s="401" t="str">
        <f aca="false">IF(A175="N/A"," ",VLOOKUP(A175,PeakPowerCurves,(IF(BMO3=2,3,IF(BMO3=1,2,4))),FALSE()))</f>
        <v> </v>
      </c>
      <c r="O175" s="401" t="str">
        <f aca="false">IF(A175="N/A"," ",VLOOKUP(A175,SatSunPeakPwr,(IF(BMO3=2,3,IF(BMO3=1,2,4))),FALSE()))</f>
        <v> </v>
      </c>
      <c r="P175" s="401" t="str">
        <f aca="false">IF(A175="N/A"," ",VLOOKUP(A175,SatSunPeakPwr,(IF(BMO3=2,7,IF(BMO3=1,6,8))),FALSE()))</f>
        <v> </v>
      </c>
      <c r="Q175" s="402" t="str">
        <f aca="false">IF(A175="N/A"," ",(VLOOKUP(A175,OPPowerPrices,(IF(BMO3=2,7,IF(BMO3=1,6,8))),FALSE())))</f>
        <v> </v>
      </c>
      <c r="R175" s="403" t="str">
        <f aca="false">IF(A175="N/A"," ",(VLOOKUP($A175,IRTable,2)))</f>
        <v> </v>
      </c>
      <c r="AF175" s="352" t="n">
        <v>41760</v>
      </c>
      <c r="AG175" s="311" t="n">
        <v>21</v>
      </c>
      <c r="AH175" s="311" t="n">
        <v>5</v>
      </c>
      <c r="AI175" s="311" t="n">
        <v>5</v>
      </c>
      <c r="AJ175" s="311" t="n">
        <v>1</v>
      </c>
      <c r="AK175" s="311" t="n">
        <v>31</v>
      </c>
      <c r="AU175" s="406"/>
    </row>
    <row r="176" customFormat="false" ht="12.75" hidden="false" customHeight="false" outlineLevel="0" collapsed="false">
      <c r="A176" s="352" t="str">
        <f aca="false">Option3!A143</f>
        <v>N/A</v>
      </c>
      <c r="B176" s="396" t="str">
        <f aca="false">IF(A176="N/A"," ",IF(ISERROR(N176),B164*Pwresc,N176)*VLOOKUP(MONTH(A176),Curveadj,3))</f>
        <v> </v>
      </c>
      <c r="C176" s="397" t="str">
        <f aca="false">IF(A176="N/A"," ",(IF(AND(Scaler3=1,MONTH(A176)&gt;=6,MONTH(A176)&lt;=8,OR($M$37="REGION 2",$M$37="REGION 2A",$M$37="REGION 2B",$M$37="REGION 3",$M$37="REGION 3A",$M$37="REGION 3B",$M$37="REGION 3C",$M$37="REGION 4",$M$37="REGION 4B",$M$37="REGION 4C",$M$37="REGION 5",$M$37="REGION 5A")),((0.059228/(B176/100))-(0.4980013/(SQRT(B176/100)))+2.137988),HLOOKUP(MONTH(A176),ScalarTable,28))))</f>
        <v> </v>
      </c>
      <c r="D176" s="398" t="str">
        <f aca="false">IF(A176="N/A"," ",C176*B176)</f>
        <v> </v>
      </c>
      <c r="E176" s="396" t="str">
        <f aca="false">IF(A176="N/A"," ",IF(ISERROR(O176),E164*Pwresc,O176)*VLOOKUP(MONTH(A176),Curveadj,3))</f>
        <v> </v>
      </c>
      <c r="F176" s="398" t="str">
        <f aca="false">IF(A176="N/A"," ",E176*C176)</f>
        <v> </v>
      </c>
      <c r="G176" s="396" t="str">
        <f aca="false">IF(A176="N/A"," ",IF(ISERROR(P176),G164*Pwresc,P176)*VLOOKUP(MONTH(A176),Curveadj,3))</f>
        <v> </v>
      </c>
      <c r="H176" s="398" t="str">
        <f aca="false">IF(A176="N/A"," ",G176*C176)</f>
        <v> </v>
      </c>
      <c r="I176" s="398" t="str">
        <f aca="false">IF(A176="N/A"," ",IF(ISERROR(Q176),I164*Pwresc,Q176))</f>
        <v> </v>
      </c>
      <c r="J176" s="398"/>
      <c r="K176" s="399"/>
      <c r="L176" s="399"/>
      <c r="M176" s="404"/>
      <c r="N176" s="401" t="str">
        <f aca="false">IF(A176="N/A"," ",VLOOKUP(A176,PeakPowerCurves,(IF(BMO3=2,3,IF(BMO3=1,2,4))),FALSE()))</f>
        <v> </v>
      </c>
      <c r="O176" s="401" t="str">
        <f aca="false">IF(A176="N/A"," ",VLOOKUP(A176,SatSunPeakPwr,(IF(BMO3=2,3,IF(BMO3=1,2,4))),FALSE()))</f>
        <v> </v>
      </c>
      <c r="P176" s="401" t="str">
        <f aca="false">IF(A176="N/A"," ",VLOOKUP(A176,SatSunPeakPwr,(IF(BMO3=2,7,IF(BMO3=1,6,8))),FALSE()))</f>
        <v> </v>
      </c>
      <c r="Q176" s="402" t="str">
        <f aca="false">IF(A176="N/A"," ",(VLOOKUP(A176,OPPowerPrices,(IF(BMO3=2,7,IF(BMO3=1,6,8))),FALSE())))</f>
        <v> </v>
      </c>
      <c r="R176" s="403" t="str">
        <f aca="false">IF(A176="N/A"," ",(VLOOKUP($A176,IRTable,2)))</f>
        <v> </v>
      </c>
      <c r="AF176" s="352" t="n">
        <v>41791</v>
      </c>
      <c r="AG176" s="311" t="n">
        <v>21</v>
      </c>
      <c r="AH176" s="311" t="n">
        <v>4</v>
      </c>
      <c r="AI176" s="311" t="n">
        <v>5</v>
      </c>
      <c r="AJ176" s="311" t="n">
        <v>0</v>
      </c>
      <c r="AK176" s="311" t="n">
        <v>30</v>
      </c>
      <c r="AU176" s="406"/>
    </row>
    <row r="177" customFormat="false" ht="12.75" hidden="false" customHeight="false" outlineLevel="0" collapsed="false">
      <c r="A177" s="352" t="str">
        <f aca="false">Option3!A144</f>
        <v>N/A</v>
      </c>
      <c r="B177" s="396" t="str">
        <f aca="false">IF(A177="N/A"," ",IF(ISERROR(N177),B165*Pwresc,N177)*VLOOKUP(MONTH(A177),Curveadj,3))</f>
        <v> </v>
      </c>
      <c r="C177" s="397" t="str">
        <f aca="false">IF(A177="N/A"," ",(IF(AND(Scaler3=1,MONTH(A177)&gt;=6,MONTH(A177)&lt;=8,OR($M$37="REGION 2",$M$37="REGION 2A",$M$37="REGION 2B",$M$37="REGION 3",$M$37="REGION 3A",$M$37="REGION 3B",$M$37="REGION 3C",$M$37="REGION 4",$M$37="REGION 4B",$M$37="REGION 4C",$M$37="REGION 5",$M$37="REGION 5A")),((0.059228/(B177/100))-(0.4980013/(SQRT(B177/100)))+2.137988),HLOOKUP(MONTH(A177),ScalarTable,28))))</f>
        <v> </v>
      </c>
      <c r="D177" s="398" t="str">
        <f aca="false">IF(A177="N/A"," ",C177*B177)</f>
        <v> </v>
      </c>
      <c r="E177" s="396" t="str">
        <f aca="false">IF(A177="N/A"," ",IF(ISERROR(O177),E165*Pwresc,O177)*VLOOKUP(MONTH(A177),Curveadj,3))</f>
        <v> </v>
      </c>
      <c r="F177" s="398" t="str">
        <f aca="false">IF(A177="N/A"," ",E177*C177)</f>
        <v> </v>
      </c>
      <c r="G177" s="396" t="str">
        <f aca="false">IF(A177="N/A"," ",IF(ISERROR(P177),G165*Pwresc,P177)*VLOOKUP(MONTH(A177),Curveadj,3))</f>
        <v> </v>
      </c>
      <c r="H177" s="398" t="str">
        <f aca="false">IF(A177="N/A"," ",G177*C177)</f>
        <v> </v>
      </c>
      <c r="I177" s="398" t="str">
        <f aca="false">IF(A177="N/A"," ",IF(ISERROR(Q177),I165*Pwresc,Q177))</f>
        <v> </v>
      </c>
      <c r="J177" s="398"/>
      <c r="K177" s="399"/>
      <c r="L177" s="399"/>
      <c r="M177" s="404"/>
      <c r="N177" s="401" t="str">
        <f aca="false">IF(A177="N/A"," ",VLOOKUP(A177,PeakPowerCurves,(IF(BMO3=2,3,IF(BMO3=1,2,4))),FALSE()))</f>
        <v> </v>
      </c>
      <c r="O177" s="401" t="str">
        <f aca="false">IF(A177="N/A"," ",VLOOKUP(A177,SatSunPeakPwr,(IF(BMO3=2,3,IF(BMO3=1,2,4))),FALSE()))</f>
        <v> </v>
      </c>
      <c r="P177" s="401" t="str">
        <f aca="false">IF(A177="N/A"," ",VLOOKUP(A177,SatSunPeakPwr,(IF(BMO3=2,7,IF(BMO3=1,6,8))),FALSE()))</f>
        <v> </v>
      </c>
      <c r="Q177" s="402" t="str">
        <f aca="false">IF(A177="N/A"," ",(VLOOKUP(A177,OPPowerPrices,(IF(BMO3=2,7,IF(BMO3=1,6,8))),FALSE())))</f>
        <v> </v>
      </c>
      <c r="R177" s="403" t="str">
        <f aca="false">IF(A177="N/A"," ",(VLOOKUP($A177,IRTable,2)))</f>
        <v> </v>
      </c>
      <c r="AF177" s="352" t="n">
        <v>41821</v>
      </c>
      <c r="AG177" s="311" t="n">
        <v>22</v>
      </c>
      <c r="AH177" s="311" t="n">
        <v>4</v>
      </c>
      <c r="AI177" s="311" t="n">
        <v>5</v>
      </c>
      <c r="AJ177" s="311" t="n">
        <v>1</v>
      </c>
      <c r="AK177" s="311" t="n">
        <v>31</v>
      </c>
      <c r="AU177" s="406"/>
    </row>
    <row r="178" customFormat="false" ht="12.75" hidden="false" customHeight="false" outlineLevel="0" collapsed="false">
      <c r="A178" s="352" t="str">
        <f aca="false">Option3!A145</f>
        <v>N/A</v>
      </c>
      <c r="B178" s="396" t="str">
        <f aca="false">IF(A178="N/A"," ",IF(ISERROR(N178),B166*Pwresc,N178)*VLOOKUP(MONTH(A178),Curveadj,3))</f>
        <v> </v>
      </c>
      <c r="C178" s="397" t="str">
        <f aca="false">IF(A178="N/A"," ",(IF(AND(Scaler3=1,MONTH(A178)&gt;=6,MONTH(A178)&lt;=8,OR($M$37="REGION 2",$M$37="REGION 2A",$M$37="REGION 2B",$M$37="REGION 3",$M$37="REGION 3A",$M$37="REGION 3B",$M$37="REGION 3C",$M$37="REGION 4",$M$37="REGION 4B",$M$37="REGION 4C",$M$37="REGION 5",$M$37="REGION 5A")),((0.059228/(B178/100))-(0.4980013/(SQRT(B178/100)))+2.137988),HLOOKUP(MONTH(A178),ScalarTable,28))))</f>
        <v> </v>
      </c>
      <c r="D178" s="398" t="str">
        <f aca="false">IF(A178="N/A"," ",C178*B178)</f>
        <v> </v>
      </c>
      <c r="E178" s="396" t="str">
        <f aca="false">IF(A178="N/A"," ",IF(ISERROR(O178),E166*Pwresc,O178)*VLOOKUP(MONTH(A178),Curveadj,3))</f>
        <v> </v>
      </c>
      <c r="F178" s="398" t="str">
        <f aca="false">IF(A178="N/A"," ",E178*C178)</f>
        <v> </v>
      </c>
      <c r="G178" s="396" t="str">
        <f aca="false">IF(A178="N/A"," ",IF(ISERROR(P178),G166*Pwresc,P178)*VLOOKUP(MONTH(A178),Curveadj,3))</f>
        <v> </v>
      </c>
      <c r="H178" s="398" t="str">
        <f aca="false">IF(A178="N/A"," ",G178*C178)</f>
        <v> </v>
      </c>
      <c r="I178" s="398" t="str">
        <f aca="false">IF(A178="N/A"," ",IF(ISERROR(Q178),I166*Pwresc,Q178))</f>
        <v> </v>
      </c>
      <c r="J178" s="398"/>
      <c r="K178" s="399"/>
      <c r="L178" s="399"/>
      <c r="M178" s="404"/>
      <c r="N178" s="401" t="str">
        <f aca="false">IF(A178="N/A"," ",VLOOKUP(A178,PeakPowerCurves,(IF(BMO3=2,3,IF(BMO3=1,2,4))),FALSE()))</f>
        <v> </v>
      </c>
      <c r="O178" s="401" t="str">
        <f aca="false">IF(A178="N/A"," ",VLOOKUP(A178,SatSunPeakPwr,(IF(BMO3=2,3,IF(BMO3=1,2,4))),FALSE()))</f>
        <v> </v>
      </c>
      <c r="P178" s="401" t="str">
        <f aca="false">IF(A178="N/A"," ",VLOOKUP(A178,SatSunPeakPwr,(IF(BMO3=2,7,IF(BMO3=1,6,8))),FALSE()))</f>
        <v> </v>
      </c>
      <c r="Q178" s="402" t="str">
        <f aca="false">IF(A178="N/A"," ",(VLOOKUP(A178,OPPowerPrices,(IF(BMO3=2,7,IF(BMO3=1,6,8))),FALSE())))</f>
        <v> </v>
      </c>
      <c r="R178" s="403" t="str">
        <f aca="false">IF(A178="N/A"," ",(VLOOKUP($A178,IRTable,2)))</f>
        <v> </v>
      </c>
      <c r="AF178" s="352" t="n">
        <v>41852</v>
      </c>
      <c r="AG178" s="311" t="n">
        <v>21</v>
      </c>
      <c r="AH178" s="311" t="n">
        <v>5</v>
      </c>
      <c r="AI178" s="311" t="n">
        <v>5</v>
      </c>
      <c r="AJ178" s="311" t="n">
        <v>0</v>
      </c>
      <c r="AK178" s="311" t="n">
        <v>31</v>
      </c>
      <c r="AU178" s="406"/>
    </row>
    <row r="179" customFormat="false" ht="12.75" hidden="false" customHeight="false" outlineLevel="0" collapsed="false">
      <c r="A179" s="352" t="str">
        <f aca="false">Option3!A146</f>
        <v>N/A</v>
      </c>
      <c r="B179" s="396" t="str">
        <f aca="false">IF(A179="N/A"," ",IF(ISERROR(N179),B167*Pwresc,N179)*VLOOKUP(MONTH(A179),Curveadj,3))</f>
        <v> </v>
      </c>
      <c r="C179" s="397" t="str">
        <f aca="false">IF(A179="N/A"," ",(IF(AND(Scaler3=1,MONTH(A179)&gt;=6,MONTH(A179)&lt;=8,OR($M$37="REGION 2",$M$37="REGION 2A",$M$37="REGION 2B",$M$37="REGION 3",$M$37="REGION 3A",$M$37="REGION 3B",$M$37="REGION 3C",$M$37="REGION 4",$M$37="REGION 4B",$M$37="REGION 4C",$M$37="REGION 5",$M$37="REGION 5A")),((0.059228/(B179/100))-(0.4980013/(SQRT(B179/100)))+2.137988),HLOOKUP(MONTH(A179),ScalarTable,28))))</f>
        <v> </v>
      </c>
      <c r="D179" s="398" t="str">
        <f aca="false">IF(A179="N/A"," ",C179*B179)</f>
        <v> </v>
      </c>
      <c r="E179" s="396" t="str">
        <f aca="false">IF(A179="N/A"," ",IF(ISERROR(O179),E167*Pwresc,O179)*VLOOKUP(MONTH(A179),Curveadj,3))</f>
        <v> </v>
      </c>
      <c r="F179" s="398" t="str">
        <f aca="false">IF(A179="N/A"," ",E179*C179)</f>
        <v> </v>
      </c>
      <c r="G179" s="396" t="str">
        <f aca="false">IF(A179="N/A"," ",IF(ISERROR(P179),G167*Pwresc,P179)*VLOOKUP(MONTH(A179),Curveadj,3))</f>
        <v> </v>
      </c>
      <c r="H179" s="398" t="str">
        <f aca="false">IF(A179="N/A"," ",G179*C179)</f>
        <v> </v>
      </c>
      <c r="I179" s="398" t="str">
        <f aca="false">IF(A179="N/A"," ",IF(ISERROR(Q179),I167*Pwresc,Q179))</f>
        <v> </v>
      </c>
      <c r="J179" s="398"/>
      <c r="K179" s="399"/>
      <c r="L179" s="399"/>
      <c r="M179" s="404"/>
      <c r="N179" s="401" t="str">
        <f aca="false">IF(A179="N/A"," ",VLOOKUP(A179,PeakPowerCurves,(IF(BMO3=2,3,IF(BMO3=1,2,4))),FALSE()))</f>
        <v> </v>
      </c>
      <c r="O179" s="401" t="str">
        <f aca="false">IF(A179="N/A"," ",VLOOKUP(A179,SatSunPeakPwr,(IF(BMO3=2,3,IF(BMO3=1,2,4))),FALSE()))</f>
        <v> </v>
      </c>
      <c r="P179" s="401" t="str">
        <f aca="false">IF(A179="N/A"," ",VLOOKUP(A179,SatSunPeakPwr,(IF(BMO3=2,7,IF(BMO3=1,6,8))),FALSE()))</f>
        <v> </v>
      </c>
      <c r="Q179" s="402" t="str">
        <f aca="false">IF(A179="N/A"," ",(VLOOKUP(A179,OPPowerPrices,(IF(BMO3=2,7,IF(BMO3=1,6,8))),FALSE())))</f>
        <v> </v>
      </c>
      <c r="R179" s="403" t="str">
        <f aca="false">IF(A179="N/A"," ",(VLOOKUP($A179,IRTable,2)))</f>
        <v> </v>
      </c>
      <c r="AF179" s="352" t="n">
        <v>41883</v>
      </c>
      <c r="AG179" s="311" t="n">
        <v>21</v>
      </c>
      <c r="AH179" s="311" t="n">
        <v>4</v>
      </c>
      <c r="AI179" s="311" t="n">
        <v>5</v>
      </c>
      <c r="AJ179" s="311" t="n">
        <v>1</v>
      </c>
      <c r="AK179" s="311" t="n">
        <v>30</v>
      </c>
      <c r="AU179" s="406"/>
    </row>
    <row r="180" customFormat="false" ht="12.75" hidden="false" customHeight="false" outlineLevel="0" collapsed="false">
      <c r="A180" s="352" t="str">
        <f aca="false">Option3!A147</f>
        <v>N/A</v>
      </c>
      <c r="B180" s="396" t="str">
        <f aca="false">IF(A180="N/A"," ",IF(ISERROR(N180),B168*Pwresc,N180)*VLOOKUP(MONTH(A180),Curveadj,3))</f>
        <v> </v>
      </c>
      <c r="C180" s="397" t="str">
        <f aca="false">IF(A180="N/A"," ",(IF(AND(Scaler3=1,MONTH(A180)&gt;=6,MONTH(A180)&lt;=8,OR($M$37="REGION 2",$M$37="REGION 2A",$M$37="REGION 2B",$M$37="REGION 3",$M$37="REGION 3A",$M$37="REGION 3B",$M$37="REGION 3C",$M$37="REGION 4",$M$37="REGION 4B",$M$37="REGION 4C",$M$37="REGION 5",$M$37="REGION 5A")),((0.059228/(B180/100))-(0.4980013/(SQRT(B180/100)))+2.137988),HLOOKUP(MONTH(A180),ScalarTable,28))))</f>
        <v> </v>
      </c>
      <c r="D180" s="398" t="str">
        <f aca="false">IF(A180="N/A"," ",C180*B180)</f>
        <v> </v>
      </c>
      <c r="E180" s="396" t="str">
        <f aca="false">IF(A180="N/A"," ",IF(ISERROR(O180),E168*Pwresc,O180)*VLOOKUP(MONTH(A180),Curveadj,3))</f>
        <v> </v>
      </c>
      <c r="F180" s="398" t="str">
        <f aca="false">IF(A180="N/A"," ",E180*C180)</f>
        <v> </v>
      </c>
      <c r="G180" s="396" t="str">
        <f aca="false">IF(A180="N/A"," ",IF(ISERROR(P180),G168*Pwresc,P180)*VLOOKUP(MONTH(A180),Curveadj,3))</f>
        <v> </v>
      </c>
      <c r="H180" s="398" t="str">
        <f aca="false">IF(A180="N/A"," ",G180*C180)</f>
        <v> </v>
      </c>
      <c r="I180" s="398" t="str">
        <f aca="false">IF(A180="N/A"," ",IF(ISERROR(Q180),I168*Pwresc,Q180))</f>
        <v> </v>
      </c>
      <c r="J180" s="398"/>
      <c r="K180" s="399"/>
      <c r="L180" s="399"/>
      <c r="M180" s="404"/>
      <c r="N180" s="401" t="str">
        <f aca="false">IF(A180="N/A"," ",VLOOKUP(A180,PeakPowerCurves,(IF(BMO3=2,3,IF(BMO3=1,2,4))),FALSE()))</f>
        <v> </v>
      </c>
      <c r="O180" s="401" t="str">
        <f aca="false">IF(A180="N/A"," ",VLOOKUP(A180,SatSunPeakPwr,(IF(BMO3=2,3,IF(BMO3=1,2,4))),FALSE()))</f>
        <v> </v>
      </c>
      <c r="P180" s="401" t="str">
        <f aca="false">IF(A180="N/A"," ",VLOOKUP(A180,SatSunPeakPwr,(IF(BMO3=2,7,IF(BMO3=1,6,8))),FALSE()))</f>
        <v> </v>
      </c>
      <c r="Q180" s="402" t="str">
        <f aca="false">IF(A180="N/A"," ",(VLOOKUP(A180,OPPowerPrices,(IF(BMO3=2,7,IF(BMO3=1,6,8))),FALSE())))</f>
        <v> </v>
      </c>
      <c r="R180" s="403" t="str">
        <f aca="false">IF(A180="N/A"," ",(VLOOKUP($A180,IRTable,2)))</f>
        <v> </v>
      </c>
      <c r="AF180" s="352" t="n">
        <v>41913</v>
      </c>
      <c r="AG180" s="311" t="n">
        <v>23</v>
      </c>
      <c r="AH180" s="311" t="n">
        <v>4</v>
      </c>
      <c r="AI180" s="311" t="n">
        <v>4</v>
      </c>
      <c r="AJ180" s="311" t="n">
        <v>0</v>
      </c>
      <c r="AK180" s="311" t="n">
        <v>31</v>
      </c>
      <c r="AU180" s="406"/>
    </row>
    <row r="181" customFormat="false" ht="12.75" hidden="false" customHeight="false" outlineLevel="0" collapsed="false">
      <c r="A181" s="352" t="str">
        <f aca="false">Option3!A148</f>
        <v>N/A</v>
      </c>
      <c r="B181" s="396" t="str">
        <f aca="false">IF(A181="N/A"," ",IF(ISERROR(N181),B169*Pwresc,N181)*VLOOKUP(MONTH(A181),Curveadj,3))</f>
        <v> </v>
      </c>
      <c r="C181" s="397" t="str">
        <f aca="false">IF(A181="N/A"," ",(IF(AND(Scaler3=1,MONTH(A181)&gt;=6,MONTH(A181)&lt;=8,OR($M$37="REGION 2",$M$37="REGION 2A",$M$37="REGION 2B",$M$37="REGION 3",$M$37="REGION 3A",$M$37="REGION 3B",$M$37="REGION 3C",$M$37="REGION 4",$M$37="REGION 4B",$M$37="REGION 4C",$M$37="REGION 5",$M$37="REGION 5A")),((0.059228/(B181/100))-(0.4980013/(SQRT(B181/100)))+2.137988),HLOOKUP(MONTH(A181),ScalarTable,28))))</f>
        <v> </v>
      </c>
      <c r="D181" s="398" t="str">
        <f aca="false">IF(A181="N/A"," ",C181*B181)</f>
        <v> </v>
      </c>
      <c r="E181" s="396" t="str">
        <f aca="false">IF(A181="N/A"," ",IF(ISERROR(O181),E169*Pwresc,O181)*VLOOKUP(MONTH(A181),Curveadj,3))</f>
        <v> </v>
      </c>
      <c r="F181" s="398" t="str">
        <f aca="false">IF(A181="N/A"," ",E181*C181)</f>
        <v> </v>
      </c>
      <c r="G181" s="396" t="str">
        <f aca="false">IF(A181="N/A"," ",IF(ISERROR(P181),G169*Pwresc,P181)*VLOOKUP(MONTH(A181),Curveadj,3))</f>
        <v> </v>
      </c>
      <c r="H181" s="398" t="str">
        <f aca="false">IF(A181="N/A"," ",G181*C181)</f>
        <v> </v>
      </c>
      <c r="I181" s="398" t="str">
        <f aca="false">IF(A181="N/A"," ",IF(ISERROR(Q181),I169*Pwresc,Q181))</f>
        <v> </v>
      </c>
      <c r="J181" s="398"/>
      <c r="K181" s="399"/>
      <c r="L181" s="399"/>
      <c r="M181" s="404"/>
      <c r="N181" s="401" t="str">
        <f aca="false">IF(A181="N/A"," ",VLOOKUP(A181,PeakPowerCurves,(IF(BMO3=2,3,IF(BMO3=1,2,4))),FALSE()))</f>
        <v> </v>
      </c>
      <c r="O181" s="401" t="str">
        <f aca="false">IF(A181="N/A"," ",VLOOKUP(A181,SatSunPeakPwr,(IF(BMO3=2,3,IF(BMO3=1,2,4))),FALSE()))</f>
        <v> </v>
      </c>
      <c r="P181" s="401" t="str">
        <f aca="false">IF(A181="N/A"," ",VLOOKUP(A181,SatSunPeakPwr,(IF(BMO3=2,7,IF(BMO3=1,6,8))),FALSE()))</f>
        <v> </v>
      </c>
      <c r="Q181" s="402" t="str">
        <f aca="false">IF(A181="N/A"," ",(VLOOKUP(A181,OPPowerPrices,(IF(BMO3=2,7,IF(BMO3=1,6,8))),FALSE())))</f>
        <v> </v>
      </c>
      <c r="R181" s="403" t="str">
        <f aca="false">IF(A181="N/A"," ",(VLOOKUP($A181,IRTable,2)))</f>
        <v> </v>
      </c>
      <c r="AF181" s="352" t="n">
        <v>41944</v>
      </c>
      <c r="AG181" s="311" t="n">
        <v>19</v>
      </c>
      <c r="AH181" s="311" t="n">
        <v>5</v>
      </c>
      <c r="AI181" s="311" t="n">
        <v>6</v>
      </c>
      <c r="AJ181" s="311" t="n">
        <v>1</v>
      </c>
      <c r="AK181" s="311" t="n">
        <v>30</v>
      </c>
      <c r="AU181" s="406"/>
    </row>
    <row r="182" customFormat="false" ht="12.75" hidden="false" customHeight="false" outlineLevel="0" collapsed="false">
      <c r="A182" s="352" t="str">
        <f aca="false">Option3!A149</f>
        <v>N/A</v>
      </c>
      <c r="B182" s="396" t="str">
        <f aca="false">IF(A182="N/A"," ",IF(ISERROR(N182),B170*Pwresc,N182)*VLOOKUP(MONTH(A182),Curveadj,3))</f>
        <v> </v>
      </c>
      <c r="C182" s="397" t="str">
        <f aca="false">IF(A182="N/A"," ",(IF(AND(Scaler3=1,MONTH(A182)&gt;=6,MONTH(A182)&lt;=8,OR($M$37="REGION 2",$M$37="REGION 2A",$M$37="REGION 2B",$M$37="REGION 3",$M$37="REGION 3A",$M$37="REGION 3B",$M$37="REGION 3C",$M$37="REGION 4",$M$37="REGION 4B",$M$37="REGION 4C",$M$37="REGION 5",$M$37="REGION 5A")),((0.059228/(B182/100))-(0.4980013/(SQRT(B182/100)))+2.137988),HLOOKUP(MONTH(A182),ScalarTable,28))))</f>
        <v> </v>
      </c>
      <c r="D182" s="398" t="str">
        <f aca="false">IF(A182="N/A"," ",C182*B182)</f>
        <v> </v>
      </c>
      <c r="E182" s="396" t="str">
        <f aca="false">IF(A182="N/A"," ",IF(ISERROR(O182),E170*Pwresc,O182)*VLOOKUP(MONTH(A182),Curveadj,3))</f>
        <v> </v>
      </c>
      <c r="F182" s="398" t="str">
        <f aca="false">IF(A182="N/A"," ",E182*C182)</f>
        <v> </v>
      </c>
      <c r="G182" s="396" t="str">
        <f aca="false">IF(A182="N/A"," ",IF(ISERROR(P182),G170*Pwresc,P182)*VLOOKUP(MONTH(A182),Curveadj,3))</f>
        <v> </v>
      </c>
      <c r="H182" s="398" t="str">
        <f aca="false">IF(A182="N/A"," ",G182*C182)</f>
        <v> </v>
      </c>
      <c r="I182" s="398" t="str">
        <f aca="false">IF(A182="N/A"," ",IF(ISERROR(Q182),I170*Pwresc,Q182))</f>
        <v> </v>
      </c>
      <c r="J182" s="398"/>
      <c r="K182" s="399"/>
      <c r="L182" s="399"/>
      <c r="M182" s="404"/>
      <c r="N182" s="401" t="str">
        <f aca="false">IF(A182="N/A"," ",VLOOKUP(A182,PeakPowerCurves,(IF(BMO3=2,3,IF(BMO3=1,2,4))),FALSE()))</f>
        <v> </v>
      </c>
      <c r="O182" s="401" t="str">
        <f aca="false">IF(A182="N/A"," ",VLOOKUP(A182,SatSunPeakPwr,(IF(BMO3=2,3,IF(BMO3=1,2,4))),FALSE()))</f>
        <v> </v>
      </c>
      <c r="P182" s="401" t="str">
        <f aca="false">IF(A182="N/A"," ",VLOOKUP(A182,SatSunPeakPwr,(IF(BMO3=2,7,IF(BMO3=1,6,8))),FALSE()))</f>
        <v> </v>
      </c>
      <c r="Q182" s="402" t="str">
        <f aca="false">IF(A182="N/A"," ",(VLOOKUP(A182,OPPowerPrices,(IF(BMO3=2,7,IF(BMO3=1,6,8))),FALSE())))</f>
        <v> </v>
      </c>
      <c r="R182" s="403" t="str">
        <f aca="false">IF(A182="N/A"," ",(VLOOKUP($A182,IRTable,2)))</f>
        <v> </v>
      </c>
      <c r="AF182" s="352" t="n">
        <v>41974</v>
      </c>
      <c r="AG182" s="311" t="n">
        <v>22</v>
      </c>
      <c r="AH182" s="311" t="n">
        <v>4</v>
      </c>
      <c r="AI182" s="311" t="n">
        <v>5</v>
      </c>
      <c r="AJ182" s="311" t="n">
        <v>1</v>
      </c>
      <c r="AK182" s="311" t="n">
        <v>31</v>
      </c>
      <c r="AU182" s="406"/>
    </row>
    <row r="183" customFormat="false" ht="12.75" hidden="false" customHeight="false" outlineLevel="0" collapsed="false">
      <c r="A183" s="352" t="str">
        <f aca="false">Option3!A150</f>
        <v>N/A</v>
      </c>
      <c r="B183" s="396" t="str">
        <f aca="false">IF(A183="N/A"," ",IF(ISERROR(N183),B171*Pwresc,N183)*VLOOKUP(MONTH(A183),Curveadj,3))</f>
        <v> </v>
      </c>
      <c r="C183" s="397" t="str">
        <f aca="false">IF(A183="N/A"," ",(IF(AND(Scaler3=1,MONTH(A183)&gt;=6,MONTH(A183)&lt;=8,OR($M$37="REGION 2",$M$37="REGION 2A",$M$37="REGION 2B",$M$37="REGION 3",$M$37="REGION 3A",$M$37="REGION 3B",$M$37="REGION 3C",$M$37="REGION 4",$M$37="REGION 4B",$M$37="REGION 4C",$M$37="REGION 5",$M$37="REGION 5A")),((0.059228/(B183/100))-(0.4980013/(SQRT(B183/100)))+2.137988),HLOOKUP(MONTH(A183),ScalarTable,28))))</f>
        <v> </v>
      </c>
      <c r="D183" s="398" t="str">
        <f aca="false">IF(A183="N/A"," ",C183*B183)</f>
        <v> </v>
      </c>
      <c r="E183" s="396" t="str">
        <f aca="false">IF(A183="N/A"," ",IF(ISERROR(O183),E171*Pwresc,O183)*VLOOKUP(MONTH(A183),Curveadj,3))</f>
        <v> </v>
      </c>
      <c r="F183" s="398" t="str">
        <f aca="false">IF(A183="N/A"," ",E183*C183)</f>
        <v> </v>
      </c>
      <c r="G183" s="396" t="str">
        <f aca="false">IF(A183="N/A"," ",IF(ISERROR(P183),G171*Pwresc,P183)*VLOOKUP(MONTH(A183),Curveadj,3))</f>
        <v> </v>
      </c>
      <c r="H183" s="398" t="str">
        <f aca="false">IF(A183="N/A"," ",G183*C183)</f>
        <v> </v>
      </c>
      <c r="I183" s="398" t="str">
        <f aca="false">IF(A183="N/A"," ",IF(ISERROR(Q183),I171*Pwresc,Q183))</f>
        <v> </v>
      </c>
      <c r="J183" s="398"/>
      <c r="K183" s="399"/>
      <c r="L183" s="399"/>
      <c r="M183" s="404"/>
      <c r="N183" s="401" t="str">
        <f aca="false">IF(A183="N/A"," ",VLOOKUP(A183,PeakPowerCurves,(IF(BMO3=2,3,IF(BMO3=1,2,4))),FALSE()))</f>
        <v> </v>
      </c>
      <c r="O183" s="401" t="str">
        <f aca="false">IF(A183="N/A"," ",VLOOKUP(A183,SatSunPeakPwr,(IF(BMO3=2,3,IF(BMO3=1,2,4))),FALSE()))</f>
        <v> </v>
      </c>
      <c r="P183" s="401" t="str">
        <f aca="false">IF(A183="N/A"," ",VLOOKUP(A183,SatSunPeakPwr,(IF(BMO3=2,7,IF(BMO3=1,6,8))),FALSE()))</f>
        <v> </v>
      </c>
      <c r="Q183" s="402" t="str">
        <f aca="false">IF(A183="N/A"," ",(VLOOKUP(A183,OPPowerPrices,(IF(BMO3=2,7,IF(BMO3=1,6,8))),FALSE())))</f>
        <v> </v>
      </c>
      <c r="R183" s="403" t="str">
        <f aca="false">IF(A183="N/A"," ",(VLOOKUP($A183,IRTable,2)))</f>
        <v> </v>
      </c>
      <c r="AF183" s="352" t="n">
        <v>42005</v>
      </c>
      <c r="AG183" s="311" t="n">
        <v>21</v>
      </c>
      <c r="AH183" s="311" t="n">
        <v>5</v>
      </c>
      <c r="AI183" s="311" t="n">
        <v>5</v>
      </c>
      <c r="AJ183" s="311" t="n">
        <v>1</v>
      </c>
      <c r="AK183" s="311" t="n">
        <v>31</v>
      </c>
      <c r="AU183" s="406"/>
    </row>
    <row r="184" customFormat="false" ht="12.75" hidden="false" customHeight="false" outlineLevel="0" collapsed="false">
      <c r="A184" s="352" t="str">
        <f aca="false">Option3!A151</f>
        <v>N/A</v>
      </c>
      <c r="B184" s="396" t="str">
        <f aca="false">IF(A184="N/A"," ",IF(ISERROR(N184),B172*Pwresc,N184)*VLOOKUP(MONTH(A184),Curveadj,3))</f>
        <v> </v>
      </c>
      <c r="C184" s="397" t="str">
        <f aca="false">IF(A184="N/A"," ",(IF(AND(Scaler3=1,MONTH(A184)&gt;=6,MONTH(A184)&lt;=8,OR($M$37="REGION 2",$M$37="REGION 2A",$M$37="REGION 2B",$M$37="REGION 3",$M$37="REGION 3A",$M$37="REGION 3B",$M$37="REGION 3C",$M$37="REGION 4",$M$37="REGION 4B",$M$37="REGION 4C",$M$37="REGION 5",$M$37="REGION 5A")),((0.059228/(B184/100))-(0.4980013/(SQRT(B184/100)))+2.137988),HLOOKUP(MONTH(A184),ScalarTable,28))))</f>
        <v> </v>
      </c>
      <c r="D184" s="398" t="str">
        <f aca="false">IF(A184="N/A"," ",C184*B184)</f>
        <v> </v>
      </c>
      <c r="E184" s="396" t="str">
        <f aca="false">IF(A184="N/A"," ",IF(ISERROR(O184),E172*Pwresc,O184)*VLOOKUP(MONTH(A184),Curveadj,3))</f>
        <v> </v>
      </c>
      <c r="F184" s="398" t="str">
        <f aca="false">IF(A184="N/A"," ",E184*C184)</f>
        <v> </v>
      </c>
      <c r="G184" s="396" t="str">
        <f aca="false">IF(A184="N/A"," ",IF(ISERROR(P184),G172*Pwresc,P184)*VLOOKUP(MONTH(A184),Curveadj,3))</f>
        <v> </v>
      </c>
      <c r="H184" s="398" t="str">
        <f aca="false">IF(A184="N/A"," ",G184*C184)</f>
        <v> </v>
      </c>
      <c r="I184" s="398" t="str">
        <f aca="false">IF(A184="N/A"," ",IF(ISERROR(Q184),I172*Pwresc,Q184))</f>
        <v> </v>
      </c>
      <c r="J184" s="398"/>
      <c r="K184" s="399"/>
      <c r="L184" s="399"/>
      <c r="M184" s="404"/>
      <c r="N184" s="401" t="str">
        <f aca="false">IF(A184="N/A"," ",VLOOKUP(A184,PeakPowerCurves,(IF(BMO3=2,3,IF(BMO3=1,2,4))),FALSE()))</f>
        <v> </v>
      </c>
      <c r="O184" s="401" t="str">
        <f aca="false">IF(A184="N/A"," ",VLOOKUP(A184,SatSunPeakPwr,(IF(BMO3=2,3,IF(BMO3=1,2,4))),FALSE()))</f>
        <v> </v>
      </c>
      <c r="P184" s="401" t="str">
        <f aca="false">IF(A184="N/A"," ",VLOOKUP(A184,SatSunPeakPwr,(IF(BMO3=2,7,IF(BMO3=1,6,8))),FALSE()))</f>
        <v> </v>
      </c>
      <c r="Q184" s="402" t="str">
        <f aca="false">IF(A184="N/A"," ",(VLOOKUP(A184,OPPowerPrices,(IF(BMO3=2,7,IF(BMO3=1,6,8))),FALSE())))</f>
        <v> </v>
      </c>
      <c r="R184" s="403" t="str">
        <f aca="false">IF(A184="N/A"," ",(VLOOKUP($A184,IRTable,2)))</f>
        <v> </v>
      </c>
      <c r="AF184" s="352" t="n">
        <v>42036</v>
      </c>
      <c r="AG184" s="311" t="n">
        <v>20</v>
      </c>
      <c r="AH184" s="311" t="n">
        <v>4</v>
      </c>
      <c r="AI184" s="311" t="n">
        <v>4</v>
      </c>
      <c r="AJ184" s="311" t="n">
        <v>0</v>
      </c>
      <c r="AK184" s="311" t="n">
        <v>28</v>
      </c>
      <c r="AU184" s="406"/>
    </row>
    <row r="185" customFormat="false" ht="12.75" hidden="false" customHeight="false" outlineLevel="0" collapsed="false">
      <c r="A185" s="352" t="str">
        <f aca="false">Option3!A152</f>
        <v>N/A</v>
      </c>
      <c r="B185" s="396" t="str">
        <f aca="false">IF(A185="N/A"," ",IF(ISERROR(N185),B173*Pwresc,N185)*VLOOKUP(MONTH(A185),Curveadj,3))</f>
        <v> </v>
      </c>
      <c r="C185" s="397" t="str">
        <f aca="false">IF(A185="N/A"," ",(IF(AND(Scaler3=1,MONTH(A185)&gt;=6,MONTH(A185)&lt;=8,OR($M$37="REGION 2",$M$37="REGION 2A",$M$37="REGION 2B",$M$37="REGION 3",$M$37="REGION 3A",$M$37="REGION 3B",$M$37="REGION 3C",$M$37="REGION 4",$M$37="REGION 4B",$M$37="REGION 4C",$M$37="REGION 5",$M$37="REGION 5A")),((0.059228/(B185/100))-(0.4980013/(SQRT(B185/100)))+2.137988),HLOOKUP(MONTH(A185),ScalarTable,28))))</f>
        <v> </v>
      </c>
      <c r="D185" s="398" t="str">
        <f aca="false">IF(A185="N/A"," ",C185*B185)</f>
        <v> </v>
      </c>
      <c r="E185" s="396" t="str">
        <f aca="false">IF(A185="N/A"," ",IF(ISERROR(O185),E173*Pwresc,O185)*VLOOKUP(MONTH(A185),Curveadj,3))</f>
        <v> </v>
      </c>
      <c r="F185" s="398" t="str">
        <f aca="false">IF(A185="N/A"," ",E185*C185)</f>
        <v> </v>
      </c>
      <c r="G185" s="396" t="str">
        <f aca="false">IF(A185="N/A"," ",IF(ISERROR(P185),G173*Pwresc,P185)*VLOOKUP(MONTH(A185),Curveadj,3))</f>
        <v> </v>
      </c>
      <c r="H185" s="398" t="str">
        <f aca="false">IF(A185="N/A"," ",G185*C185)</f>
        <v> </v>
      </c>
      <c r="I185" s="398" t="str">
        <f aca="false">IF(A185="N/A"," ",IF(ISERROR(Q185),I173*Pwresc,Q185))</f>
        <v> </v>
      </c>
      <c r="J185" s="398"/>
      <c r="K185" s="399"/>
      <c r="L185" s="399"/>
      <c r="M185" s="404"/>
      <c r="N185" s="401" t="str">
        <f aca="false">IF(A185="N/A"," ",VLOOKUP(A185,PeakPowerCurves,(IF(BMO3=2,3,IF(BMO3=1,2,4))),FALSE()))</f>
        <v> </v>
      </c>
      <c r="O185" s="401" t="str">
        <f aca="false">IF(A185="N/A"," ",VLOOKUP(A185,SatSunPeakPwr,(IF(BMO3=2,3,IF(BMO3=1,2,4))),FALSE()))</f>
        <v> </v>
      </c>
      <c r="P185" s="401" t="str">
        <f aca="false">IF(A185="N/A"," ",VLOOKUP(A185,SatSunPeakPwr,(IF(BMO3=2,7,IF(BMO3=1,6,8))),FALSE()))</f>
        <v> </v>
      </c>
      <c r="Q185" s="402" t="str">
        <f aca="false">IF(A185="N/A"," ",(VLOOKUP(A185,OPPowerPrices,(IF(BMO3=2,7,IF(BMO3=1,6,8))),FALSE())))</f>
        <v> </v>
      </c>
      <c r="R185" s="403" t="str">
        <f aca="false">IF(A185="N/A"," ",(VLOOKUP($A185,IRTable,2)))</f>
        <v> </v>
      </c>
      <c r="AF185" s="352" t="n">
        <v>42064</v>
      </c>
      <c r="AG185" s="311" t="n">
        <v>22</v>
      </c>
      <c r="AH185" s="311" t="n">
        <v>4</v>
      </c>
      <c r="AI185" s="311" t="n">
        <v>5</v>
      </c>
      <c r="AJ185" s="311" t="n">
        <v>0</v>
      </c>
      <c r="AK185" s="311" t="n">
        <v>31</v>
      </c>
      <c r="AU185" s="406"/>
    </row>
    <row r="186" customFormat="false" ht="12.75" hidden="false" customHeight="false" outlineLevel="0" collapsed="false">
      <c r="A186" s="352" t="str">
        <f aca="false">Option3!A153</f>
        <v>N/A</v>
      </c>
      <c r="B186" s="396" t="str">
        <f aca="false">IF(A186="N/A"," ",IF(ISERROR(N186),B174*Pwresc,N186)*VLOOKUP(MONTH(A186),Curveadj,3))</f>
        <v> </v>
      </c>
      <c r="C186" s="397" t="str">
        <f aca="false">IF(A186="N/A"," ",(IF(AND(Scaler3=1,MONTH(A186)&gt;=6,MONTH(A186)&lt;=8,OR($M$37="REGION 2",$M$37="REGION 2A",$M$37="REGION 2B",$M$37="REGION 3",$M$37="REGION 3A",$M$37="REGION 3B",$M$37="REGION 3C",$M$37="REGION 4",$M$37="REGION 4B",$M$37="REGION 4C",$M$37="REGION 5",$M$37="REGION 5A")),((0.059228/(B186/100))-(0.4980013/(SQRT(B186/100)))+2.137988),HLOOKUP(MONTH(A186),ScalarTable,28))))</f>
        <v> </v>
      </c>
      <c r="D186" s="398" t="str">
        <f aca="false">IF(A186="N/A"," ",C186*B186)</f>
        <v> </v>
      </c>
      <c r="E186" s="396" t="str">
        <f aca="false">IF(A186="N/A"," ",IF(ISERROR(O186),E174*Pwresc,O186)*VLOOKUP(MONTH(A186),Curveadj,3))</f>
        <v> </v>
      </c>
      <c r="F186" s="398" t="str">
        <f aca="false">IF(A186="N/A"," ",E186*C186)</f>
        <v> </v>
      </c>
      <c r="G186" s="396" t="str">
        <f aca="false">IF(A186="N/A"," ",IF(ISERROR(P186),G174*Pwresc,P186)*VLOOKUP(MONTH(A186),Curveadj,3))</f>
        <v> </v>
      </c>
      <c r="H186" s="398" t="str">
        <f aca="false">IF(A186="N/A"," ",G186*C186)</f>
        <v> </v>
      </c>
      <c r="I186" s="398" t="str">
        <f aca="false">IF(A186="N/A"," ",IF(ISERROR(Q186),I174*Pwresc,Q186))</f>
        <v> </v>
      </c>
      <c r="J186" s="398"/>
      <c r="K186" s="399"/>
      <c r="L186" s="399"/>
      <c r="M186" s="404"/>
      <c r="N186" s="401" t="str">
        <f aca="false">IF(A186="N/A"," ",VLOOKUP(A186,PeakPowerCurves,(IF(BMO3=2,3,IF(BMO3=1,2,4))),FALSE()))</f>
        <v> </v>
      </c>
      <c r="O186" s="401" t="str">
        <f aca="false">IF(A186="N/A"," ",VLOOKUP(A186,SatSunPeakPwr,(IF(BMO3=2,3,IF(BMO3=1,2,4))),FALSE()))</f>
        <v> </v>
      </c>
      <c r="P186" s="401" t="str">
        <f aca="false">IF(A186="N/A"," ",VLOOKUP(A186,SatSunPeakPwr,(IF(BMO3=2,7,IF(BMO3=1,6,8))),FALSE()))</f>
        <v> </v>
      </c>
      <c r="Q186" s="402" t="str">
        <f aca="false">IF(A186="N/A"," ",(VLOOKUP(A186,OPPowerPrices,(IF(BMO3=2,7,IF(BMO3=1,6,8))),FALSE())))</f>
        <v> </v>
      </c>
      <c r="R186" s="403" t="str">
        <f aca="false">IF(A186="N/A"," ",(VLOOKUP($A186,IRTable,2)))</f>
        <v> </v>
      </c>
      <c r="AF186" s="352" t="n">
        <v>42095</v>
      </c>
      <c r="AG186" s="311" t="n">
        <v>22</v>
      </c>
      <c r="AH186" s="311" t="n">
        <v>4</v>
      </c>
      <c r="AI186" s="311" t="n">
        <v>4</v>
      </c>
      <c r="AJ186" s="311" t="n">
        <v>0</v>
      </c>
      <c r="AK186" s="311" t="n">
        <v>30</v>
      </c>
      <c r="AU186" s="406"/>
    </row>
    <row r="187" customFormat="false" ht="12.75" hidden="false" customHeight="false" outlineLevel="0" collapsed="false">
      <c r="A187" s="352" t="str">
        <f aca="false">Option3!A154</f>
        <v>N/A</v>
      </c>
      <c r="B187" s="396" t="str">
        <f aca="false">IF(A187="N/A"," ",IF(ISERROR(N187),B175*Pwresc,N187)*VLOOKUP(MONTH(A187),Curveadj,3))</f>
        <v> </v>
      </c>
      <c r="C187" s="397" t="str">
        <f aca="false">IF(A187="N/A"," ",(IF(AND(Scaler3=1,MONTH(A187)&gt;=6,MONTH(A187)&lt;=8,OR($M$37="REGION 2",$M$37="REGION 2A",$M$37="REGION 2B",$M$37="REGION 3",$M$37="REGION 3A",$M$37="REGION 3B",$M$37="REGION 3C",$M$37="REGION 4",$M$37="REGION 4B",$M$37="REGION 4C",$M$37="REGION 5",$M$37="REGION 5A")),((0.059228/(B187/100))-(0.4980013/(SQRT(B187/100)))+2.137988),HLOOKUP(MONTH(A187),ScalarTable,28))))</f>
        <v> </v>
      </c>
      <c r="D187" s="398" t="str">
        <f aca="false">IF(A187="N/A"," ",C187*B187)</f>
        <v> </v>
      </c>
      <c r="E187" s="396" t="str">
        <f aca="false">IF(A187="N/A"," ",IF(ISERROR(O187),E175*Pwresc,O187)*VLOOKUP(MONTH(A187),Curveadj,3))</f>
        <v> </v>
      </c>
      <c r="F187" s="398" t="str">
        <f aca="false">IF(A187="N/A"," ",E187*C187)</f>
        <v> </v>
      </c>
      <c r="G187" s="396" t="str">
        <f aca="false">IF(A187="N/A"," ",IF(ISERROR(P187),G175*Pwresc,P187)*VLOOKUP(MONTH(A187),Curveadj,3))</f>
        <v> </v>
      </c>
      <c r="H187" s="398" t="str">
        <f aca="false">IF(A187="N/A"," ",G187*C187)</f>
        <v> </v>
      </c>
      <c r="I187" s="398" t="str">
        <f aca="false">IF(A187="N/A"," ",IF(ISERROR(Q187),I175*Pwresc,Q187))</f>
        <v> </v>
      </c>
      <c r="J187" s="398"/>
      <c r="K187" s="399"/>
      <c r="L187" s="399"/>
      <c r="M187" s="404"/>
      <c r="N187" s="401" t="str">
        <f aca="false">IF(A187="N/A"," ",VLOOKUP(A187,PeakPowerCurves,(IF(BMO3=2,3,IF(BMO3=1,2,4))),FALSE()))</f>
        <v> </v>
      </c>
      <c r="O187" s="401" t="str">
        <f aca="false">IF(A187="N/A"," ",VLOOKUP(A187,SatSunPeakPwr,(IF(BMO3=2,3,IF(BMO3=1,2,4))),FALSE()))</f>
        <v> </v>
      </c>
      <c r="P187" s="401" t="str">
        <f aca="false">IF(A187="N/A"," ",VLOOKUP(A187,SatSunPeakPwr,(IF(BMO3=2,7,IF(BMO3=1,6,8))),FALSE()))</f>
        <v> </v>
      </c>
      <c r="Q187" s="402" t="str">
        <f aca="false">IF(A187="N/A"," ",(VLOOKUP(A187,OPPowerPrices,(IF(BMO3=2,7,IF(BMO3=1,6,8))),FALSE())))</f>
        <v> </v>
      </c>
      <c r="R187" s="403" t="str">
        <f aca="false">IF(A187="N/A"," ",(VLOOKUP($A187,IRTable,2)))</f>
        <v> </v>
      </c>
      <c r="AF187" s="352" t="n">
        <v>42125</v>
      </c>
      <c r="AG187" s="311" t="n">
        <v>20</v>
      </c>
      <c r="AH187" s="311" t="n">
        <v>5</v>
      </c>
      <c r="AI187" s="311" t="n">
        <v>6</v>
      </c>
      <c r="AJ187" s="311" t="n">
        <v>1</v>
      </c>
      <c r="AK187" s="311" t="n">
        <v>31</v>
      </c>
      <c r="AU187" s="406"/>
    </row>
    <row r="188" customFormat="false" ht="12.75" hidden="false" customHeight="false" outlineLevel="0" collapsed="false">
      <c r="A188" s="352" t="str">
        <f aca="false">Option3!A155</f>
        <v>N/A</v>
      </c>
      <c r="B188" s="396" t="str">
        <f aca="false">IF(A188="N/A"," ",IF(ISERROR(N188),B176*Pwresc,N188)*VLOOKUP(MONTH(A188),Curveadj,3))</f>
        <v> </v>
      </c>
      <c r="C188" s="397" t="str">
        <f aca="false">IF(A188="N/A"," ",(IF(AND(Scaler3=1,MONTH(A188)&gt;=6,MONTH(A188)&lt;=8,OR($M$37="REGION 2",$M$37="REGION 2A",$M$37="REGION 2B",$M$37="REGION 3",$M$37="REGION 3A",$M$37="REGION 3B",$M$37="REGION 3C",$M$37="REGION 4",$M$37="REGION 4B",$M$37="REGION 4C",$M$37="REGION 5",$M$37="REGION 5A")),((0.059228/(B188/100))-(0.4980013/(SQRT(B188/100)))+2.137988),HLOOKUP(MONTH(A188),ScalarTable,28))))</f>
        <v> </v>
      </c>
      <c r="D188" s="398" t="str">
        <f aca="false">IF(A188="N/A"," ",C188*B188)</f>
        <v> </v>
      </c>
      <c r="E188" s="396" t="str">
        <f aca="false">IF(A188="N/A"," ",IF(ISERROR(O188),E176*Pwresc,O188)*VLOOKUP(MONTH(A188),Curveadj,3))</f>
        <v> </v>
      </c>
      <c r="F188" s="398" t="str">
        <f aca="false">IF(A188="N/A"," ",E188*C188)</f>
        <v> </v>
      </c>
      <c r="G188" s="396" t="str">
        <f aca="false">IF(A188="N/A"," ",IF(ISERROR(P188),G176*Pwresc,P188)*VLOOKUP(MONTH(A188),Curveadj,3))</f>
        <v> </v>
      </c>
      <c r="H188" s="398" t="str">
        <f aca="false">IF(A188="N/A"," ",G188*C188)</f>
        <v> </v>
      </c>
      <c r="I188" s="398" t="str">
        <f aca="false">IF(A188="N/A"," ",IF(ISERROR(Q188),I176*Pwresc,Q188))</f>
        <v> </v>
      </c>
      <c r="J188" s="398"/>
      <c r="K188" s="399"/>
      <c r="L188" s="399"/>
      <c r="M188" s="404"/>
      <c r="N188" s="401" t="str">
        <f aca="false">IF(A188="N/A"," ",VLOOKUP(A188,PeakPowerCurves,(IF(BMO3=2,3,IF(BMO3=1,2,4))),FALSE()))</f>
        <v> </v>
      </c>
      <c r="O188" s="401" t="str">
        <f aca="false">IF(A188="N/A"," ",VLOOKUP(A188,SatSunPeakPwr,(IF(BMO3=2,3,IF(BMO3=1,2,4))),FALSE()))</f>
        <v> </v>
      </c>
      <c r="P188" s="401" t="str">
        <f aca="false">IF(A188="N/A"," ",VLOOKUP(A188,SatSunPeakPwr,(IF(BMO3=2,7,IF(BMO3=1,6,8))),FALSE()))</f>
        <v> </v>
      </c>
      <c r="Q188" s="402" t="str">
        <f aca="false">IF(A188="N/A"," ",(VLOOKUP(A188,OPPowerPrices,(IF(BMO3=2,7,IF(BMO3=1,6,8))),FALSE())))</f>
        <v> </v>
      </c>
      <c r="R188" s="403" t="str">
        <f aca="false">IF(A188="N/A"," ",(VLOOKUP($A188,IRTable,2)))</f>
        <v> </v>
      </c>
      <c r="AF188" s="352" t="n">
        <v>42156</v>
      </c>
      <c r="AG188" s="311" t="n">
        <v>22</v>
      </c>
      <c r="AH188" s="311" t="n">
        <v>4</v>
      </c>
      <c r="AI188" s="311" t="n">
        <v>4</v>
      </c>
      <c r="AJ188" s="311" t="n">
        <v>0</v>
      </c>
      <c r="AK188" s="311" t="n">
        <v>30</v>
      </c>
      <c r="AU188" s="406"/>
    </row>
    <row r="189" customFormat="false" ht="12.75" hidden="false" customHeight="false" outlineLevel="0" collapsed="false">
      <c r="A189" s="352" t="str">
        <f aca="false">Option3!A156</f>
        <v>N/A</v>
      </c>
      <c r="B189" s="396" t="str">
        <f aca="false">IF(A189="N/A"," ",IF(ISERROR(N189),B177*Pwresc,N189)*VLOOKUP(MONTH(A189),Curveadj,3))</f>
        <v> </v>
      </c>
      <c r="C189" s="397" t="str">
        <f aca="false">IF(A189="N/A"," ",(IF(AND(Scaler3=1,MONTH(A189)&gt;=6,MONTH(A189)&lt;=8,OR($M$37="REGION 2",$M$37="REGION 2A",$M$37="REGION 2B",$M$37="REGION 3",$M$37="REGION 3A",$M$37="REGION 3B",$M$37="REGION 3C",$M$37="REGION 4",$M$37="REGION 4B",$M$37="REGION 4C",$M$37="REGION 5",$M$37="REGION 5A")),((0.059228/(B189/100))-(0.4980013/(SQRT(B189/100)))+2.137988),HLOOKUP(MONTH(A189),ScalarTable,28))))</f>
        <v> </v>
      </c>
      <c r="D189" s="398" t="str">
        <f aca="false">IF(A189="N/A"," ",C189*B189)</f>
        <v> </v>
      </c>
      <c r="E189" s="396" t="str">
        <f aca="false">IF(A189="N/A"," ",IF(ISERROR(O189),E177*Pwresc,O189)*VLOOKUP(MONTH(A189),Curveadj,3))</f>
        <v> </v>
      </c>
      <c r="F189" s="398" t="str">
        <f aca="false">IF(A189="N/A"," ",E189*C189)</f>
        <v> </v>
      </c>
      <c r="G189" s="396" t="str">
        <f aca="false">IF(A189="N/A"," ",IF(ISERROR(P189),G177*Pwresc,P189)*VLOOKUP(MONTH(A189),Curveadj,3))</f>
        <v> </v>
      </c>
      <c r="H189" s="398" t="str">
        <f aca="false">IF(A189="N/A"," ",G189*C189)</f>
        <v> </v>
      </c>
      <c r="I189" s="398" t="str">
        <f aca="false">IF(A189="N/A"," ",IF(ISERROR(Q189),I177*Pwresc,Q189))</f>
        <v> </v>
      </c>
      <c r="J189" s="398"/>
      <c r="K189" s="399"/>
      <c r="L189" s="399"/>
      <c r="M189" s="404"/>
      <c r="N189" s="401" t="str">
        <f aca="false">IF(A189="N/A"," ",VLOOKUP(A189,PeakPowerCurves,(IF(BMO3=2,3,IF(BMO3=1,2,4))),FALSE()))</f>
        <v> </v>
      </c>
      <c r="O189" s="401" t="str">
        <f aca="false">IF(A189="N/A"," ",VLOOKUP(A189,SatSunPeakPwr,(IF(BMO3=2,3,IF(BMO3=1,2,4))),FALSE()))</f>
        <v> </v>
      </c>
      <c r="P189" s="401" t="str">
        <f aca="false">IF(A189="N/A"," ",VLOOKUP(A189,SatSunPeakPwr,(IF(BMO3=2,7,IF(BMO3=1,6,8))),FALSE()))</f>
        <v> </v>
      </c>
      <c r="Q189" s="402" t="str">
        <f aca="false">IF(A189="N/A"," ",(VLOOKUP(A189,OPPowerPrices,(IF(BMO3=2,7,IF(BMO3=1,6,8))),FALSE())))</f>
        <v> </v>
      </c>
      <c r="R189" s="403" t="str">
        <f aca="false">IF(A189="N/A"," ",(VLOOKUP($A189,IRTable,2)))</f>
        <v> </v>
      </c>
      <c r="AF189" s="352" t="n">
        <v>42186</v>
      </c>
      <c r="AG189" s="311" t="n">
        <v>23</v>
      </c>
      <c r="AH189" s="311" t="n">
        <v>3</v>
      </c>
      <c r="AI189" s="311" t="n">
        <v>5</v>
      </c>
      <c r="AJ189" s="311" t="n">
        <v>1</v>
      </c>
      <c r="AK189" s="311" t="n">
        <v>31</v>
      </c>
      <c r="AU189" s="406"/>
    </row>
    <row r="190" customFormat="false" ht="12.75" hidden="false" customHeight="false" outlineLevel="0" collapsed="false">
      <c r="A190" s="352" t="str">
        <f aca="false">Option3!A157</f>
        <v>N/A</v>
      </c>
      <c r="B190" s="396" t="str">
        <f aca="false">IF(A190="N/A"," ",IF(ISERROR(N190),B178*Pwresc,N190)*VLOOKUP(MONTH(A190),Curveadj,3))</f>
        <v> </v>
      </c>
      <c r="C190" s="397" t="str">
        <f aca="false">IF(A190="N/A"," ",(IF(AND(Scaler3=1,MONTH(A190)&gt;=6,MONTH(A190)&lt;=8,OR($M$37="REGION 2",$M$37="REGION 2A",$M$37="REGION 2B",$M$37="REGION 3",$M$37="REGION 3A",$M$37="REGION 3B",$M$37="REGION 3C",$M$37="REGION 4",$M$37="REGION 4B",$M$37="REGION 4C",$M$37="REGION 5",$M$37="REGION 5A")),((0.059228/(B190/100))-(0.4980013/(SQRT(B190/100)))+2.137988),HLOOKUP(MONTH(A190),ScalarTable,28))))</f>
        <v> </v>
      </c>
      <c r="D190" s="398" t="str">
        <f aca="false">IF(A190="N/A"," ",C190*B190)</f>
        <v> </v>
      </c>
      <c r="E190" s="396" t="str">
        <f aca="false">IF(A190="N/A"," ",IF(ISERROR(O190),E178*Pwresc,O190)*VLOOKUP(MONTH(A190),Curveadj,3))</f>
        <v> </v>
      </c>
      <c r="F190" s="398" t="str">
        <f aca="false">IF(A190="N/A"," ",E190*C190)</f>
        <v> </v>
      </c>
      <c r="G190" s="396" t="str">
        <f aca="false">IF(A190="N/A"," ",IF(ISERROR(P190),G178*Pwresc,P190)*VLOOKUP(MONTH(A190),Curveadj,3))</f>
        <v> </v>
      </c>
      <c r="H190" s="398" t="str">
        <f aca="false">IF(A190="N/A"," ",G190*C190)</f>
        <v> </v>
      </c>
      <c r="I190" s="398" t="str">
        <f aca="false">IF(A190="N/A"," ",IF(ISERROR(Q190),I178*Pwresc,Q190))</f>
        <v> </v>
      </c>
      <c r="J190" s="398"/>
      <c r="K190" s="399"/>
      <c r="L190" s="399"/>
      <c r="M190" s="404"/>
      <c r="N190" s="401" t="str">
        <f aca="false">IF(A190="N/A"," ",VLOOKUP(A190,PeakPowerCurves,(IF(BMO3=2,3,IF(BMO3=1,2,4))),FALSE()))</f>
        <v> </v>
      </c>
      <c r="O190" s="401" t="str">
        <f aca="false">IF(A190="N/A"," ",VLOOKUP(A190,SatSunPeakPwr,(IF(BMO3=2,3,IF(BMO3=1,2,4))),FALSE()))</f>
        <v> </v>
      </c>
      <c r="P190" s="401" t="str">
        <f aca="false">IF(A190="N/A"," ",VLOOKUP(A190,SatSunPeakPwr,(IF(BMO3=2,7,IF(BMO3=1,6,8))),FALSE()))</f>
        <v> </v>
      </c>
      <c r="Q190" s="402" t="str">
        <f aca="false">IF(A190="N/A"," ",(VLOOKUP(A190,OPPowerPrices,(IF(BMO3=2,7,IF(BMO3=1,6,8))),FALSE())))</f>
        <v> </v>
      </c>
      <c r="R190" s="403" t="str">
        <f aca="false">IF(A190="N/A"," ",(VLOOKUP($A190,IRTable,2)))</f>
        <v> </v>
      </c>
      <c r="AF190" s="352" t="n">
        <v>42217</v>
      </c>
      <c r="AG190" s="311" t="n">
        <v>21</v>
      </c>
      <c r="AH190" s="311" t="n">
        <v>5</v>
      </c>
      <c r="AI190" s="311" t="n">
        <v>5</v>
      </c>
      <c r="AJ190" s="311" t="n">
        <v>0</v>
      </c>
      <c r="AK190" s="311" t="n">
        <v>31</v>
      </c>
      <c r="AU190" s="406"/>
    </row>
    <row r="191" customFormat="false" ht="12.75" hidden="false" customHeight="false" outlineLevel="0" collapsed="false">
      <c r="A191" s="352" t="str">
        <f aca="false">Option3!A158</f>
        <v>N/A</v>
      </c>
      <c r="B191" s="396" t="str">
        <f aca="false">IF(A191="N/A"," ",IF(ISERROR(N191),B179*Pwresc,N191)*VLOOKUP(MONTH(A191),Curveadj,3))</f>
        <v> </v>
      </c>
      <c r="C191" s="397" t="str">
        <f aca="false">IF(A191="N/A"," ",(IF(AND(Scaler3=1,MONTH(A191)&gt;=6,MONTH(A191)&lt;=8,OR($M$37="REGION 2",$M$37="REGION 2A",$M$37="REGION 2B",$M$37="REGION 3",$M$37="REGION 3A",$M$37="REGION 3B",$M$37="REGION 3C",$M$37="REGION 4",$M$37="REGION 4B",$M$37="REGION 4C",$M$37="REGION 5",$M$37="REGION 5A")),((0.059228/(B191/100))-(0.4980013/(SQRT(B191/100)))+2.137988),HLOOKUP(MONTH(A191),ScalarTable,28))))</f>
        <v> </v>
      </c>
      <c r="D191" s="398" t="str">
        <f aca="false">IF(A191="N/A"," ",C191*B191)</f>
        <v> </v>
      </c>
      <c r="E191" s="396" t="str">
        <f aca="false">IF(A191="N/A"," ",IF(ISERROR(O191),E179*Pwresc,O191)*VLOOKUP(MONTH(A191),Curveadj,3))</f>
        <v> </v>
      </c>
      <c r="F191" s="398" t="str">
        <f aca="false">IF(A191="N/A"," ",E191*C191)</f>
        <v> </v>
      </c>
      <c r="G191" s="396" t="str">
        <f aca="false">IF(A191="N/A"," ",IF(ISERROR(P191),G179*Pwresc,P191)*VLOOKUP(MONTH(A191),Curveadj,3))</f>
        <v> </v>
      </c>
      <c r="H191" s="398" t="str">
        <f aca="false">IF(A191="N/A"," ",G191*C191)</f>
        <v> </v>
      </c>
      <c r="I191" s="398" t="str">
        <f aca="false">IF(A191="N/A"," ",IF(ISERROR(Q191),I179*Pwresc,Q191))</f>
        <v> </v>
      </c>
      <c r="J191" s="398"/>
      <c r="K191" s="399"/>
      <c r="L191" s="399"/>
      <c r="M191" s="404"/>
      <c r="N191" s="401" t="str">
        <f aca="false">IF(A191="N/A"," ",VLOOKUP(A191,PeakPowerCurves,(IF(BMO3=2,3,IF(BMO3=1,2,4))),FALSE()))</f>
        <v> </v>
      </c>
      <c r="O191" s="401" t="str">
        <f aca="false">IF(A191="N/A"," ",VLOOKUP(A191,SatSunPeakPwr,(IF(BMO3=2,3,IF(BMO3=1,2,4))),FALSE()))</f>
        <v> </v>
      </c>
      <c r="P191" s="401" t="str">
        <f aca="false">IF(A191="N/A"," ",VLOOKUP(A191,SatSunPeakPwr,(IF(BMO3=2,7,IF(BMO3=1,6,8))),FALSE()))</f>
        <v> </v>
      </c>
      <c r="Q191" s="402" t="str">
        <f aca="false">IF(A191="N/A"," ",(VLOOKUP(A191,OPPowerPrices,(IF(BMO3=2,7,IF(BMO3=1,6,8))),FALSE())))</f>
        <v> </v>
      </c>
      <c r="R191" s="403" t="str">
        <f aca="false">IF(A191="N/A"," ",(VLOOKUP($A191,IRTable,2)))</f>
        <v> </v>
      </c>
      <c r="AF191" s="352" t="n">
        <v>42248</v>
      </c>
      <c r="AG191" s="311" t="n">
        <v>21</v>
      </c>
      <c r="AH191" s="311" t="n">
        <v>4</v>
      </c>
      <c r="AI191" s="311" t="n">
        <v>5</v>
      </c>
      <c r="AJ191" s="311" t="n">
        <v>1</v>
      </c>
      <c r="AK191" s="311" t="n">
        <v>30</v>
      </c>
      <c r="AU191" s="406"/>
    </row>
    <row r="192" customFormat="false" ht="12.75" hidden="false" customHeight="false" outlineLevel="0" collapsed="false">
      <c r="A192" s="352" t="str">
        <f aca="false">Option3!A159</f>
        <v>N/A</v>
      </c>
      <c r="B192" s="396" t="str">
        <f aca="false">IF(A192="N/A"," ",IF(ISERROR(N192),B180*Pwresc,N192)*VLOOKUP(MONTH(A192),Curveadj,3))</f>
        <v> </v>
      </c>
      <c r="C192" s="397" t="str">
        <f aca="false">IF(A192="N/A"," ",(IF(AND(Scaler3=1,MONTH(A192)&gt;=6,MONTH(A192)&lt;=8,OR($M$37="REGION 2",$M$37="REGION 2A",$M$37="REGION 2B",$M$37="REGION 3",$M$37="REGION 3A",$M$37="REGION 3B",$M$37="REGION 3C",$M$37="REGION 4",$M$37="REGION 4B",$M$37="REGION 4C",$M$37="REGION 5",$M$37="REGION 5A")),((0.059228/(B192/100))-(0.4980013/(SQRT(B192/100)))+2.137988),HLOOKUP(MONTH(A192),ScalarTable,28))))</f>
        <v> </v>
      </c>
      <c r="D192" s="398" t="str">
        <f aca="false">IF(A192="N/A"," ",C192*B192)</f>
        <v> </v>
      </c>
      <c r="E192" s="396" t="str">
        <f aca="false">IF(A192="N/A"," ",IF(ISERROR(O192),E180*Pwresc,O192)*VLOOKUP(MONTH(A192),Curveadj,3))</f>
        <v> </v>
      </c>
      <c r="F192" s="398" t="str">
        <f aca="false">IF(A192="N/A"," ",E192*C192)</f>
        <v> </v>
      </c>
      <c r="G192" s="396" t="str">
        <f aca="false">IF(A192="N/A"," ",IF(ISERROR(P192),G180*Pwresc,P192)*VLOOKUP(MONTH(A192),Curveadj,3))</f>
        <v> </v>
      </c>
      <c r="H192" s="398" t="str">
        <f aca="false">IF(A192="N/A"," ",G192*C192)</f>
        <v> </v>
      </c>
      <c r="I192" s="398" t="str">
        <f aca="false">IF(A192="N/A"," ",IF(ISERROR(Q192),I180*Pwresc,Q192))</f>
        <v> </v>
      </c>
      <c r="J192" s="398"/>
      <c r="K192" s="399"/>
      <c r="L192" s="399"/>
      <c r="M192" s="404"/>
      <c r="N192" s="401" t="str">
        <f aca="false">IF(A192="N/A"," ",VLOOKUP(A192,PeakPowerCurves,(IF(BMO3=2,3,IF(BMO3=1,2,4))),FALSE()))</f>
        <v> </v>
      </c>
      <c r="O192" s="401" t="str">
        <f aca="false">IF(A192="N/A"," ",VLOOKUP(A192,SatSunPeakPwr,(IF(BMO3=2,3,IF(BMO3=1,2,4))),FALSE()))</f>
        <v> </v>
      </c>
      <c r="P192" s="401" t="str">
        <f aca="false">IF(A192="N/A"," ",VLOOKUP(A192,SatSunPeakPwr,(IF(BMO3=2,7,IF(BMO3=1,6,8))),FALSE()))</f>
        <v> </v>
      </c>
      <c r="Q192" s="402" t="str">
        <f aca="false">IF(A192="N/A"," ",(VLOOKUP(A192,OPPowerPrices,(IF(BMO3=2,7,IF(BMO3=1,6,8))),FALSE())))</f>
        <v> </v>
      </c>
      <c r="R192" s="403" t="str">
        <f aca="false">IF(A192="N/A"," ",(VLOOKUP($A192,IRTable,2)))</f>
        <v> </v>
      </c>
      <c r="AF192" s="352" t="n">
        <v>42278</v>
      </c>
      <c r="AG192" s="311" t="n">
        <v>22</v>
      </c>
      <c r="AH192" s="311" t="n">
        <v>5</v>
      </c>
      <c r="AI192" s="311" t="n">
        <v>4</v>
      </c>
      <c r="AJ192" s="311" t="n">
        <v>0</v>
      </c>
      <c r="AK192" s="311" t="n">
        <v>31</v>
      </c>
      <c r="AU192" s="406"/>
    </row>
    <row r="193" customFormat="false" ht="12.75" hidden="false" customHeight="false" outlineLevel="0" collapsed="false">
      <c r="A193" s="352" t="str">
        <f aca="false">Option3!A160</f>
        <v>N/A</v>
      </c>
      <c r="B193" s="396" t="str">
        <f aca="false">IF(A193="N/A"," ",IF(ISERROR(N193),B181*Pwresc,N193)*VLOOKUP(MONTH(A193),Curveadj,3))</f>
        <v> </v>
      </c>
      <c r="C193" s="397" t="str">
        <f aca="false">IF(A193="N/A"," ",(IF(AND(Scaler3=1,MONTH(A193)&gt;=6,MONTH(A193)&lt;=8,OR($M$37="REGION 2",$M$37="REGION 2A",$M$37="REGION 2B",$M$37="REGION 3",$M$37="REGION 3A",$M$37="REGION 3B",$M$37="REGION 3C",$M$37="REGION 4",$M$37="REGION 4B",$M$37="REGION 4C",$M$37="REGION 5",$M$37="REGION 5A")),((0.059228/(B193/100))-(0.4980013/(SQRT(B193/100)))+2.137988),HLOOKUP(MONTH(A193),ScalarTable,28))))</f>
        <v> </v>
      </c>
      <c r="D193" s="398" t="str">
        <f aca="false">IF(A193="N/A"," ",C193*B193)</f>
        <v> </v>
      </c>
      <c r="E193" s="396" t="str">
        <f aca="false">IF(A193="N/A"," ",IF(ISERROR(O193),E181*Pwresc,O193)*VLOOKUP(MONTH(A193),Curveadj,3))</f>
        <v> </v>
      </c>
      <c r="F193" s="398" t="str">
        <f aca="false">IF(A193="N/A"," ",E193*C193)</f>
        <v> </v>
      </c>
      <c r="G193" s="396" t="str">
        <f aca="false">IF(A193="N/A"," ",IF(ISERROR(P193),G181*Pwresc,P193)*VLOOKUP(MONTH(A193),Curveadj,3))</f>
        <v> </v>
      </c>
      <c r="H193" s="398" t="str">
        <f aca="false">IF(A193="N/A"," ",G193*C193)</f>
        <v> </v>
      </c>
      <c r="I193" s="398" t="str">
        <f aca="false">IF(A193="N/A"," ",IF(ISERROR(Q193),I181*Pwresc,Q193))</f>
        <v> </v>
      </c>
      <c r="J193" s="398"/>
      <c r="K193" s="399"/>
      <c r="L193" s="399"/>
      <c r="M193" s="404"/>
      <c r="N193" s="401" t="str">
        <f aca="false">IF(A193="N/A"," ",VLOOKUP(A193,PeakPowerCurves,(IF(BMO3=2,3,IF(BMO3=1,2,4))),FALSE()))</f>
        <v> </v>
      </c>
      <c r="O193" s="401" t="str">
        <f aca="false">IF(A193="N/A"," ",VLOOKUP(A193,SatSunPeakPwr,(IF(BMO3=2,3,IF(BMO3=1,2,4))),FALSE()))</f>
        <v> </v>
      </c>
      <c r="P193" s="401" t="str">
        <f aca="false">IF(A193="N/A"," ",VLOOKUP(A193,SatSunPeakPwr,(IF(BMO3=2,7,IF(BMO3=1,6,8))),FALSE()))</f>
        <v> </v>
      </c>
      <c r="Q193" s="402" t="str">
        <f aca="false">IF(A193="N/A"," ",(VLOOKUP(A193,OPPowerPrices,(IF(BMO3=2,7,IF(BMO3=1,6,8))),FALSE())))</f>
        <v> </v>
      </c>
      <c r="R193" s="403" t="str">
        <f aca="false">IF(A193="N/A"," ",(VLOOKUP($A193,IRTable,2)))</f>
        <v> </v>
      </c>
      <c r="AF193" s="352" t="n">
        <v>42309</v>
      </c>
      <c r="AG193" s="311" t="n">
        <v>20</v>
      </c>
      <c r="AH193" s="311" t="n">
        <v>4</v>
      </c>
      <c r="AI193" s="311" t="n">
        <v>6</v>
      </c>
      <c r="AJ193" s="311" t="n">
        <v>1</v>
      </c>
      <c r="AK193" s="311" t="n">
        <v>30</v>
      </c>
      <c r="AU193" s="406"/>
    </row>
    <row r="194" customFormat="false" ht="12.75" hidden="false" customHeight="false" outlineLevel="0" collapsed="false">
      <c r="A194" s="352" t="str">
        <f aca="false">Option3!A161</f>
        <v>N/A</v>
      </c>
      <c r="B194" s="396" t="str">
        <f aca="false">IF(A194="N/A"," ",IF(ISERROR(N194),B182*Pwresc,N194)*VLOOKUP(MONTH(A194),Curveadj,3))</f>
        <v> </v>
      </c>
      <c r="C194" s="397" t="str">
        <f aca="false">IF(A194="N/A"," ",(IF(AND(Scaler3=1,MONTH(A194)&gt;=6,MONTH(A194)&lt;=8,OR($M$37="REGION 2",$M$37="REGION 2A",$M$37="REGION 2B",$M$37="REGION 3",$M$37="REGION 3A",$M$37="REGION 3B",$M$37="REGION 3C",$M$37="REGION 4",$M$37="REGION 4B",$M$37="REGION 4C",$M$37="REGION 5",$M$37="REGION 5A")),((0.059228/(B194/100))-(0.4980013/(SQRT(B194/100)))+2.137988),HLOOKUP(MONTH(A194),ScalarTable,28))))</f>
        <v> </v>
      </c>
      <c r="D194" s="398" t="str">
        <f aca="false">IF(A194="N/A"," ",C194*B194)</f>
        <v> </v>
      </c>
      <c r="E194" s="396" t="str">
        <f aca="false">IF(A194="N/A"," ",IF(ISERROR(O194),E182*Pwresc,O194)*VLOOKUP(MONTH(A194),Curveadj,3))</f>
        <v> </v>
      </c>
      <c r="F194" s="398" t="str">
        <f aca="false">IF(A194="N/A"," ",E194*C194)</f>
        <v> </v>
      </c>
      <c r="G194" s="396" t="str">
        <f aca="false">IF(A194="N/A"," ",IF(ISERROR(P194),G182*Pwresc,P194)*VLOOKUP(MONTH(A194),Curveadj,3))</f>
        <v> </v>
      </c>
      <c r="H194" s="398" t="str">
        <f aca="false">IF(A194="N/A"," ",G194*C194)</f>
        <v> </v>
      </c>
      <c r="I194" s="398" t="str">
        <f aca="false">IF(A194="N/A"," ",IF(ISERROR(Q194),I182*Pwresc,Q194))</f>
        <v> </v>
      </c>
      <c r="J194" s="398"/>
      <c r="K194" s="399"/>
      <c r="L194" s="399"/>
      <c r="M194" s="404"/>
      <c r="N194" s="401" t="str">
        <f aca="false">IF(A194="N/A"," ",VLOOKUP(A194,PeakPowerCurves,(IF(BMO3=2,3,IF(BMO3=1,2,4))),FALSE()))</f>
        <v> </v>
      </c>
      <c r="O194" s="401" t="str">
        <f aca="false">IF(A194="N/A"," ",VLOOKUP(A194,SatSunPeakPwr,(IF(BMO3=2,3,IF(BMO3=1,2,4))),FALSE()))</f>
        <v> </v>
      </c>
      <c r="P194" s="401" t="str">
        <f aca="false">IF(A194="N/A"," ",VLOOKUP(A194,SatSunPeakPwr,(IF(BMO3=2,7,IF(BMO3=1,6,8))),FALSE()))</f>
        <v> </v>
      </c>
      <c r="Q194" s="402" t="str">
        <f aca="false">IF(A194="N/A"," ",(VLOOKUP(A194,OPPowerPrices,(IF(BMO3=2,7,IF(BMO3=1,6,8))),FALSE())))</f>
        <v> </v>
      </c>
      <c r="R194" s="403" t="str">
        <f aca="false">IF(A194="N/A"," ",(VLOOKUP($A194,IRTable,2)))</f>
        <v> </v>
      </c>
      <c r="AF194" s="352" t="n">
        <v>42339</v>
      </c>
      <c r="AG194" s="311" t="n">
        <v>22</v>
      </c>
      <c r="AH194" s="311" t="n">
        <v>4</v>
      </c>
      <c r="AI194" s="311" t="n">
        <v>5</v>
      </c>
      <c r="AJ194" s="311" t="n">
        <v>1</v>
      </c>
      <c r="AK194" s="311" t="n">
        <v>31</v>
      </c>
      <c r="AU194" s="406"/>
    </row>
    <row r="195" customFormat="false" ht="12.75" hidden="false" customHeight="false" outlineLevel="0" collapsed="false">
      <c r="A195" s="352" t="str">
        <f aca="false">Option3!A162</f>
        <v>N/A</v>
      </c>
      <c r="B195" s="396" t="str">
        <f aca="false">IF(A195="N/A"," ",IF(ISERROR(N195),B183*Pwresc,N195)*VLOOKUP(MONTH(A195),Curveadj,3))</f>
        <v> </v>
      </c>
      <c r="C195" s="397" t="str">
        <f aca="false">IF(A195="N/A"," ",(IF(AND(Scaler3=1,MONTH(A195)&gt;=6,MONTH(A195)&lt;=8,OR($M$37="REGION 2",$M$37="REGION 2A",$M$37="REGION 2B",$M$37="REGION 3",$M$37="REGION 3A",$M$37="REGION 3B",$M$37="REGION 3C",$M$37="REGION 4",$M$37="REGION 4B",$M$37="REGION 4C",$M$37="REGION 5",$M$37="REGION 5A")),((0.059228/(B195/100))-(0.4980013/(SQRT(B195/100)))+2.137988),HLOOKUP(MONTH(A195),ScalarTable,28))))</f>
        <v> </v>
      </c>
      <c r="D195" s="398" t="str">
        <f aca="false">IF(A195="N/A"," ",C195*B195)</f>
        <v> </v>
      </c>
      <c r="E195" s="396" t="str">
        <f aca="false">IF(A195="N/A"," ",IF(ISERROR(O195),E183*Pwresc,O195)*VLOOKUP(MONTH(A195),Curveadj,3))</f>
        <v> </v>
      </c>
      <c r="F195" s="398" t="str">
        <f aca="false">IF(A195="N/A"," ",E195*C195)</f>
        <v> </v>
      </c>
      <c r="G195" s="396" t="str">
        <f aca="false">IF(A195="N/A"," ",IF(ISERROR(P195),G183*Pwresc,P195)*VLOOKUP(MONTH(A195),Curveadj,3))</f>
        <v> </v>
      </c>
      <c r="H195" s="398" t="str">
        <f aca="false">IF(A195="N/A"," ",G195*C195)</f>
        <v> </v>
      </c>
      <c r="I195" s="398" t="str">
        <f aca="false">IF(A195="N/A"," ",IF(ISERROR(Q195),I183*Pwresc,Q195))</f>
        <v> </v>
      </c>
      <c r="J195" s="398"/>
      <c r="K195" s="399"/>
      <c r="L195" s="399"/>
      <c r="M195" s="404"/>
      <c r="N195" s="401" t="str">
        <f aca="false">IF(A195="N/A"," ",VLOOKUP(A195,PeakPowerCurves,(IF(BMO3=2,3,IF(BMO3=1,2,4))),FALSE()))</f>
        <v> </v>
      </c>
      <c r="O195" s="401" t="str">
        <f aca="false">IF(A195="N/A"," ",VLOOKUP(A195,SatSunPeakPwr,(IF(BMO3=2,3,IF(BMO3=1,2,4))),FALSE()))</f>
        <v> </v>
      </c>
      <c r="P195" s="401" t="str">
        <f aca="false">IF(A195="N/A"," ",VLOOKUP(A195,SatSunPeakPwr,(IF(BMO3=2,7,IF(BMO3=1,6,8))),FALSE()))</f>
        <v> </v>
      </c>
      <c r="Q195" s="402" t="str">
        <f aca="false">IF(A195="N/A"," ",(VLOOKUP(A195,OPPowerPrices,(IF(BMO3=2,7,IF(BMO3=1,6,8))),FALSE())))</f>
        <v> </v>
      </c>
      <c r="R195" s="403" t="str">
        <f aca="false">IF(A195="N/A"," ",(VLOOKUP($A195,IRTable,2)))</f>
        <v> </v>
      </c>
      <c r="AF195" s="352" t="n">
        <v>42370</v>
      </c>
      <c r="AG195" s="311" t="n">
        <v>20</v>
      </c>
      <c r="AH195" s="311" t="n">
        <v>5</v>
      </c>
      <c r="AI195" s="311" t="n">
        <v>6</v>
      </c>
      <c r="AJ195" s="311" t="n">
        <v>1</v>
      </c>
      <c r="AK195" s="311" t="n">
        <v>31</v>
      </c>
      <c r="AU195" s="406"/>
    </row>
    <row r="196" customFormat="false" ht="12.75" hidden="false" customHeight="false" outlineLevel="0" collapsed="false">
      <c r="A196" s="352" t="str">
        <f aca="false">Option3!A163</f>
        <v>N/A</v>
      </c>
      <c r="B196" s="396" t="str">
        <f aca="false">IF(A196="N/A"," ",IF(ISERROR(N196),B184*Pwresc,N196)*VLOOKUP(MONTH(A196),Curveadj,3))</f>
        <v> </v>
      </c>
      <c r="C196" s="397" t="str">
        <f aca="false">IF(A196="N/A"," ",(IF(AND(Scaler3=1,MONTH(A196)&gt;=6,MONTH(A196)&lt;=8,OR($M$37="REGION 2",$M$37="REGION 2A",$M$37="REGION 2B",$M$37="REGION 3",$M$37="REGION 3A",$M$37="REGION 3B",$M$37="REGION 3C",$M$37="REGION 4",$M$37="REGION 4B",$M$37="REGION 4C",$M$37="REGION 5",$M$37="REGION 5A")),((0.059228/(B196/100))-(0.4980013/(SQRT(B196/100)))+2.137988),HLOOKUP(MONTH(A196),ScalarTable,28))))</f>
        <v> </v>
      </c>
      <c r="D196" s="398" t="str">
        <f aca="false">IF(A196="N/A"," ",C196*B196)</f>
        <v> </v>
      </c>
      <c r="E196" s="396" t="str">
        <f aca="false">IF(A196="N/A"," ",IF(ISERROR(O196),E184*Pwresc,O196)*VLOOKUP(MONTH(A196),Curveadj,3))</f>
        <v> </v>
      </c>
      <c r="F196" s="398" t="str">
        <f aca="false">IF(A196="N/A"," ",E196*C196)</f>
        <v> </v>
      </c>
      <c r="G196" s="396" t="str">
        <f aca="false">IF(A196="N/A"," ",IF(ISERROR(P196),G184*Pwresc,P196)*VLOOKUP(MONTH(A196),Curveadj,3))</f>
        <v> </v>
      </c>
      <c r="H196" s="398" t="str">
        <f aca="false">IF(A196="N/A"," ",G196*C196)</f>
        <v> </v>
      </c>
      <c r="I196" s="398" t="str">
        <f aca="false">IF(A196="N/A"," ",IF(ISERROR(Q196),I184*Pwresc,Q196))</f>
        <v> </v>
      </c>
      <c r="J196" s="398"/>
      <c r="K196" s="399"/>
      <c r="L196" s="399"/>
      <c r="M196" s="404"/>
      <c r="N196" s="401" t="str">
        <f aca="false">IF(A196="N/A"," ",VLOOKUP(A196,PeakPowerCurves,(IF(BMO3=2,3,IF(BMO3=1,2,4))),FALSE()))</f>
        <v> </v>
      </c>
      <c r="O196" s="401" t="str">
        <f aca="false">IF(A196="N/A"," ",VLOOKUP(A196,SatSunPeakPwr,(IF(BMO3=2,3,IF(BMO3=1,2,4))),FALSE()))</f>
        <v> </v>
      </c>
      <c r="P196" s="401" t="str">
        <f aca="false">IF(A196="N/A"," ",VLOOKUP(A196,SatSunPeakPwr,(IF(BMO3=2,7,IF(BMO3=1,6,8))),FALSE()))</f>
        <v> </v>
      </c>
      <c r="Q196" s="402" t="str">
        <f aca="false">IF(A196="N/A"," ",(VLOOKUP(A196,OPPowerPrices,(IF(BMO3=2,7,IF(BMO3=1,6,8))),FALSE())))</f>
        <v> </v>
      </c>
      <c r="R196" s="403" t="str">
        <f aca="false">IF(A196="N/A"," ",(VLOOKUP($A196,IRTable,2)))</f>
        <v> </v>
      </c>
      <c r="AF196" s="352" t="n">
        <v>42401</v>
      </c>
      <c r="AG196" s="311" t="n">
        <v>21</v>
      </c>
      <c r="AH196" s="311" t="n">
        <v>4</v>
      </c>
      <c r="AI196" s="311" t="n">
        <v>4</v>
      </c>
      <c r="AJ196" s="311" t="n">
        <v>0</v>
      </c>
      <c r="AK196" s="311" t="n">
        <v>29</v>
      </c>
      <c r="AU196" s="406"/>
    </row>
    <row r="197" customFormat="false" ht="12.75" hidden="false" customHeight="false" outlineLevel="0" collapsed="false">
      <c r="A197" s="352" t="str">
        <f aca="false">Option3!A164</f>
        <v>N/A</v>
      </c>
      <c r="B197" s="396" t="str">
        <f aca="false">IF(A197="N/A"," ",IF(ISERROR(N197),B185*Pwresc,N197)*VLOOKUP(MONTH(A197),Curveadj,3))</f>
        <v> </v>
      </c>
      <c r="C197" s="397" t="str">
        <f aca="false">IF(A197="N/A"," ",(IF(AND(Scaler3=1,MONTH(A197)&gt;=6,MONTH(A197)&lt;=8,OR($M$37="REGION 2",$M$37="REGION 2A",$M$37="REGION 2B",$M$37="REGION 3",$M$37="REGION 3A",$M$37="REGION 3B",$M$37="REGION 3C",$M$37="REGION 4",$M$37="REGION 4B",$M$37="REGION 4C",$M$37="REGION 5",$M$37="REGION 5A")),((0.059228/(B197/100))-(0.4980013/(SQRT(B197/100)))+2.137988),HLOOKUP(MONTH(A197),ScalarTable,28))))</f>
        <v> </v>
      </c>
      <c r="D197" s="398" t="str">
        <f aca="false">IF(A197="N/A"," ",C197*B197)</f>
        <v> </v>
      </c>
      <c r="E197" s="396" t="str">
        <f aca="false">IF(A197="N/A"," ",IF(ISERROR(O197),E185*Pwresc,O197)*VLOOKUP(MONTH(A197),Curveadj,3))</f>
        <v> </v>
      </c>
      <c r="F197" s="398" t="str">
        <f aca="false">IF(A197="N/A"," ",E197*C197)</f>
        <v> </v>
      </c>
      <c r="G197" s="396" t="str">
        <f aca="false">IF(A197="N/A"," ",IF(ISERROR(P197),G185*Pwresc,P197)*VLOOKUP(MONTH(A197),Curveadj,3))</f>
        <v> </v>
      </c>
      <c r="H197" s="398" t="str">
        <f aca="false">IF(A197="N/A"," ",G197*C197)</f>
        <v> </v>
      </c>
      <c r="I197" s="398" t="str">
        <f aca="false">IF(A197="N/A"," ",IF(ISERROR(Q197),I185*Pwresc,Q197))</f>
        <v> </v>
      </c>
      <c r="J197" s="398"/>
      <c r="K197" s="399"/>
      <c r="L197" s="399"/>
      <c r="M197" s="404"/>
      <c r="N197" s="401" t="str">
        <f aca="false">IF(A197="N/A"," ",VLOOKUP(A197,PeakPowerCurves,(IF(BMO3=2,3,IF(BMO3=1,2,4))),FALSE()))</f>
        <v> </v>
      </c>
      <c r="O197" s="401" t="str">
        <f aca="false">IF(A197="N/A"," ",VLOOKUP(A197,SatSunPeakPwr,(IF(BMO3=2,3,IF(BMO3=1,2,4))),FALSE()))</f>
        <v> </v>
      </c>
      <c r="P197" s="401" t="str">
        <f aca="false">IF(A197="N/A"," ",VLOOKUP(A197,SatSunPeakPwr,(IF(BMO3=2,7,IF(BMO3=1,6,8))),FALSE()))</f>
        <v> </v>
      </c>
      <c r="Q197" s="402" t="str">
        <f aca="false">IF(A197="N/A"," ",(VLOOKUP(A197,OPPowerPrices,(IF(BMO3=2,7,IF(BMO3=1,6,8))),FALSE())))</f>
        <v> </v>
      </c>
      <c r="R197" s="403" t="str">
        <f aca="false">IF(A197="N/A"," ",(VLOOKUP($A197,IRTable,2)))</f>
        <v> </v>
      </c>
      <c r="AF197" s="352" t="n">
        <v>42430</v>
      </c>
      <c r="AG197" s="311" t="n">
        <v>23</v>
      </c>
      <c r="AH197" s="311" t="n">
        <v>4</v>
      </c>
      <c r="AI197" s="311" t="n">
        <v>4</v>
      </c>
      <c r="AJ197" s="311" t="n">
        <v>0</v>
      </c>
      <c r="AK197" s="311" t="n">
        <v>31</v>
      </c>
      <c r="AU197" s="406"/>
    </row>
    <row r="198" customFormat="false" ht="12.75" hidden="false" customHeight="false" outlineLevel="0" collapsed="false">
      <c r="A198" s="352" t="str">
        <f aca="false">Option3!A165</f>
        <v>N/A</v>
      </c>
      <c r="B198" s="396" t="str">
        <f aca="false">IF(A198="N/A"," ",IF(ISERROR(N198),B186*Pwresc,N198)*VLOOKUP(MONTH(A198),Curveadj,3))</f>
        <v> </v>
      </c>
      <c r="C198" s="397" t="str">
        <f aca="false">IF(A198="N/A"," ",(IF(AND(Scaler3=1,MONTH(A198)&gt;=6,MONTH(A198)&lt;=8,OR($M$37="REGION 2",$M$37="REGION 2A",$M$37="REGION 2B",$M$37="REGION 3",$M$37="REGION 3A",$M$37="REGION 3B",$M$37="REGION 3C",$M$37="REGION 4",$M$37="REGION 4B",$M$37="REGION 4C",$M$37="REGION 5",$M$37="REGION 5A")),((0.059228/(B198/100))-(0.4980013/(SQRT(B198/100)))+2.137988),HLOOKUP(MONTH(A198),ScalarTable,28))))</f>
        <v> </v>
      </c>
      <c r="D198" s="398" t="str">
        <f aca="false">IF(A198="N/A"," ",C198*B198)</f>
        <v> </v>
      </c>
      <c r="E198" s="396" t="str">
        <f aca="false">IF(A198="N/A"," ",IF(ISERROR(O198),E186*Pwresc,O198)*VLOOKUP(MONTH(A198),Curveadj,3))</f>
        <v> </v>
      </c>
      <c r="F198" s="398" t="str">
        <f aca="false">IF(A198="N/A"," ",E198*C198)</f>
        <v> </v>
      </c>
      <c r="G198" s="396" t="str">
        <f aca="false">IF(A198="N/A"," ",IF(ISERROR(P198),G186*Pwresc,P198)*VLOOKUP(MONTH(A198),Curveadj,3))</f>
        <v> </v>
      </c>
      <c r="H198" s="398" t="str">
        <f aca="false">IF(A198="N/A"," ",G198*C198)</f>
        <v> </v>
      </c>
      <c r="I198" s="398" t="str">
        <f aca="false">IF(A198="N/A"," ",IF(ISERROR(Q198),I186*Pwresc,Q198))</f>
        <v> </v>
      </c>
      <c r="J198" s="398"/>
      <c r="K198" s="399"/>
      <c r="L198" s="399"/>
      <c r="M198" s="404"/>
      <c r="N198" s="401" t="str">
        <f aca="false">IF(A198="N/A"," ",VLOOKUP(A198,PeakPowerCurves,(IF(BMO3=2,3,IF(BMO3=1,2,4))),FALSE()))</f>
        <v> </v>
      </c>
      <c r="O198" s="401" t="str">
        <f aca="false">IF(A198="N/A"," ",VLOOKUP(A198,SatSunPeakPwr,(IF(BMO3=2,3,IF(BMO3=1,2,4))),FALSE()))</f>
        <v> </v>
      </c>
      <c r="P198" s="401" t="str">
        <f aca="false">IF(A198="N/A"," ",VLOOKUP(A198,SatSunPeakPwr,(IF(BMO3=2,7,IF(BMO3=1,6,8))),FALSE()))</f>
        <v> </v>
      </c>
      <c r="Q198" s="402" t="str">
        <f aca="false">IF(A198="N/A"," ",(VLOOKUP(A198,OPPowerPrices,(IF(BMO3=2,7,IF(BMO3=1,6,8))),FALSE())))</f>
        <v> </v>
      </c>
      <c r="R198" s="403" t="str">
        <f aca="false">IF(A198="N/A"," ",(VLOOKUP($A198,IRTable,2)))</f>
        <v> </v>
      </c>
      <c r="AF198" s="352" t="n">
        <v>42461</v>
      </c>
      <c r="AG198" s="311" t="n">
        <v>21</v>
      </c>
      <c r="AH198" s="311" t="n">
        <v>5</v>
      </c>
      <c r="AI198" s="311" t="n">
        <v>4</v>
      </c>
      <c r="AJ198" s="311" t="n">
        <v>0</v>
      </c>
      <c r="AK198" s="311" t="n">
        <v>30</v>
      </c>
      <c r="AU198" s="406"/>
    </row>
    <row r="199" customFormat="false" ht="12.75" hidden="false" customHeight="false" outlineLevel="0" collapsed="false">
      <c r="A199" s="352" t="str">
        <f aca="false">Option3!A166</f>
        <v>N/A</v>
      </c>
      <c r="B199" s="396" t="str">
        <f aca="false">IF(A199="N/A"," ",IF(ISERROR(N199),B187*Pwresc,N199)*VLOOKUP(MONTH(A199),Curveadj,3))</f>
        <v> </v>
      </c>
      <c r="C199" s="397" t="str">
        <f aca="false">IF(A199="N/A"," ",(IF(AND(Scaler3=1,MONTH(A199)&gt;=6,MONTH(A199)&lt;=8,OR($M$37="REGION 2",$M$37="REGION 2A",$M$37="REGION 2B",$M$37="REGION 3",$M$37="REGION 3A",$M$37="REGION 3B",$M$37="REGION 3C",$M$37="REGION 4",$M$37="REGION 4B",$M$37="REGION 4C",$M$37="REGION 5",$M$37="REGION 5A")),((0.059228/(B199/100))-(0.4980013/(SQRT(B199/100)))+2.137988),HLOOKUP(MONTH(A199),ScalarTable,28))))</f>
        <v> </v>
      </c>
      <c r="D199" s="398" t="str">
        <f aca="false">IF(A199="N/A"," ",C199*B199)</f>
        <v> </v>
      </c>
      <c r="E199" s="396" t="str">
        <f aca="false">IF(A199="N/A"," ",IF(ISERROR(O199),E187*Pwresc,O199)*VLOOKUP(MONTH(A199),Curveadj,3))</f>
        <v> </v>
      </c>
      <c r="F199" s="398" t="str">
        <f aca="false">IF(A199="N/A"," ",E199*C199)</f>
        <v> </v>
      </c>
      <c r="G199" s="396" t="str">
        <f aca="false">IF(A199="N/A"," ",IF(ISERROR(P199),G187*Pwresc,P199)*VLOOKUP(MONTH(A199),Curveadj,3))</f>
        <v> </v>
      </c>
      <c r="H199" s="398" t="str">
        <f aca="false">IF(A199="N/A"," ",G199*C199)</f>
        <v> </v>
      </c>
      <c r="I199" s="398" t="str">
        <f aca="false">IF(A199="N/A"," ",IF(ISERROR(Q199),I187*Pwresc,Q199))</f>
        <v> </v>
      </c>
      <c r="J199" s="398"/>
      <c r="K199" s="399"/>
      <c r="L199" s="399"/>
      <c r="M199" s="404"/>
      <c r="N199" s="401" t="str">
        <f aca="false">IF(A199="N/A"," ",VLOOKUP(A199,PeakPowerCurves,(IF(BMO3=2,3,IF(BMO3=1,2,4))),FALSE()))</f>
        <v> </v>
      </c>
      <c r="O199" s="401" t="str">
        <f aca="false">IF(A199="N/A"," ",VLOOKUP(A199,SatSunPeakPwr,(IF(BMO3=2,3,IF(BMO3=1,2,4))),FALSE()))</f>
        <v> </v>
      </c>
      <c r="P199" s="401" t="str">
        <f aca="false">IF(A199="N/A"," ",VLOOKUP(A199,SatSunPeakPwr,(IF(BMO3=2,7,IF(BMO3=1,6,8))),FALSE()))</f>
        <v> </v>
      </c>
      <c r="Q199" s="402" t="str">
        <f aca="false">IF(A199="N/A"," ",(VLOOKUP(A199,OPPowerPrices,(IF(BMO3=2,7,IF(BMO3=1,6,8))),FALSE())))</f>
        <v> </v>
      </c>
      <c r="R199" s="403" t="str">
        <f aca="false">IF(A199="N/A"," ",(VLOOKUP($A199,IRTable,2)))</f>
        <v> </v>
      </c>
      <c r="AF199" s="352" t="n">
        <v>42491</v>
      </c>
      <c r="AG199" s="311" t="n">
        <v>21</v>
      </c>
      <c r="AH199" s="311" t="n">
        <v>4</v>
      </c>
      <c r="AI199" s="311" t="n">
        <v>6</v>
      </c>
      <c r="AJ199" s="311" t="n">
        <v>1</v>
      </c>
      <c r="AK199" s="311" t="n">
        <v>31</v>
      </c>
      <c r="AU199" s="406"/>
    </row>
    <row r="200" customFormat="false" ht="12.75" hidden="false" customHeight="false" outlineLevel="0" collapsed="false">
      <c r="A200" s="352" t="str">
        <f aca="false">Option3!A167</f>
        <v>N/A</v>
      </c>
      <c r="B200" s="396" t="str">
        <f aca="false">IF(A200="N/A"," ",IF(ISERROR(N200),B188*Pwresc,N200)*VLOOKUP(MONTH(A200),Curveadj,3))</f>
        <v> </v>
      </c>
      <c r="C200" s="397" t="str">
        <f aca="false">IF(A200="N/A"," ",(IF(AND(Scaler3=1,MONTH(A200)&gt;=6,MONTH(A200)&lt;=8,OR($M$37="REGION 2",$M$37="REGION 2A",$M$37="REGION 2B",$M$37="REGION 3",$M$37="REGION 3A",$M$37="REGION 3B",$M$37="REGION 3C",$M$37="REGION 4",$M$37="REGION 4B",$M$37="REGION 4C",$M$37="REGION 5",$M$37="REGION 5A")),((0.059228/(B200/100))-(0.4980013/(SQRT(B200/100)))+2.137988),HLOOKUP(MONTH(A200),ScalarTable,28))))</f>
        <v> </v>
      </c>
      <c r="D200" s="398" t="str">
        <f aca="false">IF(A200="N/A"," ",C200*B200)</f>
        <v> </v>
      </c>
      <c r="E200" s="396" t="str">
        <f aca="false">IF(A200="N/A"," ",IF(ISERROR(O200),E188*Pwresc,O200)*VLOOKUP(MONTH(A200),Curveadj,3))</f>
        <v> </v>
      </c>
      <c r="F200" s="398" t="str">
        <f aca="false">IF(A200="N/A"," ",E200*C200)</f>
        <v> </v>
      </c>
      <c r="G200" s="396" t="str">
        <f aca="false">IF(A200="N/A"," ",IF(ISERROR(P200),G188*Pwresc,P200)*VLOOKUP(MONTH(A200),Curveadj,3))</f>
        <v> </v>
      </c>
      <c r="H200" s="398" t="str">
        <f aca="false">IF(A200="N/A"," ",G200*C200)</f>
        <v> </v>
      </c>
      <c r="I200" s="398" t="str">
        <f aca="false">IF(A200="N/A"," ",IF(ISERROR(Q200),I188*Pwresc,Q200))</f>
        <v> </v>
      </c>
      <c r="J200" s="398"/>
      <c r="K200" s="399"/>
      <c r="L200" s="399"/>
      <c r="M200" s="404"/>
      <c r="N200" s="401" t="str">
        <f aca="false">IF(A200="N/A"," ",VLOOKUP(A200,PeakPowerCurves,(IF(BMO3=2,3,IF(BMO3=1,2,4))),FALSE()))</f>
        <v> </v>
      </c>
      <c r="O200" s="401" t="str">
        <f aca="false">IF(A200="N/A"," ",VLOOKUP(A200,SatSunPeakPwr,(IF(BMO3=2,3,IF(BMO3=1,2,4))),FALSE()))</f>
        <v> </v>
      </c>
      <c r="P200" s="401" t="str">
        <f aca="false">IF(A200="N/A"," ",VLOOKUP(A200,SatSunPeakPwr,(IF(BMO3=2,7,IF(BMO3=1,6,8))),FALSE()))</f>
        <v> </v>
      </c>
      <c r="Q200" s="402" t="str">
        <f aca="false">IF(A200="N/A"," ",(VLOOKUP(A200,OPPowerPrices,(IF(BMO3=2,7,IF(BMO3=1,6,8))),FALSE())))</f>
        <v> </v>
      </c>
      <c r="R200" s="403" t="str">
        <f aca="false">IF(A200="N/A"," ",(VLOOKUP($A200,IRTable,2)))</f>
        <v> </v>
      </c>
      <c r="AF200" s="352" t="n">
        <v>42522</v>
      </c>
      <c r="AG200" s="311" t="n">
        <v>22</v>
      </c>
      <c r="AH200" s="311" t="n">
        <v>4</v>
      </c>
      <c r="AI200" s="311" t="n">
        <v>4</v>
      </c>
      <c r="AJ200" s="311" t="n">
        <v>0</v>
      </c>
      <c r="AK200" s="311" t="n">
        <v>30</v>
      </c>
      <c r="AU200" s="406"/>
    </row>
    <row r="201" customFormat="false" ht="12.75" hidden="false" customHeight="false" outlineLevel="0" collapsed="false">
      <c r="A201" s="352" t="str">
        <f aca="false">Option3!A168</f>
        <v>N/A</v>
      </c>
      <c r="B201" s="396" t="str">
        <f aca="false">IF(A201="N/A"," ",IF(ISERROR(N201),B189*Pwresc,N201)*VLOOKUP(MONTH(A201),Curveadj,3))</f>
        <v> </v>
      </c>
      <c r="C201" s="397" t="str">
        <f aca="false">IF(A201="N/A"," ",(IF(AND(Scaler3=1,MONTH(A201)&gt;=6,MONTH(A201)&lt;=8,OR($M$37="REGION 2",$M$37="REGION 2A",$M$37="REGION 2B",$M$37="REGION 3",$M$37="REGION 3A",$M$37="REGION 3B",$M$37="REGION 3C",$M$37="REGION 4",$M$37="REGION 4B",$M$37="REGION 4C",$M$37="REGION 5",$M$37="REGION 5A")),((0.059228/(B201/100))-(0.4980013/(SQRT(B201/100)))+2.137988),HLOOKUP(MONTH(A201),ScalarTable,28))))</f>
        <v> </v>
      </c>
      <c r="D201" s="398" t="str">
        <f aca="false">IF(A201="N/A"," ",C201*B201)</f>
        <v> </v>
      </c>
      <c r="E201" s="396" t="str">
        <f aca="false">IF(A201="N/A"," ",IF(ISERROR(O201),E189*Pwresc,O201)*VLOOKUP(MONTH(A201),Curveadj,3))</f>
        <v> </v>
      </c>
      <c r="F201" s="398" t="str">
        <f aca="false">IF(A201="N/A"," ",E201*C201)</f>
        <v> </v>
      </c>
      <c r="G201" s="396" t="str">
        <f aca="false">IF(A201="N/A"," ",IF(ISERROR(P201),G189*Pwresc,P201)*VLOOKUP(MONTH(A201),Curveadj,3))</f>
        <v> </v>
      </c>
      <c r="H201" s="398" t="str">
        <f aca="false">IF(A201="N/A"," ",G201*C201)</f>
        <v> </v>
      </c>
      <c r="I201" s="398" t="str">
        <f aca="false">IF(A201="N/A"," ",IF(ISERROR(Q201),I189*Pwresc,Q201))</f>
        <v> </v>
      </c>
      <c r="J201" s="398"/>
      <c r="K201" s="399"/>
      <c r="L201" s="399"/>
      <c r="M201" s="404"/>
      <c r="N201" s="401" t="str">
        <f aca="false">IF(A201="N/A"," ",VLOOKUP(A201,PeakPowerCurves,(IF(BMO3=2,3,IF(BMO3=1,2,4))),FALSE()))</f>
        <v> </v>
      </c>
      <c r="O201" s="401" t="str">
        <f aca="false">IF(A201="N/A"," ",VLOOKUP(A201,SatSunPeakPwr,(IF(BMO3=2,3,IF(BMO3=1,2,4))),FALSE()))</f>
        <v> </v>
      </c>
      <c r="P201" s="401" t="str">
        <f aca="false">IF(A201="N/A"," ",VLOOKUP(A201,SatSunPeakPwr,(IF(BMO3=2,7,IF(BMO3=1,6,8))),FALSE()))</f>
        <v> </v>
      </c>
      <c r="Q201" s="402" t="str">
        <f aca="false">IF(A201="N/A"," ",(VLOOKUP(A201,OPPowerPrices,(IF(BMO3=2,7,IF(BMO3=1,6,8))),FALSE())))</f>
        <v> </v>
      </c>
      <c r="R201" s="403" t="str">
        <f aca="false">IF(A201="N/A"," ",(VLOOKUP($A201,IRTable,2)))</f>
        <v> </v>
      </c>
      <c r="AF201" s="352" t="n">
        <v>42552</v>
      </c>
      <c r="AG201" s="311" t="n">
        <v>20</v>
      </c>
      <c r="AH201" s="311" t="n">
        <v>5</v>
      </c>
      <c r="AI201" s="311" t="n">
        <v>6</v>
      </c>
      <c r="AJ201" s="311" t="n">
        <v>1</v>
      </c>
      <c r="AK201" s="311" t="n">
        <v>31</v>
      </c>
      <c r="AU201" s="406"/>
    </row>
    <row r="202" customFormat="false" ht="12.75" hidden="false" customHeight="false" outlineLevel="0" collapsed="false">
      <c r="A202" s="352" t="str">
        <f aca="false">Option3!A169</f>
        <v>N/A</v>
      </c>
      <c r="B202" s="396" t="str">
        <f aca="false">IF(A202="N/A"," ",IF(ISERROR(N202),B190*Pwresc,N202)*VLOOKUP(MONTH(A202),Curveadj,3))</f>
        <v> </v>
      </c>
      <c r="C202" s="397" t="str">
        <f aca="false">IF(A202="N/A"," ",(IF(AND(Scaler3=1,MONTH(A202)&gt;=6,MONTH(A202)&lt;=8,OR($M$37="REGION 2",$M$37="REGION 2A",$M$37="REGION 2B",$M$37="REGION 3",$M$37="REGION 3A",$M$37="REGION 3B",$M$37="REGION 3C",$M$37="REGION 4",$M$37="REGION 4B",$M$37="REGION 4C",$M$37="REGION 5",$M$37="REGION 5A")),((0.059228/(B202/100))-(0.4980013/(SQRT(B202/100)))+2.137988),HLOOKUP(MONTH(A202),ScalarTable,28))))</f>
        <v> </v>
      </c>
      <c r="D202" s="398" t="str">
        <f aca="false">IF(A202="N/A"," ",C202*B202)</f>
        <v> </v>
      </c>
      <c r="E202" s="396" t="str">
        <f aca="false">IF(A202="N/A"," ",IF(ISERROR(O202),E190*Pwresc,O202)*VLOOKUP(MONTH(A202),Curveadj,3))</f>
        <v> </v>
      </c>
      <c r="F202" s="398" t="str">
        <f aca="false">IF(A202="N/A"," ",E202*C202)</f>
        <v> </v>
      </c>
      <c r="G202" s="396" t="str">
        <f aca="false">IF(A202="N/A"," ",IF(ISERROR(P202),G190*Pwresc,P202)*VLOOKUP(MONTH(A202),Curveadj,3))</f>
        <v> </v>
      </c>
      <c r="H202" s="398" t="str">
        <f aca="false">IF(A202="N/A"," ",G202*C202)</f>
        <v> </v>
      </c>
      <c r="I202" s="398" t="str">
        <f aca="false">IF(A202="N/A"," ",IF(ISERROR(Q202),I190*Pwresc,Q202))</f>
        <v> </v>
      </c>
      <c r="J202" s="398"/>
      <c r="K202" s="399"/>
      <c r="L202" s="399"/>
      <c r="M202" s="404"/>
      <c r="N202" s="401" t="str">
        <f aca="false">IF(A202="N/A"," ",VLOOKUP(A202,PeakPowerCurves,(IF(BMO3=2,3,IF(BMO3=1,2,4))),FALSE()))</f>
        <v> </v>
      </c>
      <c r="O202" s="401" t="str">
        <f aca="false">IF(A202="N/A"," ",VLOOKUP(A202,SatSunPeakPwr,(IF(BMO3=2,3,IF(BMO3=1,2,4))),FALSE()))</f>
        <v> </v>
      </c>
      <c r="P202" s="401" t="str">
        <f aca="false">IF(A202="N/A"," ",VLOOKUP(A202,SatSunPeakPwr,(IF(BMO3=2,7,IF(BMO3=1,6,8))),FALSE()))</f>
        <v> </v>
      </c>
      <c r="Q202" s="402" t="str">
        <f aca="false">IF(A202="N/A"," ",(VLOOKUP(A202,OPPowerPrices,(IF(BMO3=2,7,IF(BMO3=1,6,8))),FALSE())))</f>
        <v> </v>
      </c>
      <c r="R202" s="403" t="str">
        <f aca="false">IF(A202="N/A"," ",(VLOOKUP($A202,IRTable,2)))</f>
        <v> </v>
      </c>
      <c r="AF202" s="352" t="n">
        <v>42583</v>
      </c>
      <c r="AG202" s="311" t="n">
        <v>23</v>
      </c>
      <c r="AH202" s="311" t="n">
        <v>4</v>
      </c>
      <c r="AI202" s="311" t="n">
        <v>4</v>
      </c>
      <c r="AJ202" s="311" t="n">
        <v>0</v>
      </c>
      <c r="AK202" s="311" t="n">
        <v>31</v>
      </c>
      <c r="AU202" s="406"/>
    </row>
    <row r="203" customFormat="false" ht="12.75" hidden="false" customHeight="false" outlineLevel="0" collapsed="false">
      <c r="A203" s="352" t="str">
        <f aca="false">Option3!A170</f>
        <v>N/A</v>
      </c>
      <c r="B203" s="396" t="str">
        <f aca="false">IF(A203="N/A"," ",IF(ISERROR(N203),B191*Pwresc,N203)*VLOOKUP(MONTH(A203),Curveadj,3))</f>
        <v> </v>
      </c>
      <c r="C203" s="397" t="str">
        <f aca="false">IF(A203="N/A"," ",(IF(AND(Scaler3=1,MONTH(A203)&gt;=6,MONTH(A203)&lt;=8,OR($M$37="REGION 2",$M$37="REGION 2A",$M$37="REGION 2B",$M$37="REGION 3",$M$37="REGION 3A",$M$37="REGION 3B",$M$37="REGION 3C",$M$37="REGION 4",$M$37="REGION 4B",$M$37="REGION 4C",$M$37="REGION 5",$M$37="REGION 5A")),((0.059228/(B203/100))-(0.4980013/(SQRT(B203/100)))+2.137988),HLOOKUP(MONTH(A203),ScalarTable,28))))</f>
        <v> </v>
      </c>
      <c r="D203" s="398" t="str">
        <f aca="false">IF(A203="N/A"," ",C203*B203)</f>
        <v> </v>
      </c>
      <c r="E203" s="396" t="str">
        <f aca="false">IF(A203="N/A"," ",IF(ISERROR(O203),E191*Pwresc,O203)*VLOOKUP(MONTH(A203),Curveadj,3))</f>
        <v> </v>
      </c>
      <c r="F203" s="398" t="str">
        <f aca="false">IF(A203="N/A"," ",E203*C203)</f>
        <v> </v>
      </c>
      <c r="G203" s="396" t="str">
        <f aca="false">IF(A203="N/A"," ",IF(ISERROR(P203),G191*Pwresc,P203)*VLOOKUP(MONTH(A203),Curveadj,3))</f>
        <v> </v>
      </c>
      <c r="H203" s="398" t="str">
        <f aca="false">IF(A203="N/A"," ",G203*C203)</f>
        <v> </v>
      </c>
      <c r="I203" s="398" t="str">
        <f aca="false">IF(A203="N/A"," ",IF(ISERROR(Q203),I191*Pwresc,Q203))</f>
        <v> </v>
      </c>
      <c r="J203" s="398"/>
      <c r="K203" s="399"/>
      <c r="L203" s="399"/>
      <c r="M203" s="404"/>
      <c r="N203" s="401" t="str">
        <f aca="false">IF(A203="N/A"," ",VLOOKUP(A203,PeakPowerCurves,(IF(BMO3=2,3,IF(BMO3=1,2,4))),FALSE()))</f>
        <v> </v>
      </c>
      <c r="O203" s="401" t="str">
        <f aca="false">IF(A203="N/A"," ",VLOOKUP(A203,SatSunPeakPwr,(IF(BMO3=2,3,IF(BMO3=1,2,4))),FALSE()))</f>
        <v> </v>
      </c>
      <c r="P203" s="401" t="str">
        <f aca="false">IF(A203="N/A"," ",VLOOKUP(A203,SatSunPeakPwr,(IF(BMO3=2,7,IF(BMO3=1,6,8))),FALSE()))</f>
        <v> </v>
      </c>
      <c r="Q203" s="402" t="str">
        <f aca="false">IF(A203="N/A"," ",(VLOOKUP(A203,OPPowerPrices,(IF(BMO3=2,7,IF(BMO3=1,6,8))),FALSE())))</f>
        <v> </v>
      </c>
      <c r="R203" s="403" t="str">
        <f aca="false">IF(A203="N/A"," ",(VLOOKUP($A203,IRTable,2)))</f>
        <v> </v>
      </c>
      <c r="AF203" s="352" t="n">
        <v>42614</v>
      </c>
      <c r="AG203" s="311" t="n">
        <v>21</v>
      </c>
      <c r="AH203" s="311" t="n">
        <v>4</v>
      </c>
      <c r="AI203" s="311" t="n">
        <v>5</v>
      </c>
      <c r="AJ203" s="311" t="n">
        <v>1</v>
      </c>
      <c r="AK203" s="311" t="n">
        <v>30</v>
      </c>
      <c r="AU203" s="406"/>
    </row>
    <row r="204" customFormat="false" ht="12.75" hidden="false" customHeight="false" outlineLevel="0" collapsed="false">
      <c r="A204" s="352" t="str">
        <f aca="false">Option3!A171</f>
        <v>N/A</v>
      </c>
      <c r="B204" s="396" t="str">
        <f aca="false">IF(A204="N/A"," ",IF(ISERROR(N204),B192*Pwresc,N204)*VLOOKUP(MONTH(A204),Curveadj,3))</f>
        <v> </v>
      </c>
      <c r="C204" s="397" t="str">
        <f aca="false">IF(A204="N/A"," ",(IF(AND(Scaler3=1,MONTH(A204)&gt;=6,MONTH(A204)&lt;=8,OR($M$37="REGION 2",$M$37="REGION 2A",$M$37="REGION 2B",$M$37="REGION 3",$M$37="REGION 3A",$M$37="REGION 3B",$M$37="REGION 3C",$M$37="REGION 4",$M$37="REGION 4B",$M$37="REGION 4C",$M$37="REGION 5",$M$37="REGION 5A")),((0.059228/(B204/100))-(0.4980013/(SQRT(B204/100)))+2.137988),HLOOKUP(MONTH(A204),ScalarTable,28))))</f>
        <v> </v>
      </c>
      <c r="D204" s="398" t="str">
        <f aca="false">IF(A204="N/A"," ",C204*B204)</f>
        <v> </v>
      </c>
      <c r="E204" s="396" t="str">
        <f aca="false">IF(A204="N/A"," ",IF(ISERROR(O204),E192*Pwresc,O204)*VLOOKUP(MONTH(A204),Curveadj,3))</f>
        <v> </v>
      </c>
      <c r="F204" s="398" t="str">
        <f aca="false">IF(A204="N/A"," ",E204*C204)</f>
        <v> </v>
      </c>
      <c r="G204" s="396" t="str">
        <f aca="false">IF(A204="N/A"," ",IF(ISERROR(P204),G192*Pwresc,P204)*VLOOKUP(MONTH(A204),Curveadj,3))</f>
        <v> </v>
      </c>
      <c r="H204" s="398" t="str">
        <f aca="false">IF(A204="N/A"," ",G204*C204)</f>
        <v> </v>
      </c>
      <c r="I204" s="398" t="str">
        <f aca="false">IF(A204="N/A"," ",IF(ISERROR(Q204),I192*Pwresc,Q204))</f>
        <v> </v>
      </c>
      <c r="J204" s="398"/>
      <c r="K204" s="399"/>
      <c r="L204" s="399"/>
      <c r="M204" s="404"/>
      <c r="N204" s="401" t="str">
        <f aca="false">IF(A204="N/A"," ",VLOOKUP(A204,PeakPowerCurves,(IF(BMO3=2,3,IF(BMO3=1,2,4))),FALSE()))</f>
        <v> </v>
      </c>
      <c r="O204" s="401" t="str">
        <f aca="false">IF(A204="N/A"," ",VLOOKUP(A204,SatSunPeakPwr,(IF(BMO3=2,3,IF(BMO3=1,2,4))),FALSE()))</f>
        <v> </v>
      </c>
      <c r="P204" s="401" t="str">
        <f aca="false">IF(A204="N/A"," ",VLOOKUP(A204,SatSunPeakPwr,(IF(BMO3=2,7,IF(BMO3=1,6,8))),FALSE()))</f>
        <v> </v>
      </c>
      <c r="Q204" s="402" t="str">
        <f aca="false">IF(A204="N/A"," ",(VLOOKUP(A204,OPPowerPrices,(IF(BMO3=2,7,IF(BMO3=1,6,8))),FALSE())))</f>
        <v> </v>
      </c>
      <c r="R204" s="403" t="str">
        <f aca="false">IF(A204="N/A"," ",(VLOOKUP($A204,IRTable,2)))</f>
        <v> </v>
      </c>
      <c r="AF204" s="352" t="n">
        <v>42644</v>
      </c>
      <c r="AG204" s="311" t="n">
        <v>21</v>
      </c>
      <c r="AH204" s="311" t="n">
        <v>5</v>
      </c>
      <c r="AI204" s="311" t="n">
        <v>5</v>
      </c>
      <c r="AJ204" s="311" t="n">
        <v>0</v>
      </c>
      <c r="AK204" s="311" t="n">
        <v>31</v>
      </c>
      <c r="AU204" s="406"/>
    </row>
    <row r="205" customFormat="false" ht="12.75" hidden="false" customHeight="false" outlineLevel="0" collapsed="false">
      <c r="A205" s="352" t="str">
        <f aca="false">Option3!A172</f>
        <v>N/A</v>
      </c>
      <c r="B205" s="396" t="str">
        <f aca="false">IF(A205="N/A"," ",IF(ISERROR(N205),B193*Pwresc,N205)*VLOOKUP(MONTH(A205),Curveadj,3))</f>
        <v> </v>
      </c>
      <c r="C205" s="397" t="str">
        <f aca="false">IF(A205="N/A"," ",(IF(AND(Scaler3=1,MONTH(A205)&gt;=6,MONTH(A205)&lt;=8,OR($M$37="REGION 2",$M$37="REGION 2A",$M$37="REGION 2B",$M$37="REGION 3",$M$37="REGION 3A",$M$37="REGION 3B",$M$37="REGION 3C",$M$37="REGION 4",$M$37="REGION 4B",$M$37="REGION 4C",$M$37="REGION 5",$M$37="REGION 5A")),((0.059228/(B205/100))-(0.4980013/(SQRT(B205/100)))+2.137988),HLOOKUP(MONTH(A205),ScalarTable,28))))</f>
        <v> </v>
      </c>
      <c r="D205" s="398" t="str">
        <f aca="false">IF(A205="N/A"," ",C205*B205)</f>
        <v> </v>
      </c>
      <c r="E205" s="396" t="str">
        <f aca="false">IF(A205="N/A"," ",IF(ISERROR(O205),E193*Pwresc,O205)*VLOOKUP(MONTH(A205),Curveadj,3))</f>
        <v> </v>
      </c>
      <c r="F205" s="398" t="str">
        <f aca="false">IF(A205="N/A"," ",E205*C205)</f>
        <v> </v>
      </c>
      <c r="G205" s="396" t="str">
        <f aca="false">IF(A205="N/A"," ",IF(ISERROR(P205),G193*Pwresc,P205)*VLOOKUP(MONTH(A205),Curveadj,3))</f>
        <v> </v>
      </c>
      <c r="H205" s="398" t="str">
        <f aca="false">IF(A205="N/A"," ",G205*C205)</f>
        <v> </v>
      </c>
      <c r="I205" s="398" t="str">
        <f aca="false">IF(A205="N/A"," ",IF(ISERROR(Q205),I193*Pwresc,Q205))</f>
        <v> </v>
      </c>
      <c r="J205" s="398"/>
      <c r="K205" s="399"/>
      <c r="L205" s="399"/>
      <c r="M205" s="404"/>
      <c r="N205" s="401" t="str">
        <f aca="false">IF(A205="N/A"," ",VLOOKUP(A205,PeakPowerCurves,(IF(BMO3=2,3,IF(BMO3=1,2,4))),FALSE()))</f>
        <v> </v>
      </c>
      <c r="O205" s="401" t="str">
        <f aca="false">IF(A205="N/A"," ",VLOOKUP(A205,SatSunPeakPwr,(IF(BMO3=2,3,IF(BMO3=1,2,4))),FALSE()))</f>
        <v> </v>
      </c>
      <c r="P205" s="401" t="str">
        <f aca="false">IF(A205="N/A"," ",VLOOKUP(A205,SatSunPeakPwr,(IF(BMO3=2,7,IF(BMO3=1,6,8))),FALSE()))</f>
        <v> </v>
      </c>
      <c r="Q205" s="402" t="str">
        <f aca="false">IF(A205="N/A"," ",(VLOOKUP(A205,OPPowerPrices,(IF(BMO3=2,7,IF(BMO3=1,6,8))),FALSE())))</f>
        <v> </v>
      </c>
      <c r="R205" s="403" t="str">
        <f aca="false">IF(A205="N/A"," ",(VLOOKUP($A205,IRTable,2)))</f>
        <v> </v>
      </c>
      <c r="AF205" s="352" t="n">
        <v>42675</v>
      </c>
      <c r="AG205" s="311" t="n">
        <v>21</v>
      </c>
      <c r="AH205" s="311" t="n">
        <v>4</v>
      </c>
      <c r="AI205" s="311" t="n">
        <v>5</v>
      </c>
      <c r="AJ205" s="311" t="n">
        <v>1</v>
      </c>
      <c r="AK205" s="311" t="n">
        <v>30</v>
      </c>
      <c r="AU205" s="406"/>
    </row>
    <row r="206" customFormat="false" ht="12.75" hidden="false" customHeight="false" outlineLevel="0" collapsed="false">
      <c r="A206" s="352" t="str">
        <f aca="false">Option3!A173</f>
        <v>N/A</v>
      </c>
      <c r="B206" s="396" t="str">
        <f aca="false">IF(A206="N/A"," ",IF(ISERROR(N206),B194*Pwresc,N206)*VLOOKUP(MONTH(A206),Curveadj,3))</f>
        <v> </v>
      </c>
      <c r="C206" s="397" t="str">
        <f aca="false">IF(A206="N/A"," ",(IF(AND(Scaler3=1,MONTH(A206)&gt;=6,MONTH(A206)&lt;=8,OR($M$37="REGION 2",$M$37="REGION 2A",$M$37="REGION 2B",$M$37="REGION 3",$M$37="REGION 3A",$M$37="REGION 3B",$M$37="REGION 3C",$M$37="REGION 4",$M$37="REGION 4B",$M$37="REGION 4C",$M$37="REGION 5",$M$37="REGION 5A")),((0.059228/(B206/100))-(0.4980013/(SQRT(B206/100)))+2.137988),HLOOKUP(MONTH(A206),ScalarTable,28))))</f>
        <v> </v>
      </c>
      <c r="D206" s="398" t="str">
        <f aca="false">IF(A206="N/A"," ",C206*B206)</f>
        <v> </v>
      </c>
      <c r="E206" s="396" t="str">
        <f aca="false">IF(A206="N/A"," ",IF(ISERROR(O206),E194*Pwresc,O206)*VLOOKUP(MONTH(A206),Curveadj,3))</f>
        <v> </v>
      </c>
      <c r="F206" s="398" t="str">
        <f aca="false">IF(A206="N/A"," ",E206*C206)</f>
        <v> </v>
      </c>
      <c r="G206" s="396" t="str">
        <f aca="false">IF(A206="N/A"," ",IF(ISERROR(P206),G194*Pwresc,P206)*VLOOKUP(MONTH(A206),Curveadj,3))</f>
        <v> </v>
      </c>
      <c r="H206" s="398" t="str">
        <f aca="false">IF(A206="N/A"," ",G206*C206)</f>
        <v> </v>
      </c>
      <c r="I206" s="398" t="str">
        <f aca="false">IF(A206="N/A"," ",IF(ISERROR(Q206),I194*Pwresc,Q206))</f>
        <v> </v>
      </c>
      <c r="J206" s="398"/>
      <c r="K206" s="399"/>
      <c r="L206" s="399"/>
      <c r="M206" s="404"/>
      <c r="N206" s="401" t="str">
        <f aca="false">IF(A206="N/A"," ",VLOOKUP(A206,PeakPowerCurves,(IF(BMO3=2,3,IF(BMO3=1,2,4))),FALSE()))</f>
        <v> </v>
      </c>
      <c r="O206" s="401" t="str">
        <f aca="false">IF(A206="N/A"," ",VLOOKUP(A206,SatSunPeakPwr,(IF(BMO3=2,3,IF(BMO3=1,2,4))),FALSE()))</f>
        <v> </v>
      </c>
      <c r="P206" s="401" t="str">
        <f aca="false">IF(A206="N/A"," ",VLOOKUP(A206,SatSunPeakPwr,(IF(BMO3=2,7,IF(BMO3=1,6,8))),FALSE()))</f>
        <v> </v>
      </c>
      <c r="Q206" s="402" t="str">
        <f aca="false">IF(A206="N/A"," ",(VLOOKUP(A206,OPPowerPrices,(IF(BMO3=2,7,IF(BMO3=1,6,8))),FALSE())))</f>
        <v> </v>
      </c>
      <c r="R206" s="403" t="str">
        <f aca="false">IF(A206="N/A"," ",(VLOOKUP($A206,IRTable,2)))</f>
        <v> </v>
      </c>
      <c r="AF206" s="352" t="n">
        <v>42705</v>
      </c>
      <c r="AG206" s="311" t="n">
        <v>21</v>
      </c>
      <c r="AH206" s="311" t="n">
        <v>5</v>
      </c>
      <c r="AI206" s="311" t="n">
        <v>5</v>
      </c>
      <c r="AJ206" s="311" t="n">
        <v>1</v>
      </c>
      <c r="AK206" s="311" t="n">
        <v>31</v>
      </c>
      <c r="AU206" s="406"/>
    </row>
    <row r="207" customFormat="false" ht="12.75" hidden="false" customHeight="false" outlineLevel="0" collapsed="false">
      <c r="A207" s="352" t="str">
        <f aca="false">Option3!A174</f>
        <v>N/A</v>
      </c>
      <c r="B207" s="396" t="str">
        <f aca="false">IF(A207="N/A"," ",IF(ISERROR(N207),B195*Pwresc,N207)*VLOOKUP(MONTH(A207),Curveadj,3))</f>
        <v> </v>
      </c>
      <c r="C207" s="397" t="str">
        <f aca="false">IF(A207="N/A"," ",(IF(AND(Scaler3=1,MONTH(A207)&gt;=6,MONTH(A207)&lt;=8,OR($M$37="REGION 2",$M$37="REGION 2A",$M$37="REGION 2B",$M$37="REGION 3",$M$37="REGION 3A",$M$37="REGION 3B",$M$37="REGION 3C",$M$37="REGION 4",$M$37="REGION 4B",$M$37="REGION 4C",$M$37="REGION 5",$M$37="REGION 5A")),((0.059228/(B207/100))-(0.4980013/(SQRT(B207/100)))+2.137988),HLOOKUP(MONTH(A207),ScalarTable,28))))</f>
        <v> </v>
      </c>
      <c r="D207" s="398" t="str">
        <f aca="false">IF(A207="N/A"," ",C207*B207)</f>
        <v> </v>
      </c>
      <c r="E207" s="396" t="str">
        <f aca="false">IF(A207="N/A"," ",IF(ISERROR(O207),E195*Pwresc,O207)*VLOOKUP(MONTH(A207),Curveadj,3))</f>
        <v> </v>
      </c>
      <c r="F207" s="398" t="str">
        <f aca="false">IF(A207="N/A"," ",E207*C207)</f>
        <v> </v>
      </c>
      <c r="G207" s="396" t="str">
        <f aca="false">IF(A207="N/A"," ",IF(ISERROR(P207),G195*Pwresc,P207)*VLOOKUP(MONTH(A207),Curveadj,3))</f>
        <v> </v>
      </c>
      <c r="H207" s="398" t="str">
        <f aca="false">IF(A207="N/A"," ",G207*C207)</f>
        <v> </v>
      </c>
      <c r="I207" s="398" t="str">
        <f aca="false">IF(A207="N/A"," ",IF(ISERROR(Q207),I195*Pwresc,Q207))</f>
        <v> </v>
      </c>
      <c r="J207" s="398"/>
      <c r="K207" s="399"/>
      <c r="L207" s="399"/>
      <c r="M207" s="404"/>
      <c r="N207" s="401" t="str">
        <f aca="false">IF(A207="N/A"," ",VLOOKUP(A207,PeakPowerCurves,(IF(BMO3=2,3,IF(BMO3=1,2,4))),FALSE()))</f>
        <v> </v>
      </c>
      <c r="O207" s="401" t="str">
        <f aca="false">IF(A207="N/A"," ",VLOOKUP(A207,SatSunPeakPwr,(IF(BMO3=2,3,IF(BMO3=1,2,4))),FALSE()))</f>
        <v> </v>
      </c>
      <c r="P207" s="401" t="str">
        <f aca="false">IF(A207="N/A"," ",VLOOKUP(A207,SatSunPeakPwr,(IF(BMO3=2,7,IF(BMO3=1,6,8))),FALSE()))</f>
        <v> </v>
      </c>
      <c r="Q207" s="402" t="str">
        <f aca="false">IF(A207="N/A"," ",(VLOOKUP(A207,OPPowerPrices,(IF(BMO3=2,7,IF(BMO3=1,6,8))),FALSE())))</f>
        <v> </v>
      </c>
      <c r="R207" s="403" t="str">
        <f aca="false">IF(A207="N/A"," ",(VLOOKUP($A207,IRTable,2)))</f>
        <v> </v>
      </c>
      <c r="AF207" s="352" t="n">
        <v>42736</v>
      </c>
      <c r="AG207" s="311" t="n">
        <v>21</v>
      </c>
      <c r="AH207" s="311" t="n">
        <v>4</v>
      </c>
      <c r="AI207" s="311" t="n">
        <v>6</v>
      </c>
      <c r="AJ207" s="311" t="n">
        <v>1</v>
      </c>
      <c r="AK207" s="311" t="n">
        <v>31</v>
      </c>
      <c r="AU207" s="406"/>
    </row>
    <row r="208" customFormat="false" ht="12.75" hidden="false" customHeight="false" outlineLevel="0" collapsed="false">
      <c r="A208" s="352" t="str">
        <f aca="false">Option3!A175</f>
        <v>N/A</v>
      </c>
      <c r="B208" s="396" t="str">
        <f aca="false">IF(A208="N/A"," ",IF(ISERROR(N208),B196*Pwresc,N208)*VLOOKUP(MONTH(A208),Curveadj,3))</f>
        <v> </v>
      </c>
      <c r="C208" s="397" t="str">
        <f aca="false">IF(A208="N/A"," ",(IF(AND(Scaler3=1,MONTH(A208)&gt;=6,MONTH(A208)&lt;=8,OR($M$37="REGION 2",$M$37="REGION 2A",$M$37="REGION 2B",$M$37="REGION 3",$M$37="REGION 3A",$M$37="REGION 3B",$M$37="REGION 3C",$M$37="REGION 4",$M$37="REGION 4B",$M$37="REGION 4C",$M$37="REGION 5",$M$37="REGION 5A")),((0.059228/(B208/100))-(0.4980013/(SQRT(B208/100)))+2.137988),HLOOKUP(MONTH(A208),ScalarTable,28))))</f>
        <v> </v>
      </c>
      <c r="D208" s="398" t="str">
        <f aca="false">IF(A208="N/A"," ",C208*B208)</f>
        <v> </v>
      </c>
      <c r="E208" s="396" t="str">
        <f aca="false">IF(A208="N/A"," ",IF(ISERROR(O208),E196*Pwresc,O208)*VLOOKUP(MONTH(A208),Curveadj,3))</f>
        <v> </v>
      </c>
      <c r="F208" s="398" t="str">
        <f aca="false">IF(A208="N/A"," ",E208*C208)</f>
        <v> </v>
      </c>
      <c r="G208" s="396" t="str">
        <f aca="false">IF(A208="N/A"," ",IF(ISERROR(P208),G196*Pwresc,P208)*VLOOKUP(MONTH(A208),Curveadj,3))</f>
        <v> </v>
      </c>
      <c r="H208" s="398" t="str">
        <f aca="false">IF(A208="N/A"," ",G208*C208)</f>
        <v> </v>
      </c>
      <c r="I208" s="398" t="str">
        <f aca="false">IF(A208="N/A"," ",IF(ISERROR(Q208),I196*Pwresc,Q208))</f>
        <v> </v>
      </c>
      <c r="J208" s="398"/>
      <c r="K208" s="399"/>
      <c r="L208" s="399"/>
      <c r="M208" s="404"/>
      <c r="N208" s="401" t="str">
        <f aca="false">IF(A208="N/A"," ",VLOOKUP(A208,PeakPowerCurves,(IF(BMO3=2,3,IF(BMO3=1,2,4))),FALSE()))</f>
        <v> </v>
      </c>
      <c r="O208" s="401" t="str">
        <f aca="false">IF(A208="N/A"," ",VLOOKUP(A208,SatSunPeakPwr,(IF(BMO3=2,3,IF(BMO3=1,2,4))),FALSE()))</f>
        <v> </v>
      </c>
      <c r="P208" s="401" t="str">
        <f aca="false">IF(A208="N/A"," ",VLOOKUP(A208,SatSunPeakPwr,(IF(BMO3=2,7,IF(BMO3=1,6,8))),FALSE()))</f>
        <v> </v>
      </c>
      <c r="Q208" s="402" t="str">
        <f aca="false">IF(A208="N/A"," ",(VLOOKUP(A208,OPPowerPrices,(IF(BMO3=2,7,IF(BMO3=1,6,8))),FALSE())))</f>
        <v> </v>
      </c>
      <c r="R208" s="403" t="str">
        <f aca="false">IF(A208="N/A"," ",(VLOOKUP($A208,IRTable,2)))</f>
        <v> </v>
      </c>
      <c r="AF208" s="352" t="n">
        <v>42767</v>
      </c>
      <c r="AG208" s="311" t="n">
        <v>20</v>
      </c>
      <c r="AH208" s="311" t="n">
        <v>4</v>
      </c>
      <c r="AI208" s="311" t="n">
        <v>4</v>
      </c>
      <c r="AJ208" s="311" t="n">
        <v>0</v>
      </c>
      <c r="AK208" s="311" t="n">
        <v>28</v>
      </c>
      <c r="AU208" s="406"/>
    </row>
    <row r="209" customFormat="false" ht="12.75" hidden="false" customHeight="false" outlineLevel="0" collapsed="false">
      <c r="A209" s="352" t="str">
        <f aca="false">Option3!A176</f>
        <v>N/A</v>
      </c>
      <c r="B209" s="396" t="str">
        <f aca="false">IF(A209="N/A"," ",IF(ISERROR(N209),B197*Pwresc,N209)*VLOOKUP(MONTH(A209),Curveadj,3))</f>
        <v> </v>
      </c>
      <c r="C209" s="397" t="str">
        <f aca="false">IF(A209="N/A"," ",(IF(AND(Scaler3=1,MONTH(A209)&gt;=6,MONTH(A209)&lt;=8,OR($M$37="REGION 2",$M$37="REGION 2A",$M$37="REGION 2B",$M$37="REGION 3",$M$37="REGION 3A",$M$37="REGION 3B",$M$37="REGION 3C",$M$37="REGION 4",$M$37="REGION 4B",$M$37="REGION 4C",$M$37="REGION 5",$M$37="REGION 5A")),((0.059228/(B209/100))-(0.4980013/(SQRT(B209/100)))+2.137988),HLOOKUP(MONTH(A209),ScalarTable,28))))</f>
        <v> </v>
      </c>
      <c r="D209" s="398" t="str">
        <f aca="false">IF(A209="N/A"," ",C209*B209)</f>
        <v> </v>
      </c>
      <c r="E209" s="396" t="str">
        <f aca="false">IF(A209="N/A"," ",IF(ISERROR(O209),E197*Pwresc,O209)*VLOOKUP(MONTH(A209),Curveadj,3))</f>
        <v> </v>
      </c>
      <c r="F209" s="398" t="str">
        <f aca="false">IF(A209="N/A"," ",E209*C209)</f>
        <v> </v>
      </c>
      <c r="G209" s="396" t="str">
        <f aca="false">IF(A209="N/A"," ",IF(ISERROR(P209),G197*Pwresc,P209)*VLOOKUP(MONTH(A209),Curveadj,3))</f>
        <v> </v>
      </c>
      <c r="H209" s="398" t="str">
        <f aca="false">IF(A209="N/A"," ",G209*C209)</f>
        <v> </v>
      </c>
      <c r="I209" s="398" t="str">
        <f aca="false">IF(A209="N/A"," ",IF(ISERROR(Q209),I197*Pwresc,Q209))</f>
        <v> </v>
      </c>
      <c r="J209" s="398"/>
      <c r="K209" s="399"/>
      <c r="L209" s="399"/>
      <c r="M209" s="404"/>
      <c r="N209" s="401" t="str">
        <f aca="false">IF(A209="N/A"," ",VLOOKUP(A209,PeakPowerCurves,(IF(BMO3=2,3,IF(BMO3=1,2,4))),FALSE()))</f>
        <v> </v>
      </c>
      <c r="O209" s="401" t="str">
        <f aca="false">IF(A209="N/A"," ",VLOOKUP(A209,SatSunPeakPwr,(IF(BMO3=2,3,IF(BMO3=1,2,4))),FALSE()))</f>
        <v> </v>
      </c>
      <c r="P209" s="401" t="str">
        <f aca="false">IF(A209="N/A"," ",VLOOKUP(A209,SatSunPeakPwr,(IF(BMO3=2,7,IF(BMO3=1,6,8))),FALSE()))</f>
        <v> </v>
      </c>
      <c r="Q209" s="402" t="str">
        <f aca="false">IF(A209="N/A"," ",(VLOOKUP(A209,OPPowerPrices,(IF(BMO3=2,7,IF(BMO3=1,6,8))),FALSE())))</f>
        <v> </v>
      </c>
      <c r="R209" s="403" t="str">
        <f aca="false">IF(A209="N/A"," ",(VLOOKUP($A209,IRTable,2)))</f>
        <v> </v>
      </c>
      <c r="AF209" s="352" t="n">
        <v>42795</v>
      </c>
      <c r="AG209" s="311" t="n">
        <v>23</v>
      </c>
      <c r="AH209" s="311" t="n">
        <v>4</v>
      </c>
      <c r="AI209" s="311" t="n">
        <v>4</v>
      </c>
      <c r="AJ209" s="311" t="n">
        <v>0</v>
      </c>
      <c r="AK209" s="311" t="n">
        <v>31</v>
      </c>
      <c r="AU209" s="406"/>
    </row>
    <row r="210" customFormat="false" ht="12.75" hidden="false" customHeight="false" outlineLevel="0" collapsed="false">
      <c r="A210" s="352" t="str">
        <f aca="false">Option3!A177</f>
        <v>N/A</v>
      </c>
      <c r="B210" s="396" t="str">
        <f aca="false">IF(A210="N/A"," ",IF(ISERROR(N210),B198*Pwresc,N210)*VLOOKUP(MONTH(A210),Curveadj,3))</f>
        <v> </v>
      </c>
      <c r="C210" s="397" t="str">
        <f aca="false">IF(A210="N/A"," ",(IF(AND(Scaler3=1,MONTH(A210)&gt;=6,MONTH(A210)&lt;=8,OR($M$37="REGION 2",$M$37="REGION 2A",$M$37="REGION 2B",$M$37="REGION 3",$M$37="REGION 3A",$M$37="REGION 3B",$M$37="REGION 3C",$M$37="REGION 4",$M$37="REGION 4B",$M$37="REGION 4C",$M$37="REGION 5",$M$37="REGION 5A")),((0.059228/(B210/100))-(0.4980013/(SQRT(B210/100)))+2.137988),HLOOKUP(MONTH(A210),ScalarTable,28))))</f>
        <v> </v>
      </c>
      <c r="D210" s="398" t="str">
        <f aca="false">IF(A210="N/A"," ",C210*B210)</f>
        <v> </v>
      </c>
      <c r="E210" s="396" t="str">
        <f aca="false">IF(A210="N/A"," ",IF(ISERROR(O210),E198*Pwresc,O210)*VLOOKUP(MONTH(A210),Curveadj,3))</f>
        <v> </v>
      </c>
      <c r="F210" s="398" t="str">
        <f aca="false">IF(A210="N/A"," ",E210*C210)</f>
        <v> </v>
      </c>
      <c r="G210" s="396" t="str">
        <f aca="false">IF(A210="N/A"," ",IF(ISERROR(P210),G198*Pwresc,P210)*VLOOKUP(MONTH(A210),Curveadj,3))</f>
        <v> </v>
      </c>
      <c r="H210" s="398" t="str">
        <f aca="false">IF(A210="N/A"," ",G210*C210)</f>
        <v> </v>
      </c>
      <c r="I210" s="398" t="str">
        <f aca="false">IF(A210="N/A"," ",IF(ISERROR(Q210),I198*Pwresc,Q210))</f>
        <v> </v>
      </c>
      <c r="J210" s="398"/>
      <c r="K210" s="399"/>
      <c r="L210" s="399"/>
      <c r="M210" s="404"/>
      <c r="N210" s="401" t="str">
        <f aca="false">IF(A210="N/A"," ",VLOOKUP(A210,PeakPowerCurves,(IF(BMO3=2,3,IF(BMO3=1,2,4))),FALSE()))</f>
        <v> </v>
      </c>
      <c r="O210" s="401" t="str">
        <f aca="false">IF(A210="N/A"," ",VLOOKUP(A210,SatSunPeakPwr,(IF(BMO3=2,3,IF(BMO3=1,2,4))),FALSE()))</f>
        <v> </v>
      </c>
      <c r="P210" s="401" t="str">
        <f aca="false">IF(A210="N/A"," ",VLOOKUP(A210,SatSunPeakPwr,(IF(BMO3=2,7,IF(BMO3=1,6,8))),FALSE()))</f>
        <v> </v>
      </c>
      <c r="Q210" s="402" t="str">
        <f aca="false">IF(A210="N/A"," ",(VLOOKUP(A210,OPPowerPrices,(IF(BMO3=2,7,IF(BMO3=1,6,8))),FALSE())))</f>
        <v> </v>
      </c>
      <c r="R210" s="403" t="str">
        <f aca="false">IF(A210="N/A"," ",(VLOOKUP($A210,IRTable,2)))</f>
        <v> </v>
      </c>
      <c r="AF210" s="352" t="n">
        <v>42826</v>
      </c>
      <c r="AG210" s="311" t="n">
        <v>20</v>
      </c>
      <c r="AH210" s="311" t="n">
        <v>5</v>
      </c>
      <c r="AI210" s="311" t="n">
        <v>5</v>
      </c>
      <c r="AJ210" s="311" t="n">
        <v>0</v>
      </c>
      <c r="AK210" s="311" t="n">
        <v>30</v>
      </c>
      <c r="AU210" s="406"/>
    </row>
    <row r="211" customFormat="false" ht="12.75" hidden="false" customHeight="false" outlineLevel="0" collapsed="false">
      <c r="A211" s="352" t="str">
        <f aca="false">Option3!A178</f>
        <v>N/A</v>
      </c>
      <c r="B211" s="396" t="str">
        <f aca="false">IF(A211="N/A"," ",IF(ISERROR(N211),B199*Pwresc,N211)*VLOOKUP(MONTH(A211),Curveadj,3))</f>
        <v> </v>
      </c>
      <c r="C211" s="397" t="str">
        <f aca="false">IF(A211="N/A"," ",(IF(AND(Scaler3=1,MONTH(A211)&gt;=6,MONTH(A211)&lt;=8,OR($M$37="REGION 2",$M$37="REGION 2A",$M$37="REGION 2B",$M$37="REGION 3",$M$37="REGION 3A",$M$37="REGION 3B",$M$37="REGION 3C",$M$37="REGION 4",$M$37="REGION 4B",$M$37="REGION 4C",$M$37="REGION 5",$M$37="REGION 5A")),((0.059228/(B211/100))-(0.4980013/(SQRT(B211/100)))+2.137988),HLOOKUP(MONTH(A211),ScalarTable,28))))</f>
        <v> </v>
      </c>
      <c r="D211" s="398" t="str">
        <f aca="false">IF(A211="N/A"," ",C211*B211)</f>
        <v> </v>
      </c>
      <c r="E211" s="396" t="str">
        <f aca="false">IF(A211="N/A"," ",IF(ISERROR(O211),E199*Pwresc,O211)*VLOOKUP(MONTH(A211),Curveadj,3))</f>
        <v> </v>
      </c>
      <c r="F211" s="398" t="str">
        <f aca="false">IF(A211="N/A"," ",E211*C211)</f>
        <v> </v>
      </c>
      <c r="G211" s="396" t="str">
        <f aca="false">IF(A211="N/A"," ",IF(ISERROR(P211),G199*Pwresc,P211)*VLOOKUP(MONTH(A211),Curveadj,3))</f>
        <v> </v>
      </c>
      <c r="H211" s="398" t="str">
        <f aca="false">IF(A211="N/A"," ",G211*C211)</f>
        <v> </v>
      </c>
      <c r="I211" s="398" t="str">
        <f aca="false">IF(A211="N/A"," ",IF(ISERROR(Q211),I199*Pwresc,Q211))</f>
        <v> </v>
      </c>
      <c r="J211" s="398"/>
      <c r="K211" s="399"/>
      <c r="L211" s="399"/>
      <c r="M211" s="404"/>
      <c r="N211" s="401" t="str">
        <f aca="false">IF(A211="N/A"," ",VLOOKUP(A211,PeakPowerCurves,(IF(BMO3=2,3,IF(BMO3=1,2,4))),FALSE()))</f>
        <v> </v>
      </c>
      <c r="O211" s="401" t="str">
        <f aca="false">IF(A211="N/A"," ",VLOOKUP(A211,SatSunPeakPwr,(IF(BMO3=2,3,IF(BMO3=1,2,4))),FALSE()))</f>
        <v> </v>
      </c>
      <c r="P211" s="401" t="str">
        <f aca="false">IF(A211="N/A"," ",VLOOKUP(A211,SatSunPeakPwr,(IF(BMO3=2,7,IF(BMO3=1,6,8))),FALSE()))</f>
        <v> </v>
      </c>
      <c r="Q211" s="402" t="str">
        <f aca="false">IF(A211="N/A"," ",(VLOOKUP(A211,OPPowerPrices,(IF(BMO3=2,7,IF(BMO3=1,6,8))),FALSE())))</f>
        <v> </v>
      </c>
      <c r="R211" s="403" t="str">
        <f aca="false">IF(A211="N/A"," ",(VLOOKUP($A211,IRTable,2)))</f>
        <v> </v>
      </c>
      <c r="AF211" s="352" t="n">
        <v>42856</v>
      </c>
      <c r="AG211" s="311" t="n">
        <v>22</v>
      </c>
      <c r="AH211" s="311" t="n">
        <v>4</v>
      </c>
      <c r="AI211" s="311" t="n">
        <v>5</v>
      </c>
      <c r="AJ211" s="311" t="n">
        <v>1</v>
      </c>
      <c r="AK211" s="311" t="n">
        <v>31</v>
      </c>
      <c r="AU211" s="406"/>
    </row>
    <row r="212" customFormat="false" ht="12.75" hidden="false" customHeight="false" outlineLevel="0" collapsed="false">
      <c r="A212" s="352" t="str">
        <f aca="false">Option3!A179</f>
        <v>N/A</v>
      </c>
      <c r="B212" s="396" t="str">
        <f aca="false">IF(A212="N/A"," ",IF(ISERROR(N212),B200*Pwresc,N212)*VLOOKUP(MONTH(A212),Curveadj,3))</f>
        <v> </v>
      </c>
      <c r="C212" s="397" t="str">
        <f aca="false">IF(A212="N/A"," ",(IF(AND(Scaler3=1,MONTH(A212)&gt;=6,MONTH(A212)&lt;=8,OR($M$37="REGION 2",$M$37="REGION 2A",$M$37="REGION 2B",$M$37="REGION 3",$M$37="REGION 3A",$M$37="REGION 3B",$M$37="REGION 3C",$M$37="REGION 4",$M$37="REGION 4B",$M$37="REGION 4C",$M$37="REGION 5",$M$37="REGION 5A")),((0.059228/(B212/100))-(0.4980013/(SQRT(B212/100)))+2.137988),HLOOKUP(MONTH(A212),ScalarTable,28))))</f>
        <v> </v>
      </c>
      <c r="D212" s="398" t="str">
        <f aca="false">IF(A212="N/A"," ",C212*B212)</f>
        <v> </v>
      </c>
      <c r="E212" s="396" t="str">
        <f aca="false">IF(A212="N/A"," ",IF(ISERROR(O212),E200*Pwresc,O212)*VLOOKUP(MONTH(A212),Curveadj,3))</f>
        <v> </v>
      </c>
      <c r="F212" s="398" t="str">
        <f aca="false">IF(A212="N/A"," ",E212*C212)</f>
        <v> </v>
      </c>
      <c r="G212" s="396" t="str">
        <f aca="false">IF(A212="N/A"," ",IF(ISERROR(P212),G200*Pwresc,P212)*VLOOKUP(MONTH(A212),Curveadj,3))</f>
        <v> </v>
      </c>
      <c r="H212" s="398" t="str">
        <f aca="false">IF(A212="N/A"," ",G212*C212)</f>
        <v> </v>
      </c>
      <c r="I212" s="398" t="str">
        <f aca="false">IF(A212="N/A"," ",IF(ISERROR(Q212),I200*Pwresc,Q212))</f>
        <v> </v>
      </c>
      <c r="J212" s="398"/>
      <c r="K212" s="399"/>
      <c r="L212" s="399"/>
      <c r="M212" s="404"/>
      <c r="N212" s="401" t="str">
        <f aca="false">IF(A212="N/A"," ",VLOOKUP(A212,PeakPowerCurves,(IF(BMO3=2,3,IF(BMO3=1,2,4))),FALSE()))</f>
        <v> </v>
      </c>
      <c r="O212" s="401" t="str">
        <f aca="false">IF(A212="N/A"," ",VLOOKUP(A212,SatSunPeakPwr,(IF(BMO3=2,3,IF(BMO3=1,2,4))),FALSE()))</f>
        <v> </v>
      </c>
      <c r="P212" s="401" t="str">
        <f aca="false">IF(A212="N/A"," ",VLOOKUP(A212,SatSunPeakPwr,(IF(BMO3=2,7,IF(BMO3=1,6,8))),FALSE()))</f>
        <v> </v>
      </c>
      <c r="Q212" s="402" t="str">
        <f aca="false">IF(A212="N/A"," ",(VLOOKUP(A212,OPPowerPrices,(IF(BMO3=2,7,IF(BMO3=1,6,8))),FALSE())))</f>
        <v> </v>
      </c>
      <c r="R212" s="403" t="str">
        <f aca="false">IF(A212="N/A"," ",(VLOOKUP($A212,IRTable,2)))</f>
        <v> </v>
      </c>
      <c r="AF212" s="352" t="n">
        <v>42887</v>
      </c>
      <c r="AG212" s="311" t="n">
        <v>22</v>
      </c>
      <c r="AH212" s="311" t="n">
        <v>4</v>
      </c>
      <c r="AI212" s="311" t="n">
        <v>4</v>
      </c>
      <c r="AJ212" s="311" t="n">
        <v>0</v>
      </c>
      <c r="AK212" s="311" t="n">
        <v>30</v>
      </c>
      <c r="AU212" s="406"/>
    </row>
    <row r="213" customFormat="false" ht="12.75" hidden="false" customHeight="false" outlineLevel="0" collapsed="false">
      <c r="A213" s="352" t="str">
        <f aca="false">Option3!A180</f>
        <v>N/A</v>
      </c>
      <c r="B213" s="396" t="str">
        <f aca="false">IF(A213="N/A"," ",IF(ISERROR(N213),B201*Pwresc,N213)*VLOOKUP(MONTH(A213),Curveadj,3))</f>
        <v> </v>
      </c>
      <c r="C213" s="397" t="str">
        <f aca="false">IF(A213="N/A"," ",(IF(AND(Scaler3=1,MONTH(A213)&gt;=6,MONTH(A213)&lt;=8,OR($M$37="REGION 2",$M$37="REGION 2A",$M$37="REGION 2B",$M$37="REGION 3",$M$37="REGION 3A",$M$37="REGION 3B",$M$37="REGION 3C",$M$37="REGION 4",$M$37="REGION 4B",$M$37="REGION 4C",$M$37="REGION 5",$M$37="REGION 5A")),((0.059228/(B213/100))-(0.4980013/(SQRT(B213/100)))+2.137988),HLOOKUP(MONTH(A213),ScalarTable,28))))</f>
        <v> </v>
      </c>
      <c r="D213" s="398" t="str">
        <f aca="false">IF(A213="N/A"," ",C213*B213)</f>
        <v> </v>
      </c>
      <c r="E213" s="396" t="str">
        <f aca="false">IF(A213="N/A"," ",IF(ISERROR(O213),E201*Pwresc,O213)*VLOOKUP(MONTH(A213),Curveadj,3))</f>
        <v> </v>
      </c>
      <c r="F213" s="398" t="str">
        <f aca="false">IF(A213="N/A"," ",E213*C213)</f>
        <v> </v>
      </c>
      <c r="G213" s="396" t="str">
        <f aca="false">IF(A213="N/A"," ",IF(ISERROR(P213),G201*Pwresc,P213)*VLOOKUP(MONTH(A213),Curveadj,3))</f>
        <v> </v>
      </c>
      <c r="H213" s="398" t="str">
        <f aca="false">IF(A213="N/A"," ",G213*C213)</f>
        <v> </v>
      </c>
      <c r="I213" s="398" t="str">
        <f aca="false">IF(A213="N/A"," ",IF(ISERROR(Q213),I201*Pwresc,Q213))</f>
        <v> </v>
      </c>
      <c r="J213" s="398"/>
      <c r="K213" s="399"/>
      <c r="L213" s="399"/>
      <c r="M213" s="404"/>
      <c r="N213" s="401" t="str">
        <f aca="false">IF(A213="N/A"," ",VLOOKUP(A213,PeakPowerCurves,(IF(BMO3=2,3,IF(BMO3=1,2,4))),FALSE()))</f>
        <v> </v>
      </c>
      <c r="O213" s="401" t="str">
        <f aca="false">IF(A213="N/A"," ",VLOOKUP(A213,SatSunPeakPwr,(IF(BMO3=2,3,IF(BMO3=1,2,4))),FALSE()))</f>
        <v> </v>
      </c>
      <c r="P213" s="401" t="str">
        <f aca="false">IF(A213="N/A"," ",VLOOKUP(A213,SatSunPeakPwr,(IF(BMO3=2,7,IF(BMO3=1,6,8))),FALSE()))</f>
        <v> </v>
      </c>
      <c r="Q213" s="402" t="str">
        <f aca="false">IF(A213="N/A"," ",(VLOOKUP(A213,OPPowerPrices,(IF(BMO3=2,7,IF(BMO3=1,6,8))),FALSE())))</f>
        <v> </v>
      </c>
      <c r="R213" s="403" t="str">
        <f aca="false">IF(A213="N/A"," ",(VLOOKUP($A213,IRTable,2)))</f>
        <v> </v>
      </c>
      <c r="AF213" s="352" t="n">
        <v>42917</v>
      </c>
      <c r="AG213" s="311" t="n">
        <v>20</v>
      </c>
      <c r="AH213" s="311" t="n">
        <v>5</v>
      </c>
      <c r="AI213" s="311" t="n">
        <v>6</v>
      </c>
      <c r="AJ213" s="311" t="n">
        <v>1</v>
      </c>
      <c r="AK213" s="311" t="n">
        <v>31</v>
      </c>
      <c r="AU213" s="406"/>
    </row>
    <row r="214" customFormat="false" ht="12.75" hidden="false" customHeight="false" outlineLevel="0" collapsed="false">
      <c r="A214" s="352" t="str">
        <f aca="false">Option3!A181</f>
        <v>N/A</v>
      </c>
      <c r="B214" s="396" t="str">
        <f aca="false">IF(A214="N/A"," ",IF(ISERROR(N214),B202*Pwresc,N214)*VLOOKUP(MONTH(A214),Curveadj,3))</f>
        <v> </v>
      </c>
      <c r="C214" s="397" t="str">
        <f aca="false">IF(A214="N/A"," ",(IF(AND(Scaler3=1,MONTH(A214)&gt;=6,MONTH(A214)&lt;=8,OR($M$37="REGION 2",$M$37="REGION 2A",$M$37="REGION 2B",$M$37="REGION 3",$M$37="REGION 3A",$M$37="REGION 3B",$M$37="REGION 3C",$M$37="REGION 4",$M$37="REGION 4B",$M$37="REGION 4C",$M$37="REGION 5",$M$37="REGION 5A")),((0.059228/(B214/100))-(0.4980013/(SQRT(B214/100)))+2.137988),HLOOKUP(MONTH(A214),ScalarTable,28))))</f>
        <v> </v>
      </c>
      <c r="D214" s="398" t="str">
        <f aca="false">IF(A214="N/A"," ",C214*B214)</f>
        <v> </v>
      </c>
      <c r="E214" s="396" t="str">
        <f aca="false">IF(A214="N/A"," ",IF(ISERROR(O214),E202*Pwresc,O214)*VLOOKUP(MONTH(A214),Curveadj,3))</f>
        <v> </v>
      </c>
      <c r="F214" s="398" t="str">
        <f aca="false">IF(A214="N/A"," ",E214*C214)</f>
        <v> </v>
      </c>
      <c r="G214" s="396" t="str">
        <f aca="false">IF(A214="N/A"," ",IF(ISERROR(P214),G202*Pwresc,P214)*VLOOKUP(MONTH(A214),Curveadj,3))</f>
        <v> </v>
      </c>
      <c r="H214" s="398" t="str">
        <f aca="false">IF(A214="N/A"," ",G214*C214)</f>
        <v> </v>
      </c>
      <c r="I214" s="398" t="str">
        <f aca="false">IF(A214="N/A"," ",IF(ISERROR(Q214),I202*Pwresc,Q214))</f>
        <v> </v>
      </c>
      <c r="J214" s="398"/>
      <c r="K214" s="399"/>
      <c r="L214" s="399"/>
      <c r="M214" s="404"/>
      <c r="N214" s="401" t="str">
        <f aca="false">IF(A214="N/A"," ",VLOOKUP(A214,PeakPowerCurves,(IF(BMO3=2,3,IF(BMO3=1,2,4))),FALSE()))</f>
        <v> </v>
      </c>
      <c r="O214" s="401" t="str">
        <f aca="false">IF(A214="N/A"," ",VLOOKUP(A214,SatSunPeakPwr,(IF(BMO3=2,3,IF(BMO3=1,2,4))),FALSE()))</f>
        <v> </v>
      </c>
      <c r="P214" s="401" t="str">
        <f aca="false">IF(A214="N/A"," ",VLOOKUP(A214,SatSunPeakPwr,(IF(BMO3=2,7,IF(BMO3=1,6,8))),FALSE()))</f>
        <v> </v>
      </c>
      <c r="Q214" s="402" t="str">
        <f aca="false">IF(A214="N/A"," ",(VLOOKUP(A214,OPPowerPrices,(IF(BMO3=2,7,IF(BMO3=1,6,8))),FALSE())))</f>
        <v> </v>
      </c>
      <c r="R214" s="403" t="str">
        <f aca="false">IF(A214="N/A"," ",(VLOOKUP($A214,IRTable,2)))</f>
        <v> </v>
      </c>
      <c r="AF214" s="352" t="n">
        <v>42948</v>
      </c>
      <c r="AG214" s="311" t="n">
        <v>23</v>
      </c>
      <c r="AH214" s="311" t="n">
        <v>4</v>
      </c>
      <c r="AI214" s="311" t="n">
        <v>4</v>
      </c>
      <c r="AJ214" s="311" t="n">
        <v>0</v>
      </c>
      <c r="AK214" s="311" t="n">
        <v>31</v>
      </c>
      <c r="AU214" s="406"/>
    </row>
    <row r="215" customFormat="false" ht="12.75" hidden="false" customHeight="false" outlineLevel="0" collapsed="false">
      <c r="A215" s="352" t="str">
        <f aca="false">Option3!A182</f>
        <v>N/A</v>
      </c>
      <c r="B215" s="396" t="str">
        <f aca="false">IF(A215="N/A"," ",IF(ISERROR(N215),B203*Pwresc,N215)*VLOOKUP(MONTH(A215),Curveadj,3))</f>
        <v> </v>
      </c>
      <c r="C215" s="397" t="str">
        <f aca="false">IF(A215="N/A"," ",(IF(AND(Scaler3=1,MONTH(A215)&gt;=6,MONTH(A215)&lt;=8,OR($M$37="REGION 2",$M$37="REGION 2A",$M$37="REGION 2B",$M$37="REGION 3",$M$37="REGION 3A",$M$37="REGION 3B",$M$37="REGION 3C",$M$37="REGION 4",$M$37="REGION 4B",$M$37="REGION 4C",$M$37="REGION 5",$M$37="REGION 5A")),((0.059228/(B215/100))-(0.4980013/(SQRT(B215/100)))+2.137988),HLOOKUP(MONTH(A215),ScalarTable,28))))</f>
        <v> </v>
      </c>
      <c r="D215" s="398" t="str">
        <f aca="false">IF(A215="N/A"," ",C215*B215)</f>
        <v> </v>
      </c>
      <c r="E215" s="396" t="str">
        <f aca="false">IF(A215="N/A"," ",IF(ISERROR(O215),E203*Pwresc,O215)*VLOOKUP(MONTH(A215),Curveadj,3))</f>
        <v> </v>
      </c>
      <c r="F215" s="398" t="str">
        <f aca="false">IF(A215="N/A"," ",E215*C215)</f>
        <v> </v>
      </c>
      <c r="G215" s="396" t="str">
        <f aca="false">IF(A215="N/A"," ",IF(ISERROR(P215),G203*Pwresc,P215)*VLOOKUP(MONTH(A215),Curveadj,3))</f>
        <v> </v>
      </c>
      <c r="H215" s="398" t="str">
        <f aca="false">IF(A215="N/A"," ",G215*C215)</f>
        <v> </v>
      </c>
      <c r="I215" s="398" t="str">
        <f aca="false">IF(A215="N/A"," ",IF(ISERROR(Q215),I203*Pwresc,Q215))</f>
        <v> </v>
      </c>
      <c r="J215" s="398"/>
      <c r="K215" s="399"/>
      <c r="L215" s="399"/>
      <c r="M215" s="404"/>
      <c r="N215" s="401" t="str">
        <f aca="false">IF(A215="N/A"," ",VLOOKUP(A215,PeakPowerCurves,(IF(BMO3=2,3,IF(BMO3=1,2,4))),FALSE()))</f>
        <v> </v>
      </c>
      <c r="O215" s="401" t="str">
        <f aca="false">IF(A215="N/A"," ",VLOOKUP(A215,SatSunPeakPwr,(IF(BMO3=2,3,IF(BMO3=1,2,4))),FALSE()))</f>
        <v> </v>
      </c>
      <c r="P215" s="401" t="str">
        <f aca="false">IF(A215="N/A"," ",VLOOKUP(A215,SatSunPeakPwr,(IF(BMO3=2,7,IF(BMO3=1,6,8))),FALSE()))</f>
        <v> </v>
      </c>
      <c r="Q215" s="402" t="str">
        <f aca="false">IF(A215="N/A"," ",(VLOOKUP(A215,OPPowerPrices,(IF(BMO3=2,7,IF(BMO3=1,6,8))),FALSE())))</f>
        <v> </v>
      </c>
      <c r="R215" s="403" t="str">
        <f aca="false">IF(A215="N/A"," ",(VLOOKUP($A215,IRTable,2)))</f>
        <v> </v>
      </c>
      <c r="AF215" s="352" t="n">
        <v>42979</v>
      </c>
      <c r="AG215" s="311" t="n">
        <v>20</v>
      </c>
      <c r="AH215" s="311" t="n">
        <v>5</v>
      </c>
      <c r="AI215" s="311" t="n">
        <v>5</v>
      </c>
      <c r="AJ215" s="311" t="n">
        <v>1</v>
      </c>
      <c r="AK215" s="311" t="n">
        <v>30</v>
      </c>
      <c r="AU215" s="406"/>
    </row>
    <row r="216" customFormat="false" ht="12.75" hidden="false" customHeight="false" outlineLevel="0" collapsed="false">
      <c r="A216" s="352" t="str">
        <f aca="false">Option3!A183</f>
        <v>N/A</v>
      </c>
      <c r="B216" s="396" t="str">
        <f aca="false">IF(A216="N/A"," ",IF(ISERROR(N216),B204*Pwresc,N216)*VLOOKUP(MONTH(A216),Curveadj,3))</f>
        <v> </v>
      </c>
      <c r="C216" s="397" t="str">
        <f aca="false">IF(A216="N/A"," ",(IF(AND(Scaler3=1,MONTH(A216)&gt;=6,MONTH(A216)&lt;=8,OR($M$37="REGION 2",$M$37="REGION 2A",$M$37="REGION 2B",$M$37="REGION 3",$M$37="REGION 3A",$M$37="REGION 3B",$M$37="REGION 3C",$M$37="REGION 4",$M$37="REGION 4B",$M$37="REGION 4C",$M$37="REGION 5",$M$37="REGION 5A")),((0.059228/(B216/100))-(0.4980013/(SQRT(B216/100)))+2.137988),HLOOKUP(MONTH(A216),ScalarTable,28))))</f>
        <v> </v>
      </c>
      <c r="D216" s="398" t="str">
        <f aca="false">IF(A216="N/A"," ",C216*B216)</f>
        <v> </v>
      </c>
      <c r="E216" s="396" t="str">
        <f aca="false">IF(A216="N/A"," ",IF(ISERROR(O216),E204*Pwresc,O216)*VLOOKUP(MONTH(A216),Curveadj,3))</f>
        <v> </v>
      </c>
      <c r="F216" s="398" t="str">
        <f aca="false">IF(A216="N/A"," ",E216*C216)</f>
        <v> </v>
      </c>
      <c r="G216" s="396" t="str">
        <f aca="false">IF(A216="N/A"," ",IF(ISERROR(P216),G204*Pwresc,P216)*VLOOKUP(MONTH(A216),Curveadj,3))</f>
        <v> </v>
      </c>
      <c r="H216" s="398" t="str">
        <f aca="false">IF(A216="N/A"," ",G216*C216)</f>
        <v> </v>
      </c>
      <c r="I216" s="398" t="str">
        <f aca="false">IF(A216="N/A"," ",IF(ISERROR(Q216),I204*Pwresc,Q216))</f>
        <v> </v>
      </c>
      <c r="J216" s="398"/>
      <c r="K216" s="399"/>
      <c r="L216" s="399"/>
      <c r="M216" s="404"/>
      <c r="N216" s="401" t="str">
        <f aca="false">IF(A216="N/A"," ",VLOOKUP(A216,PeakPowerCurves,(IF(BMO3=2,3,IF(BMO3=1,2,4))),FALSE()))</f>
        <v> </v>
      </c>
      <c r="O216" s="401" t="str">
        <f aca="false">IF(A216="N/A"," ",VLOOKUP(A216,SatSunPeakPwr,(IF(BMO3=2,3,IF(BMO3=1,2,4))),FALSE()))</f>
        <v> </v>
      </c>
      <c r="P216" s="401" t="str">
        <f aca="false">IF(A216="N/A"," ",VLOOKUP(A216,SatSunPeakPwr,(IF(BMO3=2,7,IF(BMO3=1,6,8))),FALSE()))</f>
        <v> </v>
      </c>
      <c r="Q216" s="402" t="str">
        <f aca="false">IF(A216="N/A"," ",(VLOOKUP(A216,OPPowerPrices,(IF(BMO3=2,7,IF(BMO3=1,6,8))),FALSE())))</f>
        <v> </v>
      </c>
      <c r="R216" s="403" t="str">
        <f aca="false">IF(A216="N/A"," ",(VLOOKUP($A216,IRTable,2)))</f>
        <v> </v>
      </c>
      <c r="AF216" s="352" t="n">
        <v>43009</v>
      </c>
      <c r="AG216" s="311" t="n">
        <v>22</v>
      </c>
      <c r="AH216" s="311" t="n">
        <v>4</v>
      </c>
      <c r="AI216" s="311" t="n">
        <v>5</v>
      </c>
      <c r="AJ216" s="311" t="n">
        <v>0</v>
      </c>
      <c r="AK216" s="311" t="n">
        <v>31</v>
      </c>
      <c r="AU216" s="406"/>
    </row>
    <row r="217" customFormat="false" ht="12.75" hidden="false" customHeight="false" outlineLevel="0" collapsed="false">
      <c r="A217" s="352" t="str">
        <f aca="false">Option3!A184</f>
        <v>N/A</v>
      </c>
      <c r="B217" s="396" t="str">
        <f aca="false">IF(A217="N/A"," ",IF(ISERROR(N217),B205*Pwresc,N217)*VLOOKUP(MONTH(A217),Curveadj,3))</f>
        <v> </v>
      </c>
      <c r="C217" s="397" t="str">
        <f aca="false">IF(A217="N/A"," ",(IF(AND(Scaler3=1,MONTH(A217)&gt;=6,MONTH(A217)&lt;=8,OR($M$37="REGION 2",$M$37="REGION 2A",$M$37="REGION 2B",$M$37="REGION 3",$M$37="REGION 3A",$M$37="REGION 3B",$M$37="REGION 3C",$M$37="REGION 4",$M$37="REGION 4B",$M$37="REGION 4C",$M$37="REGION 5",$M$37="REGION 5A")),((0.059228/(B217/100))-(0.4980013/(SQRT(B217/100)))+2.137988),HLOOKUP(MONTH(A217),ScalarTable,28))))</f>
        <v> </v>
      </c>
      <c r="D217" s="398" t="str">
        <f aca="false">IF(A217="N/A"," ",C217*B217)</f>
        <v> </v>
      </c>
      <c r="E217" s="396" t="str">
        <f aca="false">IF(A217="N/A"," ",IF(ISERROR(O217),E205*Pwresc,O217)*VLOOKUP(MONTH(A217),Curveadj,3))</f>
        <v> </v>
      </c>
      <c r="F217" s="398" t="str">
        <f aca="false">IF(A217="N/A"," ",E217*C217)</f>
        <v> </v>
      </c>
      <c r="G217" s="396" t="str">
        <f aca="false">IF(A217="N/A"," ",IF(ISERROR(P217),G205*Pwresc,P217)*VLOOKUP(MONTH(A217),Curveadj,3))</f>
        <v> </v>
      </c>
      <c r="H217" s="398" t="str">
        <f aca="false">IF(A217="N/A"," ",G217*C217)</f>
        <v> </v>
      </c>
      <c r="I217" s="398" t="str">
        <f aca="false">IF(A217="N/A"," ",IF(ISERROR(Q217),I205*Pwresc,Q217))</f>
        <v> </v>
      </c>
      <c r="J217" s="398"/>
      <c r="K217" s="399"/>
      <c r="L217" s="399"/>
      <c r="M217" s="404"/>
      <c r="N217" s="401" t="str">
        <f aca="false">IF(A217="N/A"," ",VLOOKUP(A217,PeakPowerCurves,(IF(BMO3=2,3,IF(BMO3=1,2,4))),FALSE()))</f>
        <v> </v>
      </c>
      <c r="O217" s="401" t="str">
        <f aca="false">IF(A217="N/A"," ",VLOOKUP(A217,SatSunPeakPwr,(IF(BMO3=2,3,IF(BMO3=1,2,4))),FALSE()))</f>
        <v> </v>
      </c>
      <c r="P217" s="401" t="str">
        <f aca="false">IF(A217="N/A"," ",VLOOKUP(A217,SatSunPeakPwr,(IF(BMO3=2,7,IF(BMO3=1,6,8))),FALSE()))</f>
        <v> </v>
      </c>
      <c r="Q217" s="402" t="str">
        <f aca="false">IF(A217="N/A"," ",(VLOOKUP(A217,OPPowerPrices,(IF(BMO3=2,7,IF(BMO3=1,6,8))),FALSE())))</f>
        <v> </v>
      </c>
      <c r="R217" s="403" t="str">
        <f aca="false">IF(A217="N/A"," ",(VLOOKUP($A217,IRTable,2)))</f>
        <v> </v>
      </c>
      <c r="AF217" s="352" t="n">
        <v>43040</v>
      </c>
      <c r="AG217" s="311" t="n">
        <v>21</v>
      </c>
      <c r="AH217" s="311" t="n">
        <v>4</v>
      </c>
      <c r="AI217" s="311" t="n">
        <v>5</v>
      </c>
      <c r="AJ217" s="311" t="n">
        <v>1</v>
      </c>
      <c r="AK217" s="311" t="n">
        <v>30</v>
      </c>
      <c r="AU217" s="406"/>
    </row>
    <row r="218" customFormat="false" ht="12.75" hidden="false" customHeight="false" outlineLevel="0" collapsed="false">
      <c r="A218" s="352" t="str">
        <f aca="false">Option3!A185</f>
        <v>N/A</v>
      </c>
      <c r="B218" s="396" t="str">
        <f aca="false">IF(A218="N/A"," ",IF(ISERROR(N218),B206*Pwresc,N218)*VLOOKUP(MONTH(A218),Curveadj,3))</f>
        <v> </v>
      </c>
      <c r="C218" s="397" t="str">
        <f aca="false">IF(A218="N/A"," ",(IF(AND(Scaler3=1,MONTH(A218)&gt;=6,MONTH(A218)&lt;=8,OR($M$37="REGION 2",$M$37="REGION 2A",$M$37="REGION 2B",$M$37="REGION 3",$M$37="REGION 3A",$M$37="REGION 3B",$M$37="REGION 3C",$M$37="REGION 4",$M$37="REGION 4B",$M$37="REGION 4C",$M$37="REGION 5",$M$37="REGION 5A")),((0.059228/(B218/100))-(0.4980013/(SQRT(B218/100)))+2.137988),HLOOKUP(MONTH(A218),ScalarTable,28))))</f>
        <v> </v>
      </c>
      <c r="D218" s="398" t="str">
        <f aca="false">IF(A218="N/A"," ",C218*B218)</f>
        <v> </v>
      </c>
      <c r="E218" s="396" t="str">
        <f aca="false">IF(A218="N/A"," ",IF(ISERROR(O218),E206*Pwresc,O218)*VLOOKUP(MONTH(A218),Curveadj,3))</f>
        <v> </v>
      </c>
      <c r="F218" s="398" t="str">
        <f aca="false">IF(A218="N/A"," ",E218*C218)</f>
        <v> </v>
      </c>
      <c r="G218" s="396" t="str">
        <f aca="false">IF(A218="N/A"," ",IF(ISERROR(P218),G206*Pwresc,P218)*VLOOKUP(MONTH(A218),Curveadj,3))</f>
        <v> </v>
      </c>
      <c r="H218" s="398" t="str">
        <f aca="false">IF(A218="N/A"," ",G218*C218)</f>
        <v> </v>
      </c>
      <c r="I218" s="398" t="str">
        <f aca="false">IF(A218="N/A"," ",IF(ISERROR(Q218),I206*Pwresc,Q218))</f>
        <v> </v>
      </c>
      <c r="J218" s="398"/>
      <c r="K218" s="399"/>
      <c r="L218" s="399"/>
      <c r="M218" s="404"/>
      <c r="N218" s="401" t="str">
        <f aca="false">IF(A218="N/A"," ",VLOOKUP(A218,PeakPowerCurves,(IF(BMO3=2,3,IF(BMO3=1,2,4))),FALSE()))</f>
        <v> </v>
      </c>
      <c r="O218" s="401" t="str">
        <f aca="false">IF(A218="N/A"," ",VLOOKUP(A218,SatSunPeakPwr,(IF(BMO3=2,3,IF(BMO3=1,2,4))),FALSE()))</f>
        <v> </v>
      </c>
      <c r="P218" s="401" t="str">
        <f aca="false">IF(A218="N/A"," ",VLOOKUP(A218,SatSunPeakPwr,(IF(BMO3=2,7,IF(BMO3=1,6,8))),FALSE()))</f>
        <v> </v>
      </c>
      <c r="Q218" s="402" t="str">
        <f aca="false">IF(A218="N/A"," ",(VLOOKUP(A218,OPPowerPrices,(IF(BMO3=2,7,IF(BMO3=1,6,8))),FALSE())))</f>
        <v> </v>
      </c>
      <c r="R218" s="403" t="str">
        <f aca="false">IF(A218="N/A"," ",(VLOOKUP($A218,IRTable,2)))</f>
        <v> </v>
      </c>
      <c r="AF218" s="352" t="n">
        <v>43070</v>
      </c>
      <c r="AG218" s="311" t="n">
        <v>20</v>
      </c>
      <c r="AH218" s="311" t="n">
        <v>5</v>
      </c>
      <c r="AI218" s="311" t="n">
        <v>6</v>
      </c>
      <c r="AJ218" s="311" t="n">
        <v>1</v>
      </c>
      <c r="AK218" s="311" t="n">
        <v>31</v>
      </c>
      <c r="AU218" s="406"/>
    </row>
    <row r="219" customFormat="false" ht="12.75" hidden="false" customHeight="false" outlineLevel="0" collapsed="false">
      <c r="A219" s="352" t="str">
        <f aca="false">Option3!A186</f>
        <v>N/A</v>
      </c>
      <c r="B219" s="396" t="str">
        <f aca="false">IF(A219="N/A"," ",IF(ISERROR(N219),B207*Pwresc,N219)*VLOOKUP(MONTH(A219),Curveadj,3))</f>
        <v> </v>
      </c>
      <c r="C219" s="397" t="str">
        <f aca="false">IF(A219="N/A"," ",(IF(AND(Scaler3=1,MONTH(A219)&gt;=6,MONTH(A219)&lt;=8,OR($M$37="REGION 2",$M$37="REGION 2A",$M$37="REGION 2B",$M$37="REGION 3",$M$37="REGION 3A",$M$37="REGION 3B",$M$37="REGION 3C",$M$37="REGION 4",$M$37="REGION 4B",$M$37="REGION 4C",$M$37="REGION 5",$M$37="REGION 5A")),((0.059228/(B219/100))-(0.4980013/(SQRT(B219/100)))+2.137988),HLOOKUP(MONTH(A219),ScalarTable,28))))</f>
        <v> </v>
      </c>
      <c r="D219" s="398" t="str">
        <f aca="false">IF(A219="N/A"," ",C219*B219)</f>
        <v> </v>
      </c>
      <c r="E219" s="396" t="str">
        <f aca="false">IF(A219="N/A"," ",IF(ISERROR(O219),E207*Pwresc,O219)*VLOOKUP(MONTH(A219),Curveadj,3))</f>
        <v> </v>
      </c>
      <c r="F219" s="398" t="str">
        <f aca="false">IF(A219="N/A"," ",E219*C219)</f>
        <v> </v>
      </c>
      <c r="G219" s="396" t="str">
        <f aca="false">IF(A219="N/A"," ",IF(ISERROR(P219),G207*Pwresc,P219)*VLOOKUP(MONTH(A219),Curveadj,3))</f>
        <v> </v>
      </c>
      <c r="H219" s="398" t="str">
        <f aca="false">IF(A219="N/A"," ",G219*C219)</f>
        <v> </v>
      </c>
      <c r="I219" s="398" t="str">
        <f aca="false">IF(A219="N/A"," ",IF(ISERROR(Q219),I207*Pwresc,Q219))</f>
        <v> </v>
      </c>
      <c r="J219" s="398"/>
      <c r="K219" s="399"/>
      <c r="L219" s="399"/>
      <c r="M219" s="404"/>
      <c r="N219" s="401" t="str">
        <f aca="false">IF(A219="N/A"," ",VLOOKUP(A219,PeakPowerCurves,(IF(BMO3=2,3,IF(BMO3=1,2,4))),FALSE()))</f>
        <v> </v>
      </c>
      <c r="O219" s="401" t="str">
        <f aca="false">IF(A219="N/A"," ",VLOOKUP(A219,SatSunPeakPwr,(IF(BMO3=2,3,IF(BMO3=1,2,4))),FALSE()))</f>
        <v> </v>
      </c>
      <c r="P219" s="401" t="str">
        <f aca="false">IF(A219="N/A"," ",VLOOKUP(A219,SatSunPeakPwr,(IF(BMO3=2,7,IF(BMO3=1,6,8))),FALSE()))</f>
        <v> </v>
      </c>
      <c r="Q219" s="402" t="str">
        <f aca="false">IF(A219="N/A"," ",(VLOOKUP(A219,OPPowerPrices,(IF(BMO3=2,7,IF(BMO3=1,6,8))),FALSE())))</f>
        <v> </v>
      </c>
      <c r="R219" s="403" t="str">
        <f aca="false">IF(A219="N/A"," ",(VLOOKUP($A219,IRTable,2)))</f>
        <v> </v>
      </c>
      <c r="AF219" s="352" t="n">
        <v>43101</v>
      </c>
      <c r="AG219" s="311" t="n">
        <v>22</v>
      </c>
      <c r="AH219" s="311" t="n">
        <v>4</v>
      </c>
      <c r="AI219" s="311" t="n">
        <v>5</v>
      </c>
      <c r="AJ219" s="311" t="n">
        <v>1</v>
      </c>
      <c r="AK219" s="311" t="n">
        <v>31</v>
      </c>
      <c r="AU219" s="406"/>
    </row>
    <row r="220" customFormat="false" ht="12.75" hidden="false" customHeight="false" outlineLevel="0" collapsed="false">
      <c r="A220" s="352" t="str">
        <f aca="false">Option3!A187</f>
        <v>N/A</v>
      </c>
      <c r="B220" s="396" t="str">
        <f aca="false">IF(A220="N/A"," ",IF(ISERROR(N220),B208*Pwresc,N220)*VLOOKUP(MONTH(A220),Curveadj,3))</f>
        <v> </v>
      </c>
      <c r="C220" s="397" t="str">
        <f aca="false">IF(A220="N/A"," ",(IF(AND(Scaler3=1,MONTH(A220)&gt;=6,MONTH(A220)&lt;=8,OR($M$37="REGION 2",$M$37="REGION 2A",$M$37="REGION 2B",$M$37="REGION 3",$M$37="REGION 3A",$M$37="REGION 3B",$M$37="REGION 3C",$M$37="REGION 4",$M$37="REGION 4B",$M$37="REGION 4C",$M$37="REGION 5",$M$37="REGION 5A")),((0.059228/(B220/100))-(0.4980013/(SQRT(B220/100)))+2.137988),HLOOKUP(MONTH(A220),ScalarTable,28))))</f>
        <v> </v>
      </c>
      <c r="D220" s="398" t="str">
        <f aca="false">IF(A220="N/A"," ",C220*B220)</f>
        <v> </v>
      </c>
      <c r="E220" s="396" t="str">
        <f aca="false">IF(A220="N/A"," ",IF(ISERROR(O220),E208*Pwresc,O220)*VLOOKUP(MONTH(A220),Curveadj,3))</f>
        <v> </v>
      </c>
      <c r="F220" s="398" t="str">
        <f aca="false">IF(A220="N/A"," ",E220*C220)</f>
        <v> </v>
      </c>
      <c r="G220" s="396" t="str">
        <f aca="false">IF(A220="N/A"," ",IF(ISERROR(P220),G208*Pwresc,P220)*VLOOKUP(MONTH(A220),Curveadj,3))</f>
        <v> </v>
      </c>
      <c r="H220" s="398" t="str">
        <f aca="false">IF(A220="N/A"," ",G220*C220)</f>
        <v> </v>
      </c>
      <c r="I220" s="398" t="str">
        <f aca="false">IF(A220="N/A"," ",IF(ISERROR(Q220),I208*Pwresc,Q220))</f>
        <v> </v>
      </c>
      <c r="J220" s="398"/>
      <c r="K220" s="399"/>
      <c r="L220" s="399"/>
      <c r="M220" s="404"/>
      <c r="N220" s="401" t="str">
        <f aca="false">IF(A220="N/A"," ",VLOOKUP(A220,PeakPowerCurves,(IF(BMO3=2,3,IF(BMO3=1,2,4))),FALSE()))</f>
        <v> </v>
      </c>
      <c r="O220" s="401" t="str">
        <f aca="false">IF(A220="N/A"," ",VLOOKUP(A220,SatSunPeakPwr,(IF(BMO3=2,3,IF(BMO3=1,2,4))),FALSE()))</f>
        <v> </v>
      </c>
      <c r="P220" s="401" t="str">
        <f aca="false">IF(A220="N/A"," ",VLOOKUP(A220,SatSunPeakPwr,(IF(BMO3=2,7,IF(BMO3=1,6,8))),FALSE()))</f>
        <v> </v>
      </c>
      <c r="Q220" s="402" t="str">
        <f aca="false">IF(A220="N/A"," ",(VLOOKUP(A220,OPPowerPrices,(IF(BMO3=2,7,IF(BMO3=1,6,8))),FALSE())))</f>
        <v> </v>
      </c>
      <c r="R220" s="403" t="str">
        <f aca="false">IF(A220="N/A"," ",(VLOOKUP($A220,IRTable,2)))</f>
        <v> </v>
      </c>
      <c r="AF220" s="352" t="n">
        <v>43132</v>
      </c>
      <c r="AG220" s="311" t="n">
        <v>20</v>
      </c>
      <c r="AH220" s="311" t="n">
        <v>4</v>
      </c>
      <c r="AI220" s="311" t="n">
        <v>4</v>
      </c>
      <c r="AJ220" s="311" t="n">
        <v>0</v>
      </c>
      <c r="AK220" s="311" t="n">
        <v>28</v>
      </c>
      <c r="AU220" s="406"/>
    </row>
    <row r="221" customFormat="false" ht="12.75" hidden="false" customHeight="false" outlineLevel="0" collapsed="false">
      <c r="A221" s="352" t="str">
        <f aca="false">Option3!A188</f>
        <v>N/A</v>
      </c>
      <c r="B221" s="396" t="str">
        <f aca="false">IF(A221="N/A"," ",IF(ISERROR(N221),B209*Pwresc,N221)*VLOOKUP(MONTH(A221),Curveadj,3))</f>
        <v> </v>
      </c>
      <c r="C221" s="397" t="str">
        <f aca="false">IF(A221="N/A"," ",(IF(AND(Scaler3=1,MONTH(A221)&gt;=6,MONTH(A221)&lt;=8,OR($M$37="REGION 2",$M$37="REGION 2A",$M$37="REGION 2B",$M$37="REGION 3",$M$37="REGION 3A",$M$37="REGION 3B",$M$37="REGION 3C",$M$37="REGION 4",$M$37="REGION 4B",$M$37="REGION 4C",$M$37="REGION 5",$M$37="REGION 5A")),((0.059228/(B221/100))-(0.4980013/(SQRT(B221/100)))+2.137988),HLOOKUP(MONTH(A221),ScalarTable,28))))</f>
        <v> </v>
      </c>
      <c r="D221" s="398" t="str">
        <f aca="false">IF(A221="N/A"," ",C221*B221)</f>
        <v> </v>
      </c>
      <c r="E221" s="396" t="str">
        <f aca="false">IF(A221="N/A"," ",IF(ISERROR(O221),E209*Pwresc,O221)*VLOOKUP(MONTH(A221),Curveadj,3))</f>
        <v> </v>
      </c>
      <c r="F221" s="398" t="str">
        <f aca="false">IF(A221="N/A"," ",E221*C221)</f>
        <v> </v>
      </c>
      <c r="G221" s="396" t="str">
        <f aca="false">IF(A221="N/A"," ",IF(ISERROR(P221),G209*Pwresc,P221)*VLOOKUP(MONTH(A221),Curveadj,3))</f>
        <v> </v>
      </c>
      <c r="H221" s="398" t="str">
        <f aca="false">IF(A221="N/A"," ",G221*C221)</f>
        <v> </v>
      </c>
      <c r="I221" s="398" t="str">
        <f aca="false">IF(A221="N/A"," ",IF(ISERROR(Q221),I209*Pwresc,Q221))</f>
        <v> </v>
      </c>
      <c r="J221" s="398"/>
      <c r="K221" s="399"/>
      <c r="L221" s="399"/>
      <c r="M221" s="404"/>
      <c r="N221" s="401" t="str">
        <f aca="false">IF(A221="N/A"," ",VLOOKUP(A221,PeakPowerCurves,(IF(BMO3=2,3,IF(BMO3=1,2,4))),FALSE()))</f>
        <v> </v>
      </c>
      <c r="O221" s="401" t="str">
        <f aca="false">IF(A221="N/A"," ",VLOOKUP(A221,SatSunPeakPwr,(IF(BMO3=2,3,IF(BMO3=1,2,4))),FALSE()))</f>
        <v> </v>
      </c>
      <c r="P221" s="401" t="str">
        <f aca="false">IF(A221="N/A"," ",VLOOKUP(A221,SatSunPeakPwr,(IF(BMO3=2,7,IF(BMO3=1,6,8))),FALSE()))</f>
        <v> </v>
      </c>
      <c r="Q221" s="402" t="str">
        <f aca="false">IF(A221="N/A"," ",(VLOOKUP(A221,OPPowerPrices,(IF(BMO3=2,7,IF(BMO3=1,6,8))),FALSE())))</f>
        <v> </v>
      </c>
      <c r="R221" s="403" t="str">
        <f aca="false">IF(A221="N/A"," ",(VLOOKUP($A221,IRTable,2)))</f>
        <v> </v>
      </c>
      <c r="AF221" s="352" t="n">
        <v>43160</v>
      </c>
      <c r="AG221" s="311" t="n">
        <v>22</v>
      </c>
      <c r="AH221" s="311" t="n">
        <v>5</v>
      </c>
      <c r="AI221" s="311" t="n">
        <v>4</v>
      </c>
      <c r="AJ221" s="311" t="n">
        <v>0</v>
      </c>
      <c r="AK221" s="311" t="n">
        <v>31</v>
      </c>
      <c r="AU221" s="406"/>
    </row>
    <row r="222" customFormat="false" ht="12.75" hidden="false" customHeight="false" outlineLevel="0" collapsed="false">
      <c r="A222" s="352" t="str">
        <f aca="false">Option3!A189</f>
        <v>N/A</v>
      </c>
      <c r="B222" s="396" t="str">
        <f aca="false">IF(A222="N/A"," ",IF(ISERROR(N222),B210*Pwresc,N222)*VLOOKUP(MONTH(A222),Curveadj,3))</f>
        <v> </v>
      </c>
      <c r="C222" s="397" t="str">
        <f aca="false">IF(A222="N/A"," ",(IF(AND(Scaler3=1,MONTH(A222)&gt;=6,MONTH(A222)&lt;=8,OR($M$37="REGION 2",$M$37="REGION 2A",$M$37="REGION 2B",$M$37="REGION 3",$M$37="REGION 3A",$M$37="REGION 3B",$M$37="REGION 3C",$M$37="REGION 4",$M$37="REGION 4B",$M$37="REGION 4C",$M$37="REGION 5",$M$37="REGION 5A")),((0.059228/(B222/100))-(0.4980013/(SQRT(B222/100)))+2.137988),HLOOKUP(MONTH(A222),ScalarTable,28))))</f>
        <v> </v>
      </c>
      <c r="D222" s="398" t="str">
        <f aca="false">IF(A222="N/A"," ",C222*B222)</f>
        <v> </v>
      </c>
      <c r="E222" s="396" t="str">
        <f aca="false">IF(A222="N/A"," ",IF(ISERROR(O222),E210*Pwresc,O222)*VLOOKUP(MONTH(A222),Curveadj,3))</f>
        <v> </v>
      </c>
      <c r="F222" s="398" t="str">
        <f aca="false">IF(A222="N/A"," ",E222*C222)</f>
        <v> </v>
      </c>
      <c r="G222" s="396" t="str">
        <f aca="false">IF(A222="N/A"," ",IF(ISERROR(P222),G210*Pwresc,P222)*VLOOKUP(MONTH(A222),Curveadj,3))</f>
        <v> </v>
      </c>
      <c r="H222" s="398" t="str">
        <f aca="false">IF(A222="N/A"," ",G222*C222)</f>
        <v> </v>
      </c>
      <c r="I222" s="398" t="str">
        <f aca="false">IF(A222="N/A"," ",IF(ISERROR(Q222),I210*Pwresc,Q222))</f>
        <v> </v>
      </c>
      <c r="J222" s="398"/>
      <c r="K222" s="399"/>
      <c r="L222" s="399"/>
      <c r="M222" s="404"/>
      <c r="N222" s="401" t="str">
        <f aca="false">IF(A222="N/A"," ",VLOOKUP(A222,PeakPowerCurves,(IF(BMO3=2,3,IF(BMO3=1,2,4))),FALSE()))</f>
        <v> </v>
      </c>
      <c r="O222" s="401" t="str">
        <f aca="false">IF(A222="N/A"," ",VLOOKUP(A222,SatSunPeakPwr,(IF(BMO3=2,3,IF(BMO3=1,2,4))),FALSE()))</f>
        <v> </v>
      </c>
      <c r="P222" s="401" t="str">
        <f aca="false">IF(A222="N/A"," ",VLOOKUP(A222,SatSunPeakPwr,(IF(BMO3=2,7,IF(BMO3=1,6,8))),FALSE()))</f>
        <v> </v>
      </c>
      <c r="Q222" s="402" t="str">
        <f aca="false">IF(A222="N/A"," ",(VLOOKUP(A222,OPPowerPrices,(IF(BMO3=2,7,IF(BMO3=1,6,8))),FALSE())))</f>
        <v> </v>
      </c>
      <c r="R222" s="403" t="str">
        <f aca="false">IF(A222="N/A"," ",(VLOOKUP($A222,IRTable,2)))</f>
        <v> </v>
      </c>
      <c r="AF222" s="352" t="n">
        <v>43191</v>
      </c>
      <c r="AG222" s="311" t="n">
        <v>21</v>
      </c>
      <c r="AH222" s="311" t="n">
        <v>4</v>
      </c>
      <c r="AI222" s="311" t="n">
        <v>5</v>
      </c>
      <c r="AJ222" s="311" t="n">
        <v>0</v>
      </c>
      <c r="AK222" s="311" t="n">
        <v>30</v>
      </c>
      <c r="AU222" s="406"/>
    </row>
    <row r="223" customFormat="false" ht="12.75" hidden="false" customHeight="false" outlineLevel="0" collapsed="false">
      <c r="A223" s="352" t="str">
        <f aca="false">Option3!A190</f>
        <v>N/A</v>
      </c>
      <c r="B223" s="396" t="str">
        <f aca="false">IF(A223="N/A"," ",IF(ISERROR(N223),B211*Pwresc,N223)*VLOOKUP(MONTH(A223),Curveadj,3))</f>
        <v> </v>
      </c>
      <c r="C223" s="397" t="str">
        <f aca="false">IF(A223="N/A"," ",(IF(AND(Scaler3=1,MONTH(A223)&gt;=6,MONTH(A223)&lt;=8,OR($M$37="REGION 2",$M$37="REGION 2A",$M$37="REGION 2B",$M$37="REGION 3",$M$37="REGION 3A",$M$37="REGION 3B",$M$37="REGION 3C",$M$37="REGION 4",$M$37="REGION 4B",$M$37="REGION 4C",$M$37="REGION 5",$M$37="REGION 5A")),((0.059228/(B223/100))-(0.4980013/(SQRT(B223/100)))+2.137988),HLOOKUP(MONTH(A223),ScalarTable,28))))</f>
        <v> </v>
      </c>
      <c r="D223" s="398" t="str">
        <f aca="false">IF(A223="N/A"," ",C223*B223)</f>
        <v> </v>
      </c>
      <c r="E223" s="396" t="str">
        <f aca="false">IF(A223="N/A"," ",IF(ISERROR(O223),E211*Pwresc,O223)*VLOOKUP(MONTH(A223),Curveadj,3))</f>
        <v> </v>
      </c>
      <c r="F223" s="398" t="str">
        <f aca="false">IF(A223="N/A"," ",E223*C223)</f>
        <v> </v>
      </c>
      <c r="G223" s="396" t="str">
        <f aca="false">IF(A223="N/A"," ",IF(ISERROR(P223),G211*Pwresc,P223)*VLOOKUP(MONTH(A223),Curveadj,3))</f>
        <v> </v>
      </c>
      <c r="H223" s="398" t="str">
        <f aca="false">IF(A223="N/A"," ",G223*C223)</f>
        <v> </v>
      </c>
      <c r="I223" s="398" t="str">
        <f aca="false">IF(A223="N/A"," ",IF(ISERROR(Q223),I211*Pwresc,Q223))</f>
        <v> </v>
      </c>
      <c r="J223" s="398"/>
      <c r="K223" s="399"/>
      <c r="L223" s="399"/>
      <c r="M223" s="404"/>
      <c r="N223" s="401" t="str">
        <f aca="false">IF(A223="N/A"," ",VLOOKUP(A223,PeakPowerCurves,(IF(BMO3=2,3,IF(BMO3=1,2,4))),FALSE()))</f>
        <v> </v>
      </c>
      <c r="O223" s="401" t="str">
        <f aca="false">IF(A223="N/A"," ",VLOOKUP(A223,SatSunPeakPwr,(IF(BMO3=2,3,IF(BMO3=1,2,4))),FALSE()))</f>
        <v> </v>
      </c>
      <c r="P223" s="401" t="str">
        <f aca="false">IF(A223="N/A"," ",VLOOKUP(A223,SatSunPeakPwr,(IF(BMO3=2,7,IF(BMO3=1,6,8))),FALSE()))</f>
        <v> </v>
      </c>
      <c r="Q223" s="402" t="str">
        <f aca="false">IF(A223="N/A"," ",(VLOOKUP(A223,OPPowerPrices,(IF(BMO3=2,7,IF(BMO3=1,6,8))),FALSE())))</f>
        <v> </v>
      </c>
      <c r="R223" s="403" t="str">
        <f aca="false">IF(A223="N/A"," ",(VLOOKUP($A223,IRTable,2)))</f>
        <v> </v>
      </c>
      <c r="AF223" s="352" t="n">
        <v>43221</v>
      </c>
      <c r="AG223" s="311" t="n">
        <v>22</v>
      </c>
      <c r="AH223" s="311" t="n">
        <v>4</v>
      </c>
      <c r="AI223" s="311" t="n">
        <v>5</v>
      </c>
      <c r="AJ223" s="311" t="n">
        <v>1</v>
      </c>
      <c r="AK223" s="311" t="n">
        <v>31</v>
      </c>
      <c r="AU223" s="406"/>
    </row>
    <row r="224" customFormat="false" ht="12.75" hidden="false" customHeight="false" outlineLevel="0" collapsed="false">
      <c r="A224" s="352" t="str">
        <f aca="false">Option3!A191</f>
        <v>N/A</v>
      </c>
      <c r="B224" s="396" t="str">
        <f aca="false">IF(A224="N/A"," ",IF(ISERROR(N224),B212*Pwresc,N224)*VLOOKUP(MONTH(A224),Curveadj,3))</f>
        <v> </v>
      </c>
      <c r="C224" s="397" t="str">
        <f aca="false">IF(A224="N/A"," ",(IF(AND(Scaler3=1,MONTH(A224)&gt;=6,MONTH(A224)&lt;=8,OR($M$37="REGION 2",$M$37="REGION 2A",$M$37="REGION 2B",$M$37="REGION 3",$M$37="REGION 3A",$M$37="REGION 3B",$M$37="REGION 3C",$M$37="REGION 4",$M$37="REGION 4B",$M$37="REGION 4C",$M$37="REGION 5",$M$37="REGION 5A")),((0.059228/(B224/100))-(0.4980013/(SQRT(B224/100)))+2.137988),HLOOKUP(MONTH(A224),ScalarTable,28))))</f>
        <v> </v>
      </c>
      <c r="D224" s="398" t="str">
        <f aca="false">IF(A224="N/A"," ",C224*B224)</f>
        <v> </v>
      </c>
      <c r="E224" s="396" t="str">
        <f aca="false">IF(A224="N/A"," ",IF(ISERROR(O224),E212*Pwresc,O224)*VLOOKUP(MONTH(A224),Curveadj,3))</f>
        <v> </v>
      </c>
      <c r="F224" s="398" t="str">
        <f aca="false">IF(A224="N/A"," ",E224*C224)</f>
        <v> </v>
      </c>
      <c r="G224" s="396" t="str">
        <f aca="false">IF(A224="N/A"," ",IF(ISERROR(P224),G212*Pwresc,P224)*VLOOKUP(MONTH(A224),Curveadj,3))</f>
        <v> </v>
      </c>
      <c r="H224" s="398" t="str">
        <f aca="false">IF(A224="N/A"," ",G224*C224)</f>
        <v> </v>
      </c>
      <c r="I224" s="398" t="str">
        <f aca="false">IF(A224="N/A"," ",IF(ISERROR(Q224),I212*Pwresc,Q224))</f>
        <v> </v>
      </c>
      <c r="J224" s="398"/>
      <c r="K224" s="399"/>
      <c r="L224" s="399"/>
      <c r="M224" s="404"/>
      <c r="N224" s="401" t="str">
        <f aca="false">IF(A224="N/A"," ",VLOOKUP(A224,PeakPowerCurves,(IF(BMO3=2,3,IF(BMO3=1,2,4))),FALSE()))</f>
        <v> </v>
      </c>
      <c r="O224" s="401" t="str">
        <f aca="false">IF(A224="N/A"," ",VLOOKUP(A224,SatSunPeakPwr,(IF(BMO3=2,3,IF(BMO3=1,2,4))),FALSE()))</f>
        <v> </v>
      </c>
      <c r="P224" s="401" t="str">
        <f aca="false">IF(A224="N/A"," ",VLOOKUP(A224,SatSunPeakPwr,(IF(BMO3=2,7,IF(BMO3=1,6,8))),FALSE()))</f>
        <v> </v>
      </c>
      <c r="Q224" s="402" t="str">
        <f aca="false">IF(A224="N/A"," ",(VLOOKUP(A224,OPPowerPrices,(IF(BMO3=2,7,IF(BMO3=1,6,8))),FALSE())))</f>
        <v> </v>
      </c>
      <c r="R224" s="403" t="str">
        <f aca="false">IF(A224="N/A"," ",(VLOOKUP($A224,IRTable,2)))</f>
        <v> </v>
      </c>
      <c r="AF224" s="352" t="n">
        <v>43252</v>
      </c>
      <c r="AG224" s="311" t="n">
        <v>21</v>
      </c>
      <c r="AH224" s="311" t="n">
        <v>5</v>
      </c>
      <c r="AI224" s="311" t="n">
        <v>4</v>
      </c>
      <c r="AJ224" s="311" t="n">
        <v>0</v>
      </c>
      <c r="AK224" s="311" t="n">
        <v>30</v>
      </c>
      <c r="AU224" s="406"/>
    </row>
    <row r="225" customFormat="false" ht="12.75" hidden="false" customHeight="false" outlineLevel="0" collapsed="false">
      <c r="A225" s="352" t="str">
        <f aca="false">Option3!A192</f>
        <v>N/A</v>
      </c>
      <c r="B225" s="396" t="str">
        <f aca="false">IF(A225="N/A"," ",IF(ISERROR(N225),B213*Pwresc,N225)*VLOOKUP(MONTH(A225),Curveadj,3))</f>
        <v> </v>
      </c>
      <c r="C225" s="397" t="str">
        <f aca="false">IF(A225="N/A"," ",(IF(AND(Scaler3=1,MONTH(A225)&gt;=6,MONTH(A225)&lt;=8,OR($M$37="REGION 2",$M$37="REGION 2A",$M$37="REGION 2B",$M$37="REGION 3",$M$37="REGION 3A",$M$37="REGION 3B",$M$37="REGION 3C",$M$37="REGION 4",$M$37="REGION 4B",$M$37="REGION 4C",$M$37="REGION 5",$M$37="REGION 5A")),((0.059228/(B225/100))-(0.4980013/(SQRT(B225/100)))+2.137988),HLOOKUP(MONTH(A225),ScalarTable,28))))</f>
        <v> </v>
      </c>
      <c r="D225" s="398" t="str">
        <f aca="false">IF(A225="N/A"," ",C225*B225)</f>
        <v> </v>
      </c>
      <c r="E225" s="396" t="str">
        <f aca="false">IF(A225="N/A"," ",IF(ISERROR(O225),E213*Pwresc,O225)*VLOOKUP(MONTH(A225),Curveadj,3))</f>
        <v> </v>
      </c>
      <c r="F225" s="398" t="str">
        <f aca="false">IF(A225="N/A"," ",E225*C225)</f>
        <v> </v>
      </c>
      <c r="G225" s="396" t="str">
        <f aca="false">IF(A225="N/A"," ",IF(ISERROR(P225),G213*Pwresc,P225)*VLOOKUP(MONTH(A225),Curveadj,3))</f>
        <v> </v>
      </c>
      <c r="H225" s="398" t="str">
        <f aca="false">IF(A225="N/A"," ",G225*C225)</f>
        <v> </v>
      </c>
      <c r="I225" s="398" t="str">
        <f aca="false">IF(A225="N/A"," ",IF(ISERROR(Q225),I213*Pwresc,Q225))</f>
        <v> </v>
      </c>
      <c r="J225" s="398"/>
      <c r="K225" s="399"/>
      <c r="L225" s="399"/>
      <c r="M225" s="404"/>
      <c r="N225" s="401" t="str">
        <f aca="false">IF(A225="N/A"," ",VLOOKUP(A225,PeakPowerCurves,(IF(BMO3=2,3,IF(BMO3=1,2,4))),FALSE()))</f>
        <v> </v>
      </c>
      <c r="O225" s="401" t="str">
        <f aca="false">IF(A225="N/A"," ",VLOOKUP(A225,SatSunPeakPwr,(IF(BMO3=2,3,IF(BMO3=1,2,4))),FALSE()))</f>
        <v> </v>
      </c>
      <c r="P225" s="401" t="str">
        <f aca="false">IF(A225="N/A"," ",VLOOKUP(A225,SatSunPeakPwr,(IF(BMO3=2,7,IF(BMO3=1,6,8))),FALSE()))</f>
        <v> </v>
      </c>
      <c r="Q225" s="402" t="str">
        <f aca="false">IF(A225="N/A"," ",(VLOOKUP(A225,OPPowerPrices,(IF(BMO3=2,7,IF(BMO3=1,6,8))),FALSE())))</f>
        <v> </v>
      </c>
      <c r="R225" s="403" t="str">
        <f aca="false">IF(A225="N/A"," ",(VLOOKUP($A225,IRTable,2)))</f>
        <v> </v>
      </c>
      <c r="AF225" s="352" t="n">
        <v>43282</v>
      </c>
      <c r="AG225" s="311" t="n">
        <v>21</v>
      </c>
      <c r="AH225" s="311" t="n">
        <v>4</v>
      </c>
      <c r="AI225" s="311" t="n">
        <v>6</v>
      </c>
      <c r="AJ225" s="311" t="n">
        <v>1</v>
      </c>
      <c r="AK225" s="311" t="n">
        <v>31</v>
      </c>
      <c r="AU225" s="406"/>
    </row>
    <row r="226" customFormat="false" ht="12.75" hidden="false" customHeight="false" outlineLevel="0" collapsed="false">
      <c r="A226" s="352" t="str">
        <f aca="false">Option3!A193</f>
        <v>N/A</v>
      </c>
      <c r="B226" s="396" t="str">
        <f aca="false">IF(A226="N/A"," ",IF(ISERROR(N226),B214*Pwresc,N226)*VLOOKUP(MONTH(A226),Curveadj,3))</f>
        <v> </v>
      </c>
      <c r="C226" s="397" t="str">
        <f aca="false">IF(A226="N/A"," ",(IF(AND(Scaler3=1,MONTH(A226)&gt;=6,MONTH(A226)&lt;=8,OR($M$37="REGION 2",$M$37="REGION 2A",$M$37="REGION 2B",$M$37="REGION 3",$M$37="REGION 3A",$M$37="REGION 3B",$M$37="REGION 3C",$M$37="REGION 4",$M$37="REGION 4B",$M$37="REGION 4C",$M$37="REGION 5",$M$37="REGION 5A")),((0.059228/(B226/100))-(0.4980013/(SQRT(B226/100)))+2.137988),HLOOKUP(MONTH(A226),ScalarTable,28))))</f>
        <v> </v>
      </c>
      <c r="D226" s="398" t="str">
        <f aca="false">IF(A226="N/A"," ",C226*B226)</f>
        <v> </v>
      </c>
      <c r="E226" s="396" t="str">
        <f aca="false">IF(A226="N/A"," ",IF(ISERROR(O226),E214*Pwresc,O226)*VLOOKUP(MONTH(A226),Curveadj,3))</f>
        <v> </v>
      </c>
      <c r="F226" s="398" t="str">
        <f aca="false">IF(A226="N/A"," ",E226*C226)</f>
        <v> </v>
      </c>
      <c r="G226" s="396" t="str">
        <f aca="false">IF(A226="N/A"," ",IF(ISERROR(P226),G214*Pwresc,P226)*VLOOKUP(MONTH(A226),Curveadj,3))</f>
        <v> </v>
      </c>
      <c r="H226" s="398" t="str">
        <f aca="false">IF(A226="N/A"," ",G226*C226)</f>
        <v> </v>
      </c>
      <c r="I226" s="398" t="str">
        <f aca="false">IF(A226="N/A"," ",IF(ISERROR(Q226),I214*Pwresc,Q226))</f>
        <v> </v>
      </c>
      <c r="J226" s="398"/>
      <c r="K226" s="399"/>
      <c r="L226" s="399"/>
      <c r="M226" s="404"/>
      <c r="N226" s="401" t="str">
        <f aca="false">IF(A226="N/A"," ",VLOOKUP(A226,PeakPowerCurves,(IF(BMO3=2,3,IF(BMO3=1,2,4))),FALSE()))</f>
        <v> </v>
      </c>
      <c r="O226" s="401" t="str">
        <f aca="false">IF(A226="N/A"," ",VLOOKUP(A226,SatSunPeakPwr,(IF(BMO3=2,3,IF(BMO3=1,2,4))),FALSE()))</f>
        <v> </v>
      </c>
      <c r="P226" s="401" t="str">
        <f aca="false">IF(A226="N/A"," ",VLOOKUP(A226,SatSunPeakPwr,(IF(BMO3=2,7,IF(BMO3=1,6,8))),FALSE()))</f>
        <v> </v>
      </c>
      <c r="Q226" s="402" t="str">
        <f aca="false">IF(A226="N/A"," ",(VLOOKUP(A226,OPPowerPrices,(IF(BMO3=2,7,IF(BMO3=1,6,8))),FALSE())))</f>
        <v> </v>
      </c>
      <c r="R226" s="403" t="str">
        <f aca="false">IF(A226="N/A"," ",(VLOOKUP($A226,IRTable,2)))</f>
        <v> </v>
      </c>
      <c r="AF226" s="352" t="n">
        <v>43313</v>
      </c>
      <c r="AG226" s="311" t="n">
        <v>23</v>
      </c>
      <c r="AH226" s="311" t="n">
        <v>4</v>
      </c>
      <c r="AI226" s="311" t="n">
        <v>4</v>
      </c>
      <c r="AJ226" s="311" t="n">
        <v>0</v>
      </c>
      <c r="AK226" s="311" t="n">
        <v>31</v>
      </c>
      <c r="AU226" s="406"/>
    </row>
    <row r="227" customFormat="false" ht="12.75" hidden="false" customHeight="false" outlineLevel="0" collapsed="false">
      <c r="A227" s="352" t="str">
        <f aca="false">Option3!A194</f>
        <v>N/A</v>
      </c>
      <c r="B227" s="396" t="str">
        <f aca="false">IF(A227="N/A"," ",IF(ISERROR(N227),B215*Pwresc,N227)*VLOOKUP(MONTH(A227),Curveadj,3))</f>
        <v> </v>
      </c>
      <c r="C227" s="397" t="str">
        <f aca="false">IF(A227="N/A"," ",(IF(AND(Scaler3=1,MONTH(A227)&gt;=6,MONTH(A227)&lt;=8,OR($M$37="REGION 2",$M$37="REGION 2A",$M$37="REGION 2B",$M$37="REGION 3",$M$37="REGION 3A",$M$37="REGION 3B",$M$37="REGION 3C",$M$37="REGION 4",$M$37="REGION 4B",$M$37="REGION 4C",$M$37="REGION 5",$M$37="REGION 5A")),((0.059228/(B227/100))-(0.4980013/(SQRT(B227/100)))+2.137988),HLOOKUP(MONTH(A227),ScalarTable,28))))</f>
        <v> </v>
      </c>
      <c r="D227" s="398" t="str">
        <f aca="false">IF(A227="N/A"," ",C227*B227)</f>
        <v> </v>
      </c>
      <c r="E227" s="396" t="str">
        <f aca="false">IF(A227="N/A"," ",IF(ISERROR(O227),E215*Pwresc,O227)*VLOOKUP(MONTH(A227),Curveadj,3))</f>
        <v> </v>
      </c>
      <c r="F227" s="398" t="str">
        <f aca="false">IF(A227="N/A"," ",E227*C227)</f>
        <v> </v>
      </c>
      <c r="G227" s="396" t="str">
        <f aca="false">IF(A227="N/A"," ",IF(ISERROR(P227),G215*Pwresc,P227)*VLOOKUP(MONTH(A227),Curveadj,3))</f>
        <v> </v>
      </c>
      <c r="H227" s="398" t="str">
        <f aca="false">IF(A227="N/A"," ",G227*C227)</f>
        <v> </v>
      </c>
      <c r="I227" s="398" t="str">
        <f aca="false">IF(A227="N/A"," ",IF(ISERROR(Q227),I215*Pwresc,Q227))</f>
        <v> </v>
      </c>
      <c r="J227" s="398"/>
      <c r="K227" s="399"/>
      <c r="L227" s="399"/>
      <c r="M227" s="404"/>
      <c r="N227" s="401" t="str">
        <f aca="false">IF(A227="N/A"," ",VLOOKUP(A227,PeakPowerCurves,(IF(BMO3=2,3,IF(BMO3=1,2,4))),FALSE()))</f>
        <v> </v>
      </c>
      <c r="O227" s="401" t="str">
        <f aca="false">IF(A227="N/A"," ",VLOOKUP(A227,SatSunPeakPwr,(IF(BMO3=2,3,IF(BMO3=1,2,4))),FALSE()))</f>
        <v> </v>
      </c>
      <c r="P227" s="401" t="str">
        <f aca="false">IF(A227="N/A"," ",VLOOKUP(A227,SatSunPeakPwr,(IF(BMO3=2,7,IF(BMO3=1,6,8))),FALSE()))</f>
        <v> </v>
      </c>
      <c r="Q227" s="402" t="str">
        <f aca="false">IF(A227="N/A"," ",(VLOOKUP(A227,OPPowerPrices,(IF(BMO3=2,7,IF(BMO3=1,6,8))),FALSE())))</f>
        <v> </v>
      </c>
      <c r="R227" s="403" t="str">
        <f aca="false">IF(A227="N/A"," ",(VLOOKUP($A227,IRTable,2)))</f>
        <v> </v>
      </c>
      <c r="AF227" s="352" t="n">
        <v>43344</v>
      </c>
      <c r="AG227" s="311" t="n">
        <v>19</v>
      </c>
      <c r="AH227" s="311" t="n">
        <v>5</v>
      </c>
      <c r="AI227" s="311" t="n">
        <v>6</v>
      </c>
      <c r="AJ227" s="311" t="n">
        <v>1</v>
      </c>
      <c r="AK227" s="311" t="n">
        <v>30</v>
      </c>
      <c r="AU227" s="406"/>
    </row>
    <row r="228" customFormat="false" ht="12.75" hidden="false" customHeight="false" outlineLevel="0" collapsed="false">
      <c r="A228" s="352" t="str">
        <f aca="false">Option3!A195</f>
        <v>N/A</v>
      </c>
      <c r="B228" s="396" t="str">
        <f aca="false">IF(A228="N/A"," ",IF(ISERROR(N228),B216*Pwresc,N228)*VLOOKUP(MONTH(A228),Curveadj,3))</f>
        <v> </v>
      </c>
      <c r="C228" s="397" t="str">
        <f aca="false">IF(A228="N/A"," ",(IF(AND(Scaler3=1,MONTH(A228)&gt;=6,MONTH(A228)&lt;=8,OR($M$37="REGION 2",$M$37="REGION 2A",$M$37="REGION 2B",$M$37="REGION 3",$M$37="REGION 3A",$M$37="REGION 3B",$M$37="REGION 3C",$M$37="REGION 4",$M$37="REGION 4B",$M$37="REGION 4C",$M$37="REGION 5",$M$37="REGION 5A")),((0.059228/(B228/100))-(0.4980013/(SQRT(B228/100)))+2.137988),HLOOKUP(MONTH(A228),ScalarTable,28))))</f>
        <v> </v>
      </c>
      <c r="D228" s="398" t="str">
        <f aca="false">IF(A228="N/A"," ",C228*B228)</f>
        <v> </v>
      </c>
      <c r="E228" s="396" t="str">
        <f aca="false">IF(A228="N/A"," ",IF(ISERROR(O228),E216*Pwresc,O228)*VLOOKUP(MONTH(A228),Curveadj,3))</f>
        <v> </v>
      </c>
      <c r="F228" s="398" t="str">
        <f aca="false">IF(A228="N/A"," ",E228*C228)</f>
        <v> </v>
      </c>
      <c r="G228" s="396" t="str">
        <f aca="false">IF(A228="N/A"," ",IF(ISERROR(P228),G216*Pwresc,P228)*VLOOKUP(MONTH(A228),Curveadj,3))</f>
        <v> </v>
      </c>
      <c r="H228" s="398" t="str">
        <f aca="false">IF(A228="N/A"," ",G228*C228)</f>
        <v> </v>
      </c>
      <c r="I228" s="398" t="str">
        <f aca="false">IF(A228="N/A"," ",IF(ISERROR(Q228),I216*Pwresc,Q228))</f>
        <v> </v>
      </c>
      <c r="J228" s="398"/>
      <c r="K228" s="399"/>
      <c r="L228" s="399"/>
      <c r="M228" s="404"/>
      <c r="N228" s="401" t="str">
        <f aca="false">IF(A228="N/A"," ",VLOOKUP(A228,PeakPowerCurves,(IF(BMO3=2,3,IF(BMO3=1,2,4))),FALSE()))</f>
        <v> </v>
      </c>
      <c r="O228" s="401" t="str">
        <f aca="false">IF(A228="N/A"," ",VLOOKUP(A228,SatSunPeakPwr,(IF(BMO3=2,3,IF(BMO3=1,2,4))),FALSE()))</f>
        <v> </v>
      </c>
      <c r="P228" s="401" t="str">
        <f aca="false">IF(A228="N/A"," ",VLOOKUP(A228,SatSunPeakPwr,(IF(BMO3=2,7,IF(BMO3=1,6,8))),FALSE()))</f>
        <v> </v>
      </c>
      <c r="Q228" s="402" t="str">
        <f aca="false">IF(A228="N/A"," ",(VLOOKUP(A228,OPPowerPrices,(IF(BMO3=2,7,IF(BMO3=1,6,8))),FALSE())))</f>
        <v> </v>
      </c>
      <c r="R228" s="403" t="str">
        <f aca="false">IF(A228="N/A"," ",(VLOOKUP($A228,IRTable,2)))</f>
        <v> </v>
      </c>
      <c r="AF228" s="352" t="n">
        <v>43374</v>
      </c>
      <c r="AG228" s="311" t="n">
        <v>23</v>
      </c>
      <c r="AH228" s="311" t="n">
        <v>4</v>
      </c>
      <c r="AI228" s="311" t="n">
        <v>4</v>
      </c>
      <c r="AJ228" s="311" t="n">
        <v>0</v>
      </c>
      <c r="AK228" s="311" t="n">
        <v>31</v>
      </c>
      <c r="AU228" s="406"/>
    </row>
    <row r="229" customFormat="false" ht="12.75" hidden="false" customHeight="false" outlineLevel="0" collapsed="false">
      <c r="A229" s="352" t="str">
        <f aca="false">Option3!A196</f>
        <v>N/A</v>
      </c>
      <c r="B229" s="396" t="str">
        <f aca="false">IF(A229="N/A"," ",IF(ISERROR(N229),B217*Pwresc,N229)*VLOOKUP(MONTH(A229),Curveadj,3))</f>
        <v> </v>
      </c>
      <c r="C229" s="397" t="str">
        <f aca="false">IF(A229="N/A"," ",(IF(AND(Scaler3=1,MONTH(A229)&gt;=6,MONTH(A229)&lt;=8,OR($M$37="REGION 2",$M$37="REGION 2A",$M$37="REGION 2B",$M$37="REGION 3",$M$37="REGION 3A",$M$37="REGION 3B",$M$37="REGION 3C",$M$37="REGION 4",$M$37="REGION 4B",$M$37="REGION 4C",$M$37="REGION 5",$M$37="REGION 5A")),((0.059228/(B229/100))-(0.4980013/(SQRT(B229/100)))+2.137988),HLOOKUP(MONTH(A229),ScalarTable,28))))</f>
        <v> </v>
      </c>
      <c r="D229" s="398" t="str">
        <f aca="false">IF(A229="N/A"," ",C229*B229)</f>
        <v> </v>
      </c>
      <c r="E229" s="396" t="str">
        <f aca="false">IF(A229="N/A"," ",IF(ISERROR(O229),E217*Pwresc,O229)*VLOOKUP(MONTH(A229),Curveadj,3))</f>
        <v> </v>
      </c>
      <c r="F229" s="398" t="str">
        <f aca="false">IF(A229="N/A"," ",E229*C229)</f>
        <v> </v>
      </c>
      <c r="G229" s="396" t="str">
        <f aca="false">IF(A229="N/A"," ",IF(ISERROR(P229),G217*Pwresc,P229)*VLOOKUP(MONTH(A229),Curveadj,3))</f>
        <v> </v>
      </c>
      <c r="H229" s="398" t="str">
        <f aca="false">IF(A229="N/A"," ",G229*C229)</f>
        <v> </v>
      </c>
      <c r="I229" s="398" t="str">
        <f aca="false">IF(A229="N/A"," ",IF(ISERROR(Q229),I217*Pwresc,Q229))</f>
        <v> </v>
      </c>
      <c r="J229" s="398"/>
      <c r="K229" s="399"/>
      <c r="L229" s="399"/>
      <c r="M229" s="404"/>
      <c r="N229" s="401" t="str">
        <f aca="false">IF(A229="N/A"," ",VLOOKUP(A229,PeakPowerCurves,(IF(BMO3=2,3,IF(BMO3=1,2,4))),FALSE()))</f>
        <v> </v>
      </c>
      <c r="O229" s="401" t="str">
        <f aca="false">IF(A229="N/A"," ",VLOOKUP(A229,SatSunPeakPwr,(IF(BMO3=2,3,IF(BMO3=1,2,4))),FALSE()))</f>
        <v> </v>
      </c>
      <c r="P229" s="401" t="str">
        <f aca="false">IF(A229="N/A"," ",VLOOKUP(A229,SatSunPeakPwr,(IF(BMO3=2,7,IF(BMO3=1,6,8))),FALSE()))</f>
        <v> </v>
      </c>
      <c r="Q229" s="402" t="str">
        <f aca="false">IF(A229="N/A"," ",(VLOOKUP(A229,OPPowerPrices,(IF(BMO3=2,7,IF(BMO3=1,6,8))),FALSE())))</f>
        <v> </v>
      </c>
      <c r="R229" s="403" t="str">
        <f aca="false">IF(A229="N/A"," ",(VLOOKUP($A229,IRTable,2)))</f>
        <v> </v>
      </c>
      <c r="AF229" s="352" t="n">
        <v>43405</v>
      </c>
      <c r="AG229" s="311" t="n">
        <v>21</v>
      </c>
      <c r="AH229" s="311" t="n">
        <v>4</v>
      </c>
      <c r="AI229" s="311" t="n">
        <v>5</v>
      </c>
      <c r="AJ229" s="311" t="n">
        <v>1</v>
      </c>
      <c r="AK229" s="311" t="n">
        <v>30</v>
      </c>
      <c r="AU229" s="406"/>
    </row>
    <row r="230" customFormat="false" ht="12.75" hidden="false" customHeight="false" outlineLevel="0" collapsed="false">
      <c r="A230" s="352" t="str">
        <f aca="false">Option3!A197</f>
        <v>N/A</v>
      </c>
      <c r="B230" s="396" t="str">
        <f aca="false">IF(A230="N/A"," ",IF(ISERROR(N230),B218*Pwresc,N230)*VLOOKUP(MONTH(A230),Curveadj,3))</f>
        <v> </v>
      </c>
      <c r="C230" s="397" t="str">
        <f aca="false">IF(A230="N/A"," ",(IF(AND(Scaler3=1,MONTH(A230)&gt;=6,MONTH(A230)&lt;=8,OR($M$37="REGION 2",$M$37="REGION 2A",$M$37="REGION 2B",$M$37="REGION 3",$M$37="REGION 3A",$M$37="REGION 3B",$M$37="REGION 3C",$M$37="REGION 4",$M$37="REGION 4B",$M$37="REGION 4C",$M$37="REGION 5",$M$37="REGION 5A")),((0.059228/(B230/100))-(0.4980013/(SQRT(B230/100)))+2.137988),HLOOKUP(MONTH(A230),ScalarTable,28))))</f>
        <v> </v>
      </c>
      <c r="D230" s="398" t="str">
        <f aca="false">IF(A230="N/A"," ",C230*B230)</f>
        <v> </v>
      </c>
      <c r="E230" s="396" t="str">
        <f aca="false">IF(A230="N/A"," ",IF(ISERROR(O230),E218*Pwresc,O230)*VLOOKUP(MONTH(A230),Curveadj,3))</f>
        <v> </v>
      </c>
      <c r="F230" s="398" t="str">
        <f aca="false">IF(A230="N/A"," ",E230*C230)</f>
        <v> </v>
      </c>
      <c r="G230" s="396" t="str">
        <f aca="false">IF(A230="N/A"," ",IF(ISERROR(P230),G218*Pwresc,P230)*VLOOKUP(MONTH(A230),Curveadj,3))</f>
        <v> </v>
      </c>
      <c r="H230" s="398" t="str">
        <f aca="false">IF(A230="N/A"," ",G230*C230)</f>
        <v> </v>
      </c>
      <c r="I230" s="398" t="str">
        <f aca="false">IF(A230="N/A"," ",IF(ISERROR(Q230),I218*Pwresc,Q230))</f>
        <v> </v>
      </c>
      <c r="J230" s="398"/>
      <c r="K230" s="399"/>
      <c r="L230" s="399"/>
      <c r="M230" s="404"/>
      <c r="N230" s="401" t="str">
        <f aca="false">IF(A230="N/A"," ",VLOOKUP(A230,PeakPowerCurves,(IF(BMO3=2,3,IF(BMO3=1,2,4))),FALSE()))</f>
        <v> </v>
      </c>
      <c r="O230" s="401" t="str">
        <f aca="false">IF(A230="N/A"," ",VLOOKUP(A230,SatSunPeakPwr,(IF(BMO3=2,3,IF(BMO3=1,2,4))),FALSE()))</f>
        <v> </v>
      </c>
      <c r="P230" s="401" t="str">
        <f aca="false">IF(A230="N/A"," ",VLOOKUP(A230,SatSunPeakPwr,(IF(BMO3=2,7,IF(BMO3=1,6,8))),FALSE()))</f>
        <v> </v>
      </c>
      <c r="Q230" s="402" t="str">
        <f aca="false">IF(A230="N/A"," ",(VLOOKUP(A230,OPPowerPrices,(IF(BMO3=2,7,IF(BMO3=1,6,8))),FALSE())))</f>
        <v> </v>
      </c>
      <c r="R230" s="403" t="str">
        <f aca="false">IF(A230="N/A"," ",(VLOOKUP($A230,IRTable,2)))</f>
        <v> </v>
      </c>
      <c r="AF230" s="352" t="n">
        <v>43435</v>
      </c>
      <c r="AG230" s="311" t="n">
        <v>20</v>
      </c>
      <c r="AH230" s="311" t="n">
        <v>5</v>
      </c>
      <c r="AI230" s="311" t="n">
        <v>6</v>
      </c>
      <c r="AJ230" s="311" t="n">
        <v>1</v>
      </c>
      <c r="AK230" s="311" t="n">
        <v>31</v>
      </c>
      <c r="AU230" s="406"/>
    </row>
    <row r="231" customFormat="false" ht="12.75" hidden="false" customHeight="false" outlineLevel="0" collapsed="false">
      <c r="A231" s="352" t="str">
        <f aca="false">Option3!A198</f>
        <v>N/A</v>
      </c>
      <c r="B231" s="396" t="str">
        <f aca="false">IF(A231="N/A"," ",IF(ISERROR(N231),B219*Pwresc,N231)*VLOOKUP(MONTH(A231),Curveadj,3))</f>
        <v> </v>
      </c>
      <c r="C231" s="397" t="str">
        <f aca="false">IF(A231="N/A"," ",(IF(AND(Scaler3=1,MONTH(A231)&gt;=6,MONTH(A231)&lt;=8,OR($M$37="REGION 2",$M$37="REGION 2A",$M$37="REGION 2B",$M$37="REGION 3",$M$37="REGION 3A",$M$37="REGION 3B",$M$37="REGION 3C",$M$37="REGION 4",$M$37="REGION 4B",$M$37="REGION 4C",$M$37="REGION 5",$M$37="REGION 5A")),((0.059228/(B231/100))-(0.4980013/(SQRT(B231/100)))+2.137988),HLOOKUP(MONTH(A231),ScalarTable,28))))</f>
        <v> </v>
      </c>
      <c r="D231" s="398" t="str">
        <f aca="false">IF(A231="N/A"," ",C231*B231)</f>
        <v> </v>
      </c>
      <c r="E231" s="396" t="str">
        <f aca="false">IF(A231="N/A"," ",IF(ISERROR(O231),E219*Pwresc,O231)*VLOOKUP(MONTH(A231),Curveadj,3))</f>
        <v> </v>
      </c>
      <c r="F231" s="398" t="str">
        <f aca="false">IF(A231="N/A"," ",E231*C231)</f>
        <v> </v>
      </c>
      <c r="G231" s="396" t="str">
        <f aca="false">IF(A231="N/A"," ",IF(ISERROR(P231),G219*Pwresc,P231)*VLOOKUP(MONTH(A231),Curveadj,3))</f>
        <v> </v>
      </c>
      <c r="H231" s="398" t="str">
        <f aca="false">IF(A231="N/A"," ",G231*C231)</f>
        <v> </v>
      </c>
      <c r="I231" s="398" t="str">
        <f aca="false">IF(A231="N/A"," ",IF(ISERROR(Q231),I219*Pwresc,Q231))</f>
        <v> </v>
      </c>
      <c r="J231" s="398"/>
      <c r="K231" s="399"/>
      <c r="L231" s="399"/>
      <c r="M231" s="404"/>
      <c r="N231" s="401" t="str">
        <f aca="false">IF(A231="N/A"," ",VLOOKUP(A231,PeakPowerCurves,(IF(BMO3=2,3,IF(BMO3=1,2,4))),FALSE()))</f>
        <v> </v>
      </c>
      <c r="O231" s="401" t="str">
        <f aca="false">IF(A231="N/A"," ",VLOOKUP(A231,SatSunPeakPwr,(IF(BMO3=2,3,IF(BMO3=1,2,4))),FALSE()))</f>
        <v> </v>
      </c>
      <c r="P231" s="401" t="str">
        <f aca="false">IF(A231="N/A"," ",VLOOKUP(A231,SatSunPeakPwr,(IF(BMO3=2,7,IF(BMO3=1,6,8))),FALSE()))</f>
        <v> </v>
      </c>
      <c r="Q231" s="402" t="str">
        <f aca="false">IF(A231="N/A"," ",(VLOOKUP(A231,OPPowerPrices,(IF(BMO3=2,7,IF(BMO3=1,6,8))),FALSE())))</f>
        <v> </v>
      </c>
      <c r="R231" s="403" t="str">
        <f aca="false">IF(A231="N/A"," ",(VLOOKUP($A231,IRTable,2)))</f>
        <v> </v>
      </c>
      <c r="AF231" s="352" t="n">
        <v>43466</v>
      </c>
      <c r="AG231" s="311" t="n">
        <v>22</v>
      </c>
      <c r="AH231" s="311" t="n">
        <v>4</v>
      </c>
      <c r="AI231" s="311" t="n">
        <v>5</v>
      </c>
      <c r="AJ231" s="311" t="n">
        <v>1</v>
      </c>
      <c r="AK231" s="311" t="n">
        <v>31</v>
      </c>
      <c r="AU231" s="406"/>
    </row>
    <row r="232" customFormat="false" ht="12.75" hidden="false" customHeight="false" outlineLevel="0" collapsed="false">
      <c r="A232" s="352" t="str">
        <f aca="false">Option3!A199</f>
        <v>N/A</v>
      </c>
      <c r="B232" s="396" t="str">
        <f aca="false">IF(A232="N/A"," ",IF(ISERROR(N232),B220*Pwresc,N232)*VLOOKUP(MONTH(A232),Curveadj,3))</f>
        <v> </v>
      </c>
      <c r="C232" s="397" t="str">
        <f aca="false">IF(A232="N/A"," ",(IF(AND(Scaler3=1,MONTH(A232)&gt;=6,MONTH(A232)&lt;=8,OR($M$37="REGION 2",$M$37="REGION 2A",$M$37="REGION 2B",$M$37="REGION 3",$M$37="REGION 3A",$M$37="REGION 3B",$M$37="REGION 3C",$M$37="REGION 4",$M$37="REGION 4B",$M$37="REGION 4C",$M$37="REGION 5",$M$37="REGION 5A")),((0.059228/(B232/100))-(0.4980013/(SQRT(B232/100)))+2.137988),HLOOKUP(MONTH(A232),ScalarTable,28))))</f>
        <v> </v>
      </c>
      <c r="D232" s="398" t="str">
        <f aca="false">IF(A232="N/A"," ",C232*B232)</f>
        <v> </v>
      </c>
      <c r="E232" s="396" t="str">
        <f aca="false">IF(A232="N/A"," ",IF(ISERROR(O232),E220*Pwresc,O232)*VLOOKUP(MONTH(A232),Curveadj,3))</f>
        <v> </v>
      </c>
      <c r="F232" s="398" t="str">
        <f aca="false">IF(A232="N/A"," ",E232*C232)</f>
        <v> </v>
      </c>
      <c r="G232" s="396" t="str">
        <f aca="false">IF(A232="N/A"," ",IF(ISERROR(P232),G220*Pwresc,P232)*VLOOKUP(MONTH(A232),Curveadj,3))</f>
        <v> </v>
      </c>
      <c r="H232" s="398" t="str">
        <f aca="false">IF(A232="N/A"," ",G232*C232)</f>
        <v> </v>
      </c>
      <c r="I232" s="398" t="str">
        <f aca="false">IF(A232="N/A"," ",IF(ISERROR(Q232),I220*Pwresc,Q232))</f>
        <v> </v>
      </c>
      <c r="J232" s="398"/>
      <c r="K232" s="399"/>
      <c r="L232" s="399"/>
      <c r="M232" s="404"/>
      <c r="N232" s="401" t="str">
        <f aca="false">IF(A232="N/A"," ",VLOOKUP(A232,PeakPowerCurves,(IF(BMO3=2,3,IF(BMO3=1,2,4))),FALSE()))</f>
        <v> </v>
      </c>
      <c r="O232" s="401" t="str">
        <f aca="false">IF(A232="N/A"," ",VLOOKUP(A232,SatSunPeakPwr,(IF(BMO3=2,3,IF(BMO3=1,2,4))),FALSE()))</f>
        <v> </v>
      </c>
      <c r="P232" s="401" t="str">
        <f aca="false">IF(A232="N/A"," ",VLOOKUP(A232,SatSunPeakPwr,(IF(BMO3=2,7,IF(BMO3=1,6,8))),FALSE()))</f>
        <v> </v>
      </c>
      <c r="Q232" s="402" t="str">
        <f aca="false">IF(A232="N/A"," ",(VLOOKUP(A232,OPPowerPrices,(IF(BMO3=2,7,IF(BMO3=1,6,8))),FALSE())))</f>
        <v> </v>
      </c>
      <c r="R232" s="403" t="str">
        <f aca="false">IF(A232="N/A"," ",(VLOOKUP($A232,IRTable,2)))</f>
        <v> </v>
      </c>
      <c r="AF232" s="352" t="n">
        <v>43497</v>
      </c>
      <c r="AG232" s="311" t="n">
        <v>20</v>
      </c>
      <c r="AH232" s="311" t="n">
        <v>4</v>
      </c>
      <c r="AI232" s="311" t="n">
        <v>4</v>
      </c>
      <c r="AJ232" s="311" t="n">
        <v>0</v>
      </c>
      <c r="AK232" s="311" t="n">
        <v>28</v>
      </c>
      <c r="AU232" s="406"/>
    </row>
    <row r="233" customFormat="false" ht="12.75" hidden="false" customHeight="false" outlineLevel="0" collapsed="false">
      <c r="A233" s="352" t="str">
        <f aca="false">Option3!A200</f>
        <v>N/A</v>
      </c>
      <c r="B233" s="396" t="str">
        <f aca="false">IF(A233="N/A"," ",IF(ISERROR(N233),B221*Pwresc,N233)*VLOOKUP(MONTH(A233),Curveadj,3))</f>
        <v> </v>
      </c>
      <c r="C233" s="397" t="str">
        <f aca="false">IF(A233="N/A"," ",(IF(AND(Scaler3=1,MONTH(A233)&gt;=6,MONTH(A233)&lt;=8,OR($M$37="REGION 2",$M$37="REGION 2A",$M$37="REGION 2B",$M$37="REGION 3",$M$37="REGION 3A",$M$37="REGION 3B",$M$37="REGION 3C",$M$37="REGION 4",$M$37="REGION 4B",$M$37="REGION 4C",$M$37="REGION 5",$M$37="REGION 5A")),((0.059228/(B233/100))-(0.4980013/(SQRT(B233/100)))+2.137988),HLOOKUP(MONTH(A233),ScalarTable,28))))</f>
        <v> </v>
      </c>
      <c r="D233" s="398" t="str">
        <f aca="false">IF(A233="N/A"," ",C233*B233)</f>
        <v> </v>
      </c>
      <c r="E233" s="396" t="str">
        <f aca="false">IF(A233="N/A"," ",IF(ISERROR(O233),E221*Pwresc,O233)*VLOOKUP(MONTH(A233),Curveadj,3))</f>
        <v> </v>
      </c>
      <c r="F233" s="398" t="str">
        <f aca="false">IF(A233="N/A"," ",E233*C233)</f>
        <v> </v>
      </c>
      <c r="G233" s="396" t="str">
        <f aca="false">IF(A233="N/A"," ",IF(ISERROR(P233),G221*Pwresc,P233)*VLOOKUP(MONTH(A233),Curveadj,3))</f>
        <v> </v>
      </c>
      <c r="H233" s="398" t="str">
        <f aca="false">IF(A233="N/A"," ",G233*C233)</f>
        <v> </v>
      </c>
      <c r="I233" s="398" t="str">
        <f aca="false">IF(A233="N/A"," ",IF(ISERROR(Q233),I221*Pwresc,Q233))</f>
        <v> </v>
      </c>
      <c r="J233" s="398"/>
      <c r="K233" s="399"/>
      <c r="L233" s="399"/>
      <c r="M233" s="404"/>
      <c r="N233" s="401" t="str">
        <f aca="false">IF(A233="N/A"," ",VLOOKUP(A233,PeakPowerCurves,(IF(BMO3=2,3,IF(BMO3=1,2,4))),FALSE()))</f>
        <v> </v>
      </c>
      <c r="O233" s="401" t="str">
        <f aca="false">IF(A233="N/A"," ",VLOOKUP(A233,SatSunPeakPwr,(IF(BMO3=2,3,IF(BMO3=1,2,4))),FALSE()))</f>
        <v> </v>
      </c>
      <c r="P233" s="401" t="str">
        <f aca="false">IF(A233="N/A"," ",VLOOKUP(A233,SatSunPeakPwr,(IF(BMO3=2,7,IF(BMO3=1,6,8))),FALSE()))</f>
        <v> </v>
      </c>
      <c r="Q233" s="402" t="str">
        <f aca="false">IF(A233="N/A"," ",(VLOOKUP(A233,OPPowerPrices,(IF(BMO3=2,7,IF(BMO3=1,6,8))),FALSE())))</f>
        <v> </v>
      </c>
      <c r="R233" s="403" t="str">
        <f aca="false">IF(A233="N/A"," ",(VLOOKUP($A233,IRTable,2)))</f>
        <v> </v>
      </c>
      <c r="AF233" s="352" t="n">
        <v>43525</v>
      </c>
      <c r="AG233" s="311" t="n">
        <v>21</v>
      </c>
      <c r="AH233" s="311" t="n">
        <v>5</v>
      </c>
      <c r="AI233" s="311" t="n">
        <v>5</v>
      </c>
      <c r="AJ233" s="311" t="n">
        <v>0</v>
      </c>
      <c r="AK233" s="311" t="n">
        <v>31</v>
      </c>
      <c r="AU233" s="406"/>
    </row>
    <row r="234" customFormat="false" ht="12.75" hidden="false" customHeight="false" outlineLevel="0" collapsed="false">
      <c r="A234" s="352" t="str">
        <f aca="false">Option3!A201</f>
        <v>N/A</v>
      </c>
      <c r="B234" s="396" t="str">
        <f aca="false">IF(A234="N/A"," ",IF(ISERROR(N234),B222*Pwresc,N234)*VLOOKUP(MONTH(A234),Curveadj,3))</f>
        <v> </v>
      </c>
      <c r="C234" s="397" t="str">
        <f aca="false">IF(A234="N/A"," ",(IF(AND(Scaler3=1,MONTH(A234)&gt;=6,MONTH(A234)&lt;=8,OR($M$37="REGION 2",$M$37="REGION 2A",$M$37="REGION 2B",$M$37="REGION 3",$M$37="REGION 3A",$M$37="REGION 3B",$M$37="REGION 3C",$M$37="REGION 4",$M$37="REGION 4B",$M$37="REGION 4C",$M$37="REGION 5",$M$37="REGION 5A")),((0.059228/(B234/100))-(0.4980013/(SQRT(B234/100)))+2.137988),HLOOKUP(MONTH(A234),ScalarTable,28))))</f>
        <v> </v>
      </c>
      <c r="D234" s="398" t="str">
        <f aca="false">IF(A234="N/A"," ",C234*B234)</f>
        <v> </v>
      </c>
      <c r="E234" s="396" t="str">
        <f aca="false">IF(A234="N/A"," ",IF(ISERROR(O234),E222*Pwresc,O234)*VLOOKUP(MONTH(A234),Curveadj,3))</f>
        <v> </v>
      </c>
      <c r="F234" s="398" t="str">
        <f aca="false">IF(A234="N/A"," ",E234*C234)</f>
        <v> </v>
      </c>
      <c r="G234" s="396" t="str">
        <f aca="false">IF(A234="N/A"," ",IF(ISERROR(P234),G222*Pwresc,P234)*VLOOKUP(MONTH(A234),Curveadj,3))</f>
        <v> </v>
      </c>
      <c r="H234" s="398" t="str">
        <f aca="false">IF(A234="N/A"," ",G234*C234)</f>
        <v> </v>
      </c>
      <c r="I234" s="398" t="str">
        <f aca="false">IF(A234="N/A"," ",IF(ISERROR(Q234),I222*Pwresc,Q234))</f>
        <v> </v>
      </c>
      <c r="J234" s="398"/>
      <c r="K234" s="399"/>
      <c r="L234" s="399"/>
      <c r="M234" s="404"/>
      <c r="N234" s="401" t="str">
        <f aca="false">IF(A234="N/A"," ",VLOOKUP(A234,PeakPowerCurves,(IF(BMO3=2,3,IF(BMO3=1,2,4))),FALSE()))</f>
        <v> </v>
      </c>
      <c r="O234" s="401" t="str">
        <f aca="false">IF(A234="N/A"," ",VLOOKUP(A234,SatSunPeakPwr,(IF(BMO3=2,3,IF(BMO3=1,2,4))),FALSE()))</f>
        <v> </v>
      </c>
      <c r="P234" s="401" t="str">
        <f aca="false">IF(A234="N/A"," ",VLOOKUP(A234,SatSunPeakPwr,(IF(BMO3=2,7,IF(BMO3=1,6,8))),FALSE()))</f>
        <v> </v>
      </c>
      <c r="Q234" s="402" t="str">
        <f aca="false">IF(A234="N/A"," ",(VLOOKUP(A234,OPPowerPrices,(IF(BMO3=2,7,IF(BMO3=1,6,8))),FALSE())))</f>
        <v> </v>
      </c>
      <c r="R234" s="403" t="str">
        <f aca="false">IF(A234="N/A"," ",(VLOOKUP($A234,IRTable,2)))</f>
        <v> </v>
      </c>
      <c r="AF234" s="352" t="n">
        <v>43556</v>
      </c>
      <c r="AG234" s="311" t="n">
        <v>22</v>
      </c>
      <c r="AH234" s="311" t="n">
        <v>4</v>
      </c>
      <c r="AI234" s="311" t="n">
        <v>4</v>
      </c>
      <c r="AJ234" s="311" t="n">
        <v>0</v>
      </c>
      <c r="AK234" s="311" t="n">
        <v>30</v>
      </c>
      <c r="AU234" s="406"/>
    </row>
    <row r="235" customFormat="false" ht="12.75" hidden="false" customHeight="false" outlineLevel="0" collapsed="false">
      <c r="A235" s="352" t="str">
        <f aca="false">Option3!A202</f>
        <v>N/A</v>
      </c>
      <c r="B235" s="396" t="str">
        <f aca="false">IF(A235="N/A"," ",IF(ISERROR(N235),B223*Pwresc,N235)*VLOOKUP(MONTH(A235),Curveadj,3))</f>
        <v> </v>
      </c>
      <c r="C235" s="397" t="str">
        <f aca="false">IF(A235="N/A"," ",(IF(AND(Scaler3=1,MONTH(A235)&gt;=6,MONTH(A235)&lt;=8,OR($M$37="REGION 2",$M$37="REGION 2A",$M$37="REGION 2B",$M$37="REGION 3",$M$37="REGION 3A",$M$37="REGION 3B",$M$37="REGION 3C",$M$37="REGION 4",$M$37="REGION 4B",$M$37="REGION 4C",$M$37="REGION 5",$M$37="REGION 5A")),((0.059228/(B235/100))-(0.4980013/(SQRT(B235/100)))+2.137988),HLOOKUP(MONTH(A235),ScalarTable,28))))</f>
        <v> </v>
      </c>
      <c r="D235" s="398" t="str">
        <f aca="false">IF(A235="N/A"," ",C235*B235)</f>
        <v> </v>
      </c>
      <c r="E235" s="396" t="str">
        <f aca="false">IF(A235="N/A"," ",IF(ISERROR(O235),E223*Pwresc,O235)*VLOOKUP(MONTH(A235),Curveadj,3))</f>
        <v> </v>
      </c>
      <c r="F235" s="398" t="str">
        <f aca="false">IF(A235="N/A"," ",E235*C235)</f>
        <v> </v>
      </c>
      <c r="G235" s="396" t="str">
        <f aca="false">IF(A235="N/A"," ",IF(ISERROR(P235),G223*Pwresc,P235)*VLOOKUP(MONTH(A235),Curveadj,3))</f>
        <v> </v>
      </c>
      <c r="H235" s="398" t="str">
        <f aca="false">IF(A235="N/A"," ",G235*C235)</f>
        <v> </v>
      </c>
      <c r="I235" s="398" t="str">
        <f aca="false">IF(A235="N/A"," ",IF(ISERROR(Q235),I223*Pwresc,Q235))</f>
        <v> </v>
      </c>
      <c r="J235" s="398"/>
      <c r="K235" s="399"/>
      <c r="L235" s="399"/>
      <c r="M235" s="404"/>
      <c r="N235" s="401" t="str">
        <f aca="false">IF(A235="N/A"," ",VLOOKUP(A235,PeakPowerCurves,(IF(BMO3=2,3,IF(BMO3=1,2,4))),FALSE()))</f>
        <v> </v>
      </c>
      <c r="O235" s="401" t="str">
        <f aca="false">IF(A235="N/A"," ",VLOOKUP(A235,SatSunPeakPwr,(IF(BMO3=2,3,IF(BMO3=1,2,4))),FALSE()))</f>
        <v> </v>
      </c>
      <c r="P235" s="401" t="str">
        <f aca="false">IF(A235="N/A"," ",VLOOKUP(A235,SatSunPeakPwr,(IF(BMO3=2,7,IF(BMO3=1,6,8))),FALSE()))</f>
        <v> </v>
      </c>
      <c r="Q235" s="402" t="str">
        <f aca="false">IF(A235="N/A"," ",(VLOOKUP(A235,OPPowerPrices,(IF(BMO3=2,7,IF(BMO3=1,6,8))),FALSE())))</f>
        <v> </v>
      </c>
      <c r="R235" s="403" t="str">
        <f aca="false">IF(A235="N/A"," ",(VLOOKUP($A235,IRTable,2)))</f>
        <v> </v>
      </c>
      <c r="AF235" s="352" t="n">
        <v>43586</v>
      </c>
      <c r="AG235" s="311" t="n">
        <v>22</v>
      </c>
      <c r="AH235" s="311" t="n">
        <v>4</v>
      </c>
      <c r="AI235" s="311" t="n">
        <v>5</v>
      </c>
      <c r="AJ235" s="311" t="n">
        <v>1</v>
      </c>
      <c r="AK235" s="311" t="n">
        <v>31</v>
      </c>
      <c r="AU235" s="406"/>
    </row>
    <row r="236" customFormat="false" ht="12.75" hidden="false" customHeight="false" outlineLevel="0" collapsed="false">
      <c r="A236" s="352" t="str">
        <f aca="false">Option3!A203</f>
        <v>N/A</v>
      </c>
      <c r="B236" s="396" t="str">
        <f aca="false">IF(A236="N/A"," ",IF(ISERROR(N236),B224*Pwresc,N236)*VLOOKUP(MONTH(A236),Curveadj,3))</f>
        <v> </v>
      </c>
      <c r="C236" s="397" t="str">
        <f aca="false">IF(A236="N/A"," ",(IF(AND(Scaler3=1,MONTH(A236)&gt;=6,MONTH(A236)&lt;=8,OR($M$37="REGION 2",$M$37="REGION 2A",$M$37="REGION 2B",$M$37="REGION 3",$M$37="REGION 3A",$M$37="REGION 3B",$M$37="REGION 3C",$M$37="REGION 4",$M$37="REGION 4B",$M$37="REGION 4C",$M$37="REGION 5",$M$37="REGION 5A")),((0.059228/(B236/100))-(0.4980013/(SQRT(B236/100)))+2.137988),HLOOKUP(MONTH(A236),ScalarTable,28))))</f>
        <v> </v>
      </c>
      <c r="D236" s="398" t="str">
        <f aca="false">IF(A236="N/A"," ",C236*B236)</f>
        <v> </v>
      </c>
      <c r="E236" s="396" t="str">
        <f aca="false">IF(A236="N/A"," ",IF(ISERROR(O236),E224*Pwresc,O236)*VLOOKUP(MONTH(A236),Curveadj,3))</f>
        <v> </v>
      </c>
      <c r="F236" s="398" t="str">
        <f aca="false">IF(A236="N/A"," ",E236*C236)</f>
        <v> </v>
      </c>
      <c r="G236" s="396" t="str">
        <f aca="false">IF(A236="N/A"," ",IF(ISERROR(P236),G224*Pwresc,P236)*VLOOKUP(MONTH(A236),Curveadj,3))</f>
        <v> </v>
      </c>
      <c r="H236" s="398" t="str">
        <f aca="false">IF(A236="N/A"," ",G236*C236)</f>
        <v> </v>
      </c>
      <c r="I236" s="398" t="str">
        <f aca="false">IF(A236="N/A"," ",IF(ISERROR(Q236),I224*Pwresc,Q236))</f>
        <v> </v>
      </c>
      <c r="J236" s="398"/>
      <c r="K236" s="399"/>
      <c r="L236" s="399"/>
      <c r="M236" s="404"/>
      <c r="N236" s="401" t="str">
        <f aca="false">IF(A236="N/A"," ",VLOOKUP(A236,PeakPowerCurves,(IF(BMO3=2,3,IF(BMO3=1,2,4))),FALSE()))</f>
        <v> </v>
      </c>
      <c r="O236" s="401" t="str">
        <f aca="false">IF(A236="N/A"," ",VLOOKUP(A236,SatSunPeakPwr,(IF(BMO3=2,3,IF(BMO3=1,2,4))),FALSE()))</f>
        <v> </v>
      </c>
      <c r="P236" s="401" t="str">
        <f aca="false">IF(A236="N/A"," ",VLOOKUP(A236,SatSunPeakPwr,(IF(BMO3=2,7,IF(BMO3=1,6,8))),FALSE()))</f>
        <v> </v>
      </c>
      <c r="Q236" s="402" t="str">
        <f aca="false">IF(A236="N/A"," ",(VLOOKUP(A236,OPPowerPrices,(IF(BMO3=2,7,IF(BMO3=1,6,8))),FALSE())))</f>
        <v> </v>
      </c>
      <c r="R236" s="403" t="str">
        <f aca="false">IF(A236="N/A"," ",(VLOOKUP($A236,IRTable,2)))</f>
        <v> </v>
      </c>
      <c r="AF236" s="352" t="n">
        <v>43617</v>
      </c>
      <c r="AG236" s="311" t="n">
        <v>20</v>
      </c>
      <c r="AH236" s="311" t="n">
        <v>5</v>
      </c>
      <c r="AI236" s="311" t="n">
        <v>5</v>
      </c>
      <c r="AJ236" s="311" t="n">
        <v>0</v>
      </c>
      <c r="AK236" s="311" t="n">
        <v>30</v>
      </c>
      <c r="AU236" s="406"/>
    </row>
    <row r="237" customFormat="false" ht="12.75" hidden="false" customHeight="false" outlineLevel="0" collapsed="false">
      <c r="A237" s="352" t="str">
        <f aca="false">Option3!A204</f>
        <v>N/A</v>
      </c>
      <c r="B237" s="396" t="str">
        <f aca="false">IF(A237="N/A"," ",IF(ISERROR(N237),B225*Pwresc,N237)*VLOOKUP(MONTH(A237),Curveadj,3))</f>
        <v> </v>
      </c>
      <c r="C237" s="397" t="str">
        <f aca="false">IF(A237="N/A"," ",(IF(AND(Scaler3=1,MONTH(A237)&gt;=6,MONTH(A237)&lt;=8,OR($M$37="REGION 2",$M$37="REGION 2A",$M$37="REGION 2B",$M$37="REGION 3",$M$37="REGION 3A",$M$37="REGION 3B",$M$37="REGION 3C",$M$37="REGION 4",$M$37="REGION 4B",$M$37="REGION 4C",$M$37="REGION 5",$M$37="REGION 5A")),((0.059228/(B237/100))-(0.4980013/(SQRT(B237/100)))+2.137988),HLOOKUP(MONTH(A237),ScalarTable,28))))</f>
        <v> </v>
      </c>
      <c r="D237" s="398" t="str">
        <f aca="false">IF(A237="N/A"," ",C237*B237)</f>
        <v> </v>
      </c>
      <c r="E237" s="396" t="str">
        <f aca="false">IF(A237="N/A"," ",IF(ISERROR(O237),E225*Pwresc,O237)*VLOOKUP(MONTH(A237),Curveadj,3))</f>
        <v> </v>
      </c>
      <c r="F237" s="398" t="str">
        <f aca="false">IF(A237="N/A"," ",E237*C237)</f>
        <v> </v>
      </c>
      <c r="G237" s="396" t="str">
        <f aca="false">IF(A237="N/A"," ",IF(ISERROR(P237),G225*Pwresc,P237)*VLOOKUP(MONTH(A237),Curveadj,3))</f>
        <v> </v>
      </c>
      <c r="H237" s="398" t="str">
        <f aca="false">IF(A237="N/A"," ",G237*C237)</f>
        <v> </v>
      </c>
      <c r="I237" s="398" t="str">
        <f aca="false">IF(A237="N/A"," ",IF(ISERROR(Q237),I225*Pwresc,Q237))</f>
        <v> </v>
      </c>
      <c r="J237" s="398"/>
      <c r="K237" s="399"/>
      <c r="L237" s="399"/>
      <c r="M237" s="404"/>
      <c r="N237" s="401" t="str">
        <f aca="false">IF(A237="N/A"," ",VLOOKUP(A237,PeakPowerCurves,(IF(BMO3=2,3,IF(BMO3=1,2,4))),FALSE()))</f>
        <v> </v>
      </c>
      <c r="O237" s="401" t="str">
        <f aca="false">IF(A237="N/A"," ",VLOOKUP(A237,SatSunPeakPwr,(IF(BMO3=2,3,IF(BMO3=1,2,4))),FALSE()))</f>
        <v> </v>
      </c>
      <c r="P237" s="401" t="str">
        <f aca="false">IF(A237="N/A"," ",VLOOKUP(A237,SatSunPeakPwr,(IF(BMO3=2,7,IF(BMO3=1,6,8))),FALSE()))</f>
        <v> </v>
      </c>
      <c r="Q237" s="402" t="str">
        <f aca="false">IF(A237="N/A"," ",(VLOOKUP(A237,OPPowerPrices,(IF(BMO3=2,7,IF(BMO3=1,6,8))),FALSE())))</f>
        <v> </v>
      </c>
      <c r="R237" s="403" t="str">
        <f aca="false">IF(A237="N/A"," ",(VLOOKUP($A237,IRTable,2)))</f>
        <v> </v>
      </c>
      <c r="AF237" s="352" t="n">
        <v>43647</v>
      </c>
      <c r="AG237" s="311" t="n">
        <v>22</v>
      </c>
      <c r="AH237" s="311" t="n">
        <v>4</v>
      </c>
      <c r="AI237" s="311" t="n">
        <v>5</v>
      </c>
      <c r="AJ237" s="311" t="n">
        <v>1</v>
      </c>
      <c r="AK237" s="311" t="n">
        <v>31</v>
      </c>
      <c r="AU237" s="406"/>
    </row>
    <row r="238" customFormat="false" ht="12.75" hidden="false" customHeight="false" outlineLevel="0" collapsed="false">
      <c r="A238" s="352" t="str">
        <f aca="false">Option3!A205</f>
        <v>N/A</v>
      </c>
      <c r="B238" s="396" t="str">
        <f aca="false">IF(A238="N/A"," ",IF(ISERROR(N238),B226*Pwresc,N238)*VLOOKUP(MONTH(A238),Curveadj,3))</f>
        <v> </v>
      </c>
      <c r="C238" s="397" t="str">
        <f aca="false">IF(A238="N/A"," ",(IF(AND(Scaler3=1,MONTH(A238)&gt;=6,MONTH(A238)&lt;=8,OR($M$37="REGION 2",$M$37="REGION 2A",$M$37="REGION 2B",$M$37="REGION 3",$M$37="REGION 3A",$M$37="REGION 3B",$M$37="REGION 3C",$M$37="REGION 4",$M$37="REGION 4B",$M$37="REGION 4C",$M$37="REGION 5",$M$37="REGION 5A")),((0.059228/(B238/100))-(0.4980013/(SQRT(B238/100)))+2.137988),HLOOKUP(MONTH(A238),ScalarTable,28))))</f>
        <v> </v>
      </c>
      <c r="D238" s="398" t="str">
        <f aca="false">IF(A238="N/A"," ",C238*B238)</f>
        <v> </v>
      </c>
      <c r="E238" s="396" t="str">
        <f aca="false">IF(A238="N/A"," ",IF(ISERROR(O238),E226*Pwresc,O238)*VLOOKUP(MONTH(A238),Curveadj,3))</f>
        <v> </v>
      </c>
      <c r="F238" s="398" t="str">
        <f aca="false">IF(A238="N/A"," ",E238*C238)</f>
        <v> </v>
      </c>
      <c r="G238" s="396" t="str">
        <f aca="false">IF(A238="N/A"," ",IF(ISERROR(P238),G226*Pwresc,P238)*VLOOKUP(MONTH(A238),Curveadj,3))</f>
        <v> </v>
      </c>
      <c r="H238" s="398" t="str">
        <f aca="false">IF(A238="N/A"," ",G238*C238)</f>
        <v> </v>
      </c>
      <c r="I238" s="398" t="str">
        <f aca="false">IF(A238="N/A"," ",IF(ISERROR(Q238),I226*Pwresc,Q238))</f>
        <v> </v>
      </c>
      <c r="J238" s="398"/>
      <c r="K238" s="399"/>
      <c r="L238" s="399"/>
      <c r="M238" s="404"/>
      <c r="N238" s="401" t="str">
        <f aca="false">IF(A238="N/A"," ",VLOOKUP(A238,PeakPowerCurves,(IF(BMO3=2,3,IF(BMO3=1,2,4))),FALSE()))</f>
        <v> </v>
      </c>
      <c r="O238" s="401" t="str">
        <f aca="false">IF(A238="N/A"," ",VLOOKUP(A238,SatSunPeakPwr,(IF(BMO3=2,3,IF(BMO3=1,2,4))),FALSE()))</f>
        <v> </v>
      </c>
      <c r="P238" s="401" t="str">
        <f aca="false">IF(A238="N/A"," ",VLOOKUP(A238,SatSunPeakPwr,(IF(BMO3=2,7,IF(BMO3=1,6,8))),FALSE()))</f>
        <v> </v>
      </c>
      <c r="Q238" s="402" t="str">
        <f aca="false">IF(A238="N/A"," ",(VLOOKUP(A238,OPPowerPrices,(IF(BMO3=2,7,IF(BMO3=1,6,8))),FALSE())))</f>
        <v> </v>
      </c>
      <c r="R238" s="403" t="str">
        <f aca="false">IF(A238="N/A"," ",(VLOOKUP($A238,IRTable,2)))</f>
        <v> </v>
      </c>
      <c r="AF238" s="352" t="n">
        <v>43678</v>
      </c>
      <c r="AG238" s="311" t="n">
        <v>22</v>
      </c>
      <c r="AH238" s="311" t="n">
        <v>5</v>
      </c>
      <c r="AI238" s="311" t="n">
        <v>4</v>
      </c>
      <c r="AJ238" s="311" t="n">
        <v>0</v>
      </c>
      <c r="AK238" s="311" t="n">
        <v>31</v>
      </c>
      <c r="AU238" s="406"/>
    </row>
    <row r="239" customFormat="false" ht="12.75" hidden="false" customHeight="false" outlineLevel="0" collapsed="false">
      <c r="A239" s="352" t="str">
        <f aca="false">Option3!A206</f>
        <v>N/A</v>
      </c>
      <c r="B239" s="396" t="str">
        <f aca="false">IF(A239="N/A"," ",IF(ISERROR(N239),B227*Pwresc,N239)*VLOOKUP(MONTH(A239),Curveadj,3))</f>
        <v> </v>
      </c>
      <c r="C239" s="397" t="str">
        <f aca="false">IF(A239="N/A"," ",(IF(AND(Scaler3=1,MONTH(A239)&gt;=6,MONTH(A239)&lt;=8,OR($M$37="REGION 2",$M$37="REGION 2A",$M$37="REGION 2B",$M$37="REGION 3",$M$37="REGION 3A",$M$37="REGION 3B",$M$37="REGION 3C",$M$37="REGION 4",$M$37="REGION 4B",$M$37="REGION 4C",$M$37="REGION 5",$M$37="REGION 5A")),((0.059228/(B239/100))-(0.4980013/(SQRT(B239/100)))+2.137988),HLOOKUP(MONTH(A239),ScalarTable,28))))</f>
        <v> </v>
      </c>
      <c r="D239" s="398" t="str">
        <f aca="false">IF(A239="N/A"," ",C239*B239)</f>
        <v> </v>
      </c>
      <c r="E239" s="396" t="str">
        <f aca="false">IF(A239="N/A"," ",IF(ISERROR(O239),E227*Pwresc,O239)*VLOOKUP(MONTH(A239),Curveadj,3))</f>
        <v> </v>
      </c>
      <c r="F239" s="398" t="str">
        <f aca="false">IF(A239="N/A"," ",E239*C239)</f>
        <v> </v>
      </c>
      <c r="G239" s="396" t="str">
        <f aca="false">IF(A239="N/A"," ",IF(ISERROR(P239),G227*Pwresc,P239)*VLOOKUP(MONTH(A239),Curveadj,3))</f>
        <v> </v>
      </c>
      <c r="H239" s="398" t="str">
        <f aca="false">IF(A239="N/A"," ",G239*C239)</f>
        <v> </v>
      </c>
      <c r="I239" s="398" t="str">
        <f aca="false">IF(A239="N/A"," ",IF(ISERROR(Q239),I227*Pwresc,Q239))</f>
        <v> </v>
      </c>
      <c r="J239" s="398"/>
      <c r="K239" s="399"/>
      <c r="L239" s="399"/>
      <c r="M239" s="404"/>
      <c r="N239" s="401" t="str">
        <f aca="false">IF(A239="N/A"," ",VLOOKUP(A239,PeakPowerCurves,(IF(BMO3=2,3,IF(BMO3=1,2,4))),FALSE()))</f>
        <v> </v>
      </c>
      <c r="O239" s="401" t="str">
        <f aca="false">IF(A239="N/A"," ",VLOOKUP(A239,SatSunPeakPwr,(IF(BMO3=2,3,IF(BMO3=1,2,4))),FALSE()))</f>
        <v> </v>
      </c>
      <c r="P239" s="401" t="str">
        <f aca="false">IF(A239="N/A"," ",VLOOKUP(A239,SatSunPeakPwr,(IF(BMO3=2,7,IF(BMO3=1,6,8))),FALSE()))</f>
        <v> </v>
      </c>
      <c r="Q239" s="402" t="str">
        <f aca="false">IF(A239="N/A"," ",(VLOOKUP(A239,OPPowerPrices,(IF(BMO3=2,7,IF(BMO3=1,6,8))),FALSE())))</f>
        <v> </v>
      </c>
      <c r="R239" s="403" t="str">
        <f aca="false">IF(A239="N/A"," ",(VLOOKUP($A239,IRTable,2)))</f>
        <v> </v>
      </c>
      <c r="AF239" s="352" t="n">
        <v>43709</v>
      </c>
      <c r="AG239" s="311" t="n">
        <v>20</v>
      </c>
      <c r="AH239" s="311" t="n">
        <v>4</v>
      </c>
      <c r="AI239" s="311" t="n">
        <v>6</v>
      </c>
      <c r="AJ239" s="311" t="n">
        <v>1</v>
      </c>
      <c r="AK239" s="311" t="n">
        <v>30</v>
      </c>
      <c r="AU239" s="406"/>
    </row>
    <row r="240" customFormat="false" ht="12.75" hidden="false" customHeight="false" outlineLevel="0" collapsed="false">
      <c r="A240" s="352" t="str">
        <f aca="false">Option3!A207</f>
        <v>N/A</v>
      </c>
      <c r="B240" s="396" t="str">
        <f aca="false">IF(A240="N/A"," ",IF(ISERROR(N240),B228*Pwresc,N240)*VLOOKUP(MONTH(A240),Curveadj,3))</f>
        <v> </v>
      </c>
      <c r="C240" s="397" t="str">
        <f aca="false">IF(A240="N/A"," ",(IF(AND(Scaler3=1,MONTH(A240)&gt;=6,MONTH(A240)&lt;=8,OR($M$37="REGION 2",$M$37="REGION 2A",$M$37="REGION 2B",$M$37="REGION 3",$M$37="REGION 3A",$M$37="REGION 3B",$M$37="REGION 3C",$M$37="REGION 4",$M$37="REGION 4B",$M$37="REGION 4C",$M$37="REGION 5",$M$37="REGION 5A")),((0.059228/(B240/100))-(0.4980013/(SQRT(B240/100)))+2.137988),HLOOKUP(MONTH(A240),ScalarTable,28))))</f>
        <v> </v>
      </c>
      <c r="D240" s="398" t="str">
        <f aca="false">IF(A240="N/A"," ",C240*B240)</f>
        <v> </v>
      </c>
      <c r="E240" s="396" t="str">
        <f aca="false">IF(A240="N/A"," ",IF(ISERROR(O240),E228*Pwresc,O240)*VLOOKUP(MONTH(A240),Curveadj,3))</f>
        <v> </v>
      </c>
      <c r="F240" s="398" t="str">
        <f aca="false">IF(A240="N/A"," ",E240*C240)</f>
        <v> </v>
      </c>
      <c r="G240" s="396" t="str">
        <f aca="false">IF(A240="N/A"," ",IF(ISERROR(P240),G228*Pwresc,P240)*VLOOKUP(MONTH(A240),Curveadj,3))</f>
        <v> </v>
      </c>
      <c r="H240" s="398" t="str">
        <f aca="false">IF(A240="N/A"," ",G240*C240)</f>
        <v> </v>
      </c>
      <c r="I240" s="398" t="str">
        <f aca="false">IF(A240="N/A"," ",IF(ISERROR(Q240),I228*Pwresc,Q240))</f>
        <v> </v>
      </c>
      <c r="J240" s="398"/>
      <c r="K240" s="399"/>
      <c r="L240" s="399"/>
      <c r="M240" s="404"/>
      <c r="N240" s="401" t="str">
        <f aca="false">IF(A240="N/A"," ",VLOOKUP(A240,PeakPowerCurves,(IF(BMO3=2,3,IF(BMO3=1,2,4))),FALSE()))</f>
        <v> </v>
      </c>
      <c r="O240" s="401" t="str">
        <f aca="false">IF(A240="N/A"," ",VLOOKUP(A240,SatSunPeakPwr,(IF(BMO3=2,3,IF(BMO3=1,2,4))),FALSE()))</f>
        <v> </v>
      </c>
      <c r="P240" s="401" t="str">
        <f aca="false">IF(A240="N/A"," ",VLOOKUP(A240,SatSunPeakPwr,(IF(BMO3=2,7,IF(BMO3=1,6,8))),FALSE()))</f>
        <v> </v>
      </c>
      <c r="Q240" s="402" t="str">
        <f aca="false">IF(A240="N/A"," ",(VLOOKUP(A240,OPPowerPrices,(IF(BMO3=2,7,IF(BMO3=1,6,8))),FALSE())))</f>
        <v> </v>
      </c>
      <c r="R240" s="403" t="str">
        <f aca="false">IF(A240="N/A"," ",(VLOOKUP($A240,IRTable,2)))</f>
        <v> </v>
      </c>
      <c r="AF240" s="352" t="n">
        <v>43739</v>
      </c>
      <c r="AG240" s="311" t="n">
        <v>23</v>
      </c>
      <c r="AH240" s="311" t="n">
        <v>4</v>
      </c>
      <c r="AI240" s="311" t="n">
        <v>4</v>
      </c>
      <c r="AJ240" s="311" t="n">
        <v>0</v>
      </c>
      <c r="AK240" s="311" t="n">
        <v>31</v>
      </c>
      <c r="AU240" s="406"/>
    </row>
    <row r="241" customFormat="false" ht="12.75" hidden="false" customHeight="false" outlineLevel="0" collapsed="false">
      <c r="A241" s="352" t="str">
        <f aca="false">Option3!A208</f>
        <v>N/A</v>
      </c>
      <c r="B241" s="396" t="str">
        <f aca="false">IF(A241="N/A"," ",IF(ISERROR(N241),B229*Pwresc,N241)*VLOOKUP(MONTH(A241),Curveadj,3))</f>
        <v> </v>
      </c>
      <c r="C241" s="397" t="str">
        <f aca="false">IF(A241="N/A"," ",(IF(AND(Scaler3=1,MONTH(A241)&gt;=6,MONTH(A241)&lt;=8,OR($M$37="REGION 2",$M$37="REGION 2A",$M$37="REGION 2B",$M$37="REGION 3",$M$37="REGION 3A",$M$37="REGION 3B",$M$37="REGION 3C",$M$37="REGION 4",$M$37="REGION 4B",$M$37="REGION 4C",$M$37="REGION 5",$M$37="REGION 5A")),((0.059228/(B241/100))-(0.4980013/(SQRT(B241/100)))+2.137988),HLOOKUP(MONTH(A241),ScalarTable,28))))</f>
        <v> </v>
      </c>
      <c r="D241" s="398" t="str">
        <f aca="false">IF(A241="N/A"," ",C241*B241)</f>
        <v> </v>
      </c>
      <c r="E241" s="396" t="str">
        <f aca="false">IF(A241="N/A"," ",IF(ISERROR(O241),E229*Pwresc,O241)*VLOOKUP(MONTH(A241),Curveadj,3))</f>
        <v> </v>
      </c>
      <c r="F241" s="398" t="str">
        <f aca="false">IF(A241="N/A"," ",E241*C241)</f>
        <v> </v>
      </c>
      <c r="G241" s="396" t="str">
        <f aca="false">IF(A241="N/A"," ",IF(ISERROR(P241),G229*Pwresc,P241)*VLOOKUP(MONTH(A241),Curveadj,3))</f>
        <v> </v>
      </c>
      <c r="H241" s="398" t="str">
        <f aca="false">IF(A241="N/A"," ",G241*C241)</f>
        <v> </v>
      </c>
      <c r="I241" s="398" t="str">
        <f aca="false">IF(A241="N/A"," ",IF(ISERROR(Q241),I229*Pwresc,Q241))</f>
        <v> </v>
      </c>
      <c r="J241" s="398"/>
      <c r="K241" s="399"/>
      <c r="L241" s="399"/>
      <c r="M241" s="404"/>
      <c r="N241" s="401" t="str">
        <f aca="false">IF(A241="N/A"," ",VLOOKUP(A241,PeakPowerCurves,(IF(BMO3=2,3,IF(BMO3=1,2,4))),FALSE()))</f>
        <v> </v>
      </c>
      <c r="O241" s="401" t="str">
        <f aca="false">IF(A241="N/A"," ",VLOOKUP(A241,SatSunPeakPwr,(IF(BMO3=2,3,IF(BMO3=1,2,4))),FALSE()))</f>
        <v> </v>
      </c>
      <c r="P241" s="401" t="str">
        <f aca="false">IF(A241="N/A"," ",VLOOKUP(A241,SatSunPeakPwr,(IF(BMO3=2,7,IF(BMO3=1,6,8))),FALSE()))</f>
        <v> </v>
      </c>
      <c r="Q241" s="402" t="str">
        <f aca="false">IF(A241="N/A"," ",(VLOOKUP(A241,OPPowerPrices,(IF(BMO3=2,7,IF(BMO3=1,6,8))),FALSE())))</f>
        <v> </v>
      </c>
      <c r="R241" s="403" t="str">
        <f aca="false">IF(A241="N/A"," ",(VLOOKUP($A241,IRTable,2)))</f>
        <v> </v>
      </c>
      <c r="AF241" s="352" t="n">
        <v>43770</v>
      </c>
      <c r="AG241" s="311" t="n">
        <v>20</v>
      </c>
      <c r="AH241" s="311" t="n">
        <v>5</v>
      </c>
      <c r="AI241" s="311" t="n">
        <v>5</v>
      </c>
      <c r="AJ241" s="311" t="n">
        <v>1</v>
      </c>
      <c r="AK241" s="311" t="n">
        <v>30</v>
      </c>
      <c r="AU241" s="406"/>
    </row>
    <row r="242" customFormat="false" ht="12.75" hidden="false" customHeight="false" outlineLevel="0" collapsed="false">
      <c r="A242" s="352" t="str">
        <f aca="false">Option3!A209</f>
        <v>N/A</v>
      </c>
      <c r="B242" s="396" t="str">
        <f aca="false">IF(A242="N/A"," ",IF(ISERROR(N242),B230*Pwresc,N242)*VLOOKUP(MONTH(A242),Curveadj,3))</f>
        <v> </v>
      </c>
      <c r="C242" s="397" t="str">
        <f aca="false">IF(A242="N/A"," ",(IF(AND(Scaler3=1,MONTH(A242)&gt;=6,MONTH(A242)&lt;=8,OR($M$37="REGION 2",$M$37="REGION 2A",$M$37="REGION 2B",$M$37="REGION 3",$M$37="REGION 3A",$M$37="REGION 3B",$M$37="REGION 3C",$M$37="REGION 4",$M$37="REGION 4B",$M$37="REGION 4C",$M$37="REGION 5",$M$37="REGION 5A")),((0.059228/(B242/100))-(0.4980013/(SQRT(B242/100)))+2.137988),HLOOKUP(MONTH(A242),ScalarTable,28))))</f>
        <v> </v>
      </c>
      <c r="D242" s="398" t="str">
        <f aca="false">IF(A242="N/A"," ",C242*B242)</f>
        <v> </v>
      </c>
      <c r="E242" s="396" t="str">
        <f aca="false">IF(A242="N/A"," ",IF(ISERROR(O242),E230*Pwresc,O242)*VLOOKUP(MONTH(A242),Curveadj,3))</f>
        <v> </v>
      </c>
      <c r="F242" s="398" t="str">
        <f aca="false">IF(A242="N/A"," ",E242*C242)</f>
        <v> </v>
      </c>
      <c r="G242" s="396" t="str">
        <f aca="false">IF(A242="N/A"," ",IF(ISERROR(P242),G230*Pwresc,P242)*VLOOKUP(MONTH(A242),Curveadj,3))</f>
        <v> </v>
      </c>
      <c r="H242" s="398" t="str">
        <f aca="false">IF(A242="N/A"," ",G242*C242)</f>
        <v> </v>
      </c>
      <c r="I242" s="398" t="str">
        <f aca="false">IF(A242="N/A"," ",IF(ISERROR(Q242),I230*Pwresc,Q242))</f>
        <v> </v>
      </c>
      <c r="J242" s="398"/>
      <c r="K242" s="399"/>
      <c r="L242" s="399"/>
      <c r="M242" s="404"/>
      <c r="N242" s="401" t="str">
        <f aca="false">IF(A242="N/A"," ",VLOOKUP(A242,PeakPowerCurves,(IF(BMO3=2,3,IF(BMO3=1,2,4))),FALSE()))</f>
        <v> </v>
      </c>
      <c r="O242" s="401" t="str">
        <f aca="false">IF(A242="N/A"," ",VLOOKUP(A242,SatSunPeakPwr,(IF(BMO3=2,3,IF(BMO3=1,2,4))),FALSE()))</f>
        <v> </v>
      </c>
      <c r="P242" s="401" t="str">
        <f aca="false">IF(A242="N/A"," ",VLOOKUP(A242,SatSunPeakPwr,(IF(BMO3=2,7,IF(BMO3=1,6,8))),FALSE()))</f>
        <v> </v>
      </c>
      <c r="Q242" s="402" t="str">
        <f aca="false">IF(A242="N/A"," ",(VLOOKUP(A242,OPPowerPrices,(IF(BMO3=2,7,IF(BMO3=1,6,8))),FALSE())))</f>
        <v> </v>
      </c>
      <c r="R242" s="403" t="str">
        <f aca="false">IF(A242="N/A"," ",(VLOOKUP($A242,IRTable,2)))</f>
        <v> </v>
      </c>
      <c r="AF242" s="352" t="n">
        <v>43800</v>
      </c>
      <c r="AG242" s="311" t="n">
        <v>21</v>
      </c>
      <c r="AH242" s="311" t="n">
        <v>4</v>
      </c>
      <c r="AI242" s="311" t="n">
        <v>6</v>
      </c>
      <c r="AJ242" s="311" t="n">
        <v>1</v>
      </c>
      <c r="AK242" s="311" t="n">
        <v>31</v>
      </c>
      <c r="AU242" s="406"/>
    </row>
    <row r="243" customFormat="false" ht="12.75" hidden="false" customHeight="false" outlineLevel="0" collapsed="false">
      <c r="A243" s="352" t="str">
        <f aca="false">Option3!A210</f>
        <v>N/A</v>
      </c>
      <c r="B243" s="396" t="str">
        <f aca="false">IF(A243="N/A"," ",IF(ISERROR(N243),B231*Pwresc,N243)*VLOOKUP(MONTH(A243),Curveadj,3))</f>
        <v> </v>
      </c>
      <c r="C243" s="397" t="str">
        <f aca="false">IF(A243="N/A"," ",(IF(AND(Scaler3=1,MONTH(A243)&gt;=6,MONTH(A243)&lt;=8,OR($M$37="REGION 2",$M$37="REGION 2A",$M$37="REGION 2B",$M$37="REGION 3",$M$37="REGION 3A",$M$37="REGION 3B",$M$37="REGION 3C",$M$37="REGION 4",$M$37="REGION 4B",$M$37="REGION 4C",$M$37="REGION 5",$M$37="REGION 5A")),((0.059228/(B243/100))-(0.4980013/(SQRT(B243/100)))+2.137988),HLOOKUP(MONTH(A243),ScalarTable,28))))</f>
        <v> </v>
      </c>
      <c r="D243" s="398" t="str">
        <f aca="false">IF(A243="N/A"," ",C243*B243)</f>
        <v> </v>
      </c>
      <c r="E243" s="396" t="str">
        <f aca="false">IF(A243="N/A"," ",IF(ISERROR(O243),E231*Pwresc,O243)*VLOOKUP(MONTH(A243),Curveadj,3))</f>
        <v> </v>
      </c>
      <c r="F243" s="398" t="str">
        <f aca="false">IF(A243="N/A"," ",E243*C243)</f>
        <v> </v>
      </c>
      <c r="G243" s="396" t="str">
        <f aca="false">IF(A243="N/A"," ",IF(ISERROR(P243),G231*Pwresc,P243)*VLOOKUP(MONTH(A243),Curveadj,3))</f>
        <v> </v>
      </c>
      <c r="H243" s="398" t="str">
        <f aca="false">IF(A243="N/A"," ",G243*C243)</f>
        <v> </v>
      </c>
      <c r="I243" s="398" t="str">
        <f aca="false">IF(A243="N/A"," ",IF(ISERROR(Q243),I231*Pwresc,Q243))</f>
        <v> </v>
      </c>
      <c r="J243" s="398"/>
      <c r="K243" s="399"/>
      <c r="L243" s="399"/>
      <c r="M243" s="404"/>
      <c r="N243" s="401" t="str">
        <f aca="false">IF(A243="N/A"," ",VLOOKUP(A243,PeakPowerCurves,(IF(BMO3=2,3,IF(BMO3=1,2,4))),FALSE()))</f>
        <v> </v>
      </c>
      <c r="O243" s="401" t="str">
        <f aca="false">IF(A243="N/A"," ",VLOOKUP(A243,SatSunPeakPwr,(IF(BMO3=2,3,IF(BMO3=1,2,4))),FALSE()))</f>
        <v> </v>
      </c>
      <c r="P243" s="401" t="str">
        <f aca="false">IF(A243="N/A"," ",VLOOKUP(A243,SatSunPeakPwr,(IF(BMO3=2,7,IF(BMO3=1,6,8))),FALSE()))</f>
        <v> </v>
      </c>
      <c r="Q243" s="402" t="str">
        <f aca="false">IF(A243="N/A"," ",(VLOOKUP(A243,OPPowerPrices,(IF(BMO3=2,7,IF(BMO3=1,6,8))),FALSE())))</f>
        <v> </v>
      </c>
      <c r="R243" s="403" t="str">
        <f aca="false">IF(A243="N/A"," ",(VLOOKUP($A243,IRTable,2)))</f>
        <v> </v>
      </c>
      <c r="AF243" s="352" t="n">
        <v>43831</v>
      </c>
      <c r="AG243" s="311" t="n">
        <v>22</v>
      </c>
      <c r="AH243" s="311" t="n">
        <v>4</v>
      </c>
      <c r="AI243" s="311" t="n">
        <v>5</v>
      </c>
      <c r="AJ243" s="311" t="n">
        <v>1</v>
      </c>
      <c r="AK243" s="311" t="n">
        <v>31</v>
      </c>
      <c r="AU243" s="406"/>
    </row>
    <row r="244" customFormat="false" ht="12.75" hidden="false" customHeight="false" outlineLevel="0" collapsed="false">
      <c r="A244" s="352" t="str">
        <f aca="false">Option3!A211</f>
        <v>N/A</v>
      </c>
      <c r="B244" s="396" t="str">
        <f aca="false">IF(A244="N/A"," ",IF(ISERROR(N244),B232*Pwresc,N244)*VLOOKUP(MONTH(A244),Curveadj,3))</f>
        <v> </v>
      </c>
      <c r="C244" s="397" t="str">
        <f aca="false">IF(A244="N/A"," ",(IF(AND(Scaler3=1,MONTH(A244)&gt;=6,MONTH(A244)&lt;=8,OR($M$37="REGION 2",$M$37="REGION 2A",$M$37="REGION 2B",$M$37="REGION 3",$M$37="REGION 3A",$M$37="REGION 3B",$M$37="REGION 3C",$M$37="REGION 4",$M$37="REGION 4B",$M$37="REGION 4C",$M$37="REGION 5",$M$37="REGION 5A")),((0.059228/(B244/100))-(0.4980013/(SQRT(B244/100)))+2.137988),HLOOKUP(MONTH(A244),ScalarTable,28))))</f>
        <v> </v>
      </c>
      <c r="D244" s="398" t="str">
        <f aca="false">IF(A244="N/A"," ",C244*B244)</f>
        <v> </v>
      </c>
      <c r="E244" s="396" t="str">
        <f aca="false">IF(A244="N/A"," ",IF(ISERROR(O244),E232*Pwresc,O244)*VLOOKUP(MONTH(A244),Curveadj,3))</f>
        <v> </v>
      </c>
      <c r="F244" s="398" t="str">
        <f aca="false">IF(A244="N/A"," ",E244*C244)</f>
        <v> </v>
      </c>
      <c r="G244" s="396" t="str">
        <f aca="false">IF(A244="N/A"," ",IF(ISERROR(P244),G232*Pwresc,P244)*VLOOKUP(MONTH(A244),Curveadj,3))</f>
        <v> </v>
      </c>
      <c r="H244" s="398" t="str">
        <f aca="false">IF(A244="N/A"," ",G244*C244)</f>
        <v> </v>
      </c>
      <c r="I244" s="398" t="str">
        <f aca="false">IF(A244="N/A"," ",IF(ISERROR(Q244),I232*Pwresc,Q244))</f>
        <v> </v>
      </c>
      <c r="J244" s="398"/>
      <c r="K244" s="399"/>
      <c r="L244" s="399"/>
      <c r="M244" s="404"/>
      <c r="N244" s="401" t="str">
        <f aca="false">IF(A244="N/A"," ",VLOOKUP(A244,PeakPowerCurves,(IF(BMO3=2,3,IF(BMO3=1,2,4))),FALSE()))</f>
        <v> </v>
      </c>
      <c r="O244" s="401" t="str">
        <f aca="false">IF(A244="N/A"," ",VLOOKUP(A244,SatSunPeakPwr,(IF(BMO3=2,3,IF(BMO3=1,2,4))),FALSE()))</f>
        <v> </v>
      </c>
      <c r="P244" s="401" t="str">
        <f aca="false">IF(A244="N/A"," ",VLOOKUP(A244,SatSunPeakPwr,(IF(BMO3=2,7,IF(BMO3=1,6,8))),FALSE()))</f>
        <v> </v>
      </c>
      <c r="Q244" s="402" t="str">
        <f aca="false">IF(A244="N/A"," ",(VLOOKUP(A244,OPPowerPrices,(IF(BMO3=2,7,IF(BMO3=1,6,8))),FALSE())))</f>
        <v> </v>
      </c>
      <c r="R244" s="403" t="str">
        <f aca="false">IF(A244="N/A"," ",(VLOOKUP($A244,IRTable,2)))</f>
        <v> </v>
      </c>
      <c r="AF244" s="352" t="n">
        <v>43862</v>
      </c>
      <c r="AG244" s="311" t="n">
        <v>20</v>
      </c>
      <c r="AH244" s="311" t="n">
        <v>5</v>
      </c>
      <c r="AI244" s="311" t="n">
        <v>4</v>
      </c>
      <c r="AJ244" s="311" t="n">
        <v>0</v>
      </c>
      <c r="AK244" s="311" t="n">
        <v>29</v>
      </c>
      <c r="AU244" s="406"/>
    </row>
    <row r="245" customFormat="false" ht="12.75" hidden="false" customHeight="false" outlineLevel="0" collapsed="false">
      <c r="A245" s="352" t="str">
        <f aca="false">Option3!A212</f>
        <v>N/A</v>
      </c>
      <c r="B245" s="396" t="str">
        <f aca="false">IF(A245="N/A"," ",IF(ISERROR(N245),B233*Pwresc,N245)*VLOOKUP(MONTH(A245),Curveadj,3))</f>
        <v> </v>
      </c>
      <c r="C245" s="397" t="str">
        <f aca="false">IF(A245="N/A"," ",(IF(AND(Scaler3=1,MONTH(A245)&gt;=6,MONTH(A245)&lt;=8,OR($M$37="REGION 2",$M$37="REGION 2A",$M$37="REGION 2B",$M$37="REGION 3",$M$37="REGION 3A",$M$37="REGION 3B",$M$37="REGION 3C",$M$37="REGION 4",$M$37="REGION 4B",$M$37="REGION 4C",$M$37="REGION 5",$M$37="REGION 5A")),((0.059228/(B245/100))-(0.4980013/(SQRT(B245/100)))+2.137988),HLOOKUP(MONTH(A245),ScalarTable,28))))</f>
        <v> </v>
      </c>
      <c r="D245" s="398" t="str">
        <f aca="false">IF(A245="N/A"," ",C245*B245)</f>
        <v> </v>
      </c>
      <c r="E245" s="396" t="str">
        <f aca="false">IF(A245="N/A"," ",IF(ISERROR(O245),E233*Pwresc,O245)*VLOOKUP(MONTH(A245),Curveadj,3))</f>
        <v> </v>
      </c>
      <c r="F245" s="398" t="str">
        <f aca="false">IF(A245="N/A"," ",E245*C245)</f>
        <v> </v>
      </c>
      <c r="G245" s="396" t="str">
        <f aca="false">IF(A245="N/A"," ",IF(ISERROR(P245),G233*Pwresc,P245)*VLOOKUP(MONTH(A245),Curveadj,3))</f>
        <v> </v>
      </c>
      <c r="H245" s="398" t="str">
        <f aca="false">IF(A245="N/A"," ",G245*C245)</f>
        <v> </v>
      </c>
      <c r="I245" s="398" t="str">
        <f aca="false">IF(A245="N/A"," ",IF(ISERROR(Q245),I233*Pwresc,Q245))</f>
        <v> </v>
      </c>
      <c r="J245" s="398"/>
      <c r="K245" s="399"/>
      <c r="L245" s="399"/>
      <c r="M245" s="404"/>
      <c r="N245" s="401" t="str">
        <f aca="false">IF(A245="N/A"," ",VLOOKUP(A245,PeakPowerCurves,(IF(BMO3=2,3,IF(BMO3=1,2,4))),FALSE()))</f>
        <v> </v>
      </c>
      <c r="O245" s="401" t="str">
        <f aca="false">IF(A245="N/A"," ",VLOOKUP(A245,SatSunPeakPwr,(IF(BMO3=2,3,IF(BMO3=1,2,4))),FALSE()))</f>
        <v> </v>
      </c>
      <c r="P245" s="401" t="str">
        <f aca="false">IF(A245="N/A"," ",VLOOKUP(A245,SatSunPeakPwr,(IF(BMO3=2,7,IF(BMO3=1,6,8))),FALSE()))</f>
        <v> </v>
      </c>
      <c r="Q245" s="402" t="str">
        <f aca="false">IF(A245="N/A"," ",(VLOOKUP(A245,OPPowerPrices,(IF(BMO3=2,7,IF(BMO3=1,6,8))),FALSE())))</f>
        <v> </v>
      </c>
      <c r="R245" s="403" t="str">
        <f aca="false">IF(A245="N/A"," ",(VLOOKUP($A245,IRTable,2)))</f>
        <v> </v>
      </c>
      <c r="AF245" s="352" t="n">
        <v>43891</v>
      </c>
      <c r="AG245" s="311" t="n">
        <v>22</v>
      </c>
      <c r="AH245" s="311" t="n">
        <v>4</v>
      </c>
      <c r="AI245" s="311" t="n">
        <v>5</v>
      </c>
      <c r="AJ245" s="311" t="n">
        <v>0</v>
      </c>
      <c r="AK245" s="311" t="n">
        <v>31</v>
      </c>
      <c r="AU245" s="406"/>
    </row>
    <row r="246" customFormat="false" ht="12.75" hidden="false" customHeight="false" outlineLevel="0" collapsed="false">
      <c r="A246" s="352" t="str">
        <f aca="false">Option3!A213</f>
        <v>N/A</v>
      </c>
      <c r="B246" s="396" t="str">
        <f aca="false">IF(A246="N/A"," ",IF(ISERROR(N246),B234*Pwresc,N246)*VLOOKUP(MONTH(A246),Curveadj,3))</f>
        <v> </v>
      </c>
      <c r="C246" s="397" t="str">
        <f aca="false">IF(A246="N/A"," ",(IF(AND(Scaler3=1,MONTH(A246)&gt;=6,MONTH(A246)&lt;=8,OR($M$37="REGION 2",$M$37="REGION 2A",$M$37="REGION 2B",$M$37="REGION 3",$M$37="REGION 3A",$M$37="REGION 3B",$M$37="REGION 3C",$M$37="REGION 4",$M$37="REGION 4B",$M$37="REGION 4C",$M$37="REGION 5",$M$37="REGION 5A")),((0.059228/(B246/100))-(0.4980013/(SQRT(B246/100)))+2.137988),HLOOKUP(MONTH(A246),ScalarTable,28))))</f>
        <v> </v>
      </c>
      <c r="D246" s="398" t="str">
        <f aca="false">IF(A246="N/A"," ",C246*B246)</f>
        <v> </v>
      </c>
      <c r="E246" s="396" t="str">
        <f aca="false">IF(A246="N/A"," ",IF(ISERROR(O246),E234*Pwresc,O246)*VLOOKUP(MONTH(A246),Curveadj,3))</f>
        <v> </v>
      </c>
      <c r="F246" s="398" t="str">
        <f aca="false">IF(A246="N/A"," ",E246*C246)</f>
        <v> </v>
      </c>
      <c r="G246" s="396" t="str">
        <f aca="false">IF(A246="N/A"," ",IF(ISERROR(P246),G234*Pwresc,P246)*VLOOKUP(MONTH(A246),Curveadj,3))</f>
        <v> </v>
      </c>
      <c r="H246" s="398" t="str">
        <f aca="false">IF(A246="N/A"," ",G246*C246)</f>
        <v> </v>
      </c>
      <c r="I246" s="398" t="str">
        <f aca="false">IF(A246="N/A"," ",IF(ISERROR(Q246),I234*Pwresc,Q246))</f>
        <v> </v>
      </c>
      <c r="J246" s="398"/>
      <c r="K246" s="399"/>
      <c r="L246" s="399"/>
      <c r="M246" s="404"/>
      <c r="N246" s="401" t="str">
        <f aca="false">IF(A246="N/A"," ",VLOOKUP(A246,PeakPowerCurves,(IF(BMO3=2,3,IF(BMO3=1,2,4))),FALSE()))</f>
        <v> </v>
      </c>
      <c r="O246" s="401" t="str">
        <f aca="false">IF(A246="N/A"," ",VLOOKUP(A246,SatSunPeakPwr,(IF(BMO3=2,3,IF(BMO3=1,2,4))),FALSE()))</f>
        <v> </v>
      </c>
      <c r="P246" s="401" t="str">
        <f aca="false">IF(A246="N/A"," ",VLOOKUP(A246,SatSunPeakPwr,(IF(BMO3=2,7,IF(BMO3=1,6,8))),FALSE()))</f>
        <v> </v>
      </c>
      <c r="Q246" s="402" t="str">
        <f aca="false">IF(A246="N/A"," ",(VLOOKUP(A246,OPPowerPrices,(IF(BMO3=2,7,IF(BMO3=1,6,8))),FALSE())))</f>
        <v> </v>
      </c>
      <c r="R246" s="403" t="str">
        <f aca="false">IF(A246="N/A"," ",(VLOOKUP($A246,IRTable,2)))</f>
        <v> </v>
      </c>
      <c r="AF246" s="352" t="n">
        <v>43922</v>
      </c>
      <c r="AG246" s="311" t="n">
        <v>22</v>
      </c>
      <c r="AH246" s="311" t="n">
        <v>4</v>
      </c>
      <c r="AI246" s="311" t="n">
        <v>4</v>
      </c>
      <c r="AJ246" s="311" t="n">
        <v>0</v>
      </c>
      <c r="AK246" s="311" t="n">
        <v>30</v>
      </c>
      <c r="AU246" s="406"/>
    </row>
    <row r="247" customFormat="false" ht="12.75" hidden="false" customHeight="false" outlineLevel="0" collapsed="false">
      <c r="A247" s="352" t="str">
        <f aca="false">Option3!A214</f>
        <v>N/A</v>
      </c>
      <c r="B247" s="396" t="str">
        <f aca="false">IF(A247="N/A"," ",IF(ISERROR(N247),B235*Pwresc,N247)*VLOOKUP(MONTH(A247),Curveadj,3))</f>
        <v> </v>
      </c>
      <c r="C247" s="397" t="str">
        <f aca="false">IF(A247="N/A"," ",(IF(AND(Scaler3=1,MONTH(A247)&gt;=6,MONTH(A247)&lt;=8,OR($M$37="REGION 2",$M$37="REGION 2A",$M$37="REGION 2B",$M$37="REGION 3",$M$37="REGION 3A",$M$37="REGION 3B",$M$37="REGION 3C",$M$37="REGION 4",$M$37="REGION 4B",$M$37="REGION 4C",$M$37="REGION 5",$M$37="REGION 5A")),((0.059228/(B247/100))-(0.4980013/(SQRT(B247/100)))+2.137988),HLOOKUP(MONTH(A247),ScalarTable,28))))</f>
        <v> </v>
      </c>
      <c r="D247" s="398" t="str">
        <f aca="false">IF(A247="N/A"," ",C247*B247)</f>
        <v> </v>
      </c>
      <c r="E247" s="396" t="str">
        <f aca="false">IF(A247="N/A"," ",IF(ISERROR(O247),E235*Pwresc,O247)*VLOOKUP(MONTH(A247),Curveadj,3))</f>
        <v> </v>
      </c>
      <c r="F247" s="398" t="str">
        <f aca="false">IF(A247="N/A"," ",E247*C247)</f>
        <v> </v>
      </c>
      <c r="G247" s="396" t="str">
        <f aca="false">IF(A247="N/A"," ",IF(ISERROR(P247),G235*Pwresc,P247)*VLOOKUP(MONTH(A247),Curveadj,3))</f>
        <v> </v>
      </c>
      <c r="H247" s="398" t="str">
        <f aca="false">IF(A247="N/A"," ",G247*C247)</f>
        <v> </v>
      </c>
      <c r="I247" s="398" t="str">
        <f aca="false">IF(A247="N/A"," ",IF(ISERROR(Q247),I235*Pwresc,Q247))</f>
        <v> </v>
      </c>
      <c r="J247" s="398"/>
      <c r="K247" s="399"/>
      <c r="L247" s="399"/>
      <c r="M247" s="404"/>
      <c r="N247" s="401" t="str">
        <f aca="false">IF(A247="N/A"," ",VLOOKUP(A247,PeakPowerCurves,(IF(BMO3=2,3,IF(BMO3=1,2,4))),FALSE()))</f>
        <v> </v>
      </c>
      <c r="O247" s="401" t="str">
        <f aca="false">IF(A247="N/A"," ",VLOOKUP(A247,SatSunPeakPwr,(IF(BMO3=2,3,IF(BMO3=1,2,4))),FALSE()))</f>
        <v> </v>
      </c>
      <c r="P247" s="401" t="str">
        <f aca="false">IF(A247="N/A"," ",VLOOKUP(A247,SatSunPeakPwr,(IF(BMO3=2,7,IF(BMO3=1,6,8))),FALSE()))</f>
        <v> </v>
      </c>
      <c r="Q247" s="402" t="str">
        <f aca="false">IF(A247="N/A"," ",(VLOOKUP(A247,OPPowerPrices,(IF(BMO3=2,7,IF(BMO3=1,6,8))),FALSE())))</f>
        <v> </v>
      </c>
      <c r="R247" s="403" t="str">
        <f aca="false">IF(A247="N/A"," ",(VLOOKUP($A247,IRTable,2)))</f>
        <v> </v>
      </c>
      <c r="AF247" s="352" t="n">
        <v>43952</v>
      </c>
      <c r="AG247" s="311" t="n">
        <v>20</v>
      </c>
      <c r="AH247" s="311" t="n">
        <v>5</v>
      </c>
      <c r="AI247" s="311" t="n">
        <v>6</v>
      </c>
      <c r="AJ247" s="311" t="n">
        <v>1</v>
      </c>
      <c r="AK247" s="311" t="n">
        <v>31</v>
      </c>
      <c r="AU247" s="406"/>
    </row>
    <row r="248" customFormat="false" ht="12.75" hidden="false" customHeight="false" outlineLevel="0" collapsed="false">
      <c r="A248" s="352" t="str">
        <f aca="false">Option3!A215</f>
        <v>N/A</v>
      </c>
      <c r="B248" s="396" t="str">
        <f aca="false">IF(A248="N/A"," ",IF(ISERROR(N248),B236*Pwresc,N248)*VLOOKUP(MONTH(A248),Curveadj,3))</f>
        <v> </v>
      </c>
      <c r="C248" s="397" t="str">
        <f aca="false">IF(A248="N/A"," ",(IF(AND(Scaler3=1,MONTH(A248)&gt;=6,MONTH(A248)&lt;=8,OR($M$37="REGION 2",$M$37="REGION 2A",$M$37="REGION 2B",$M$37="REGION 3",$M$37="REGION 3A",$M$37="REGION 3B",$M$37="REGION 3C",$M$37="REGION 4",$M$37="REGION 4B",$M$37="REGION 4C",$M$37="REGION 5",$M$37="REGION 5A")),((0.059228/(B248/100))-(0.4980013/(SQRT(B248/100)))+2.137988),HLOOKUP(MONTH(A248),ScalarTable,28))))</f>
        <v> </v>
      </c>
      <c r="D248" s="398" t="str">
        <f aca="false">IF(A248="N/A"," ",C248*B248)</f>
        <v> </v>
      </c>
      <c r="E248" s="396" t="str">
        <f aca="false">IF(A248="N/A"," ",IF(ISERROR(O248),E236*Pwresc,O248)*VLOOKUP(MONTH(A248),Curveadj,3))</f>
        <v> </v>
      </c>
      <c r="F248" s="398" t="str">
        <f aca="false">IF(A248="N/A"," ",E248*C248)</f>
        <v> </v>
      </c>
      <c r="G248" s="396" t="str">
        <f aca="false">IF(A248="N/A"," ",IF(ISERROR(P248),G236*Pwresc,P248)*VLOOKUP(MONTH(A248),Curveadj,3))</f>
        <v> </v>
      </c>
      <c r="H248" s="398" t="str">
        <f aca="false">IF(A248="N/A"," ",G248*C248)</f>
        <v> </v>
      </c>
      <c r="I248" s="398" t="str">
        <f aca="false">IF(A248="N/A"," ",IF(ISERROR(Q248),I236*Pwresc,Q248))</f>
        <v> </v>
      </c>
      <c r="J248" s="398"/>
      <c r="K248" s="399"/>
      <c r="L248" s="399"/>
      <c r="M248" s="404"/>
      <c r="N248" s="401" t="str">
        <f aca="false">IF(A248="N/A"," ",VLOOKUP(A248,PeakPowerCurves,(IF(BMO3=2,3,IF(BMO3=1,2,4))),FALSE()))</f>
        <v> </v>
      </c>
      <c r="O248" s="401" t="str">
        <f aca="false">IF(A248="N/A"," ",VLOOKUP(A248,SatSunPeakPwr,(IF(BMO3=2,3,IF(BMO3=1,2,4))),FALSE()))</f>
        <v> </v>
      </c>
      <c r="P248" s="401" t="str">
        <f aca="false">IF(A248="N/A"," ",VLOOKUP(A248,SatSunPeakPwr,(IF(BMO3=2,7,IF(BMO3=1,6,8))),FALSE()))</f>
        <v> </v>
      </c>
      <c r="Q248" s="402" t="str">
        <f aca="false">IF(A248="N/A"," ",(VLOOKUP(A248,OPPowerPrices,(IF(BMO3=2,7,IF(BMO3=1,6,8))),FALSE())))</f>
        <v> </v>
      </c>
      <c r="R248" s="403" t="str">
        <f aca="false">IF(A248="N/A"," ",(VLOOKUP($A248,IRTable,2)))</f>
        <v> </v>
      </c>
      <c r="AF248" s="352" t="n">
        <v>43983</v>
      </c>
      <c r="AG248" s="311" t="n">
        <v>22</v>
      </c>
      <c r="AH248" s="311" t="n">
        <v>4</v>
      </c>
      <c r="AI248" s="311" t="n">
        <v>4</v>
      </c>
      <c r="AJ248" s="311" t="n">
        <v>0</v>
      </c>
      <c r="AK248" s="311" t="n">
        <v>30</v>
      </c>
      <c r="AU248" s="406"/>
    </row>
    <row r="249" customFormat="false" ht="12.75" hidden="false" customHeight="false" outlineLevel="0" collapsed="false">
      <c r="A249" s="352" t="str">
        <f aca="false">Option3!A216</f>
        <v>N/A</v>
      </c>
      <c r="B249" s="396" t="str">
        <f aca="false">IF(A249="N/A"," ",IF(ISERROR(N249),B237*Pwresc,N249)*VLOOKUP(MONTH(A249),Curveadj,3))</f>
        <v> </v>
      </c>
      <c r="C249" s="397" t="str">
        <f aca="false">IF(A249="N/A"," ",(IF(AND(Scaler3=1,MONTH(A249)&gt;=6,MONTH(A249)&lt;=8,OR($M$37="REGION 2",$M$37="REGION 2A",$M$37="REGION 2B",$M$37="REGION 3",$M$37="REGION 3A",$M$37="REGION 3B",$M$37="REGION 3C",$M$37="REGION 4",$M$37="REGION 4B",$M$37="REGION 4C",$M$37="REGION 5",$M$37="REGION 5A")),((0.059228/(B249/100))-(0.4980013/(SQRT(B249/100)))+2.137988),HLOOKUP(MONTH(A249),ScalarTable,28))))</f>
        <v> </v>
      </c>
      <c r="D249" s="398" t="str">
        <f aca="false">IF(A249="N/A"," ",C249*B249)</f>
        <v> </v>
      </c>
      <c r="E249" s="396" t="str">
        <f aca="false">IF(A249="N/A"," ",IF(ISERROR(O249),E237*Pwresc,O249)*VLOOKUP(MONTH(A249),Curveadj,3))</f>
        <v> </v>
      </c>
      <c r="F249" s="398" t="str">
        <f aca="false">IF(A249="N/A"," ",E249*C249)</f>
        <v> </v>
      </c>
      <c r="G249" s="396" t="str">
        <f aca="false">IF(A249="N/A"," ",IF(ISERROR(P249),G237*Pwresc,P249)*VLOOKUP(MONTH(A249),Curveadj,3))</f>
        <v> </v>
      </c>
      <c r="H249" s="398" t="str">
        <f aca="false">IF(A249="N/A"," ",G249*C249)</f>
        <v> </v>
      </c>
      <c r="I249" s="398" t="str">
        <f aca="false">IF(A249="N/A"," ",IF(ISERROR(Q249),I237*Pwresc,Q249))</f>
        <v> </v>
      </c>
      <c r="J249" s="398"/>
      <c r="K249" s="399"/>
      <c r="L249" s="399"/>
      <c r="M249" s="404"/>
      <c r="N249" s="401" t="str">
        <f aca="false">IF(A249="N/A"," ",VLOOKUP(A249,PeakPowerCurves,(IF(BMO3=2,3,IF(BMO3=1,2,4))),FALSE()))</f>
        <v> </v>
      </c>
      <c r="O249" s="401" t="str">
        <f aca="false">IF(A249="N/A"," ",VLOOKUP(A249,SatSunPeakPwr,(IF(BMO3=2,3,IF(BMO3=1,2,4))),FALSE()))</f>
        <v> </v>
      </c>
      <c r="P249" s="401" t="str">
        <f aca="false">IF(A249="N/A"," ",VLOOKUP(A249,SatSunPeakPwr,(IF(BMO3=2,7,IF(BMO3=1,6,8))),FALSE()))</f>
        <v> </v>
      </c>
      <c r="Q249" s="402" t="str">
        <f aca="false">IF(A249="N/A"," ",(VLOOKUP(A249,OPPowerPrices,(IF(BMO3=2,7,IF(BMO3=1,6,8))),FALSE())))</f>
        <v> </v>
      </c>
      <c r="R249" s="403" t="str">
        <f aca="false">IF(A249="N/A"," ",(VLOOKUP($A249,IRTable,2)))</f>
        <v> </v>
      </c>
      <c r="AF249" s="352" t="n">
        <v>44013</v>
      </c>
      <c r="AG249" s="311" t="n">
        <v>23</v>
      </c>
      <c r="AH249" s="311" t="n">
        <v>3</v>
      </c>
      <c r="AI249" s="311" t="n">
        <v>5</v>
      </c>
      <c r="AJ249" s="311" t="n">
        <v>1</v>
      </c>
      <c r="AK249" s="311" t="n">
        <v>31</v>
      </c>
      <c r="AU249" s="406"/>
    </row>
    <row r="250" customFormat="false" ht="12.75" hidden="false" customHeight="false" outlineLevel="0" collapsed="false">
      <c r="A250" s="352" t="str">
        <f aca="false">Option3!A217</f>
        <v>N/A</v>
      </c>
      <c r="B250" s="396" t="str">
        <f aca="false">IF(A250="N/A"," ",IF(ISERROR(N250),B238*Pwresc,N250)*VLOOKUP(MONTH(A250),Curveadj,3))</f>
        <v> </v>
      </c>
      <c r="C250" s="397" t="str">
        <f aca="false">IF(A250="N/A"," ",(IF(AND(Scaler3=1,MONTH(A250)&gt;=6,MONTH(A250)&lt;=8,OR($M$37="REGION 2",$M$37="REGION 2A",$M$37="REGION 2B",$M$37="REGION 3",$M$37="REGION 3A",$M$37="REGION 3B",$M$37="REGION 3C",$M$37="REGION 4",$M$37="REGION 4B",$M$37="REGION 4C",$M$37="REGION 5",$M$37="REGION 5A")),((0.059228/(B250/100))-(0.4980013/(SQRT(B250/100)))+2.137988),HLOOKUP(MONTH(A250),ScalarTable,28))))</f>
        <v> </v>
      </c>
      <c r="D250" s="398" t="str">
        <f aca="false">IF(A250="N/A"," ",C250*B250)</f>
        <v> </v>
      </c>
      <c r="E250" s="396" t="str">
        <f aca="false">IF(A250="N/A"," ",IF(ISERROR(O250),E238*Pwresc,O250)*VLOOKUP(MONTH(A250),Curveadj,3))</f>
        <v> </v>
      </c>
      <c r="F250" s="398" t="str">
        <f aca="false">IF(A250="N/A"," ",E250*C250)</f>
        <v> </v>
      </c>
      <c r="G250" s="396" t="str">
        <f aca="false">IF(A250="N/A"," ",IF(ISERROR(P250),G238*Pwresc,P250)*VLOOKUP(MONTH(A250),Curveadj,3))</f>
        <v> </v>
      </c>
      <c r="H250" s="398" t="str">
        <f aca="false">IF(A250="N/A"," ",G250*C250)</f>
        <v> </v>
      </c>
      <c r="I250" s="398" t="str">
        <f aca="false">IF(A250="N/A"," ",IF(ISERROR(Q250),I238*Pwresc,Q250))</f>
        <v> </v>
      </c>
      <c r="J250" s="398"/>
      <c r="K250" s="399"/>
      <c r="L250" s="399"/>
      <c r="M250" s="404"/>
      <c r="N250" s="401" t="str">
        <f aca="false">IF(A250="N/A"," ",VLOOKUP(A250,PeakPowerCurves,(IF(BMO3=2,3,IF(BMO3=1,2,4))),FALSE()))</f>
        <v> </v>
      </c>
      <c r="O250" s="401" t="str">
        <f aca="false">IF(A250="N/A"," ",VLOOKUP(A250,SatSunPeakPwr,(IF(BMO3=2,3,IF(BMO3=1,2,4))),FALSE()))</f>
        <v> </v>
      </c>
      <c r="P250" s="401" t="str">
        <f aca="false">IF(A250="N/A"," ",VLOOKUP(A250,SatSunPeakPwr,(IF(BMO3=2,7,IF(BMO3=1,6,8))),FALSE()))</f>
        <v> </v>
      </c>
      <c r="Q250" s="402" t="str">
        <f aca="false">IF(A250="N/A"," ",(VLOOKUP(A250,OPPowerPrices,(IF(BMO3=2,7,IF(BMO3=1,6,8))),FALSE())))</f>
        <v> </v>
      </c>
      <c r="R250" s="403" t="str">
        <f aca="false">IF(A250="N/A"," ",(VLOOKUP($A250,IRTable,2)))</f>
        <v> </v>
      </c>
      <c r="AF250" s="352" t="n">
        <v>44044</v>
      </c>
      <c r="AG250" s="311" t="n">
        <v>21</v>
      </c>
      <c r="AH250" s="311" t="n">
        <v>5</v>
      </c>
      <c r="AI250" s="311" t="n">
        <v>5</v>
      </c>
      <c r="AJ250" s="311" t="n">
        <v>0</v>
      </c>
      <c r="AK250" s="311" t="n">
        <v>31</v>
      </c>
      <c r="AU250" s="406"/>
    </row>
    <row r="251" customFormat="false" ht="12.75" hidden="false" customHeight="false" outlineLevel="0" collapsed="false">
      <c r="A251" s="352" t="str">
        <f aca="false">Option3!A218</f>
        <v>N/A</v>
      </c>
      <c r="B251" s="396" t="str">
        <f aca="false">IF(A251="N/A"," ",IF(ISERROR(N251),B239*Pwresc,N251)*VLOOKUP(MONTH(A251),Curveadj,3))</f>
        <v> </v>
      </c>
      <c r="C251" s="397" t="str">
        <f aca="false">IF(A251="N/A"," ",(IF(AND(Scaler3=1,MONTH(A251)&gt;=6,MONTH(A251)&lt;=8,OR($M$37="REGION 2",$M$37="REGION 2A",$M$37="REGION 2B",$M$37="REGION 3",$M$37="REGION 3A",$M$37="REGION 3B",$M$37="REGION 3C",$M$37="REGION 4",$M$37="REGION 4B",$M$37="REGION 4C",$M$37="REGION 5",$M$37="REGION 5A")),((0.059228/(B251/100))-(0.4980013/(SQRT(B251/100)))+2.137988),HLOOKUP(MONTH(A251),ScalarTable,28))))</f>
        <v> </v>
      </c>
      <c r="D251" s="398" t="str">
        <f aca="false">IF(A251="N/A"," ",C251*B251)</f>
        <v> </v>
      </c>
      <c r="E251" s="396" t="str">
        <f aca="false">IF(A251="N/A"," ",IF(ISERROR(O251),E239*Pwresc,O251)*VLOOKUP(MONTH(A251),Curveadj,3))</f>
        <v> </v>
      </c>
      <c r="F251" s="398" t="str">
        <f aca="false">IF(A251="N/A"," ",E251*C251)</f>
        <v> </v>
      </c>
      <c r="G251" s="396" t="str">
        <f aca="false">IF(A251="N/A"," ",IF(ISERROR(P251),G239*Pwresc,P251)*VLOOKUP(MONTH(A251),Curveadj,3))</f>
        <v> </v>
      </c>
      <c r="H251" s="398" t="str">
        <f aca="false">IF(A251="N/A"," ",G251*C251)</f>
        <v> </v>
      </c>
      <c r="I251" s="398" t="str">
        <f aca="false">IF(A251="N/A"," ",IF(ISERROR(Q251),I239*Pwresc,Q251))</f>
        <v> </v>
      </c>
      <c r="J251" s="398"/>
      <c r="K251" s="399"/>
      <c r="L251" s="399"/>
      <c r="M251" s="404"/>
      <c r="N251" s="401" t="str">
        <f aca="false">IF(A251="N/A"," ",VLOOKUP(A251,PeakPowerCurves,(IF(BMO3=2,3,IF(BMO3=1,2,4))),FALSE()))</f>
        <v> </v>
      </c>
      <c r="O251" s="401" t="str">
        <f aca="false">IF(A251="N/A"," ",VLOOKUP(A251,SatSunPeakPwr,(IF(BMO3=2,3,IF(BMO3=1,2,4))),FALSE()))</f>
        <v> </v>
      </c>
      <c r="P251" s="401" t="str">
        <f aca="false">IF(A251="N/A"," ",VLOOKUP(A251,SatSunPeakPwr,(IF(BMO3=2,7,IF(BMO3=1,6,8))),FALSE()))</f>
        <v> </v>
      </c>
      <c r="Q251" s="402" t="str">
        <f aca="false">IF(A251="N/A"," ",(VLOOKUP(A251,OPPowerPrices,(IF(BMO3=2,7,IF(BMO3=1,6,8))),FALSE())))</f>
        <v> </v>
      </c>
      <c r="R251" s="403" t="str">
        <f aca="false">IF(A251="N/A"," ",(VLOOKUP($A251,IRTable,2)))</f>
        <v> </v>
      </c>
      <c r="AF251" s="352" t="n">
        <v>44075</v>
      </c>
      <c r="AG251" s="311" t="n">
        <v>21</v>
      </c>
      <c r="AH251" s="311" t="n">
        <v>4</v>
      </c>
      <c r="AI251" s="311" t="n">
        <v>5</v>
      </c>
      <c r="AJ251" s="311" t="n">
        <v>1</v>
      </c>
      <c r="AK251" s="311" t="n">
        <v>30</v>
      </c>
      <c r="AU251" s="406"/>
    </row>
    <row r="252" customFormat="false" ht="12.75" hidden="false" customHeight="false" outlineLevel="0" collapsed="false">
      <c r="A252" s="352" t="str">
        <f aca="false">Option3!A219</f>
        <v>N/A</v>
      </c>
      <c r="B252" s="396" t="str">
        <f aca="false">IF(A252="N/A"," ",IF(ISERROR(N252),B240*Pwresc,N252)*VLOOKUP(MONTH(A252),Curveadj,3))</f>
        <v> </v>
      </c>
      <c r="C252" s="397" t="str">
        <f aca="false">IF(A252="N/A"," ",(IF(AND(Scaler3=1,MONTH(A252)&gt;=6,MONTH(A252)&lt;=8,OR($M$37="REGION 2",$M$37="REGION 2A",$M$37="REGION 2B",$M$37="REGION 3",$M$37="REGION 3A",$M$37="REGION 3B",$M$37="REGION 3C",$M$37="REGION 4",$M$37="REGION 4B",$M$37="REGION 4C",$M$37="REGION 5",$M$37="REGION 5A")),((0.059228/(B252/100))-(0.4980013/(SQRT(B252/100)))+2.137988),HLOOKUP(MONTH(A252),ScalarTable,28))))</f>
        <v> </v>
      </c>
      <c r="D252" s="398" t="str">
        <f aca="false">IF(A252="N/A"," ",C252*B252)</f>
        <v> </v>
      </c>
      <c r="E252" s="396" t="str">
        <f aca="false">IF(A252="N/A"," ",IF(ISERROR(O252),E240*Pwresc,O252)*VLOOKUP(MONTH(A252),Curveadj,3))</f>
        <v> </v>
      </c>
      <c r="F252" s="398" t="str">
        <f aca="false">IF(A252="N/A"," ",E252*C252)</f>
        <v> </v>
      </c>
      <c r="G252" s="396" t="str">
        <f aca="false">IF(A252="N/A"," ",IF(ISERROR(P252),G240*Pwresc,P252)*VLOOKUP(MONTH(A252),Curveadj,3))</f>
        <v> </v>
      </c>
      <c r="H252" s="398" t="str">
        <f aca="false">IF(A252="N/A"," ",G252*C252)</f>
        <v> </v>
      </c>
      <c r="I252" s="398" t="str">
        <f aca="false">IF(A252="N/A"," ",IF(ISERROR(Q252),I240*Pwresc,Q252))</f>
        <v> </v>
      </c>
      <c r="J252" s="398"/>
      <c r="K252" s="399"/>
      <c r="L252" s="399"/>
      <c r="M252" s="404"/>
      <c r="N252" s="401" t="str">
        <f aca="false">IF(A252="N/A"," ",VLOOKUP(A252,PeakPowerCurves,(IF(BMO3=2,3,IF(BMO3=1,2,4))),FALSE()))</f>
        <v> </v>
      </c>
      <c r="O252" s="401" t="str">
        <f aca="false">IF(A252="N/A"," ",VLOOKUP(A252,SatSunPeakPwr,(IF(BMO3=2,3,IF(BMO3=1,2,4))),FALSE()))</f>
        <v> </v>
      </c>
      <c r="P252" s="401" t="str">
        <f aca="false">IF(A252="N/A"," ",VLOOKUP(A252,SatSunPeakPwr,(IF(BMO3=2,7,IF(BMO3=1,6,8))),FALSE()))</f>
        <v> </v>
      </c>
      <c r="Q252" s="402" t="str">
        <f aca="false">IF(A252="N/A"," ",(VLOOKUP(A252,OPPowerPrices,(IF(BMO3=2,7,IF(BMO3=1,6,8))),FALSE())))</f>
        <v> </v>
      </c>
      <c r="R252" s="403" t="str">
        <f aca="false">IF(A252="N/A"," ",(VLOOKUP($A252,IRTable,2)))</f>
        <v> </v>
      </c>
      <c r="AF252" s="352" t="n">
        <v>44105</v>
      </c>
      <c r="AG252" s="311" t="n">
        <v>22</v>
      </c>
      <c r="AH252" s="311" t="n">
        <v>5</v>
      </c>
      <c r="AI252" s="311" t="n">
        <v>4</v>
      </c>
      <c r="AJ252" s="311" t="n">
        <v>0</v>
      </c>
      <c r="AK252" s="311" t="n">
        <v>31</v>
      </c>
      <c r="AU252" s="406"/>
    </row>
    <row r="253" customFormat="false" ht="12.75" hidden="false" customHeight="false" outlineLevel="0" collapsed="false">
      <c r="A253" s="352" t="str">
        <f aca="false">Option3!A220</f>
        <v>N/A</v>
      </c>
      <c r="B253" s="396" t="str">
        <f aca="false">IF(A253="N/A"," ",IF(ISERROR(N253),B241*Pwresc,N253)*VLOOKUP(MONTH(A253),Curveadj,3))</f>
        <v> </v>
      </c>
      <c r="C253" s="397" t="str">
        <f aca="false">IF(A253="N/A"," ",(IF(AND(Scaler3=1,MONTH(A253)&gt;=6,MONTH(A253)&lt;=8,OR($M$37="REGION 2",$M$37="REGION 2A",$M$37="REGION 2B",$M$37="REGION 3",$M$37="REGION 3A",$M$37="REGION 3B",$M$37="REGION 3C",$M$37="REGION 4",$M$37="REGION 4B",$M$37="REGION 4C",$M$37="REGION 5",$M$37="REGION 5A")),((0.059228/(B253/100))-(0.4980013/(SQRT(B253/100)))+2.137988),HLOOKUP(MONTH(A253),ScalarTable,28))))</f>
        <v> </v>
      </c>
      <c r="D253" s="398" t="str">
        <f aca="false">IF(A253="N/A"," ",C253*B253)</f>
        <v> </v>
      </c>
      <c r="E253" s="396" t="str">
        <f aca="false">IF(A253="N/A"," ",IF(ISERROR(O253),E241*Pwresc,O253)*VLOOKUP(MONTH(A253),Curveadj,3))</f>
        <v> </v>
      </c>
      <c r="F253" s="398" t="str">
        <f aca="false">IF(A253="N/A"," ",E253*C253)</f>
        <v> </v>
      </c>
      <c r="G253" s="396" t="str">
        <f aca="false">IF(A253="N/A"," ",IF(ISERROR(P253),G241*Pwresc,P253)*VLOOKUP(MONTH(A253),Curveadj,3))</f>
        <v> </v>
      </c>
      <c r="H253" s="398" t="str">
        <f aca="false">IF(A253="N/A"," ",G253*C253)</f>
        <v> </v>
      </c>
      <c r="I253" s="398" t="str">
        <f aca="false">IF(A253="N/A"," ",IF(ISERROR(Q253),I241*Pwresc,Q253))</f>
        <v> </v>
      </c>
      <c r="J253" s="398"/>
      <c r="K253" s="399"/>
      <c r="L253" s="399"/>
      <c r="M253" s="404"/>
      <c r="N253" s="401" t="str">
        <f aca="false">IF(A253="N/A"," ",VLOOKUP(A253,PeakPowerCurves,(IF(BMO3=2,3,IF(BMO3=1,2,4))),FALSE()))</f>
        <v> </v>
      </c>
      <c r="O253" s="401" t="str">
        <f aca="false">IF(A253="N/A"," ",VLOOKUP(A253,SatSunPeakPwr,(IF(BMO3=2,3,IF(BMO3=1,2,4))),FALSE()))</f>
        <v> </v>
      </c>
      <c r="P253" s="401" t="str">
        <f aca="false">IF(A253="N/A"," ",VLOOKUP(A253,SatSunPeakPwr,(IF(BMO3=2,7,IF(BMO3=1,6,8))),FALSE()))</f>
        <v> </v>
      </c>
      <c r="Q253" s="402" t="str">
        <f aca="false">IF(A253="N/A"," ",(VLOOKUP(A253,OPPowerPrices,(IF(BMO3=2,7,IF(BMO3=1,6,8))),FALSE())))</f>
        <v> </v>
      </c>
      <c r="R253" s="403" t="str">
        <f aca="false">IF(A253="N/A"," ",(VLOOKUP($A253,IRTable,2)))</f>
        <v> </v>
      </c>
      <c r="AF253" s="352" t="n">
        <v>44136</v>
      </c>
      <c r="AG253" s="311" t="n">
        <v>20</v>
      </c>
      <c r="AH253" s="311" t="n">
        <v>4</v>
      </c>
      <c r="AI253" s="311" t="n">
        <v>6</v>
      </c>
      <c r="AJ253" s="311" t="n">
        <v>1</v>
      </c>
      <c r="AK253" s="311" t="n">
        <v>30</v>
      </c>
      <c r="AU253" s="406"/>
    </row>
    <row r="254" customFormat="false" ht="12.75" hidden="false" customHeight="false" outlineLevel="0" collapsed="false">
      <c r="A254" s="352" t="str">
        <f aca="false">Option3!A221</f>
        <v>N/A</v>
      </c>
      <c r="B254" s="396" t="str">
        <f aca="false">IF(A254="N/A"," ",IF(ISERROR(N254),B242*Pwresc,N254)*VLOOKUP(MONTH(A254),Curveadj,3))</f>
        <v> </v>
      </c>
      <c r="C254" s="397" t="str">
        <f aca="false">IF(A254="N/A"," ",(IF(AND(Scaler3=1,MONTH(A254)&gt;=6,MONTH(A254)&lt;=8,OR($M$37="REGION 2",$M$37="REGION 2A",$M$37="REGION 2B",$M$37="REGION 3",$M$37="REGION 3A",$M$37="REGION 3B",$M$37="REGION 3C",$M$37="REGION 4",$M$37="REGION 4B",$M$37="REGION 4C",$M$37="REGION 5",$M$37="REGION 5A")),((0.059228/(B254/100))-(0.4980013/(SQRT(B254/100)))+2.137988),HLOOKUP(MONTH(A254),ScalarTable,28))))</f>
        <v> </v>
      </c>
      <c r="D254" s="398" t="str">
        <f aca="false">IF(A254="N/A"," ",C254*B254)</f>
        <v> </v>
      </c>
      <c r="E254" s="396" t="str">
        <f aca="false">IF(A254="N/A"," ",IF(ISERROR(O254),E242*Pwresc,O254)*VLOOKUP(MONTH(A254),Curveadj,3))</f>
        <v> </v>
      </c>
      <c r="F254" s="398" t="str">
        <f aca="false">IF(A254="N/A"," ",E254*C254)</f>
        <v> </v>
      </c>
      <c r="G254" s="396" t="str">
        <f aca="false">IF(A254="N/A"," ",IF(ISERROR(P254),G242*Pwresc,P254)*VLOOKUP(MONTH(A254),Curveadj,3))</f>
        <v> </v>
      </c>
      <c r="H254" s="398" t="str">
        <f aca="false">IF(A254="N/A"," ",G254*C254)</f>
        <v> </v>
      </c>
      <c r="I254" s="398" t="str">
        <f aca="false">IF(A254="N/A"," ",IF(ISERROR(Q254),I242*Pwresc,Q254))</f>
        <v> </v>
      </c>
      <c r="J254" s="398"/>
      <c r="K254" s="399"/>
      <c r="L254" s="399"/>
      <c r="M254" s="404"/>
      <c r="N254" s="401" t="str">
        <f aca="false">IF(A254="N/A"," ",VLOOKUP(A254,PeakPowerCurves,(IF(BMO3=2,3,IF(BMO3=1,2,4))),FALSE()))</f>
        <v> </v>
      </c>
      <c r="O254" s="401" t="str">
        <f aca="false">IF(A254="N/A"," ",VLOOKUP(A254,SatSunPeakPwr,(IF(BMO3=2,3,IF(BMO3=1,2,4))),FALSE()))</f>
        <v> </v>
      </c>
      <c r="P254" s="401" t="str">
        <f aca="false">IF(A254="N/A"," ",VLOOKUP(A254,SatSunPeakPwr,(IF(BMO3=2,7,IF(BMO3=1,6,8))),FALSE()))</f>
        <v> </v>
      </c>
      <c r="Q254" s="402" t="str">
        <f aca="false">IF(A254="N/A"," ",(VLOOKUP(A254,OPPowerPrices,(IF(BMO3=2,7,IF(BMO3=1,6,8))),FALSE())))</f>
        <v> </v>
      </c>
      <c r="R254" s="403" t="str">
        <f aca="false">IF(A254="N/A"," ",(VLOOKUP($A254,IRTable,2)))</f>
        <v> </v>
      </c>
      <c r="AF254" s="352" t="n">
        <v>44166</v>
      </c>
      <c r="AG254" s="311" t="n">
        <v>22</v>
      </c>
      <c r="AH254" s="311" t="n">
        <v>4</v>
      </c>
      <c r="AI254" s="311" t="n">
        <v>5</v>
      </c>
      <c r="AJ254" s="311" t="n">
        <v>1</v>
      </c>
      <c r="AK254" s="311" t="n">
        <v>31</v>
      </c>
      <c r="AU254" s="406"/>
    </row>
    <row r="255" customFormat="false" ht="12.75" hidden="false" customHeight="false" outlineLevel="0" collapsed="false">
      <c r="A255" s="352" t="str">
        <f aca="false">Option3!A222</f>
        <v>N/A</v>
      </c>
      <c r="B255" s="396" t="str">
        <f aca="false">IF(A255="N/A"," ",IF(ISERROR(N255),B243*Pwresc,N255)*VLOOKUP(MONTH(A255),Curveadj,3))</f>
        <v> </v>
      </c>
      <c r="C255" s="397" t="str">
        <f aca="false">IF(A255="N/A"," ",(IF(AND(Scaler3=1,MONTH(A255)&gt;=6,MONTH(A255)&lt;=8,OR($M$37="REGION 2",$M$37="REGION 2A",$M$37="REGION 2B",$M$37="REGION 3",$M$37="REGION 3A",$M$37="REGION 3B",$M$37="REGION 3C",$M$37="REGION 4",$M$37="REGION 4B",$M$37="REGION 4C",$M$37="REGION 5",$M$37="REGION 5A")),((0.059228/(B255/100))-(0.4980013/(SQRT(B255/100)))+2.137988),HLOOKUP(MONTH(A255),ScalarTable,28))))</f>
        <v> </v>
      </c>
      <c r="D255" s="398" t="str">
        <f aca="false">IF(A255="N/A"," ",C255*B255)</f>
        <v> </v>
      </c>
      <c r="E255" s="396" t="str">
        <f aca="false">IF(A255="N/A"," ",IF(ISERROR(O255),E243*Pwresc,O255)*VLOOKUP(MONTH(A255),Curveadj,3))</f>
        <v> </v>
      </c>
      <c r="F255" s="398" t="str">
        <f aca="false">IF(A255="N/A"," ",E255*C255)</f>
        <v> </v>
      </c>
      <c r="G255" s="396" t="str">
        <f aca="false">IF(A255="N/A"," ",IF(ISERROR(P255),G243*Pwresc,P255)*VLOOKUP(MONTH(A255),Curveadj,3))</f>
        <v> </v>
      </c>
      <c r="H255" s="398" t="str">
        <f aca="false">IF(A255="N/A"," ",G255*C255)</f>
        <v> </v>
      </c>
      <c r="I255" s="398" t="str">
        <f aca="false">IF(A255="N/A"," ",IF(ISERROR(Q255),I243*Pwresc,Q255))</f>
        <v> </v>
      </c>
      <c r="J255" s="398"/>
      <c r="K255" s="399"/>
      <c r="L255" s="399"/>
      <c r="M255" s="404"/>
      <c r="N255" s="401" t="str">
        <f aca="false">IF(A255="N/A"," ",VLOOKUP(A255,PeakPowerCurves,(IF(BMO3=2,3,IF(BMO3=1,2,4))),FALSE()))</f>
        <v> </v>
      </c>
      <c r="O255" s="401" t="str">
        <f aca="false">IF(A255="N/A"," ",VLOOKUP(A255,SatSunPeakPwr,(IF(BMO3=2,3,IF(BMO3=1,2,4))),FALSE()))</f>
        <v> </v>
      </c>
      <c r="P255" s="401" t="str">
        <f aca="false">IF(A255="N/A"," ",VLOOKUP(A255,SatSunPeakPwr,(IF(BMO3=2,7,IF(BMO3=1,6,8))),FALSE()))</f>
        <v> </v>
      </c>
      <c r="Q255" s="402" t="str">
        <f aca="false">IF(A255="N/A"," ",(VLOOKUP(A255,OPPowerPrices,(IF(BMO3=2,7,IF(BMO3=1,6,8))),FALSE())))</f>
        <v> </v>
      </c>
      <c r="R255" s="403" t="str">
        <f aca="false">IF(A255="N/A"," ",(VLOOKUP($A255,IRTable,2)))</f>
        <v> </v>
      </c>
      <c r="AF255" s="352" t="n">
        <f aca="false">EOMONTH(AF254,0)+1</f>
        <v>44197</v>
      </c>
      <c r="AG255" s="311" t="n">
        <v>22</v>
      </c>
      <c r="AH255" s="311" t="n">
        <v>4</v>
      </c>
      <c r="AI255" s="311" t="n">
        <v>5</v>
      </c>
      <c r="AJ255" s="311" t="n">
        <v>1</v>
      </c>
      <c r="AK255" s="311" t="n">
        <v>31</v>
      </c>
      <c r="AU255" s="406"/>
    </row>
    <row r="256" customFormat="false" ht="12.75" hidden="false" customHeight="false" outlineLevel="0" collapsed="false">
      <c r="A256" s="352" t="str">
        <f aca="false">Option3!A223</f>
        <v>N/A</v>
      </c>
      <c r="B256" s="396" t="str">
        <f aca="false">IF(A256="N/A"," ",IF(ISERROR(N256),B244*Pwresc,N256)*VLOOKUP(MONTH(A256),Curveadj,3))</f>
        <v> </v>
      </c>
      <c r="C256" s="397" t="str">
        <f aca="false">IF(A256="N/A"," ",(IF(AND(Scaler3=1,MONTH(A256)&gt;=6,MONTH(A256)&lt;=8,OR($M$37="REGION 2",$M$37="REGION 2A",$M$37="REGION 2B",$M$37="REGION 3",$M$37="REGION 3A",$M$37="REGION 3B",$M$37="REGION 3C",$M$37="REGION 4",$M$37="REGION 4B",$M$37="REGION 4C",$M$37="REGION 5",$M$37="REGION 5A")),((0.059228/(B256/100))-(0.4980013/(SQRT(B256/100)))+2.137988),HLOOKUP(MONTH(A256),ScalarTable,28))))</f>
        <v> </v>
      </c>
      <c r="D256" s="398" t="str">
        <f aca="false">IF(A256="N/A"," ",C256*B256)</f>
        <v> </v>
      </c>
      <c r="E256" s="396" t="str">
        <f aca="false">IF(A256="N/A"," ",IF(ISERROR(O256),E244*Pwresc,O256)*VLOOKUP(MONTH(A256),Curveadj,3))</f>
        <v> </v>
      </c>
      <c r="F256" s="398" t="str">
        <f aca="false">IF(A256="N/A"," ",E256*C256)</f>
        <v> </v>
      </c>
      <c r="G256" s="396" t="str">
        <f aca="false">IF(A256="N/A"," ",IF(ISERROR(P256),G244*Pwresc,P256)*VLOOKUP(MONTH(A256),Curveadj,3))</f>
        <v> </v>
      </c>
      <c r="H256" s="398" t="str">
        <f aca="false">IF(A256="N/A"," ",G256*C256)</f>
        <v> </v>
      </c>
      <c r="I256" s="398" t="str">
        <f aca="false">IF(A256="N/A"," ",IF(ISERROR(Q256),I244*Pwresc,Q256))</f>
        <v> </v>
      </c>
      <c r="J256" s="398"/>
      <c r="K256" s="399"/>
      <c r="L256" s="399"/>
      <c r="M256" s="404"/>
      <c r="N256" s="401" t="str">
        <f aca="false">IF(A256="N/A"," ",VLOOKUP(A256,PeakPowerCurves,(IF(BMO3=2,3,IF(BMO3=1,2,4))),FALSE()))</f>
        <v> </v>
      </c>
      <c r="O256" s="401" t="str">
        <f aca="false">IF(A256="N/A"," ",VLOOKUP(A256,SatSunPeakPwr,(IF(BMO3=2,3,IF(BMO3=1,2,4))),FALSE()))</f>
        <v> </v>
      </c>
      <c r="P256" s="401" t="str">
        <f aca="false">IF(A256="N/A"," ",VLOOKUP(A256,SatSunPeakPwr,(IF(BMO3=2,7,IF(BMO3=1,6,8))),FALSE()))</f>
        <v> </v>
      </c>
      <c r="Q256" s="402" t="str">
        <f aca="false">IF(A256="N/A"," ",(VLOOKUP(A256,OPPowerPrices,(IF(BMO3=2,7,IF(BMO3=1,6,8))),FALSE())))</f>
        <v> </v>
      </c>
      <c r="R256" s="403" t="str">
        <f aca="false">IF(A256="N/A"," ",(VLOOKUP($A256,IRTable,2)))</f>
        <v> </v>
      </c>
      <c r="AF256" s="352" t="n">
        <f aca="false">EOMONTH(AF255,0)+1</f>
        <v>44228</v>
      </c>
      <c r="AG256" s="311" t="n">
        <v>20</v>
      </c>
      <c r="AH256" s="311" t="n">
        <v>4</v>
      </c>
      <c r="AI256" s="311" t="n">
        <v>4</v>
      </c>
      <c r="AJ256" s="311" t="n">
        <v>0</v>
      </c>
      <c r="AK256" s="311" t="n">
        <v>28</v>
      </c>
      <c r="AU256" s="406"/>
    </row>
    <row r="257" customFormat="false" ht="12.75" hidden="false" customHeight="false" outlineLevel="0" collapsed="false">
      <c r="A257" s="352" t="str">
        <f aca="false">Option3!A224</f>
        <v>N/A</v>
      </c>
      <c r="B257" s="396" t="str">
        <f aca="false">IF(A257="N/A"," ",IF(ISERROR(N257),B245*Pwresc,N257)*VLOOKUP(MONTH(A257),Curveadj,3))</f>
        <v> </v>
      </c>
      <c r="C257" s="397" t="str">
        <f aca="false">IF(A257="N/A"," ",(IF(AND(Scaler3=1,MONTH(A257)&gt;=6,MONTH(A257)&lt;=8,OR($M$37="REGION 2",$M$37="REGION 2A",$M$37="REGION 2B",$M$37="REGION 3",$M$37="REGION 3A",$M$37="REGION 3B",$M$37="REGION 3C",$M$37="REGION 4",$M$37="REGION 4B",$M$37="REGION 4C",$M$37="REGION 5",$M$37="REGION 5A")),((0.059228/(B257/100))-(0.4980013/(SQRT(B257/100)))+2.137988),HLOOKUP(MONTH(A257),ScalarTable,28))))</f>
        <v> </v>
      </c>
      <c r="D257" s="398" t="str">
        <f aca="false">IF(A257="N/A"," ",C257*B257)</f>
        <v> </v>
      </c>
      <c r="E257" s="396" t="str">
        <f aca="false">IF(A257="N/A"," ",IF(ISERROR(O257),E245*Pwresc,O257)*VLOOKUP(MONTH(A257),Curveadj,3))</f>
        <v> </v>
      </c>
      <c r="F257" s="398" t="str">
        <f aca="false">IF(A257="N/A"," ",E257*C257)</f>
        <v> </v>
      </c>
      <c r="G257" s="396" t="str">
        <f aca="false">IF(A257="N/A"," ",IF(ISERROR(P257),G245*Pwresc,P257)*VLOOKUP(MONTH(A257),Curveadj,3))</f>
        <v> </v>
      </c>
      <c r="H257" s="398" t="str">
        <f aca="false">IF(A257="N/A"," ",G257*C257)</f>
        <v> </v>
      </c>
      <c r="I257" s="398" t="str">
        <f aca="false">IF(A257="N/A"," ",IF(ISERROR(Q257),I245*Pwresc,Q257))</f>
        <v> </v>
      </c>
      <c r="J257" s="398"/>
      <c r="K257" s="399"/>
      <c r="L257" s="399"/>
      <c r="M257" s="404"/>
      <c r="N257" s="401" t="str">
        <f aca="false">IF(A257="N/A"," ",VLOOKUP(A257,PeakPowerCurves,(IF(BMO3=2,3,IF(BMO3=1,2,4))),FALSE()))</f>
        <v> </v>
      </c>
      <c r="O257" s="401" t="str">
        <f aca="false">IF(A257="N/A"," ",VLOOKUP(A257,SatSunPeakPwr,(IF(BMO3=2,3,IF(BMO3=1,2,4))),FALSE()))</f>
        <v> </v>
      </c>
      <c r="P257" s="401" t="str">
        <f aca="false">IF(A257="N/A"," ",VLOOKUP(A257,SatSunPeakPwr,(IF(BMO3=2,7,IF(BMO3=1,6,8))),FALSE()))</f>
        <v> </v>
      </c>
      <c r="Q257" s="402" t="str">
        <f aca="false">IF(A257="N/A"," ",(VLOOKUP(A257,OPPowerPrices,(IF(BMO3=2,7,IF(BMO3=1,6,8))),FALSE())))</f>
        <v> </v>
      </c>
      <c r="R257" s="403" t="str">
        <f aca="false">IF(A257="N/A"," ",(VLOOKUP($A257,IRTable,2)))</f>
        <v> </v>
      </c>
      <c r="AF257" s="352" t="n">
        <f aca="false">EOMONTH(AF256,0)+1</f>
        <v>44256</v>
      </c>
      <c r="AG257" s="311" t="n">
        <v>21</v>
      </c>
      <c r="AH257" s="311" t="n">
        <v>5</v>
      </c>
      <c r="AI257" s="311" t="n">
        <v>5</v>
      </c>
      <c r="AJ257" s="311" t="n">
        <v>0</v>
      </c>
      <c r="AK257" s="311" t="n">
        <v>31</v>
      </c>
      <c r="AU257" s="406"/>
    </row>
    <row r="258" customFormat="false" ht="12.75" hidden="false" customHeight="false" outlineLevel="0" collapsed="false">
      <c r="A258" s="352" t="str">
        <f aca="false">Option3!A225</f>
        <v>N/A</v>
      </c>
      <c r="B258" s="396" t="str">
        <f aca="false">IF(A258="N/A"," ",IF(ISERROR(N258),B246*Pwresc,N258)*VLOOKUP(MONTH(A258),Curveadj,3))</f>
        <v> </v>
      </c>
      <c r="C258" s="397" t="str">
        <f aca="false">IF(A258="N/A"," ",(IF(AND(Scaler3=1,MONTH(A258)&gt;=6,MONTH(A258)&lt;=8,OR($M$37="REGION 2",$M$37="REGION 2A",$M$37="REGION 2B",$M$37="REGION 3",$M$37="REGION 3A",$M$37="REGION 3B",$M$37="REGION 3C",$M$37="REGION 4",$M$37="REGION 4B",$M$37="REGION 4C",$M$37="REGION 5",$M$37="REGION 5A")),((0.059228/(B258/100))-(0.4980013/(SQRT(B258/100)))+2.137988),HLOOKUP(MONTH(A258),ScalarTable,28))))</f>
        <v> </v>
      </c>
      <c r="D258" s="398" t="str">
        <f aca="false">IF(A258="N/A"," ",C258*B258)</f>
        <v> </v>
      </c>
      <c r="E258" s="396" t="str">
        <f aca="false">IF(A258="N/A"," ",IF(ISERROR(O258),E246*Pwresc,O258)*VLOOKUP(MONTH(A258),Curveadj,3))</f>
        <v> </v>
      </c>
      <c r="F258" s="398" t="str">
        <f aca="false">IF(A258="N/A"," ",E258*C258)</f>
        <v> </v>
      </c>
      <c r="G258" s="396" t="str">
        <f aca="false">IF(A258="N/A"," ",IF(ISERROR(P258),G246*Pwresc,P258)*VLOOKUP(MONTH(A258),Curveadj,3))</f>
        <v> </v>
      </c>
      <c r="H258" s="398" t="str">
        <f aca="false">IF(A258="N/A"," ",G258*C258)</f>
        <v> </v>
      </c>
      <c r="I258" s="398" t="str">
        <f aca="false">IF(A258="N/A"," ",IF(ISERROR(Q258),I246*Pwresc,Q258))</f>
        <v> </v>
      </c>
      <c r="J258" s="398"/>
      <c r="K258" s="399"/>
      <c r="L258" s="399"/>
      <c r="M258" s="404"/>
      <c r="N258" s="401" t="str">
        <f aca="false">IF(A258="N/A"," ",VLOOKUP(A258,PeakPowerCurves,(IF(BMO3=2,3,IF(BMO3=1,2,4))),FALSE()))</f>
        <v> </v>
      </c>
      <c r="O258" s="401" t="str">
        <f aca="false">IF(A258="N/A"," ",VLOOKUP(A258,SatSunPeakPwr,(IF(BMO3=2,3,IF(BMO3=1,2,4))),FALSE()))</f>
        <v> </v>
      </c>
      <c r="P258" s="401" t="str">
        <f aca="false">IF(A258="N/A"," ",VLOOKUP(A258,SatSunPeakPwr,(IF(BMO3=2,7,IF(BMO3=1,6,8))),FALSE()))</f>
        <v> </v>
      </c>
      <c r="Q258" s="402" t="str">
        <f aca="false">IF(A258="N/A"," ",(VLOOKUP(A258,OPPowerPrices,(IF(BMO3=2,7,IF(BMO3=1,6,8))),FALSE())))</f>
        <v> </v>
      </c>
      <c r="R258" s="403" t="str">
        <f aca="false">IF(A258="N/A"," ",(VLOOKUP($A258,IRTable,2)))</f>
        <v> </v>
      </c>
      <c r="AF258" s="352" t="n">
        <f aca="false">EOMONTH(AF257,0)+1</f>
        <v>44287</v>
      </c>
      <c r="AG258" s="311" t="n">
        <v>22</v>
      </c>
      <c r="AH258" s="311" t="n">
        <v>4</v>
      </c>
      <c r="AI258" s="311" t="n">
        <v>4</v>
      </c>
      <c r="AJ258" s="311" t="n">
        <v>0</v>
      </c>
      <c r="AK258" s="311" t="n">
        <v>30</v>
      </c>
      <c r="AU258" s="406"/>
    </row>
    <row r="259" customFormat="false" ht="12.75" hidden="false" customHeight="false" outlineLevel="0" collapsed="false">
      <c r="A259" s="352" t="str">
        <f aca="false">Option3!A226</f>
        <v>N/A</v>
      </c>
      <c r="B259" s="396" t="str">
        <f aca="false">IF(A259="N/A"," ",IF(ISERROR(N259),B247*Pwresc,N259)*VLOOKUP(MONTH(A259),Curveadj,3))</f>
        <v> </v>
      </c>
      <c r="C259" s="397" t="str">
        <f aca="false">IF(A259="N/A"," ",(IF(AND(Scaler3=1,MONTH(A259)&gt;=6,MONTH(A259)&lt;=8,OR($M$37="REGION 2",$M$37="REGION 2A",$M$37="REGION 2B",$M$37="REGION 3",$M$37="REGION 3A",$M$37="REGION 3B",$M$37="REGION 3C",$M$37="REGION 4",$M$37="REGION 4B",$M$37="REGION 4C",$M$37="REGION 5",$M$37="REGION 5A")),((0.059228/(B259/100))-(0.4980013/(SQRT(B259/100)))+2.137988),HLOOKUP(MONTH(A259),ScalarTable,28))))</f>
        <v> </v>
      </c>
      <c r="D259" s="398" t="str">
        <f aca="false">IF(A259="N/A"," ",C259*B259)</f>
        <v> </v>
      </c>
      <c r="E259" s="396" t="str">
        <f aca="false">IF(A259="N/A"," ",IF(ISERROR(O259),E247*Pwresc,O259)*VLOOKUP(MONTH(A259),Curveadj,3))</f>
        <v> </v>
      </c>
      <c r="F259" s="398" t="str">
        <f aca="false">IF(A259="N/A"," ",E259*C259)</f>
        <v> </v>
      </c>
      <c r="G259" s="396" t="str">
        <f aca="false">IF(A259="N/A"," ",IF(ISERROR(P259),G247*Pwresc,P259)*VLOOKUP(MONTH(A259),Curveadj,3))</f>
        <v> </v>
      </c>
      <c r="H259" s="398" t="str">
        <f aca="false">IF(A259="N/A"," ",G259*C259)</f>
        <v> </v>
      </c>
      <c r="I259" s="398" t="str">
        <f aca="false">IF(A259="N/A"," ",IF(ISERROR(Q259),I247*Pwresc,Q259))</f>
        <v> </v>
      </c>
      <c r="J259" s="398"/>
      <c r="K259" s="399"/>
      <c r="L259" s="399"/>
      <c r="M259" s="404"/>
      <c r="N259" s="401" t="str">
        <f aca="false">IF(A259="N/A"," ",VLOOKUP(A259,PeakPowerCurves,(IF(BMO3=2,3,IF(BMO3=1,2,4))),FALSE()))</f>
        <v> </v>
      </c>
      <c r="O259" s="401" t="str">
        <f aca="false">IF(A259="N/A"," ",VLOOKUP(A259,SatSunPeakPwr,(IF(BMO3=2,3,IF(BMO3=1,2,4))),FALSE()))</f>
        <v> </v>
      </c>
      <c r="P259" s="401" t="str">
        <f aca="false">IF(A259="N/A"," ",VLOOKUP(A259,SatSunPeakPwr,(IF(BMO3=2,7,IF(BMO3=1,6,8))),FALSE()))</f>
        <v> </v>
      </c>
      <c r="Q259" s="402" t="str">
        <f aca="false">IF(A259="N/A"," ",(VLOOKUP(A259,OPPowerPrices,(IF(BMO3=2,7,IF(BMO3=1,6,8))),FALSE())))</f>
        <v> </v>
      </c>
      <c r="R259" s="403" t="str">
        <f aca="false">IF(A259="N/A"," ",(VLOOKUP($A259,IRTable,2)))</f>
        <v> </v>
      </c>
      <c r="AF259" s="352" t="n">
        <f aca="false">EOMONTH(AF258,0)+1</f>
        <v>44317</v>
      </c>
      <c r="AG259" s="311" t="n">
        <v>22</v>
      </c>
      <c r="AH259" s="311" t="n">
        <v>4</v>
      </c>
      <c r="AI259" s="311" t="n">
        <v>5</v>
      </c>
      <c r="AJ259" s="311" t="n">
        <v>1</v>
      </c>
      <c r="AK259" s="311" t="n">
        <v>31</v>
      </c>
      <c r="AU259" s="406"/>
    </row>
    <row r="260" customFormat="false" ht="12.75" hidden="false" customHeight="false" outlineLevel="0" collapsed="false">
      <c r="A260" s="352" t="str">
        <f aca="false">Option3!A227</f>
        <v>N/A</v>
      </c>
      <c r="B260" s="396" t="str">
        <f aca="false">IF(A260="N/A"," ",IF(ISERROR(N260),B248*Pwresc,N260)*VLOOKUP(MONTH(A260),Curveadj,3))</f>
        <v> </v>
      </c>
      <c r="C260" s="397" t="str">
        <f aca="false">IF(A260="N/A"," ",(IF(AND(Scaler3=1,MONTH(A260)&gt;=6,MONTH(A260)&lt;=8,OR($M$37="REGION 2",$M$37="REGION 2A",$M$37="REGION 2B",$M$37="REGION 3",$M$37="REGION 3A",$M$37="REGION 3B",$M$37="REGION 3C",$M$37="REGION 4",$M$37="REGION 4B",$M$37="REGION 4C",$M$37="REGION 5",$M$37="REGION 5A")),((0.059228/(B260/100))-(0.4980013/(SQRT(B260/100)))+2.137988),HLOOKUP(MONTH(A260),ScalarTable,28))))</f>
        <v> </v>
      </c>
      <c r="D260" s="398" t="str">
        <f aca="false">IF(A260="N/A"," ",C260*B260)</f>
        <v> </v>
      </c>
      <c r="E260" s="396" t="str">
        <f aca="false">IF(A260="N/A"," ",IF(ISERROR(O260),E248*Pwresc,O260)*VLOOKUP(MONTH(A260),Curveadj,3))</f>
        <v> </v>
      </c>
      <c r="F260" s="398" t="str">
        <f aca="false">IF(A260="N/A"," ",E260*C260)</f>
        <v> </v>
      </c>
      <c r="G260" s="396" t="str">
        <f aca="false">IF(A260="N/A"," ",IF(ISERROR(P260),G248*Pwresc,P260)*VLOOKUP(MONTH(A260),Curveadj,3))</f>
        <v> </v>
      </c>
      <c r="H260" s="398" t="str">
        <f aca="false">IF(A260="N/A"," ",G260*C260)</f>
        <v> </v>
      </c>
      <c r="I260" s="398" t="str">
        <f aca="false">IF(A260="N/A"," ",IF(ISERROR(Q260),I248*Pwresc,Q260))</f>
        <v> </v>
      </c>
      <c r="J260" s="398"/>
      <c r="K260" s="399"/>
      <c r="L260" s="399"/>
      <c r="M260" s="404"/>
      <c r="N260" s="401" t="str">
        <f aca="false">IF(A260="N/A"," ",VLOOKUP(A260,PeakPowerCurves,(IF(BMO3=2,3,IF(BMO3=1,2,4))),FALSE()))</f>
        <v> </v>
      </c>
      <c r="O260" s="401" t="str">
        <f aca="false">IF(A260="N/A"," ",VLOOKUP(A260,SatSunPeakPwr,(IF(BMO3=2,3,IF(BMO3=1,2,4))),FALSE()))</f>
        <v> </v>
      </c>
      <c r="P260" s="401" t="str">
        <f aca="false">IF(A260="N/A"," ",VLOOKUP(A260,SatSunPeakPwr,(IF(BMO3=2,7,IF(BMO3=1,6,8))),FALSE()))</f>
        <v> </v>
      </c>
      <c r="Q260" s="402" t="str">
        <f aca="false">IF(A260="N/A"," ",(VLOOKUP(A260,OPPowerPrices,(IF(BMO3=2,7,IF(BMO3=1,6,8))),FALSE())))</f>
        <v> </v>
      </c>
      <c r="R260" s="403" t="str">
        <f aca="false">IF(A260="N/A"," ",(VLOOKUP($A260,IRTable,2)))</f>
        <v> </v>
      </c>
      <c r="AF260" s="352" t="n">
        <f aca="false">EOMONTH(AF259,0)+1</f>
        <v>44348</v>
      </c>
      <c r="AG260" s="311" t="n">
        <v>20</v>
      </c>
      <c r="AH260" s="311" t="n">
        <v>5</v>
      </c>
      <c r="AI260" s="311" t="n">
        <v>5</v>
      </c>
      <c r="AJ260" s="311" t="n">
        <v>0</v>
      </c>
      <c r="AK260" s="311" t="n">
        <v>30</v>
      </c>
      <c r="AU260" s="406"/>
    </row>
    <row r="261" customFormat="false" ht="12.75" hidden="false" customHeight="false" outlineLevel="0" collapsed="false">
      <c r="A261" s="352" t="str">
        <f aca="false">Option3!A228</f>
        <v>N/A</v>
      </c>
      <c r="B261" s="396" t="str">
        <f aca="false">IF(A261="N/A"," ",IF(ISERROR(N261),B249*Pwresc,N261)*VLOOKUP(MONTH(A261),Curveadj,3))</f>
        <v> </v>
      </c>
      <c r="C261" s="397" t="str">
        <f aca="false">IF(A261="N/A"," ",(IF(AND(Scaler3=1,MONTH(A261)&gt;=6,MONTH(A261)&lt;=8,OR($M$37="REGION 2",$M$37="REGION 2A",$M$37="REGION 2B",$M$37="REGION 3",$M$37="REGION 3A",$M$37="REGION 3B",$M$37="REGION 3C",$M$37="REGION 4",$M$37="REGION 4B",$M$37="REGION 4C",$M$37="REGION 5",$M$37="REGION 5A")),((0.059228/(B261/100))-(0.4980013/(SQRT(B261/100)))+2.137988),HLOOKUP(MONTH(A261),ScalarTable,28))))</f>
        <v> </v>
      </c>
      <c r="D261" s="398" t="str">
        <f aca="false">IF(A261="N/A"," ",C261*B261)</f>
        <v> </v>
      </c>
      <c r="E261" s="396" t="str">
        <f aca="false">IF(A261="N/A"," ",IF(ISERROR(O261),E249*Pwresc,O261)*VLOOKUP(MONTH(A261),Curveadj,3))</f>
        <v> </v>
      </c>
      <c r="F261" s="398" t="str">
        <f aca="false">IF(A261="N/A"," ",E261*C261)</f>
        <v> </v>
      </c>
      <c r="G261" s="396" t="str">
        <f aca="false">IF(A261="N/A"," ",IF(ISERROR(P261),G249*Pwresc,P261)*VLOOKUP(MONTH(A261),Curveadj,3))</f>
        <v> </v>
      </c>
      <c r="H261" s="398" t="str">
        <f aca="false">IF(A261="N/A"," ",G261*C261)</f>
        <v> </v>
      </c>
      <c r="I261" s="398" t="str">
        <f aca="false">IF(A261="N/A"," ",IF(ISERROR(Q261),I249*Pwresc,Q261))</f>
        <v> </v>
      </c>
      <c r="J261" s="398"/>
      <c r="K261" s="399"/>
      <c r="L261" s="399"/>
      <c r="M261" s="404"/>
      <c r="N261" s="401" t="str">
        <f aca="false">IF(A261="N/A"," ",VLOOKUP(A261,PeakPowerCurves,(IF(BMO3=2,3,IF(BMO3=1,2,4))),FALSE()))</f>
        <v> </v>
      </c>
      <c r="O261" s="401" t="str">
        <f aca="false">IF(A261="N/A"," ",VLOOKUP(A261,SatSunPeakPwr,(IF(BMO3=2,3,IF(BMO3=1,2,4))),FALSE()))</f>
        <v> </v>
      </c>
      <c r="P261" s="401" t="str">
        <f aca="false">IF(A261="N/A"," ",VLOOKUP(A261,SatSunPeakPwr,(IF(BMO3=2,7,IF(BMO3=1,6,8))),FALSE()))</f>
        <v> </v>
      </c>
      <c r="Q261" s="402" t="str">
        <f aca="false">IF(A261="N/A"," ",(VLOOKUP(A261,OPPowerPrices,(IF(BMO3=2,7,IF(BMO3=1,6,8))),FALSE())))</f>
        <v> </v>
      </c>
      <c r="R261" s="403" t="str">
        <f aca="false">IF(A261="N/A"," ",(VLOOKUP($A261,IRTable,2)))</f>
        <v> </v>
      </c>
      <c r="AF261" s="352" t="n">
        <f aca="false">EOMONTH(AF260,0)+1</f>
        <v>44378</v>
      </c>
      <c r="AG261" s="311" t="n">
        <v>22</v>
      </c>
      <c r="AH261" s="311" t="n">
        <v>4</v>
      </c>
      <c r="AI261" s="311" t="n">
        <v>5</v>
      </c>
      <c r="AJ261" s="311" t="n">
        <v>1</v>
      </c>
      <c r="AK261" s="311" t="n">
        <v>31</v>
      </c>
      <c r="AU261" s="406"/>
    </row>
    <row r="262" customFormat="false" ht="12.75" hidden="false" customHeight="false" outlineLevel="0" collapsed="false">
      <c r="A262" s="352" t="str">
        <f aca="false">Option3!A229</f>
        <v>N/A</v>
      </c>
      <c r="B262" s="396" t="str">
        <f aca="false">IF(A262="N/A"," ",IF(ISERROR(N262),B250*Pwresc,N262)*VLOOKUP(MONTH(A262),Curveadj,3))</f>
        <v> </v>
      </c>
      <c r="C262" s="397" t="str">
        <f aca="false">IF(A262="N/A"," ",(IF(AND(Scaler3=1,MONTH(A262)&gt;=6,MONTH(A262)&lt;=8,OR($M$37="REGION 2",$M$37="REGION 2A",$M$37="REGION 2B",$M$37="REGION 3",$M$37="REGION 3A",$M$37="REGION 3B",$M$37="REGION 3C",$M$37="REGION 4",$M$37="REGION 4B",$M$37="REGION 4C",$M$37="REGION 5",$M$37="REGION 5A")),((0.059228/(B262/100))-(0.4980013/(SQRT(B262/100)))+2.137988),HLOOKUP(MONTH(A262),ScalarTable,28))))</f>
        <v> </v>
      </c>
      <c r="D262" s="398" t="str">
        <f aca="false">IF(A262="N/A"," ",C262*B262)</f>
        <v> </v>
      </c>
      <c r="E262" s="396" t="str">
        <f aca="false">IF(A262="N/A"," ",IF(ISERROR(O262),E250*Pwresc,O262)*VLOOKUP(MONTH(A262),Curveadj,3))</f>
        <v> </v>
      </c>
      <c r="F262" s="398" t="str">
        <f aca="false">IF(A262="N/A"," ",E262*C262)</f>
        <v> </v>
      </c>
      <c r="G262" s="396" t="str">
        <f aca="false">IF(A262="N/A"," ",IF(ISERROR(P262),G250*Pwresc,P262)*VLOOKUP(MONTH(A262),Curveadj,3))</f>
        <v> </v>
      </c>
      <c r="H262" s="398" t="str">
        <f aca="false">IF(A262="N/A"," ",G262*C262)</f>
        <v> </v>
      </c>
      <c r="I262" s="398" t="str">
        <f aca="false">IF(A262="N/A"," ",IF(ISERROR(Q262),I250*Pwresc,Q262))</f>
        <v> </v>
      </c>
      <c r="J262" s="398"/>
      <c r="K262" s="399"/>
      <c r="L262" s="399"/>
      <c r="M262" s="404"/>
      <c r="N262" s="401" t="str">
        <f aca="false">IF(A262="N/A"," ",VLOOKUP(A262,PeakPowerCurves,(IF(BMO3=2,3,IF(BMO3=1,2,4))),FALSE()))</f>
        <v> </v>
      </c>
      <c r="O262" s="401" t="str">
        <f aca="false">IF(A262="N/A"," ",VLOOKUP(A262,SatSunPeakPwr,(IF(BMO3=2,3,IF(BMO3=1,2,4))),FALSE()))</f>
        <v> </v>
      </c>
      <c r="P262" s="401" t="str">
        <f aca="false">IF(A262="N/A"," ",VLOOKUP(A262,SatSunPeakPwr,(IF(BMO3=2,7,IF(BMO3=1,6,8))),FALSE()))</f>
        <v> </v>
      </c>
      <c r="Q262" s="402" t="str">
        <f aca="false">IF(A262="N/A"," ",(VLOOKUP(A262,OPPowerPrices,(IF(BMO3=2,7,IF(BMO3=1,6,8))),FALSE())))</f>
        <v> </v>
      </c>
      <c r="R262" s="403" t="str">
        <f aca="false">IF(A262="N/A"," ",(VLOOKUP($A262,IRTable,2)))</f>
        <v> </v>
      </c>
      <c r="AF262" s="352" t="n">
        <f aca="false">EOMONTH(AF261,0)+1</f>
        <v>44409</v>
      </c>
      <c r="AG262" s="311" t="n">
        <v>22</v>
      </c>
      <c r="AH262" s="311" t="n">
        <v>5</v>
      </c>
      <c r="AI262" s="311" t="n">
        <v>4</v>
      </c>
      <c r="AJ262" s="311" t="n">
        <v>0</v>
      </c>
      <c r="AK262" s="311" t="n">
        <v>31</v>
      </c>
      <c r="AU262" s="406"/>
    </row>
    <row r="263" customFormat="false" ht="12.75" hidden="false" customHeight="false" outlineLevel="0" collapsed="false">
      <c r="A263" s="352" t="str">
        <f aca="false">Option3!A230</f>
        <v>N/A</v>
      </c>
      <c r="B263" s="396" t="str">
        <f aca="false">IF(A263="N/A"," ",IF(ISERROR(N263),B251*Pwresc,N263)*VLOOKUP(MONTH(A263),Curveadj,3))</f>
        <v> </v>
      </c>
      <c r="C263" s="397" t="str">
        <f aca="false">IF(A263="N/A"," ",(IF(AND(Scaler3=1,MONTH(A263)&gt;=6,MONTH(A263)&lt;=8,OR($M$37="REGION 2",$M$37="REGION 2A",$M$37="REGION 2B",$M$37="REGION 3",$M$37="REGION 3A",$M$37="REGION 3B",$M$37="REGION 3C",$M$37="REGION 4",$M$37="REGION 4B",$M$37="REGION 4C",$M$37="REGION 5",$M$37="REGION 5A")),((0.059228/(B263/100))-(0.4980013/(SQRT(B263/100)))+2.137988),HLOOKUP(MONTH(A263),ScalarTable,28))))</f>
        <v> </v>
      </c>
      <c r="D263" s="398" t="str">
        <f aca="false">IF(A263="N/A"," ",C263*B263)</f>
        <v> </v>
      </c>
      <c r="E263" s="396" t="str">
        <f aca="false">IF(A263="N/A"," ",IF(ISERROR(O263),E251*Pwresc,O263)*VLOOKUP(MONTH(A263),Curveadj,3))</f>
        <v> </v>
      </c>
      <c r="F263" s="398" t="str">
        <f aca="false">IF(A263="N/A"," ",E263*C263)</f>
        <v> </v>
      </c>
      <c r="G263" s="396" t="str">
        <f aca="false">IF(A263="N/A"," ",IF(ISERROR(P263),G251*Pwresc,P263)*VLOOKUP(MONTH(A263),Curveadj,3))</f>
        <v> </v>
      </c>
      <c r="H263" s="398" t="str">
        <f aca="false">IF(A263="N/A"," ",G263*C263)</f>
        <v> </v>
      </c>
      <c r="I263" s="398" t="str">
        <f aca="false">IF(A263="N/A"," ",IF(ISERROR(Q263),I251*Pwresc,Q263))</f>
        <v> </v>
      </c>
      <c r="J263" s="398"/>
      <c r="K263" s="399"/>
      <c r="L263" s="399"/>
      <c r="M263" s="404"/>
      <c r="N263" s="401" t="str">
        <f aca="false">IF(A263="N/A"," ",VLOOKUP(A263,PeakPowerCurves,(IF(BMO3=2,3,IF(BMO3=1,2,4))),FALSE()))</f>
        <v> </v>
      </c>
      <c r="O263" s="401" t="str">
        <f aca="false">IF(A263="N/A"," ",VLOOKUP(A263,SatSunPeakPwr,(IF(BMO3=2,3,IF(BMO3=1,2,4))),FALSE()))</f>
        <v> </v>
      </c>
      <c r="P263" s="401" t="str">
        <f aca="false">IF(A263="N/A"," ",VLOOKUP(A263,SatSunPeakPwr,(IF(BMO3=2,7,IF(BMO3=1,6,8))),FALSE()))</f>
        <v> </v>
      </c>
      <c r="Q263" s="402" t="str">
        <f aca="false">IF(A263="N/A"," ",(VLOOKUP(A263,OPPowerPrices,(IF(BMO3=2,7,IF(BMO3=1,6,8))),FALSE())))</f>
        <v> </v>
      </c>
      <c r="R263" s="403" t="str">
        <f aca="false">IF(A263="N/A"," ",(VLOOKUP($A263,IRTable,2)))</f>
        <v> </v>
      </c>
      <c r="AF263" s="352" t="n">
        <f aca="false">EOMONTH(AF262,0)+1</f>
        <v>44440</v>
      </c>
      <c r="AG263" s="311" t="n">
        <v>20</v>
      </c>
      <c r="AH263" s="311" t="n">
        <v>4</v>
      </c>
      <c r="AI263" s="311" t="n">
        <v>6</v>
      </c>
      <c r="AJ263" s="311" t="n">
        <v>1</v>
      </c>
      <c r="AK263" s="311" t="n">
        <v>30</v>
      </c>
      <c r="AU263" s="406"/>
    </row>
    <row r="264" customFormat="false" ht="12.75" hidden="false" customHeight="false" outlineLevel="0" collapsed="false">
      <c r="A264" s="352" t="str">
        <f aca="false">Option3!A231</f>
        <v>N/A</v>
      </c>
      <c r="B264" s="396" t="str">
        <f aca="false">IF(A264="N/A"," ",IF(ISERROR(N264),B252*Pwresc,N264)*VLOOKUP(MONTH(A264),Curveadj,3))</f>
        <v> </v>
      </c>
      <c r="C264" s="397" t="str">
        <f aca="false">IF(A264="N/A"," ",(IF(AND(Scaler3=1,MONTH(A264)&gt;=6,MONTH(A264)&lt;=8,OR($M$37="REGION 2",$M$37="REGION 2A",$M$37="REGION 2B",$M$37="REGION 3",$M$37="REGION 3A",$M$37="REGION 3B",$M$37="REGION 3C",$M$37="REGION 4",$M$37="REGION 4B",$M$37="REGION 4C",$M$37="REGION 5",$M$37="REGION 5A")),((0.059228/(B264/100))-(0.4980013/(SQRT(B264/100)))+2.137988),HLOOKUP(MONTH(A264),ScalarTable,28))))</f>
        <v> </v>
      </c>
      <c r="D264" s="398" t="str">
        <f aca="false">IF(A264="N/A"," ",C264*B264)</f>
        <v> </v>
      </c>
      <c r="E264" s="396" t="str">
        <f aca="false">IF(A264="N/A"," ",IF(ISERROR(O264),E252*Pwresc,O264)*VLOOKUP(MONTH(A264),Curveadj,3))</f>
        <v> </v>
      </c>
      <c r="F264" s="398" t="str">
        <f aca="false">IF(A264="N/A"," ",E264*C264)</f>
        <v> </v>
      </c>
      <c r="G264" s="396" t="str">
        <f aca="false">IF(A264="N/A"," ",IF(ISERROR(P264),G252*Pwresc,P264)*VLOOKUP(MONTH(A264),Curveadj,3))</f>
        <v> </v>
      </c>
      <c r="H264" s="398" t="str">
        <f aca="false">IF(A264="N/A"," ",G264*C264)</f>
        <v> </v>
      </c>
      <c r="I264" s="398" t="str">
        <f aca="false">IF(A264="N/A"," ",IF(ISERROR(Q264),I252*Pwresc,Q264))</f>
        <v> </v>
      </c>
      <c r="J264" s="398"/>
      <c r="K264" s="399"/>
      <c r="L264" s="399"/>
      <c r="M264" s="404"/>
      <c r="N264" s="401" t="str">
        <f aca="false">IF(A264="N/A"," ",VLOOKUP(A264,PeakPowerCurves,(IF(BMO3=2,3,IF(BMO3=1,2,4))),FALSE()))</f>
        <v> </v>
      </c>
      <c r="O264" s="401" t="str">
        <f aca="false">IF(A264="N/A"," ",VLOOKUP(A264,SatSunPeakPwr,(IF(BMO3=2,3,IF(BMO3=1,2,4))),FALSE()))</f>
        <v> </v>
      </c>
      <c r="P264" s="401" t="str">
        <f aca="false">IF(A264="N/A"," ",VLOOKUP(A264,SatSunPeakPwr,(IF(BMO3=2,7,IF(BMO3=1,6,8))),FALSE()))</f>
        <v> </v>
      </c>
      <c r="Q264" s="402" t="str">
        <f aca="false">IF(A264="N/A"," ",(VLOOKUP(A264,OPPowerPrices,(IF(BMO3=2,7,IF(BMO3=1,6,8))),FALSE())))</f>
        <v> </v>
      </c>
      <c r="R264" s="403" t="str">
        <f aca="false">IF(A264="N/A"," ",(VLOOKUP($A264,IRTable,2)))</f>
        <v> </v>
      </c>
      <c r="AF264" s="352" t="n">
        <f aca="false">EOMONTH(AF263,0)+1</f>
        <v>44470</v>
      </c>
      <c r="AG264" s="311" t="n">
        <v>23</v>
      </c>
      <c r="AH264" s="311" t="n">
        <v>4</v>
      </c>
      <c r="AI264" s="311" t="n">
        <v>4</v>
      </c>
      <c r="AJ264" s="311" t="n">
        <v>0</v>
      </c>
      <c r="AK264" s="311" t="n">
        <v>31</v>
      </c>
      <c r="AU264" s="406"/>
    </row>
    <row r="265" customFormat="false" ht="12.75" hidden="false" customHeight="false" outlineLevel="0" collapsed="false">
      <c r="A265" s="352" t="str">
        <f aca="false">Option3!A232</f>
        <v>N/A</v>
      </c>
      <c r="B265" s="396" t="str">
        <f aca="false">IF(A265="N/A"," ",IF(ISERROR(N265),B253*Pwresc,N265)*VLOOKUP(MONTH(A265),Curveadj,3))</f>
        <v> </v>
      </c>
      <c r="C265" s="397" t="str">
        <f aca="false">IF(A265="N/A"," ",(IF(AND(Scaler3=1,MONTH(A265)&gt;=6,MONTH(A265)&lt;=8,OR($M$37="REGION 2",$M$37="REGION 2A",$M$37="REGION 2B",$M$37="REGION 3",$M$37="REGION 3A",$M$37="REGION 3B",$M$37="REGION 3C",$M$37="REGION 4",$M$37="REGION 4B",$M$37="REGION 4C",$M$37="REGION 5",$M$37="REGION 5A")),((0.059228/(B265/100))-(0.4980013/(SQRT(B265/100)))+2.137988),HLOOKUP(MONTH(A265),ScalarTable,28))))</f>
        <v> </v>
      </c>
      <c r="D265" s="398" t="str">
        <f aca="false">IF(A265="N/A"," ",C265*B265)</f>
        <v> </v>
      </c>
      <c r="E265" s="396" t="str">
        <f aca="false">IF(A265="N/A"," ",IF(ISERROR(O265),E253*Pwresc,O265)*VLOOKUP(MONTH(A265),Curveadj,3))</f>
        <v> </v>
      </c>
      <c r="F265" s="398" t="str">
        <f aca="false">IF(A265="N/A"," ",E265*C265)</f>
        <v> </v>
      </c>
      <c r="G265" s="396" t="str">
        <f aca="false">IF(A265="N/A"," ",IF(ISERROR(P265),G253*Pwresc,P265)*VLOOKUP(MONTH(A265),Curveadj,3))</f>
        <v> </v>
      </c>
      <c r="H265" s="398" t="str">
        <f aca="false">IF(A265="N/A"," ",G265*C265)</f>
        <v> </v>
      </c>
      <c r="I265" s="398" t="str">
        <f aca="false">IF(A265="N/A"," ",IF(ISERROR(Q265),I253*Pwresc,Q265))</f>
        <v> </v>
      </c>
      <c r="J265" s="398"/>
      <c r="K265" s="399"/>
      <c r="L265" s="399"/>
      <c r="M265" s="404"/>
      <c r="N265" s="401" t="str">
        <f aca="false">IF(A265="N/A"," ",VLOOKUP(A265,PeakPowerCurves,(IF(BMO3=2,3,IF(BMO3=1,2,4))),FALSE()))</f>
        <v> </v>
      </c>
      <c r="O265" s="401" t="str">
        <f aca="false">IF(A265="N/A"," ",VLOOKUP(A265,SatSunPeakPwr,(IF(BMO3=2,3,IF(BMO3=1,2,4))),FALSE()))</f>
        <v> </v>
      </c>
      <c r="P265" s="401" t="str">
        <f aca="false">IF(A265="N/A"," ",VLOOKUP(A265,SatSunPeakPwr,(IF(BMO3=2,7,IF(BMO3=1,6,8))),FALSE()))</f>
        <v> </v>
      </c>
      <c r="Q265" s="402" t="str">
        <f aca="false">IF(A265="N/A"," ",(VLOOKUP(A265,OPPowerPrices,(IF(BMO3=2,7,IF(BMO3=1,6,8))),FALSE())))</f>
        <v> </v>
      </c>
      <c r="R265" s="403" t="str">
        <f aca="false">IF(A265="N/A"," ",(VLOOKUP($A265,IRTable,2)))</f>
        <v> </v>
      </c>
      <c r="AF265" s="352" t="n">
        <f aca="false">EOMONTH(AF264,0)+1</f>
        <v>44501</v>
      </c>
      <c r="AG265" s="311" t="n">
        <v>20</v>
      </c>
      <c r="AH265" s="311" t="n">
        <v>5</v>
      </c>
      <c r="AI265" s="311" t="n">
        <v>5</v>
      </c>
      <c r="AJ265" s="311" t="n">
        <v>1</v>
      </c>
      <c r="AK265" s="311" t="n">
        <v>30</v>
      </c>
      <c r="AU265" s="406"/>
    </row>
    <row r="266" customFormat="false" ht="12.75" hidden="false" customHeight="false" outlineLevel="0" collapsed="false">
      <c r="A266" s="352" t="str">
        <f aca="false">Option3!A233</f>
        <v>N/A</v>
      </c>
      <c r="B266" s="396" t="str">
        <f aca="false">IF(A266="N/A"," ",IF(ISERROR(N266),B254*Pwresc,N266)*VLOOKUP(MONTH(A266),Curveadj,3))</f>
        <v> </v>
      </c>
      <c r="C266" s="397" t="str">
        <f aca="false">IF(A266="N/A"," ",(IF(AND(Scaler3=1,MONTH(A266)&gt;=6,MONTH(A266)&lt;=8,OR($M$37="REGION 2",$M$37="REGION 2A",$M$37="REGION 2B",$M$37="REGION 3",$M$37="REGION 3A",$M$37="REGION 3B",$M$37="REGION 3C",$M$37="REGION 4",$M$37="REGION 4B",$M$37="REGION 4C",$M$37="REGION 5",$M$37="REGION 5A")),((0.059228/(B266/100))-(0.4980013/(SQRT(B266/100)))+2.137988),HLOOKUP(MONTH(A266),ScalarTable,28))))</f>
        <v> </v>
      </c>
      <c r="D266" s="398" t="str">
        <f aca="false">IF(A266="N/A"," ",C266*B266)</f>
        <v> </v>
      </c>
      <c r="E266" s="396" t="str">
        <f aca="false">IF(A266="N/A"," ",IF(ISERROR(O266),E254*Pwresc,O266)*VLOOKUP(MONTH(A266),Curveadj,3))</f>
        <v> </v>
      </c>
      <c r="F266" s="398" t="str">
        <f aca="false">IF(A266="N/A"," ",E266*C266)</f>
        <v> </v>
      </c>
      <c r="G266" s="396" t="str">
        <f aca="false">IF(A266="N/A"," ",IF(ISERROR(P266),G254*Pwresc,P266)*VLOOKUP(MONTH(A266),Curveadj,3))</f>
        <v> </v>
      </c>
      <c r="H266" s="398" t="str">
        <f aca="false">IF(A266="N/A"," ",G266*C266)</f>
        <v> </v>
      </c>
      <c r="I266" s="398" t="str">
        <f aca="false">IF(A266="N/A"," ",IF(ISERROR(Q266),I254*Pwresc,Q266))</f>
        <v> </v>
      </c>
      <c r="J266" s="398"/>
      <c r="K266" s="399"/>
      <c r="L266" s="399"/>
      <c r="M266" s="404"/>
      <c r="N266" s="401" t="str">
        <f aca="false">IF(A266="N/A"," ",VLOOKUP(A266,PeakPowerCurves,(IF(BMO3=2,3,IF(BMO3=1,2,4))),FALSE()))</f>
        <v> </v>
      </c>
      <c r="O266" s="401" t="str">
        <f aca="false">IF(A266="N/A"," ",VLOOKUP(A266,SatSunPeakPwr,(IF(BMO3=2,3,IF(BMO3=1,2,4))),FALSE()))</f>
        <v> </v>
      </c>
      <c r="P266" s="401" t="str">
        <f aca="false">IF(A266="N/A"," ",VLOOKUP(A266,SatSunPeakPwr,(IF(BMO3=2,7,IF(BMO3=1,6,8))),FALSE()))</f>
        <v> </v>
      </c>
      <c r="Q266" s="402" t="str">
        <f aca="false">IF(A266="N/A"," ",(VLOOKUP(A266,OPPowerPrices,(IF(BMO3=2,7,IF(BMO3=1,6,8))),FALSE())))</f>
        <v> </v>
      </c>
      <c r="R266" s="403" t="str">
        <f aca="false">IF(A266="N/A"," ",(VLOOKUP($A266,IRTable,2)))</f>
        <v> </v>
      </c>
      <c r="AF266" s="352" t="n">
        <f aca="false">EOMONTH(AF265,0)+1</f>
        <v>44531</v>
      </c>
      <c r="AG266" s="311" t="n">
        <v>21</v>
      </c>
      <c r="AH266" s="311" t="n">
        <v>4</v>
      </c>
      <c r="AI266" s="311" t="n">
        <v>6</v>
      </c>
      <c r="AJ266" s="311" t="n">
        <v>1</v>
      </c>
      <c r="AK266" s="311" t="n">
        <v>31</v>
      </c>
      <c r="AU266" s="406"/>
    </row>
    <row r="267" customFormat="false" ht="12.75" hidden="false" customHeight="false" outlineLevel="0" collapsed="false">
      <c r="A267" s="352" t="str">
        <f aca="false">Option3!A234</f>
        <v>N/A</v>
      </c>
      <c r="B267" s="396" t="str">
        <f aca="false">IF(A267="N/A"," ",IF(ISERROR(N267),B255*Pwresc,N267)*VLOOKUP(MONTH(A267),Curveadj,3))</f>
        <v> </v>
      </c>
      <c r="C267" s="397" t="str">
        <f aca="false">IF(A267="N/A"," ",(IF(AND(Scaler3=1,MONTH(A267)&gt;=6,MONTH(A267)&lt;=8,OR($M$37="REGION 2",$M$37="REGION 2A",$M$37="REGION 2B",$M$37="REGION 3",$M$37="REGION 3A",$M$37="REGION 3B",$M$37="REGION 3C",$M$37="REGION 4",$M$37="REGION 4B",$M$37="REGION 4C",$M$37="REGION 5",$M$37="REGION 5A")),((0.059228/(B267/100))-(0.4980013/(SQRT(B267/100)))+2.137988),HLOOKUP(MONTH(A267),ScalarTable,28))))</f>
        <v> </v>
      </c>
      <c r="D267" s="398" t="str">
        <f aca="false">IF(A267="N/A"," ",C267*B267)</f>
        <v> </v>
      </c>
      <c r="E267" s="396" t="str">
        <f aca="false">IF(A267="N/A"," ",IF(ISERROR(O267),E255*Pwresc,O267)*VLOOKUP(MONTH(A267),Curveadj,3))</f>
        <v> </v>
      </c>
      <c r="F267" s="398" t="str">
        <f aca="false">IF(A267="N/A"," ",E267*C267)</f>
        <v> </v>
      </c>
      <c r="G267" s="396" t="str">
        <f aca="false">IF(A267="N/A"," ",IF(ISERROR(P267),G255*Pwresc,P267)*VLOOKUP(MONTH(A267),Curveadj,3))</f>
        <v> </v>
      </c>
      <c r="H267" s="398" t="str">
        <f aca="false">IF(A267="N/A"," ",G267*C267)</f>
        <v> </v>
      </c>
      <c r="I267" s="398" t="str">
        <f aca="false">IF(A267="N/A"," ",IF(ISERROR(Q267),I255*Pwresc,Q267))</f>
        <v> </v>
      </c>
      <c r="J267" s="398"/>
      <c r="K267" s="399"/>
      <c r="L267" s="399"/>
      <c r="M267" s="404"/>
      <c r="N267" s="401" t="str">
        <f aca="false">IF(A267="N/A"," ",VLOOKUP(A267,PeakPowerCurves,(IF(BMO3=2,3,IF(BMO3=1,2,4))),FALSE()))</f>
        <v> </v>
      </c>
      <c r="O267" s="401" t="str">
        <f aca="false">IF(A267="N/A"," ",VLOOKUP(A267,SatSunPeakPwr,(IF(BMO3=2,3,IF(BMO3=1,2,4))),FALSE()))</f>
        <v> </v>
      </c>
      <c r="P267" s="401" t="str">
        <f aca="false">IF(A267="N/A"," ",VLOOKUP(A267,SatSunPeakPwr,(IF(BMO3=2,7,IF(BMO3=1,6,8))),FALSE()))</f>
        <v> </v>
      </c>
      <c r="Q267" s="402" t="str">
        <f aca="false">IF(A267="N/A"," ",(VLOOKUP(A267,OPPowerPrices,(IF(BMO3=2,7,IF(BMO3=1,6,8))),FALSE())))</f>
        <v> </v>
      </c>
      <c r="R267" s="403" t="str">
        <f aca="false">IF(A267="N/A"," ",(VLOOKUP($A267,IRTable,2)))</f>
        <v> </v>
      </c>
      <c r="AF267" s="352" t="n">
        <f aca="false">EOMONTH(AF266,0)+1</f>
        <v>44562</v>
      </c>
      <c r="AG267" s="311" t="n">
        <v>22</v>
      </c>
      <c r="AH267" s="311" t="n">
        <v>4</v>
      </c>
      <c r="AI267" s="311" t="n">
        <v>5</v>
      </c>
      <c r="AJ267" s="311" t="n">
        <v>1</v>
      </c>
      <c r="AK267" s="311" t="n">
        <v>31</v>
      </c>
      <c r="AU267" s="406"/>
    </row>
    <row r="268" customFormat="false" ht="12.75" hidden="false" customHeight="false" outlineLevel="0" collapsed="false">
      <c r="A268" s="352" t="str">
        <f aca="false">Option3!A235</f>
        <v>N/A</v>
      </c>
      <c r="B268" s="396" t="str">
        <f aca="false">IF(A268="N/A"," ",IF(ISERROR(N268),B256*Pwresc,N268)*VLOOKUP(MONTH(A268),Curveadj,3))</f>
        <v> </v>
      </c>
      <c r="C268" s="397" t="str">
        <f aca="false">IF(A268="N/A"," ",(IF(AND(Scaler3=1,MONTH(A268)&gt;=6,MONTH(A268)&lt;=8,OR($M$37="REGION 2",$M$37="REGION 2A",$M$37="REGION 2B",$M$37="REGION 3",$M$37="REGION 3A",$M$37="REGION 3B",$M$37="REGION 3C",$M$37="REGION 4",$M$37="REGION 4B",$M$37="REGION 4C",$M$37="REGION 5",$M$37="REGION 5A")),((0.059228/(B268/100))-(0.4980013/(SQRT(B268/100)))+2.137988),HLOOKUP(MONTH(A268),ScalarTable,28))))</f>
        <v> </v>
      </c>
      <c r="D268" s="398" t="str">
        <f aca="false">IF(A268="N/A"," ",C268*B268)</f>
        <v> </v>
      </c>
      <c r="E268" s="396" t="str">
        <f aca="false">IF(A268="N/A"," ",IF(ISERROR(O268),E256*Pwresc,O268)*VLOOKUP(MONTH(A268),Curveadj,3))</f>
        <v> </v>
      </c>
      <c r="F268" s="398" t="str">
        <f aca="false">IF(A268="N/A"," ",E268*C268)</f>
        <v> </v>
      </c>
      <c r="G268" s="396" t="str">
        <f aca="false">IF(A268="N/A"," ",IF(ISERROR(P268),G256*Pwresc,P268)*VLOOKUP(MONTH(A268),Curveadj,3))</f>
        <v> </v>
      </c>
      <c r="H268" s="398" t="str">
        <f aca="false">IF(A268="N/A"," ",G268*C268)</f>
        <v> </v>
      </c>
      <c r="I268" s="398" t="str">
        <f aca="false">IF(A268="N/A"," ",IF(ISERROR(Q268),I256*Pwresc,Q268))</f>
        <v> </v>
      </c>
      <c r="J268" s="398"/>
      <c r="K268" s="399"/>
      <c r="L268" s="399"/>
      <c r="M268" s="404"/>
      <c r="N268" s="401" t="str">
        <f aca="false">IF(A268="N/A"," ",VLOOKUP(A268,PeakPowerCurves,(IF(BMO3=2,3,IF(BMO3=1,2,4))),FALSE()))</f>
        <v> </v>
      </c>
      <c r="O268" s="401" t="str">
        <f aca="false">IF(A268="N/A"," ",VLOOKUP(A268,SatSunPeakPwr,(IF(BMO3=2,3,IF(BMO3=1,2,4))),FALSE()))</f>
        <v> </v>
      </c>
      <c r="P268" s="401" t="str">
        <f aca="false">IF(A268="N/A"," ",VLOOKUP(A268,SatSunPeakPwr,(IF(BMO3=2,7,IF(BMO3=1,6,8))),FALSE()))</f>
        <v> </v>
      </c>
      <c r="Q268" s="402" t="str">
        <f aca="false">IF(A268="N/A"," ",(VLOOKUP(A268,OPPowerPrices,(IF(BMO3=2,7,IF(BMO3=1,6,8))),FALSE())))</f>
        <v> </v>
      </c>
      <c r="R268" s="403" t="str">
        <f aca="false">IF(A268="N/A"," ",(VLOOKUP($A268,IRTable,2)))</f>
        <v> </v>
      </c>
      <c r="AF268" s="352" t="n">
        <f aca="false">EOMONTH(AF267,0)+1</f>
        <v>44593</v>
      </c>
      <c r="AG268" s="311" t="n">
        <v>20</v>
      </c>
      <c r="AH268" s="311" t="n">
        <v>4</v>
      </c>
      <c r="AI268" s="311" t="n">
        <v>4</v>
      </c>
      <c r="AJ268" s="311" t="n">
        <v>0</v>
      </c>
      <c r="AK268" s="311" t="n">
        <v>28</v>
      </c>
      <c r="AU268" s="406"/>
    </row>
    <row r="269" customFormat="false" ht="12.75" hidden="false" customHeight="false" outlineLevel="0" collapsed="false">
      <c r="A269" s="352" t="str">
        <f aca="false">Option3!A236</f>
        <v>N/A</v>
      </c>
      <c r="B269" s="396" t="str">
        <f aca="false">IF(A269="N/A"," ",IF(ISERROR(N269),B257*Pwresc,N269)*VLOOKUP(MONTH(A269),Curveadj,3))</f>
        <v> </v>
      </c>
      <c r="C269" s="397" t="str">
        <f aca="false">IF(A269="N/A"," ",(IF(AND(Scaler3=1,MONTH(A269)&gt;=6,MONTH(A269)&lt;=8,OR($M$37="REGION 2",$M$37="REGION 2A",$M$37="REGION 2B",$M$37="REGION 3",$M$37="REGION 3A",$M$37="REGION 3B",$M$37="REGION 3C",$M$37="REGION 4",$M$37="REGION 4B",$M$37="REGION 4C",$M$37="REGION 5",$M$37="REGION 5A")),((0.059228/(B269/100))-(0.4980013/(SQRT(B269/100)))+2.137988),HLOOKUP(MONTH(A269),ScalarTable,28))))</f>
        <v> </v>
      </c>
      <c r="D269" s="398" t="str">
        <f aca="false">IF(A269="N/A"," ",C269*B269)</f>
        <v> </v>
      </c>
      <c r="E269" s="396" t="str">
        <f aca="false">IF(A269="N/A"," ",IF(ISERROR(O269),E257*Pwresc,O269)*VLOOKUP(MONTH(A269),Curveadj,3))</f>
        <v> </v>
      </c>
      <c r="F269" s="398" t="str">
        <f aca="false">IF(A269="N/A"," ",E269*C269)</f>
        <v> </v>
      </c>
      <c r="G269" s="396" t="str">
        <f aca="false">IF(A269="N/A"," ",IF(ISERROR(P269),G257*Pwresc,P269)*VLOOKUP(MONTH(A269),Curveadj,3))</f>
        <v> </v>
      </c>
      <c r="H269" s="398" t="str">
        <f aca="false">IF(A269="N/A"," ",G269*C269)</f>
        <v> </v>
      </c>
      <c r="I269" s="398" t="str">
        <f aca="false">IF(A269="N/A"," ",IF(ISERROR(Q269),I257*Pwresc,Q269))</f>
        <v> </v>
      </c>
      <c r="J269" s="398"/>
      <c r="K269" s="399"/>
      <c r="L269" s="399"/>
      <c r="M269" s="404"/>
      <c r="N269" s="401" t="str">
        <f aca="false">IF(A269="N/A"," ",VLOOKUP(A269,PeakPowerCurves,(IF(BMO3=2,3,IF(BMO3=1,2,4))),FALSE()))</f>
        <v> </v>
      </c>
      <c r="O269" s="401" t="str">
        <f aca="false">IF(A269="N/A"," ",VLOOKUP(A269,SatSunPeakPwr,(IF(BMO3=2,3,IF(BMO3=1,2,4))),FALSE()))</f>
        <v> </v>
      </c>
      <c r="P269" s="401" t="str">
        <f aca="false">IF(A269="N/A"," ",VLOOKUP(A269,SatSunPeakPwr,(IF(BMO3=2,7,IF(BMO3=1,6,8))),FALSE()))</f>
        <v> </v>
      </c>
      <c r="Q269" s="402" t="str">
        <f aca="false">IF(A269="N/A"," ",(VLOOKUP(A269,OPPowerPrices,(IF(BMO3=2,7,IF(BMO3=1,6,8))),FALSE())))</f>
        <v> </v>
      </c>
      <c r="R269" s="403" t="str">
        <f aca="false">IF(A269="N/A"," ",(VLOOKUP($A269,IRTable,2)))</f>
        <v> </v>
      </c>
      <c r="AF269" s="352" t="n">
        <f aca="false">EOMONTH(AF268,0)+1</f>
        <v>44621</v>
      </c>
      <c r="AG269" s="311" t="n">
        <v>21</v>
      </c>
      <c r="AH269" s="311" t="n">
        <v>5</v>
      </c>
      <c r="AI269" s="311" t="n">
        <v>5</v>
      </c>
      <c r="AJ269" s="311" t="n">
        <v>0</v>
      </c>
      <c r="AK269" s="311" t="n">
        <v>31</v>
      </c>
      <c r="AU269" s="406"/>
    </row>
    <row r="270" customFormat="false" ht="12.75" hidden="false" customHeight="false" outlineLevel="0" collapsed="false">
      <c r="A270" s="352" t="str">
        <f aca="false">Option3!A237</f>
        <v>N/A</v>
      </c>
      <c r="B270" s="396" t="str">
        <f aca="false">IF(A270="N/A"," ",IF(ISERROR(N270),B258*Pwresc,N270)*VLOOKUP(MONTH(A270),Curveadj,3))</f>
        <v> </v>
      </c>
      <c r="C270" s="397" t="str">
        <f aca="false">IF(A270="N/A"," ",(IF(AND(Scaler3=1,MONTH(A270)&gt;=6,MONTH(A270)&lt;=8,OR($M$37="REGION 2",$M$37="REGION 2A",$M$37="REGION 2B",$M$37="REGION 3",$M$37="REGION 3A",$M$37="REGION 3B",$M$37="REGION 3C",$M$37="REGION 4",$M$37="REGION 4B",$M$37="REGION 4C",$M$37="REGION 5",$M$37="REGION 5A")),((0.059228/(B270/100))-(0.4980013/(SQRT(B270/100)))+2.137988),HLOOKUP(MONTH(A270),ScalarTable,28))))</f>
        <v> </v>
      </c>
      <c r="D270" s="398" t="str">
        <f aca="false">IF(A270="N/A"," ",C270*B270)</f>
        <v> </v>
      </c>
      <c r="E270" s="396" t="str">
        <f aca="false">IF(A270="N/A"," ",IF(ISERROR(O270),E258*Pwresc,O270)*VLOOKUP(MONTH(A270),Curveadj,3))</f>
        <v> </v>
      </c>
      <c r="F270" s="398" t="str">
        <f aca="false">IF(A270="N/A"," ",E270*C270)</f>
        <v> </v>
      </c>
      <c r="G270" s="396" t="str">
        <f aca="false">IF(A270="N/A"," ",IF(ISERROR(P270),G258*Pwresc,P270)*VLOOKUP(MONTH(A270),Curveadj,3))</f>
        <v> </v>
      </c>
      <c r="H270" s="398" t="str">
        <f aca="false">IF(A270="N/A"," ",G270*C270)</f>
        <v> </v>
      </c>
      <c r="I270" s="398" t="str">
        <f aca="false">IF(A270="N/A"," ",IF(ISERROR(Q270),I258*Pwresc,Q270))</f>
        <v> </v>
      </c>
      <c r="J270" s="398"/>
      <c r="K270" s="399"/>
      <c r="L270" s="399"/>
      <c r="M270" s="404"/>
      <c r="N270" s="401" t="str">
        <f aca="false">IF(A270="N/A"," ",VLOOKUP(A270,PeakPowerCurves,(IF(BMO3=2,3,IF(BMO3=1,2,4))),FALSE()))</f>
        <v> </v>
      </c>
      <c r="O270" s="401" t="str">
        <f aca="false">IF(A270="N/A"," ",VLOOKUP(A270,SatSunPeakPwr,(IF(BMO3=2,3,IF(BMO3=1,2,4))),FALSE()))</f>
        <v> </v>
      </c>
      <c r="P270" s="401" t="str">
        <f aca="false">IF(A270="N/A"," ",VLOOKUP(A270,SatSunPeakPwr,(IF(BMO3=2,7,IF(BMO3=1,6,8))),FALSE()))</f>
        <v> </v>
      </c>
      <c r="Q270" s="402" t="str">
        <f aca="false">IF(A270="N/A"," ",(VLOOKUP(A270,OPPowerPrices,(IF(BMO3=2,7,IF(BMO3=1,6,8))),FALSE())))</f>
        <v> </v>
      </c>
      <c r="R270" s="403" t="str">
        <f aca="false">IF(A270="N/A"," ",(VLOOKUP($A270,IRTable,2)))</f>
        <v> </v>
      </c>
      <c r="AF270" s="352" t="n">
        <f aca="false">EOMONTH(AF269,0)+1</f>
        <v>44652</v>
      </c>
      <c r="AG270" s="311" t="n">
        <v>22</v>
      </c>
      <c r="AH270" s="311" t="n">
        <v>4</v>
      </c>
      <c r="AI270" s="311" t="n">
        <v>4</v>
      </c>
      <c r="AJ270" s="311" t="n">
        <v>0</v>
      </c>
      <c r="AK270" s="311" t="n">
        <v>30</v>
      </c>
      <c r="AU270" s="406"/>
    </row>
    <row r="271" customFormat="false" ht="12.75" hidden="false" customHeight="false" outlineLevel="0" collapsed="false">
      <c r="A271" s="352" t="str">
        <f aca="false">Option3!A238</f>
        <v>N/A</v>
      </c>
      <c r="B271" s="396" t="str">
        <f aca="false">IF(A271="N/A"," ",IF(ISERROR(N271),B259*Pwresc,N271)*VLOOKUP(MONTH(A271),Curveadj,3))</f>
        <v> </v>
      </c>
      <c r="C271" s="397" t="str">
        <f aca="false">IF(A271="N/A"," ",(IF(AND(Scaler3=1,MONTH(A271)&gt;=6,MONTH(A271)&lt;=8,OR($M$37="REGION 2",$M$37="REGION 2A",$M$37="REGION 2B",$M$37="REGION 3",$M$37="REGION 3A",$M$37="REGION 3B",$M$37="REGION 3C",$M$37="REGION 4",$M$37="REGION 4B",$M$37="REGION 4C",$M$37="REGION 5",$M$37="REGION 5A")),((0.059228/(B271/100))-(0.4980013/(SQRT(B271/100)))+2.137988),HLOOKUP(MONTH(A271),ScalarTable,28))))</f>
        <v> </v>
      </c>
      <c r="D271" s="398" t="str">
        <f aca="false">IF(A271="N/A"," ",C271*B271)</f>
        <v> </v>
      </c>
      <c r="E271" s="396" t="str">
        <f aca="false">IF(A271="N/A"," ",IF(ISERROR(O271),E259*Pwresc,O271)*VLOOKUP(MONTH(A271),Curveadj,3))</f>
        <v> </v>
      </c>
      <c r="F271" s="398" t="str">
        <f aca="false">IF(A271="N/A"," ",E271*C271)</f>
        <v> </v>
      </c>
      <c r="G271" s="396" t="str">
        <f aca="false">IF(A271="N/A"," ",IF(ISERROR(P271),G259*Pwresc,P271)*VLOOKUP(MONTH(A271),Curveadj,3))</f>
        <v> </v>
      </c>
      <c r="H271" s="398" t="str">
        <f aca="false">IF(A271="N/A"," ",G271*C271)</f>
        <v> </v>
      </c>
      <c r="I271" s="398" t="str">
        <f aca="false">IF(A271="N/A"," ",IF(ISERROR(Q271),I259*Pwresc,Q271))</f>
        <v> </v>
      </c>
      <c r="J271" s="398"/>
      <c r="K271" s="399"/>
      <c r="L271" s="399"/>
      <c r="M271" s="404"/>
      <c r="N271" s="401" t="str">
        <f aca="false">IF(A271="N/A"," ",VLOOKUP(A271,PeakPowerCurves,(IF(BMO3=2,3,IF(BMO3=1,2,4))),FALSE()))</f>
        <v> </v>
      </c>
      <c r="O271" s="401" t="str">
        <f aca="false">IF(A271="N/A"," ",VLOOKUP(A271,SatSunPeakPwr,(IF(BMO3=2,3,IF(BMO3=1,2,4))),FALSE()))</f>
        <v> </v>
      </c>
      <c r="P271" s="401" t="str">
        <f aca="false">IF(A271="N/A"," ",VLOOKUP(A271,SatSunPeakPwr,(IF(BMO3=2,7,IF(BMO3=1,6,8))),FALSE()))</f>
        <v> </v>
      </c>
      <c r="Q271" s="402" t="str">
        <f aca="false">IF(A271="N/A"," ",(VLOOKUP(A271,OPPowerPrices,(IF(BMO3=2,7,IF(BMO3=1,6,8))),FALSE())))</f>
        <v> </v>
      </c>
      <c r="R271" s="403" t="str">
        <f aca="false">IF(A271="N/A"," ",(VLOOKUP($A271,IRTable,2)))</f>
        <v> </v>
      </c>
      <c r="AF271" s="352" t="n">
        <f aca="false">EOMONTH(AF270,0)+1</f>
        <v>44682</v>
      </c>
      <c r="AG271" s="311" t="n">
        <v>22</v>
      </c>
      <c r="AH271" s="311" t="n">
        <v>4</v>
      </c>
      <c r="AI271" s="311" t="n">
        <v>5</v>
      </c>
      <c r="AJ271" s="311" t="n">
        <v>1</v>
      </c>
      <c r="AK271" s="311" t="n">
        <v>31</v>
      </c>
      <c r="AU271" s="406"/>
    </row>
    <row r="272" customFormat="false" ht="12.75" hidden="false" customHeight="false" outlineLevel="0" collapsed="false">
      <c r="A272" s="352" t="str">
        <f aca="false">Option3!A239</f>
        <v>N/A</v>
      </c>
      <c r="B272" s="396" t="str">
        <f aca="false">IF(A272="N/A"," ",IF(ISERROR(N272),B260*Pwresc,N272)*VLOOKUP(MONTH(A272),Curveadj,3))</f>
        <v> </v>
      </c>
      <c r="C272" s="397" t="str">
        <f aca="false">IF(A272="N/A"," ",(IF(AND(Scaler3=1,MONTH(A272)&gt;=6,MONTH(A272)&lt;=8,OR($M$37="REGION 2",$M$37="REGION 2A",$M$37="REGION 2B",$M$37="REGION 3",$M$37="REGION 3A",$M$37="REGION 3B",$M$37="REGION 3C",$M$37="REGION 4",$M$37="REGION 4B",$M$37="REGION 4C",$M$37="REGION 5",$M$37="REGION 5A")),((0.059228/(B272/100))-(0.4980013/(SQRT(B272/100)))+2.137988),HLOOKUP(MONTH(A272),ScalarTable,28))))</f>
        <v> </v>
      </c>
      <c r="D272" s="398" t="str">
        <f aca="false">IF(A272="N/A"," ",C272*B272)</f>
        <v> </v>
      </c>
      <c r="E272" s="396" t="str">
        <f aca="false">IF(A272="N/A"," ",IF(ISERROR(O272),E260*Pwresc,O272)*VLOOKUP(MONTH(A272),Curveadj,3))</f>
        <v> </v>
      </c>
      <c r="F272" s="398" t="str">
        <f aca="false">IF(A272="N/A"," ",E272*C272)</f>
        <v> </v>
      </c>
      <c r="G272" s="396" t="str">
        <f aca="false">IF(A272="N/A"," ",IF(ISERROR(P272),G260*Pwresc,P272)*VLOOKUP(MONTH(A272),Curveadj,3))</f>
        <v> </v>
      </c>
      <c r="H272" s="398" t="str">
        <f aca="false">IF(A272="N/A"," ",G272*C272)</f>
        <v> </v>
      </c>
      <c r="I272" s="398" t="str">
        <f aca="false">IF(A272="N/A"," ",IF(ISERROR(Q272),I260*Pwresc,Q272))</f>
        <v> </v>
      </c>
      <c r="J272" s="398"/>
      <c r="K272" s="399"/>
      <c r="L272" s="399"/>
      <c r="M272" s="404"/>
      <c r="N272" s="401" t="str">
        <f aca="false">IF(A272="N/A"," ",VLOOKUP(A272,PeakPowerCurves,(IF(BMO3=2,3,IF(BMO3=1,2,4))),FALSE()))</f>
        <v> </v>
      </c>
      <c r="O272" s="401" t="str">
        <f aca="false">IF(A272="N/A"," ",VLOOKUP(A272,SatSunPeakPwr,(IF(BMO3=2,3,IF(BMO3=1,2,4))),FALSE()))</f>
        <v> </v>
      </c>
      <c r="P272" s="401" t="str">
        <f aca="false">IF(A272="N/A"," ",VLOOKUP(A272,SatSunPeakPwr,(IF(BMO3=2,7,IF(BMO3=1,6,8))),FALSE()))</f>
        <v> </v>
      </c>
      <c r="Q272" s="402" t="str">
        <f aca="false">IF(A272="N/A"," ",(VLOOKUP(A272,OPPowerPrices,(IF(BMO3=2,7,IF(BMO3=1,6,8))),FALSE())))</f>
        <v> </v>
      </c>
      <c r="R272" s="403" t="str">
        <f aca="false">IF(A272="N/A"," ",(VLOOKUP($A272,IRTable,2)))</f>
        <v> </v>
      </c>
      <c r="AF272" s="352" t="n">
        <f aca="false">EOMONTH(AF271,0)+1</f>
        <v>44713</v>
      </c>
      <c r="AG272" s="311" t="n">
        <v>20</v>
      </c>
      <c r="AH272" s="311" t="n">
        <v>5</v>
      </c>
      <c r="AI272" s="311" t="n">
        <v>5</v>
      </c>
      <c r="AJ272" s="311" t="n">
        <v>0</v>
      </c>
      <c r="AK272" s="311" t="n">
        <v>30</v>
      </c>
      <c r="AU272" s="406"/>
    </row>
    <row r="273" customFormat="false" ht="12.75" hidden="false" customHeight="false" outlineLevel="0" collapsed="false">
      <c r="A273" s="352" t="str">
        <f aca="false">Option3!A240</f>
        <v>N/A</v>
      </c>
      <c r="B273" s="396" t="str">
        <f aca="false">IF(A273="N/A"," ",IF(ISERROR(N273),B261*Pwresc,N273)*VLOOKUP(MONTH(A273),Curveadj,3))</f>
        <v> </v>
      </c>
      <c r="C273" s="397" t="str">
        <f aca="false">IF(A273="N/A"," ",(IF(AND(Scaler3=1,MONTH(A273)&gt;=6,MONTH(A273)&lt;=8,OR($M$37="REGION 2",$M$37="REGION 2A",$M$37="REGION 2B",$M$37="REGION 3",$M$37="REGION 3A",$M$37="REGION 3B",$M$37="REGION 3C",$M$37="REGION 4",$M$37="REGION 4B",$M$37="REGION 4C",$M$37="REGION 5",$M$37="REGION 5A")),((0.059228/(B273/100))-(0.4980013/(SQRT(B273/100)))+2.137988),HLOOKUP(MONTH(A273),ScalarTable,28))))</f>
        <v> </v>
      </c>
      <c r="D273" s="398" t="str">
        <f aca="false">IF(A273="N/A"," ",C273*B273)</f>
        <v> </v>
      </c>
      <c r="E273" s="396" t="str">
        <f aca="false">IF(A273="N/A"," ",IF(ISERROR(O273),E261*Pwresc,O273)*VLOOKUP(MONTH(A273),Curveadj,3))</f>
        <v> </v>
      </c>
      <c r="F273" s="398" t="str">
        <f aca="false">IF(A273="N/A"," ",E273*C273)</f>
        <v> </v>
      </c>
      <c r="G273" s="396" t="str">
        <f aca="false">IF(A273="N/A"," ",IF(ISERROR(P273),G261*Pwresc,P273)*VLOOKUP(MONTH(A273),Curveadj,3))</f>
        <v> </v>
      </c>
      <c r="H273" s="398" t="str">
        <f aca="false">IF(A273="N/A"," ",G273*C273)</f>
        <v> </v>
      </c>
      <c r="I273" s="398" t="str">
        <f aca="false">IF(A273="N/A"," ",IF(ISERROR(Q273),I261*Pwresc,Q273))</f>
        <v> </v>
      </c>
      <c r="J273" s="398"/>
      <c r="K273" s="399"/>
      <c r="L273" s="399"/>
      <c r="M273" s="404"/>
      <c r="N273" s="401" t="str">
        <f aca="false">IF(A273="N/A"," ",VLOOKUP(A273,PeakPowerCurves,(IF(BMO3=2,3,IF(BMO3=1,2,4))),FALSE()))</f>
        <v> </v>
      </c>
      <c r="O273" s="401" t="str">
        <f aca="false">IF(A273="N/A"," ",VLOOKUP(A273,SatSunPeakPwr,(IF(BMO3=2,3,IF(BMO3=1,2,4))),FALSE()))</f>
        <v> </v>
      </c>
      <c r="P273" s="401" t="str">
        <f aca="false">IF(A273="N/A"," ",VLOOKUP(A273,SatSunPeakPwr,(IF(BMO3=2,7,IF(BMO3=1,6,8))),FALSE()))</f>
        <v> </v>
      </c>
      <c r="Q273" s="402" t="str">
        <f aca="false">IF(A273="N/A"," ",(VLOOKUP(A273,OPPowerPrices,(IF(BMO3=2,7,IF(BMO3=1,6,8))),FALSE())))</f>
        <v> </v>
      </c>
      <c r="R273" s="403" t="str">
        <f aca="false">IF(A273="N/A"," ",(VLOOKUP($A273,IRTable,2)))</f>
        <v> </v>
      </c>
      <c r="AF273" s="352" t="n">
        <f aca="false">EOMONTH(AF272,0)+1</f>
        <v>44743</v>
      </c>
      <c r="AG273" s="311" t="n">
        <v>22</v>
      </c>
      <c r="AH273" s="311" t="n">
        <v>4</v>
      </c>
      <c r="AI273" s="311" t="n">
        <v>5</v>
      </c>
      <c r="AJ273" s="311" t="n">
        <v>1</v>
      </c>
      <c r="AK273" s="311" t="n">
        <v>31</v>
      </c>
      <c r="AU273" s="406"/>
    </row>
    <row r="274" customFormat="false" ht="12.75" hidden="false" customHeight="false" outlineLevel="0" collapsed="false">
      <c r="A274" s="352" t="str">
        <f aca="false">Option3!A241</f>
        <v>N/A</v>
      </c>
      <c r="B274" s="396" t="str">
        <f aca="false">IF(A274="N/A"," ",IF(ISERROR(N274),B262*Pwresc,N274)*VLOOKUP(MONTH(A274),Curveadj,3))</f>
        <v> </v>
      </c>
      <c r="C274" s="397" t="str">
        <f aca="false">IF(A274="N/A"," ",(IF(AND(Scaler3=1,MONTH(A274)&gt;=6,MONTH(A274)&lt;=8,OR($M$37="REGION 2",$M$37="REGION 2A",$M$37="REGION 2B",$M$37="REGION 3",$M$37="REGION 3A",$M$37="REGION 3B",$M$37="REGION 3C",$M$37="REGION 4",$M$37="REGION 4B",$M$37="REGION 4C",$M$37="REGION 5",$M$37="REGION 5A")),((0.059228/(B274/100))-(0.4980013/(SQRT(B274/100)))+2.137988),HLOOKUP(MONTH(A274),ScalarTable,28))))</f>
        <v> </v>
      </c>
      <c r="D274" s="398" t="str">
        <f aca="false">IF(A274="N/A"," ",C274*B274)</f>
        <v> </v>
      </c>
      <c r="E274" s="396" t="str">
        <f aca="false">IF(A274="N/A"," ",IF(ISERROR(O274),E262*Pwresc,O274)*VLOOKUP(MONTH(A274),Curveadj,3))</f>
        <v> </v>
      </c>
      <c r="F274" s="398" t="str">
        <f aca="false">IF(A274="N/A"," ",E274*C274)</f>
        <v> </v>
      </c>
      <c r="G274" s="396" t="str">
        <f aca="false">IF(A274="N/A"," ",IF(ISERROR(P274),G262*Pwresc,P274)*VLOOKUP(MONTH(A274),Curveadj,3))</f>
        <v> </v>
      </c>
      <c r="H274" s="398" t="str">
        <f aca="false">IF(A274="N/A"," ",G274*C274)</f>
        <v> </v>
      </c>
      <c r="I274" s="398" t="str">
        <f aca="false">IF(A274="N/A"," ",IF(ISERROR(Q274),I262*Pwresc,Q274))</f>
        <v> </v>
      </c>
      <c r="J274" s="398"/>
      <c r="K274" s="399"/>
      <c r="L274" s="399"/>
      <c r="M274" s="404"/>
      <c r="N274" s="401" t="str">
        <f aca="false">IF(A274="N/A"," ",VLOOKUP(A274,PeakPowerCurves,(IF(BMO3=2,3,IF(BMO3=1,2,4))),FALSE()))</f>
        <v> </v>
      </c>
      <c r="O274" s="401" t="str">
        <f aca="false">IF(A274="N/A"," ",VLOOKUP(A274,SatSunPeakPwr,(IF(BMO3=2,3,IF(BMO3=1,2,4))),FALSE()))</f>
        <v> </v>
      </c>
      <c r="P274" s="401" t="str">
        <f aca="false">IF(A274="N/A"," ",VLOOKUP(A274,SatSunPeakPwr,(IF(BMO3=2,7,IF(BMO3=1,6,8))),FALSE()))</f>
        <v> </v>
      </c>
      <c r="Q274" s="402" t="str">
        <f aca="false">IF(A274="N/A"," ",(VLOOKUP(A274,OPPowerPrices,(IF(BMO3=2,7,IF(BMO3=1,6,8))),FALSE())))</f>
        <v> </v>
      </c>
      <c r="R274" s="403" t="str">
        <f aca="false">IF(A274="N/A"," ",(VLOOKUP($A274,IRTable,2)))</f>
        <v> </v>
      </c>
      <c r="AF274" s="352" t="n">
        <f aca="false">EOMONTH(AF273,0)+1</f>
        <v>44774</v>
      </c>
      <c r="AG274" s="311" t="n">
        <v>22</v>
      </c>
      <c r="AH274" s="311" t="n">
        <v>5</v>
      </c>
      <c r="AI274" s="311" t="n">
        <v>4</v>
      </c>
      <c r="AJ274" s="311" t="n">
        <v>0</v>
      </c>
      <c r="AK274" s="311" t="n">
        <v>31</v>
      </c>
      <c r="AU274" s="406"/>
    </row>
    <row r="275" customFormat="false" ht="12.75" hidden="false" customHeight="false" outlineLevel="0" collapsed="false">
      <c r="A275" s="352" t="str">
        <f aca="false">Option3!A242</f>
        <v>N/A</v>
      </c>
      <c r="B275" s="396" t="str">
        <f aca="false">IF(A275="N/A"," ",IF(ISERROR(N275),B263*Pwresc,N275)*VLOOKUP(MONTH(A275),Curveadj,3))</f>
        <v> </v>
      </c>
      <c r="C275" s="397" t="str">
        <f aca="false">IF(A275="N/A"," ",(IF(AND(Scaler3=1,MONTH(A275)&gt;=6,MONTH(A275)&lt;=8,OR($M$37="REGION 2",$M$37="REGION 2A",$M$37="REGION 2B",$M$37="REGION 3",$M$37="REGION 3A",$M$37="REGION 3B",$M$37="REGION 3C",$M$37="REGION 4",$M$37="REGION 4B",$M$37="REGION 4C",$M$37="REGION 5",$M$37="REGION 5A")),((0.059228/(B275/100))-(0.4980013/(SQRT(B275/100)))+2.137988),HLOOKUP(MONTH(A275),ScalarTable,28))))</f>
        <v> </v>
      </c>
      <c r="D275" s="398" t="str">
        <f aca="false">IF(A275="N/A"," ",C275*B275)</f>
        <v> </v>
      </c>
      <c r="E275" s="396" t="str">
        <f aca="false">IF(A275="N/A"," ",IF(ISERROR(O275),E263*Pwresc,O275)*VLOOKUP(MONTH(A275),Curveadj,3))</f>
        <v> </v>
      </c>
      <c r="F275" s="398" t="str">
        <f aca="false">IF(A275="N/A"," ",E275*C275)</f>
        <v> </v>
      </c>
      <c r="G275" s="396" t="str">
        <f aca="false">IF(A275="N/A"," ",IF(ISERROR(P275),G263*Pwresc,P275)*VLOOKUP(MONTH(A275),Curveadj,3))</f>
        <v> </v>
      </c>
      <c r="H275" s="398" t="str">
        <f aca="false">IF(A275="N/A"," ",G275*C275)</f>
        <v> </v>
      </c>
      <c r="I275" s="398" t="str">
        <f aca="false">IF(A275="N/A"," ",IF(ISERROR(Q275),I263*Pwresc,Q275))</f>
        <v> </v>
      </c>
      <c r="J275" s="398"/>
      <c r="K275" s="399"/>
      <c r="L275" s="399"/>
      <c r="M275" s="404"/>
      <c r="N275" s="401" t="str">
        <f aca="false">IF(A275="N/A"," ",VLOOKUP(A275,PeakPowerCurves,(IF(BMO3=2,3,IF(BMO3=1,2,4))),FALSE()))</f>
        <v> </v>
      </c>
      <c r="O275" s="401" t="str">
        <f aca="false">IF(A275="N/A"," ",VLOOKUP(A275,SatSunPeakPwr,(IF(BMO3=2,3,IF(BMO3=1,2,4))),FALSE()))</f>
        <v> </v>
      </c>
      <c r="P275" s="401" t="str">
        <f aca="false">IF(A275="N/A"," ",VLOOKUP(A275,SatSunPeakPwr,(IF(BMO3=2,7,IF(BMO3=1,6,8))),FALSE()))</f>
        <v> </v>
      </c>
      <c r="Q275" s="402" t="str">
        <f aca="false">IF(A275="N/A"," ",(VLOOKUP(A275,OPPowerPrices,(IF(BMO3=2,7,IF(BMO3=1,6,8))),FALSE())))</f>
        <v> </v>
      </c>
      <c r="R275" s="403" t="str">
        <f aca="false">IF(A275="N/A"," ",(VLOOKUP($A275,IRTable,2)))</f>
        <v> </v>
      </c>
      <c r="AF275" s="352" t="n">
        <f aca="false">EOMONTH(AF274,0)+1</f>
        <v>44805</v>
      </c>
      <c r="AG275" s="311" t="n">
        <v>20</v>
      </c>
      <c r="AH275" s="311" t="n">
        <v>4</v>
      </c>
      <c r="AI275" s="311" t="n">
        <v>6</v>
      </c>
      <c r="AJ275" s="311" t="n">
        <v>1</v>
      </c>
      <c r="AK275" s="311" t="n">
        <v>30</v>
      </c>
      <c r="AU275" s="406"/>
    </row>
    <row r="276" customFormat="false" ht="12.75" hidden="false" customHeight="false" outlineLevel="0" collapsed="false">
      <c r="A276" s="352" t="str">
        <f aca="false">Option3!A243</f>
        <v>N/A</v>
      </c>
      <c r="B276" s="396" t="str">
        <f aca="false">IF(A276="N/A"," ",IF(ISERROR(N276),B264*Pwresc,N276)*VLOOKUP(MONTH(A276),Curveadj,3))</f>
        <v> </v>
      </c>
      <c r="C276" s="397" t="str">
        <f aca="false">IF(A276="N/A"," ",(IF(AND(Scaler3=1,MONTH(A276)&gt;=6,MONTH(A276)&lt;=8,OR($M$37="REGION 2",$M$37="REGION 2A",$M$37="REGION 2B",$M$37="REGION 3",$M$37="REGION 3A",$M$37="REGION 3B",$M$37="REGION 3C",$M$37="REGION 4",$M$37="REGION 4B",$M$37="REGION 4C",$M$37="REGION 5",$M$37="REGION 5A")),((0.059228/(B276/100))-(0.4980013/(SQRT(B276/100)))+2.137988),HLOOKUP(MONTH(A276),ScalarTable,28))))</f>
        <v> </v>
      </c>
      <c r="D276" s="398" t="str">
        <f aca="false">IF(A276="N/A"," ",C276*B276)</f>
        <v> </v>
      </c>
      <c r="E276" s="396" t="str">
        <f aca="false">IF(A276="N/A"," ",IF(ISERROR(O276),E264*Pwresc,O276)*VLOOKUP(MONTH(A276),Curveadj,3))</f>
        <v> </v>
      </c>
      <c r="F276" s="398" t="str">
        <f aca="false">IF(A276="N/A"," ",E276*C276)</f>
        <v> </v>
      </c>
      <c r="G276" s="396" t="str">
        <f aca="false">IF(A276="N/A"," ",IF(ISERROR(P276),G264*Pwresc,P276)*VLOOKUP(MONTH(A276),Curveadj,3))</f>
        <v> </v>
      </c>
      <c r="H276" s="398" t="str">
        <f aca="false">IF(A276="N/A"," ",G276*C276)</f>
        <v> </v>
      </c>
      <c r="I276" s="398" t="str">
        <f aca="false">IF(A276="N/A"," ",IF(ISERROR(Q276),I264*Pwresc,Q276))</f>
        <v> </v>
      </c>
      <c r="J276" s="398"/>
      <c r="K276" s="399"/>
      <c r="L276" s="399"/>
      <c r="M276" s="404"/>
      <c r="N276" s="401" t="str">
        <f aca="false">IF(A276="N/A"," ",VLOOKUP(A276,PeakPowerCurves,(IF(BMO3=2,3,IF(BMO3=1,2,4))),FALSE()))</f>
        <v> </v>
      </c>
      <c r="O276" s="401" t="str">
        <f aca="false">IF(A276="N/A"," ",VLOOKUP(A276,SatSunPeakPwr,(IF(BMO3=2,3,IF(BMO3=1,2,4))),FALSE()))</f>
        <v> </v>
      </c>
      <c r="P276" s="401" t="str">
        <f aca="false">IF(A276="N/A"," ",VLOOKUP(A276,SatSunPeakPwr,(IF(BMO3=2,7,IF(BMO3=1,6,8))),FALSE()))</f>
        <v> </v>
      </c>
      <c r="Q276" s="402" t="str">
        <f aca="false">IF(A276="N/A"," ",(VLOOKUP(A276,OPPowerPrices,(IF(BMO3=2,7,IF(BMO3=1,6,8))),FALSE())))</f>
        <v> </v>
      </c>
      <c r="R276" s="403" t="str">
        <f aca="false">IF(A276="N/A"," ",(VLOOKUP($A276,IRTable,2)))</f>
        <v> </v>
      </c>
      <c r="AF276" s="352" t="n">
        <f aca="false">EOMONTH(AF275,0)+1</f>
        <v>44835</v>
      </c>
      <c r="AG276" s="311" t="n">
        <v>23</v>
      </c>
      <c r="AH276" s="311" t="n">
        <v>4</v>
      </c>
      <c r="AI276" s="311" t="n">
        <v>4</v>
      </c>
      <c r="AJ276" s="311" t="n">
        <v>0</v>
      </c>
      <c r="AK276" s="311" t="n">
        <v>31</v>
      </c>
      <c r="AU276" s="406"/>
    </row>
    <row r="277" customFormat="false" ht="12.75" hidden="false" customHeight="false" outlineLevel="0" collapsed="false">
      <c r="A277" s="352" t="str">
        <f aca="false">Option3!A244</f>
        <v>N/A</v>
      </c>
      <c r="B277" s="396" t="str">
        <f aca="false">IF(A277="N/A"," ",IF(ISERROR(N277),B265*Pwresc,N277)*VLOOKUP(MONTH(A277),Curveadj,3))</f>
        <v> </v>
      </c>
      <c r="C277" s="397" t="str">
        <f aca="false">IF(A277="N/A"," ",(IF(AND(Scaler3=1,MONTH(A277)&gt;=6,MONTH(A277)&lt;=8,OR($M$37="REGION 2",$M$37="REGION 2A",$M$37="REGION 2B",$M$37="REGION 3",$M$37="REGION 3A",$M$37="REGION 3B",$M$37="REGION 3C",$M$37="REGION 4",$M$37="REGION 4B",$M$37="REGION 4C",$M$37="REGION 5",$M$37="REGION 5A")),((0.059228/(B277/100))-(0.4980013/(SQRT(B277/100)))+2.137988),HLOOKUP(MONTH(A277),ScalarTable,28))))</f>
        <v> </v>
      </c>
      <c r="D277" s="398" t="str">
        <f aca="false">IF(A277="N/A"," ",C277*B277)</f>
        <v> </v>
      </c>
      <c r="E277" s="396" t="str">
        <f aca="false">IF(A277="N/A"," ",IF(ISERROR(O277),E265*Pwresc,O277)*VLOOKUP(MONTH(A277),Curveadj,3))</f>
        <v> </v>
      </c>
      <c r="F277" s="398" t="str">
        <f aca="false">IF(A277="N/A"," ",E277*C277)</f>
        <v> </v>
      </c>
      <c r="G277" s="396" t="str">
        <f aca="false">IF(A277="N/A"," ",IF(ISERROR(P277),G265*Pwresc,P277)*VLOOKUP(MONTH(A277),Curveadj,3))</f>
        <v> </v>
      </c>
      <c r="H277" s="398" t="str">
        <f aca="false">IF(A277="N/A"," ",G277*C277)</f>
        <v> </v>
      </c>
      <c r="I277" s="398" t="str">
        <f aca="false">IF(A277="N/A"," ",IF(ISERROR(Q277),I265*Pwresc,Q277))</f>
        <v> </v>
      </c>
      <c r="J277" s="398"/>
      <c r="K277" s="399"/>
      <c r="L277" s="399"/>
      <c r="M277" s="404"/>
      <c r="N277" s="401" t="str">
        <f aca="false">IF(A277="N/A"," ",VLOOKUP(A277,PeakPowerCurves,(IF(BMO3=2,3,IF(BMO3=1,2,4))),FALSE()))</f>
        <v> </v>
      </c>
      <c r="O277" s="401" t="str">
        <f aca="false">IF(A277="N/A"," ",VLOOKUP(A277,SatSunPeakPwr,(IF(BMO3=2,3,IF(BMO3=1,2,4))),FALSE()))</f>
        <v> </v>
      </c>
      <c r="P277" s="401" t="str">
        <f aca="false">IF(A277="N/A"," ",VLOOKUP(A277,SatSunPeakPwr,(IF(BMO3=2,7,IF(BMO3=1,6,8))),FALSE()))</f>
        <v> </v>
      </c>
      <c r="Q277" s="402" t="str">
        <f aca="false">IF(A277="N/A"," ",(VLOOKUP(A277,OPPowerPrices,(IF(BMO3=2,7,IF(BMO3=1,6,8))),FALSE())))</f>
        <v> </v>
      </c>
      <c r="R277" s="403" t="str">
        <f aca="false">IF(A277="N/A"," ",(VLOOKUP($A277,IRTable,2)))</f>
        <v> </v>
      </c>
      <c r="AF277" s="352" t="n">
        <f aca="false">EOMONTH(AF276,0)+1</f>
        <v>44866</v>
      </c>
      <c r="AG277" s="311" t="n">
        <v>20</v>
      </c>
      <c r="AH277" s="311" t="n">
        <v>5</v>
      </c>
      <c r="AI277" s="311" t="n">
        <v>5</v>
      </c>
      <c r="AJ277" s="311" t="n">
        <v>1</v>
      </c>
      <c r="AK277" s="311" t="n">
        <v>30</v>
      </c>
      <c r="AU277" s="406"/>
    </row>
    <row r="278" customFormat="false" ht="12.75" hidden="false" customHeight="false" outlineLevel="0" collapsed="false">
      <c r="A278" s="352" t="str">
        <f aca="false">Option3!A245</f>
        <v>N/A</v>
      </c>
      <c r="B278" s="396" t="str">
        <f aca="false">IF(A278="N/A"," ",IF(ISERROR(N278),B266*Pwresc,N278)*VLOOKUP(MONTH(A278),Curveadj,3))</f>
        <v> </v>
      </c>
      <c r="C278" s="397" t="str">
        <f aca="false">IF(A278="N/A"," ",(IF(AND(Scaler3=1,MONTH(A278)&gt;=6,MONTH(A278)&lt;=8,OR($M$37="REGION 2",$M$37="REGION 2A",$M$37="REGION 2B",$M$37="REGION 3",$M$37="REGION 3A",$M$37="REGION 3B",$M$37="REGION 3C",$M$37="REGION 4",$M$37="REGION 4B",$M$37="REGION 4C",$M$37="REGION 5",$M$37="REGION 5A")),((0.059228/(B278/100))-(0.4980013/(SQRT(B278/100)))+2.137988),HLOOKUP(MONTH(A278),ScalarTable,28))))</f>
        <v> </v>
      </c>
      <c r="D278" s="398" t="str">
        <f aca="false">IF(A278="N/A"," ",C278*B278)</f>
        <v> </v>
      </c>
      <c r="E278" s="396" t="str">
        <f aca="false">IF(A278="N/A"," ",IF(ISERROR(O278),E266*Pwresc,O278)*VLOOKUP(MONTH(A278),Curveadj,3))</f>
        <v> </v>
      </c>
      <c r="F278" s="398" t="str">
        <f aca="false">IF(A278="N/A"," ",E278*C278)</f>
        <v> </v>
      </c>
      <c r="G278" s="396" t="str">
        <f aca="false">IF(A278="N/A"," ",IF(ISERROR(P278),G266*Pwresc,P278)*VLOOKUP(MONTH(A278),Curveadj,3))</f>
        <v> </v>
      </c>
      <c r="H278" s="398" t="str">
        <f aca="false">IF(A278="N/A"," ",G278*C278)</f>
        <v> </v>
      </c>
      <c r="I278" s="398" t="str">
        <f aca="false">IF(A278="N/A"," ",IF(ISERROR(Q278),I266*Pwresc,Q278))</f>
        <v> </v>
      </c>
      <c r="J278" s="398"/>
      <c r="K278" s="399"/>
      <c r="L278" s="399"/>
      <c r="M278" s="404"/>
      <c r="N278" s="401" t="str">
        <f aca="false">IF(A278="N/A"," ",VLOOKUP(A278,PeakPowerCurves,(IF(BMO3=2,3,IF(BMO3=1,2,4))),FALSE()))</f>
        <v> </v>
      </c>
      <c r="O278" s="401" t="str">
        <f aca="false">IF(A278="N/A"," ",VLOOKUP(A278,SatSunPeakPwr,(IF(BMO3=2,3,IF(BMO3=1,2,4))),FALSE()))</f>
        <v> </v>
      </c>
      <c r="P278" s="401" t="str">
        <f aca="false">IF(A278="N/A"," ",VLOOKUP(A278,SatSunPeakPwr,(IF(BMO3=2,7,IF(BMO3=1,6,8))),FALSE()))</f>
        <v> </v>
      </c>
      <c r="Q278" s="402" t="str">
        <f aca="false">IF(A278="N/A"," ",(VLOOKUP(A278,OPPowerPrices,(IF(BMO3=2,7,IF(BMO3=1,6,8))),FALSE())))</f>
        <v> </v>
      </c>
      <c r="R278" s="403" t="str">
        <f aca="false">IF(A278="N/A"," ",(VLOOKUP($A278,IRTable,2)))</f>
        <v> </v>
      </c>
      <c r="AF278" s="352" t="n">
        <f aca="false">EOMONTH(AF277,0)+1</f>
        <v>44896</v>
      </c>
      <c r="AG278" s="311" t="n">
        <v>21</v>
      </c>
      <c r="AH278" s="311" t="n">
        <v>4</v>
      </c>
      <c r="AI278" s="311" t="n">
        <v>6</v>
      </c>
      <c r="AJ278" s="311" t="n">
        <v>1</v>
      </c>
      <c r="AK278" s="311" t="n">
        <v>31</v>
      </c>
      <c r="AU278" s="406"/>
    </row>
    <row r="279" customFormat="false" ht="12.75" hidden="false" customHeight="false" outlineLevel="0" collapsed="false">
      <c r="A279" s="352" t="str">
        <f aca="false">Option3!A246</f>
        <v>N/A</v>
      </c>
      <c r="B279" s="396" t="str">
        <f aca="false">IF(A279="N/A"," ",IF(ISERROR(N279),B267*Pwresc,N279)*VLOOKUP(MONTH(A279),Curveadj,3))</f>
        <v> </v>
      </c>
      <c r="C279" s="397" t="str">
        <f aca="false">IF(A279="N/A"," ",(IF(AND(Scaler3=1,MONTH(A279)&gt;=6,MONTH(A279)&lt;=8,OR($M$37="REGION 2",$M$37="REGION 2A",$M$37="REGION 2B",$M$37="REGION 3",$M$37="REGION 3A",$M$37="REGION 3B",$M$37="REGION 3C",$M$37="REGION 4",$M$37="REGION 4B",$M$37="REGION 4C",$M$37="REGION 5",$M$37="REGION 5A")),((0.059228/(B279/100))-(0.4980013/(SQRT(B279/100)))+2.137988),HLOOKUP(MONTH(A279),ScalarTable,28))))</f>
        <v> </v>
      </c>
      <c r="D279" s="398" t="str">
        <f aca="false">IF(A279="N/A"," ",C279*B279)</f>
        <v> </v>
      </c>
      <c r="E279" s="396" t="str">
        <f aca="false">IF(A279="N/A"," ",IF(ISERROR(O279),E267*Pwresc,O279)*VLOOKUP(MONTH(A279),Curveadj,3))</f>
        <v> </v>
      </c>
      <c r="F279" s="398" t="str">
        <f aca="false">IF(A279="N/A"," ",E279*C279)</f>
        <v> </v>
      </c>
      <c r="G279" s="396" t="str">
        <f aca="false">IF(A279="N/A"," ",IF(ISERROR(P279),G267*Pwresc,P279)*VLOOKUP(MONTH(A279),Curveadj,3))</f>
        <v> </v>
      </c>
      <c r="H279" s="398" t="str">
        <f aca="false">IF(A279="N/A"," ",G279*C279)</f>
        <v> </v>
      </c>
      <c r="I279" s="398" t="str">
        <f aca="false">IF(A279="N/A"," ",IF(ISERROR(Q279),I267*Pwresc,Q279))</f>
        <v> </v>
      </c>
      <c r="J279" s="398"/>
      <c r="K279" s="399"/>
      <c r="L279" s="399"/>
      <c r="M279" s="404"/>
      <c r="N279" s="401" t="str">
        <f aca="false">IF(A279="N/A"," ",VLOOKUP(A279,PeakPowerCurves,(IF(BMO3=2,3,IF(BMO3=1,2,4))),FALSE()))</f>
        <v> </v>
      </c>
      <c r="O279" s="401" t="str">
        <f aca="false">IF(A279="N/A"," ",VLOOKUP(A279,SatSunPeakPwr,(IF(BMO3=2,3,IF(BMO3=1,2,4))),FALSE()))</f>
        <v> </v>
      </c>
      <c r="P279" s="401" t="str">
        <f aca="false">IF(A279="N/A"," ",VLOOKUP(A279,SatSunPeakPwr,(IF(BMO3=2,7,IF(BMO3=1,6,8))),FALSE()))</f>
        <v> </v>
      </c>
      <c r="Q279" s="402" t="str">
        <f aca="false">IF(A279="N/A"," ",(VLOOKUP(A279,OPPowerPrices,(IF(BMO3=2,7,IF(BMO3=1,6,8))),FALSE())))</f>
        <v> </v>
      </c>
      <c r="R279" s="403" t="str">
        <f aca="false">IF(A279="N/A"," ",(VLOOKUP($A279,IRTable,2)))</f>
        <v> </v>
      </c>
      <c r="AF279" s="352" t="n">
        <f aca="false">EOMONTH(AF278,0)+1</f>
        <v>44927</v>
      </c>
      <c r="AG279" s="311" t="n">
        <v>22</v>
      </c>
      <c r="AH279" s="311" t="n">
        <v>4</v>
      </c>
      <c r="AI279" s="311" t="n">
        <v>5</v>
      </c>
      <c r="AJ279" s="311" t="n">
        <v>1</v>
      </c>
      <c r="AK279" s="311" t="n">
        <v>31</v>
      </c>
      <c r="AU279" s="406"/>
    </row>
    <row r="280" customFormat="false" ht="12.75" hidden="false" customHeight="false" outlineLevel="0" collapsed="false">
      <c r="A280" s="352" t="str">
        <f aca="false">Option3!A247</f>
        <v>N/A</v>
      </c>
      <c r="B280" s="396" t="str">
        <f aca="false">IF(A280="N/A"," ",IF(ISERROR(N280),B268*Pwresc,N280)*VLOOKUP(MONTH(A280),Curveadj,3))</f>
        <v> </v>
      </c>
      <c r="C280" s="397" t="str">
        <f aca="false">IF(A280="N/A"," ",(IF(AND(Scaler3=1,MONTH(A280)&gt;=6,MONTH(A280)&lt;=8,OR($M$37="REGION 2",$M$37="REGION 2A",$M$37="REGION 2B",$M$37="REGION 3",$M$37="REGION 3A",$M$37="REGION 3B",$M$37="REGION 3C",$M$37="REGION 4",$M$37="REGION 4B",$M$37="REGION 4C",$M$37="REGION 5",$M$37="REGION 5A")),((0.059228/(B280/100))-(0.4980013/(SQRT(B280/100)))+2.137988),HLOOKUP(MONTH(A280),ScalarTable,28))))</f>
        <v> </v>
      </c>
      <c r="D280" s="398" t="str">
        <f aca="false">IF(A280="N/A"," ",C280*B280)</f>
        <v> </v>
      </c>
      <c r="E280" s="396" t="str">
        <f aca="false">IF(A280="N/A"," ",IF(ISERROR(O280),E268*Pwresc,O280)*VLOOKUP(MONTH(A280),Curveadj,3))</f>
        <v> </v>
      </c>
      <c r="F280" s="398" t="str">
        <f aca="false">IF(A280="N/A"," ",E280*C280)</f>
        <v> </v>
      </c>
      <c r="G280" s="396" t="str">
        <f aca="false">IF(A280="N/A"," ",IF(ISERROR(P280),G268*Pwresc,P280)*VLOOKUP(MONTH(A280),Curveadj,3))</f>
        <v> </v>
      </c>
      <c r="H280" s="398" t="str">
        <f aca="false">IF(A280="N/A"," ",G280*C280)</f>
        <v> </v>
      </c>
      <c r="I280" s="398" t="str">
        <f aca="false">IF(A280="N/A"," ",IF(ISERROR(Q280),I268*Pwresc,Q280))</f>
        <v> </v>
      </c>
      <c r="J280" s="398"/>
      <c r="K280" s="399"/>
      <c r="L280" s="399"/>
      <c r="M280" s="404"/>
      <c r="N280" s="401" t="str">
        <f aca="false">IF(A280="N/A"," ",VLOOKUP(A280,PeakPowerCurves,(IF(BMO3=2,3,IF(BMO3=1,2,4))),FALSE()))</f>
        <v> </v>
      </c>
      <c r="O280" s="401" t="str">
        <f aca="false">IF(A280="N/A"," ",VLOOKUP(A280,SatSunPeakPwr,(IF(BMO3=2,3,IF(BMO3=1,2,4))),FALSE()))</f>
        <v> </v>
      </c>
      <c r="P280" s="401" t="str">
        <f aca="false">IF(A280="N/A"," ",VLOOKUP(A280,SatSunPeakPwr,(IF(BMO3=2,7,IF(BMO3=1,6,8))),FALSE()))</f>
        <v> </v>
      </c>
      <c r="Q280" s="402" t="str">
        <f aca="false">IF(A280="N/A"," ",(VLOOKUP(A280,OPPowerPrices,(IF(BMO3=2,7,IF(BMO3=1,6,8))),FALSE())))</f>
        <v> </v>
      </c>
      <c r="R280" s="403" t="str">
        <f aca="false">IF(A280="N/A"," ",(VLOOKUP($A280,IRTable,2)))</f>
        <v> </v>
      </c>
      <c r="AF280" s="352" t="n">
        <f aca="false">EOMONTH(AF279,0)+1</f>
        <v>44958</v>
      </c>
      <c r="AG280" s="311" t="n">
        <v>20</v>
      </c>
      <c r="AH280" s="311" t="n">
        <v>4</v>
      </c>
      <c r="AI280" s="311" t="n">
        <v>4</v>
      </c>
      <c r="AJ280" s="311" t="n">
        <v>0</v>
      </c>
      <c r="AK280" s="311" t="n">
        <v>28</v>
      </c>
      <c r="AU280" s="406"/>
    </row>
    <row r="281" customFormat="false" ht="12.75" hidden="false" customHeight="false" outlineLevel="0" collapsed="false">
      <c r="A281" s="352" t="str">
        <f aca="false">Option3!A248</f>
        <v>N/A</v>
      </c>
      <c r="B281" s="396" t="str">
        <f aca="false">IF(A281="N/A"," ",IF(ISERROR(N281),B269*Pwresc,N281)*VLOOKUP(MONTH(A281),Curveadj,3))</f>
        <v> </v>
      </c>
      <c r="C281" s="397" t="str">
        <f aca="false">IF(A281="N/A"," ",(IF(AND(Scaler3=1,MONTH(A281)&gt;=6,MONTH(A281)&lt;=8,OR($M$37="REGION 2",$M$37="REGION 2A",$M$37="REGION 2B",$M$37="REGION 3",$M$37="REGION 3A",$M$37="REGION 3B",$M$37="REGION 3C",$M$37="REGION 4",$M$37="REGION 4B",$M$37="REGION 4C",$M$37="REGION 5",$M$37="REGION 5A")),((0.059228/(B281/100))-(0.4980013/(SQRT(B281/100)))+2.137988),HLOOKUP(MONTH(A281),ScalarTable,28))))</f>
        <v> </v>
      </c>
      <c r="D281" s="398" t="str">
        <f aca="false">IF(A281="N/A"," ",C281*B281)</f>
        <v> </v>
      </c>
      <c r="E281" s="396" t="str">
        <f aca="false">IF(A281="N/A"," ",IF(ISERROR(O281),E269*Pwresc,O281)*VLOOKUP(MONTH(A281),Curveadj,3))</f>
        <v> </v>
      </c>
      <c r="F281" s="398" t="str">
        <f aca="false">IF(A281="N/A"," ",E281*C281)</f>
        <v> </v>
      </c>
      <c r="G281" s="396" t="str">
        <f aca="false">IF(A281="N/A"," ",IF(ISERROR(P281),G269*Pwresc,P281)*VLOOKUP(MONTH(A281),Curveadj,3))</f>
        <v> </v>
      </c>
      <c r="H281" s="398" t="str">
        <f aca="false">IF(A281="N/A"," ",G281*C281)</f>
        <v> </v>
      </c>
      <c r="I281" s="398" t="str">
        <f aca="false">IF(A281="N/A"," ",IF(ISERROR(Q281),I269*Pwresc,Q281))</f>
        <v> </v>
      </c>
      <c r="J281" s="398"/>
      <c r="K281" s="399"/>
      <c r="L281" s="399"/>
      <c r="M281" s="404"/>
      <c r="N281" s="401" t="str">
        <f aca="false">IF(A281="N/A"," ",VLOOKUP(A281,PeakPowerCurves,(IF(BMO3=2,3,IF(BMO3=1,2,4))),FALSE()))</f>
        <v> </v>
      </c>
      <c r="O281" s="401" t="str">
        <f aca="false">IF(A281="N/A"," ",VLOOKUP(A281,SatSunPeakPwr,(IF(BMO3=2,3,IF(BMO3=1,2,4))),FALSE()))</f>
        <v> </v>
      </c>
      <c r="P281" s="401" t="str">
        <f aca="false">IF(A281="N/A"," ",VLOOKUP(A281,SatSunPeakPwr,(IF(BMO3=2,7,IF(BMO3=1,6,8))),FALSE()))</f>
        <v> </v>
      </c>
      <c r="Q281" s="402" t="str">
        <f aca="false">IF(A281="N/A"," ",(VLOOKUP(A281,OPPowerPrices,(IF(BMO3=2,7,IF(BMO3=1,6,8))),FALSE())))</f>
        <v> </v>
      </c>
      <c r="R281" s="403" t="str">
        <f aca="false">IF(A281="N/A"," ",(VLOOKUP($A281,IRTable,2)))</f>
        <v> </v>
      </c>
      <c r="AF281" s="352" t="n">
        <f aca="false">EOMONTH(AF280,0)+1</f>
        <v>44986</v>
      </c>
      <c r="AG281" s="311" t="n">
        <v>21</v>
      </c>
      <c r="AH281" s="311" t="n">
        <v>5</v>
      </c>
      <c r="AI281" s="311" t="n">
        <v>5</v>
      </c>
      <c r="AJ281" s="311" t="n">
        <v>0</v>
      </c>
      <c r="AK281" s="311" t="n">
        <v>31</v>
      </c>
      <c r="AU281" s="406"/>
    </row>
    <row r="282" customFormat="false" ht="12.75" hidden="false" customHeight="false" outlineLevel="0" collapsed="false">
      <c r="A282" s="352" t="str">
        <f aca="false">Option3!A249</f>
        <v>N/A</v>
      </c>
      <c r="B282" s="396" t="str">
        <f aca="false">IF(A282="N/A"," ",IF(ISERROR(N282),B270*Pwresc,N282)*VLOOKUP(MONTH(A282),Curveadj,3))</f>
        <v> </v>
      </c>
      <c r="C282" s="397" t="str">
        <f aca="false">IF(A282="N/A"," ",(IF(AND(Scaler3=1,MONTH(A282)&gt;=6,MONTH(A282)&lt;=8,OR($M$37="REGION 2",$M$37="REGION 2A",$M$37="REGION 2B",$M$37="REGION 3",$M$37="REGION 3A",$M$37="REGION 3B",$M$37="REGION 3C",$M$37="REGION 4",$M$37="REGION 4B",$M$37="REGION 4C",$M$37="REGION 5",$M$37="REGION 5A")),((0.059228/(B282/100))-(0.4980013/(SQRT(B282/100)))+2.137988),HLOOKUP(MONTH(A282),ScalarTable,28))))</f>
        <v> </v>
      </c>
      <c r="D282" s="398" t="str">
        <f aca="false">IF(A282="N/A"," ",C282*B282)</f>
        <v> </v>
      </c>
      <c r="E282" s="396" t="str">
        <f aca="false">IF(A282="N/A"," ",IF(ISERROR(O282),E270*Pwresc,O282)*VLOOKUP(MONTH(A282),Curveadj,3))</f>
        <v> </v>
      </c>
      <c r="F282" s="398" t="str">
        <f aca="false">IF(A282="N/A"," ",E282*C282)</f>
        <v> </v>
      </c>
      <c r="G282" s="396" t="str">
        <f aca="false">IF(A282="N/A"," ",IF(ISERROR(P282),G270*Pwresc,P282)*VLOOKUP(MONTH(A282),Curveadj,3))</f>
        <v> </v>
      </c>
      <c r="H282" s="398" t="str">
        <f aca="false">IF(A282="N/A"," ",G282*C282)</f>
        <v> </v>
      </c>
      <c r="I282" s="398" t="str">
        <f aca="false">IF(A282="N/A"," ",IF(ISERROR(Q282),I270*Pwresc,Q282))</f>
        <v> </v>
      </c>
      <c r="J282" s="398"/>
      <c r="K282" s="399"/>
      <c r="L282" s="399"/>
      <c r="M282" s="404"/>
      <c r="N282" s="401" t="str">
        <f aca="false">IF(A282="N/A"," ",VLOOKUP(A282,PeakPowerCurves,(IF(BMO3=2,3,IF(BMO3=1,2,4))),FALSE()))</f>
        <v> </v>
      </c>
      <c r="O282" s="401" t="str">
        <f aca="false">IF(A282="N/A"," ",VLOOKUP(A282,SatSunPeakPwr,(IF(BMO3=2,3,IF(BMO3=1,2,4))),FALSE()))</f>
        <v> </v>
      </c>
      <c r="P282" s="401" t="str">
        <f aca="false">IF(A282="N/A"," ",VLOOKUP(A282,SatSunPeakPwr,(IF(BMO3=2,7,IF(BMO3=1,6,8))),FALSE()))</f>
        <v> </v>
      </c>
      <c r="Q282" s="402" t="str">
        <f aca="false">IF(A282="N/A"," ",(VLOOKUP(A282,OPPowerPrices,(IF(BMO3=2,7,IF(BMO3=1,6,8))),FALSE())))</f>
        <v> </v>
      </c>
      <c r="R282" s="403" t="str">
        <f aca="false">IF(A282="N/A"," ",(VLOOKUP($A282,IRTable,2)))</f>
        <v> </v>
      </c>
      <c r="AF282" s="352" t="n">
        <f aca="false">EOMONTH(AF281,0)+1</f>
        <v>45017</v>
      </c>
      <c r="AG282" s="311" t="n">
        <v>22</v>
      </c>
      <c r="AH282" s="311" t="n">
        <v>4</v>
      </c>
      <c r="AI282" s="311" t="n">
        <v>4</v>
      </c>
      <c r="AJ282" s="311" t="n">
        <v>0</v>
      </c>
      <c r="AK282" s="311" t="n">
        <v>30</v>
      </c>
      <c r="AU282" s="406"/>
    </row>
    <row r="283" customFormat="false" ht="12.75" hidden="false" customHeight="false" outlineLevel="0" collapsed="false">
      <c r="A283" s="352" t="str">
        <f aca="false">Option3!A250</f>
        <v>N/A</v>
      </c>
      <c r="B283" s="396" t="str">
        <f aca="false">IF(A283="N/A"," ",IF(ISERROR(N283),B271*Pwresc,N283)*VLOOKUP(MONTH(A283),Curveadj,3))</f>
        <v> </v>
      </c>
      <c r="C283" s="397" t="str">
        <f aca="false">IF(A283="N/A"," ",(IF(AND(Scaler3=1,MONTH(A283)&gt;=6,MONTH(A283)&lt;=8,OR($M$37="REGION 2",$M$37="REGION 2A",$M$37="REGION 2B",$M$37="REGION 3",$M$37="REGION 3A",$M$37="REGION 3B",$M$37="REGION 3C",$M$37="REGION 4",$M$37="REGION 4B",$M$37="REGION 4C",$M$37="REGION 5",$M$37="REGION 5A")),((0.059228/(B283/100))-(0.4980013/(SQRT(B283/100)))+2.137988),HLOOKUP(MONTH(A283),ScalarTable,28))))</f>
        <v> </v>
      </c>
      <c r="D283" s="398" t="str">
        <f aca="false">IF(A283="N/A"," ",C283*B283)</f>
        <v> </v>
      </c>
      <c r="E283" s="396" t="str">
        <f aca="false">IF(A283="N/A"," ",IF(ISERROR(O283),E271*Pwresc,O283)*VLOOKUP(MONTH(A283),Curveadj,3))</f>
        <v> </v>
      </c>
      <c r="F283" s="398" t="str">
        <f aca="false">IF(A283="N/A"," ",E283*C283)</f>
        <v> </v>
      </c>
      <c r="G283" s="396" t="str">
        <f aca="false">IF(A283="N/A"," ",IF(ISERROR(P283),G271*Pwresc,P283)*VLOOKUP(MONTH(A283),Curveadj,3))</f>
        <v> </v>
      </c>
      <c r="H283" s="398" t="str">
        <f aca="false">IF(A283="N/A"," ",G283*C283)</f>
        <v> </v>
      </c>
      <c r="I283" s="398" t="str">
        <f aca="false">IF(A283="N/A"," ",IF(ISERROR(Q283),I271*Pwresc,Q283))</f>
        <v> </v>
      </c>
      <c r="J283" s="398"/>
      <c r="K283" s="399"/>
      <c r="L283" s="399"/>
      <c r="M283" s="404"/>
      <c r="N283" s="401" t="str">
        <f aca="false">IF(A283="N/A"," ",VLOOKUP(A283,PeakPowerCurves,(IF(BMO3=2,3,IF(BMO3=1,2,4))),FALSE()))</f>
        <v> </v>
      </c>
      <c r="O283" s="401" t="str">
        <f aca="false">IF(A283="N/A"," ",VLOOKUP(A283,SatSunPeakPwr,(IF(BMO3=2,3,IF(BMO3=1,2,4))),FALSE()))</f>
        <v> </v>
      </c>
      <c r="P283" s="401" t="str">
        <f aca="false">IF(A283="N/A"," ",VLOOKUP(A283,SatSunPeakPwr,(IF(BMO3=2,7,IF(BMO3=1,6,8))),FALSE()))</f>
        <v> </v>
      </c>
      <c r="Q283" s="402" t="str">
        <f aca="false">IF(A283="N/A"," ",(VLOOKUP(A283,OPPowerPrices,(IF(BMO3=2,7,IF(BMO3=1,6,8))),FALSE())))</f>
        <v> </v>
      </c>
      <c r="R283" s="403" t="str">
        <f aca="false">IF(A283="N/A"," ",(VLOOKUP($A283,IRTable,2)))</f>
        <v> </v>
      </c>
      <c r="AF283" s="352" t="n">
        <f aca="false">EOMONTH(AF282,0)+1</f>
        <v>45047</v>
      </c>
      <c r="AG283" s="311" t="n">
        <v>22</v>
      </c>
      <c r="AH283" s="311" t="n">
        <v>4</v>
      </c>
      <c r="AI283" s="311" t="n">
        <v>5</v>
      </c>
      <c r="AJ283" s="311" t="n">
        <v>1</v>
      </c>
      <c r="AK283" s="311" t="n">
        <v>31</v>
      </c>
      <c r="AU283" s="406"/>
    </row>
    <row r="284" customFormat="false" ht="12.75" hidden="false" customHeight="false" outlineLevel="0" collapsed="false">
      <c r="A284" s="352" t="str">
        <f aca="false">Option3!A251</f>
        <v>N/A</v>
      </c>
      <c r="B284" s="396" t="str">
        <f aca="false">IF(A284="N/A"," ",IF(ISERROR(N284),B272*Pwresc,N284)*VLOOKUP(MONTH(A284),Curveadj,3))</f>
        <v> </v>
      </c>
      <c r="C284" s="397" t="str">
        <f aca="false">IF(A284="N/A"," ",(IF(AND(Scaler3=1,MONTH(A284)&gt;=6,MONTH(A284)&lt;=8,OR($M$37="REGION 2",$M$37="REGION 2A",$M$37="REGION 2B",$M$37="REGION 3",$M$37="REGION 3A",$M$37="REGION 3B",$M$37="REGION 3C",$M$37="REGION 4",$M$37="REGION 4B",$M$37="REGION 4C",$M$37="REGION 5",$M$37="REGION 5A")),((0.059228/(B284/100))-(0.4980013/(SQRT(B284/100)))+2.137988),HLOOKUP(MONTH(A284),ScalarTable,28))))</f>
        <v> </v>
      </c>
      <c r="D284" s="398" t="str">
        <f aca="false">IF(A284="N/A"," ",C284*B284)</f>
        <v> </v>
      </c>
      <c r="E284" s="396" t="str">
        <f aca="false">IF(A284="N/A"," ",IF(ISERROR(O284),E272*Pwresc,O284)*VLOOKUP(MONTH(A284),Curveadj,3))</f>
        <v> </v>
      </c>
      <c r="F284" s="398" t="str">
        <f aca="false">IF(A284="N/A"," ",E284*C284)</f>
        <v> </v>
      </c>
      <c r="G284" s="396" t="str">
        <f aca="false">IF(A284="N/A"," ",IF(ISERROR(P284),G272*Pwresc,P284)*VLOOKUP(MONTH(A284),Curveadj,3))</f>
        <v> </v>
      </c>
      <c r="H284" s="398" t="str">
        <f aca="false">IF(A284="N/A"," ",G284*C284)</f>
        <v> </v>
      </c>
      <c r="I284" s="398" t="str">
        <f aca="false">IF(A284="N/A"," ",IF(ISERROR(Q284),I272*Pwresc,Q284))</f>
        <v> </v>
      </c>
      <c r="J284" s="398"/>
      <c r="K284" s="399"/>
      <c r="L284" s="399"/>
      <c r="M284" s="404"/>
      <c r="N284" s="401" t="str">
        <f aca="false">IF(A284="N/A"," ",VLOOKUP(A284,PeakPowerCurves,(IF(BMO3=2,3,IF(BMO3=1,2,4))),FALSE()))</f>
        <v> </v>
      </c>
      <c r="O284" s="401" t="str">
        <f aca="false">IF(A284="N/A"," ",VLOOKUP(A284,SatSunPeakPwr,(IF(BMO3=2,3,IF(BMO3=1,2,4))),FALSE()))</f>
        <v> </v>
      </c>
      <c r="P284" s="401" t="str">
        <f aca="false">IF(A284="N/A"," ",VLOOKUP(A284,SatSunPeakPwr,(IF(BMO3=2,7,IF(BMO3=1,6,8))),FALSE()))</f>
        <v> </v>
      </c>
      <c r="Q284" s="402" t="str">
        <f aca="false">IF(A284="N/A"," ",(VLOOKUP(A284,OPPowerPrices,(IF(BMO3=2,7,IF(BMO3=1,6,8))),FALSE())))</f>
        <v> </v>
      </c>
      <c r="R284" s="403" t="str">
        <f aca="false">IF(A284="N/A"," ",(VLOOKUP($A284,IRTable,2)))</f>
        <v> </v>
      </c>
      <c r="AF284" s="352" t="n">
        <f aca="false">EOMONTH(AF283,0)+1</f>
        <v>45078</v>
      </c>
      <c r="AG284" s="311" t="n">
        <v>20</v>
      </c>
      <c r="AH284" s="311" t="n">
        <v>5</v>
      </c>
      <c r="AI284" s="311" t="n">
        <v>5</v>
      </c>
      <c r="AJ284" s="311" t="n">
        <v>0</v>
      </c>
      <c r="AK284" s="311" t="n">
        <v>30</v>
      </c>
      <c r="AU284" s="406"/>
    </row>
    <row r="285" customFormat="false" ht="12.75" hidden="false" customHeight="false" outlineLevel="0" collapsed="false">
      <c r="A285" s="352" t="str">
        <f aca="false">Option3!A252</f>
        <v>N/A</v>
      </c>
      <c r="B285" s="396" t="str">
        <f aca="false">IF(A285="N/A"," ",IF(ISERROR(N285),B273*Pwresc,N285)*VLOOKUP(MONTH(A285),Curveadj,3))</f>
        <v> </v>
      </c>
      <c r="C285" s="397" t="str">
        <f aca="false">IF(A285="N/A"," ",(IF(AND(Scaler3=1,MONTH(A285)&gt;=6,MONTH(A285)&lt;=8,OR($M$37="REGION 2",$M$37="REGION 2A",$M$37="REGION 2B",$M$37="REGION 3",$M$37="REGION 3A",$M$37="REGION 3B",$M$37="REGION 3C",$M$37="REGION 4",$M$37="REGION 4B",$M$37="REGION 4C",$M$37="REGION 5",$M$37="REGION 5A")),((0.059228/(B285/100))-(0.4980013/(SQRT(B285/100)))+2.137988),HLOOKUP(MONTH(A285),ScalarTable,28))))</f>
        <v> </v>
      </c>
      <c r="D285" s="398" t="str">
        <f aca="false">IF(A285="N/A"," ",C285*B285)</f>
        <v> </v>
      </c>
      <c r="E285" s="396" t="str">
        <f aca="false">IF(A285="N/A"," ",IF(ISERROR(O285),E273*Pwresc,O285)*VLOOKUP(MONTH(A285),Curveadj,3))</f>
        <v> </v>
      </c>
      <c r="F285" s="398" t="str">
        <f aca="false">IF(A285="N/A"," ",E285*C285)</f>
        <v> </v>
      </c>
      <c r="G285" s="396" t="str">
        <f aca="false">IF(A285="N/A"," ",IF(ISERROR(P285),G273*Pwresc,P285)*VLOOKUP(MONTH(A285),Curveadj,3))</f>
        <v> </v>
      </c>
      <c r="H285" s="398" t="str">
        <f aca="false">IF(A285="N/A"," ",G285*C285)</f>
        <v> </v>
      </c>
      <c r="I285" s="398" t="str">
        <f aca="false">IF(A285="N/A"," ",IF(ISERROR(Q285),I273*Pwresc,Q285))</f>
        <v> </v>
      </c>
      <c r="J285" s="398"/>
      <c r="K285" s="399"/>
      <c r="L285" s="399"/>
      <c r="M285" s="404"/>
      <c r="N285" s="401" t="str">
        <f aca="false">IF(A285="N/A"," ",VLOOKUP(A285,PeakPowerCurves,(IF(BMO3=2,3,IF(BMO3=1,2,4))),FALSE()))</f>
        <v> </v>
      </c>
      <c r="O285" s="401" t="str">
        <f aca="false">IF(A285="N/A"," ",VLOOKUP(A285,SatSunPeakPwr,(IF(BMO3=2,3,IF(BMO3=1,2,4))),FALSE()))</f>
        <v> </v>
      </c>
      <c r="P285" s="401" t="str">
        <f aca="false">IF(A285="N/A"," ",VLOOKUP(A285,SatSunPeakPwr,(IF(BMO3=2,7,IF(BMO3=1,6,8))),FALSE()))</f>
        <v> </v>
      </c>
      <c r="Q285" s="402" t="str">
        <f aca="false">IF(A285="N/A"," ",(VLOOKUP(A285,OPPowerPrices,(IF(BMO3=2,7,IF(BMO3=1,6,8))),FALSE())))</f>
        <v> </v>
      </c>
      <c r="R285" s="403" t="str">
        <f aca="false">IF(A285="N/A"," ",(VLOOKUP($A285,IRTable,2)))</f>
        <v> </v>
      </c>
      <c r="AF285" s="352" t="n">
        <f aca="false">EOMONTH(AF284,0)+1</f>
        <v>45108</v>
      </c>
      <c r="AG285" s="311" t="n">
        <v>22</v>
      </c>
      <c r="AH285" s="311" t="n">
        <v>4</v>
      </c>
      <c r="AI285" s="311" t="n">
        <v>5</v>
      </c>
      <c r="AJ285" s="311" t="n">
        <v>1</v>
      </c>
      <c r="AK285" s="311" t="n">
        <v>31</v>
      </c>
      <c r="AU285" s="406"/>
    </row>
    <row r="286" customFormat="false" ht="12.75" hidden="false" customHeight="false" outlineLevel="0" collapsed="false">
      <c r="A286" s="352" t="str">
        <f aca="false">Option3!A253</f>
        <v>N/A</v>
      </c>
      <c r="B286" s="396" t="str">
        <f aca="false">IF(A286="N/A"," ",IF(ISERROR(N286),B274*Pwresc,N286)*VLOOKUP(MONTH(A286),Curveadj,3))</f>
        <v> </v>
      </c>
      <c r="C286" s="397" t="str">
        <f aca="false">IF(A286="N/A"," ",(IF(AND(Scaler3=1,MONTH(A286)&gt;=6,MONTH(A286)&lt;=8,OR($M$37="REGION 2",$M$37="REGION 2A",$M$37="REGION 2B",$M$37="REGION 3",$M$37="REGION 3A",$M$37="REGION 3B",$M$37="REGION 3C",$M$37="REGION 4",$M$37="REGION 4B",$M$37="REGION 4C",$M$37="REGION 5",$M$37="REGION 5A")),((0.059228/(B286/100))-(0.4980013/(SQRT(B286/100)))+2.137988),HLOOKUP(MONTH(A286),ScalarTable,28))))</f>
        <v> </v>
      </c>
      <c r="D286" s="398" t="str">
        <f aca="false">IF(A286="N/A"," ",C286*B286)</f>
        <v> </v>
      </c>
      <c r="E286" s="396" t="str">
        <f aca="false">IF(A286="N/A"," ",IF(ISERROR(O286),E274*Pwresc,O286)*VLOOKUP(MONTH(A286),Curveadj,3))</f>
        <v> </v>
      </c>
      <c r="F286" s="398" t="str">
        <f aca="false">IF(A286="N/A"," ",E286*C286)</f>
        <v> </v>
      </c>
      <c r="G286" s="396" t="str">
        <f aca="false">IF(A286="N/A"," ",IF(ISERROR(P286),G274*Pwresc,P286)*VLOOKUP(MONTH(A286),Curveadj,3))</f>
        <v> </v>
      </c>
      <c r="H286" s="398" t="str">
        <f aca="false">IF(A286="N/A"," ",G286*C286)</f>
        <v> </v>
      </c>
      <c r="I286" s="398" t="str">
        <f aca="false">IF(A286="N/A"," ",IF(ISERROR(Q286),I274*Pwresc,Q286))</f>
        <v> </v>
      </c>
      <c r="J286" s="398"/>
      <c r="K286" s="399"/>
      <c r="L286" s="399"/>
      <c r="M286" s="404"/>
      <c r="N286" s="401" t="str">
        <f aca="false">IF(A286="N/A"," ",VLOOKUP(A286,PeakPowerCurves,(IF(BMO3=2,3,IF(BMO3=1,2,4))),FALSE()))</f>
        <v> </v>
      </c>
      <c r="O286" s="401" t="str">
        <f aca="false">IF(A286="N/A"," ",VLOOKUP(A286,SatSunPeakPwr,(IF(BMO3=2,3,IF(BMO3=1,2,4))),FALSE()))</f>
        <v> </v>
      </c>
      <c r="P286" s="401" t="str">
        <f aca="false">IF(A286="N/A"," ",VLOOKUP(A286,SatSunPeakPwr,(IF(BMO3=2,7,IF(BMO3=1,6,8))),FALSE()))</f>
        <v> </v>
      </c>
      <c r="Q286" s="402" t="str">
        <f aca="false">IF(A286="N/A"," ",(VLOOKUP(A286,OPPowerPrices,(IF(BMO3=2,7,IF(BMO3=1,6,8))),FALSE())))</f>
        <v> </v>
      </c>
      <c r="R286" s="403" t="str">
        <f aca="false">IF(A286="N/A"," ",(VLOOKUP($A286,IRTable,2)))</f>
        <v> </v>
      </c>
      <c r="AF286" s="352" t="n">
        <f aca="false">EOMONTH(AF285,0)+1</f>
        <v>45139</v>
      </c>
      <c r="AG286" s="311" t="n">
        <v>22</v>
      </c>
      <c r="AH286" s="311" t="n">
        <v>5</v>
      </c>
      <c r="AI286" s="311" t="n">
        <v>4</v>
      </c>
      <c r="AJ286" s="311" t="n">
        <v>0</v>
      </c>
      <c r="AK286" s="311" t="n">
        <v>31</v>
      </c>
      <c r="AU286" s="406"/>
    </row>
    <row r="287" customFormat="false" ht="12.75" hidden="false" customHeight="false" outlineLevel="0" collapsed="false">
      <c r="A287" s="352" t="str">
        <f aca="false">Option3!A254</f>
        <v>N/A</v>
      </c>
      <c r="B287" s="396" t="str">
        <f aca="false">IF(A287="N/A"," ",IF(ISERROR(N287),B275*Pwresc,N287)*VLOOKUP(MONTH(A287),Curveadj,3))</f>
        <v> </v>
      </c>
      <c r="C287" s="397" t="str">
        <f aca="false">IF(A287="N/A"," ",(IF(AND(Scaler3=1,MONTH(A287)&gt;=6,MONTH(A287)&lt;=8,OR($M$37="REGION 2",$M$37="REGION 2A",$M$37="REGION 2B",$M$37="REGION 3",$M$37="REGION 3A",$M$37="REGION 3B",$M$37="REGION 3C",$M$37="REGION 4",$M$37="REGION 4B",$M$37="REGION 4C",$M$37="REGION 5",$M$37="REGION 5A")),((0.059228/(B287/100))-(0.4980013/(SQRT(B287/100)))+2.137988),HLOOKUP(MONTH(A287),ScalarTable,28))))</f>
        <v> </v>
      </c>
      <c r="D287" s="398" t="str">
        <f aca="false">IF(A287="N/A"," ",C287*B287)</f>
        <v> </v>
      </c>
      <c r="E287" s="396" t="str">
        <f aca="false">IF(A287="N/A"," ",IF(ISERROR(O287),E275*Pwresc,O287)*VLOOKUP(MONTH(A287),Curveadj,3))</f>
        <v> </v>
      </c>
      <c r="F287" s="398" t="str">
        <f aca="false">IF(A287="N/A"," ",E287*C287)</f>
        <v> </v>
      </c>
      <c r="G287" s="396" t="str">
        <f aca="false">IF(A287="N/A"," ",IF(ISERROR(P287),G275*Pwresc,P287)*VLOOKUP(MONTH(A287),Curveadj,3))</f>
        <v> </v>
      </c>
      <c r="H287" s="398" t="str">
        <f aca="false">IF(A287="N/A"," ",G287*C287)</f>
        <v> </v>
      </c>
      <c r="I287" s="398" t="str">
        <f aca="false">IF(A287="N/A"," ",IF(ISERROR(Q287),I275*Pwresc,Q287))</f>
        <v> </v>
      </c>
      <c r="J287" s="398"/>
      <c r="K287" s="399"/>
      <c r="L287" s="399"/>
      <c r="M287" s="404"/>
      <c r="N287" s="401" t="str">
        <f aca="false">IF(A287="N/A"," ",VLOOKUP(A287,PeakPowerCurves,(IF(BMO3=2,3,IF(BMO3=1,2,4))),FALSE()))</f>
        <v> </v>
      </c>
      <c r="O287" s="401" t="str">
        <f aca="false">IF(A287="N/A"," ",VLOOKUP(A287,SatSunPeakPwr,(IF(BMO3=2,3,IF(BMO3=1,2,4))),FALSE()))</f>
        <v> </v>
      </c>
      <c r="P287" s="401" t="str">
        <f aca="false">IF(A287="N/A"," ",VLOOKUP(A287,SatSunPeakPwr,(IF(BMO3=2,7,IF(BMO3=1,6,8))),FALSE()))</f>
        <v> </v>
      </c>
      <c r="Q287" s="402" t="str">
        <f aca="false">IF(A287="N/A"," ",(VLOOKUP(A287,OPPowerPrices,(IF(BMO3=2,7,IF(BMO3=1,6,8))),FALSE())))</f>
        <v> </v>
      </c>
      <c r="R287" s="403" t="str">
        <f aca="false">IF(A287="N/A"," ",(VLOOKUP($A287,IRTable,2)))</f>
        <v> </v>
      </c>
      <c r="AF287" s="352" t="n">
        <f aca="false">EOMONTH(AF286,0)+1</f>
        <v>45170</v>
      </c>
      <c r="AG287" s="311" t="n">
        <v>20</v>
      </c>
      <c r="AH287" s="311" t="n">
        <v>4</v>
      </c>
      <c r="AI287" s="311" t="n">
        <v>6</v>
      </c>
      <c r="AJ287" s="311" t="n">
        <v>1</v>
      </c>
      <c r="AK287" s="311" t="n">
        <v>30</v>
      </c>
      <c r="AU287" s="406"/>
    </row>
    <row r="288" customFormat="false" ht="12.75" hidden="false" customHeight="false" outlineLevel="0" collapsed="false">
      <c r="A288" s="352" t="str">
        <f aca="false">Option3!A255</f>
        <v>N/A</v>
      </c>
      <c r="B288" s="396" t="str">
        <f aca="false">IF(A288="N/A"," ",IF(ISERROR(N288),B276*Pwresc,N288)*VLOOKUP(MONTH(A288),Curveadj,3))</f>
        <v> </v>
      </c>
      <c r="C288" s="397" t="str">
        <f aca="false">IF(A288="N/A"," ",(IF(AND(Scaler3=1,MONTH(A288)&gt;=6,MONTH(A288)&lt;=8,OR($M$37="REGION 2",$M$37="REGION 2A",$M$37="REGION 2B",$M$37="REGION 3",$M$37="REGION 3A",$M$37="REGION 3B",$M$37="REGION 3C",$M$37="REGION 4",$M$37="REGION 4B",$M$37="REGION 4C",$M$37="REGION 5",$M$37="REGION 5A")),((0.059228/(B288/100))-(0.4980013/(SQRT(B288/100)))+2.137988),HLOOKUP(MONTH(A288),ScalarTable,28))))</f>
        <v> </v>
      </c>
      <c r="D288" s="398" t="str">
        <f aca="false">IF(A288="N/A"," ",C288*B288)</f>
        <v> </v>
      </c>
      <c r="E288" s="396" t="str">
        <f aca="false">IF(A288="N/A"," ",IF(ISERROR(O288),E276*Pwresc,O288)*VLOOKUP(MONTH(A288),Curveadj,3))</f>
        <v> </v>
      </c>
      <c r="F288" s="398" t="str">
        <f aca="false">IF(A288="N/A"," ",E288*C288)</f>
        <v> </v>
      </c>
      <c r="G288" s="396" t="str">
        <f aca="false">IF(A288="N/A"," ",IF(ISERROR(P288),G276*Pwresc,P288)*VLOOKUP(MONTH(A288),Curveadj,3))</f>
        <v> </v>
      </c>
      <c r="H288" s="398" t="str">
        <f aca="false">IF(A288="N/A"," ",G288*C288)</f>
        <v> </v>
      </c>
      <c r="I288" s="398" t="str">
        <f aca="false">IF(A288="N/A"," ",IF(ISERROR(Q288),I276*Pwresc,Q288))</f>
        <v> </v>
      </c>
      <c r="J288" s="398"/>
      <c r="K288" s="399"/>
      <c r="L288" s="399"/>
      <c r="M288" s="404"/>
      <c r="N288" s="401" t="str">
        <f aca="false">IF(A288="N/A"," ",VLOOKUP(A288,PeakPowerCurves,(IF(BMO3=2,3,IF(BMO3=1,2,4))),FALSE()))</f>
        <v> </v>
      </c>
      <c r="O288" s="401" t="str">
        <f aca="false">IF(A288="N/A"," ",VLOOKUP(A288,SatSunPeakPwr,(IF(BMO3=2,3,IF(BMO3=1,2,4))),FALSE()))</f>
        <v> </v>
      </c>
      <c r="P288" s="401" t="str">
        <f aca="false">IF(A288="N/A"," ",VLOOKUP(A288,SatSunPeakPwr,(IF(BMO3=2,7,IF(BMO3=1,6,8))),FALSE()))</f>
        <v> </v>
      </c>
      <c r="Q288" s="402" t="str">
        <f aca="false">IF(A288="N/A"," ",(VLOOKUP(A288,OPPowerPrices,(IF(BMO3=2,7,IF(BMO3=1,6,8))),FALSE())))</f>
        <v> </v>
      </c>
      <c r="R288" s="403" t="str">
        <f aca="false">IF(A288="N/A"," ",(VLOOKUP($A288,IRTable,2)))</f>
        <v> </v>
      </c>
      <c r="AF288" s="352" t="n">
        <f aca="false">EOMONTH(AF287,0)+1</f>
        <v>45200</v>
      </c>
      <c r="AG288" s="311" t="n">
        <v>23</v>
      </c>
      <c r="AH288" s="311" t="n">
        <v>4</v>
      </c>
      <c r="AI288" s="311" t="n">
        <v>4</v>
      </c>
      <c r="AJ288" s="311" t="n">
        <v>0</v>
      </c>
      <c r="AK288" s="311" t="n">
        <v>31</v>
      </c>
      <c r="AU288" s="406"/>
    </row>
    <row r="289" customFormat="false" ht="12.75" hidden="false" customHeight="false" outlineLevel="0" collapsed="false">
      <c r="A289" s="408"/>
      <c r="B289" s="396"/>
      <c r="C289" s="409"/>
      <c r="D289" s="410"/>
      <c r="E289" s="396"/>
      <c r="F289" s="410"/>
      <c r="G289" s="396"/>
      <c r="H289" s="410"/>
      <c r="I289" s="410"/>
      <c r="J289" s="411"/>
      <c r="K289" s="399"/>
      <c r="L289" s="399"/>
      <c r="M289" s="73"/>
      <c r="N289" s="396"/>
      <c r="O289" s="396"/>
      <c r="P289" s="396"/>
      <c r="Q289" s="410"/>
      <c r="R289" s="411"/>
      <c r="S289" s="411"/>
      <c r="T289" s="411"/>
      <c r="AF289" s="352" t="n">
        <f aca="false">EOMONTH(AF288,0)+1</f>
        <v>45231</v>
      </c>
      <c r="AG289" s="311" t="n">
        <v>20</v>
      </c>
      <c r="AH289" s="311" t="n">
        <v>5</v>
      </c>
      <c r="AI289" s="311" t="n">
        <v>5</v>
      </c>
      <c r="AJ289" s="311" t="n">
        <v>1</v>
      </c>
      <c r="AK289" s="311" t="n">
        <v>30</v>
      </c>
      <c r="AL289" s="311"/>
      <c r="AM289" s="336"/>
    </row>
    <row r="290" customFormat="false" ht="12.75" hidden="false" customHeight="false" outlineLevel="0" collapsed="false">
      <c r="A290" s="408"/>
      <c r="B290" s="396"/>
      <c r="C290" s="409"/>
      <c r="D290" s="410"/>
      <c r="E290" s="396"/>
      <c r="F290" s="410"/>
      <c r="G290" s="396"/>
      <c r="H290" s="410"/>
      <c r="I290" s="410"/>
      <c r="J290" s="411"/>
      <c r="K290" s="399"/>
      <c r="L290" s="399"/>
      <c r="M290" s="73"/>
      <c r="N290" s="396"/>
      <c r="O290" s="396"/>
      <c r="P290" s="396"/>
      <c r="Q290" s="410"/>
      <c r="R290" s="411"/>
      <c r="S290" s="411"/>
      <c r="T290" s="411"/>
      <c r="AF290" s="352" t="n">
        <f aca="false">EOMONTH(AF289,0)+1</f>
        <v>45261</v>
      </c>
      <c r="AG290" s="311" t="n">
        <v>21</v>
      </c>
      <c r="AH290" s="311" t="n">
        <v>4</v>
      </c>
      <c r="AI290" s="311" t="n">
        <v>6</v>
      </c>
      <c r="AJ290" s="311" t="n">
        <v>1</v>
      </c>
      <c r="AK290" s="311" t="n">
        <v>31</v>
      </c>
      <c r="AL290" s="311"/>
      <c r="AM290" s="336"/>
    </row>
    <row r="291" customFormat="false" ht="12.75" hidden="false" customHeight="false" outlineLevel="0" collapsed="false">
      <c r="A291" s="408"/>
      <c r="B291" s="396"/>
      <c r="C291" s="409"/>
      <c r="D291" s="410"/>
      <c r="E291" s="396"/>
      <c r="F291" s="410"/>
      <c r="G291" s="396"/>
      <c r="H291" s="410"/>
      <c r="I291" s="410"/>
      <c r="J291" s="411"/>
      <c r="K291" s="399"/>
      <c r="L291" s="399"/>
      <c r="M291" s="73"/>
      <c r="N291" s="396"/>
      <c r="O291" s="396"/>
      <c r="P291" s="396"/>
      <c r="Q291" s="410"/>
      <c r="R291" s="411"/>
      <c r="S291" s="411"/>
      <c r="T291" s="411"/>
      <c r="AF291" s="352" t="n">
        <f aca="false">EOMONTH(AF290,0)+1</f>
        <v>45292</v>
      </c>
      <c r="AG291" s="311" t="n">
        <v>22</v>
      </c>
      <c r="AH291" s="311" t="n">
        <v>4</v>
      </c>
      <c r="AI291" s="311" t="n">
        <v>5</v>
      </c>
      <c r="AJ291" s="311" t="n">
        <v>1</v>
      </c>
      <c r="AK291" s="311" t="n">
        <v>31</v>
      </c>
      <c r="AL291" s="311"/>
      <c r="AM291" s="336"/>
    </row>
    <row r="292" customFormat="false" ht="12.75" hidden="false" customHeight="false" outlineLevel="0" collapsed="false">
      <c r="A292" s="408"/>
      <c r="B292" s="396"/>
      <c r="C292" s="409"/>
      <c r="D292" s="410"/>
      <c r="E292" s="396"/>
      <c r="F292" s="410"/>
      <c r="G292" s="396"/>
      <c r="H292" s="410"/>
      <c r="I292" s="410"/>
      <c r="J292" s="411"/>
      <c r="K292" s="399"/>
      <c r="L292" s="399"/>
      <c r="M292" s="73"/>
      <c r="N292" s="396"/>
      <c r="O292" s="396"/>
      <c r="P292" s="396"/>
      <c r="Q292" s="410"/>
      <c r="R292" s="411"/>
      <c r="S292" s="411"/>
      <c r="T292" s="411"/>
      <c r="AF292" s="352" t="n">
        <f aca="false">EOMONTH(AF291,0)+1</f>
        <v>45323</v>
      </c>
      <c r="AG292" s="311" t="n">
        <v>20</v>
      </c>
      <c r="AH292" s="311" t="n">
        <v>5</v>
      </c>
      <c r="AI292" s="311" t="n">
        <v>4</v>
      </c>
      <c r="AJ292" s="311" t="n">
        <v>0</v>
      </c>
      <c r="AK292" s="311" t="n">
        <v>29</v>
      </c>
      <c r="AL292" s="311"/>
      <c r="AM292" s="336"/>
    </row>
    <row r="293" customFormat="false" ht="12.75" hidden="false" customHeight="false" outlineLevel="0" collapsed="false">
      <c r="A293" s="408"/>
      <c r="B293" s="396"/>
      <c r="C293" s="409"/>
      <c r="D293" s="410"/>
      <c r="E293" s="396"/>
      <c r="F293" s="410"/>
      <c r="G293" s="396"/>
      <c r="H293" s="410"/>
      <c r="I293" s="410"/>
      <c r="J293" s="411"/>
      <c r="K293" s="399"/>
      <c r="L293" s="399"/>
      <c r="M293" s="73"/>
      <c r="N293" s="396"/>
      <c r="O293" s="396"/>
      <c r="P293" s="396"/>
      <c r="Q293" s="410"/>
      <c r="R293" s="411"/>
      <c r="S293" s="411"/>
      <c r="T293" s="411"/>
      <c r="AF293" s="352" t="n">
        <f aca="false">EOMONTH(AF292,0)+1</f>
        <v>45352</v>
      </c>
      <c r="AG293" s="311" t="n">
        <v>22</v>
      </c>
      <c r="AH293" s="311" t="n">
        <v>4</v>
      </c>
      <c r="AI293" s="311" t="n">
        <v>5</v>
      </c>
      <c r="AJ293" s="311" t="n">
        <v>0</v>
      </c>
      <c r="AK293" s="311" t="n">
        <v>31</v>
      </c>
      <c r="AL293" s="311"/>
      <c r="AM293" s="336"/>
    </row>
    <row r="294" customFormat="false" ht="12.75" hidden="false" customHeight="false" outlineLevel="0" collapsed="false">
      <c r="A294" s="408"/>
      <c r="B294" s="396"/>
      <c r="C294" s="409"/>
      <c r="D294" s="410"/>
      <c r="E294" s="396"/>
      <c r="F294" s="410"/>
      <c r="G294" s="396"/>
      <c r="H294" s="410"/>
      <c r="I294" s="410"/>
      <c r="J294" s="411"/>
      <c r="K294" s="399"/>
      <c r="L294" s="399"/>
      <c r="M294" s="73"/>
      <c r="N294" s="396"/>
      <c r="O294" s="396"/>
      <c r="P294" s="396"/>
      <c r="Q294" s="410"/>
      <c r="R294" s="411"/>
      <c r="S294" s="411"/>
      <c r="T294" s="411"/>
      <c r="AF294" s="352" t="n">
        <f aca="false">EOMONTH(AF293,0)+1</f>
        <v>45383</v>
      </c>
      <c r="AG294" s="311" t="n">
        <v>22</v>
      </c>
      <c r="AH294" s="311" t="n">
        <v>4</v>
      </c>
      <c r="AI294" s="311" t="n">
        <v>4</v>
      </c>
      <c r="AJ294" s="311" t="n">
        <v>0</v>
      </c>
      <c r="AK294" s="311" t="n">
        <v>30</v>
      </c>
      <c r="AL294" s="311"/>
      <c r="AM294" s="336"/>
    </row>
    <row r="295" customFormat="false" ht="12.75" hidden="false" customHeight="false" outlineLevel="0" collapsed="false">
      <c r="A295" s="408"/>
      <c r="B295" s="396"/>
      <c r="C295" s="409"/>
      <c r="D295" s="410"/>
      <c r="E295" s="396"/>
      <c r="F295" s="410"/>
      <c r="G295" s="396"/>
      <c r="H295" s="410"/>
      <c r="I295" s="410"/>
      <c r="J295" s="411"/>
      <c r="K295" s="399"/>
      <c r="L295" s="399"/>
      <c r="M295" s="73"/>
      <c r="N295" s="396"/>
      <c r="O295" s="396"/>
      <c r="P295" s="396"/>
      <c r="Q295" s="410"/>
      <c r="R295" s="411"/>
      <c r="S295" s="411"/>
      <c r="T295" s="411"/>
      <c r="AF295" s="352" t="n">
        <f aca="false">EOMONTH(AF294,0)+1</f>
        <v>45413</v>
      </c>
      <c r="AG295" s="311" t="n">
        <v>20</v>
      </c>
      <c r="AH295" s="311" t="n">
        <v>5</v>
      </c>
      <c r="AI295" s="311" t="n">
        <v>6</v>
      </c>
      <c r="AJ295" s="311" t="n">
        <v>1</v>
      </c>
      <c r="AK295" s="311" t="n">
        <v>31</v>
      </c>
      <c r="AL295" s="311"/>
      <c r="AM295" s="336"/>
    </row>
    <row r="296" customFormat="false" ht="12.75" hidden="false" customHeight="false" outlineLevel="0" collapsed="false">
      <c r="A296" s="408"/>
      <c r="B296" s="396"/>
      <c r="C296" s="409"/>
      <c r="D296" s="410"/>
      <c r="E296" s="396"/>
      <c r="F296" s="410"/>
      <c r="G296" s="396"/>
      <c r="H296" s="410"/>
      <c r="I296" s="410"/>
      <c r="J296" s="411"/>
      <c r="K296" s="399"/>
      <c r="L296" s="399"/>
      <c r="M296" s="73"/>
      <c r="N296" s="396"/>
      <c r="O296" s="396"/>
      <c r="P296" s="396"/>
      <c r="Q296" s="410"/>
      <c r="R296" s="411"/>
      <c r="S296" s="411"/>
      <c r="T296" s="411"/>
      <c r="AF296" s="352" t="n">
        <f aca="false">EOMONTH(AF295,0)+1</f>
        <v>45444</v>
      </c>
      <c r="AG296" s="311" t="n">
        <v>22</v>
      </c>
      <c r="AH296" s="311" t="n">
        <v>4</v>
      </c>
      <c r="AI296" s="311" t="n">
        <v>4</v>
      </c>
      <c r="AJ296" s="311" t="n">
        <v>0</v>
      </c>
      <c r="AK296" s="311" t="n">
        <v>30</v>
      </c>
      <c r="AL296" s="311"/>
      <c r="AM296" s="336"/>
    </row>
    <row r="297" customFormat="false" ht="12.75" hidden="false" customHeight="false" outlineLevel="0" collapsed="false">
      <c r="A297" s="408"/>
      <c r="B297" s="396"/>
      <c r="C297" s="409"/>
      <c r="D297" s="410"/>
      <c r="E297" s="396"/>
      <c r="F297" s="410"/>
      <c r="G297" s="396"/>
      <c r="H297" s="410"/>
      <c r="I297" s="410"/>
      <c r="J297" s="411"/>
      <c r="K297" s="399"/>
      <c r="L297" s="399"/>
      <c r="M297" s="73"/>
      <c r="N297" s="396"/>
      <c r="O297" s="396"/>
      <c r="P297" s="396"/>
      <c r="Q297" s="410"/>
      <c r="R297" s="411"/>
      <c r="S297" s="411"/>
      <c r="T297" s="411"/>
      <c r="AF297" s="352" t="n">
        <f aca="false">EOMONTH(AF296,0)+1</f>
        <v>45474</v>
      </c>
      <c r="AG297" s="311" t="n">
        <v>23</v>
      </c>
      <c r="AH297" s="311" t="n">
        <v>3</v>
      </c>
      <c r="AI297" s="311" t="n">
        <v>5</v>
      </c>
      <c r="AJ297" s="311" t="n">
        <v>1</v>
      </c>
      <c r="AK297" s="311" t="n">
        <v>31</v>
      </c>
      <c r="AL297" s="311"/>
      <c r="AM297" s="336"/>
    </row>
    <row r="298" customFormat="false" ht="12.75" hidden="false" customHeight="false" outlineLevel="0" collapsed="false">
      <c r="A298" s="408"/>
      <c r="B298" s="396"/>
      <c r="C298" s="409"/>
      <c r="D298" s="410"/>
      <c r="E298" s="396"/>
      <c r="F298" s="410"/>
      <c r="G298" s="396"/>
      <c r="H298" s="410"/>
      <c r="I298" s="410"/>
      <c r="J298" s="411"/>
      <c r="K298" s="399"/>
      <c r="L298" s="399"/>
      <c r="M298" s="73"/>
      <c r="N298" s="396"/>
      <c r="O298" s="396"/>
      <c r="P298" s="396"/>
      <c r="Q298" s="410"/>
      <c r="R298" s="411"/>
      <c r="S298" s="411"/>
      <c r="T298" s="411"/>
      <c r="AF298" s="352" t="n">
        <f aca="false">EOMONTH(AF297,0)+1</f>
        <v>45505</v>
      </c>
      <c r="AG298" s="311" t="n">
        <v>21</v>
      </c>
      <c r="AH298" s="311" t="n">
        <v>5</v>
      </c>
      <c r="AI298" s="311" t="n">
        <v>5</v>
      </c>
      <c r="AJ298" s="311" t="n">
        <v>0</v>
      </c>
      <c r="AK298" s="311" t="n">
        <v>31</v>
      </c>
      <c r="AL298" s="311"/>
      <c r="AM298" s="336"/>
    </row>
    <row r="299" customFormat="false" ht="12.75" hidden="false" customHeight="false" outlineLevel="0" collapsed="false">
      <c r="A299" s="408"/>
      <c r="B299" s="396"/>
      <c r="C299" s="409"/>
      <c r="D299" s="410"/>
      <c r="E299" s="396"/>
      <c r="F299" s="410"/>
      <c r="G299" s="396"/>
      <c r="H299" s="410"/>
      <c r="I299" s="410"/>
      <c r="J299" s="411"/>
      <c r="K299" s="399"/>
      <c r="L299" s="399"/>
      <c r="M299" s="73"/>
      <c r="N299" s="396"/>
      <c r="O299" s="396"/>
      <c r="P299" s="396"/>
      <c r="Q299" s="410"/>
      <c r="R299" s="411"/>
      <c r="S299" s="411"/>
      <c r="T299" s="411"/>
      <c r="AF299" s="352" t="n">
        <f aca="false">EOMONTH(AF298,0)+1</f>
        <v>45536</v>
      </c>
      <c r="AG299" s="311" t="n">
        <v>21</v>
      </c>
      <c r="AH299" s="311" t="n">
        <v>4</v>
      </c>
      <c r="AI299" s="311" t="n">
        <v>5</v>
      </c>
      <c r="AJ299" s="311" t="n">
        <v>1</v>
      </c>
      <c r="AK299" s="311" t="n">
        <v>30</v>
      </c>
      <c r="AL299" s="311"/>
      <c r="AM299" s="336"/>
    </row>
    <row r="300" customFormat="false" ht="12.75" hidden="false" customHeight="false" outlineLevel="0" collapsed="false">
      <c r="A300" s="408"/>
      <c r="B300" s="396"/>
      <c r="C300" s="409"/>
      <c r="D300" s="410"/>
      <c r="E300" s="396"/>
      <c r="F300" s="410"/>
      <c r="G300" s="396"/>
      <c r="H300" s="410"/>
      <c r="I300" s="410"/>
      <c r="J300" s="411"/>
      <c r="K300" s="399"/>
      <c r="L300" s="399"/>
      <c r="M300" s="73"/>
      <c r="N300" s="396"/>
      <c r="O300" s="396"/>
      <c r="P300" s="396"/>
      <c r="Q300" s="410"/>
      <c r="R300" s="411"/>
      <c r="S300" s="411"/>
      <c r="T300" s="411"/>
      <c r="AF300" s="352" t="n">
        <f aca="false">EOMONTH(AF299,0)+1</f>
        <v>45566</v>
      </c>
      <c r="AG300" s="311" t="n">
        <v>22</v>
      </c>
      <c r="AH300" s="311" t="n">
        <v>5</v>
      </c>
      <c r="AI300" s="311" t="n">
        <v>4</v>
      </c>
      <c r="AJ300" s="311" t="n">
        <v>0</v>
      </c>
      <c r="AK300" s="311" t="n">
        <v>31</v>
      </c>
      <c r="AL300" s="311"/>
      <c r="AM300" s="336"/>
    </row>
    <row r="301" customFormat="false" ht="12.75" hidden="false" customHeight="false" outlineLevel="0" collapsed="false">
      <c r="A301" s="408"/>
      <c r="B301" s="396"/>
      <c r="C301" s="409"/>
      <c r="D301" s="410"/>
      <c r="E301" s="396"/>
      <c r="F301" s="410"/>
      <c r="G301" s="396"/>
      <c r="H301" s="410"/>
      <c r="I301" s="410"/>
      <c r="J301" s="411"/>
      <c r="K301" s="399"/>
      <c r="L301" s="399"/>
      <c r="M301" s="73"/>
      <c r="N301" s="396"/>
      <c r="O301" s="396"/>
      <c r="P301" s="396"/>
      <c r="Q301" s="410"/>
      <c r="R301" s="411"/>
      <c r="S301" s="411"/>
      <c r="T301" s="411"/>
      <c r="AF301" s="352" t="n">
        <f aca="false">EOMONTH(AF300,0)+1</f>
        <v>45597</v>
      </c>
      <c r="AG301" s="311" t="n">
        <v>20</v>
      </c>
      <c r="AH301" s="311" t="n">
        <v>4</v>
      </c>
      <c r="AI301" s="311" t="n">
        <v>6</v>
      </c>
      <c r="AJ301" s="311" t="n">
        <v>1</v>
      </c>
      <c r="AK301" s="311" t="n">
        <v>30</v>
      </c>
      <c r="AL301" s="311"/>
      <c r="AM301" s="336"/>
    </row>
    <row r="302" customFormat="false" ht="12.75" hidden="false" customHeight="false" outlineLevel="0" collapsed="false">
      <c r="A302" s="408"/>
      <c r="B302" s="396"/>
      <c r="C302" s="409"/>
      <c r="D302" s="410"/>
      <c r="E302" s="396"/>
      <c r="F302" s="410"/>
      <c r="G302" s="396"/>
      <c r="H302" s="410"/>
      <c r="I302" s="410"/>
      <c r="J302" s="411"/>
      <c r="K302" s="399"/>
      <c r="L302" s="399"/>
      <c r="M302" s="73"/>
      <c r="N302" s="396"/>
      <c r="O302" s="396"/>
      <c r="P302" s="396"/>
      <c r="Q302" s="410"/>
      <c r="R302" s="411"/>
      <c r="S302" s="411"/>
      <c r="T302" s="411"/>
      <c r="AF302" s="352" t="n">
        <f aca="false">EOMONTH(AF301,0)+1</f>
        <v>45627</v>
      </c>
      <c r="AG302" s="311" t="n">
        <v>22</v>
      </c>
      <c r="AH302" s="311" t="n">
        <v>4</v>
      </c>
      <c r="AI302" s="311" t="n">
        <v>5</v>
      </c>
      <c r="AJ302" s="311" t="n">
        <v>1</v>
      </c>
      <c r="AK302" s="311" t="n">
        <v>31</v>
      </c>
      <c r="AL302" s="311"/>
      <c r="AM302" s="336"/>
    </row>
    <row r="303" customFormat="false" ht="12.75" hidden="false" customHeight="false" outlineLevel="0" collapsed="false">
      <c r="A303" s="408"/>
      <c r="B303" s="396"/>
      <c r="C303" s="409"/>
      <c r="D303" s="410"/>
      <c r="E303" s="396"/>
      <c r="F303" s="410"/>
      <c r="G303" s="396"/>
      <c r="H303" s="410"/>
      <c r="I303" s="410"/>
      <c r="J303" s="411"/>
      <c r="K303" s="399"/>
      <c r="L303" s="399"/>
      <c r="M303" s="73"/>
      <c r="N303" s="396"/>
      <c r="O303" s="396"/>
      <c r="P303" s="396"/>
      <c r="Q303" s="410"/>
      <c r="R303" s="411"/>
      <c r="S303" s="411"/>
      <c r="T303" s="411"/>
      <c r="AF303" s="352" t="n">
        <f aca="false">EOMONTH(AF302,0)+1</f>
        <v>45658</v>
      </c>
      <c r="AG303" s="311" t="n">
        <v>22</v>
      </c>
      <c r="AH303" s="311" t="n">
        <v>4</v>
      </c>
      <c r="AI303" s="311" t="n">
        <v>5</v>
      </c>
      <c r="AJ303" s="311" t="n">
        <v>1</v>
      </c>
      <c r="AK303" s="311" t="n">
        <v>31</v>
      </c>
      <c r="AL303" s="311"/>
      <c r="AM303" s="336"/>
    </row>
    <row r="304" customFormat="false" ht="12.75" hidden="false" customHeight="false" outlineLevel="0" collapsed="false">
      <c r="A304" s="408"/>
      <c r="B304" s="396"/>
      <c r="C304" s="409"/>
      <c r="D304" s="410"/>
      <c r="E304" s="396"/>
      <c r="F304" s="410"/>
      <c r="G304" s="396"/>
      <c r="H304" s="410"/>
      <c r="I304" s="410"/>
      <c r="J304" s="411"/>
      <c r="K304" s="399"/>
      <c r="L304" s="399"/>
      <c r="M304" s="73"/>
      <c r="N304" s="396"/>
      <c r="O304" s="396"/>
      <c r="P304" s="396"/>
      <c r="Q304" s="410"/>
      <c r="R304" s="411"/>
      <c r="S304" s="411"/>
      <c r="T304" s="411"/>
      <c r="AF304" s="352" t="n">
        <f aca="false">EOMONTH(AF303,0)+1</f>
        <v>45689</v>
      </c>
      <c r="AG304" s="311" t="n">
        <v>20</v>
      </c>
      <c r="AH304" s="311" t="n">
        <v>4</v>
      </c>
      <c r="AI304" s="311" t="n">
        <v>4</v>
      </c>
      <c r="AJ304" s="311" t="n">
        <v>0</v>
      </c>
      <c r="AK304" s="311" t="n">
        <v>28</v>
      </c>
      <c r="AL304" s="311"/>
      <c r="AM304" s="336"/>
    </row>
    <row r="305" customFormat="false" ht="12.75" hidden="false" customHeight="false" outlineLevel="0" collapsed="false">
      <c r="A305" s="408"/>
      <c r="B305" s="396"/>
      <c r="C305" s="409"/>
      <c r="D305" s="410"/>
      <c r="E305" s="396"/>
      <c r="F305" s="410"/>
      <c r="G305" s="396"/>
      <c r="H305" s="410"/>
      <c r="I305" s="410"/>
      <c r="J305" s="411"/>
      <c r="K305" s="399"/>
      <c r="L305" s="399"/>
      <c r="M305" s="73"/>
      <c r="N305" s="396"/>
      <c r="O305" s="396"/>
      <c r="P305" s="396"/>
      <c r="Q305" s="410"/>
      <c r="R305" s="411"/>
      <c r="S305" s="411"/>
      <c r="T305" s="411"/>
      <c r="AF305" s="352" t="n">
        <f aca="false">EOMONTH(AF304,0)+1</f>
        <v>45717</v>
      </c>
      <c r="AG305" s="311" t="n">
        <v>21</v>
      </c>
      <c r="AH305" s="311" t="n">
        <v>5</v>
      </c>
      <c r="AI305" s="311" t="n">
        <v>5</v>
      </c>
      <c r="AJ305" s="311" t="n">
        <v>0</v>
      </c>
      <c r="AK305" s="311" t="n">
        <v>31</v>
      </c>
      <c r="AL305" s="311"/>
      <c r="AM305" s="336"/>
    </row>
    <row r="306" customFormat="false" ht="12.75" hidden="false" customHeight="false" outlineLevel="0" collapsed="false">
      <c r="A306" s="408"/>
      <c r="B306" s="396"/>
      <c r="C306" s="409"/>
      <c r="D306" s="410"/>
      <c r="E306" s="396"/>
      <c r="F306" s="410"/>
      <c r="G306" s="396"/>
      <c r="H306" s="410"/>
      <c r="I306" s="410"/>
      <c r="J306" s="411"/>
      <c r="K306" s="399"/>
      <c r="L306" s="399"/>
      <c r="M306" s="73"/>
      <c r="N306" s="396"/>
      <c r="O306" s="396"/>
      <c r="P306" s="396"/>
      <c r="Q306" s="410"/>
      <c r="R306" s="411"/>
      <c r="S306" s="411"/>
      <c r="T306" s="411"/>
      <c r="AF306" s="352" t="n">
        <f aca="false">EOMONTH(AF305,0)+1</f>
        <v>45748</v>
      </c>
      <c r="AG306" s="311" t="n">
        <v>22</v>
      </c>
      <c r="AH306" s="311" t="n">
        <v>4</v>
      </c>
      <c r="AI306" s="311" t="n">
        <v>4</v>
      </c>
      <c r="AJ306" s="311" t="n">
        <v>0</v>
      </c>
      <c r="AK306" s="311" t="n">
        <v>30</v>
      </c>
      <c r="AL306" s="311"/>
      <c r="AM306" s="336"/>
    </row>
    <row r="307" customFormat="false" ht="12.75" hidden="false" customHeight="false" outlineLevel="0" collapsed="false">
      <c r="A307" s="408"/>
      <c r="B307" s="396"/>
      <c r="C307" s="409"/>
      <c r="D307" s="410"/>
      <c r="E307" s="396"/>
      <c r="F307" s="410"/>
      <c r="G307" s="396"/>
      <c r="H307" s="410"/>
      <c r="I307" s="410"/>
      <c r="J307" s="411"/>
      <c r="K307" s="399"/>
      <c r="L307" s="399"/>
      <c r="M307" s="73"/>
      <c r="N307" s="396"/>
      <c r="O307" s="396"/>
      <c r="P307" s="396"/>
      <c r="Q307" s="410"/>
      <c r="R307" s="411"/>
      <c r="S307" s="411"/>
      <c r="T307" s="411"/>
      <c r="AF307" s="352" t="n">
        <f aca="false">EOMONTH(AF306,0)+1</f>
        <v>45778</v>
      </c>
      <c r="AG307" s="311" t="n">
        <v>22</v>
      </c>
      <c r="AH307" s="311" t="n">
        <v>4</v>
      </c>
      <c r="AI307" s="311" t="n">
        <v>5</v>
      </c>
      <c r="AJ307" s="311" t="n">
        <v>1</v>
      </c>
      <c r="AK307" s="311" t="n">
        <v>31</v>
      </c>
      <c r="AL307" s="311"/>
      <c r="AM307" s="336"/>
    </row>
    <row r="308" customFormat="false" ht="12.75" hidden="false" customHeight="false" outlineLevel="0" collapsed="false">
      <c r="A308" s="408"/>
      <c r="B308" s="396"/>
      <c r="C308" s="409"/>
      <c r="D308" s="410"/>
      <c r="E308" s="396"/>
      <c r="F308" s="410"/>
      <c r="G308" s="396"/>
      <c r="H308" s="410"/>
      <c r="I308" s="410"/>
      <c r="J308" s="411"/>
      <c r="K308" s="399"/>
      <c r="L308" s="399"/>
      <c r="M308" s="73"/>
      <c r="N308" s="396"/>
      <c r="O308" s="396"/>
      <c r="P308" s="396"/>
      <c r="Q308" s="410"/>
      <c r="R308" s="411"/>
      <c r="S308" s="411"/>
      <c r="T308" s="411"/>
      <c r="AF308" s="352" t="n">
        <f aca="false">EOMONTH(AF307,0)+1</f>
        <v>45809</v>
      </c>
      <c r="AG308" s="311" t="n">
        <v>20</v>
      </c>
      <c r="AH308" s="311" t="n">
        <v>5</v>
      </c>
      <c r="AI308" s="311" t="n">
        <v>5</v>
      </c>
      <c r="AJ308" s="311" t="n">
        <v>0</v>
      </c>
      <c r="AK308" s="311" t="n">
        <v>30</v>
      </c>
      <c r="AL308" s="311"/>
      <c r="AM308" s="336"/>
    </row>
    <row r="309" customFormat="false" ht="12.75" hidden="false" customHeight="false" outlineLevel="0" collapsed="false">
      <c r="A309" s="408"/>
      <c r="B309" s="396"/>
      <c r="C309" s="409"/>
      <c r="D309" s="410"/>
      <c r="E309" s="396"/>
      <c r="F309" s="410"/>
      <c r="G309" s="396"/>
      <c r="H309" s="410"/>
      <c r="I309" s="410"/>
      <c r="J309" s="411"/>
      <c r="K309" s="399"/>
      <c r="L309" s="399"/>
      <c r="M309" s="73"/>
      <c r="N309" s="396"/>
      <c r="O309" s="396"/>
      <c r="P309" s="396"/>
      <c r="Q309" s="410"/>
      <c r="R309" s="411"/>
      <c r="S309" s="411"/>
      <c r="T309" s="411"/>
      <c r="AF309" s="352" t="n">
        <f aca="false">EOMONTH(AF308,0)+1</f>
        <v>45839</v>
      </c>
      <c r="AG309" s="311" t="n">
        <v>22</v>
      </c>
      <c r="AH309" s="311" t="n">
        <v>4</v>
      </c>
      <c r="AI309" s="311" t="n">
        <v>5</v>
      </c>
      <c r="AJ309" s="311" t="n">
        <v>1</v>
      </c>
      <c r="AK309" s="311" t="n">
        <v>31</v>
      </c>
      <c r="AL309" s="311"/>
      <c r="AM309" s="336"/>
    </row>
    <row r="310" customFormat="false" ht="12.75" hidden="false" customHeight="false" outlineLevel="0" collapsed="false">
      <c r="A310" s="408"/>
      <c r="B310" s="396"/>
      <c r="C310" s="409"/>
      <c r="D310" s="410"/>
      <c r="E310" s="396"/>
      <c r="F310" s="410"/>
      <c r="G310" s="396"/>
      <c r="H310" s="410"/>
      <c r="I310" s="410"/>
      <c r="J310" s="411"/>
      <c r="K310" s="399"/>
      <c r="L310" s="399"/>
      <c r="M310" s="73"/>
      <c r="N310" s="396"/>
      <c r="O310" s="396"/>
      <c r="P310" s="396"/>
      <c r="Q310" s="410"/>
      <c r="R310" s="411"/>
      <c r="S310" s="411"/>
      <c r="T310" s="411"/>
      <c r="AF310" s="352" t="n">
        <f aca="false">EOMONTH(AF309,0)+1</f>
        <v>45870</v>
      </c>
      <c r="AG310" s="311" t="n">
        <v>22</v>
      </c>
      <c r="AH310" s="311" t="n">
        <v>5</v>
      </c>
      <c r="AI310" s="311" t="n">
        <v>4</v>
      </c>
      <c r="AJ310" s="311" t="n">
        <v>0</v>
      </c>
      <c r="AK310" s="311" t="n">
        <v>31</v>
      </c>
      <c r="AL310" s="311"/>
      <c r="AM310" s="336"/>
    </row>
    <row r="311" customFormat="false" ht="12.75" hidden="false" customHeight="false" outlineLevel="0" collapsed="false">
      <c r="A311" s="408"/>
      <c r="B311" s="396"/>
      <c r="C311" s="409"/>
      <c r="D311" s="410"/>
      <c r="E311" s="396"/>
      <c r="F311" s="410"/>
      <c r="G311" s="396"/>
      <c r="H311" s="410"/>
      <c r="I311" s="410"/>
      <c r="J311" s="411"/>
      <c r="K311" s="399"/>
      <c r="L311" s="399"/>
      <c r="M311" s="73"/>
      <c r="N311" s="396"/>
      <c r="O311" s="396"/>
      <c r="P311" s="396"/>
      <c r="Q311" s="410"/>
      <c r="R311" s="411"/>
      <c r="S311" s="411"/>
      <c r="T311" s="411"/>
      <c r="AF311" s="352" t="n">
        <f aca="false">EOMONTH(AF310,0)+1</f>
        <v>45901</v>
      </c>
      <c r="AG311" s="311" t="n">
        <v>20</v>
      </c>
      <c r="AH311" s="311" t="n">
        <v>4</v>
      </c>
      <c r="AI311" s="311" t="n">
        <v>6</v>
      </c>
      <c r="AJ311" s="311" t="n">
        <v>1</v>
      </c>
      <c r="AK311" s="311" t="n">
        <v>30</v>
      </c>
      <c r="AL311" s="311"/>
      <c r="AM311" s="336"/>
    </row>
    <row r="312" customFormat="false" ht="12.75" hidden="false" customHeight="false" outlineLevel="0" collapsed="false">
      <c r="A312" s="408"/>
      <c r="B312" s="396"/>
      <c r="C312" s="409"/>
      <c r="D312" s="410"/>
      <c r="E312" s="396"/>
      <c r="F312" s="410"/>
      <c r="G312" s="396"/>
      <c r="H312" s="410"/>
      <c r="I312" s="410"/>
      <c r="J312" s="411"/>
      <c r="K312" s="399"/>
      <c r="L312" s="399"/>
      <c r="M312" s="73"/>
      <c r="N312" s="396"/>
      <c r="O312" s="396"/>
      <c r="P312" s="396"/>
      <c r="Q312" s="410"/>
      <c r="R312" s="411"/>
      <c r="S312" s="411"/>
      <c r="T312" s="411"/>
      <c r="AF312" s="352" t="n">
        <f aca="false">EOMONTH(AF311,0)+1</f>
        <v>45931</v>
      </c>
      <c r="AG312" s="311" t="n">
        <v>23</v>
      </c>
      <c r="AH312" s="311" t="n">
        <v>4</v>
      </c>
      <c r="AI312" s="311" t="n">
        <v>4</v>
      </c>
      <c r="AJ312" s="311" t="n">
        <v>0</v>
      </c>
      <c r="AK312" s="311" t="n">
        <v>31</v>
      </c>
      <c r="AL312" s="311"/>
      <c r="AM312" s="336"/>
    </row>
    <row r="313" customFormat="false" ht="12.75" hidden="false" customHeight="false" outlineLevel="0" collapsed="false">
      <c r="A313" s="408"/>
      <c r="B313" s="396"/>
      <c r="C313" s="409"/>
      <c r="D313" s="410"/>
      <c r="E313" s="396"/>
      <c r="F313" s="410"/>
      <c r="G313" s="396"/>
      <c r="H313" s="410"/>
      <c r="I313" s="410"/>
      <c r="J313" s="411"/>
      <c r="K313" s="399"/>
      <c r="L313" s="399"/>
      <c r="M313" s="73"/>
      <c r="N313" s="396"/>
      <c r="O313" s="396"/>
      <c r="P313" s="396"/>
      <c r="Q313" s="410"/>
      <c r="R313" s="411"/>
      <c r="S313" s="411"/>
      <c r="T313" s="411"/>
      <c r="AF313" s="352" t="n">
        <f aca="false">EOMONTH(AF312,0)+1</f>
        <v>45962</v>
      </c>
      <c r="AG313" s="311" t="n">
        <v>20</v>
      </c>
      <c r="AH313" s="311" t="n">
        <v>5</v>
      </c>
      <c r="AI313" s="311" t="n">
        <v>5</v>
      </c>
      <c r="AJ313" s="311" t="n">
        <v>1</v>
      </c>
      <c r="AK313" s="311" t="n">
        <v>30</v>
      </c>
      <c r="AL313" s="311"/>
      <c r="AM313" s="336"/>
    </row>
    <row r="314" customFormat="false" ht="12.75" hidden="false" customHeight="false" outlineLevel="0" collapsed="false">
      <c r="A314" s="408"/>
      <c r="B314" s="396"/>
      <c r="C314" s="409"/>
      <c r="D314" s="410"/>
      <c r="E314" s="396"/>
      <c r="F314" s="410"/>
      <c r="G314" s="396"/>
      <c r="H314" s="410"/>
      <c r="I314" s="410"/>
      <c r="J314" s="411"/>
      <c r="K314" s="399"/>
      <c r="L314" s="399"/>
      <c r="M314" s="73"/>
      <c r="N314" s="396"/>
      <c r="O314" s="396"/>
      <c r="P314" s="396"/>
      <c r="Q314" s="410"/>
      <c r="R314" s="411"/>
      <c r="S314" s="411"/>
      <c r="T314" s="411"/>
      <c r="AF314" s="352" t="n">
        <f aca="false">EOMONTH(AF313,0)+1</f>
        <v>45992</v>
      </c>
      <c r="AG314" s="311" t="n">
        <v>21</v>
      </c>
      <c r="AH314" s="311" t="n">
        <v>4</v>
      </c>
      <c r="AI314" s="311" t="n">
        <v>6</v>
      </c>
      <c r="AJ314" s="311" t="n">
        <v>1</v>
      </c>
      <c r="AK314" s="311" t="n">
        <v>31</v>
      </c>
      <c r="AL314" s="311"/>
      <c r="AM314" s="336"/>
    </row>
    <row r="315" customFormat="false" ht="12.75" hidden="false" customHeight="false" outlineLevel="0" collapsed="false">
      <c r="A315" s="408"/>
      <c r="B315" s="396"/>
      <c r="C315" s="409"/>
      <c r="D315" s="410"/>
      <c r="E315" s="396"/>
      <c r="F315" s="410"/>
      <c r="G315" s="396"/>
      <c r="H315" s="410"/>
      <c r="I315" s="410"/>
      <c r="J315" s="411"/>
      <c r="K315" s="399"/>
      <c r="L315" s="399"/>
      <c r="M315" s="73"/>
      <c r="N315" s="396"/>
      <c r="O315" s="396"/>
      <c r="P315" s="396"/>
      <c r="Q315" s="410"/>
      <c r="R315" s="411"/>
      <c r="S315" s="411"/>
      <c r="T315" s="411"/>
      <c r="AF315" s="352" t="n">
        <f aca="false">EOMONTH(AF314,0)+1</f>
        <v>46023</v>
      </c>
      <c r="AG315" s="311" t="n">
        <v>22</v>
      </c>
      <c r="AH315" s="311" t="n">
        <v>4</v>
      </c>
      <c r="AI315" s="311" t="n">
        <v>5</v>
      </c>
      <c r="AJ315" s="311" t="n">
        <v>1</v>
      </c>
      <c r="AK315" s="311" t="n">
        <v>31</v>
      </c>
      <c r="AL315" s="311"/>
      <c r="AM315" s="336"/>
    </row>
    <row r="316" customFormat="false" ht="12.75" hidden="false" customHeight="false" outlineLevel="0" collapsed="false">
      <c r="A316" s="408"/>
      <c r="B316" s="396"/>
      <c r="C316" s="409"/>
      <c r="D316" s="410"/>
      <c r="E316" s="396"/>
      <c r="F316" s="410"/>
      <c r="G316" s="396"/>
      <c r="H316" s="410"/>
      <c r="I316" s="410"/>
      <c r="J316" s="411"/>
      <c r="K316" s="399"/>
      <c r="L316" s="399"/>
      <c r="M316" s="73"/>
      <c r="N316" s="396"/>
      <c r="O316" s="396"/>
      <c r="P316" s="396"/>
      <c r="Q316" s="410"/>
      <c r="R316" s="411"/>
      <c r="S316" s="411"/>
      <c r="T316" s="411"/>
      <c r="AF316" s="352" t="n">
        <f aca="false">EOMONTH(AF315,0)+1</f>
        <v>46054</v>
      </c>
      <c r="AG316" s="311" t="n">
        <v>20</v>
      </c>
      <c r="AH316" s="311" t="n">
        <v>4</v>
      </c>
      <c r="AI316" s="311" t="n">
        <v>4</v>
      </c>
      <c r="AJ316" s="311" t="n">
        <v>0</v>
      </c>
      <c r="AK316" s="311" t="n">
        <v>28</v>
      </c>
      <c r="AL316" s="311"/>
      <c r="AM316" s="336"/>
    </row>
    <row r="317" customFormat="false" ht="12.75" hidden="false" customHeight="false" outlineLevel="0" collapsed="false">
      <c r="A317" s="408"/>
      <c r="B317" s="396"/>
      <c r="C317" s="409"/>
      <c r="D317" s="410"/>
      <c r="E317" s="396"/>
      <c r="F317" s="410"/>
      <c r="G317" s="396"/>
      <c r="H317" s="410"/>
      <c r="I317" s="410"/>
      <c r="J317" s="411"/>
      <c r="K317" s="399"/>
      <c r="L317" s="399"/>
      <c r="M317" s="73"/>
      <c r="N317" s="396"/>
      <c r="O317" s="396"/>
      <c r="P317" s="396"/>
      <c r="Q317" s="410"/>
      <c r="R317" s="411"/>
      <c r="S317" s="411"/>
      <c r="T317" s="411"/>
      <c r="AF317" s="352" t="n">
        <f aca="false">EOMONTH(AF316,0)+1</f>
        <v>46082</v>
      </c>
      <c r="AG317" s="311" t="n">
        <v>21</v>
      </c>
      <c r="AH317" s="311" t="n">
        <v>5</v>
      </c>
      <c r="AI317" s="311" t="n">
        <v>5</v>
      </c>
      <c r="AJ317" s="311" t="n">
        <v>0</v>
      </c>
      <c r="AK317" s="311" t="n">
        <v>31</v>
      </c>
      <c r="AL317" s="311"/>
      <c r="AM317" s="336"/>
    </row>
    <row r="318" customFormat="false" ht="12.75" hidden="false" customHeight="false" outlineLevel="0" collapsed="false">
      <c r="A318" s="408"/>
      <c r="B318" s="396"/>
      <c r="C318" s="409"/>
      <c r="D318" s="410"/>
      <c r="E318" s="396"/>
      <c r="F318" s="410"/>
      <c r="G318" s="396"/>
      <c r="H318" s="410"/>
      <c r="I318" s="410"/>
      <c r="J318" s="411"/>
      <c r="K318" s="399"/>
      <c r="L318" s="399"/>
      <c r="M318" s="73"/>
      <c r="N318" s="396"/>
      <c r="O318" s="396"/>
      <c r="P318" s="396"/>
      <c r="Q318" s="410"/>
      <c r="R318" s="411"/>
      <c r="S318" s="411"/>
      <c r="T318" s="411"/>
      <c r="AF318" s="352" t="n">
        <f aca="false">EOMONTH(AF317,0)+1</f>
        <v>46113</v>
      </c>
      <c r="AG318" s="311" t="n">
        <v>22</v>
      </c>
      <c r="AH318" s="311" t="n">
        <v>4</v>
      </c>
      <c r="AI318" s="311" t="n">
        <v>4</v>
      </c>
      <c r="AJ318" s="311" t="n">
        <v>0</v>
      </c>
      <c r="AK318" s="311" t="n">
        <v>30</v>
      </c>
      <c r="AL318" s="311"/>
      <c r="AM318" s="336"/>
    </row>
    <row r="319" customFormat="false" ht="12.75" hidden="false" customHeight="false" outlineLevel="0" collapsed="false">
      <c r="A319" s="408"/>
      <c r="B319" s="396"/>
      <c r="C319" s="409"/>
      <c r="D319" s="410"/>
      <c r="E319" s="396"/>
      <c r="F319" s="410"/>
      <c r="G319" s="396"/>
      <c r="H319" s="410"/>
      <c r="I319" s="410"/>
      <c r="J319" s="411"/>
      <c r="K319" s="399"/>
      <c r="L319" s="399"/>
      <c r="M319" s="73"/>
      <c r="N319" s="396"/>
      <c r="O319" s="396"/>
      <c r="P319" s="396"/>
      <c r="Q319" s="410"/>
      <c r="R319" s="411"/>
      <c r="S319" s="411"/>
      <c r="T319" s="411"/>
      <c r="AF319" s="352" t="n">
        <f aca="false">EOMONTH(AF318,0)+1</f>
        <v>46143</v>
      </c>
      <c r="AG319" s="311" t="n">
        <v>22</v>
      </c>
      <c r="AH319" s="311" t="n">
        <v>4</v>
      </c>
      <c r="AI319" s="311" t="n">
        <v>5</v>
      </c>
      <c r="AJ319" s="311" t="n">
        <v>1</v>
      </c>
      <c r="AK319" s="311" t="n">
        <v>31</v>
      </c>
      <c r="AL319" s="311"/>
      <c r="AM319" s="336"/>
    </row>
    <row r="320" customFormat="false" ht="12.75" hidden="false" customHeight="false" outlineLevel="0" collapsed="false">
      <c r="A320" s="408"/>
      <c r="B320" s="396"/>
      <c r="C320" s="409"/>
      <c r="D320" s="410"/>
      <c r="E320" s="396"/>
      <c r="F320" s="410"/>
      <c r="G320" s="396"/>
      <c r="H320" s="410"/>
      <c r="I320" s="410"/>
      <c r="J320" s="411"/>
      <c r="K320" s="399"/>
      <c r="L320" s="399"/>
      <c r="M320" s="73"/>
      <c r="N320" s="396"/>
      <c r="O320" s="396"/>
      <c r="P320" s="396"/>
      <c r="Q320" s="410"/>
      <c r="R320" s="411"/>
      <c r="S320" s="411"/>
      <c r="T320" s="411"/>
      <c r="AF320" s="352" t="n">
        <f aca="false">EOMONTH(AF319,0)+1</f>
        <v>46174</v>
      </c>
      <c r="AG320" s="311" t="n">
        <v>20</v>
      </c>
      <c r="AH320" s="311" t="n">
        <v>5</v>
      </c>
      <c r="AI320" s="311" t="n">
        <v>5</v>
      </c>
      <c r="AJ320" s="311" t="n">
        <v>0</v>
      </c>
      <c r="AK320" s="311" t="n">
        <v>30</v>
      </c>
      <c r="AL320" s="311"/>
      <c r="AM320" s="336"/>
    </row>
    <row r="321" customFormat="false" ht="12.75" hidden="false" customHeight="false" outlineLevel="0" collapsed="false">
      <c r="A321" s="408"/>
      <c r="B321" s="396"/>
      <c r="C321" s="409"/>
      <c r="D321" s="410"/>
      <c r="E321" s="396"/>
      <c r="F321" s="410"/>
      <c r="G321" s="396"/>
      <c r="H321" s="410"/>
      <c r="I321" s="410"/>
      <c r="J321" s="411"/>
      <c r="K321" s="399"/>
      <c r="L321" s="399"/>
      <c r="M321" s="73"/>
      <c r="N321" s="396"/>
      <c r="O321" s="396"/>
      <c r="P321" s="396"/>
      <c r="Q321" s="410"/>
      <c r="R321" s="411"/>
      <c r="S321" s="411"/>
      <c r="T321" s="411"/>
      <c r="AF321" s="352" t="n">
        <f aca="false">EOMONTH(AF320,0)+1</f>
        <v>46204</v>
      </c>
      <c r="AG321" s="311" t="n">
        <v>22</v>
      </c>
      <c r="AH321" s="311" t="n">
        <v>4</v>
      </c>
      <c r="AI321" s="311" t="n">
        <v>5</v>
      </c>
      <c r="AJ321" s="311" t="n">
        <v>1</v>
      </c>
      <c r="AK321" s="311" t="n">
        <v>31</v>
      </c>
      <c r="AL321" s="311"/>
      <c r="AM321" s="336"/>
    </row>
    <row r="322" customFormat="false" ht="12.75" hidden="false" customHeight="false" outlineLevel="0" collapsed="false">
      <c r="A322" s="408"/>
      <c r="B322" s="396"/>
      <c r="C322" s="409"/>
      <c r="D322" s="410"/>
      <c r="E322" s="396"/>
      <c r="F322" s="410"/>
      <c r="G322" s="396"/>
      <c r="H322" s="410"/>
      <c r="I322" s="410"/>
      <c r="J322" s="411"/>
      <c r="K322" s="399"/>
      <c r="L322" s="399"/>
      <c r="M322" s="73"/>
      <c r="N322" s="396"/>
      <c r="O322" s="396"/>
      <c r="P322" s="396"/>
      <c r="Q322" s="410"/>
      <c r="R322" s="411"/>
      <c r="S322" s="411"/>
      <c r="T322" s="411"/>
      <c r="AF322" s="352" t="n">
        <f aca="false">EOMONTH(AF321,0)+1</f>
        <v>46235</v>
      </c>
      <c r="AG322" s="311" t="n">
        <v>22</v>
      </c>
      <c r="AH322" s="311" t="n">
        <v>5</v>
      </c>
      <c r="AI322" s="311" t="n">
        <v>4</v>
      </c>
      <c r="AJ322" s="311" t="n">
        <v>0</v>
      </c>
      <c r="AK322" s="311" t="n">
        <v>31</v>
      </c>
      <c r="AL322" s="311"/>
      <c r="AM322" s="336"/>
    </row>
    <row r="323" customFormat="false" ht="12.75" hidden="false" customHeight="false" outlineLevel="0" collapsed="false">
      <c r="A323" s="408"/>
      <c r="B323" s="396"/>
      <c r="C323" s="409"/>
      <c r="D323" s="410"/>
      <c r="E323" s="396"/>
      <c r="F323" s="410"/>
      <c r="G323" s="396"/>
      <c r="H323" s="410"/>
      <c r="I323" s="410"/>
      <c r="J323" s="411"/>
      <c r="K323" s="399"/>
      <c r="L323" s="399"/>
      <c r="M323" s="73"/>
      <c r="N323" s="396"/>
      <c r="O323" s="396"/>
      <c r="P323" s="396"/>
      <c r="Q323" s="410"/>
      <c r="R323" s="411"/>
      <c r="S323" s="411"/>
      <c r="T323" s="411"/>
      <c r="AF323" s="352" t="n">
        <f aca="false">EOMONTH(AF322,0)+1</f>
        <v>46266</v>
      </c>
      <c r="AG323" s="311" t="n">
        <v>20</v>
      </c>
      <c r="AH323" s="311" t="n">
        <v>4</v>
      </c>
      <c r="AI323" s="311" t="n">
        <v>6</v>
      </c>
      <c r="AJ323" s="311" t="n">
        <v>1</v>
      </c>
      <c r="AK323" s="311" t="n">
        <v>30</v>
      </c>
      <c r="AL323" s="311"/>
      <c r="AM323" s="336"/>
    </row>
    <row r="324" customFormat="false" ht="12.75" hidden="false" customHeight="false" outlineLevel="0" collapsed="false">
      <c r="A324" s="408"/>
      <c r="B324" s="396"/>
      <c r="C324" s="409"/>
      <c r="D324" s="410"/>
      <c r="E324" s="396"/>
      <c r="F324" s="410"/>
      <c r="G324" s="396"/>
      <c r="H324" s="410"/>
      <c r="I324" s="410"/>
      <c r="J324" s="411"/>
      <c r="K324" s="399"/>
      <c r="L324" s="399"/>
      <c r="M324" s="73"/>
      <c r="N324" s="396"/>
      <c r="O324" s="396"/>
      <c r="P324" s="396"/>
      <c r="Q324" s="410"/>
      <c r="R324" s="411"/>
      <c r="S324" s="411"/>
      <c r="T324" s="411"/>
      <c r="AF324" s="352" t="n">
        <f aca="false">EOMONTH(AF323,0)+1</f>
        <v>46296</v>
      </c>
      <c r="AG324" s="311" t="n">
        <v>23</v>
      </c>
      <c r="AH324" s="311" t="n">
        <v>4</v>
      </c>
      <c r="AI324" s="311" t="n">
        <v>4</v>
      </c>
      <c r="AJ324" s="311" t="n">
        <v>0</v>
      </c>
      <c r="AK324" s="311" t="n">
        <v>31</v>
      </c>
      <c r="AL324" s="311"/>
      <c r="AM324" s="336"/>
    </row>
    <row r="325" customFormat="false" ht="12.75" hidden="false" customHeight="false" outlineLevel="0" collapsed="false">
      <c r="A325" s="408"/>
      <c r="B325" s="396"/>
      <c r="C325" s="409"/>
      <c r="D325" s="410"/>
      <c r="E325" s="396"/>
      <c r="F325" s="410"/>
      <c r="G325" s="396"/>
      <c r="H325" s="410"/>
      <c r="I325" s="410"/>
      <c r="J325" s="411"/>
      <c r="K325" s="399"/>
      <c r="L325" s="399"/>
      <c r="M325" s="73"/>
      <c r="N325" s="396"/>
      <c r="O325" s="396"/>
      <c r="P325" s="396"/>
      <c r="Q325" s="410"/>
      <c r="R325" s="411"/>
      <c r="S325" s="411"/>
      <c r="T325" s="411"/>
      <c r="AF325" s="352" t="n">
        <f aca="false">EOMONTH(AF324,0)+1</f>
        <v>46327</v>
      </c>
      <c r="AG325" s="311" t="n">
        <v>20</v>
      </c>
      <c r="AH325" s="311" t="n">
        <v>5</v>
      </c>
      <c r="AI325" s="311" t="n">
        <v>5</v>
      </c>
      <c r="AJ325" s="311" t="n">
        <v>1</v>
      </c>
      <c r="AK325" s="311" t="n">
        <v>30</v>
      </c>
      <c r="AL325" s="311"/>
      <c r="AM325" s="336"/>
    </row>
    <row r="326" customFormat="false" ht="12.75" hidden="false" customHeight="false" outlineLevel="0" collapsed="false">
      <c r="A326" s="408"/>
      <c r="B326" s="396"/>
      <c r="C326" s="409"/>
      <c r="D326" s="410"/>
      <c r="E326" s="396"/>
      <c r="F326" s="410"/>
      <c r="G326" s="396"/>
      <c r="H326" s="410"/>
      <c r="I326" s="410"/>
      <c r="J326" s="411"/>
      <c r="K326" s="399"/>
      <c r="L326" s="399"/>
      <c r="M326" s="73"/>
      <c r="N326" s="396"/>
      <c r="O326" s="396"/>
      <c r="P326" s="396"/>
      <c r="Q326" s="410"/>
      <c r="R326" s="411"/>
      <c r="S326" s="411"/>
      <c r="T326" s="411"/>
      <c r="AF326" s="352" t="n">
        <f aca="false">EOMONTH(AF325,0)+1</f>
        <v>46357</v>
      </c>
      <c r="AG326" s="311" t="n">
        <v>21</v>
      </c>
      <c r="AH326" s="311" t="n">
        <v>4</v>
      </c>
      <c r="AI326" s="311" t="n">
        <v>6</v>
      </c>
      <c r="AJ326" s="311" t="n">
        <v>1</v>
      </c>
      <c r="AK326" s="311" t="n">
        <v>31</v>
      </c>
      <c r="AL326" s="311"/>
      <c r="AM326" s="336"/>
    </row>
    <row r="327" customFormat="false" ht="12.75" hidden="false" customHeight="false" outlineLevel="0" collapsed="false">
      <c r="A327" s="408"/>
      <c r="B327" s="396"/>
      <c r="C327" s="409"/>
      <c r="D327" s="410"/>
      <c r="E327" s="396"/>
      <c r="F327" s="410"/>
      <c r="G327" s="396"/>
      <c r="H327" s="410"/>
      <c r="I327" s="410"/>
      <c r="J327" s="411"/>
      <c r="K327" s="399"/>
      <c r="L327" s="399"/>
      <c r="M327" s="73"/>
      <c r="N327" s="396"/>
      <c r="O327" s="396"/>
      <c r="P327" s="396"/>
      <c r="Q327" s="410"/>
      <c r="R327" s="411"/>
      <c r="S327" s="411"/>
      <c r="T327" s="411"/>
      <c r="AF327" s="352" t="n">
        <f aca="false">EOMONTH(AF326,0)+1</f>
        <v>46388</v>
      </c>
      <c r="AG327" s="311" t="n">
        <v>22</v>
      </c>
      <c r="AH327" s="311" t="n">
        <v>4</v>
      </c>
      <c r="AI327" s="311" t="n">
        <v>5</v>
      </c>
      <c r="AJ327" s="311" t="n">
        <v>1</v>
      </c>
      <c r="AK327" s="311" t="n">
        <v>31</v>
      </c>
      <c r="AL327" s="311"/>
      <c r="AM327" s="336"/>
    </row>
    <row r="328" customFormat="false" ht="12.75" hidden="false" customHeight="false" outlineLevel="0" collapsed="false">
      <c r="A328" s="408"/>
      <c r="B328" s="396"/>
      <c r="C328" s="409"/>
      <c r="D328" s="410"/>
      <c r="E328" s="396"/>
      <c r="F328" s="410"/>
      <c r="G328" s="396"/>
      <c r="H328" s="410"/>
      <c r="I328" s="410"/>
      <c r="J328" s="411"/>
      <c r="K328" s="399"/>
      <c r="L328" s="399"/>
      <c r="M328" s="73"/>
      <c r="N328" s="396"/>
      <c r="O328" s="396"/>
      <c r="P328" s="396"/>
      <c r="Q328" s="410"/>
      <c r="R328" s="411"/>
      <c r="S328" s="411"/>
      <c r="T328" s="411"/>
      <c r="AF328" s="352" t="n">
        <f aca="false">EOMONTH(AF327,0)+1</f>
        <v>46419</v>
      </c>
      <c r="AG328" s="311" t="n">
        <v>20</v>
      </c>
      <c r="AH328" s="311" t="n">
        <v>4</v>
      </c>
      <c r="AI328" s="311" t="n">
        <v>4</v>
      </c>
      <c r="AJ328" s="311" t="n">
        <v>0</v>
      </c>
      <c r="AK328" s="311" t="n">
        <v>28</v>
      </c>
      <c r="AL328" s="311"/>
      <c r="AM328" s="336"/>
    </row>
    <row r="329" customFormat="false" ht="12.75" hidden="false" customHeight="false" outlineLevel="0" collapsed="false">
      <c r="A329" s="408"/>
      <c r="B329" s="396"/>
      <c r="C329" s="409"/>
      <c r="D329" s="410"/>
      <c r="E329" s="396"/>
      <c r="F329" s="410"/>
      <c r="G329" s="396"/>
      <c r="H329" s="410"/>
      <c r="I329" s="410"/>
      <c r="J329" s="411"/>
      <c r="K329" s="399"/>
      <c r="L329" s="399"/>
      <c r="M329" s="73"/>
      <c r="N329" s="396"/>
      <c r="O329" s="396"/>
      <c r="P329" s="396"/>
      <c r="Q329" s="410"/>
      <c r="R329" s="411"/>
      <c r="S329" s="411"/>
      <c r="T329" s="411"/>
      <c r="AF329" s="352" t="n">
        <f aca="false">EOMONTH(AF328,0)+1</f>
        <v>46447</v>
      </c>
      <c r="AG329" s="311" t="n">
        <v>21</v>
      </c>
      <c r="AH329" s="311" t="n">
        <v>5</v>
      </c>
      <c r="AI329" s="311" t="n">
        <v>5</v>
      </c>
      <c r="AJ329" s="311" t="n">
        <v>0</v>
      </c>
      <c r="AK329" s="311" t="n">
        <v>31</v>
      </c>
      <c r="AL329" s="311"/>
      <c r="AM329" s="336"/>
    </row>
    <row r="330" customFormat="false" ht="12.75" hidden="false" customHeight="false" outlineLevel="0" collapsed="false">
      <c r="A330" s="408"/>
      <c r="B330" s="396"/>
      <c r="C330" s="409"/>
      <c r="D330" s="410"/>
      <c r="E330" s="396"/>
      <c r="F330" s="410"/>
      <c r="G330" s="396"/>
      <c r="H330" s="410"/>
      <c r="I330" s="410"/>
      <c r="J330" s="411"/>
      <c r="K330" s="399"/>
      <c r="L330" s="399"/>
      <c r="M330" s="73"/>
      <c r="N330" s="396"/>
      <c r="O330" s="396"/>
      <c r="P330" s="396"/>
      <c r="Q330" s="410"/>
      <c r="R330" s="411"/>
      <c r="S330" s="411"/>
      <c r="T330" s="411"/>
      <c r="AF330" s="352" t="n">
        <f aca="false">EOMONTH(AF329,0)+1</f>
        <v>46478</v>
      </c>
      <c r="AG330" s="311" t="n">
        <v>22</v>
      </c>
      <c r="AH330" s="311" t="n">
        <v>4</v>
      </c>
      <c r="AI330" s="311" t="n">
        <v>4</v>
      </c>
      <c r="AJ330" s="311" t="n">
        <v>0</v>
      </c>
      <c r="AK330" s="311" t="n">
        <v>30</v>
      </c>
      <c r="AL330" s="311"/>
      <c r="AM330" s="336"/>
    </row>
    <row r="331" customFormat="false" ht="12.75" hidden="false" customHeight="false" outlineLevel="0" collapsed="false">
      <c r="A331" s="408"/>
      <c r="B331" s="396"/>
      <c r="C331" s="409"/>
      <c r="D331" s="410"/>
      <c r="E331" s="396"/>
      <c r="F331" s="410"/>
      <c r="G331" s="396"/>
      <c r="H331" s="410"/>
      <c r="I331" s="410"/>
      <c r="J331" s="411"/>
      <c r="K331" s="399"/>
      <c r="L331" s="399"/>
      <c r="M331" s="73"/>
      <c r="N331" s="396"/>
      <c r="O331" s="396"/>
      <c r="P331" s="396"/>
      <c r="Q331" s="410"/>
      <c r="R331" s="411"/>
      <c r="S331" s="411"/>
      <c r="T331" s="411"/>
      <c r="AF331" s="352" t="n">
        <f aca="false">EOMONTH(AF330,0)+1</f>
        <v>46508</v>
      </c>
      <c r="AG331" s="311" t="n">
        <v>22</v>
      </c>
      <c r="AH331" s="311" t="n">
        <v>4</v>
      </c>
      <c r="AI331" s="311" t="n">
        <v>5</v>
      </c>
      <c r="AJ331" s="311" t="n">
        <v>1</v>
      </c>
      <c r="AK331" s="311" t="n">
        <v>31</v>
      </c>
      <c r="AL331" s="311"/>
      <c r="AM331" s="336"/>
    </row>
    <row r="332" customFormat="false" ht="12.75" hidden="false" customHeight="false" outlineLevel="0" collapsed="false">
      <c r="A332" s="408"/>
      <c r="B332" s="396"/>
      <c r="C332" s="409"/>
      <c r="D332" s="410"/>
      <c r="E332" s="396"/>
      <c r="F332" s="410"/>
      <c r="G332" s="396"/>
      <c r="H332" s="410"/>
      <c r="I332" s="410"/>
      <c r="J332" s="411"/>
      <c r="K332" s="399"/>
      <c r="L332" s="399"/>
      <c r="M332" s="73"/>
      <c r="N332" s="396"/>
      <c r="O332" s="396"/>
      <c r="P332" s="396"/>
      <c r="Q332" s="410"/>
      <c r="R332" s="411"/>
      <c r="S332" s="411"/>
      <c r="T332" s="411"/>
      <c r="AF332" s="352" t="n">
        <f aca="false">EOMONTH(AF331,0)+1</f>
        <v>46539</v>
      </c>
      <c r="AG332" s="311" t="n">
        <v>20</v>
      </c>
      <c r="AH332" s="311" t="n">
        <v>5</v>
      </c>
      <c r="AI332" s="311" t="n">
        <v>5</v>
      </c>
      <c r="AJ332" s="311" t="n">
        <v>0</v>
      </c>
      <c r="AK332" s="311" t="n">
        <v>30</v>
      </c>
      <c r="AL332" s="311"/>
      <c r="AM332" s="336"/>
    </row>
    <row r="333" customFormat="false" ht="12.75" hidden="false" customHeight="false" outlineLevel="0" collapsed="false">
      <c r="A333" s="408"/>
      <c r="B333" s="396"/>
      <c r="C333" s="409"/>
      <c r="D333" s="410"/>
      <c r="E333" s="396"/>
      <c r="F333" s="410"/>
      <c r="G333" s="396"/>
      <c r="H333" s="410"/>
      <c r="I333" s="410"/>
      <c r="J333" s="411"/>
      <c r="K333" s="399"/>
      <c r="L333" s="399"/>
      <c r="M333" s="73"/>
      <c r="N333" s="396"/>
      <c r="O333" s="396"/>
      <c r="P333" s="396"/>
      <c r="Q333" s="410"/>
      <c r="R333" s="411"/>
      <c r="S333" s="411"/>
      <c r="T333" s="411"/>
      <c r="AF333" s="352" t="n">
        <f aca="false">EOMONTH(AF332,0)+1</f>
        <v>46569</v>
      </c>
      <c r="AG333" s="311" t="n">
        <v>22</v>
      </c>
      <c r="AH333" s="311" t="n">
        <v>4</v>
      </c>
      <c r="AI333" s="311" t="n">
        <v>5</v>
      </c>
      <c r="AJ333" s="311" t="n">
        <v>1</v>
      </c>
      <c r="AK333" s="311" t="n">
        <v>31</v>
      </c>
      <c r="AL333" s="311"/>
      <c r="AM333" s="336"/>
    </row>
    <row r="334" customFormat="false" ht="12.75" hidden="false" customHeight="false" outlineLevel="0" collapsed="false">
      <c r="A334" s="408"/>
      <c r="B334" s="396"/>
      <c r="C334" s="409"/>
      <c r="D334" s="410"/>
      <c r="E334" s="396"/>
      <c r="F334" s="410"/>
      <c r="G334" s="396"/>
      <c r="H334" s="410"/>
      <c r="I334" s="410"/>
      <c r="J334" s="411"/>
      <c r="K334" s="399"/>
      <c r="L334" s="399"/>
      <c r="M334" s="73"/>
      <c r="N334" s="396"/>
      <c r="O334" s="396"/>
      <c r="P334" s="396"/>
      <c r="Q334" s="410"/>
      <c r="R334" s="411"/>
      <c r="S334" s="411"/>
      <c r="T334" s="411"/>
      <c r="AF334" s="352" t="n">
        <f aca="false">EOMONTH(AF333,0)+1</f>
        <v>46600</v>
      </c>
      <c r="AG334" s="311" t="n">
        <v>22</v>
      </c>
      <c r="AH334" s="311" t="n">
        <v>5</v>
      </c>
      <c r="AI334" s="311" t="n">
        <v>4</v>
      </c>
      <c r="AJ334" s="311" t="n">
        <v>0</v>
      </c>
      <c r="AK334" s="311" t="n">
        <v>31</v>
      </c>
      <c r="AL334" s="311"/>
      <c r="AM334" s="336"/>
    </row>
    <row r="335" customFormat="false" ht="12.75" hidden="false" customHeight="false" outlineLevel="0" collapsed="false">
      <c r="A335" s="408"/>
      <c r="B335" s="396"/>
      <c r="C335" s="409"/>
      <c r="D335" s="410"/>
      <c r="E335" s="396"/>
      <c r="F335" s="410"/>
      <c r="G335" s="396"/>
      <c r="H335" s="410"/>
      <c r="I335" s="410"/>
      <c r="J335" s="411"/>
      <c r="K335" s="399"/>
      <c r="L335" s="399"/>
      <c r="M335" s="73"/>
      <c r="N335" s="396"/>
      <c r="O335" s="396"/>
      <c r="P335" s="396"/>
      <c r="Q335" s="410"/>
      <c r="R335" s="411"/>
      <c r="S335" s="411"/>
      <c r="T335" s="411"/>
      <c r="AF335" s="352" t="n">
        <f aca="false">EOMONTH(AF334,0)+1</f>
        <v>46631</v>
      </c>
      <c r="AG335" s="311" t="n">
        <v>20</v>
      </c>
      <c r="AH335" s="311" t="n">
        <v>4</v>
      </c>
      <c r="AI335" s="311" t="n">
        <v>6</v>
      </c>
      <c r="AJ335" s="311" t="n">
        <v>1</v>
      </c>
      <c r="AK335" s="311" t="n">
        <v>30</v>
      </c>
      <c r="AL335" s="311"/>
      <c r="AM335" s="336"/>
    </row>
    <row r="336" customFormat="false" ht="12.75" hidden="false" customHeight="false" outlineLevel="0" collapsed="false">
      <c r="A336" s="408"/>
      <c r="B336" s="396"/>
      <c r="C336" s="409"/>
      <c r="D336" s="410"/>
      <c r="E336" s="396"/>
      <c r="F336" s="410"/>
      <c r="G336" s="396"/>
      <c r="H336" s="410"/>
      <c r="I336" s="410"/>
      <c r="J336" s="411"/>
      <c r="K336" s="399"/>
      <c r="L336" s="399"/>
      <c r="M336" s="73"/>
      <c r="N336" s="396"/>
      <c r="O336" s="396"/>
      <c r="P336" s="396"/>
      <c r="Q336" s="410"/>
      <c r="R336" s="411"/>
      <c r="S336" s="411"/>
      <c r="T336" s="411"/>
      <c r="AF336" s="352" t="n">
        <f aca="false">EOMONTH(AF335,0)+1</f>
        <v>46661</v>
      </c>
      <c r="AG336" s="311" t="n">
        <v>23</v>
      </c>
      <c r="AH336" s="311" t="n">
        <v>4</v>
      </c>
      <c r="AI336" s="311" t="n">
        <v>4</v>
      </c>
      <c r="AJ336" s="311" t="n">
        <v>0</v>
      </c>
      <c r="AK336" s="311" t="n">
        <v>31</v>
      </c>
      <c r="AL336" s="311"/>
      <c r="AM336" s="336"/>
    </row>
    <row r="337" customFormat="false" ht="12.75" hidden="false" customHeight="false" outlineLevel="0" collapsed="false">
      <c r="A337" s="408"/>
      <c r="B337" s="396"/>
      <c r="C337" s="409"/>
      <c r="D337" s="410"/>
      <c r="E337" s="396"/>
      <c r="F337" s="410"/>
      <c r="G337" s="396"/>
      <c r="H337" s="410"/>
      <c r="I337" s="410"/>
      <c r="J337" s="411"/>
      <c r="K337" s="399"/>
      <c r="L337" s="399"/>
      <c r="M337" s="73"/>
      <c r="N337" s="396"/>
      <c r="O337" s="396"/>
      <c r="P337" s="396"/>
      <c r="Q337" s="410"/>
      <c r="R337" s="411"/>
      <c r="S337" s="411"/>
      <c r="T337" s="411"/>
      <c r="AF337" s="352" t="n">
        <f aca="false">EOMONTH(AF336,0)+1</f>
        <v>46692</v>
      </c>
      <c r="AG337" s="311" t="n">
        <v>20</v>
      </c>
      <c r="AH337" s="311" t="n">
        <v>5</v>
      </c>
      <c r="AI337" s="311" t="n">
        <v>5</v>
      </c>
      <c r="AJ337" s="311" t="n">
        <v>1</v>
      </c>
      <c r="AK337" s="311" t="n">
        <v>30</v>
      </c>
      <c r="AL337" s="311"/>
      <c r="AM337" s="336"/>
    </row>
    <row r="338" customFormat="false" ht="12.75" hidden="false" customHeight="false" outlineLevel="0" collapsed="false">
      <c r="A338" s="408"/>
      <c r="B338" s="396"/>
      <c r="C338" s="409"/>
      <c r="D338" s="410"/>
      <c r="E338" s="396"/>
      <c r="F338" s="410"/>
      <c r="G338" s="396"/>
      <c r="H338" s="410"/>
      <c r="I338" s="410"/>
      <c r="J338" s="411"/>
      <c r="K338" s="399"/>
      <c r="L338" s="399"/>
      <c r="M338" s="73"/>
      <c r="N338" s="396"/>
      <c r="O338" s="396"/>
      <c r="P338" s="396"/>
      <c r="Q338" s="410"/>
      <c r="R338" s="411"/>
      <c r="S338" s="411"/>
      <c r="T338" s="411"/>
      <c r="AF338" s="352" t="n">
        <f aca="false">EOMONTH(AF337,0)+1</f>
        <v>46722</v>
      </c>
      <c r="AG338" s="311" t="n">
        <v>21</v>
      </c>
      <c r="AH338" s="311" t="n">
        <v>4</v>
      </c>
      <c r="AI338" s="311" t="n">
        <v>6</v>
      </c>
      <c r="AJ338" s="311" t="n">
        <v>1</v>
      </c>
      <c r="AK338" s="311" t="n">
        <v>31</v>
      </c>
      <c r="AL338" s="311"/>
      <c r="AM338" s="336"/>
    </row>
    <row r="339" customFormat="false" ht="12.75" hidden="false" customHeight="false" outlineLevel="0" collapsed="false">
      <c r="A339" s="408"/>
      <c r="B339" s="396"/>
      <c r="C339" s="409"/>
      <c r="D339" s="410"/>
      <c r="E339" s="396"/>
      <c r="F339" s="410"/>
      <c r="G339" s="396"/>
      <c r="H339" s="410"/>
      <c r="I339" s="410"/>
      <c r="J339" s="411"/>
      <c r="K339" s="399"/>
      <c r="L339" s="399"/>
      <c r="M339" s="73"/>
      <c r="N339" s="396"/>
      <c r="O339" s="396"/>
      <c r="P339" s="396"/>
      <c r="Q339" s="410"/>
      <c r="R339" s="411"/>
      <c r="S339" s="411"/>
      <c r="T339" s="411"/>
      <c r="AF339" s="352" t="n">
        <f aca="false">EOMONTH(AF338,0)+1</f>
        <v>46753</v>
      </c>
      <c r="AG339" s="311" t="n">
        <v>22</v>
      </c>
      <c r="AH339" s="311" t="n">
        <v>4</v>
      </c>
      <c r="AI339" s="311" t="n">
        <v>5</v>
      </c>
      <c r="AJ339" s="311" t="n">
        <v>1</v>
      </c>
      <c r="AK339" s="311" t="n">
        <v>31</v>
      </c>
      <c r="AL339" s="311"/>
      <c r="AM339" s="336"/>
    </row>
    <row r="340" customFormat="false" ht="12.75" hidden="false" customHeight="false" outlineLevel="0" collapsed="false">
      <c r="A340" s="408"/>
      <c r="B340" s="396"/>
      <c r="C340" s="409"/>
      <c r="D340" s="410"/>
      <c r="E340" s="396"/>
      <c r="F340" s="410"/>
      <c r="G340" s="396"/>
      <c r="H340" s="410"/>
      <c r="I340" s="410"/>
      <c r="J340" s="411"/>
      <c r="K340" s="399"/>
      <c r="L340" s="399"/>
      <c r="M340" s="73"/>
      <c r="N340" s="396"/>
      <c r="O340" s="396"/>
      <c r="P340" s="396"/>
      <c r="Q340" s="410"/>
      <c r="R340" s="411"/>
      <c r="S340" s="411"/>
      <c r="T340" s="411"/>
      <c r="AF340" s="352" t="n">
        <f aca="false">EOMONTH(AF339,0)+1</f>
        <v>46784</v>
      </c>
      <c r="AG340" s="311" t="n">
        <v>20</v>
      </c>
      <c r="AH340" s="311" t="n">
        <v>5</v>
      </c>
      <c r="AI340" s="311" t="n">
        <v>4</v>
      </c>
      <c r="AJ340" s="311" t="n">
        <v>0</v>
      </c>
      <c r="AK340" s="311" t="n">
        <v>29</v>
      </c>
      <c r="AL340" s="311"/>
      <c r="AM340" s="336"/>
    </row>
    <row r="341" customFormat="false" ht="12.75" hidden="false" customHeight="false" outlineLevel="0" collapsed="false">
      <c r="A341" s="408"/>
      <c r="B341" s="396"/>
      <c r="C341" s="409"/>
      <c r="D341" s="410"/>
      <c r="E341" s="396"/>
      <c r="F341" s="410"/>
      <c r="G341" s="396"/>
      <c r="H341" s="410"/>
      <c r="I341" s="410"/>
      <c r="J341" s="411"/>
      <c r="K341" s="399"/>
      <c r="L341" s="399"/>
      <c r="M341" s="73"/>
      <c r="N341" s="396"/>
      <c r="O341" s="396"/>
      <c r="P341" s="396"/>
      <c r="Q341" s="410"/>
      <c r="R341" s="411"/>
      <c r="S341" s="411"/>
      <c r="T341" s="411"/>
      <c r="AF341" s="352" t="n">
        <f aca="false">EOMONTH(AF340,0)+1</f>
        <v>46813</v>
      </c>
      <c r="AG341" s="311" t="n">
        <v>22</v>
      </c>
      <c r="AH341" s="311" t="n">
        <v>4</v>
      </c>
      <c r="AI341" s="311" t="n">
        <v>5</v>
      </c>
      <c r="AJ341" s="311" t="n">
        <v>0</v>
      </c>
      <c r="AK341" s="311" t="n">
        <v>31</v>
      </c>
      <c r="AL341" s="311"/>
      <c r="AM341" s="336"/>
    </row>
    <row r="342" customFormat="false" ht="12.75" hidden="false" customHeight="false" outlineLevel="0" collapsed="false">
      <c r="A342" s="408"/>
      <c r="B342" s="396"/>
      <c r="C342" s="409"/>
      <c r="D342" s="410"/>
      <c r="E342" s="396"/>
      <c r="F342" s="410"/>
      <c r="G342" s="396"/>
      <c r="H342" s="410"/>
      <c r="I342" s="410"/>
      <c r="J342" s="411"/>
      <c r="K342" s="399"/>
      <c r="L342" s="399"/>
      <c r="M342" s="73"/>
      <c r="N342" s="396"/>
      <c r="O342" s="396"/>
      <c r="P342" s="396"/>
      <c r="Q342" s="410"/>
      <c r="R342" s="411"/>
      <c r="S342" s="411"/>
      <c r="T342" s="411"/>
      <c r="AF342" s="352" t="n">
        <f aca="false">EOMONTH(AF341,0)+1</f>
        <v>46844</v>
      </c>
      <c r="AG342" s="311" t="n">
        <v>22</v>
      </c>
      <c r="AH342" s="311" t="n">
        <v>4</v>
      </c>
      <c r="AI342" s="311" t="n">
        <v>4</v>
      </c>
      <c r="AJ342" s="311" t="n">
        <v>0</v>
      </c>
      <c r="AK342" s="311" t="n">
        <v>30</v>
      </c>
      <c r="AL342" s="311"/>
      <c r="AM342" s="336"/>
    </row>
    <row r="343" customFormat="false" ht="12.75" hidden="false" customHeight="false" outlineLevel="0" collapsed="false">
      <c r="A343" s="408"/>
      <c r="B343" s="396"/>
      <c r="C343" s="409"/>
      <c r="D343" s="410"/>
      <c r="E343" s="396"/>
      <c r="F343" s="410"/>
      <c r="G343" s="396"/>
      <c r="H343" s="410"/>
      <c r="I343" s="410"/>
      <c r="J343" s="411"/>
      <c r="K343" s="399"/>
      <c r="L343" s="399"/>
      <c r="M343" s="73"/>
      <c r="N343" s="396"/>
      <c r="O343" s="396"/>
      <c r="P343" s="396"/>
      <c r="Q343" s="410"/>
      <c r="R343" s="411"/>
      <c r="S343" s="411"/>
      <c r="T343" s="411"/>
      <c r="AF343" s="352" t="n">
        <f aca="false">EOMONTH(AF342,0)+1</f>
        <v>46874</v>
      </c>
      <c r="AG343" s="311" t="n">
        <v>20</v>
      </c>
      <c r="AH343" s="311" t="n">
        <v>5</v>
      </c>
      <c r="AI343" s="311" t="n">
        <v>6</v>
      </c>
      <c r="AJ343" s="311" t="n">
        <v>1</v>
      </c>
      <c r="AK343" s="311" t="n">
        <v>31</v>
      </c>
      <c r="AL343" s="311"/>
      <c r="AM343" s="336"/>
    </row>
    <row r="344" customFormat="false" ht="12.75" hidden="false" customHeight="false" outlineLevel="0" collapsed="false">
      <c r="A344" s="408"/>
      <c r="B344" s="396"/>
      <c r="C344" s="409"/>
      <c r="D344" s="410"/>
      <c r="E344" s="396"/>
      <c r="F344" s="410"/>
      <c r="G344" s="396"/>
      <c r="H344" s="410"/>
      <c r="I344" s="410"/>
      <c r="J344" s="411"/>
      <c r="K344" s="399"/>
      <c r="L344" s="399"/>
      <c r="M344" s="73"/>
      <c r="N344" s="396"/>
      <c r="O344" s="396"/>
      <c r="P344" s="396"/>
      <c r="Q344" s="410"/>
      <c r="R344" s="411"/>
      <c r="S344" s="411"/>
      <c r="T344" s="411"/>
      <c r="AF344" s="352" t="n">
        <f aca="false">EOMONTH(AF343,0)+1</f>
        <v>46905</v>
      </c>
      <c r="AG344" s="311" t="n">
        <v>22</v>
      </c>
      <c r="AH344" s="311" t="n">
        <v>4</v>
      </c>
      <c r="AI344" s="311" t="n">
        <v>4</v>
      </c>
      <c r="AJ344" s="311" t="n">
        <v>0</v>
      </c>
      <c r="AK344" s="311" t="n">
        <v>30</v>
      </c>
      <c r="AL344" s="311"/>
      <c r="AM344" s="336"/>
    </row>
    <row r="345" customFormat="false" ht="12.75" hidden="false" customHeight="false" outlineLevel="0" collapsed="false">
      <c r="A345" s="408"/>
      <c r="B345" s="396"/>
      <c r="C345" s="409"/>
      <c r="D345" s="410"/>
      <c r="E345" s="396"/>
      <c r="F345" s="410"/>
      <c r="G345" s="396"/>
      <c r="H345" s="410"/>
      <c r="I345" s="410"/>
      <c r="J345" s="411"/>
      <c r="K345" s="399"/>
      <c r="L345" s="399"/>
      <c r="M345" s="73"/>
      <c r="N345" s="396"/>
      <c r="O345" s="396"/>
      <c r="P345" s="396"/>
      <c r="Q345" s="410"/>
      <c r="R345" s="411"/>
      <c r="S345" s="411"/>
      <c r="T345" s="411"/>
      <c r="AF345" s="352" t="n">
        <f aca="false">EOMONTH(AF344,0)+1</f>
        <v>46935</v>
      </c>
      <c r="AG345" s="311" t="n">
        <v>23</v>
      </c>
      <c r="AH345" s="311" t="n">
        <v>3</v>
      </c>
      <c r="AI345" s="311" t="n">
        <v>5</v>
      </c>
      <c r="AJ345" s="311" t="n">
        <v>1</v>
      </c>
      <c r="AK345" s="311" t="n">
        <v>31</v>
      </c>
      <c r="AL345" s="311"/>
      <c r="AM345" s="336"/>
    </row>
    <row r="346" customFormat="false" ht="12.75" hidden="false" customHeight="false" outlineLevel="0" collapsed="false">
      <c r="A346" s="408"/>
      <c r="B346" s="396"/>
      <c r="C346" s="409"/>
      <c r="D346" s="410"/>
      <c r="E346" s="396"/>
      <c r="F346" s="410"/>
      <c r="G346" s="396"/>
      <c r="H346" s="410"/>
      <c r="I346" s="410"/>
      <c r="J346" s="411"/>
      <c r="K346" s="399"/>
      <c r="L346" s="399"/>
      <c r="M346" s="73"/>
      <c r="N346" s="396"/>
      <c r="O346" s="396"/>
      <c r="P346" s="396"/>
      <c r="Q346" s="410"/>
      <c r="R346" s="411"/>
      <c r="S346" s="411"/>
      <c r="T346" s="411"/>
      <c r="AF346" s="352" t="n">
        <f aca="false">EOMONTH(AF345,0)+1</f>
        <v>46966</v>
      </c>
      <c r="AG346" s="311" t="n">
        <v>21</v>
      </c>
      <c r="AH346" s="311" t="n">
        <v>5</v>
      </c>
      <c r="AI346" s="311" t="n">
        <v>5</v>
      </c>
      <c r="AJ346" s="311" t="n">
        <v>0</v>
      </c>
      <c r="AK346" s="311" t="n">
        <v>31</v>
      </c>
      <c r="AL346" s="311"/>
      <c r="AM346" s="336"/>
    </row>
    <row r="347" customFormat="false" ht="12.75" hidden="false" customHeight="false" outlineLevel="0" collapsed="false">
      <c r="A347" s="408"/>
      <c r="B347" s="396"/>
      <c r="C347" s="409"/>
      <c r="D347" s="410"/>
      <c r="E347" s="396"/>
      <c r="F347" s="410"/>
      <c r="G347" s="396"/>
      <c r="H347" s="410"/>
      <c r="I347" s="410"/>
      <c r="J347" s="411"/>
      <c r="K347" s="399"/>
      <c r="L347" s="399"/>
      <c r="M347" s="73"/>
      <c r="N347" s="396"/>
      <c r="O347" s="396"/>
      <c r="P347" s="396"/>
      <c r="Q347" s="410"/>
      <c r="R347" s="411"/>
      <c r="S347" s="411"/>
      <c r="T347" s="411"/>
      <c r="AF347" s="352" t="n">
        <f aca="false">EOMONTH(AF346,0)+1</f>
        <v>46997</v>
      </c>
      <c r="AG347" s="311" t="n">
        <v>21</v>
      </c>
      <c r="AH347" s="311" t="n">
        <v>4</v>
      </c>
      <c r="AI347" s="311" t="n">
        <v>5</v>
      </c>
      <c r="AJ347" s="311" t="n">
        <v>1</v>
      </c>
      <c r="AK347" s="311" t="n">
        <v>30</v>
      </c>
      <c r="AL347" s="311"/>
      <c r="AM347" s="336"/>
    </row>
    <row r="348" customFormat="false" ht="12.75" hidden="false" customHeight="false" outlineLevel="0" collapsed="false">
      <c r="A348" s="408"/>
      <c r="B348" s="396"/>
      <c r="C348" s="409"/>
      <c r="D348" s="410"/>
      <c r="E348" s="396"/>
      <c r="F348" s="410"/>
      <c r="G348" s="396"/>
      <c r="H348" s="410"/>
      <c r="I348" s="410"/>
      <c r="J348" s="411"/>
      <c r="K348" s="399"/>
      <c r="L348" s="399"/>
      <c r="M348" s="73"/>
      <c r="N348" s="396"/>
      <c r="O348" s="396"/>
      <c r="P348" s="396"/>
      <c r="Q348" s="410"/>
      <c r="R348" s="411"/>
      <c r="S348" s="411"/>
      <c r="T348" s="411"/>
      <c r="AF348" s="352" t="n">
        <f aca="false">EOMONTH(AF347,0)+1</f>
        <v>47027</v>
      </c>
      <c r="AG348" s="311" t="n">
        <v>22</v>
      </c>
      <c r="AH348" s="311" t="n">
        <v>5</v>
      </c>
      <c r="AI348" s="311" t="n">
        <v>4</v>
      </c>
      <c r="AJ348" s="311" t="n">
        <v>0</v>
      </c>
      <c r="AK348" s="311" t="n">
        <v>31</v>
      </c>
      <c r="AL348" s="311"/>
      <c r="AM348" s="336"/>
    </row>
    <row r="349" customFormat="false" ht="12.75" hidden="false" customHeight="false" outlineLevel="0" collapsed="false">
      <c r="A349" s="408"/>
      <c r="B349" s="396"/>
      <c r="C349" s="409"/>
      <c r="D349" s="410"/>
      <c r="E349" s="396"/>
      <c r="F349" s="410"/>
      <c r="G349" s="396"/>
      <c r="H349" s="410"/>
      <c r="I349" s="410"/>
      <c r="J349" s="411"/>
      <c r="K349" s="399"/>
      <c r="L349" s="399"/>
      <c r="M349" s="73"/>
      <c r="N349" s="396"/>
      <c r="O349" s="396"/>
      <c r="P349" s="396"/>
      <c r="Q349" s="410"/>
      <c r="R349" s="411"/>
      <c r="S349" s="411"/>
      <c r="T349" s="411"/>
      <c r="AF349" s="352" t="n">
        <f aca="false">EOMONTH(AF348,0)+1</f>
        <v>47058</v>
      </c>
      <c r="AG349" s="311" t="n">
        <v>20</v>
      </c>
      <c r="AH349" s="311" t="n">
        <v>4</v>
      </c>
      <c r="AI349" s="311" t="n">
        <v>6</v>
      </c>
      <c r="AJ349" s="311" t="n">
        <v>1</v>
      </c>
      <c r="AK349" s="311" t="n">
        <v>30</v>
      </c>
      <c r="AL349" s="311"/>
      <c r="AM349" s="336"/>
    </row>
    <row r="350" customFormat="false" ht="12.75" hidden="false" customHeight="false" outlineLevel="0" collapsed="false">
      <c r="A350" s="408"/>
      <c r="B350" s="396"/>
      <c r="C350" s="409"/>
      <c r="D350" s="410"/>
      <c r="E350" s="396"/>
      <c r="F350" s="410"/>
      <c r="G350" s="396"/>
      <c r="H350" s="410"/>
      <c r="I350" s="410"/>
      <c r="J350" s="411"/>
      <c r="K350" s="399"/>
      <c r="L350" s="399"/>
      <c r="M350" s="73"/>
      <c r="N350" s="396"/>
      <c r="O350" s="396"/>
      <c r="P350" s="396"/>
      <c r="Q350" s="410"/>
      <c r="R350" s="411"/>
      <c r="S350" s="411"/>
      <c r="T350" s="411"/>
      <c r="AF350" s="352" t="n">
        <f aca="false">EOMONTH(AF349,0)+1</f>
        <v>47088</v>
      </c>
      <c r="AG350" s="311" t="n">
        <v>22</v>
      </c>
      <c r="AH350" s="311" t="n">
        <v>4</v>
      </c>
      <c r="AI350" s="311" t="n">
        <v>5</v>
      </c>
      <c r="AJ350" s="311" t="n">
        <v>1</v>
      </c>
      <c r="AK350" s="311" t="n">
        <v>31</v>
      </c>
      <c r="AL350" s="311"/>
      <c r="AM350" s="336"/>
    </row>
    <row r="351" customFormat="false" ht="12.75" hidden="false" customHeight="false" outlineLevel="0" collapsed="false">
      <c r="A351" s="408"/>
      <c r="B351" s="396"/>
      <c r="C351" s="409"/>
      <c r="D351" s="410"/>
      <c r="E351" s="396"/>
      <c r="F351" s="410"/>
      <c r="G351" s="396"/>
      <c r="H351" s="410"/>
      <c r="I351" s="410"/>
      <c r="J351" s="411"/>
      <c r="K351" s="399"/>
      <c r="L351" s="399"/>
      <c r="M351" s="73"/>
      <c r="N351" s="396"/>
      <c r="O351" s="396"/>
      <c r="P351" s="396"/>
      <c r="Q351" s="410"/>
      <c r="R351" s="411"/>
      <c r="S351" s="411"/>
      <c r="T351" s="411"/>
      <c r="AF351" s="352" t="n">
        <f aca="false">EOMONTH(AF350,0)+1</f>
        <v>47119</v>
      </c>
      <c r="AG351" s="311" t="n">
        <v>22</v>
      </c>
      <c r="AH351" s="311" t="n">
        <v>4</v>
      </c>
      <c r="AI351" s="311" t="n">
        <v>5</v>
      </c>
      <c r="AJ351" s="311" t="n">
        <v>1</v>
      </c>
      <c r="AK351" s="311" t="n">
        <v>31</v>
      </c>
      <c r="AL351" s="311"/>
      <c r="AM351" s="336"/>
    </row>
    <row r="352" customFormat="false" ht="12.75" hidden="false" customHeight="false" outlineLevel="0" collapsed="false">
      <c r="A352" s="408"/>
      <c r="B352" s="396"/>
      <c r="C352" s="409"/>
      <c r="D352" s="410"/>
      <c r="E352" s="396"/>
      <c r="F352" s="410"/>
      <c r="G352" s="396"/>
      <c r="H352" s="410"/>
      <c r="I352" s="410"/>
      <c r="J352" s="411"/>
      <c r="K352" s="399"/>
      <c r="L352" s="399"/>
      <c r="M352" s="73"/>
      <c r="N352" s="396"/>
      <c r="O352" s="396"/>
      <c r="P352" s="396"/>
      <c r="Q352" s="410"/>
      <c r="R352" s="411"/>
      <c r="S352" s="411"/>
      <c r="T352" s="411"/>
      <c r="AF352" s="352" t="n">
        <f aca="false">EOMONTH(AF351,0)+1</f>
        <v>47150</v>
      </c>
      <c r="AG352" s="311" t="n">
        <v>20</v>
      </c>
      <c r="AH352" s="311" t="n">
        <v>4</v>
      </c>
      <c r="AI352" s="311" t="n">
        <v>4</v>
      </c>
      <c r="AJ352" s="311" t="n">
        <v>0</v>
      </c>
      <c r="AK352" s="311" t="n">
        <v>28</v>
      </c>
      <c r="AL352" s="311"/>
      <c r="AM352" s="336"/>
    </row>
    <row r="353" customFormat="false" ht="12.75" hidden="false" customHeight="false" outlineLevel="0" collapsed="false">
      <c r="A353" s="408"/>
      <c r="B353" s="396"/>
      <c r="C353" s="409"/>
      <c r="D353" s="410"/>
      <c r="E353" s="396"/>
      <c r="F353" s="410"/>
      <c r="G353" s="396"/>
      <c r="H353" s="410"/>
      <c r="I353" s="410"/>
      <c r="J353" s="411"/>
      <c r="K353" s="399"/>
      <c r="L353" s="399"/>
      <c r="M353" s="73"/>
      <c r="N353" s="396"/>
      <c r="O353" s="396"/>
      <c r="P353" s="396"/>
      <c r="Q353" s="410"/>
      <c r="R353" s="411"/>
      <c r="S353" s="411"/>
      <c r="T353" s="411"/>
      <c r="AF353" s="352" t="n">
        <f aca="false">EOMONTH(AF352,0)+1</f>
        <v>47178</v>
      </c>
      <c r="AG353" s="311" t="n">
        <v>21</v>
      </c>
      <c r="AH353" s="311" t="n">
        <v>5</v>
      </c>
      <c r="AI353" s="311" t="n">
        <v>5</v>
      </c>
      <c r="AJ353" s="311" t="n">
        <v>0</v>
      </c>
      <c r="AK353" s="311" t="n">
        <v>31</v>
      </c>
      <c r="AL353" s="311"/>
      <c r="AM353" s="336"/>
    </row>
    <row r="354" customFormat="false" ht="12.75" hidden="false" customHeight="false" outlineLevel="0" collapsed="false">
      <c r="A354" s="408"/>
      <c r="B354" s="396"/>
      <c r="C354" s="409"/>
      <c r="D354" s="410"/>
      <c r="E354" s="396"/>
      <c r="F354" s="410"/>
      <c r="G354" s="396"/>
      <c r="H354" s="410"/>
      <c r="I354" s="410"/>
      <c r="J354" s="411"/>
      <c r="K354" s="399"/>
      <c r="L354" s="399"/>
      <c r="M354" s="73"/>
      <c r="N354" s="396"/>
      <c r="O354" s="396"/>
      <c r="P354" s="396"/>
      <c r="Q354" s="410"/>
      <c r="R354" s="411"/>
      <c r="S354" s="411"/>
      <c r="T354" s="411"/>
      <c r="AF354" s="352" t="n">
        <f aca="false">EOMONTH(AF353,0)+1</f>
        <v>47209</v>
      </c>
      <c r="AG354" s="311" t="n">
        <v>22</v>
      </c>
      <c r="AH354" s="311" t="n">
        <v>4</v>
      </c>
      <c r="AI354" s="311" t="n">
        <v>4</v>
      </c>
      <c r="AJ354" s="311" t="n">
        <v>0</v>
      </c>
      <c r="AK354" s="311" t="n">
        <v>30</v>
      </c>
      <c r="AL354" s="311"/>
      <c r="AM354" s="336"/>
    </row>
    <row r="355" customFormat="false" ht="12.75" hidden="false" customHeight="false" outlineLevel="0" collapsed="false">
      <c r="A355" s="408"/>
      <c r="B355" s="396"/>
      <c r="C355" s="409"/>
      <c r="D355" s="410"/>
      <c r="E355" s="396"/>
      <c r="F355" s="410"/>
      <c r="G355" s="396"/>
      <c r="H355" s="410"/>
      <c r="I355" s="410"/>
      <c r="J355" s="411"/>
      <c r="K355" s="399"/>
      <c r="L355" s="399"/>
      <c r="M355" s="73"/>
      <c r="N355" s="396"/>
      <c r="O355" s="396"/>
      <c r="P355" s="396"/>
      <c r="Q355" s="410"/>
      <c r="R355" s="411"/>
      <c r="S355" s="411"/>
      <c r="T355" s="411"/>
      <c r="AF355" s="352" t="n">
        <f aca="false">EOMONTH(AF354,0)+1</f>
        <v>47239</v>
      </c>
      <c r="AG355" s="311" t="n">
        <v>22</v>
      </c>
      <c r="AH355" s="311" t="n">
        <v>4</v>
      </c>
      <c r="AI355" s="311" t="n">
        <v>5</v>
      </c>
      <c r="AJ355" s="311" t="n">
        <v>1</v>
      </c>
      <c r="AK355" s="311" t="n">
        <v>31</v>
      </c>
      <c r="AL355" s="311"/>
      <c r="AM355" s="336"/>
    </row>
    <row r="356" customFormat="false" ht="12.75" hidden="false" customHeight="false" outlineLevel="0" collapsed="false">
      <c r="A356" s="408"/>
      <c r="B356" s="396"/>
      <c r="C356" s="409"/>
      <c r="D356" s="410"/>
      <c r="E356" s="396"/>
      <c r="F356" s="410"/>
      <c r="G356" s="396"/>
      <c r="H356" s="410"/>
      <c r="I356" s="410"/>
      <c r="J356" s="411"/>
      <c r="K356" s="399"/>
      <c r="L356" s="399"/>
      <c r="M356" s="73"/>
      <c r="N356" s="396"/>
      <c r="O356" s="396"/>
      <c r="P356" s="396"/>
      <c r="Q356" s="410"/>
      <c r="R356" s="411"/>
      <c r="S356" s="411"/>
      <c r="T356" s="411"/>
      <c r="AF356" s="352" t="n">
        <f aca="false">EOMONTH(AF355,0)+1</f>
        <v>47270</v>
      </c>
      <c r="AG356" s="311" t="n">
        <v>20</v>
      </c>
      <c r="AH356" s="311" t="n">
        <v>5</v>
      </c>
      <c r="AI356" s="311" t="n">
        <v>5</v>
      </c>
      <c r="AJ356" s="311" t="n">
        <v>0</v>
      </c>
      <c r="AK356" s="311" t="n">
        <v>30</v>
      </c>
      <c r="AL356" s="311"/>
      <c r="AM356" s="336"/>
    </row>
    <row r="357" customFormat="false" ht="12.75" hidden="false" customHeight="false" outlineLevel="0" collapsed="false">
      <c r="A357" s="408"/>
      <c r="B357" s="396"/>
      <c r="C357" s="409"/>
      <c r="D357" s="410"/>
      <c r="E357" s="396"/>
      <c r="F357" s="410"/>
      <c r="G357" s="396"/>
      <c r="H357" s="410"/>
      <c r="I357" s="410"/>
      <c r="J357" s="411"/>
      <c r="K357" s="399"/>
      <c r="L357" s="399"/>
      <c r="M357" s="73"/>
      <c r="N357" s="396"/>
      <c r="O357" s="396"/>
      <c r="P357" s="396"/>
      <c r="Q357" s="410"/>
      <c r="R357" s="411"/>
      <c r="S357" s="411"/>
      <c r="T357" s="411"/>
      <c r="AF357" s="352" t="n">
        <f aca="false">EOMONTH(AF356,0)+1</f>
        <v>47300</v>
      </c>
      <c r="AG357" s="311" t="n">
        <v>22</v>
      </c>
      <c r="AH357" s="311" t="n">
        <v>4</v>
      </c>
      <c r="AI357" s="311" t="n">
        <v>5</v>
      </c>
      <c r="AJ357" s="311" t="n">
        <v>1</v>
      </c>
      <c r="AK357" s="311" t="n">
        <v>31</v>
      </c>
      <c r="AL357" s="311"/>
      <c r="AM357" s="336"/>
    </row>
    <row r="358" customFormat="false" ht="12.75" hidden="false" customHeight="false" outlineLevel="0" collapsed="false">
      <c r="A358" s="408"/>
      <c r="B358" s="396"/>
      <c r="C358" s="409"/>
      <c r="D358" s="410"/>
      <c r="E358" s="396"/>
      <c r="F358" s="410"/>
      <c r="G358" s="396"/>
      <c r="H358" s="410"/>
      <c r="I358" s="410"/>
      <c r="J358" s="411"/>
      <c r="K358" s="399"/>
      <c r="L358" s="399"/>
      <c r="M358" s="73"/>
      <c r="N358" s="396"/>
      <c r="O358" s="396"/>
      <c r="P358" s="396"/>
      <c r="Q358" s="410"/>
      <c r="R358" s="411"/>
      <c r="S358" s="411"/>
      <c r="T358" s="411"/>
      <c r="AF358" s="352" t="n">
        <f aca="false">EOMONTH(AF357,0)+1</f>
        <v>47331</v>
      </c>
      <c r="AG358" s="311" t="n">
        <v>22</v>
      </c>
      <c r="AH358" s="311" t="n">
        <v>5</v>
      </c>
      <c r="AI358" s="311" t="n">
        <v>4</v>
      </c>
      <c r="AJ358" s="311" t="n">
        <v>0</v>
      </c>
      <c r="AK358" s="311" t="n">
        <v>31</v>
      </c>
      <c r="AL358" s="311"/>
      <c r="AM358" s="336"/>
    </row>
    <row r="359" customFormat="false" ht="12.75" hidden="false" customHeight="false" outlineLevel="0" collapsed="false">
      <c r="A359" s="408"/>
      <c r="B359" s="396"/>
      <c r="C359" s="409"/>
      <c r="D359" s="410"/>
      <c r="E359" s="396"/>
      <c r="F359" s="410"/>
      <c r="G359" s="396"/>
      <c r="H359" s="410"/>
      <c r="I359" s="410"/>
      <c r="J359" s="411"/>
      <c r="K359" s="399"/>
      <c r="L359" s="399"/>
      <c r="M359" s="73"/>
      <c r="N359" s="396"/>
      <c r="O359" s="396"/>
      <c r="P359" s="396"/>
      <c r="Q359" s="410"/>
      <c r="R359" s="411"/>
      <c r="S359" s="411"/>
      <c r="T359" s="411"/>
      <c r="AF359" s="352" t="n">
        <f aca="false">EOMONTH(AF358,0)+1</f>
        <v>47362</v>
      </c>
      <c r="AG359" s="311" t="n">
        <v>20</v>
      </c>
      <c r="AH359" s="311" t="n">
        <v>4</v>
      </c>
      <c r="AI359" s="311" t="n">
        <v>6</v>
      </c>
      <c r="AJ359" s="311" t="n">
        <v>1</v>
      </c>
      <c r="AK359" s="311" t="n">
        <v>30</v>
      </c>
      <c r="AL359" s="311"/>
      <c r="AM359" s="336"/>
    </row>
    <row r="360" customFormat="false" ht="12.75" hidden="false" customHeight="false" outlineLevel="0" collapsed="false">
      <c r="A360" s="408"/>
      <c r="B360" s="396"/>
      <c r="C360" s="409"/>
      <c r="D360" s="410"/>
      <c r="E360" s="396"/>
      <c r="F360" s="410"/>
      <c r="G360" s="396"/>
      <c r="H360" s="410"/>
      <c r="I360" s="410"/>
      <c r="J360" s="411"/>
      <c r="K360" s="399"/>
      <c r="L360" s="399"/>
      <c r="M360" s="73"/>
      <c r="N360" s="396"/>
      <c r="O360" s="396"/>
      <c r="P360" s="396"/>
      <c r="Q360" s="410"/>
      <c r="R360" s="411"/>
      <c r="S360" s="411"/>
      <c r="T360" s="411"/>
      <c r="AF360" s="352" t="n">
        <f aca="false">EOMONTH(AF359,0)+1</f>
        <v>47392</v>
      </c>
      <c r="AG360" s="311" t="n">
        <v>23</v>
      </c>
      <c r="AH360" s="311" t="n">
        <v>4</v>
      </c>
      <c r="AI360" s="311" t="n">
        <v>4</v>
      </c>
      <c r="AJ360" s="311" t="n">
        <v>0</v>
      </c>
      <c r="AK360" s="311" t="n">
        <v>31</v>
      </c>
      <c r="AL360" s="311"/>
      <c r="AM360" s="336"/>
    </row>
    <row r="361" customFormat="false" ht="12.75" hidden="false" customHeight="false" outlineLevel="0" collapsed="false">
      <c r="A361" s="408"/>
      <c r="B361" s="396"/>
      <c r="C361" s="409"/>
      <c r="D361" s="410"/>
      <c r="E361" s="396"/>
      <c r="F361" s="410"/>
      <c r="G361" s="396"/>
      <c r="H361" s="410"/>
      <c r="I361" s="410"/>
      <c r="J361" s="411"/>
      <c r="K361" s="399"/>
      <c r="L361" s="399"/>
      <c r="M361" s="73"/>
      <c r="N361" s="396"/>
      <c r="O361" s="396"/>
      <c r="P361" s="396"/>
      <c r="Q361" s="410"/>
      <c r="R361" s="411"/>
      <c r="S361" s="411"/>
      <c r="T361" s="411"/>
      <c r="AF361" s="352" t="n">
        <f aca="false">EOMONTH(AF360,0)+1</f>
        <v>47423</v>
      </c>
      <c r="AG361" s="311" t="n">
        <v>20</v>
      </c>
      <c r="AH361" s="311" t="n">
        <v>5</v>
      </c>
      <c r="AI361" s="311" t="n">
        <v>5</v>
      </c>
      <c r="AJ361" s="311" t="n">
        <v>1</v>
      </c>
      <c r="AK361" s="311" t="n">
        <v>30</v>
      </c>
      <c r="AL361" s="311"/>
      <c r="AM361" s="336"/>
    </row>
    <row r="362" customFormat="false" ht="12.75" hidden="false" customHeight="false" outlineLevel="0" collapsed="false">
      <c r="A362" s="408"/>
      <c r="B362" s="396"/>
      <c r="C362" s="409"/>
      <c r="D362" s="410"/>
      <c r="E362" s="396"/>
      <c r="F362" s="410"/>
      <c r="G362" s="396"/>
      <c r="H362" s="410"/>
      <c r="I362" s="410"/>
      <c r="J362" s="411"/>
      <c r="K362" s="399"/>
      <c r="L362" s="399"/>
      <c r="M362" s="73"/>
      <c r="N362" s="396"/>
      <c r="O362" s="396"/>
      <c r="P362" s="396"/>
      <c r="Q362" s="410"/>
      <c r="R362" s="411"/>
      <c r="S362" s="411"/>
      <c r="T362" s="411"/>
      <c r="AF362" s="352" t="n">
        <f aca="false">EOMONTH(AF361,0)+1</f>
        <v>47453</v>
      </c>
      <c r="AG362" s="311" t="n">
        <v>21</v>
      </c>
      <c r="AH362" s="311" t="n">
        <v>4</v>
      </c>
      <c r="AI362" s="311" t="n">
        <v>6</v>
      </c>
      <c r="AJ362" s="311" t="n">
        <v>1</v>
      </c>
      <c r="AK362" s="311" t="n">
        <v>31</v>
      </c>
      <c r="AL362" s="311"/>
      <c r="AM362" s="336"/>
    </row>
    <row r="363" customFormat="false" ht="12.75" hidden="false" customHeight="false" outlineLevel="0" collapsed="false">
      <c r="A363" s="408"/>
      <c r="B363" s="396"/>
      <c r="C363" s="409"/>
      <c r="D363" s="410"/>
      <c r="E363" s="396"/>
      <c r="F363" s="410"/>
      <c r="G363" s="396"/>
      <c r="H363" s="410"/>
      <c r="I363" s="410"/>
      <c r="J363" s="411"/>
      <c r="K363" s="399"/>
      <c r="L363" s="399"/>
      <c r="M363" s="73"/>
      <c r="N363" s="396"/>
      <c r="O363" s="396"/>
      <c r="P363" s="396"/>
      <c r="Q363" s="410"/>
      <c r="R363" s="411"/>
      <c r="S363" s="411"/>
      <c r="T363" s="411"/>
      <c r="AF363" s="352" t="n">
        <f aca="false">EOMONTH(AF362,0)+1</f>
        <v>47484</v>
      </c>
      <c r="AG363" s="311" t="n">
        <v>22</v>
      </c>
      <c r="AH363" s="311" t="n">
        <v>4</v>
      </c>
      <c r="AI363" s="311" t="n">
        <v>5</v>
      </c>
      <c r="AJ363" s="311" t="n">
        <v>1</v>
      </c>
      <c r="AK363" s="311" t="n">
        <v>31</v>
      </c>
      <c r="AL363" s="311"/>
      <c r="AM363" s="336"/>
    </row>
    <row r="364" customFormat="false" ht="12.75" hidden="false" customHeight="false" outlineLevel="0" collapsed="false">
      <c r="A364" s="408"/>
      <c r="B364" s="396"/>
      <c r="C364" s="409"/>
      <c r="D364" s="410"/>
      <c r="E364" s="396"/>
      <c r="F364" s="410"/>
      <c r="G364" s="396"/>
      <c r="H364" s="410"/>
      <c r="I364" s="410"/>
      <c r="J364" s="411"/>
      <c r="K364" s="399"/>
      <c r="L364" s="399"/>
      <c r="M364" s="73"/>
      <c r="N364" s="396"/>
      <c r="O364" s="396"/>
      <c r="P364" s="396"/>
      <c r="Q364" s="410"/>
      <c r="R364" s="411"/>
      <c r="S364" s="411"/>
      <c r="T364" s="411"/>
      <c r="AF364" s="352" t="n">
        <f aca="false">EOMONTH(AF363,0)+1</f>
        <v>47515</v>
      </c>
      <c r="AG364" s="311" t="n">
        <v>20</v>
      </c>
      <c r="AH364" s="311" t="n">
        <v>4</v>
      </c>
      <c r="AI364" s="311" t="n">
        <v>4</v>
      </c>
      <c r="AJ364" s="311" t="n">
        <v>0</v>
      </c>
      <c r="AK364" s="311" t="n">
        <v>28</v>
      </c>
      <c r="AL364" s="311"/>
      <c r="AM364" s="336"/>
    </row>
    <row r="365" customFormat="false" ht="12.75" hidden="false" customHeight="false" outlineLevel="0" collapsed="false">
      <c r="A365" s="408"/>
      <c r="B365" s="396"/>
      <c r="C365" s="409"/>
      <c r="D365" s="410"/>
      <c r="E365" s="396"/>
      <c r="F365" s="410"/>
      <c r="G365" s="396"/>
      <c r="H365" s="410"/>
      <c r="I365" s="410"/>
      <c r="J365" s="411"/>
      <c r="K365" s="399"/>
      <c r="L365" s="399"/>
      <c r="M365" s="73"/>
      <c r="N365" s="396"/>
      <c r="O365" s="396"/>
      <c r="P365" s="396"/>
      <c r="Q365" s="410"/>
      <c r="R365" s="411"/>
      <c r="S365" s="411"/>
      <c r="T365" s="411"/>
      <c r="AF365" s="352" t="n">
        <f aca="false">EOMONTH(AF364,0)+1</f>
        <v>47543</v>
      </c>
      <c r="AG365" s="311" t="n">
        <v>21</v>
      </c>
      <c r="AH365" s="311" t="n">
        <v>5</v>
      </c>
      <c r="AI365" s="311" t="n">
        <v>5</v>
      </c>
      <c r="AJ365" s="311" t="n">
        <v>0</v>
      </c>
      <c r="AK365" s="311" t="n">
        <v>31</v>
      </c>
      <c r="AL365" s="311"/>
      <c r="AM365" s="336"/>
    </row>
    <row r="366" customFormat="false" ht="12.75" hidden="false" customHeight="false" outlineLevel="0" collapsed="false">
      <c r="A366" s="408"/>
      <c r="B366" s="396"/>
      <c r="C366" s="409"/>
      <c r="D366" s="410"/>
      <c r="E366" s="396"/>
      <c r="F366" s="410"/>
      <c r="G366" s="396"/>
      <c r="H366" s="410"/>
      <c r="I366" s="410"/>
      <c r="J366" s="411"/>
      <c r="K366" s="399"/>
      <c r="L366" s="399"/>
      <c r="M366" s="73"/>
      <c r="N366" s="396"/>
      <c r="O366" s="396"/>
      <c r="P366" s="396"/>
      <c r="Q366" s="410"/>
      <c r="R366" s="411"/>
      <c r="S366" s="411"/>
      <c r="T366" s="411"/>
      <c r="AF366" s="352" t="n">
        <f aca="false">EOMONTH(AF365,0)+1</f>
        <v>47574</v>
      </c>
      <c r="AG366" s="311" t="n">
        <v>22</v>
      </c>
      <c r="AH366" s="311" t="n">
        <v>4</v>
      </c>
      <c r="AI366" s="311" t="n">
        <v>4</v>
      </c>
      <c r="AJ366" s="311" t="n">
        <v>0</v>
      </c>
      <c r="AK366" s="311" t="n">
        <v>30</v>
      </c>
      <c r="AL366" s="311"/>
      <c r="AM366" s="336"/>
    </row>
    <row r="367" customFormat="false" ht="12.75" hidden="false" customHeight="false" outlineLevel="0" collapsed="false">
      <c r="A367" s="408"/>
      <c r="B367" s="396"/>
      <c r="C367" s="409"/>
      <c r="D367" s="410"/>
      <c r="E367" s="396"/>
      <c r="F367" s="410"/>
      <c r="G367" s="396"/>
      <c r="H367" s="410"/>
      <c r="I367" s="410"/>
      <c r="J367" s="411"/>
      <c r="K367" s="399"/>
      <c r="L367" s="399"/>
      <c r="M367" s="73"/>
      <c r="N367" s="396"/>
      <c r="O367" s="396"/>
      <c r="P367" s="396"/>
      <c r="Q367" s="410"/>
      <c r="R367" s="411"/>
      <c r="S367" s="411"/>
      <c r="T367" s="411"/>
      <c r="AF367" s="352" t="n">
        <f aca="false">EOMONTH(AF366,0)+1</f>
        <v>47604</v>
      </c>
      <c r="AG367" s="311" t="n">
        <v>22</v>
      </c>
      <c r="AH367" s="311" t="n">
        <v>4</v>
      </c>
      <c r="AI367" s="311" t="n">
        <v>5</v>
      </c>
      <c r="AJ367" s="311" t="n">
        <v>1</v>
      </c>
      <c r="AK367" s="311" t="n">
        <v>31</v>
      </c>
      <c r="AL367" s="311"/>
      <c r="AM367" s="336"/>
    </row>
    <row r="368" customFormat="false" ht="12.75" hidden="false" customHeight="false" outlineLevel="0" collapsed="false">
      <c r="A368" s="408"/>
      <c r="B368" s="396"/>
      <c r="C368" s="409"/>
      <c r="D368" s="410"/>
      <c r="E368" s="396"/>
      <c r="F368" s="410"/>
      <c r="G368" s="396"/>
      <c r="H368" s="410"/>
      <c r="I368" s="410"/>
      <c r="J368" s="411"/>
      <c r="K368" s="399"/>
      <c r="L368" s="399"/>
      <c r="M368" s="73"/>
      <c r="N368" s="396"/>
      <c r="O368" s="396"/>
      <c r="P368" s="396"/>
      <c r="Q368" s="410"/>
      <c r="R368" s="411"/>
      <c r="S368" s="411"/>
      <c r="T368" s="411"/>
      <c r="AF368" s="352" t="n">
        <f aca="false">EOMONTH(AF367,0)+1</f>
        <v>47635</v>
      </c>
      <c r="AG368" s="311" t="n">
        <v>20</v>
      </c>
      <c r="AH368" s="311" t="n">
        <v>5</v>
      </c>
      <c r="AI368" s="311" t="n">
        <v>5</v>
      </c>
      <c r="AJ368" s="311" t="n">
        <v>0</v>
      </c>
      <c r="AK368" s="311" t="n">
        <v>30</v>
      </c>
      <c r="AL368" s="311"/>
      <c r="AM368" s="336"/>
    </row>
    <row r="369" customFormat="false" ht="12.75" hidden="false" customHeight="false" outlineLevel="0" collapsed="false">
      <c r="A369" s="408"/>
      <c r="B369" s="396"/>
      <c r="C369" s="409"/>
      <c r="D369" s="410"/>
      <c r="E369" s="396"/>
      <c r="F369" s="410"/>
      <c r="G369" s="396"/>
      <c r="H369" s="410"/>
      <c r="I369" s="410"/>
      <c r="J369" s="411"/>
      <c r="K369" s="399"/>
      <c r="L369" s="399"/>
      <c r="M369" s="73"/>
      <c r="N369" s="396"/>
      <c r="O369" s="396"/>
      <c r="P369" s="396"/>
      <c r="Q369" s="410"/>
      <c r="R369" s="411"/>
      <c r="S369" s="411"/>
      <c r="T369" s="411"/>
      <c r="AF369" s="352" t="n">
        <f aca="false">EOMONTH(AF368,0)+1</f>
        <v>47665</v>
      </c>
      <c r="AG369" s="311" t="n">
        <v>22</v>
      </c>
      <c r="AH369" s="311" t="n">
        <v>4</v>
      </c>
      <c r="AI369" s="311" t="n">
        <v>5</v>
      </c>
      <c r="AJ369" s="311" t="n">
        <v>1</v>
      </c>
      <c r="AK369" s="311" t="n">
        <v>31</v>
      </c>
      <c r="AL369" s="311"/>
      <c r="AM369" s="336"/>
    </row>
    <row r="370" customFormat="false" ht="12.75" hidden="false" customHeight="false" outlineLevel="0" collapsed="false">
      <c r="A370" s="408"/>
      <c r="B370" s="396"/>
      <c r="C370" s="409"/>
      <c r="D370" s="410"/>
      <c r="E370" s="396"/>
      <c r="F370" s="410"/>
      <c r="G370" s="396"/>
      <c r="H370" s="410"/>
      <c r="I370" s="410"/>
      <c r="J370" s="411"/>
      <c r="K370" s="399"/>
      <c r="L370" s="399"/>
      <c r="M370" s="73"/>
      <c r="N370" s="396"/>
      <c r="O370" s="396"/>
      <c r="P370" s="396"/>
      <c r="Q370" s="410"/>
      <c r="R370" s="411"/>
      <c r="S370" s="411"/>
      <c r="T370" s="411"/>
      <c r="AF370" s="352" t="n">
        <f aca="false">EOMONTH(AF369,0)+1</f>
        <v>47696</v>
      </c>
      <c r="AG370" s="311" t="n">
        <v>22</v>
      </c>
      <c r="AH370" s="311" t="n">
        <v>5</v>
      </c>
      <c r="AI370" s="311" t="n">
        <v>4</v>
      </c>
      <c r="AJ370" s="311" t="n">
        <v>0</v>
      </c>
      <c r="AK370" s="311" t="n">
        <v>31</v>
      </c>
      <c r="AL370" s="311"/>
      <c r="AM370" s="336"/>
    </row>
    <row r="371" customFormat="false" ht="12.75" hidden="false" customHeight="false" outlineLevel="0" collapsed="false">
      <c r="A371" s="408"/>
      <c r="B371" s="396"/>
      <c r="C371" s="409"/>
      <c r="D371" s="410"/>
      <c r="E371" s="396"/>
      <c r="F371" s="410"/>
      <c r="G371" s="396"/>
      <c r="H371" s="410"/>
      <c r="I371" s="410"/>
      <c r="J371" s="411"/>
      <c r="K371" s="399"/>
      <c r="L371" s="399"/>
      <c r="M371" s="73"/>
      <c r="N371" s="396"/>
      <c r="O371" s="396"/>
      <c r="P371" s="396"/>
      <c r="Q371" s="410"/>
      <c r="R371" s="411"/>
      <c r="S371" s="411"/>
      <c r="T371" s="411"/>
      <c r="AF371" s="352" t="n">
        <f aca="false">EOMONTH(AF370,0)+1</f>
        <v>47727</v>
      </c>
      <c r="AG371" s="311" t="n">
        <v>20</v>
      </c>
      <c r="AH371" s="311" t="n">
        <v>4</v>
      </c>
      <c r="AI371" s="311" t="n">
        <v>6</v>
      </c>
      <c r="AJ371" s="311" t="n">
        <v>1</v>
      </c>
      <c r="AK371" s="311" t="n">
        <v>30</v>
      </c>
      <c r="AL371" s="311"/>
      <c r="AM371" s="336"/>
    </row>
    <row r="372" customFormat="false" ht="12.75" hidden="false" customHeight="false" outlineLevel="0" collapsed="false">
      <c r="A372" s="408"/>
      <c r="B372" s="396"/>
      <c r="C372" s="409"/>
      <c r="D372" s="410"/>
      <c r="E372" s="396"/>
      <c r="F372" s="410"/>
      <c r="G372" s="396"/>
      <c r="H372" s="410"/>
      <c r="I372" s="410"/>
      <c r="J372" s="411"/>
      <c r="K372" s="399"/>
      <c r="L372" s="399"/>
      <c r="M372" s="73"/>
      <c r="N372" s="396"/>
      <c r="O372" s="396"/>
      <c r="P372" s="396"/>
      <c r="Q372" s="410"/>
      <c r="R372" s="411"/>
      <c r="S372" s="411"/>
      <c r="T372" s="411"/>
      <c r="AF372" s="352" t="n">
        <f aca="false">EOMONTH(AF371,0)+1</f>
        <v>47757</v>
      </c>
      <c r="AG372" s="311" t="n">
        <v>23</v>
      </c>
      <c r="AH372" s="311" t="n">
        <v>4</v>
      </c>
      <c r="AI372" s="311" t="n">
        <v>4</v>
      </c>
      <c r="AJ372" s="311" t="n">
        <v>0</v>
      </c>
      <c r="AK372" s="311" t="n">
        <v>31</v>
      </c>
      <c r="AL372" s="311"/>
      <c r="AM372" s="336"/>
    </row>
    <row r="373" customFormat="false" ht="12.75" hidden="false" customHeight="false" outlineLevel="0" collapsed="false">
      <c r="A373" s="408"/>
      <c r="B373" s="396"/>
      <c r="C373" s="409"/>
      <c r="D373" s="410"/>
      <c r="E373" s="396"/>
      <c r="F373" s="410"/>
      <c r="G373" s="396"/>
      <c r="H373" s="410"/>
      <c r="I373" s="410"/>
      <c r="J373" s="411"/>
      <c r="K373" s="399"/>
      <c r="L373" s="399"/>
      <c r="M373" s="73"/>
      <c r="N373" s="396"/>
      <c r="O373" s="396"/>
      <c r="P373" s="396"/>
      <c r="Q373" s="410"/>
      <c r="R373" s="411"/>
      <c r="S373" s="411"/>
      <c r="T373" s="411"/>
      <c r="AF373" s="352" t="n">
        <f aca="false">EOMONTH(AF372,0)+1</f>
        <v>47788</v>
      </c>
      <c r="AG373" s="311" t="n">
        <v>20</v>
      </c>
      <c r="AH373" s="311" t="n">
        <v>5</v>
      </c>
      <c r="AI373" s="311" t="n">
        <v>5</v>
      </c>
      <c r="AJ373" s="311" t="n">
        <v>1</v>
      </c>
      <c r="AK373" s="311" t="n">
        <v>30</v>
      </c>
      <c r="AL373" s="311"/>
      <c r="AM373" s="336"/>
    </row>
    <row r="374" customFormat="false" ht="12.75" hidden="false" customHeight="false" outlineLevel="0" collapsed="false">
      <c r="A374" s="408"/>
      <c r="B374" s="396"/>
      <c r="C374" s="409"/>
      <c r="D374" s="410"/>
      <c r="E374" s="396"/>
      <c r="F374" s="410"/>
      <c r="G374" s="396"/>
      <c r="H374" s="410"/>
      <c r="I374" s="410"/>
      <c r="J374" s="411"/>
      <c r="K374" s="399"/>
      <c r="L374" s="399"/>
      <c r="M374" s="73"/>
      <c r="N374" s="396"/>
      <c r="O374" s="396"/>
      <c r="P374" s="396"/>
      <c r="Q374" s="410"/>
      <c r="R374" s="411"/>
      <c r="S374" s="411"/>
      <c r="T374" s="411"/>
      <c r="AF374" s="352" t="n">
        <f aca="false">EOMONTH(AF373,0)+1</f>
        <v>47818</v>
      </c>
      <c r="AG374" s="311" t="n">
        <v>21</v>
      </c>
      <c r="AH374" s="311" t="n">
        <v>4</v>
      </c>
      <c r="AI374" s="311" t="n">
        <v>6</v>
      </c>
      <c r="AJ374" s="311" t="n">
        <v>1</v>
      </c>
      <c r="AK374" s="311" t="n">
        <v>31</v>
      </c>
      <c r="AL374" s="311"/>
      <c r="AM374" s="336"/>
    </row>
    <row r="375" customFormat="false" ht="12.75" hidden="false" customHeight="false" outlineLevel="0" collapsed="false">
      <c r="A375" s="408"/>
      <c r="B375" s="396"/>
      <c r="C375" s="409"/>
      <c r="D375" s="410"/>
      <c r="E375" s="396"/>
      <c r="F375" s="410"/>
      <c r="G375" s="396"/>
      <c r="H375" s="410"/>
      <c r="I375" s="410"/>
      <c r="J375" s="411"/>
      <c r="K375" s="399"/>
      <c r="L375" s="399"/>
      <c r="M375" s="73"/>
      <c r="N375" s="396"/>
      <c r="O375" s="396"/>
      <c r="P375" s="396"/>
      <c r="Q375" s="410"/>
      <c r="R375" s="411"/>
      <c r="S375" s="411"/>
      <c r="T375" s="411"/>
      <c r="AF375" s="352" t="n">
        <f aca="false">EOMONTH(AF374,0)+1</f>
        <v>47849</v>
      </c>
      <c r="AG375" s="311" t="n">
        <v>22</v>
      </c>
      <c r="AH375" s="311" t="n">
        <v>4</v>
      </c>
      <c r="AI375" s="311" t="n">
        <v>5</v>
      </c>
      <c r="AJ375" s="311" t="n">
        <v>1</v>
      </c>
      <c r="AK375" s="311" t="n">
        <v>31</v>
      </c>
      <c r="AL375" s="311"/>
      <c r="AM375" s="336"/>
    </row>
    <row r="376" customFormat="false" ht="12.75" hidden="false" customHeight="false" outlineLevel="0" collapsed="false">
      <c r="A376" s="408"/>
      <c r="B376" s="396"/>
      <c r="C376" s="409"/>
      <c r="D376" s="410"/>
      <c r="E376" s="396"/>
      <c r="F376" s="410"/>
      <c r="G376" s="396"/>
      <c r="H376" s="410"/>
      <c r="I376" s="410"/>
      <c r="J376" s="411"/>
      <c r="K376" s="399"/>
      <c r="L376" s="399"/>
      <c r="M376" s="73"/>
      <c r="N376" s="396"/>
      <c r="O376" s="396"/>
      <c r="P376" s="396"/>
      <c r="Q376" s="410"/>
      <c r="R376" s="411"/>
      <c r="S376" s="411"/>
      <c r="T376" s="411"/>
      <c r="AF376" s="352" t="n">
        <f aca="false">EOMONTH(AF375,0)+1</f>
        <v>47880</v>
      </c>
      <c r="AG376" s="311" t="n">
        <v>20</v>
      </c>
      <c r="AH376" s="311" t="n">
        <v>4</v>
      </c>
      <c r="AI376" s="311" t="n">
        <v>4</v>
      </c>
      <c r="AJ376" s="311" t="n">
        <v>0</v>
      </c>
      <c r="AK376" s="311" t="n">
        <v>28</v>
      </c>
      <c r="AL376" s="311"/>
      <c r="AM376" s="336"/>
    </row>
    <row r="377" customFormat="false" ht="12.75" hidden="false" customHeight="false" outlineLevel="0" collapsed="false">
      <c r="A377" s="408"/>
      <c r="B377" s="396"/>
      <c r="C377" s="409"/>
      <c r="D377" s="410"/>
      <c r="E377" s="396"/>
      <c r="F377" s="410"/>
      <c r="G377" s="396"/>
      <c r="H377" s="410"/>
      <c r="I377" s="410"/>
      <c r="J377" s="411"/>
      <c r="K377" s="399"/>
      <c r="L377" s="399"/>
      <c r="M377" s="73"/>
      <c r="N377" s="396"/>
      <c r="O377" s="396"/>
      <c r="P377" s="396"/>
      <c r="Q377" s="410"/>
      <c r="R377" s="411"/>
      <c r="S377" s="411"/>
      <c r="T377" s="411"/>
      <c r="AF377" s="352" t="n">
        <f aca="false">EOMONTH(AF376,0)+1</f>
        <v>47908</v>
      </c>
      <c r="AG377" s="311" t="n">
        <v>21</v>
      </c>
      <c r="AH377" s="311" t="n">
        <v>5</v>
      </c>
      <c r="AI377" s="311" t="n">
        <v>5</v>
      </c>
      <c r="AJ377" s="311" t="n">
        <v>0</v>
      </c>
      <c r="AK377" s="311" t="n">
        <v>31</v>
      </c>
      <c r="AL377" s="311"/>
      <c r="AM377" s="336"/>
    </row>
    <row r="378" customFormat="false" ht="12.75" hidden="false" customHeight="false" outlineLevel="0" collapsed="false">
      <c r="A378" s="408"/>
      <c r="B378" s="396"/>
      <c r="C378" s="409"/>
      <c r="D378" s="410"/>
      <c r="E378" s="396"/>
      <c r="F378" s="410"/>
      <c r="G378" s="396"/>
      <c r="H378" s="410"/>
      <c r="I378" s="410"/>
      <c r="J378" s="411"/>
      <c r="K378" s="399"/>
      <c r="L378" s="399"/>
      <c r="M378" s="73"/>
      <c r="N378" s="396"/>
      <c r="O378" s="396"/>
      <c r="P378" s="396"/>
      <c r="Q378" s="410"/>
      <c r="R378" s="411"/>
      <c r="S378" s="411"/>
      <c r="T378" s="411"/>
      <c r="AF378" s="352" t="n">
        <f aca="false">EOMONTH(AF377,0)+1</f>
        <v>47939</v>
      </c>
      <c r="AG378" s="311" t="n">
        <v>22</v>
      </c>
      <c r="AH378" s="311" t="n">
        <v>4</v>
      </c>
      <c r="AI378" s="311" t="n">
        <v>4</v>
      </c>
      <c r="AJ378" s="311" t="n">
        <v>0</v>
      </c>
      <c r="AK378" s="311" t="n">
        <v>30</v>
      </c>
      <c r="AL378" s="311"/>
      <c r="AM378" s="336"/>
    </row>
    <row r="379" customFormat="false" ht="12.75" hidden="false" customHeight="false" outlineLevel="0" collapsed="false">
      <c r="A379" s="408"/>
      <c r="B379" s="396"/>
      <c r="C379" s="409"/>
      <c r="D379" s="410"/>
      <c r="E379" s="396"/>
      <c r="F379" s="410"/>
      <c r="G379" s="396"/>
      <c r="H379" s="410"/>
      <c r="I379" s="410"/>
      <c r="J379" s="411"/>
      <c r="K379" s="399"/>
      <c r="L379" s="399"/>
      <c r="M379" s="73"/>
      <c r="N379" s="396"/>
      <c r="O379" s="396"/>
      <c r="P379" s="396"/>
      <c r="Q379" s="410"/>
      <c r="R379" s="411"/>
      <c r="S379" s="411"/>
      <c r="T379" s="411"/>
      <c r="AF379" s="352" t="n">
        <f aca="false">EOMONTH(AF378,0)+1</f>
        <v>47969</v>
      </c>
      <c r="AG379" s="311" t="n">
        <v>22</v>
      </c>
      <c r="AH379" s="311" t="n">
        <v>4</v>
      </c>
      <c r="AI379" s="311" t="n">
        <v>5</v>
      </c>
      <c r="AJ379" s="311" t="n">
        <v>1</v>
      </c>
      <c r="AK379" s="311" t="n">
        <v>31</v>
      </c>
      <c r="AL379" s="311"/>
      <c r="AM379" s="336"/>
    </row>
    <row r="380" customFormat="false" ht="12.75" hidden="false" customHeight="false" outlineLevel="0" collapsed="false">
      <c r="A380" s="408"/>
      <c r="B380" s="396"/>
      <c r="C380" s="409"/>
      <c r="D380" s="410"/>
      <c r="E380" s="396"/>
      <c r="F380" s="410"/>
      <c r="G380" s="396"/>
      <c r="H380" s="410"/>
      <c r="I380" s="410"/>
      <c r="J380" s="411"/>
      <c r="K380" s="399"/>
      <c r="L380" s="399"/>
      <c r="M380" s="73"/>
      <c r="N380" s="396"/>
      <c r="O380" s="396"/>
      <c r="P380" s="396"/>
      <c r="Q380" s="410"/>
      <c r="R380" s="411"/>
      <c r="S380" s="411"/>
      <c r="T380" s="411"/>
      <c r="AF380" s="352" t="n">
        <f aca="false">EOMONTH(AF379,0)+1</f>
        <v>48000</v>
      </c>
      <c r="AG380" s="311" t="n">
        <v>20</v>
      </c>
      <c r="AH380" s="311" t="n">
        <v>5</v>
      </c>
      <c r="AI380" s="311" t="n">
        <v>5</v>
      </c>
      <c r="AJ380" s="311" t="n">
        <v>0</v>
      </c>
      <c r="AK380" s="311" t="n">
        <v>30</v>
      </c>
      <c r="AL380" s="311"/>
      <c r="AM380" s="336"/>
    </row>
    <row r="381" customFormat="false" ht="12.75" hidden="false" customHeight="false" outlineLevel="0" collapsed="false">
      <c r="A381" s="408"/>
      <c r="B381" s="396"/>
      <c r="C381" s="409"/>
      <c r="D381" s="410"/>
      <c r="E381" s="396"/>
      <c r="F381" s="410"/>
      <c r="G381" s="396"/>
      <c r="H381" s="410"/>
      <c r="I381" s="410"/>
      <c r="J381" s="411"/>
      <c r="K381" s="399"/>
      <c r="L381" s="399"/>
      <c r="M381" s="73"/>
      <c r="N381" s="396"/>
      <c r="O381" s="396"/>
      <c r="P381" s="396"/>
      <c r="Q381" s="410"/>
      <c r="R381" s="411"/>
      <c r="S381" s="411"/>
      <c r="T381" s="411"/>
      <c r="AF381" s="352" t="n">
        <f aca="false">EOMONTH(AF380,0)+1</f>
        <v>48030</v>
      </c>
      <c r="AG381" s="311" t="n">
        <v>22</v>
      </c>
      <c r="AH381" s="311" t="n">
        <v>4</v>
      </c>
      <c r="AI381" s="311" t="n">
        <v>5</v>
      </c>
      <c r="AJ381" s="311" t="n">
        <v>1</v>
      </c>
      <c r="AK381" s="311" t="n">
        <v>31</v>
      </c>
      <c r="AL381" s="311"/>
      <c r="AM381" s="336"/>
    </row>
    <row r="382" customFormat="false" ht="12.75" hidden="false" customHeight="false" outlineLevel="0" collapsed="false">
      <c r="A382" s="408"/>
      <c r="B382" s="396"/>
      <c r="C382" s="409"/>
      <c r="D382" s="410"/>
      <c r="E382" s="396"/>
      <c r="F382" s="410"/>
      <c r="G382" s="396"/>
      <c r="H382" s="410"/>
      <c r="I382" s="410"/>
      <c r="J382" s="411"/>
      <c r="K382" s="399"/>
      <c r="L382" s="399"/>
      <c r="M382" s="73"/>
      <c r="N382" s="396"/>
      <c r="O382" s="396"/>
      <c r="P382" s="396"/>
      <c r="Q382" s="410"/>
      <c r="R382" s="411"/>
      <c r="S382" s="411"/>
      <c r="T382" s="411"/>
      <c r="AF382" s="352" t="n">
        <f aca="false">EOMONTH(AF381,0)+1</f>
        <v>48061</v>
      </c>
      <c r="AG382" s="311" t="n">
        <v>22</v>
      </c>
      <c r="AH382" s="311" t="n">
        <v>5</v>
      </c>
      <c r="AI382" s="311" t="n">
        <v>4</v>
      </c>
      <c r="AJ382" s="311" t="n">
        <v>0</v>
      </c>
      <c r="AK382" s="311" t="n">
        <v>31</v>
      </c>
      <c r="AL382" s="311"/>
      <c r="AM382" s="336"/>
    </row>
    <row r="383" customFormat="false" ht="12.75" hidden="false" customHeight="false" outlineLevel="0" collapsed="false">
      <c r="A383" s="408"/>
      <c r="B383" s="396"/>
      <c r="C383" s="409"/>
      <c r="D383" s="410"/>
      <c r="E383" s="396"/>
      <c r="F383" s="410"/>
      <c r="G383" s="396"/>
      <c r="H383" s="410"/>
      <c r="I383" s="410"/>
      <c r="J383" s="411"/>
      <c r="K383" s="399"/>
      <c r="L383" s="399"/>
      <c r="M383" s="73"/>
      <c r="N383" s="396"/>
      <c r="O383" s="396"/>
      <c r="P383" s="396"/>
      <c r="Q383" s="410"/>
      <c r="R383" s="411"/>
      <c r="S383" s="411"/>
      <c r="T383" s="411"/>
      <c r="AF383" s="352" t="n">
        <f aca="false">EOMONTH(AF382,0)+1</f>
        <v>48092</v>
      </c>
      <c r="AG383" s="311" t="n">
        <v>20</v>
      </c>
      <c r="AH383" s="311" t="n">
        <v>4</v>
      </c>
      <c r="AI383" s="311" t="n">
        <v>6</v>
      </c>
      <c r="AJ383" s="311" t="n">
        <v>1</v>
      </c>
      <c r="AK383" s="311" t="n">
        <v>30</v>
      </c>
      <c r="AL383" s="311"/>
      <c r="AM383" s="336"/>
    </row>
    <row r="384" customFormat="false" ht="12.75" hidden="false" customHeight="false" outlineLevel="0" collapsed="false">
      <c r="A384" s="408"/>
      <c r="B384" s="396"/>
      <c r="C384" s="409"/>
      <c r="D384" s="410"/>
      <c r="E384" s="396"/>
      <c r="F384" s="410"/>
      <c r="G384" s="396"/>
      <c r="H384" s="410"/>
      <c r="I384" s="410"/>
      <c r="J384" s="411"/>
      <c r="K384" s="399"/>
      <c r="L384" s="399"/>
      <c r="M384" s="73"/>
      <c r="N384" s="396"/>
      <c r="O384" s="396"/>
      <c r="P384" s="396"/>
      <c r="Q384" s="410"/>
      <c r="R384" s="411"/>
      <c r="S384" s="411"/>
      <c r="T384" s="411"/>
      <c r="AF384" s="352" t="n">
        <f aca="false">EOMONTH(AF383,0)+1</f>
        <v>48122</v>
      </c>
      <c r="AG384" s="311" t="n">
        <v>23</v>
      </c>
      <c r="AH384" s="311" t="n">
        <v>4</v>
      </c>
      <c r="AI384" s="311" t="n">
        <v>4</v>
      </c>
      <c r="AJ384" s="311" t="n">
        <v>0</v>
      </c>
      <c r="AK384" s="311" t="n">
        <v>31</v>
      </c>
      <c r="AL384" s="311"/>
      <c r="AM384" s="336"/>
    </row>
    <row r="385" customFormat="false" ht="12.75" hidden="false" customHeight="false" outlineLevel="0" collapsed="false">
      <c r="A385" s="408"/>
      <c r="B385" s="396"/>
      <c r="C385" s="409"/>
      <c r="D385" s="410"/>
      <c r="E385" s="396"/>
      <c r="F385" s="410"/>
      <c r="G385" s="396"/>
      <c r="H385" s="410"/>
      <c r="I385" s="410"/>
      <c r="J385" s="411"/>
      <c r="K385" s="399"/>
      <c r="L385" s="399"/>
      <c r="M385" s="73"/>
      <c r="N385" s="396"/>
      <c r="O385" s="396"/>
      <c r="P385" s="396"/>
      <c r="Q385" s="410"/>
      <c r="R385" s="411"/>
      <c r="S385" s="411"/>
      <c r="T385" s="411"/>
      <c r="AF385" s="352" t="n">
        <f aca="false">EOMONTH(AF384,0)+1</f>
        <v>48153</v>
      </c>
      <c r="AG385" s="311" t="n">
        <v>20</v>
      </c>
      <c r="AH385" s="311" t="n">
        <v>5</v>
      </c>
      <c r="AI385" s="311" t="n">
        <v>5</v>
      </c>
      <c r="AJ385" s="311" t="n">
        <v>1</v>
      </c>
      <c r="AK385" s="311" t="n">
        <v>30</v>
      </c>
      <c r="AL385" s="311"/>
      <c r="AM385" s="336"/>
    </row>
    <row r="386" customFormat="false" ht="12.75" hidden="false" customHeight="false" outlineLevel="0" collapsed="false">
      <c r="A386" s="408"/>
      <c r="B386" s="396"/>
      <c r="C386" s="409"/>
      <c r="D386" s="410"/>
      <c r="E386" s="396"/>
      <c r="F386" s="410"/>
      <c r="G386" s="396"/>
      <c r="H386" s="410"/>
      <c r="I386" s="410"/>
      <c r="J386" s="411"/>
      <c r="K386" s="399"/>
      <c r="L386" s="399"/>
      <c r="M386" s="73"/>
      <c r="N386" s="396"/>
      <c r="O386" s="396"/>
      <c r="P386" s="396"/>
      <c r="Q386" s="410"/>
      <c r="R386" s="411"/>
      <c r="S386" s="411"/>
      <c r="T386" s="411"/>
      <c r="AF386" s="352" t="n">
        <f aca="false">EOMONTH(AF385,0)+1</f>
        <v>48183</v>
      </c>
      <c r="AG386" s="311" t="n">
        <v>21</v>
      </c>
      <c r="AH386" s="311" t="n">
        <v>4</v>
      </c>
      <c r="AI386" s="311" t="n">
        <v>6</v>
      </c>
      <c r="AJ386" s="311" t="n">
        <v>1</v>
      </c>
      <c r="AK386" s="311" t="n">
        <v>31</v>
      </c>
      <c r="AL386" s="311"/>
      <c r="AM386" s="336"/>
    </row>
    <row r="387" customFormat="false" ht="12.75" hidden="false" customHeight="false" outlineLevel="0" collapsed="false">
      <c r="A387" s="408"/>
      <c r="B387" s="396"/>
      <c r="C387" s="409"/>
      <c r="D387" s="410"/>
      <c r="E387" s="396"/>
      <c r="F387" s="410"/>
      <c r="G387" s="396"/>
      <c r="H387" s="410"/>
      <c r="I387" s="410"/>
      <c r="J387" s="411"/>
      <c r="K387" s="399"/>
      <c r="L387" s="399"/>
      <c r="M387" s="73"/>
      <c r="N387" s="396"/>
      <c r="O387" s="396"/>
      <c r="P387" s="396"/>
      <c r="Q387" s="410"/>
      <c r="R387" s="411"/>
      <c r="S387" s="411"/>
      <c r="T387" s="411"/>
      <c r="AF387" s="352" t="n">
        <f aca="false">EOMONTH(AF386,0)+1</f>
        <v>48214</v>
      </c>
      <c r="AG387" s="311" t="n">
        <v>22</v>
      </c>
      <c r="AH387" s="311" t="n">
        <v>4</v>
      </c>
      <c r="AI387" s="311" t="n">
        <v>5</v>
      </c>
      <c r="AJ387" s="311" t="n">
        <v>1</v>
      </c>
      <c r="AK387" s="311" t="n">
        <v>31</v>
      </c>
      <c r="AL387" s="311"/>
      <c r="AM387" s="336"/>
    </row>
    <row r="388" customFormat="false" ht="12.75" hidden="false" customHeight="false" outlineLevel="0" collapsed="false">
      <c r="A388" s="408"/>
      <c r="B388" s="396"/>
      <c r="C388" s="409"/>
      <c r="D388" s="410"/>
      <c r="E388" s="396"/>
      <c r="F388" s="410"/>
      <c r="G388" s="396"/>
      <c r="H388" s="410"/>
      <c r="I388" s="410"/>
      <c r="J388" s="411"/>
      <c r="K388" s="399"/>
      <c r="L388" s="399"/>
      <c r="M388" s="73"/>
      <c r="N388" s="396"/>
      <c r="O388" s="396"/>
      <c r="P388" s="396"/>
      <c r="Q388" s="410"/>
      <c r="R388" s="411"/>
      <c r="S388" s="411"/>
      <c r="T388" s="411"/>
      <c r="AF388" s="352" t="n">
        <f aca="false">EOMONTH(AF387,0)+1</f>
        <v>48245</v>
      </c>
      <c r="AG388" s="311" t="n">
        <v>20</v>
      </c>
      <c r="AH388" s="311" t="n">
        <v>5</v>
      </c>
      <c r="AI388" s="311" t="n">
        <v>4</v>
      </c>
      <c r="AJ388" s="311" t="n">
        <v>0</v>
      </c>
      <c r="AK388" s="311" t="n">
        <v>29</v>
      </c>
      <c r="AL388" s="311"/>
      <c r="AM388" s="336"/>
    </row>
    <row r="389" customFormat="false" ht="12.75" hidden="false" customHeight="false" outlineLevel="0" collapsed="false">
      <c r="A389" s="408"/>
      <c r="B389" s="396"/>
      <c r="C389" s="409"/>
      <c r="D389" s="410"/>
      <c r="E389" s="396"/>
      <c r="F389" s="410"/>
      <c r="G389" s="396"/>
      <c r="H389" s="410"/>
      <c r="I389" s="410"/>
      <c r="J389" s="411"/>
      <c r="K389" s="399"/>
      <c r="L389" s="399"/>
      <c r="M389" s="73"/>
      <c r="N389" s="396"/>
      <c r="O389" s="396"/>
      <c r="P389" s="396"/>
      <c r="Q389" s="410"/>
      <c r="R389" s="411"/>
      <c r="S389" s="411"/>
      <c r="T389" s="411"/>
      <c r="AF389" s="352" t="n">
        <f aca="false">EOMONTH(AF388,0)+1</f>
        <v>48274</v>
      </c>
      <c r="AG389" s="311" t="n">
        <v>22</v>
      </c>
      <c r="AH389" s="311" t="n">
        <v>4</v>
      </c>
      <c r="AI389" s="311" t="n">
        <v>5</v>
      </c>
      <c r="AJ389" s="311" t="n">
        <v>0</v>
      </c>
      <c r="AK389" s="311" t="n">
        <v>31</v>
      </c>
      <c r="AL389" s="311"/>
      <c r="AM389" s="336"/>
    </row>
    <row r="390" customFormat="false" ht="12.75" hidden="false" customHeight="false" outlineLevel="0" collapsed="false">
      <c r="A390" s="408"/>
      <c r="B390" s="396"/>
      <c r="C390" s="409"/>
      <c r="D390" s="410"/>
      <c r="E390" s="396"/>
      <c r="F390" s="410"/>
      <c r="G390" s="396"/>
      <c r="H390" s="410"/>
      <c r="I390" s="410"/>
      <c r="J390" s="411"/>
      <c r="K390" s="399"/>
      <c r="L390" s="399"/>
      <c r="M390" s="73"/>
      <c r="N390" s="396"/>
      <c r="O390" s="396"/>
      <c r="P390" s="396"/>
      <c r="Q390" s="410"/>
      <c r="R390" s="411"/>
      <c r="S390" s="411"/>
      <c r="T390" s="411"/>
      <c r="AF390" s="352" t="n">
        <f aca="false">EOMONTH(AF389,0)+1</f>
        <v>48305</v>
      </c>
      <c r="AG390" s="311" t="n">
        <v>22</v>
      </c>
      <c r="AH390" s="311" t="n">
        <v>4</v>
      </c>
      <c r="AI390" s="311" t="n">
        <v>4</v>
      </c>
      <c r="AJ390" s="311" t="n">
        <v>0</v>
      </c>
      <c r="AK390" s="311" t="n">
        <v>30</v>
      </c>
      <c r="AL390" s="311"/>
      <c r="AM390" s="336"/>
    </row>
    <row r="391" customFormat="false" ht="12.75" hidden="false" customHeight="false" outlineLevel="0" collapsed="false">
      <c r="A391" s="408"/>
      <c r="B391" s="396"/>
      <c r="C391" s="409"/>
      <c r="D391" s="410"/>
      <c r="E391" s="396"/>
      <c r="F391" s="410"/>
      <c r="G391" s="396"/>
      <c r="H391" s="410"/>
      <c r="I391" s="410"/>
      <c r="J391" s="411"/>
      <c r="K391" s="399"/>
      <c r="L391" s="399"/>
      <c r="M391" s="73"/>
      <c r="N391" s="396"/>
      <c r="O391" s="396"/>
      <c r="P391" s="396"/>
      <c r="Q391" s="410"/>
      <c r="R391" s="411"/>
      <c r="S391" s="411"/>
      <c r="T391" s="411"/>
      <c r="AF391" s="352" t="n">
        <f aca="false">EOMONTH(AF390,0)+1</f>
        <v>48335</v>
      </c>
      <c r="AG391" s="311" t="n">
        <v>20</v>
      </c>
      <c r="AH391" s="311" t="n">
        <v>5</v>
      </c>
      <c r="AI391" s="311" t="n">
        <v>6</v>
      </c>
      <c r="AJ391" s="311" t="n">
        <v>1</v>
      </c>
      <c r="AK391" s="311" t="n">
        <v>31</v>
      </c>
      <c r="AL391" s="311"/>
      <c r="AM391" s="336"/>
    </row>
    <row r="392" customFormat="false" ht="12.75" hidden="false" customHeight="false" outlineLevel="0" collapsed="false">
      <c r="A392" s="408"/>
      <c r="B392" s="396"/>
      <c r="C392" s="409"/>
      <c r="D392" s="410"/>
      <c r="E392" s="396"/>
      <c r="F392" s="410"/>
      <c r="G392" s="396"/>
      <c r="H392" s="410"/>
      <c r="I392" s="410"/>
      <c r="J392" s="411"/>
      <c r="K392" s="399"/>
      <c r="L392" s="399"/>
      <c r="M392" s="73"/>
      <c r="N392" s="396"/>
      <c r="O392" s="396"/>
      <c r="P392" s="396"/>
      <c r="Q392" s="410"/>
      <c r="R392" s="411"/>
      <c r="S392" s="411"/>
      <c r="T392" s="411"/>
      <c r="AF392" s="352" t="n">
        <f aca="false">EOMONTH(AF391,0)+1</f>
        <v>48366</v>
      </c>
      <c r="AG392" s="311" t="n">
        <v>22</v>
      </c>
      <c r="AH392" s="311" t="n">
        <v>4</v>
      </c>
      <c r="AI392" s="311" t="n">
        <v>4</v>
      </c>
      <c r="AJ392" s="311" t="n">
        <v>0</v>
      </c>
      <c r="AK392" s="311" t="n">
        <v>30</v>
      </c>
      <c r="AL392" s="311"/>
      <c r="AM392" s="336"/>
    </row>
    <row r="393" customFormat="false" ht="12.75" hidden="false" customHeight="false" outlineLevel="0" collapsed="false">
      <c r="A393" s="408"/>
      <c r="B393" s="396"/>
      <c r="C393" s="409"/>
      <c r="D393" s="410"/>
      <c r="E393" s="396"/>
      <c r="F393" s="410"/>
      <c r="G393" s="396"/>
      <c r="H393" s="410"/>
      <c r="I393" s="410"/>
      <c r="J393" s="411"/>
      <c r="K393" s="399"/>
      <c r="L393" s="399"/>
      <c r="M393" s="73"/>
      <c r="N393" s="396"/>
      <c r="O393" s="396"/>
      <c r="P393" s="396"/>
      <c r="Q393" s="410"/>
      <c r="R393" s="411"/>
      <c r="S393" s="411"/>
      <c r="T393" s="411"/>
      <c r="AF393" s="352" t="n">
        <f aca="false">EOMONTH(AF392,0)+1</f>
        <v>48396</v>
      </c>
      <c r="AG393" s="311" t="n">
        <v>23</v>
      </c>
      <c r="AH393" s="311" t="n">
        <v>3</v>
      </c>
      <c r="AI393" s="311" t="n">
        <v>5</v>
      </c>
      <c r="AJ393" s="311" t="n">
        <v>1</v>
      </c>
      <c r="AK393" s="311" t="n">
        <v>31</v>
      </c>
      <c r="AL393" s="311"/>
      <c r="AM393" s="336"/>
    </row>
    <row r="394" customFormat="false" ht="12.75" hidden="false" customHeight="false" outlineLevel="0" collapsed="false">
      <c r="A394" s="408"/>
      <c r="B394" s="396"/>
      <c r="C394" s="409"/>
      <c r="D394" s="410"/>
      <c r="E394" s="396"/>
      <c r="F394" s="410"/>
      <c r="G394" s="396"/>
      <c r="H394" s="410"/>
      <c r="I394" s="410"/>
      <c r="J394" s="411"/>
      <c r="K394" s="399"/>
      <c r="L394" s="399"/>
      <c r="M394" s="73"/>
      <c r="N394" s="396"/>
      <c r="O394" s="396"/>
      <c r="P394" s="396"/>
      <c r="Q394" s="410"/>
      <c r="R394" s="411"/>
      <c r="S394" s="411"/>
      <c r="T394" s="411"/>
      <c r="AF394" s="352" t="n">
        <f aca="false">EOMONTH(AF393,0)+1</f>
        <v>48427</v>
      </c>
      <c r="AG394" s="311" t="n">
        <v>21</v>
      </c>
      <c r="AH394" s="311" t="n">
        <v>5</v>
      </c>
      <c r="AI394" s="311" t="n">
        <v>5</v>
      </c>
      <c r="AJ394" s="311" t="n">
        <v>0</v>
      </c>
      <c r="AK394" s="311" t="n">
        <v>31</v>
      </c>
      <c r="AL394" s="311"/>
      <c r="AM394" s="336"/>
    </row>
    <row r="395" customFormat="false" ht="12.75" hidden="false" customHeight="false" outlineLevel="0" collapsed="false">
      <c r="A395" s="408"/>
      <c r="B395" s="396"/>
      <c r="C395" s="409"/>
      <c r="D395" s="410"/>
      <c r="E395" s="396"/>
      <c r="F395" s="410"/>
      <c r="G395" s="396"/>
      <c r="H395" s="410"/>
      <c r="I395" s="410"/>
      <c r="J395" s="411"/>
      <c r="K395" s="399"/>
      <c r="L395" s="399"/>
      <c r="M395" s="73"/>
      <c r="N395" s="396"/>
      <c r="O395" s="396"/>
      <c r="P395" s="396"/>
      <c r="Q395" s="410"/>
      <c r="R395" s="411"/>
      <c r="S395" s="411"/>
      <c r="T395" s="411"/>
      <c r="AF395" s="352" t="n">
        <f aca="false">EOMONTH(AF394,0)+1</f>
        <v>48458</v>
      </c>
      <c r="AG395" s="311" t="n">
        <v>21</v>
      </c>
      <c r="AH395" s="311" t="n">
        <v>4</v>
      </c>
      <c r="AI395" s="311" t="n">
        <v>5</v>
      </c>
      <c r="AJ395" s="311" t="n">
        <v>1</v>
      </c>
      <c r="AK395" s="311" t="n">
        <v>30</v>
      </c>
      <c r="AL395" s="311"/>
      <c r="AM395" s="336"/>
    </row>
    <row r="396" customFormat="false" ht="12.75" hidden="false" customHeight="false" outlineLevel="0" collapsed="false">
      <c r="A396" s="408"/>
      <c r="B396" s="396"/>
      <c r="C396" s="409"/>
      <c r="D396" s="410"/>
      <c r="E396" s="396"/>
      <c r="F396" s="410"/>
      <c r="G396" s="396"/>
      <c r="H396" s="410"/>
      <c r="I396" s="410"/>
      <c r="J396" s="411"/>
      <c r="K396" s="399"/>
      <c r="L396" s="399"/>
      <c r="M396" s="73"/>
      <c r="N396" s="396"/>
      <c r="O396" s="396"/>
      <c r="P396" s="396"/>
      <c r="Q396" s="410"/>
      <c r="R396" s="411"/>
      <c r="S396" s="411"/>
      <c r="T396" s="411"/>
      <c r="AF396" s="352" t="n">
        <f aca="false">EOMONTH(AF395,0)+1</f>
        <v>48488</v>
      </c>
      <c r="AG396" s="311" t="n">
        <v>22</v>
      </c>
      <c r="AH396" s="311" t="n">
        <v>5</v>
      </c>
      <c r="AI396" s="311" t="n">
        <v>4</v>
      </c>
      <c r="AJ396" s="311" t="n">
        <v>0</v>
      </c>
      <c r="AK396" s="311" t="n">
        <v>31</v>
      </c>
      <c r="AL396" s="311"/>
      <c r="AM396" s="336"/>
    </row>
    <row r="397" customFormat="false" ht="12.75" hidden="false" customHeight="false" outlineLevel="0" collapsed="false">
      <c r="A397" s="408"/>
      <c r="B397" s="396"/>
      <c r="C397" s="409"/>
      <c r="D397" s="410"/>
      <c r="E397" s="396"/>
      <c r="F397" s="410"/>
      <c r="G397" s="396"/>
      <c r="H397" s="410"/>
      <c r="I397" s="410"/>
      <c r="J397" s="411"/>
      <c r="K397" s="399"/>
      <c r="L397" s="399"/>
      <c r="M397" s="73"/>
      <c r="N397" s="396"/>
      <c r="O397" s="396"/>
      <c r="P397" s="396"/>
      <c r="Q397" s="410"/>
      <c r="R397" s="411"/>
      <c r="S397" s="411"/>
      <c r="T397" s="411"/>
      <c r="AF397" s="352" t="n">
        <f aca="false">EOMONTH(AF396,0)+1</f>
        <v>48519</v>
      </c>
      <c r="AG397" s="311" t="n">
        <v>20</v>
      </c>
      <c r="AH397" s="311" t="n">
        <v>4</v>
      </c>
      <c r="AI397" s="311" t="n">
        <v>6</v>
      </c>
      <c r="AJ397" s="311" t="n">
        <v>1</v>
      </c>
      <c r="AK397" s="311" t="n">
        <v>30</v>
      </c>
      <c r="AL397" s="311"/>
      <c r="AM397" s="336"/>
    </row>
    <row r="398" customFormat="false" ht="12.75" hidden="false" customHeight="false" outlineLevel="0" collapsed="false">
      <c r="A398" s="408"/>
      <c r="B398" s="396"/>
      <c r="C398" s="409"/>
      <c r="D398" s="410"/>
      <c r="E398" s="396"/>
      <c r="F398" s="410"/>
      <c r="G398" s="396"/>
      <c r="H398" s="410"/>
      <c r="I398" s="410"/>
      <c r="J398" s="411"/>
      <c r="K398" s="399"/>
      <c r="L398" s="399"/>
      <c r="M398" s="73"/>
      <c r="N398" s="396"/>
      <c r="O398" s="396"/>
      <c r="P398" s="396"/>
      <c r="Q398" s="410"/>
      <c r="R398" s="411"/>
      <c r="S398" s="411"/>
      <c r="T398" s="411"/>
      <c r="AF398" s="352" t="n">
        <f aca="false">EOMONTH(AF397,0)+1</f>
        <v>48549</v>
      </c>
      <c r="AG398" s="311" t="n">
        <v>22</v>
      </c>
      <c r="AH398" s="311" t="n">
        <v>4</v>
      </c>
      <c r="AI398" s="311" t="n">
        <v>5</v>
      </c>
      <c r="AJ398" s="311" t="n">
        <v>1</v>
      </c>
      <c r="AK398" s="311" t="n">
        <v>31</v>
      </c>
      <c r="AL398" s="311"/>
      <c r="AM398" s="336"/>
    </row>
    <row r="399" customFormat="false" ht="12.75" hidden="false" customHeight="false" outlineLevel="0" collapsed="false">
      <c r="A399" s="408"/>
      <c r="B399" s="396"/>
      <c r="C399" s="409"/>
      <c r="D399" s="410"/>
      <c r="E399" s="396"/>
      <c r="F399" s="410"/>
      <c r="G399" s="396"/>
      <c r="H399" s="410"/>
      <c r="I399" s="410"/>
      <c r="J399" s="411"/>
      <c r="K399" s="399"/>
      <c r="L399" s="399"/>
      <c r="M399" s="73"/>
      <c r="N399" s="396"/>
      <c r="O399" s="396"/>
      <c r="P399" s="396"/>
      <c r="Q399" s="410"/>
      <c r="R399" s="411"/>
      <c r="S399" s="411"/>
      <c r="T399" s="411"/>
      <c r="AF399" s="352" t="n">
        <f aca="false">EOMONTH(AF398,0)+1</f>
        <v>48580</v>
      </c>
      <c r="AG399" s="311" t="n">
        <v>22</v>
      </c>
      <c r="AH399" s="311" t="n">
        <v>4</v>
      </c>
      <c r="AI399" s="311" t="n">
        <v>5</v>
      </c>
      <c r="AJ399" s="311" t="n">
        <v>1</v>
      </c>
      <c r="AK399" s="311" t="n">
        <v>31</v>
      </c>
      <c r="AL399" s="311"/>
      <c r="AM399" s="336"/>
    </row>
    <row r="400" customFormat="false" ht="12.75" hidden="false" customHeight="false" outlineLevel="0" collapsed="false">
      <c r="A400" s="408"/>
      <c r="B400" s="396"/>
      <c r="C400" s="409"/>
      <c r="D400" s="410"/>
      <c r="E400" s="396"/>
      <c r="F400" s="410"/>
      <c r="G400" s="396"/>
      <c r="H400" s="410"/>
      <c r="I400" s="410"/>
      <c r="J400" s="411"/>
      <c r="K400" s="399"/>
      <c r="L400" s="399"/>
      <c r="M400" s="73"/>
      <c r="N400" s="396"/>
      <c r="O400" s="396"/>
      <c r="P400" s="396"/>
      <c r="Q400" s="410"/>
      <c r="R400" s="411"/>
      <c r="S400" s="411"/>
      <c r="T400" s="411"/>
      <c r="AF400" s="352" t="n">
        <f aca="false">EOMONTH(AF399,0)+1</f>
        <v>48611</v>
      </c>
      <c r="AG400" s="311" t="n">
        <v>20</v>
      </c>
      <c r="AH400" s="311" t="n">
        <v>4</v>
      </c>
      <c r="AI400" s="311" t="n">
        <v>4</v>
      </c>
      <c r="AJ400" s="311" t="n">
        <v>0</v>
      </c>
      <c r="AK400" s="311" t="n">
        <v>28</v>
      </c>
      <c r="AL400" s="311"/>
      <c r="AM400" s="336"/>
    </row>
    <row r="401" customFormat="false" ht="12.75" hidden="false" customHeight="false" outlineLevel="0" collapsed="false">
      <c r="A401" s="408"/>
      <c r="B401" s="396"/>
      <c r="C401" s="409"/>
      <c r="D401" s="410"/>
      <c r="E401" s="396"/>
      <c r="F401" s="410"/>
      <c r="G401" s="396"/>
      <c r="H401" s="410"/>
      <c r="I401" s="410"/>
      <c r="J401" s="411"/>
      <c r="K401" s="399"/>
      <c r="L401" s="399"/>
      <c r="M401" s="73"/>
      <c r="N401" s="396"/>
      <c r="O401" s="396"/>
      <c r="P401" s="396"/>
      <c r="Q401" s="410"/>
      <c r="R401" s="411"/>
      <c r="S401" s="411"/>
      <c r="T401" s="411"/>
      <c r="AF401" s="352" t="n">
        <f aca="false">EOMONTH(AF400,0)+1</f>
        <v>48639</v>
      </c>
      <c r="AG401" s="311" t="n">
        <v>21</v>
      </c>
      <c r="AH401" s="311" t="n">
        <v>5</v>
      </c>
      <c r="AI401" s="311" t="n">
        <v>5</v>
      </c>
      <c r="AJ401" s="311" t="n">
        <v>0</v>
      </c>
      <c r="AK401" s="311" t="n">
        <v>31</v>
      </c>
      <c r="AL401" s="311"/>
      <c r="AM401" s="336"/>
    </row>
    <row r="402" customFormat="false" ht="12.75" hidden="false" customHeight="false" outlineLevel="0" collapsed="false">
      <c r="A402" s="408"/>
      <c r="B402" s="396"/>
      <c r="C402" s="409"/>
      <c r="D402" s="410"/>
      <c r="E402" s="396"/>
      <c r="F402" s="410"/>
      <c r="G402" s="396"/>
      <c r="H402" s="410"/>
      <c r="I402" s="410"/>
      <c r="J402" s="411"/>
      <c r="K402" s="399"/>
      <c r="L402" s="399"/>
      <c r="M402" s="73"/>
      <c r="N402" s="396"/>
      <c r="O402" s="396"/>
      <c r="P402" s="396"/>
      <c r="Q402" s="410"/>
      <c r="R402" s="411"/>
      <c r="S402" s="411"/>
      <c r="T402" s="411"/>
      <c r="AF402" s="352" t="n">
        <f aca="false">EOMONTH(AF401,0)+1</f>
        <v>48670</v>
      </c>
      <c r="AG402" s="311" t="n">
        <v>22</v>
      </c>
      <c r="AH402" s="311" t="n">
        <v>4</v>
      </c>
      <c r="AI402" s="311" t="n">
        <v>4</v>
      </c>
      <c r="AJ402" s="311" t="n">
        <v>0</v>
      </c>
      <c r="AK402" s="311" t="n">
        <v>30</v>
      </c>
      <c r="AL402" s="311"/>
      <c r="AM402" s="336"/>
    </row>
    <row r="403" customFormat="false" ht="12.75" hidden="false" customHeight="false" outlineLevel="0" collapsed="false">
      <c r="A403" s="408"/>
      <c r="B403" s="396"/>
      <c r="C403" s="409"/>
      <c r="D403" s="410"/>
      <c r="E403" s="396"/>
      <c r="F403" s="410"/>
      <c r="G403" s="396"/>
      <c r="H403" s="410"/>
      <c r="I403" s="410"/>
      <c r="J403" s="411"/>
      <c r="K403" s="399"/>
      <c r="L403" s="399"/>
      <c r="M403" s="73"/>
      <c r="N403" s="396"/>
      <c r="O403" s="396"/>
      <c r="P403" s="396"/>
      <c r="Q403" s="410"/>
      <c r="R403" s="411"/>
      <c r="S403" s="411"/>
      <c r="T403" s="411"/>
      <c r="AF403" s="352" t="n">
        <f aca="false">EOMONTH(AF402,0)+1</f>
        <v>48700</v>
      </c>
      <c r="AG403" s="311" t="n">
        <v>22</v>
      </c>
      <c r="AH403" s="311" t="n">
        <v>4</v>
      </c>
      <c r="AI403" s="311" t="n">
        <v>5</v>
      </c>
      <c r="AJ403" s="311" t="n">
        <v>1</v>
      </c>
      <c r="AK403" s="311" t="n">
        <v>31</v>
      </c>
      <c r="AL403" s="311"/>
      <c r="AM403" s="336"/>
    </row>
    <row r="404" customFormat="false" ht="12.75" hidden="false" customHeight="false" outlineLevel="0" collapsed="false">
      <c r="A404" s="408"/>
      <c r="B404" s="396"/>
      <c r="C404" s="409"/>
      <c r="D404" s="410"/>
      <c r="E404" s="396"/>
      <c r="F404" s="410"/>
      <c r="G404" s="396"/>
      <c r="H404" s="410"/>
      <c r="I404" s="410"/>
      <c r="J404" s="411"/>
      <c r="K404" s="399"/>
      <c r="L404" s="399"/>
      <c r="M404" s="73"/>
      <c r="N404" s="396"/>
      <c r="O404" s="396"/>
      <c r="P404" s="396"/>
      <c r="Q404" s="410"/>
      <c r="R404" s="411"/>
      <c r="S404" s="411"/>
      <c r="T404" s="411"/>
      <c r="AF404" s="352" t="n">
        <f aca="false">EOMONTH(AF403,0)+1</f>
        <v>48731</v>
      </c>
      <c r="AG404" s="311" t="n">
        <v>20</v>
      </c>
      <c r="AH404" s="311" t="n">
        <v>5</v>
      </c>
      <c r="AI404" s="311" t="n">
        <v>5</v>
      </c>
      <c r="AJ404" s="311" t="n">
        <v>0</v>
      </c>
      <c r="AK404" s="311" t="n">
        <v>30</v>
      </c>
      <c r="AL404" s="311"/>
      <c r="AM404" s="336"/>
    </row>
    <row r="405" customFormat="false" ht="12.75" hidden="false" customHeight="false" outlineLevel="0" collapsed="false">
      <c r="A405" s="408"/>
      <c r="B405" s="396"/>
      <c r="C405" s="409"/>
      <c r="D405" s="410"/>
      <c r="E405" s="396"/>
      <c r="F405" s="410"/>
      <c r="G405" s="396"/>
      <c r="H405" s="410"/>
      <c r="I405" s="410"/>
      <c r="J405" s="411"/>
      <c r="K405" s="399"/>
      <c r="L405" s="399"/>
      <c r="M405" s="73"/>
      <c r="N405" s="396"/>
      <c r="O405" s="396"/>
      <c r="P405" s="396"/>
      <c r="Q405" s="410"/>
      <c r="R405" s="411"/>
      <c r="S405" s="411"/>
      <c r="T405" s="411"/>
      <c r="AF405" s="352" t="n">
        <f aca="false">EOMONTH(AF404,0)+1</f>
        <v>48761</v>
      </c>
      <c r="AG405" s="311" t="n">
        <v>22</v>
      </c>
      <c r="AH405" s="311" t="n">
        <v>4</v>
      </c>
      <c r="AI405" s="311" t="n">
        <v>5</v>
      </c>
      <c r="AJ405" s="311" t="n">
        <v>1</v>
      </c>
      <c r="AK405" s="311" t="n">
        <v>31</v>
      </c>
      <c r="AL405" s="311"/>
      <c r="AM405" s="336"/>
    </row>
    <row r="406" customFormat="false" ht="12.75" hidden="false" customHeight="false" outlineLevel="0" collapsed="false">
      <c r="A406" s="408"/>
      <c r="B406" s="396"/>
      <c r="C406" s="409"/>
      <c r="D406" s="410"/>
      <c r="E406" s="396"/>
      <c r="F406" s="410"/>
      <c r="G406" s="396"/>
      <c r="H406" s="410"/>
      <c r="I406" s="410"/>
      <c r="J406" s="411"/>
      <c r="K406" s="399"/>
      <c r="L406" s="399"/>
      <c r="M406" s="73"/>
      <c r="N406" s="396"/>
      <c r="O406" s="396"/>
      <c r="P406" s="396"/>
      <c r="Q406" s="410"/>
      <c r="R406" s="411"/>
      <c r="S406" s="411"/>
      <c r="T406" s="411"/>
      <c r="AF406" s="352" t="n">
        <f aca="false">EOMONTH(AF405,0)+1</f>
        <v>48792</v>
      </c>
      <c r="AG406" s="311" t="n">
        <v>22</v>
      </c>
      <c r="AH406" s="311" t="n">
        <v>5</v>
      </c>
      <c r="AI406" s="311" t="n">
        <v>4</v>
      </c>
      <c r="AJ406" s="311" t="n">
        <v>0</v>
      </c>
      <c r="AK406" s="311" t="n">
        <v>31</v>
      </c>
      <c r="AL406" s="311"/>
      <c r="AM406" s="336"/>
    </row>
    <row r="407" customFormat="false" ht="12.75" hidden="false" customHeight="false" outlineLevel="0" collapsed="false">
      <c r="A407" s="408"/>
      <c r="B407" s="396"/>
      <c r="C407" s="409"/>
      <c r="D407" s="410"/>
      <c r="E407" s="396"/>
      <c r="F407" s="410"/>
      <c r="G407" s="396"/>
      <c r="H407" s="410"/>
      <c r="I407" s="410"/>
      <c r="J407" s="411"/>
      <c r="K407" s="399"/>
      <c r="L407" s="399"/>
      <c r="M407" s="73"/>
      <c r="N407" s="396"/>
      <c r="O407" s="396"/>
      <c r="P407" s="396"/>
      <c r="Q407" s="410"/>
      <c r="R407" s="411"/>
      <c r="S407" s="411"/>
      <c r="T407" s="411"/>
      <c r="AF407" s="352" t="n">
        <f aca="false">EOMONTH(AF406,0)+1</f>
        <v>48823</v>
      </c>
      <c r="AG407" s="311" t="n">
        <v>20</v>
      </c>
      <c r="AH407" s="311" t="n">
        <v>4</v>
      </c>
      <c r="AI407" s="311" t="n">
        <v>6</v>
      </c>
      <c r="AJ407" s="311" t="n">
        <v>1</v>
      </c>
      <c r="AK407" s="311" t="n">
        <v>30</v>
      </c>
      <c r="AL407" s="311"/>
      <c r="AM407" s="336"/>
    </row>
    <row r="408" customFormat="false" ht="12.75" hidden="false" customHeight="false" outlineLevel="0" collapsed="false">
      <c r="A408" s="408"/>
      <c r="B408" s="396"/>
      <c r="C408" s="409"/>
      <c r="D408" s="410"/>
      <c r="E408" s="396"/>
      <c r="F408" s="410"/>
      <c r="G408" s="396"/>
      <c r="H408" s="410"/>
      <c r="I408" s="410"/>
      <c r="J408" s="411"/>
      <c r="K408" s="399"/>
      <c r="L408" s="399"/>
      <c r="M408" s="73"/>
      <c r="N408" s="396"/>
      <c r="O408" s="396"/>
      <c r="P408" s="396"/>
      <c r="Q408" s="410"/>
      <c r="R408" s="411"/>
      <c r="S408" s="411"/>
      <c r="T408" s="411"/>
      <c r="AF408" s="352" t="n">
        <f aca="false">EOMONTH(AF407,0)+1</f>
        <v>48853</v>
      </c>
      <c r="AG408" s="311" t="n">
        <v>23</v>
      </c>
      <c r="AH408" s="311" t="n">
        <v>4</v>
      </c>
      <c r="AI408" s="311" t="n">
        <v>4</v>
      </c>
      <c r="AJ408" s="311" t="n">
        <v>0</v>
      </c>
      <c r="AK408" s="311" t="n">
        <v>31</v>
      </c>
      <c r="AL408" s="311"/>
      <c r="AM408" s="336"/>
    </row>
    <row r="409" customFormat="false" ht="12.75" hidden="false" customHeight="false" outlineLevel="0" collapsed="false">
      <c r="A409" s="408"/>
      <c r="B409" s="396"/>
      <c r="C409" s="409"/>
      <c r="D409" s="410"/>
      <c r="E409" s="396"/>
      <c r="F409" s="410"/>
      <c r="G409" s="396"/>
      <c r="H409" s="410"/>
      <c r="I409" s="410"/>
      <c r="J409" s="411"/>
      <c r="K409" s="399"/>
      <c r="L409" s="399"/>
      <c r="M409" s="73"/>
      <c r="N409" s="396"/>
      <c r="O409" s="396"/>
      <c r="P409" s="396"/>
      <c r="Q409" s="410"/>
      <c r="R409" s="411"/>
      <c r="S409" s="411"/>
      <c r="T409" s="411"/>
      <c r="AF409" s="352" t="n">
        <f aca="false">EOMONTH(AF408,0)+1</f>
        <v>48884</v>
      </c>
      <c r="AG409" s="311" t="n">
        <v>20</v>
      </c>
      <c r="AH409" s="311" t="n">
        <v>5</v>
      </c>
      <c r="AI409" s="311" t="n">
        <v>5</v>
      </c>
      <c r="AJ409" s="311" t="n">
        <v>1</v>
      </c>
      <c r="AK409" s="311" t="n">
        <v>30</v>
      </c>
      <c r="AL409" s="311"/>
      <c r="AM409" s="336"/>
    </row>
    <row r="410" customFormat="false" ht="12.75" hidden="false" customHeight="false" outlineLevel="0" collapsed="false">
      <c r="A410" s="408"/>
      <c r="B410" s="396"/>
      <c r="C410" s="409"/>
      <c r="D410" s="410"/>
      <c r="E410" s="396"/>
      <c r="F410" s="410"/>
      <c r="G410" s="396"/>
      <c r="H410" s="410"/>
      <c r="I410" s="410"/>
      <c r="J410" s="411"/>
      <c r="K410" s="399"/>
      <c r="L410" s="399"/>
      <c r="M410" s="73"/>
      <c r="N410" s="396"/>
      <c r="O410" s="396"/>
      <c r="P410" s="396"/>
      <c r="Q410" s="410"/>
      <c r="R410" s="411"/>
      <c r="S410" s="411"/>
      <c r="T410" s="411"/>
      <c r="AF410" s="352" t="n">
        <f aca="false">EOMONTH(AF409,0)+1</f>
        <v>48914</v>
      </c>
      <c r="AG410" s="311" t="n">
        <v>21</v>
      </c>
      <c r="AH410" s="311" t="n">
        <v>4</v>
      </c>
      <c r="AI410" s="311" t="n">
        <v>6</v>
      </c>
      <c r="AJ410" s="311" t="n">
        <v>1</v>
      </c>
      <c r="AK410" s="311" t="n">
        <v>31</v>
      </c>
      <c r="AL410" s="311"/>
      <c r="AM410" s="336"/>
    </row>
    <row r="411" customFormat="false" ht="12.75" hidden="false" customHeight="false" outlineLevel="0" collapsed="false">
      <c r="A411" s="408"/>
      <c r="B411" s="396"/>
      <c r="C411" s="409"/>
      <c r="D411" s="410"/>
      <c r="E411" s="396"/>
      <c r="F411" s="410"/>
      <c r="G411" s="396"/>
      <c r="H411" s="410"/>
      <c r="I411" s="410"/>
      <c r="J411" s="411"/>
      <c r="K411" s="399"/>
      <c r="L411" s="399"/>
      <c r="M411" s="73"/>
      <c r="N411" s="396"/>
      <c r="O411" s="396"/>
      <c r="P411" s="396"/>
      <c r="Q411" s="410"/>
      <c r="R411" s="411"/>
      <c r="S411" s="411"/>
      <c r="T411" s="411"/>
      <c r="AF411" s="352" t="n">
        <f aca="false">EOMONTH(AF410,0)+1</f>
        <v>48945</v>
      </c>
      <c r="AG411" s="311" t="n">
        <v>22</v>
      </c>
      <c r="AH411" s="311" t="n">
        <v>4</v>
      </c>
      <c r="AI411" s="311" t="n">
        <v>5</v>
      </c>
      <c r="AJ411" s="311" t="n">
        <v>1</v>
      </c>
      <c r="AK411" s="311" t="n">
        <v>31</v>
      </c>
      <c r="AL411" s="311"/>
      <c r="AM411" s="336"/>
    </row>
    <row r="412" customFormat="false" ht="12.75" hidden="false" customHeight="false" outlineLevel="0" collapsed="false">
      <c r="A412" s="408"/>
      <c r="B412" s="396"/>
      <c r="C412" s="409"/>
      <c r="D412" s="410"/>
      <c r="E412" s="396"/>
      <c r="F412" s="410"/>
      <c r="G412" s="396"/>
      <c r="H412" s="410"/>
      <c r="I412" s="410"/>
      <c r="J412" s="411"/>
      <c r="K412" s="399"/>
      <c r="L412" s="399"/>
      <c r="M412" s="73"/>
      <c r="N412" s="396"/>
      <c r="O412" s="396"/>
      <c r="P412" s="396"/>
      <c r="Q412" s="410"/>
      <c r="R412" s="411"/>
      <c r="S412" s="411"/>
      <c r="T412" s="411"/>
      <c r="AF412" s="352" t="n">
        <f aca="false">EOMONTH(AF411,0)+1</f>
        <v>48976</v>
      </c>
      <c r="AG412" s="311" t="n">
        <v>20</v>
      </c>
      <c r="AH412" s="311" t="n">
        <v>4</v>
      </c>
      <c r="AI412" s="311" t="n">
        <v>4</v>
      </c>
      <c r="AJ412" s="311" t="n">
        <v>0</v>
      </c>
      <c r="AK412" s="311" t="n">
        <v>28</v>
      </c>
      <c r="AL412" s="311"/>
      <c r="AM412" s="336"/>
    </row>
    <row r="413" customFormat="false" ht="12.75" hidden="false" customHeight="false" outlineLevel="0" collapsed="false">
      <c r="A413" s="408"/>
      <c r="B413" s="396"/>
      <c r="C413" s="409"/>
      <c r="D413" s="410"/>
      <c r="E413" s="396"/>
      <c r="F413" s="410"/>
      <c r="G413" s="396"/>
      <c r="H413" s="410"/>
      <c r="I413" s="410"/>
      <c r="J413" s="411"/>
      <c r="K413" s="399"/>
      <c r="L413" s="399"/>
      <c r="M413" s="73"/>
      <c r="N413" s="396"/>
      <c r="O413" s="396"/>
      <c r="P413" s="396"/>
      <c r="Q413" s="410"/>
      <c r="R413" s="411"/>
      <c r="S413" s="411"/>
      <c r="T413" s="411"/>
      <c r="AF413" s="352" t="n">
        <f aca="false">EOMONTH(AF412,0)+1</f>
        <v>49004</v>
      </c>
      <c r="AG413" s="311" t="n">
        <v>21</v>
      </c>
      <c r="AH413" s="311" t="n">
        <v>5</v>
      </c>
      <c r="AI413" s="311" t="n">
        <v>5</v>
      </c>
      <c r="AJ413" s="311" t="n">
        <v>0</v>
      </c>
      <c r="AK413" s="311" t="n">
        <v>31</v>
      </c>
      <c r="AL413" s="311"/>
      <c r="AM413" s="336"/>
    </row>
    <row r="414" customFormat="false" ht="12.75" hidden="false" customHeight="false" outlineLevel="0" collapsed="false">
      <c r="A414" s="408"/>
      <c r="B414" s="396"/>
      <c r="C414" s="409"/>
      <c r="D414" s="410"/>
      <c r="E414" s="396"/>
      <c r="F414" s="410"/>
      <c r="G414" s="396"/>
      <c r="H414" s="410"/>
      <c r="I414" s="410"/>
      <c r="J414" s="411"/>
      <c r="K414" s="399"/>
      <c r="L414" s="399"/>
      <c r="M414" s="73"/>
      <c r="N414" s="396"/>
      <c r="O414" s="396"/>
      <c r="P414" s="396"/>
      <c r="Q414" s="410"/>
      <c r="R414" s="411"/>
      <c r="S414" s="411"/>
      <c r="T414" s="411"/>
      <c r="AF414" s="352" t="n">
        <f aca="false">EOMONTH(AF413,0)+1</f>
        <v>49035</v>
      </c>
      <c r="AG414" s="311" t="n">
        <v>22</v>
      </c>
      <c r="AH414" s="311" t="n">
        <v>4</v>
      </c>
      <c r="AI414" s="311" t="n">
        <v>4</v>
      </c>
      <c r="AJ414" s="311" t="n">
        <v>0</v>
      </c>
      <c r="AK414" s="311" t="n">
        <v>30</v>
      </c>
      <c r="AL414" s="311"/>
      <c r="AM414" s="336"/>
    </row>
    <row r="415" customFormat="false" ht="12.75" hidden="false" customHeight="false" outlineLevel="0" collapsed="false">
      <c r="A415" s="408"/>
      <c r="B415" s="396"/>
      <c r="C415" s="409"/>
      <c r="D415" s="410"/>
      <c r="E415" s="396"/>
      <c r="F415" s="410"/>
      <c r="G415" s="396"/>
      <c r="H415" s="410"/>
      <c r="I415" s="410"/>
      <c r="J415" s="411"/>
      <c r="K415" s="399"/>
      <c r="L415" s="399"/>
      <c r="M415" s="73"/>
      <c r="N415" s="396"/>
      <c r="O415" s="396"/>
      <c r="P415" s="396"/>
      <c r="Q415" s="410"/>
      <c r="R415" s="411"/>
      <c r="S415" s="411"/>
      <c r="T415" s="411"/>
      <c r="AF415" s="352" t="n">
        <f aca="false">EOMONTH(AF414,0)+1</f>
        <v>49065</v>
      </c>
      <c r="AG415" s="311" t="n">
        <v>22</v>
      </c>
      <c r="AH415" s="311" t="n">
        <v>4</v>
      </c>
      <c r="AI415" s="311" t="n">
        <v>5</v>
      </c>
      <c r="AJ415" s="311" t="n">
        <v>1</v>
      </c>
      <c r="AK415" s="311" t="n">
        <v>31</v>
      </c>
      <c r="AL415" s="311"/>
      <c r="AM415" s="336"/>
    </row>
    <row r="416" customFormat="false" ht="12.75" hidden="false" customHeight="false" outlineLevel="0" collapsed="false">
      <c r="A416" s="408"/>
      <c r="B416" s="396"/>
      <c r="C416" s="409"/>
      <c r="D416" s="410"/>
      <c r="E416" s="396"/>
      <c r="F416" s="410"/>
      <c r="G416" s="396"/>
      <c r="H416" s="410"/>
      <c r="I416" s="410"/>
      <c r="J416" s="411"/>
      <c r="K416" s="399"/>
      <c r="L416" s="399"/>
      <c r="M416" s="73"/>
      <c r="N416" s="396"/>
      <c r="O416" s="396"/>
      <c r="P416" s="396"/>
      <c r="Q416" s="410"/>
      <c r="R416" s="411"/>
      <c r="S416" s="411"/>
      <c r="T416" s="411"/>
      <c r="AF416" s="352" t="n">
        <f aca="false">EOMONTH(AF415,0)+1</f>
        <v>49096</v>
      </c>
      <c r="AG416" s="311" t="n">
        <v>20</v>
      </c>
      <c r="AH416" s="311" t="n">
        <v>5</v>
      </c>
      <c r="AI416" s="311" t="n">
        <v>5</v>
      </c>
      <c r="AJ416" s="311" t="n">
        <v>0</v>
      </c>
      <c r="AK416" s="311" t="n">
        <v>30</v>
      </c>
      <c r="AL416" s="311"/>
      <c r="AM416" s="336"/>
    </row>
    <row r="417" customFormat="false" ht="12.75" hidden="false" customHeight="false" outlineLevel="0" collapsed="false">
      <c r="A417" s="408"/>
      <c r="B417" s="396"/>
      <c r="C417" s="409"/>
      <c r="D417" s="410"/>
      <c r="E417" s="396"/>
      <c r="F417" s="410"/>
      <c r="G417" s="396"/>
      <c r="H417" s="410"/>
      <c r="I417" s="410"/>
      <c r="J417" s="411"/>
      <c r="K417" s="399"/>
      <c r="L417" s="399"/>
      <c r="M417" s="73"/>
      <c r="N417" s="396"/>
      <c r="O417" s="396"/>
      <c r="P417" s="396"/>
      <c r="Q417" s="410"/>
      <c r="R417" s="411"/>
      <c r="S417" s="411"/>
      <c r="T417" s="411"/>
      <c r="AF417" s="352" t="n">
        <f aca="false">EOMONTH(AF416,0)+1</f>
        <v>49126</v>
      </c>
      <c r="AG417" s="311" t="n">
        <v>22</v>
      </c>
      <c r="AH417" s="311" t="n">
        <v>4</v>
      </c>
      <c r="AI417" s="311" t="n">
        <v>5</v>
      </c>
      <c r="AJ417" s="311" t="n">
        <v>1</v>
      </c>
      <c r="AK417" s="311" t="n">
        <v>31</v>
      </c>
      <c r="AL417" s="311"/>
      <c r="AM417" s="336"/>
    </row>
    <row r="418" customFormat="false" ht="12.75" hidden="false" customHeight="false" outlineLevel="0" collapsed="false">
      <c r="A418" s="408"/>
      <c r="B418" s="396"/>
      <c r="C418" s="409"/>
      <c r="D418" s="410"/>
      <c r="E418" s="396"/>
      <c r="F418" s="410"/>
      <c r="G418" s="396"/>
      <c r="H418" s="410"/>
      <c r="I418" s="410"/>
      <c r="J418" s="411"/>
      <c r="K418" s="399"/>
      <c r="L418" s="399"/>
      <c r="M418" s="73"/>
      <c r="N418" s="396"/>
      <c r="O418" s="396"/>
      <c r="P418" s="396"/>
      <c r="Q418" s="410"/>
      <c r="R418" s="411"/>
      <c r="S418" s="411"/>
      <c r="T418" s="411"/>
      <c r="AF418" s="352" t="n">
        <f aca="false">EOMONTH(AF417,0)+1</f>
        <v>49157</v>
      </c>
      <c r="AG418" s="311" t="n">
        <v>22</v>
      </c>
      <c r="AH418" s="311" t="n">
        <v>5</v>
      </c>
      <c r="AI418" s="311" t="n">
        <v>4</v>
      </c>
      <c r="AJ418" s="311" t="n">
        <v>0</v>
      </c>
      <c r="AK418" s="311" t="n">
        <v>31</v>
      </c>
      <c r="AL418" s="311"/>
      <c r="AM418" s="336"/>
    </row>
    <row r="419" customFormat="false" ht="12.75" hidden="false" customHeight="false" outlineLevel="0" collapsed="false">
      <c r="A419" s="408"/>
      <c r="B419" s="396"/>
      <c r="C419" s="409"/>
      <c r="D419" s="410"/>
      <c r="E419" s="396"/>
      <c r="F419" s="410"/>
      <c r="G419" s="396"/>
      <c r="H419" s="410"/>
      <c r="I419" s="410"/>
      <c r="J419" s="411"/>
      <c r="K419" s="399"/>
      <c r="L419" s="399"/>
      <c r="M419" s="73"/>
      <c r="N419" s="396"/>
      <c r="O419" s="396"/>
      <c r="P419" s="396"/>
      <c r="Q419" s="410"/>
      <c r="R419" s="411"/>
      <c r="S419" s="411"/>
      <c r="T419" s="411"/>
      <c r="AF419" s="352" t="n">
        <f aca="false">EOMONTH(AF418,0)+1</f>
        <v>49188</v>
      </c>
      <c r="AG419" s="311" t="n">
        <v>20</v>
      </c>
      <c r="AH419" s="311" t="n">
        <v>4</v>
      </c>
      <c r="AI419" s="311" t="n">
        <v>6</v>
      </c>
      <c r="AJ419" s="311" t="n">
        <v>1</v>
      </c>
      <c r="AK419" s="311" t="n">
        <v>30</v>
      </c>
      <c r="AL419" s="311"/>
      <c r="AM419" s="336"/>
    </row>
    <row r="420" customFormat="false" ht="12.75" hidden="false" customHeight="false" outlineLevel="0" collapsed="false">
      <c r="A420" s="408"/>
      <c r="B420" s="396"/>
      <c r="C420" s="409"/>
      <c r="D420" s="410"/>
      <c r="E420" s="396"/>
      <c r="F420" s="410"/>
      <c r="G420" s="396"/>
      <c r="H420" s="410"/>
      <c r="I420" s="410"/>
      <c r="J420" s="411"/>
      <c r="K420" s="399"/>
      <c r="L420" s="399"/>
      <c r="M420" s="73"/>
      <c r="N420" s="396"/>
      <c r="O420" s="396"/>
      <c r="P420" s="396"/>
      <c r="Q420" s="410"/>
      <c r="R420" s="411"/>
      <c r="S420" s="411"/>
      <c r="T420" s="411"/>
      <c r="AF420" s="352" t="n">
        <f aca="false">EOMONTH(AF419,0)+1</f>
        <v>49218</v>
      </c>
      <c r="AG420" s="311" t="n">
        <v>23</v>
      </c>
      <c r="AH420" s="311" t="n">
        <v>4</v>
      </c>
      <c r="AI420" s="311" t="n">
        <v>4</v>
      </c>
      <c r="AJ420" s="311" t="n">
        <v>0</v>
      </c>
      <c r="AK420" s="311" t="n">
        <v>31</v>
      </c>
      <c r="AL420" s="311"/>
      <c r="AM420" s="336"/>
    </row>
    <row r="421" customFormat="false" ht="12.75" hidden="false" customHeight="false" outlineLevel="0" collapsed="false">
      <c r="A421" s="408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AF421" s="352" t="n">
        <f aca="false">EOMONTH(AF420,0)+1</f>
        <v>49249</v>
      </c>
      <c r="AG421" s="311" t="n">
        <v>20</v>
      </c>
      <c r="AH421" s="311" t="n">
        <v>5</v>
      </c>
      <c r="AI421" s="311" t="n">
        <v>5</v>
      </c>
      <c r="AJ421" s="311" t="n">
        <v>1</v>
      </c>
      <c r="AK421" s="311" t="n">
        <v>30</v>
      </c>
      <c r="AL421" s="311"/>
      <c r="AM421" s="336"/>
    </row>
    <row r="422" customFormat="false" ht="12.75" hidden="false" customHeight="false" outlineLevel="0" collapsed="false">
      <c r="A422" s="408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AF422" s="352" t="n">
        <f aca="false">EOMONTH(AF421,0)+1</f>
        <v>49279</v>
      </c>
      <c r="AG422" s="311" t="n">
        <v>21</v>
      </c>
      <c r="AH422" s="311" t="n">
        <v>4</v>
      </c>
      <c r="AI422" s="311" t="n">
        <v>6</v>
      </c>
      <c r="AJ422" s="311" t="n">
        <v>1</v>
      </c>
      <c r="AK422" s="311" t="n">
        <v>31</v>
      </c>
      <c r="AL422" s="311"/>
      <c r="AM422" s="336"/>
    </row>
    <row r="423" customFormat="false" ht="12.75" hidden="false" customHeight="false" outlineLevel="0" collapsed="false">
      <c r="A423" s="408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AF423" s="352" t="n">
        <f aca="false">EOMONTH(AF422,0)+1</f>
        <v>49310</v>
      </c>
      <c r="AG423" s="311" t="n">
        <v>22</v>
      </c>
      <c r="AH423" s="311" t="n">
        <v>4</v>
      </c>
      <c r="AI423" s="311" t="n">
        <v>5</v>
      </c>
      <c r="AJ423" s="311" t="n">
        <v>1</v>
      </c>
      <c r="AK423" s="311" t="n">
        <v>31</v>
      </c>
      <c r="AL423" s="311"/>
      <c r="AM423" s="336"/>
    </row>
    <row r="424" customFormat="false" ht="12.75" hidden="false" customHeight="false" outlineLevel="0" collapsed="false">
      <c r="A424" s="408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AF424" s="352" t="n">
        <f aca="false">EOMONTH(AF423,0)+1</f>
        <v>49341</v>
      </c>
      <c r="AG424" s="311" t="n">
        <v>20</v>
      </c>
      <c r="AH424" s="311" t="n">
        <v>4</v>
      </c>
      <c r="AI424" s="311" t="n">
        <v>4</v>
      </c>
      <c r="AJ424" s="311" t="n">
        <v>0</v>
      </c>
      <c r="AK424" s="311" t="n">
        <v>28</v>
      </c>
      <c r="AL424" s="311"/>
      <c r="AM424" s="336"/>
    </row>
    <row r="425" customFormat="false" ht="12.75" hidden="false" customHeight="false" outlineLevel="0" collapsed="false">
      <c r="A425" s="408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AF425" s="352" t="n">
        <f aca="false">EOMONTH(AF424,0)+1</f>
        <v>49369</v>
      </c>
      <c r="AG425" s="311" t="n">
        <v>21</v>
      </c>
      <c r="AH425" s="311" t="n">
        <v>5</v>
      </c>
      <c r="AI425" s="311" t="n">
        <v>5</v>
      </c>
      <c r="AJ425" s="311" t="n">
        <v>0</v>
      </c>
      <c r="AK425" s="311" t="n">
        <v>31</v>
      </c>
      <c r="AL425" s="311"/>
      <c r="AM425" s="336"/>
    </row>
    <row r="426" customFormat="false" ht="12.75" hidden="false" customHeight="false" outlineLevel="0" collapsed="false">
      <c r="A426" s="408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AF426" s="352" t="n">
        <f aca="false">EOMONTH(AF425,0)+1</f>
        <v>49400</v>
      </c>
      <c r="AG426" s="311" t="n">
        <v>22</v>
      </c>
      <c r="AH426" s="311" t="n">
        <v>4</v>
      </c>
      <c r="AI426" s="311" t="n">
        <v>4</v>
      </c>
      <c r="AJ426" s="311" t="n">
        <v>0</v>
      </c>
      <c r="AK426" s="311" t="n">
        <v>30</v>
      </c>
      <c r="AL426" s="311"/>
      <c r="AM426" s="336"/>
    </row>
    <row r="427" customFormat="false" ht="12.75" hidden="false" customHeight="false" outlineLevel="0" collapsed="false">
      <c r="A427" s="408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AF427" s="352" t="n">
        <f aca="false">EOMONTH(AF426,0)+1</f>
        <v>49430</v>
      </c>
      <c r="AG427" s="311" t="n">
        <v>22</v>
      </c>
      <c r="AH427" s="311" t="n">
        <v>4</v>
      </c>
      <c r="AI427" s="311" t="n">
        <v>5</v>
      </c>
      <c r="AJ427" s="311" t="n">
        <v>1</v>
      </c>
      <c r="AK427" s="311" t="n">
        <v>31</v>
      </c>
      <c r="AL427" s="311"/>
      <c r="AM427" s="336"/>
    </row>
    <row r="428" customFormat="false" ht="12.75" hidden="false" customHeight="false" outlineLevel="0" collapsed="false">
      <c r="A428" s="405"/>
      <c r="AF428" s="352" t="n">
        <f aca="false">EOMONTH(AF427,0)+1</f>
        <v>49461</v>
      </c>
      <c r="AG428" s="311" t="n">
        <v>20</v>
      </c>
      <c r="AH428" s="311" t="n">
        <v>5</v>
      </c>
      <c r="AI428" s="311" t="n">
        <v>5</v>
      </c>
      <c r="AJ428" s="311" t="n">
        <v>0</v>
      </c>
      <c r="AK428" s="311" t="n">
        <v>30</v>
      </c>
      <c r="AL428" s="311"/>
      <c r="AM428" s="336"/>
    </row>
    <row r="429" customFormat="false" ht="12.75" hidden="false" customHeight="false" outlineLevel="0" collapsed="false">
      <c r="A429" s="405"/>
      <c r="AF429" s="352" t="n">
        <f aca="false">EOMONTH(AF428,0)+1</f>
        <v>49491</v>
      </c>
      <c r="AG429" s="311" t="n">
        <v>22</v>
      </c>
      <c r="AH429" s="311" t="n">
        <v>4</v>
      </c>
      <c r="AI429" s="311" t="n">
        <v>5</v>
      </c>
      <c r="AJ429" s="311" t="n">
        <v>1</v>
      </c>
      <c r="AK429" s="311" t="n">
        <v>31</v>
      </c>
      <c r="AL429" s="311"/>
      <c r="AM429" s="336"/>
    </row>
    <row r="430" customFormat="false" ht="12.75" hidden="false" customHeight="false" outlineLevel="0" collapsed="false">
      <c r="A430" s="405"/>
      <c r="AF430" s="352" t="n">
        <f aca="false">EOMONTH(AF429,0)+1</f>
        <v>49522</v>
      </c>
      <c r="AG430" s="311" t="n">
        <v>22</v>
      </c>
      <c r="AH430" s="311" t="n">
        <v>5</v>
      </c>
      <c r="AI430" s="311" t="n">
        <v>4</v>
      </c>
      <c r="AJ430" s="311" t="n">
        <v>0</v>
      </c>
      <c r="AK430" s="311" t="n">
        <v>31</v>
      </c>
      <c r="AL430" s="311"/>
      <c r="AM430" s="336"/>
    </row>
    <row r="431" customFormat="false" ht="12.75" hidden="false" customHeight="false" outlineLevel="0" collapsed="false">
      <c r="A431" s="405"/>
      <c r="AF431" s="352" t="n">
        <f aca="false">EOMONTH(AF430,0)+1</f>
        <v>49553</v>
      </c>
      <c r="AG431" s="311" t="n">
        <v>20</v>
      </c>
      <c r="AH431" s="311" t="n">
        <v>4</v>
      </c>
      <c r="AI431" s="311" t="n">
        <v>6</v>
      </c>
      <c r="AJ431" s="311" t="n">
        <v>1</v>
      </c>
      <c r="AK431" s="311" t="n">
        <v>30</v>
      </c>
      <c r="AL431" s="311"/>
      <c r="AM431" s="336"/>
    </row>
    <row r="432" customFormat="false" ht="12.75" hidden="false" customHeight="false" outlineLevel="0" collapsed="false">
      <c r="A432" s="325"/>
      <c r="AF432" s="352" t="n">
        <f aca="false">EOMONTH(AF431,0)+1</f>
        <v>49583</v>
      </c>
      <c r="AG432" s="311" t="n">
        <v>23</v>
      </c>
      <c r="AH432" s="311" t="n">
        <v>4</v>
      </c>
      <c r="AI432" s="311" t="n">
        <v>4</v>
      </c>
      <c r="AJ432" s="311" t="n">
        <v>0</v>
      </c>
      <c r="AK432" s="311" t="n">
        <v>31</v>
      </c>
      <c r="AL432" s="311"/>
      <c r="AM432" s="336"/>
    </row>
    <row r="433" customFormat="false" ht="12.75" hidden="false" customHeight="false" outlineLevel="0" collapsed="false">
      <c r="A433" s="325"/>
      <c r="AF433" s="352" t="n">
        <f aca="false">EOMONTH(AF432,0)+1</f>
        <v>49614</v>
      </c>
      <c r="AG433" s="311" t="n">
        <v>20</v>
      </c>
      <c r="AH433" s="311" t="n">
        <v>5</v>
      </c>
      <c r="AI433" s="311" t="n">
        <v>5</v>
      </c>
      <c r="AJ433" s="311" t="n">
        <v>1</v>
      </c>
      <c r="AK433" s="311" t="n">
        <v>30</v>
      </c>
      <c r="AL433" s="311"/>
      <c r="AM433" s="336"/>
    </row>
    <row r="434" customFormat="false" ht="12.75" hidden="false" customHeight="false" outlineLevel="0" collapsed="false">
      <c r="A434" s="325"/>
      <c r="AF434" s="352" t="n">
        <f aca="false">EOMONTH(AF433,0)+1</f>
        <v>49644</v>
      </c>
      <c r="AG434" s="311" t="n">
        <v>21</v>
      </c>
      <c r="AH434" s="311" t="n">
        <v>4</v>
      </c>
      <c r="AI434" s="311" t="n">
        <v>6</v>
      </c>
      <c r="AJ434" s="311" t="n">
        <v>1</v>
      </c>
      <c r="AK434" s="311" t="n">
        <v>31</v>
      </c>
      <c r="AL434" s="311"/>
      <c r="AM434" s="336"/>
    </row>
    <row r="435" customFormat="false" ht="12.75" hidden="false" customHeight="false" outlineLevel="0" collapsed="false">
      <c r="A435" s="325"/>
      <c r="AF435" s="352" t="n">
        <f aca="false">EOMONTH(AF434,0)+1</f>
        <v>49675</v>
      </c>
      <c r="AG435" s="311" t="n">
        <v>22</v>
      </c>
      <c r="AH435" s="311" t="n">
        <v>4</v>
      </c>
      <c r="AI435" s="311" t="n">
        <v>5</v>
      </c>
      <c r="AJ435" s="311" t="n">
        <v>1</v>
      </c>
      <c r="AK435" s="311" t="n">
        <v>31</v>
      </c>
      <c r="AL435" s="311"/>
      <c r="AM435" s="336"/>
    </row>
    <row r="436" customFormat="false" ht="12.75" hidden="false" customHeight="false" outlineLevel="0" collapsed="false">
      <c r="A436" s="325"/>
      <c r="AF436" s="352" t="n">
        <f aca="false">EOMONTH(AF435,0)+1</f>
        <v>49706</v>
      </c>
      <c r="AG436" s="311" t="n">
        <v>20</v>
      </c>
      <c r="AH436" s="311" t="n">
        <v>5</v>
      </c>
      <c r="AI436" s="311" t="n">
        <v>4</v>
      </c>
      <c r="AJ436" s="311" t="n">
        <v>0</v>
      </c>
      <c r="AK436" s="311" t="n">
        <v>29</v>
      </c>
      <c r="AL436" s="311"/>
      <c r="AM436" s="336"/>
    </row>
    <row r="437" customFormat="false" ht="12.75" hidden="false" customHeight="false" outlineLevel="0" collapsed="false">
      <c r="A437" s="325"/>
      <c r="AF437" s="352" t="n">
        <f aca="false">EOMONTH(AF436,0)+1</f>
        <v>49735</v>
      </c>
      <c r="AG437" s="311" t="n">
        <v>22</v>
      </c>
      <c r="AH437" s="311" t="n">
        <v>4</v>
      </c>
      <c r="AI437" s="311" t="n">
        <v>5</v>
      </c>
      <c r="AJ437" s="311" t="n">
        <v>0</v>
      </c>
      <c r="AK437" s="311" t="n">
        <v>31</v>
      </c>
      <c r="AL437" s="311"/>
      <c r="AM437" s="336"/>
    </row>
    <row r="438" customFormat="false" ht="12.75" hidden="false" customHeight="false" outlineLevel="0" collapsed="false">
      <c r="A438" s="325"/>
      <c r="AF438" s="352" t="n">
        <f aca="false">EOMONTH(AF437,0)+1</f>
        <v>49766</v>
      </c>
      <c r="AG438" s="311" t="n">
        <v>22</v>
      </c>
      <c r="AH438" s="311" t="n">
        <v>4</v>
      </c>
      <c r="AI438" s="311" t="n">
        <v>4</v>
      </c>
      <c r="AJ438" s="311" t="n">
        <v>0</v>
      </c>
      <c r="AK438" s="311" t="n">
        <v>30</v>
      </c>
      <c r="AL438" s="311"/>
      <c r="AM438" s="336"/>
    </row>
    <row r="439" customFormat="false" ht="12.75" hidden="false" customHeight="false" outlineLevel="0" collapsed="false">
      <c r="A439" s="325"/>
      <c r="AF439" s="352" t="n">
        <f aca="false">EOMONTH(AF438,0)+1</f>
        <v>49796</v>
      </c>
      <c r="AG439" s="311" t="n">
        <v>20</v>
      </c>
      <c r="AH439" s="311" t="n">
        <v>5</v>
      </c>
      <c r="AI439" s="311" t="n">
        <v>6</v>
      </c>
      <c r="AJ439" s="311" t="n">
        <v>1</v>
      </c>
      <c r="AK439" s="311" t="n">
        <v>31</v>
      </c>
      <c r="AL439" s="311"/>
      <c r="AM439" s="336"/>
    </row>
    <row r="440" customFormat="false" ht="12.75" hidden="false" customHeight="false" outlineLevel="0" collapsed="false">
      <c r="A440" s="325"/>
      <c r="AF440" s="352" t="n">
        <f aca="false">EOMONTH(AF439,0)+1</f>
        <v>49827</v>
      </c>
      <c r="AG440" s="311" t="n">
        <v>22</v>
      </c>
      <c r="AH440" s="311" t="n">
        <v>4</v>
      </c>
      <c r="AI440" s="311" t="n">
        <v>4</v>
      </c>
      <c r="AJ440" s="311" t="n">
        <v>0</v>
      </c>
      <c r="AK440" s="311" t="n">
        <v>30</v>
      </c>
      <c r="AL440" s="311"/>
      <c r="AM440" s="336"/>
    </row>
    <row r="441" customFormat="false" ht="12.75" hidden="false" customHeight="false" outlineLevel="0" collapsed="false">
      <c r="A441" s="325"/>
      <c r="AF441" s="352" t="n">
        <f aca="false">EOMONTH(AF440,0)+1</f>
        <v>49857</v>
      </c>
      <c r="AG441" s="311" t="n">
        <v>23</v>
      </c>
      <c r="AH441" s="311" t="n">
        <v>3</v>
      </c>
      <c r="AI441" s="311" t="n">
        <v>5</v>
      </c>
      <c r="AJ441" s="311" t="n">
        <v>1</v>
      </c>
      <c r="AK441" s="311" t="n">
        <v>31</v>
      </c>
      <c r="AL441" s="311"/>
      <c r="AM441" s="336"/>
    </row>
    <row r="442" customFormat="false" ht="12.75" hidden="false" customHeight="false" outlineLevel="0" collapsed="false">
      <c r="A442" s="325"/>
      <c r="AF442" s="352" t="n">
        <f aca="false">EOMONTH(AF441,0)+1</f>
        <v>49888</v>
      </c>
      <c r="AG442" s="311" t="n">
        <v>21</v>
      </c>
      <c r="AH442" s="311" t="n">
        <v>5</v>
      </c>
      <c r="AI442" s="311" t="n">
        <v>5</v>
      </c>
      <c r="AJ442" s="311" t="n">
        <v>0</v>
      </c>
      <c r="AK442" s="311" t="n">
        <v>31</v>
      </c>
      <c r="AL442" s="311"/>
      <c r="AM442" s="336"/>
    </row>
    <row r="443" customFormat="false" ht="12.75" hidden="false" customHeight="false" outlineLevel="0" collapsed="false">
      <c r="A443" s="325"/>
      <c r="AF443" s="352" t="n">
        <f aca="false">EOMONTH(AF442,0)+1</f>
        <v>49919</v>
      </c>
      <c r="AG443" s="311" t="n">
        <v>21</v>
      </c>
      <c r="AH443" s="311" t="n">
        <v>4</v>
      </c>
      <c r="AI443" s="311" t="n">
        <v>5</v>
      </c>
      <c r="AJ443" s="311" t="n">
        <v>1</v>
      </c>
      <c r="AK443" s="311" t="n">
        <v>30</v>
      </c>
      <c r="AL443" s="311"/>
      <c r="AM443" s="336"/>
    </row>
    <row r="444" customFormat="false" ht="12.75" hidden="false" customHeight="false" outlineLevel="0" collapsed="false">
      <c r="A444" s="325"/>
      <c r="AF444" s="352" t="n">
        <f aca="false">EOMONTH(AF443,0)+1</f>
        <v>49949</v>
      </c>
      <c r="AG444" s="311" t="n">
        <v>22</v>
      </c>
      <c r="AH444" s="311" t="n">
        <v>5</v>
      </c>
      <c r="AI444" s="311" t="n">
        <v>4</v>
      </c>
      <c r="AJ444" s="311" t="n">
        <v>0</v>
      </c>
      <c r="AK444" s="311" t="n">
        <v>31</v>
      </c>
      <c r="AL444" s="311"/>
      <c r="AM444" s="336"/>
    </row>
    <row r="445" customFormat="false" ht="12.75" hidden="false" customHeight="false" outlineLevel="0" collapsed="false">
      <c r="A445" s="325"/>
      <c r="AF445" s="352" t="n">
        <f aca="false">EOMONTH(AF444,0)+1</f>
        <v>49980</v>
      </c>
      <c r="AG445" s="311" t="n">
        <v>20</v>
      </c>
      <c r="AH445" s="311" t="n">
        <v>4</v>
      </c>
      <c r="AI445" s="311" t="n">
        <v>6</v>
      </c>
      <c r="AJ445" s="311" t="n">
        <v>1</v>
      </c>
      <c r="AK445" s="311" t="n">
        <v>30</v>
      </c>
      <c r="AL445" s="311"/>
      <c r="AM445" s="336"/>
    </row>
    <row r="446" customFormat="false" ht="12.75" hidden="false" customHeight="false" outlineLevel="0" collapsed="false">
      <c r="A446" s="325"/>
      <c r="AF446" s="352" t="n">
        <f aca="false">EOMONTH(AF445,0)+1</f>
        <v>50010</v>
      </c>
      <c r="AG446" s="311" t="n">
        <v>22</v>
      </c>
      <c r="AH446" s="311" t="n">
        <v>4</v>
      </c>
      <c r="AI446" s="311" t="n">
        <v>5</v>
      </c>
      <c r="AJ446" s="311" t="n">
        <v>1</v>
      </c>
      <c r="AK446" s="311" t="n">
        <v>31</v>
      </c>
      <c r="AL446" s="311"/>
      <c r="AM446" s="336"/>
    </row>
    <row r="447" customFormat="false" ht="12.75" hidden="false" customHeight="false" outlineLevel="0" collapsed="false">
      <c r="A447" s="325"/>
    </row>
    <row r="448" customFormat="false" ht="12.75" hidden="false" customHeight="false" outlineLevel="0" collapsed="false">
      <c r="A448" s="325"/>
    </row>
    <row r="449" customFormat="false" ht="12.75" hidden="false" customHeight="false" outlineLevel="0" collapsed="false">
      <c r="A449" s="325"/>
    </row>
    <row r="450" customFormat="false" ht="12.75" hidden="false" customHeight="false" outlineLevel="0" collapsed="false">
      <c r="A450" s="325"/>
    </row>
    <row r="451" customFormat="false" ht="12.75" hidden="false" customHeight="false" outlineLevel="0" collapsed="false">
      <c r="A451" s="325"/>
    </row>
    <row r="452" customFormat="false" ht="12.75" hidden="false" customHeight="false" outlineLevel="0" collapsed="false">
      <c r="A452" s="325"/>
    </row>
    <row r="453" customFormat="false" ht="12.75" hidden="false" customHeight="false" outlineLevel="0" collapsed="false">
      <c r="A453" s="325"/>
    </row>
    <row r="454" customFormat="false" ht="12.75" hidden="false" customHeight="false" outlineLevel="0" collapsed="false">
      <c r="A454" s="325"/>
    </row>
    <row r="455" customFormat="false" ht="12.75" hidden="false" customHeight="false" outlineLevel="0" collapsed="false">
      <c r="A455" s="325"/>
    </row>
    <row r="456" customFormat="false" ht="12.75" hidden="false" customHeight="false" outlineLevel="0" collapsed="false">
      <c r="A456" s="325"/>
    </row>
    <row r="457" customFormat="false" ht="12.75" hidden="false" customHeight="false" outlineLevel="0" collapsed="false">
      <c r="A457" s="325"/>
    </row>
    <row r="458" customFormat="false" ht="12.75" hidden="false" customHeight="false" outlineLevel="0" collapsed="false">
      <c r="A458" s="325"/>
    </row>
    <row r="459" customFormat="false" ht="12.75" hidden="false" customHeight="false" outlineLevel="0" collapsed="false">
      <c r="A459" s="325"/>
    </row>
    <row r="460" customFormat="false" ht="12.75" hidden="false" customHeight="false" outlineLevel="0" collapsed="false">
      <c r="A460" s="325"/>
    </row>
    <row r="461" customFormat="false" ht="12.75" hidden="false" customHeight="false" outlineLevel="0" collapsed="false">
      <c r="A461" s="325"/>
    </row>
    <row r="462" customFormat="false" ht="12.75" hidden="false" customHeight="false" outlineLevel="0" collapsed="false">
      <c r="A462" s="325"/>
    </row>
    <row r="463" customFormat="false" ht="12.75" hidden="false" customHeight="false" outlineLevel="0" collapsed="false">
      <c r="A463" s="325"/>
    </row>
    <row r="464" customFormat="false" ht="12.75" hidden="false" customHeight="false" outlineLevel="0" collapsed="false">
      <c r="A464" s="325"/>
    </row>
    <row r="465" customFormat="false" ht="12.75" hidden="false" customHeight="false" outlineLevel="0" collapsed="false">
      <c r="A465" s="325"/>
    </row>
    <row r="466" customFormat="false" ht="12.75" hidden="false" customHeight="false" outlineLevel="0" collapsed="false">
      <c r="A466" s="325"/>
    </row>
    <row r="467" customFormat="false" ht="12.75" hidden="false" customHeight="false" outlineLevel="0" collapsed="false">
      <c r="A467" s="325"/>
    </row>
    <row r="468" customFormat="false" ht="12.75" hidden="false" customHeight="false" outlineLevel="0" collapsed="false">
      <c r="A468" s="325"/>
    </row>
    <row r="469" customFormat="false" ht="12.75" hidden="false" customHeight="false" outlineLevel="0" collapsed="false">
      <c r="A469" s="325"/>
    </row>
    <row r="470" customFormat="false" ht="12.75" hidden="false" customHeight="false" outlineLevel="0" collapsed="false">
      <c r="A470" s="325"/>
    </row>
    <row r="471" customFormat="false" ht="12.75" hidden="false" customHeight="false" outlineLevel="0" collapsed="false">
      <c r="A471" s="325"/>
    </row>
    <row r="472" customFormat="false" ht="12.75" hidden="false" customHeight="false" outlineLevel="0" collapsed="false">
      <c r="A472" s="325"/>
    </row>
    <row r="473" customFormat="false" ht="12.75" hidden="false" customHeight="false" outlineLevel="0" collapsed="false">
      <c r="A473" s="325"/>
    </row>
    <row r="474" customFormat="false" ht="12.75" hidden="false" customHeight="false" outlineLevel="0" collapsed="false">
      <c r="A474" s="325"/>
    </row>
    <row r="475" customFormat="false" ht="12.75" hidden="false" customHeight="false" outlineLevel="0" collapsed="false">
      <c r="A475" s="325"/>
    </row>
    <row r="476" customFormat="false" ht="12.75" hidden="false" customHeight="false" outlineLevel="0" collapsed="false">
      <c r="A476" s="325"/>
    </row>
    <row r="477" customFormat="false" ht="12.75" hidden="false" customHeight="false" outlineLevel="0" collapsed="false">
      <c r="A477" s="325"/>
    </row>
    <row r="478" customFormat="false" ht="12.75" hidden="false" customHeight="false" outlineLevel="0" collapsed="false">
      <c r="A478" s="325"/>
    </row>
    <row r="479" customFormat="false" ht="12.75" hidden="false" customHeight="false" outlineLevel="0" collapsed="false">
      <c r="A479" s="325"/>
    </row>
    <row r="480" customFormat="false" ht="12.75" hidden="false" customHeight="false" outlineLevel="0" collapsed="false">
      <c r="A480" s="325"/>
    </row>
    <row r="481" customFormat="false" ht="12.75" hidden="false" customHeight="false" outlineLevel="0" collapsed="false">
      <c r="A481" s="325"/>
    </row>
    <row r="482" customFormat="false" ht="12.75" hidden="false" customHeight="false" outlineLevel="0" collapsed="false">
      <c r="A482" s="325"/>
    </row>
    <row r="483" customFormat="false" ht="12.75" hidden="false" customHeight="false" outlineLevel="0" collapsed="false">
      <c r="A483" s="325"/>
    </row>
    <row r="484" customFormat="false" ht="12.75" hidden="false" customHeight="false" outlineLevel="0" collapsed="false">
      <c r="A484" s="325"/>
    </row>
    <row r="485" customFormat="false" ht="12.75" hidden="false" customHeight="false" outlineLevel="0" collapsed="false">
      <c r="A485" s="325"/>
    </row>
    <row r="486" customFormat="false" ht="12.75" hidden="false" customHeight="false" outlineLevel="0" collapsed="false">
      <c r="A486" s="325"/>
    </row>
    <row r="487" customFormat="false" ht="12.75" hidden="false" customHeight="false" outlineLevel="0" collapsed="false">
      <c r="A487" s="325"/>
    </row>
    <row r="488" customFormat="false" ht="12.75" hidden="false" customHeight="false" outlineLevel="0" collapsed="false">
      <c r="A488" s="325"/>
    </row>
    <row r="489" customFormat="false" ht="12.75" hidden="false" customHeight="false" outlineLevel="0" collapsed="false">
      <c r="A489" s="325"/>
    </row>
    <row r="490" customFormat="false" ht="12.75" hidden="false" customHeight="false" outlineLevel="0" collapsed="false">
      <c r="A490" s="325"/>
    </row>
    <row r="491" customFormat="false" ht="12.75" hidden="false" customHeight="false" outlineLevel="0" collapsed="false">
      <c r="A491" s="325"/>
    </row>
    <row r="492" customFormat="false" ht="12.75" hidden="false" customHeight="false" outlineLevel="0" collapsed="false">
      <c r="A492" s="325"/>
    </row>
    <row r="493" customFormat="false" ht="12.75" hidden="false" customHeight="false" outlineLevel="0" collapsed="false">
      <c r="A493" s="325"/>
    </row>
    <row r="494" customFormat="false" ht="12.75" hidden="false" customHeight="false" outlineLevel="0" collapsed="false">
      <c r="A494" s="325"/>
    </row>
    <row r="495" customFormat="false" ht="12.75" hidden="false" customHeight="false" outlineLevel="0" collapsed="false">
      <c r="A495" s="325"/>
    </row>
    <row r="496" customFormat="false" ht="12.75" hidden="false" customHeight="false" outlineLevel="0" collapsed="false">
      <c r="A496" s="325"/>
    </row>
    <row r="497" customFormat="false" ht="12.75" hidden="false" customHeight="false" outlineLevel="0" collapsed="false">
      <c r="A497" s="325"/>
    </row>
    <row r="498" customFormat="false" ht="12.75" hidden="false" customHeight="false" outlineLevel="0" collapsed="false">
      <c r="A498" s="325"/>
    </row>
    <row r="499" customFormat="false" ht="12.75" hidden="false" customHeight="false" outlineLevel="0" collapsed="false">
      <c r="A499" s="325"/>
    </row>
    <row r="500" customFormat="false" ht="12.75" hidden="false" customHeight="false" outlineLevel="0" collapsed="false">
      <c r="A500" s="325"/>
    </row>
    <row r="501" customFormat="false" ht="12.75" hidden="false" customHeight="false" outlineLevel="0" collapsed="false">
      <c r="A501" s="325"/>
    </row>
    <row r="502" customFormat="false" ht="12.75" hidden="false" customHeight="false" outlineLevel="0" collapsed="false">
      <c r="A502" s="325"/>
    </row>
    <row r="503" customFormat="false" ht="12.75" hidden="false" customHeight="false" outlineLevel="0" collapsed="false">
      <c r="A503" s="325"/>
    </row>
    <row r="504" customFormat="false" ht="12.75" hidden="false" customHeight="false" outlineLevel="0" collapsed="false">
      <c r="A504" s="325"/>
    </row>
    <row r="505" customFormat="false" ht="12.75" hidden="false" customHeight="false" outlineLevel="0" collapsed="false">
      <c r="A505" s="325"/>
    </row>
    <row r="506" customFormat="false" ht="12.75" hidden="false" customHeight="false" outlineLevel="0" collapsed="false">
      <c r="A506" s="325"/>
    </row>
    <row r="507" customFormat="false" ht="12.75" hidden="false" customHeight="false" outlineLevel="0" collapsed="false">
      <c r="A507" s="325"/>
    </row>
    <row r="508" customFormat="false" ht="12.75" hidden="false" customHeight="false" outlineLevel="0" collapsed="false">
      <c r="A508" s="325"/>
    </row>
    <row r="509" customFormat="false" ht="12.75" hidden="false" customHeight="false" outlineLevel="0" collapsed="false">
      <c r="A509" s="325"/>
    </row>
    <row r="510" customFormat="false" ht="12.75" hidden="false" customHeight="false" outlineLevel="0" collapsed="false">
      <c r="A510" s="325"/>
    </row>
    <row r="511" customFormat="false" ht="12.75" hidden="false" customHeight="false" outlineLevel="0" collapsed="false">
      <c r="A511" s="325"/>
    </row>
    <row r="512" customFormat="false" ht="12.75" hidden="false" customHeight="false" outlineLevel="0" collapsed="false">
      <c r="A512" s="325"/>
    </row>
    <row r="513" customFormat="false" ht="12.75" hidden="false" customHeight="false" outlineLevel="0" collapsed="false">
      <c r="A513" s="325"/>
    </row>
    <row r="514" customFormat="false" ht="12.75" hidden="false" customHeight="false" outlineLevel="0" collapsed="false">
      <c r="A514" s="325"/>
    </row>
    <row r="515" customFormat="false" ht="12.75" hidden="false" customHeight="false" outlineLevel="0" collapsed="false">
      <c r="A515" s="325"/>
    </row>
    <row r="516" customFormat="false" ht="12.75" hidden="false" customHeight="false" outlineLevel="0" collapsed="false">
      <c r="A516" s="325"/>
    </row>
    <row r="517" customFormat="false" ht="12.75" hidden="false" customHeight="false" outlineLevel="0" collapsed="false">
      <c r="A517" s="325"/>
    </row>
    <row r="518" customFormat="false" ht="12.75" hidden="false" customHeight="false" outlineLevel="0" collapsed="false">
      <c r="A518" s="325"/>
    </row>
    <row r="519" customFormat="false" ht="12.75" hidden="false" customHeight="false" outlineLevel="0" collapsed="false">
      <c r="A519" s="325"/>
    </row>
    <row r="520" customFormat="false" ht="12.75" hidden="false" customHeight="false" outlineLevel="0" collapsed="false">
      <c r="A520" s="325"/>
    </row>
    <row r="521" customFormat="false" ht="12.75" hidden="false" customHeight="false" outlineLevel="0" collapsed="false">
      <c r="A521" s="325"/>
    </row>
    <row r="522" customFormat="false" ht="12.75" hidden="false" customHeight="false" outlineLevel="0" collapsed="false">
      <c r="A522" s="325"/>
    </row>
    <row r="523" customFormat="false" ht="12.75" hidden="false" customHeight="false" outlineLevel="0" collapsed="false">
      <c r="A523" s="325"/>
    </row>
    <row r="524" customFormat="false" ht="12.75" hidden="false" customHeight="false" outlineLevel="0" collapsed="false">
      <c r="A524" s="325"/>
    </row>
    <row r="525" customFormat="false" ht="12.75" hidden="false" customHeight="false" outlineLevel="0" collapsed="false">
      <c r="A525" s="325"/>
    </row>
    <row r="526" customFormat="false" ht="12.75" hidden="false" customHeight="false" outlineLevel="0" collapsed="false">
      <c r="A526" s="325"/>
    </row>
    <row r="527" customFormat="false" ht="12.75" hidden="false" customHeight="false" outlineLevel="0" collapsed="false">
      <c r="A527" s="325"/>
    </row>
    <row r="528" customFormat="false" ht="12.75" hidden="false" customHeight="false" outlineLevel="0" collapsed="false">
      <c r="A528" s="325"/>
    </row>
    <row r="529" customFormat="false" ht="12.75" hidden="false" customHeight="false" outlineLevel="0" collapsed="false">
      <c r="A529" s="325"/>
    </row>
    <row r="530" customFormat="false" ht="12.75" hidden="false" customHeight="false" outlineLevel="0" collapsed="false">
      <c r="A530" s="325"/>
    </row>
    <row r="531" customFormat="false" ht="12.75" hidden="false" customHeight="false" outlineLevel="0" collapsed="false">
      <c r="A531" s="325"/>
    </row>
    <row r="532" customFormat="false" ht="12.75" hidden="false" customHeight="false" outlineLevel="0" collapsed="false">
      <c r="A532" s="325"/>
    </row>
    <row r="533" customFormat="false" ht="12.75" hidden="false" customHeight="false" outlineLevel="0" collapsed="false">
      <c r="A533" s="325"/>
    </row>
    <row r="534" customFormat="false" ht="12.75" hidden="false" customHeight="false" outlineLevel="0" collapsed="false">
      <c r="A534" s="325"/>
    </row>
    <row r="535" customFormat="false" ht="12.75" hidden="false" customHeight="false" outlineLevel="0" collapsed="false">
      <c r="A535" s="325"/>
    </row>
    <row r="536" customFormat="false" ht="12.75" hidden="false" customHeight="false" outlineLevel="0" collapsed="false">
      <c r="A536" s="325"/>
    </row>
    <row r="537" customFormat="false" ht="12.75" hidden="false" customHeight="false" outlineLevel="0" collapsed="false">
      <c r="A537" s="325"/>
    </row>
    <row r="538" customFormat="false" ht="12.75" hidden="false" customHeight="false" outlineLevel="0" collapsed="false">
      <c r="A538" s="325"/>
    </row>
    <row r="539" customFormat="false" ht="12.75" hidden="false" customHeight="false" outlineLevel="0" collapsed="false">
      <c r="A539" s="325"/>
    </row>
    <row r="540" customFormat="false" ht="12.75" hidden="false" customHeight="false" outlineLevel="0" collapsed="false">
      <c r="A540" s="325"/>
    </row>
    <row r="541" customFormat="false" ht="12.75" hidden="false" customHeight="false" outlineLevel="0" collapsed="false">
      <c r="A541" s="325"/>
    </row>
    <row r="542" customFormat="false" ht="12.75" hidden="false" customHeight="false" outlineLevel="0" collapsed="false">
      <c r="A542" s="325"/>
    </row>
    <row r="543" customFormat="false" ht="12.75" hidden="false" customHeight="false" outlineLevel="0" collapsed="false">
      <c r="A543" s="325"/>
    </row>
    <row r="544" customFormat="false" ht="12.75" hidden="false" customHeight="false" outlineLevel="0" collapsed="false">
      <c r="A544" s="325"/>
    </row>
    <row r="545" customFormat="false" ht="12.75" hidden="false" customHeight="false" outlineLevel="0" collapsed="false">
      <c r="A545" s="325"/>
    </row>
    <row r="546" customFormat="false" ht="12.75" hidden="false" customHeight="false" outlineLevel="0" collapsed="false">
      <c r="A546" s="325"/>
    </row>
    <row r="547" customFormat="false" ht="12.75" hidden="false" customHeight="false" outlineLevel="0" collapsed="false">
      <c r="A547" s="325"/>
    </row>
    <row r="548" customFormat="false" ht="12.75" hidden="false" customHeight="false" outlineLevel="0" collapsed="false">
      <c r="A548" s="325"/>
    </row>
    <row r="549" customFormat="false" ht="12.75" hidden="false" customHeight="false" outlineLevel="0" collapsed="false">
      <c r="A549" s="325"/>
    </row>
    <row r="550" customFormat="false" ht="12.75" hidden="false" customHeight="false" outlineLevel="0" collapsed="false">
      <c r="A550" s="325"/>
    </row>
    <row r="551" customFormat="false" ht="12.75" hidden="false" customHeight="false" outlineLevel="0" collapsed="false">
      <c r="A551" s="325"/>
    </row>
    <row r="552" customFormat="false" ht="12.75" hidden="false" customHeight="false" outlineLevel="0" collapsed="false">
      <c r="A552" s="325"/>
    </row>
    <row r="553" customFormat="false" ht="12.75" hidden="false" customHeight="false" outlineLevel="0" collapsed="false">
      <c r="A553" s="325"/>
    </row>
    <row r="554" customFormat="false" ht="12.75" hidden="false" customHeight="false" outlineLevel="0" collapsed="false">
      <c r="A554" s="325"/>
    </row>
    <row r="555" customFormat="false" ht="12.75" hidden="false" customHeight="false" outlineLevel="0" collapsed="false">
      <c r="A555" s="325"/>
    </row>
    <row r="556" customFormat="false" ht="12.75" hidden="false" customHeight="false" outlineLevel="0" collapsed="false">
      <c r="A556" s="325"/>
    </row>
    <row r="557" customFormat="false" ht="12.75" hidden="false" customHeight="false" outlineLevel="0" collapsed="false">
      <c r="A557" s="325"/>
    </row>
    <row r="558" customFormat="false" ht="12.75" hidden="false" customHeight="false" outlineLevel="0" collapsed="false">
      <c r="A558" s="325"/>
    </row>
    <row r="559" customFormat="false" ht="12.75" hidden="false" customHeight="false" outlineLevel="0" collapsed="false">
      <c r="A559" s="325"/>
    </row>
    <row r="560" customFormat="false" ht="12.75" hidden="false" customHeight="false" outlineLevel="0" collapsed="false">
      <c r="A560" s="325"/>
    </row>
    <row r="561" customFormat="false" ht="12.75" hidden="false" customHeight="false" outlineLevel="0" collapsed="false">
      <c r="A561" s="325"/>
    </row>
    <row r="562" customFormat="false" ht="12.75" hidden="false" customHeight="false" outlineLevel="0" collapsed="false">
      <c r="A562" s="325"/>
    </row>
    <row r="563" customFormat="false" ht="12.75" hidden="false" customHeight="false" outlineLevel="0" collapsed="false">
      <c r="A563" s="325"/>
    </row>
    <row r="564" customFormat="false" ht="12.75" hidden="false" customHeight="false" outlineLevel="0" collapsed="false">
      <c r="A564" s="325"/>
    </row>
    <row r="565" customFormat="false" ht="12.75" hidden="false" customHeight="false" outlineLevel="0" collapsed="false">
      <c r="A565" s="325"/>
    </row>
    <row r="566" customFormat="false" ht="12.75" hidden="false" customHeight="false" outlineLevel="0" collapsed="false">
      <c r="A566" s="325"/>
    </row>
    <row r="567" customFormat="false" ht="12.75" hidden="false" customHeight="false" outlineLevel="0" collapsed="false">
      <c r="A567" s="325"/>
    </row>
    <row r="568" customFormat="false" ht="12.75" hidden="false" customHeight="false" outlineLevel="0" collapsed="false">
      <c r="A568" s="325"/>
    </row>
    <row r="569" customFormat="false" ht="12.75" hidden="false" customHeight="false" outlineLevel="0" collapsed="false">
      <c r="A569" s="325"/>
    </row>
    <row r="570" customFormat="false" ht="12.75" hidden="false" customHeight="false" outlineLevel="0" collapsed="false">
      <c r="A570" s="325"/>
    </row>
    <row r="571" customFormat="false" ht="12.75" hidden="false" customHeight="false" outlineLevel="0" collapsed="false">
      <c r="A571" s="325"/>
    </row>
    <row r="572" customFormat="false" ht="12.75" hidden="false" customHeight="false" outlineLevel="0" collapsed="false">
      <c r="A572" s="325"/>
    </row>
    <row r="573" customFormat="false" ht="12.75" hidden="false" customHeight="false" outlineLevel="0" collapsed="false">
      <c r="A573" s="325"/>
    </row>
    <row r="574" customFormat="false" ht="12.75" hidden="false" customHeight="false" outlineLevel="0" collapsed="false">
      <c r="A574" s="325"/>
    </row>
    <row r="575" customFormat="false" ht="12.75" hidden="false" customHeight="false" outlineLevel="0" collapsed="false">
      <c r="A575" s="325"/>
    </row>
    <row r="576" customFormat="false" ht="12.75" hidden="false" customHeight="false" outlineLevel="0" collapsed="false">
      <c r="A576" s="325"/>
    </row>
    <row r="577" customFormat="false" ht="12.75" hidden="false" customHeight="false" outlineLevel="0" collapsed="false">
      <c r="A577" s="325"/>
    </row>
    <row r="578" customFormat="false" ht="12.75" hidden="false" customHeight="false" outlineLevel="0" collapsed="false">
      <c r="A578" s="325"/>
    </row>
    <row r="579" customFormat="false" ht="12.75" hidden="false" customHeight="false" outlineLevel="0" collapsed="false">
      <c r="A579" s="325"/>
    </row>
    <row r="580" customFormat="false" ht="12.75" hidden="false" customHeight="false" outlineLevel="0" collapsed="false">
      <c r="A580" s="325"/>
    </row>
    <row r="581" customFormat="false" ht="12.75" hidden="false" customHeight="false" outlineLevel="0" collapsed="false">
      <c r="A581" s="325"/>
    </row>
    <row r="582" customFormat="false" ht="12.75" hidden="false" customHeight="false" outlineLevel="0" collapsed="false">
      <c r="A582" s="325"/>
    </row>
    <row r="583" customFormat="false" ht="12.75" hidden="false" customHeight="false" outlineLevel="0" collapsed="false">
      <c r="A583" s="325"/>
    </row>
    <row r="584" customFormat="false" ht="12.75" hidden="false" customHeight="false" outlineLevel="0" collapsed="false">
      <c r="A584" s="325"/>
    </row>
    <row r="585" customFormat="false" ht="12.75" hidden="false" customHeight="false" outlineLevel="0" collapsed="false">
      <c r="A585" s="325"/>
    </row>
    <row r="586" customFormat="false" ht="12.75" hidden="false" customHeight="false" outlineLevel="0" collapsed="false">
      <c r="A586" s="325"/>
    </row>
    <row r="587" customFormat="false" ht="12.75" hidden="false" customHeight="false" outlineLevel="0" collapsed="false">
      <c r="A587" s="325"/>
    </row>
    <row r="588" customFormat="false" ht="12.75" hidden="false" customHeight="false" outlineLevel="0" collapsed="false">
      <c r="A588" s="325"/>
    </row>
    <row r="589" customFormat="false" ht="12.75" hidden="false" customHeight="false" outlineLevel="0" collapsed="false">
      <c r="A589" s="325"/>
    </row>
    <row r="590" customFormat="false" ht="12.75" hidden="false" customHeight="false" outlineLevel="0" collapsed="false">
      <c r="A590" s="325"/>
    </row>
    <row r="591" customFormat="false" ht="12.75" hidden="false" customHeight="false" outlineLevel="0" collapsed="false">
      <c r="A591" s="325"/>
    </row>
    <row r="592" customFormat="false" ht="12.75" hidden="false" customHeight="false" outlineLevel="0" collapsed="false">
      <c r="A592" s="325"/>
    </row>
    <row r="593" customFormat="false" ht="12.75" hidden="false" customHeight="false" outlineLevel="0" collapsed="false">
      <c r="A593" s="325"/>
    </row>
    <row r="594" customFormat="false" ht="12.75" hidden="false" customHeight="false" outlineLevel="0" collapsed="false">
      <c r="A594" s="325"/>
    </row>
    <row r="595" customFormat="false" ht="12.75" hidden="false" customHeight="false" outlineLevel="0" collapsed="false">
      <c r="A595" s="325"/>
    </row>
    <row r="596" customFormat="false" ht="12.75" hidden="false" customHeight="false" outlineLevel="0" collapsed="false">
      <c r="A596" s="325"/>
    </row>
    <row r="597" customFormat="false" ht="12.75" hidden="false" customHeight="false" outlineLevel="0" collapsed="false">
      <c r="A597" s="325"/>
    </row>
    <row r="598" customFormat="false" ht="12.75" hidden="false" customHeight="false" outlineLevel="0" collapsed="false">
      <c r="A598" s="325"/>
    </row>
    <row r="599" customFormat="false" ht="12.75" hidden="false" customHeight="false" outlineLevel="0" collapsed="false">
      <c r="A599" s="325"/>
    </row>
    <row r="600" customFormat="false" ht="12.75" hidden="false" customHeight="false" outlineLevel="0" collapsed="false">
      <c r="A600" s="325"/>
    </row>
    <row r="601" customFormat="false" ht="12.75" hidden="false" customHeight="false" outlineLevel="0" collapsed="false">
      <c r="A601" s="325"/>
    </row>
    <row r="602" customFormat="false" ht="12.75" hidden="false" customHeight="false" outlineLevel="0" collapsed="false">
      <c r="A602" s="325"/>
    </row>
    <row r="603" customFormat="false" ht="12.75" hidden="false" customHeight="false" outlineLevel="0" collapsed="false">
      <c r="A603" s="325"/>
    </row>
    <row r="604" customFormat="false" ht="12.75" hidden="false" customHeight="false" outlineLevel="0" collapsed="false">
      <c r="A604" s="325"/>
    </row>
    <row r="605" customFormat="false" ht="12.75" hidden="false" customHeight="false" outlineLevel="0" collapsed="false">
      <c r="A605" s="325"/>
    </row>
    <row r="606" customFormat="false" ht="12.75" hidden="false" customHeight="false" outlineLevel="0" collapsed="false">
      <c r="A606" s="325"/>
    </row>
    <row r="607" customFormat="false" ht="12.75" hidden="false" customHeight="false" outlineLevel="0" collapsed="false">
      <c r="A607" s="325"/>
    </row>
    <row r="608" customFormat="false" ht="12.75" hidden="false" customHeight="false" outlineLevel="0" collapsed="false">
      <c r="A608" s="325"/>
    </row>
    <row r="609" customFormat="false" ht="12.75" hidden="false" customHeight="false" outlineLevel="0" collapsed="false">
      <c r="A609" s="325"/>
    </row>
    <row r="610" customFormat="false" ht="12.75" hidden="false" customHeight="false" outlineLevel="0" collapsed="false">
      <c r="A610" s="325"/>
    </row>
    <row r="611" customFormat="false" ht="12.75" hidden="false" customHeight="false" outlineLevel="0" collapsed="false">
      <c r="A611" s="325"/>
    </row>
    <row r="612" customFormat="false" ht="12.75" hidden="false" customHeight="false" outlineLevel="0" collapsed="false">
      <c r="A612" s="325"/>
    </row>
    <row r="613" customFormat="false" ht="12.75" hidden="false" customHeight="false" outlineLevel="0" collapsed="false">
      <c r="A613" s="325"/>
    </row>
    <row r="614" customFormat="false" ht="12.75" hidden="false" customHeight="false" outlineLevel="0" collapsed="false">
      <c r="A614" s="325"/>
    </row>
    <row r="615" customFormat="false" ht="12.75" hidden="false" customHeight="false" outlineLevel="0" collapsed="false">
      <c r="A615" s="325"/>
    </row>
    <row r="616" customFormat="false" ht="12.75" hidden="false" customHeight="false" outlineLevel="0" collapsed="false">
      <c r="A616" s="325"/>
    </row>
    <row r="617" customFormat="false" ht="12.75" hidden="false" customHeight="false" outlineLevel="0" collapsed="false">
      <c r="A617" s="325"/>
    </row>
    <row r="618" customFormat="false" ht="12.75" hidden="false" customHeight="false" outlineLevel="0" collapsed="false">
      <c r="A618" s="325"/>
    </row>
    <row r="619" customFormat="false" ht="12.75" hidden="false" customHeight="false" outlineLevel="0" collapsed="false">
      <c r="A619" s="325"/>
    </row>
    <row r="620" customFormat="false" ht="12.75" hidden="false" customHeight="false" outlineLevel="0" collapsed="false">
      <c r="A620" s="325"/>
    </row>
    <row r="621" customFormat="false" ht="12.75" hidden="false" customHeight="false" outlineLevel="0" collapsed="false">
      <c r="A621" s="325"/>
    </row>
    <row r="622" customFormat="false" ht="12.75" hidden="false" customHeight="false" outlineLevel="0" collapsed="false">
      <c r="A622" s="325"/>
    </row>
    <row r="623" customFormat="false" ht="12.75" hidden="false" customHeight="false" outlineLevel="0" collapsed="false">
      <c r="A623" s="325"/>
    </row>
    <row r="624" customFormat="false" ht="12.75" hidden="false" customHeight="false" outlineLevel="0" collapsed="false">
      <c r="A624" s="325"/>
    </row>
    <row r="625" customFormat="false" ht="12.75" hidden="false" customHeight="false" outlineLevel="0" collapsed="false">
      <c r="A625" s="325"/>
    </row>
    <row r="626" customFormat="false" ht="12.75" hidden="false" customHeight="false" outlineLevel="0" collapsed="false">
      <c r="A626" s="325"/>
    </row>
    <row r="627" customFormat="false" ht="12.75" hidden="false" customHeight="false" outlineLevel="0" collapsed="false">
      <c r="A627" s="325"/>
    </row>
    <row r="628" customFormat="false" ht="12.75" hidden="false" customHeight="false" outlineLevel="0" collapsed="false">
      <c r="A628" s="325"/>
    </row>
    <row r="629" customFormat="false" ht="12.75" hidden="false" customHeight="false" outlineLevel="0" collapsed="false">
      <c r="A629" s="325"/>
    </row>
    <row r="630" customFormat="false" ht="12.75" hidden="false" customHeight="false" outlineLevel="0" collapsed="false">
      <c r="A630" s="325"/>
    </row>
    <row r="631" customFormat="false" ht="12.75" hidden="false" customHeight="false" outlineLevel="0" collapsed="false">
      <c r="A631" s="325"/>
    </row>
    <row r="632" customFormat="false" ht="12.75" hidden="false" customHeight="false" outlineLevel="0" collapsed="false">
      <c r="A632" s="325"/>
    </row>
    <row r="633" customFormat="false" ht="12.75" hidden="false" customHeight="false" outlineLevel="0" collapsed="false">
      <c r="A633" s="325"/>
    </row>
    <row r="634" customFormat="false" ht="12.75" hidden="false" customHeight="false" outlineLevel="0" collapsed="false">
      <c r="A634" s="325"/>
    </row>
    <row r="635" customFormat="false" ht="12.75" hidden="false" customHeight="false" outlineLevel="0" collapsed="false">
      <c r="A635" s="325"/>
    </row>
    <row r="636" customFormat="false" ht="12.75" hidden="false" customHeight="false" outlineLevel="0" collapsed="false">
      <c r="A636" s="325"/>
    </row>
    <row r="637" customFormat="false" ht="12.75" hidden="false" customHeight="false" outlineLevel="0" collapsed="false">
      <c r="A637" s="325"/>
    </row>
    <row r="638" customFormat="false" ht="12.75" hidden="false" customHeight="false" outlineLevel="0" collapsed="false">
      <c r="A638" s="325"/>
    </row>
    <row r="639" customFormat="false" ht="12.75" hidden="false" customHeight="false" outlineLevel="0" collapsed="false">
      <c r="A639" s="325"/>
    </row>
    <row r="640" customFormat="false" ht="12.75" hidden="false" customHeight="false" outlineLevel="0" collapsed="false">
      <c r="A640" s="325"/>
    </row>
    <row r="641" customFormat="false" ht="12.75" hidden="false" customHeight="false" outlineLevel="0" collapsed="false">
      <c r="A641" s="325"/>
    </row>
    <row r="642" customFormat="false" ht="12.75" hidden="false" customHeight="false" outlineLevel="0" collapsed="false">
      <c r="A642" s="325"/>
    </row>
    <row r="643" customFormat="false" ht="12.75" hidden="false" customHeight="false" outlineLevel="0" collapsed="false">
      <c r="A643" s="325"/>
    </row>
    <row r="644" customFormat="false" ht="12.75" hidden="false" customHeight="false" outlineLevel="0" collapsed="false">
      <c r="A644" s="325"/>
    </row>
    <row r="645" customFormat="false" ht="12.75" hidden="false" customHeight="false" outlineLevel="0" collapsed="false">
      <c r="A645" s="325"/>
    </row>
    <row r="646" customFormat="false" ht="12.75" hidden="false" customHeight="false" outlineLevel="0" collapsed="false">
      <c r="A646" s="325"/>
    </row>
    <row r="647" customFormat="false" ht="12.75" hidden="false" customHeight="false" outlineLevel="0" collapsed="false">
      <c r="A647" s="325"/>
    </row>
    <row r="648" customFormat="false" ht="12.75" hidden="false" customHeight="false" outlineLevel="0" collapsed="false">
      <c r="A648" s="325"/>
    </row>
    <row r="649" customFormat="false" ht="12.75" hidden="false" customHeight="false" outlineLevel="0" collapsed="false">
      <c r="A649" s="325"/>
    </row>
    <row r="650" customFormat="false" ht="12.75" hidden="false" customHeight="false" outlineLevel="0" collapsed="false">
      <c r="A650" s="325"/>
    </row>
    <row r="651" customFormat="false" ht="12.75" hidden="false" customHeight="false" outlineLevel="0" collapsed="false">
      <c r="A651" s="325"/>
    </row>
    <row r="652" customFormat="false" ht="12.75" hidden="false" customHeight="false" outlineLevel="0" collapsed="false">
      <c r="A652" s="325"/>
    </row>
    <row r="653" customFormat="false" ht="12.75" hidden="false" customHeight="false" outlineLevel="0" collapsed="false">
      <c r="A653" s="325"/>
    </row>
    <row r="654" customFormat="false" ht="12.75" hidden="false" customHeight="false" outlineLevel="0" collapsed="false">
      <c r="A654" s="325"/>
    </row>
    <row r="655" customFormat="false" ht="12.75" hidden="false" customHeight="false" outlineLevel="0" collapsed="false">
      <c r="A655" s="325"/>
    </row>
    <row r="656" customFormat="false" ht="12.75" hidden="false" customHeight="false" outlineLevel="0" collapsed="false">
      <c r="A656" s="325"/>
    </row>
    <row r="657" customFormat="false" ht="12.75" hidden="false" customHeight="false" outlineLevel="0" collapsed="false">
      <c r="A657" s="325"/>
    </row>
    <row r="658" customFormat="false" ht="12.75" hidden="false" customHeight="false" outlineLevel="0" collapsed="false">
      <c r="A658" s="325"/>
    </row>
    <row r="659" customFormat="false" ht="12.75" hidden="false" customHeight="false" outlineLevel="0" collapsed="false">
      <c r="A659" s="325"/>
    </row>
    <row r="660" customFormat="false" ht="12.75" hidden="false" customHeight="false" outlineLevel="0" collapsed="false">
      <c r="A660" s="325"/>
    </row>
    <row r="661" customFormat="false" ht="12.75" hidden="false" customHeight="false" outlineLevel="0" collapsed="false">
      <c r="A661" s="325"/>
    </row>
    <row r="662" customFormat="false" ht="12.75" hidden="false" customHeight="false" outlineLevel="0" collapsed="false">
      <c r="A662" s="325"/>
    </row>
    <row r="663" customFormat="false" ht="12.75" hidden="false" customHeight="false" outlineLevel="0" collapsed="false">
      <c r="A663" s="325"/>
    </row>
    <row r="664" customFormat="false" ht="12.75" hidden="false" customHeight="false" outlineLevel="0" collapsed="false">
      <c r="A664" s="325"/>
    </row>
    <row r="665" customFormat="false" ht="12.75" hidden="false" customHeight="false" outlineLevel="0" collapsed="false">
      <c r="A665" s="325"/>
    </row>
    <row r="666" customFormat="false" ht="12.75" hidden="false" customHeight="false" outlineLevel="0" collapsed="false">
      <c r="A666" s="325"/>
    </row>
    <row r="667" customFormat="false" ht="12.75" hidden="false" customHeight="false" outlineLevel="0" collapsed="false">
      <c r="A667" s="325"/>
    </row>
    <row r="668" customFormat="false" ht="12.75" hidden="false" customHeight="false" outlineLevel="0" collapsed="false">
      <c r="A668" s="325"/>
    </row>
    <row r="669" customFormat="false" ht="12.75" hidden="false" customHeight="false" outlineLevel="0" collapsed="false">
      <c r="A669" s="325"/>
    </row>
    <row r="670" customFormat="false" ht="12.75" hidden="false" customHeight="false" outlineLevel="0" collapsed="false">
      <c r="A670" s="325"/>
    </row>
    <row r="671" customFormat="false" ht="12.75" hidden="false" customHeight="false" outlineLevel="0" collapsed="false">
      <c r="A671" s="325"/>
    </row>
    <row r="672" customFormat="false" ht="12.75" hidden="false" customHeight="false" outlineLevel="0" collapsed="false">
      <c r="A672" s="325"/>
    </row>
    <row r="673" customFormat="false" ht="12.75" hidden="false" customHeight="false" outlineLevel="0" collapsed="false">
      <c r="A673" s="325"/>
    </row>
    <row r="674" customFormat="false" ht="12.75" hidden="false" customHeight="false" outlineLevel="0" collapsed="false">
      <c r="A674" s="325"/>
    </row>
    <row r="675" customFormat="false" ht="12.75" hidden="false" customHeight="false" outlineLevel="0" collapsed="false">
      <c r="A675" s="325"/>
    </row>
    <row r="676" customFormat="false" ht="12.75" hidden="false" customHeight="false" outlineLevel="0" collapsed="false">
      <c r="A676" s="325"/>
    </row>
    <row r="677" customFormat="false" ht="12.75" hidden="false" customHeight="false" outlineLevel="0" collapsed="false">
      <c r="A677" s="325"/>
    </row>
    <row r="678" customFormat="false" ht="12.75" hidden="false" customHeight="false" outlineLevel="0" collapsed="false">
      <c r="A678" s="325"/>
    </row>
    <row r="679" customFormat="false" ht="12.75" hidden="false" customHeight="false" outlineLevel="0" collapsed="false">
      <c r="A679" s="325"/>
    </row>
    <row r="680" customFormat="false" ht="12.75" hidden="false" customHeight="false" outlineLevel="0" collapsed="false">
      <c r="A680" s="325"/>
    </row>
    <row r="681" customFormat="false" ht="12.75" hidden="false" customHeight="false" outlineLevel="0" collapsed="false">
      <c r="A681" s="325"/>
    </row>
    <row r="682" customFormat="false" ht="12.75" hidden="false" customHeight="false" outlineLevel="0" collapsed="false">
      <c r="A682" s="325"/>
    </row>
    <row r="683" customFormat="false" ht="12.75" hidden="false" customHeight="false" outlineLevel="0" collapsed="false">
      <c r="A683" s="325"/>
    </row>
    <row r="684" customFormat="false" ht="12.75" hidden="false" customHeight="false" outlineLevel="0" collapsed="false">
      <c r="A684" s="325"/>
    </row>
    <row r="685" customFormat="false" ht="12.75" hidden="false" customHeight="false" outlineLevel="0" collapsed="false">
      <c r="A685" s="325"/>
    </row>
    <row r="686" customFormat="false" ht="12.75" hidden="false" customHeight="false" outlineLevel="0" collapsed="false">
      <c r="A686" s="325"/>
    </row>
    <row r="687" customFormat="false" ht="12.75" hidden="false" customHeight="false" outlineLevel="0" collapsed="false">
      <c r="A687" s="325"/>
    </row>
    <row r="688" customFormat="false" ht="12.75" hidden="false" customHeight="false" outlineLevel="0" collapsed="false">
      <c r="A688" s="325"/>
    </row>
    <row r="689" customFormat="false" ht="12.75" hidden="false" customHeight="false" outlineLevel="0" collapsed="false">
      <c r="A689" s="325"/>
    </row>
    <row r="690" customFormat="false" ht="12.75" hidden="false" customHeight="false" outlineLevel="0" collapsed="false">
      <c r="A690" s="325"/>
    </row>
    <row r="691" customFormat="false" ht="12.75" hidden="false" customHeight="false" outlineLevel="0" collapsed="false">
      <c r="A691" s="325"/>
    </row>
    <row r="692" customFormat="false" ht="12.75" hidden="false" customHeight="false" outlineLevel="0" collapsed="false">
      <c r="A692" s="325"/>
    </row>
    <row r="693" customFormat="false" ht="12.75" hidden="false" customHeight="false" outlineLevel="0" collapsed="false">
      <c r="A693" s="325"/>
    </row>
    <row r="694" customFormat="false" ht="12.75" hidden="false" customHeight="false" outlineLevel="0" collapsed="false">
      <c r="A694" s="325"/>
    </row>
    <row r="695" customFormat="false" ht="12.75" hidden="false" customHeight="false" outlineLevel="0" collapsed="false">
      <c r="A695" s="325"/>
    </row>
    <row r="696" customFormat="false" ht="12.75" hidden="false" customHeight="false" outlineLevel="0" collapsed="false">
      <c r="A696" s="325"/>
    </row>
    <row r="697" customFormat="false" ht="12.75" hidden="false" customHeight="false" outlineLevel="0" collapsed="false">
      <c r="A697" s="325"/>
    </row>
    <row r="698" customFormat="false" ht="12.75" hidden="false" customHeight="false" outlineLevel="0" collapsed="false">
      <c r="A698" s="325"/>
    </row>
    <row r="699" customFormat="false" ht="12.75" hidden="false" customHeight="false" outlineLevel="0" collapsed="false">
      <c r="A699" s="325"/>
    </row>
    <row r="700" customFormat="false" ht="12.75" hidden="false" customHeight="false" outlineLevel="0" collapsed="false">
      <c r="A700" s="325"/>
    </row>
    <row r="701" customFormat="false" ht="12.75" hidden="false" customHeight="false" outlineLevel="0" collapsed="false">
      <c r="A701" s="325"/>
    </row>
    <row r="702" customFormat="false" ht="12.75" hidden="false" customHeight="false" outlineLevel="0" collapsed="false">
      <c r="A702" s="325"/>
    </row>
    <row r="703" customFormat="false" ht="12.75" hidden="false" customHeight="false" outlineLevel="0" collapsed="false">
      <c r="A703" s="325"/>
    </row>
    <row r="704" customFormat="false" ht="12.75" hidden="false" customHeight="false" outlineLevel="0" collapsed="false">
      <c r="A704" s="325"/>
    </row>
    <row r="705" customFormat="false" ht="12.75" hidden="false" customHeight="false" outlineLevel="0" collapsed="false">
      <c r="A705" s="325"/>
    </row>
    <row r="706" customFormat="false" ht="12.75" hidden="false" customHeight="false" outlineLevel="0" collapsed="false">
      <c r="A706" s="325"/>
    </row>
    <row r="707" customFormat="false" ht="12.75" hidden="false" customHeight="false" outlineLevel="0" collapsed="false">
      <c r="A707" s="325"/>
    </row>
    <row r="708" customFormat="false" ht="12.75" hidden="false" customHeight="false" outlineLevel="0" collapsed="false">
      <c r="A708" s="325"/>
    </row>
    <row r="709" customFormat="false" ht="12.75" hidden="false" customHeight="false" outlineLevel="0" collapsed="false">
      <c r="A709" s="325"/>
    </row>
    <row r="710" customFormat="false" ht="12.75" hidden="false" customHeight="false" outlineLevel="0" collapsed="false">
      <c r="A710" s="325"/>
    </row>
    <row r="711" customFormat="false" ht="12.75" hidden="false" customHeight="false" outlineLevel="0" collapsed="false">
      <c r="A711" s="325"/>
    </row>
    <row r="712" customFormat="false" ht="12.75" hidden="false" customHeight="false" outlineLevel="0" collapsed="false">
      <c r="A712" s="325"/>
    </row>
    <row r="713" customFormat="false" ht="12.75" hidden="false" customHeight="false" outlineLevel="0" collapsed="false">
      <c r="A713" s="325"/>
    </row>
    <row r="714" customFormat="false" ht="12.75" hidden="false" customHeight="false" outlineLevel="0" collapsed="false">
      <c r="A714" s="325"/>
    </row>
    <row r="715" customFormat="false" ht="12.75" hidden="false" customHeight="false" outlineLevel="0" collapsed="false">
      <c r="A715" s="325"/>
    </row>
    <row r="716" customFormat="false" ht="12.75" hidden="false" customHeight="false" outlineLevel="0" collapsed="false">
      <c r="A716" s="325"/>
    </row>
    <row r="717" customFormat="false" ht="12.75" hidden="false" customHeight="false" outlineLevel="0" collapsed="false">
      <c r="A717" s="325"/>
    </row>
    <row r="718" customFormat="false" ht="12.75" hidden="false" customHeight="false" outlineLevel="0" collapsed="false">
      <c r="A718" s="325"/>
    </row>
    <row r="719" customFormat="false" ht="12.75" hidden="false" customHeight="false" outlineLevel="0" collapsed="false">
      <c r="A719" s="325"/>
    </row>
    <row r="720" customFormat="false" ht="12.75" hidden="false" customHeight="false" outlineLevel="0" collapsed="false">
      <c r="A720" s="325"/>
    </row>
    <row r="721" customFormat="false" ht="12.75" hidden="false" customHeight="false" outlineLevel="0" collapsed="false">
      <c r="A721" s="325"/>
    </row>
    <row r="722" customFormat="false" ht="12.75" hidden="false" customHeight="false" outlineLevel="0" collapsed="false">
      <c r="A722" s="325"/>
    </row>
    <row r="723" customFormat="false" ht="12.75" hidden="false" customHeight="false" outlineLevel="0" collapsed="false">
      <c r="A723" s="325"/>
    </row>
    <row r="724" customFormat="false" ht="12.75" hidden="false" customHeight="false" outlineLevel="0" collapsed="false">
      <c r="A724" s="325"/>
    </row>
    <row r="725" customFormat="false" ht="12.75" hidden="false" customHeight="false" outlineLevel="0" collapsed="false">
      <c r="A725" s="325"/>
    </row>
    <row r="726" customFormat="false" ht="12.75" hidden="false" customHeight="false" outlineLevel="0" collapsed="false">
      <c r="A726" s="325"/>
    </row>
    <row r="727" customFormat="false" ht="12.75" hidden="false" customHeight="false" outlineLevel="0" collapsed="false">
      <c r="A727" s="325"/>
    </row>
    <row r="728" customFormat="false" ht="12.75" hidden="false" customHeight="false" outlineLevel="0" collapsed="false">
      <c r="A728" s="325"/>
    </row>
    <row r="729" customFormat="false" ht="12.75" hidden="false" customHeight="false" outlineLevel="0" collapsed="false">
      <c r="A729" s="325"/>
    </row>
    <row r="730" customFormat="false" ht="12.75" hidden="false" customHeight="false" outlineLevel="0" collapsed="false">
      <c r="A730" s="325"/>
    </row>
    <row r="731" customFormat="false" ht="12.75" hidden="false" customHeight="false" outlineLevel="0" collapsed="false">
      <c r="A731" s="325"/>
    </row>
    <row r="732" customFormat="false" ht="12.75" hidden="false" customHeight="false" outlineLevel="0" collapsed="false">
      <c r="A732" s="325"/>
    </row>
    <row r="733" customFormat="false" ht="12.75" hidden="false" customHeight="false" outlineLevel="0" collapsed="false">
      <c r="A733" s="325"/>
    </row>
    <row r="734" customFormat="false" ht="12.75" hidden="false" customHeight="false" outlineLevel="0" collapsed="false">
      <c r="A734" s="325"/>
    </row>
    <row r="735" customFormat="false" ht="12.75" hidden="false" customHeight="false" outlineLevel="0" collapsed="false">
      <c r="A735" s="325"/>
    </row>
    <row r="736" customFormat="false" ht="12.75" hidden="false" customHeight="false" outlineLevel="0" collapsed="false">
      <c r="A736" s="325"/>
    </row>
    <row r="737" customFormat="false" ht="12.75" hidden="false" customHeight="false" outlineLevel="0" collapsed="false">
      <c r="A737" s="325"/>
    </row>
    <row r="738" customFormat="false" ht="12.75" hidden="false" customHeight="false" outlineLevel="0" collapsed="false">
      <c r="A738" s="325"/>
    </row>
    <row r="739" customFormat="false" ht="12.75" hidden="false" customHeight="false" outlineLevel="0" collapsed="false">
      <c r="A739" s="325"/>
    </row>
    <row r="740" customFormat="false" ht="12.75" hidden="false" customHeight="false" outlineLevel="0" collapsed="false">
      <c r="A740" s="325"/>
    </row>
    <row r="741" customFormat="false" ht="12.75" hidden="false" customHeight="false" outlineLevel="0" collapsed="false">
      <c r="A741" s="325"/>
    </row>
    <row r="742" customFormat="false" ht="12.75" hidden="false" customHeight="false" outlineLevel="0" collapsed="false">
      <c r="A742" s="325"/>
    </row>
    <row r="743" customFormat="false" ht="12.75" hidden="false" customHeight="false" outlineLevel="0" collapsed="false">
      <c r="A743" s="325"/>
    </row>
    <row r="744" customFormat="false" ht="12.75" hidden="false" customHeight="false" outlineLevel="0" collapsed="false">
      <c r="A744" s="325"/>
    </row>
    <row r="745" customFormat="false" ht="12.75" hidden="false" customHeight="false" outlineLevel="0" collapsed="false">
      <c r="A745" s="325"/>
    </row>
    <row r="746" customFormat="false" ht="12.75" hidden="false" customHeight="false" outlineLevel="0" collapsed="false">
      <c r="A746" s="325"/>
    </row>
    <row r="747" customFormat="false" ht="12.75" hidden="false" customHeight="false" outlineLevel="0" collapsed="false">
      <c r="A747" s="325"/>
    </row>
    <row r="748" customFormat="false" ht="12.75" hidden="false" customHeight="false" outlineLevel="0" collapsed="false">
      <c r="A748" s="325"/>
    </row>
    <row r="749" customFormat="false" ht="12.75" hidden="false" customHeight="false" outlineLevel="0" collapsed="false">
      <c r="A749" s="325"/>
    </row>
    <row r="750" customFormat="false" ht="12.75" hidden="false" customHeight="false" outlineLevel="0" collapsed="false">
      <c r="A750" s="325"/>
    </row>
    <row r="751" customFormat="false" ht="12.75" hidden="false" customHeight="false" outlineLevel="0" collapsed="false">
      <c r="A751" s="325"/>
    </row>
    <row r="752" customFormat="false" ht="12.75" hidden="false" customHeight="false" outlineLevel="0" collapsed="false">
      <c r="A752" s="325"/>
    </row>
    <row r="753" customFormat="false" ht="12.75" hidden="false" customHeight="false" outlineLevel="0" collapsed="false">
      <c r="A753" s="325"/>
    </row>
    <row r="754" customFormat="false" ht="12.75" hidden="false" customHeight="false" outlineLevel="0" collapsed="false">
      <c r="A754" s="325"/>
    </row>
    <row r="755" customFormat="false" ht="12.75" hidden="false" customHeight="false" outlineLevel="0" collapsed="false">
      <c r="A755" s="325"/>
    </row>
    <row r="756" customFormat="false" ht="12.75" hidden="false" customHeight="false" outlineLevel="0" collapsed="false">
      <c r="A756" s="325"/>
    </row>
    <row r="757" customFormat="false" ht="12.75" hidden="false" customHeight="false" outlineLevel="0" collapsed="false">
      <c r="A757" s="325"/>
    </row>
    <row r="758" customFormat="false" ht="12.75" hidden="false" customHeight="false" outlineLevel="0" collapsed="false">
      <c r="A758" s="325"/>
    </row>
    <row r="759" customFormat="false" ht="12.75" hidden="false" customHeight="false" outlineLevel="0" collapsed="false">
      <c r="A759" s="325"/>
    </row>
    <row r="760" customFormat="false" ht="12.75" hidden="false" customHeight="false" outlineLevel="0" collapsed="false">
      <c r="A760" s="325"/>
    </row>
    <row r="761" customFormat="false" ht="12.75" hidden="false" customHeight="false" outlineLevel="0" collapsed="false">
      <c r="A761" s="325"/>
    </row>
    <row r="762" customFormat="false" ht="12.75" hidden="false" customHeight="false" outlineLevel="0" collapsed="false">
      <c r="A762" s="325"/>
    </row>
    <row r="763" customFormat="false" ht="12.75" hidden="false" customHeight="false" outlineLevel="0" collapsed="false">
      <c r="A763" s="325"/>
    </row>
    <row r="764" customFormat="false" ht="12.75" hidden="false" customHeight="false" outlineLevel="0" collapsed="false">
      <c r="A764" s="325"/>
    </row>
    <row r="765" customFormat="false" ht="12.75" hidden="false" customHeight="false" outlineLevel="0" collapsed="false">
      <c r="A765" s="325"/>
    </row>
    <row r="766" customFormat="false" ht="12.75" hidden="false" customHeight="false" outlineLevel="0" collapsed="false">
      <c r="A766" s="325"/>
    </row>
    <row r="767" customFormat="false" ht="12.75" hidden="false" customHeight="false" outlineLevel="0" collapsed="false">
      <c r="A767" s="325"/>
    </row>
    <row r="768" customFormat="false" ht="12.75" hidden="false" customHeight="false" outlineLevel="0" collapsed="false">
      <c r="A768" s="325"/>
    </row>
    <row r="769" customFormat="false" ht="12.75" hidden="false" customHeight="false" outlineLevel="0" collapsed="false">
      <c r="A769" s="325"/>
    </row>
    <row r="770" customFormat="false" ht="12.75" hidden="false" customHeight="false" outlineLevel="0" collapsed="false">
      <c r="A770" s="325"/>
    </row>
    <row r="771" customFormat="false" ht="12.75" hidden="false" customHeight="false" outlineLevel="0" collapsed="false">
      <c r="A771" s="325"/>
    </row>
    <row r="772" customFormat="false" ht="12.75" hidden="false" customHeight="false" outlineLevel="0" collapsed="false">
      <c r="A772" s="325"/>
    </row>
    <row r="773" customFormat="false" ht="12.75" hidden="false" customHeight="false" outlineLevel="0" collapsed="false">
      <c r="A773" s="325"/>
    </row>
    <row r="774" customFormat="false" ht="12.75" hidden="false" customHeight="false" outlineLevel="0" collapsed="false">
      <c r="A774" s="325"/>
    </row>
    <row r="775" customFormat="false" ht="12.75" hidden="false" customHeight="false" outlineLevel="0" collapsed="false">
      <c r="A775" s="325"/>
    </row>
    <row r="776" customFormat="false" ht="12.75" hidden="false" customHeight="false" outlineLevel="0" collapsed="false">
      <c r="A776" s="325"/>
    </row>
    <row r="777" customFormat="false" ht="12.75" hidden="false" customHeight="false" outlineLevel="0" collapsed="false">
      <c r="A777" s="325"/>
    </row>
    <row r="778" customFormat="false" ht="12.75" hidden="false" customHeight="false" outlineLevel="0" collapsed="false">
      <c r="A778" s="325"/>
    </row>
    <row r="779" customFormat="false" ht="12.75" hidden="false" customHeight="false" outlineLevel="0" collapsed="false">
      <c r="A779" s="325"/>
    </row>
    <row r="780" customFormat="false" ht="12.75" hidden="false" customHeight="false" outlineLevel="0" collapsed="false">
      <c r="A780" s="325"/>
    </row>
    <row r="781" customFormat="false" ht="12.75" hidden="false" customHeight="false" outlineLevel="0" collapsed="false">
      <c r="A781" s="325"/>
    </row>
    <row r="782" customFormat="false" ht="12.75" hidden="false" customHeight="false" outlineLevel="0" collapsed="false">
      <c r="A782" s="325"/>
    </row>
    <row r="783" customFormat="false" ht="12.75" hidden="false" customHeight="false" outlineLevel="0" collapsed="false">
      <c r="A783" s="325"/>
    </row>
    <row r="784" customFormat="false" ht="12.75" hidden="false" customHeight="false" outlineLevel="0" collapsed="false">
      <c r="A784" s="325"/>
    </row>
    <row r="785" customFormat="false" ht="12.75" hidden="false" customHeight="false" outlineLevel="0" collapsed="false">
      <c r="A785" s="325"/>
    </row>
    <row r="786" customFormat="false" ht="12.75" hidden="false" customHeight="false" outlineLevel="0" collapsed="false">
      <c r="A786" s="325"/>
    </row>
    <row r="787" customFormat="false" ht="12.75" hidden="false" customHeight="false" outlineLevel="0" collapsed="false">
      <c r="A787" s="325"/>
    </row>
    <row r="788" customFormat="false" ht="12.75" hidden="false" customHeight="false" outlineLevel="0" collapsed="false">
      <c r="A788" s="325"/>
    </row>
    <row r="789" customFormat="false" ht="12.75" hidden="false" customHeight="false" outlineLevel="0" collapsed="false">
      <c r="A789" s="325"/>
    </row>
    <row r="790" customFormat="false" ht="12.75" hidden="false" customHeight="false" outlineLevel="0" collapsed="false">
      <c r="A790" s="325"/>
    </row>
    <row r="791" customFormat="false" ht="12.75" hidden="false" customHeight="false" outlineLevel="0" collapsed="false">
      <c r="A791" s="325"/>
    </row>
    <row r="792" customFormat="false" ht="12.75" hidden="false" customHeight="false" outlineLevel="0" collapsed="false">
      <c r="A792" s="325"/>
    </row>
    <row r="793" customFormat="false" ht="12.75" hidden="false" customHeight="false" outlineLevel="0" collapsed="false">
      <c r="A793" s="325"/>
    </row>
    <row r="794" customFormat="false" ht="12.75" hidden="false" customHeight="false" outlineLevel="0" collapsed="false">
      <c r="A794" s="325"/>
    </row>
    <row r="795" customFormat="false" ht="12.75" hidden="false" customHeight="false" outlineLevel="0" collapsed="false">
      <c r="A795" s="325"/>
    </row>
    <row r="796" customFormat="false" ht="12.75" hidden="false" customHeight="false" outlineLevel="0" collapsed="false">
      <c r="A796" s="325"/>
    </row>
    <row r="797" customFormat="false" ht="12.75" hidden="false" customHeight="false" outlineLevel="0" collapsed="false">
      <c r="A797" s="325"/>
    </row>
    <row r="798" customFormat="false" ht="12.75" hidden="false" customHeight="false" outlineLevel="0" collapsed="false">
      <c r="A798" s="325"/>
    </row>
    <row r="799" customFormat="false" ht="12.75" hidden="false" customHeight="false" outlineLevel="0" collapsed="false">
      <c r="A799" s="325"/>
    </row>
    <row r="800" customFormat="false" ht="12.75" hidden="false" customHeight="false" outlineLevel="0" collapsed="false">
      <c r="A800" s="325"/>
    </row>
    <row r="801" customFormat="false" ht="12.75" hidden="false" customHeight="false" outlineLevel="0" collapsed="false">
      <c r="A801" s="325"/>
    </row>
    <row r="802" customFormat="false" ht="12.75" hidden="false" customHeight="false" outlineLevel="0" collapsed="false">
      <c r="A802" s="325"/>
    </row>
    <row r="803" customFormat="false" ht="12.75" hidden="false" customHeight="false" outlineLevel="0" collapsed="false">
      <c r="A803" s="325"/>
    </row>
    <row r="804" customFormat="false" ht="12.75" hidden="false" customHeight="false" outlineLevel="0" collapsed="false">
      <c r="A804" s="325"/>
    </row>
    <row r="805" customFormat="false" ht="12.75" hidden="false" customHeight="false" outlineLevel="0" collapsed="false">
      <c r="A805" s="325"/>
    </row>
    <row r="806" customFormat="false" ht="12.75" hidden="false" customHeight="false" outlineLevel="0" collapsed="false">
      <c r="A806" s="325"/>
    </row>
    <row r="807" customFormat="false" ht="12.75" hidden="false" customHeight="false" outlineLevel="0" collapsed="false">
      <c r="A807" s="325"/>
    </row>
    <row r="808" customFormat="false" ht="12.75" hidden="false" customHeight="false" outlineLevel="0" collapsed="false">
      <c r="A808" s="325"/>
    </row>
    <row r="809" customFormat="false" ht="12.75" hidden="false" customHeight="false" outlineLevel="0" collapsed="false">
      <c r="A809" s="325"/>
    </row>
    <row r="810" customFormat="false" ht="12.75" hidden="false" customHeight="false" outlineLevel="0" collapsed="false">
      <c r="A810" s="325"/>
    </row>
    <row r="811" customFormat="false" ht="12.75" hidden="false" customHeight="false" outlineLevel="0" collapsed="false">
      <c r="A811" s="325"/>
    </row>
    <row r="812" customFormat="false" ht="12.75" hidden="false" customHeight="false" outlineLevel="0" collapsed="false">
      <c r="A812" s="325"/>
    </row>
    <row r="813" customFormat="false" ht="12.75" hidden="false" customHeight="false" outlineLevel="0" collapsed="false">
      <c r="A813" s="325"/>
    </row>
    <row r="814" customFormat="false" ht="12.75" hidden="false" customHeight="false" outlineLevel="0" collapsed="false">
      <c r="A814" s="325"/>
    </row>
    <row r="815" customFormat="false" ht="12.75" hidden="false" customHeight="false" outlineLevel="0" collapsed="false">
      <c r="A815" s="325"/>
    </row>
    <row r="816" customFormat="false" ht="12.75" hidden="false" customHeight="false" outlineLevel="0" collapsed="false">
      <c r="A816" s="325"/>
    </row>
    <row r="817" customFormat="false" ht="12.75" hidden="false" customHeight="false" outlineLevel="0" collapsed="false">
      <c r="A817" s="325"/>
    </row>
    <row r="818" customFormat="false" ht="12.75" hidden="false" customHeight="false" outlineLevel="0" collapsed="false">
      <c r="A818" s="325"/>
    </row>
    <row r="819" customFormat="false" ht="12.75" hidden="false" customHeight="false" outlineLevel="0" collapsed="false">
      <c r="A819" s="325"/>
    </row>
    <row r="820" customFormat="false" ht="12.75" hidden="false" customHeight="false" outlineLevel="0" collapsed="false">
      <c r="A820" s="325"/>
    </row>
    <row r="821" customFormat="false" ht="12.75" hidden="false" customHeight="false" outlineLevel="0" collapsed="false">
      <c r="A821" s="325"/>
    </row>
    <row r="822" customFormat="false" ht="12.75" hidden="false" customHeight="false" outlineLevel="0" collapsed="false">
      <c r="A822" s="325"/>
    </row>
    <row r="823" customFormat="false" ht="12.75" hidden="false" customHeight="false" outlineLevel="0" collapsed="false">
      <c r="A823" s="325"/>
    </row>
    <row r="824" customFormat="false" ht="12.75" hidden="false" customHeight="false" outlineLevel="0" collapsed="false">
      <c r="A824" s="325"/>
    </row>
    <row r="825" customFormat="false" ht="12.75" hidden="false" customHeight="false" outlineLevel="0" collapsed="false">
      <c r="A825" s="325"/>
    </row>
    <row r="826" customFormat="false" ht="12.75" hidden="false" customHeight="false" outlineLevel="0" collapsed="false">
      <c r="A826" s="325"/>
    </row>
    <row r="827" customFormat="false" ht="12.75" hidden="false" customHeight="false" outlineLevel="0" collapsed="false">
      <c r="A827" s="325"/>
    </row>
    <row r="828" customFormat="false" ht="12.75" hidden="false" customHeight="false" outlineLevel="0" collapsed="false">
      <c r="A828" s="325"/>
    </row>
    <row r="829" customFormat="false" ht="12.75" hidden="false" customHeight="false" outlineLevel="0" collapsed="false">
      <c r="A829" s="325"/>
    </row>
    <row r="830" customFormat="false" ht="12.75" hidden="false" customHeight="false" outlineLevel="0" collapsed="false">
      <c r="A830" s="325"/>
    </row>
    <row r="831" customFormat="false" ht="12.75" hidden="false" customHeight="false" outlineLevel="0" collapsed="false">
      <c r="A831" s="325"/>
    </row>
    <row r="832" customFormat="false" ht="12.75" hidden="false" customHeight="false" outlineLevel="0" collapsed="false">
      <c r="A832" s="325"/>
    </row>
    <row r="833" customFormat="false" ht="12.75" hidden="false" customHeight="false" outlineLevel="0" collapsed="false">
      <c r="A833" s="325"/>
    </row>
    <row r="834" customFormat="false" ht="12.75" hidden="false" customHeight="false" outlineLevel="0" collapsed="false">
      <c r="A834" s="325"/>
    </row>
    <row r="835" customFormat="false" ht="12.75" hidden="false" customHeight="false" outlineLevel="0" collapsed="false">
      <c r="A835" s="325"/>
    </row>
    <row r="836" customFormat="false" ht="12.75" hidden="false" customHeight="false" outlineLevel="0" collapsed="false">
      <c r="A836" s="325"/>
    </row>
    <row r="837" customFormat="false" ht="12.75" hidden="false" customHeight="false" outlineLevel="0" collapsed="false">
      <c r="A837" s="325"/>
    </row>
    <row r="838" customFormat="false" ht="12.75" hidden="false" customHeight="false" outlineLevel="0" collapsed="false">
      <c r="A838" s="325"/>
    </row>
    <row r="839" customFormat="false" ht="12.75" hidden="false" customHeight="false" outlineLevel="0" collapsed="false">
      <c r="A839" s="325"/>
    </row>
    <row r="840" customFormat="false" ht="12.75" hidden="false" customHeight="false" outlineLevel="0" collapsed="false">
      <c r="A840" s="325"/>
    </row>
    <row r="841" customFormat="false" ht="12.75" hidden="false" customHeight="false" outlineLevel="0" collapsed="false">
      <c r="A841" s="325"/>
    </row>
    <row r="842" customFormat="false" ht="12.75" hidden="false" customHeight="false" outlineLevel="0" collapsed="false">
      <c r="A842" s="325"/>
    </row>
    <row r="843" customFormat="false" ht="12.75" hidden="false" customHeight="false" outlineLevel="0" collapsed="false">
      <c r="A843" s="325"/>
    </row>
    <row r="844" customFormat="false" ht="12.75" hidden="false" customHeight="false" outlineLevel="0" collapsed="false">
      <c r="A844" s="325"/>
    </row>
    <row r="845" customFormat="false" ht="12.75" hidden="false" customHeight="false" outlineLevel="0" collapsed="false">
      <c r="A845" s="325"/>
    </row>
    <row r="846" customFormat="false" ht="12.75" hidden="false" customHeight="false" outlineLevel="0" collapsed="false">
      <c r="A846" s="325"/>
    </row>
    <row r="847" customFormat="false" ht="12.75" hidden="false" customHeight="false" outlineLevel="0" collapsed="false">
      <c r="A847" s="325"/>
    </row>
    <row r="848" customFormat="false" ht="12.75" hidden="false" customHeight="false" outlineLevel="0" collapsed="false">
      <c r="A848" s="325"/>
    </row>
    <row r="849" customFormat="false" ht="12.75" hidden="false" customHeight="false" outlineLevel="0" collapsed="false">
      <c r="A849" s="325"/>
    </row>
    <row r="850" customFormat="false" ht="12.75" hidden="false" customHeight="false" outlineLevel="0" collapsed="false">
      <c r="A850" s="325"/>
    </row>
    <row r="851" customFormat="false" ht="12.75" hidden="false" customHeight="false" outlineLevel="0" collapsed="false">
      <c r="A851" s="325"/>
    </row>
    <row r="852" customFormat="false" ht="12.75" hidden="false" customHeight="false" outlineLevel="0" collapsed="false">
      <c r="A852" s="325"/>
    </row>
    <row r="853" customFormat="false" ht="12.75" hidden="false" customHeight="false" outlineLevel="0" collapsed="false">
      <c r="A853" s="325"/>
    </row>
    <row r="854" customFormat="false" ht="12.75" hidden="false" customHeight="false" outlineLevel="0" collapsed="false">
      <c r="A854" s="325"/>
    </row>
    <row r="855" customFormat="false" ht="12.75" hidden="false" customHeight="false" outlineLevel="0" collapsed="false">
      <c r="A855" s="325"/>
    </row>
    <row r="856" customFormat="false" ht="12.75" hidden="false" customHeight="false" outlineLevel="0" collapsed="false">
      <c r="A856" s="325"/>
    </row>
    <row r="857" customFormat="false" ht="12.75" hidden="false" customHeight="false" outlineLevel="0" collapsed="false">
      <c r="A857" s="325"/>
    </row>
    <row r="858" customFormat="false" ht="12.75" hidden="false" customHeight="false" outlineLevel="0" collapsed="false">
      <c r="A858" s="325"/>
    </row>
    <row r="859" customFormat="false" ht="12.75" hidden="false" customHeight="false" outlineLevel="0" collapsed="false">
      <c r="A859" s="325"/>
    </row>
    <row r="860" customFormat="false" ht="12.75" hidden="false" customHeight="false" outlineLevel="0" collapsed="false">
      <c r="A860" s="325"/>
    </row>
    <row r="861" customFormat="false" ht="12.75" hidden="false" customHeight="false" outlineLevel="0" collapsed="false">
      <c r="A861" s="325"/>
    </row>
    <row r="862" customFormat="false" ht="12.75" hidden="false" customHeight="false" outlineLevel="0" collapsed="false">
      <c r="A862" s="325"/>
    </row>
    <row r="863" customFormat="false" ht="12.75" hidden="false" customHeight="false" outlineLevel="0" collapsed="false">
      <c r="A863" s="325"/>
    </row>
    <row r="864" customFormat="false" ht="12.75" hidden="false" customHeight="false" outlineLevel="0" collapsed="false">
      <c r="A864" s="325"/>
    </row>
    <row r="865" customFormat="false" ht="12.75" hidden="false" customHeight="false" outlineLevel="0" collapsed="false">
      <c r="A865" s="325"/>
    </row>
    <row r="866" customFormat="false" ht="12.75" hidden="false" customHeight="false" outlineLevel="0" collapsed="false">
      <c r="A866" s="325"/>
    </row>
    <row r="867" customFormat="false" ht="12.75" hidden="false" customHeight="false" outlineLevel="0" collapsed="false">
      <c r="A867" s="325"/>
    </row>
    <row r="868" customFormat="false" ht="12.75" hidden="false" customHeight="false" outlineLevel="0" collapsed="false">
      <c r="A868" s="325"/>
    </row>
    <row r="869" customFormat="false" ht="12.75" hidden="false" customHeight="false" outlineLevel="0" collapsed="false">
      <c r="A869" s="325"/>
    </row>
    <row r="870" customFormat="false" ht="12.75" hidden="false" customHeight="false" outlineLevel="0" collapsed="false">
      <c r="A870" s="325"/>
    </row>
    <row r="871" customFormat="false" ht="12.75" hidden="false" customHeight="false" outlineLevel="0" collapsed="false">
      <c r="A871" s="325"/>
    </row>
    <row r="872" customFormat="false" ht="12.75" hidden="false" customHeight="false" outlineLevel="0" collapsed="false">
      <c r="A872" s="325"/>
    </row>
    <row r="873" customFormat="false" ht="12.75" hidden="false" customHeight="false" outlineLevel="0" collapsed="false">
      <c r="A873" s="325"/>
    </row>
    <row r="874" customFormat="false" ht="12.75" hidden="false" customHeight="false" outlineLevel="0" collapsed="false">
      <c r="A874" s="325"/>
    </row>
    <row r="875" customFormat="false" ht="12.75" hidden="false" customHeight="false" outlineLevel="0" collapsed="false">
      <c r="A875" s="325"/>
    </row>
    <row r="876" customFormat="false" ht="12.75" hidden="false" customHeight="false" outlineLevel="0" collapsed="false">
      <c r="A876" s="325"/>
    </row>
    <row r="877" customFormat="false" ht="12.75" hidden="false" customHeight="false" outlineLevel="0" collapsed="false">
      <c r="A877" s="325"/>
    </row>
    <row r="878" customFormat="false" ht="12.75" hidden="false" customHeight="false" outlineLevel="0" collapsed="false">
      <c r="A878" s="325"/>
    </row>
    <row r="879" customFormat="false" ht="12.75" hidden="false" customHeight="false" outlineLevel="0" collapsed="false">
      <c r="A879" s="325"/>
    </row>
    <row r="880" customFormat="false" ht="12.75" hidden="false" customHeight="false" outlineLevel="0" collapsed="false">
      <c r="A880" s="325"/>
    </row>
    <row r="881" customFormat="false" ht="12.75" hidden="false" customHeight="false" outlineLevel="0" collapsed="false">
      <c r="A881" s="325"/>
    </row>
    <row r="882" customFormat="false" ht="12.75" hidden="false" customHeight="false" outlineLevel="0" collapsed="false">
      <c r="A882" s="325"/>
    </row>
    <row r="883" customFormat="false" ht="12.75" hidden="false" customHeight="false" outlineLevel="0" collapsed="false">
      <c r="A883" s="325"/>
    </row>
    <row r="884" customFormat="false" ht="12.75" hidden="false" customHeight="false" outlineLevel="0" collapsed="false">
      <c r="A884" s="325"/>
    </row>
    <row r="885" customFormat="false" ht="12.75" hidden="false" customHeight="false" outlineLevel="0" collapsed="false">
      <c r="A885" s="325"/>
    </row>
    <row r="886" customFormat="false" ht="12.75" hidden="false" customHeight="false" outlineLevel="0" collapsed="false">
      <c r="A886" s="325"/>
    </row>
    <row r="887" customFormat="false" ht="12.75" hidden="false" customHeight="false" outlineLevel="0" collapsed="false">
      <c r="A887" s="325"/>
    </row>
    <row r="888" customFormat="false" ht="12.75" hidden="false" customHeight="false" outlineLevel="0" collapsed="false">
      <c r="A888" s="325"/>
    </row>
    <row r="889" customFormat="false" ht="12.75" hidden="false" customHeight="false" outlineLevel="0" collapsed="false">
      <c r="A889" s="325"/>
    </row>
    <row r="890" customFormat="false" ht="12.75" hidden="false" customHeight="false" outlineLevel="0" collapsed="false">
      <c r="A890" s="325"/>
    </row>
    <row r="891" customFormat="false" ht="12.75" hidden="false" customHeight="false" outlineLevel="0" collapsed="false">
      <c r="A891" s="325"/>
    </row>
    <row r="892" customFormat="false" ht="12.75" hidden="false" customHeight="false" outlineLevel="0" collapsed="false">
      <c r="A892" s="325"/>
    </row>
    <row r="893" customFormat="false" ht="12.75" hidden="false" customHeight="false" outlineLevel="0" collapsed="false">
      <c r="A893" s="325"/>
    </row>
    <row r="894" customFormat="false" ht="12.75" hidden="false" customHeight="false" outlineLevel="0" collapsed="false">
      <c r="A894" s="325"/>
    </row>
    <row r="895" customFormat="false" ht="12.75" hidden="false" customHeight="false" outlineLevel="0" collapsed="false">
      <c r="A895" s="325"/>
    </row>
    <row r="896" customFormat="false" ht="12.75" hidden="false" customHeight="false" outlineLevel="0" collapsed="false">
      <c r="A896" s="325"/>
    </row>
    <row r="897" customFormat="false" ht="12.75" hidden="false" customHeight="false" outlineLevel="0" collapsed="false">
      <c r="A897" s="325"/>
    </row>
    <row r="898" customFormat="false" ht="12.75" hidden="false" customHeight="false" outlineLevel="0" collapsed="false">
      <c r="A898" s="325"/>
    </row>
    <row r="899" customFormat="false" ht="12.75" hidden="false" customHeight="false" outlineLevel="0" collapsed="false">
      <c r="A899" s="325"/>
    </row>
    <row r="900" customFormat="false" ht="12.75" hidden="false" customHeight="false" outlineLevel="0" collapsed="false">
      <c r="A900" s="325"/>
    </row>
    <row r="901" customFormat="false" ht="12.75" hidden="false" customHeight="false" outlineLevel="0" collapsed="false">
      <c r="A901" s="325"/>
    </row>
    <row r="902" customFormat="false" ht="12.75" hidden="false" customHeight="false" outlineLevel="0" collapsed="false">
      <c r="A902" s="325"/>
    </row>
    <row r="903" customFormat="false" ht="12.75" hidden="false" customHeight="false" outlineLevel="0" collapsed="false">
      <c r="A903" s="325"/>
    </row>
    <row r="904" customFormat="false" ht="12.75" hidden="false" customHeight="false" outlineLevel="0" collapsed="false">
      <c r="A904" s="325"/>
    </row>
    <row r="905" customFormat="false" ht="12.75" hidden="false" customHeight="false" outlineLevel="0" collapsed="false">
      <c r="A905" s="325"/>
    </row>
    <row r="906" customFormat="false" ht="12.75" hidden="false" customHeight="false" outlineLevel="0" collapsed="false">
      <c r="A906" s="325"/>
    </row>
    <row r="907" customFormat="false" ht="12.75" hidden="false" customHeight="false" outlineLevel="0" collapsed="false">
      <c r="A907" s="325"/>
    </row>
    <row r="908" customFormat="false" ht="12.75" hidden="false" customHeight="false" outlineLevel="0" collapsed="false">
      <c r="A908" s="325"/>
    </row>
    <row r="909" customFormat="false" ht="12.75" hidden="false" customHeight="false" outlineLevel="0" collapsed="false">
      <c r="A909" s="325"/>
    </row>
    <row r="910" customFormat="false" ht="12.75" hidden="false" customHeight="false" outlineLevel="0" collapsed="false">
      <c r="A910" s="325"/>
    </row>
    <row r="911" customFormat="false" ht="12.75" hidden="false" customHeight="false" outlineLevel="0" collapsed="false">
      <c r="A911" s="325"/>
    </row>
    <row r="912" customFormat="false" ht="12.75" hidden="false" customHeight="false" outlineLevel="0" collapsed="false">
      <c r="A912" s="325"/>
    </row>
    <row r="913" customFormat="false" ht="12.75" hidden="false" customHeight="false" outlineLevel="0" collapsed="false">
      <c r="A913" s="325"/>
    </row>
    <row r="914" customFormat="false" ht="12.75" hidden="false" customHeight="false" outlineLevel="0" collapsed="false">
      <c r="A914" s="325"/>
    </row>
    <row r="915" customFormat="false" ht="12.75" hidden="false" customHeight="false" outlineLevel="0" collapsed="false">
      <c r="A915" s="325"/>
    </row>
    <row r="916" customFormat="false" ht="12.75" hidden="false" customHeight="false" outlineLevel="0" collapsed="false">
      <c r="A916" s="325"/>
    </row>
    <row r="917" customFormat="false" ht="12.75" hidden="false" customHeight="false" outlineLevel="0" collapsed="false">
      <c r="A917" s="325"/>
    </row>
    <row r="918" customFormat="false" ht="12.75" hidden="false" customHeight="false" outlineLevel="0" collapsed="false">
      <c r="A918" s="325"/>
    </row>
    <row r="919" customFormat="false" ht="12.75" hidden="false" customHeight="false" outlineLevel="0" collapsed="false">
      <c r="A919" s="325"/>
    </row>
    <row r="920" customFormat="false" ht="12.75" hidden="false" customHeight="false" outlineLevel="0" collapsed="false">
      <c r="A920" s="325"/>
    </row>
    <row r="921" customFormat="false" ht="12.75" hidden="false" customHeight="false" outlineLevel="0" collapsed="false">
      <c r="A921" s="325"/>
    </row>
    <row r="922" customFormat="false" ht="12.75" hidden="false" customHeight="false" outlineLevel="0" collapsed="false">
      <c r="A922" s="325"/>
    </row>
    <row r="923" customFormat="false" ht="12.75" hidden="false" customHeight="false" outlineLevel="0" collapsed="false">
      <c r="A923" s="325"/>
    </row>
    <row r="924" customFormat="false" ht="12.75" hidden="false" customHeight="false" outlineLevel="0" collapsed="false">
      <c r="A924" s="325"/>
    </row>
    <row r="925" customFormat="false" ht="12.75" hidden="false" customHeight="false" outlineLevel="0" collapsed="false">
      <c r="A925" s="325"/>
    </row>
    <row r="926" customFormat="false" ht="12.75" hidden="false" customHeight="false" outlineLevel="0" collapsed="false">
      <c r="A926" s="325"/>
    </row>
    <row r="927" customFormat="false" ht="12.75" hidden="false" customHeight="false" outlineLevel="0" collapsed="false">
      <c r="A927" s="325"/>
    </row>
    <row r="928" customFormat="false" ht="12.75" hidden="false" customHeight="false" outlineLevel="0" collapsed="false">
      <c r="A928" s="325"/>
    </row>
    <row r="929" customFormat="false" ht="12.75" hidden="false" customHeight="false" outlineLevel="0" collapsed="false">
      <c r="A929" s="325"/>
    </row>
    <row r="930" customFormat="false" ht="12.75" hidden="false" customHeight="false" outlineLevel="0" collapsed="false">
      <c r="A930" s="325"/>
    </row>
    <row r="931" customFormat="false" ht="12.75" hidden="false" customHeight="false" outlineLevel="0" collapsed="false">
      <c r="A931" s="325"/>
    </row>
    <row r="932" customFormat="false" ht="12.75" hidden="false" customHeight="false" outlineLevel="0" collapsed="false">
      <c r="A932" s="325"/>
    </row>
    <row r="933" customFormat="false" ht="12.75" hidden="false" customHeight="false" outlineLevel="0" collapsed="false">
      <c r="A933" s="325"/>
    </row>
    <row r="934" customFormat="false" ht="12.75" hidden="false" customHeight="false" outlineLevel="0" collapsed="false">
      <c r="A934" s="325"/>
    </row>
    <row r="935" customFormat="false" ht="12.75" hidden="false" customHeight="false" outlineLevel="0" collapsed="false">
      <c r="A935" s="325"/>
    </row>
    <row r="936" customFormat="false" ht="12.75" hidden="false" customHeight="false" outlineLevel="0" collapsed="false">
      <c r="A936" s="325"/>
    </row>
    <row r="937" customFormat="false" ht="12.75" hidden="false" customHeight="false" outlineLevel="0" collapsed="false">
      <c r="A937" s="325"/>
    </row>
    <row r="938" customFormat="false" ht="12.75" hidden="false" customHeight="false" outlineLevel="0" collapsed="false">
      <c r="A938" s="325"/>
    </row>
    <row r="939" customFormat="false" ht="12.75" hidden="false" customHeight="false" outlineLevel="0" collapsed="false">
      <c r="A939" s="325"/>
    </row>
    <row r="940" customFormat="false" ht="12.75" hidden="false" customHeight="false" outlineLevel="0" collapsed="false">
      <c r="A940" s="325"/>
    </row>
    <row r="941" customFormat="false" ht="12.75" hidden="false" customHeight="false" outlineLevel="0" collapsed="false">
      <c r="A941" s="325"/>
    </row>
    <row r="942" customFormat="false" ht="12.75" hidden="false" customHeight="false" outlineLevel="0" collapsed="false">
      <c r="A942" s="325"/>
    </row>
    <row r="943" customFormat="false" ht="12.75" hidden="false" customHeight="false" outlineLevel="0" collapsed="false">
      <c r="A943" s="325"/>
    </row>
    <row r="944" customFormat="false" ht="12.75" hidden="false" customHeight="false" outlineLevel="0" collapsed="false">
      <c r="A944" s="325"/>
    </row>
    <row r="945" customFormat="false" ht="12.75" hidden="false" customHeight="false" outlineLevel="0" collapsed="false">
      <c r="A945" s="325"/>
    </row>
    <row r="946" customFormat="false" ht="12.75" hidden="false" customHeight="false" outlineLevel="0" collapsed="false">
      <c r="A946" s="325"/>
    </row>
    <row r="947" customFormat="false" ht="12.75" hidden="false" customHeight="false" outlineLevel="0" collapsed="false">
      <c r="A947" s="325"/>
    </row>
    <row r="948" customFormat="false" ht="12.75" hidden="false" customHeight="false" outlineLevel="0" collapsed="false">
      <c r="A948" s="325"/>
    </row>
    <row r="949" customFormat="false" ht="12.75" hidden="false" customHeight="false" outlineLevel="0" collapsed="false">
      <c r="A949" s="325"/>
    </row>
    <row r="950" customFormat="false" ht="12.75" hidden="false" customHeight="false" outlineLevel="0" collapsed="false">
      <c r="A950" s="325"/>
    </row>
    <row r="951" customFormat="false" ht="12.75" hidden="false" customHeight="false" outlineLevel="0" collapsed="false">
      <c r="A951" s="325"/>
    </row>
    <row r="952" customFormat="false" ht="12.75" hidden="false" customHeight="false" outlineLevel="0" collapsed="false">
      <c r="A952" s="325"/>
    </row>
    <row r="953" customFormat="false" ht="12.75" hidden="false" customHeight="false" outlineLevel="0" collapsed="false">
      <c r="A953" s="325"/>
    </row>
    <row r="954" customFormat="false" ht="12.75" hidden="false" customHeight="false" outlineLevel="0" collapsed="false">
      <c r="A954" s="325"/>
    </row>
    <row r="955" customFormat="false" ht="12.75" hidden="false" customHeight="false" outlineLevel="0" collapsed="false">
      <c r="A955" s="325"/>
    </row>
    <row r="956" customFormat="false" ht="12.75" hidden="false" customHeight="false" outlineLevel="0" collapsed="false">
      <c r="A956" s="325"/>
    </row>
    <row r="957" customFormat="false" ht="12.75" hidden="false" customHeight="false" outlineLevel="0" collapsed="false">
      <c r="A957" s="325"/>
    </row>
    <row r="958" customFormat="false" ht="12.75" hidden="false" customHeight="false" outlineLevel="0" collapsed="false">
      <c r="A958" s="325"/>
    </row>
    <row r="959" customFormat="false" ht="12.75" hidden="false" customHeight="false" outlineLevel="0" collapsed="false">
      <c r="A959" s="325"/>
    </row>
    <row r="960" customFormat="false" ht="12.75" hidden="false" customHeight="false" outlineLevel="0" collapsed="false">
      <c r="A960" s="325"/>
    </row>
    <row r="961" customFormat="false" ht="12.75" hidden="false" customHeight="false" outlineLevel="0" collapsed="false">
      <c r="A961" s="325"/>
    </row>
    <row r="962" customFormat="false" ht="12.75" hidden="false" customHeight="false" outlineLevel="0" collapsed="false">
      <c r="A962" s="325"/>
    </row>
    <row r="963" customFormat="false" ht="12.75" hidden="false" customHeight="false" outlineLevel="0" collapsed="false">
      <c r="A963" s="325"/>
    </row>
    <row r="964" customFormat="false" ht="12.75" hidden="false" customHeight="false" outlineLevel="0" collapsed="false">
      <c r="A964" s="325"/>
    </row>
    <row r="965" customFormat="false" ht="12.75" hidden="false" customHeight="false" outlineLevel="0" collapsed="false">
      <c r="A965" s="325"/>
    </row>
    <row r="966" customFormat="false" ht="12.75" hidden="false" customHeight="false" outlineLevel="0" collapsed="false">
      <c r="A966" s="325"/>
    </row>
    <row r="967" customFormat="false" ht="12.75" hidden="false" customHeight="false" outlineLevel="0" collapsed="false">
      <c r="A967" s="325"/>
    </row>
    <row r="968" customFormat="false" ht="12.75" hidden="false" customHeight="false" outlineLevel="0" collapsed="false">
      <c r="A968" s="325"/>
    </row>
    <row r="969" customFormat="false" ht="12.75" hidden="false" customHeight="false" outlineLevel="0" collapsed="false">
      <c r="A969" s="325"/>
    </row>
    <row r="970" customFormat="false" ht="12.75" hidden="false" customHeight="false" outlineLevel="0" collapsed="false">
      <c r="A970" s="325"/>
    </row>
    <row r="971" customFormat="false" ht="12.75" hidden="false" customHeight="false" outlineLevel="0" collapsed="false">
      <c r="A971" s="325"/>
    </row>
    <row r="972" customFormat="false" ht="12.75" hidden="false" customHeight="false" outlineLevel="0" collapsed="false">
      <c r="A972" s="325"/>
    </row>
    <row r="973" customFormat="false" ht="12.75" hidden="false" customHeight="false" outlineLevel="0" collapsed="false">
      <c r="A973" s="325"/>
    </row>
    <row r="974" customFormat="false" ht="12.75" hidden="false" customHeight="false" outlineLevel="0" collapsed="false">
      <c r="A974" s="325"/>
    </row>
    <row r="975" customFormat="false" ht="12.75" hidden="false" customHeight="false" outlineLevel="0" collapsed="false">
      <c r="A975" s="325"/>
    </row>
    <row r="976" customFormat="false" ht="12.75" hidden="false" customHeight="false" outlineLevel="0" collapsed="false">
      <c r="A976" s="325"/>
    </row>
    <row r="977" customFormat="false" ht="12.75" hidden="false" customHeight="false" outlineLevel="0" collapsed="false">
      <c r="A977" s="325"/>
    </row>
    <row r="978" customFormat="false" ht="12.75" hidden="false" customHeight="false" outlineLevel="0" collapsed="false">
      <c r="A978" s="325"/>
    </row>
    <row r="979" customFormat="false" ht="12.75" hidden="false" customHeight="false" outlineLevel="0" collapsed="false">
      <c r="A979" s="325"/>
    </row>
    <row r="980" customFormat="false" ht="12.75" hidden="false" customHeight="false" outlineLevel="0" collapsed="false">
      <c r="A980" s="325"/>
    </row>
    <row r="981" customFormat="false" ht="12.75" hidden="false" customHeight="false" outlineLevel="0" collapsed="false">
      <c r="A981" s="325"/>
    </row>
    <row r="982" customFormat="false" ht="12.75" hidden="false" customHeight="false" outlineLevel="0" collapsed="false">
      <c r="A982" s="325"/>
    </row>
    <row r="983" customFormat="false" ht="12.75" hidden="false" customHeight="false" outlineLevel="0" collapsed="false">
      <c r="A983" s="325"/>
    </row>
    <row r="984" customFormat="false" ht="12.75" hidden="false" customHeight="false" outlineLevel="0" collapsed="false">
      <c r="A984" s="325"/>
    </row>
    <row r="985" customFormat="false" ht="12.75" hidden="false" customHeight="false" outlineLevel="0" collapsed="false">
      <c r="A985" s="325"/>
    </row>
    <row r="986" customFormat="false" ht="12.75" hidden="false" customHeight="false" outlineLevel="0" collapsed="false">
      <c r="A986" s="325"/>
    </row>
    <row r="987" customFormat="false" ht="12.75" hidden="false" customHeight="false" outlineLevel="0" collapsed="false">
      <c r="A987" s="325"/>
    </row>
    <row r="988" customFormat="false" ht="12.75" hidden="false" customHeight="false" outlineLevel="0" collapsed="false">
      <c r="A988" s="325"/>
    </row>
    <row r="989" customFormat="false" ht="12.75" hidden="false" customHeight="false" outlineLevel="0" collapsed="false">
      <c r="A989" s="325"/>
    </row>
    <row r="990" customFormat="false" ht="12.75" hidden="false" customHeight="false" outlineLevel="0" collapsed="false">
      <c r="A990" s="325"/>
    </row>
    <row r="991" customFormat="false" ht="12.75" hidden="false" customHeight="false" outlineLevel="0" collapsed="false">
      <c r="A991" s="325"/>
    </row>
    <row r="992" customFormat="false" ht="12.75" hidden="false" customHeight="false" outlineLevel="0" collapsed="false">
      <c r="A992" s="325"/>
    </row>
    <row r="993" customFormat="false" ht="12.75" hidden="false" customHeight="false" outlineLevel="0" collapsed="false">
      <c r="A993" s="325"/>
    </row>
    <row r="994" customFormat="false" ht="12.75" hidden="false" customHeight="false" outlineLevel="0" collapsed="false">
      <c r="A994" s="325"/>
    </row>
    <row r="995" customFormat="false" ht="12.75" hidden="false" customHeight="false" outlineLevel="0" collapsed="false">
      <c r="A995" s="325"/>
    </row>
    <row r="996" customFormat="false" ht="12.75" hidden="false" customHeight="false" outlineLevel="0" collapsed="false">
      <c r="A996" s="325"/>
    </row>
    <row r="997" customFormat="false" ht="12.75" hidden="false" customHeight="false" outlineLevel="0" collapsed="false">
      <c r="A997" s="325"/>
    </row>
    <row r="998" customFormat="false" ht="12.75" hidden="false" customHeight="false" outlineLevel="0" collapsed="false">
      <c r="A998" s="325"/>
    </row>
    <row r="999" customFormat="false" ht="12.75" hidden="false" customHeight="false" outlineLevel="0" collapsed="false">
      <c r="A999" s="325"/>
    </row>
    <row r="1000" customFormat="false" ht="12.75" hidden="false" customHeight="false" outlineLevel="0" collapsed="false">
      <c r="A1000" s="325"/>
    </row>
    <row r="1001" customFormat="false" ht="12.75" hidden="false" customHeight="false" outlineLevel="0" collapsed="false">
      <c r="A1001" s="325"/>
    </row>
    <row r="1002" customFormat="false" ht="12.75" hidden="false" customHeight="false" outlineLevel="0" collapsed="false">
      <c r="A1002" s="325"/>
    </row>
    <row r="1003" customFormat="false" ht="12.75" hidden="false" customHeight="false" outlineLevel="0" collapsed="false">
      <c r="A1003" s="325"/>
    </row>
    <row r="1004" customFormat="false" ht="12.75" hidden="false" customHeight="false" outlineLevel="0" collapsed="false">
      <c r="A1004" s="325"/>
    </row>
    <row r="1005" customFormat="false" ht="12.75" hidden="false" customHeight="false" outlineLevel="0" collapsed="false">
      <c r="A1005" s="325"/>
    </row>
    <row r="1006" customFormat="false" ht="12.75" hidden="false" customHeight="false" outlineLevel="0" collapsed="false">
      <c r="A1006" s="325"/>
    </row>
    <row r="1007" customFormat="false" ht="12.75" hidden="false" customHeight="false" outlineLevel="0" collapsed="false">
      <c r="A1007" s="325"/>
    </row>
    <row r="1008" customFormat="false" ht="12.75" hidden="false" customHeight="false" outlineLevel="0" collapsed="false">
      <c r="A1008" s="325"/>
    </row>
    <row r="1009" customFormat="false" ht="12.75" hidden="false" customHeight="false" outlineLevel="0" collapsed="false">
      <c r="A1009" s="325"/>
    </row>
    <row r="1010" customFormat="false" ht="12.75" hidden="false" customHeight="false" outlineLevel="0" collapsed="false">
      <c r="A1010" s="325"/>
    </row>
    <row r="1011" customFormat="false" ht="12.75" hidden="false" customHeight="false" outlineLevel="0" collapsed="false">
      <c r="A1011" s="325"/>
    </row>
    <row r="1012" customFormat="false" ht="12.75" hidden="false" customHeight="false" outlineLevel="0" collapsed="false">
      <c r="A1012" s="325"/>
    </row>
    <row r="1013" customFormat="false" ht="12.75" hidden="false" customHeight="false" outlineLevel="0" collapsed="false">
      <c r="A1013" s="325"/>
    </row>
    <row r="1014" customFormat="false" ht="12.75" hidden="false" customHeight="false" outlineLevel="0" collapsed="false">
      <c r="A1014" s="325"/>
    </row>
    <row r="1015" customFormat="false" ht="12.75" hidden="false" customHeight="false" outlineLevel="0" collapsed="false">
      <c r="A1015" s="325"/>
    </row>
    <row r="1016" customFormat="false" ht="12.75" hidden="false" customHeight="false" outlineLevel="0" collapsed="false">
      <c r="A1016" s="325"/>
    </row>
    <row r="1017" customFormat="false" ht="12.75" hidden="false" customHeight="false" outlineLevel="0" collapsed="false">
      <c r="A1017" s="325"/>
    </row>
    <row r="1018" customFormat="false" ht="12.75" hidden="false" customHeight="false" outlineLevel="0" collapsed="false">
      <c r="A1018" s="325"/>
    </row>
    <row r="1019" customFormat="false" ht="12.75" hidden="false" customHeight="false" outlineLevel="0" collapsed="false">
      <c r="A1019" s="325"/>
    </row>
    <row r="1020" customFormat="false" ht="12.75" hidden="false" customHeight="false" outlineLevel="0" collapsed="false">
      <c r="A1020" s="325"/>
    </row>
    <row r="1021" customFormat="false" ht="12.75" hidden="false" customHeight="false" outlineLevel="0" collapsed="false">
      <c r="A1021" s="325"/>
    </row>
    <row r="1022" customFormat="false" ht="12.75" hidden="false" customHeight="false" outlineLevel="0" collapsed="false">
      <c r="A1022" s="325"/>
    </row>
    <row r="1023" customFormat="false" ht="12.75" hidden="false" customHeight="false" outlineLevel="0" collapsed="false">
      <c r="A1023" s="325"/>
    </row>
    <row r="1024" customFormat="false" ht="12.75" hidden="false" customHeight="false" outlineLevel="0" collapsed="false">
      <c r="A1024" s="325"/>
    </row>
    <row r="1025" customFormat="false" ht="12.75" hidden="false" customHeight="false" outlineLevel="0" collapsed="false">
      <c r="A1025" s="325"/>
    </row>
    <row r="1026" customFormat="false" ht="12.75" hidden="false" customHeight="false" outlineLevel="0" collapsed="false">
      <c r="A1026" s="325"/>
    </row>
    <row r="1027" customFormat="false" ht="12.75" hidden="false" customHeight="false" outlineLevel="0" collapsed="false">
      <c r="A1027" s="325"/>
    </row>
    <row r="1028" customFormat="false" ht="12.75" hidden="false" customHeight="false" outlineLevel="0" collapsed="false">
      <c r="A1028" s="325"/>
    </row>
    <row r="1029" customFormat="false" ht="12.75" hidden="false" customHeight="false" outlineLevel="0" collapsed="false">
      <c r="A1029" s="325"/>
    </row>
    <row r="1030" customFormat="false" ht="12.75" hidden="false" customHeight="false" outlineLevel="0" collapsed="false">
      <c r="A1030" s="325"/>
    </row>
    <row r="1031" customFormat="false" ht="12.75" hidden="false" customHeight="false" outlineLevel="0" collapsed="false">
      <c r="A1031" s="325"/>
    </row>
    <row r="1032" customFormat="false" ht="12.75" hidden="false" customHeight="false" outlineLevel="0" collapsed="false">
      <c r="A1032" s="325"/>
    </row>
    <row r="1033" customFormat="false" ht="12.75" hidden="false" customHeight="false" outlineLevel="0" collapsed="false">
      <c r="A1033" s="325"/>
    </row>
    <row r="1034" customFormat="false" ht="12.75" hidden="false" customHeight="false" outlineLevel="0" collapsed="false">
      <c r="A1034" s="325"/>
    </row>
    <row r="1035" customFormat="false" ht="12.75" hidden="false" customHeight="false" outlineLevel="0" collapsed="false">
      <c r="A1035" s="325"/>
    </row>
    <row r="1036" customFormat="false" ht="12.75" hidden="false" customHeight="false" outlineLevel="0" collapsed="false">
      <c r="A1036" s="325"/>
    </row>
    <row r="1037" customFormat="false" ht="12.75" hidden="false" customHeight="false" outlineLevel="0" collapsed="false">
      <c r="A1037" s="325"/>
    </row>
    <row r="1038" customFormat="false" ht="12.75" hidden="false" customHeight="false" outlineLevel="0" collapsed="false">
      <c r="A1038" s="325"/>
    </row>
    <row r="1039" customFormat="false" ht="12.75" hidden="false" customHeight="false" outlineLevel="0" collapsed="false">
      <c r="A1039" s="325"/>
    </row>
    <row r="1040" customFormat="false" ht="12.75" hidden="false" customHeight="false" outlineLevel="0" collapsed="false">
      <c r="A1040" s="325"/>
    </row>
    <row r="1041" customFormat="false" ht="12.75" hidden="false" customHeight="false" outlineLevel="0" collapsed="false">
      <c r="A1041" s="325"/>
    </row>
    <row r="1042" customFormat="false" ht="12.75" hidden="false" customHeight="false" outlineLevel="0" collapsed="false">
      <c r="A1042" s="325"/>
    </row>
    <row r="1043" customFormat="false" ht="12.75" hidden="false" customHeight="false" outlineLevel="0" collapsed="false">
      <c r="A1043" s="325"/>
    </row>
    <row r="1044" customFormat="false" ht="12.75" hidden="false" customHeight="false" outlineLevel="0" collapsed="false">
      <c r="A1044" s="325"/>
    </row>
    <row r="1045" customFormat="false" ht="12.75" hidden="false" customHeight="false" outlineLevel="0" collapsed="false">
      <c r="A1045" s="325"/>
    </row>
    <row r="1046" customFormat="false" ht="12.75" hidden="false" customHeight="false" outlineLevel="0" collapsed="false">
      <c r="A1046" s="325"/>
    </row>
    <row r="1047" customFormat="false" ht="12.75" hidden="false" customHeight="false" outlineLevel="0" collapsed="false">
      <c r="A1047" s="325"/>
    </row>
    <row r="1048" customFormat="false" ht="12.75" hidden="false" customHeight="false" outlineLevel="0" collapsed="false">
      <c r="A1048" s="325"/>
    </row>
    <row r="1049" customFormat="false" ht="12.75" hidden="false" customHeight="false" outlineLevel="0" collapsed="false">
      <c r="A1049" s="325"/>
    </row>
    <row r="1050" customFormat="false" ht="12.75" hidden="false" customHeight="false" outlineLevel="0" collapsed="false">
      <c r="A1050" s="325"/>
    </row>
    <row r="1051" customFormat="false" ht="12.75" hidden="false" customHeight="false" outlineLevel="0" collapsed="false">
      <c r="A1051" s="325"/>
    </row>
    <row r="1052" customFormat="false" ht="12.75" hidden="false" customHeight="false" outlineLevel="0" collapsed="false">
      <c r="A1052" s="325"/>
    </row>
    <row r="1053" customFormat="false" ht="12.75" hidden="false" customHeight="false" outlineLevel="0" collapsed="false">
      <c r="A1053" s="325"/>
    </row>
    <row r="1054" customFormat="false" ht="12.75" hidden="false" customHeight="false" outlineLevel="0" collapsed="false">
      <c r="A1054" s="325"/>
    </row>
    <row r="1055" customFormat="false" ht="12.75" hidden="false" customHeight="false" outlineLevel="0" collapsed="false">
      <c r="A1055" s="325"/>
    </row>
    <row r="1056" customFormat="false" ht="12.75" hidden="false" customHeight="false" outlineLevel="0" collapsed="false">
      <c r="A1056" s="325"/>
    </row>
    <row r="1057" customFormat="false" ht="12.75" hidden="false" customHeight="false" outlineLevel="0" collapsed="false">
      <c r="A1057" s="325"/>
    </row>
    <row r="1058" customFormat="false" ht="12.75" hidden="false" customHeight="false" outlineLevel="0" collapsed="false">
      <c r="A1058" s="325"/>
    </row>
    <row r="1059" customFormat="false" ht="12.75" hidden="false" customHeight="false" outlineLevel="0" collapsed="false">
      <c r="A1059" s="325"/>
    </row>
    <row r="1060" customFormat="false" ht="12.75" hidden="false" customHeight="false" outlineLevel="0" collapsed="false">
      <c r="A1060" s="325"/>
    </row>
    <row r="1061" customFormat="false" ht="12.75" hidden="false" customHeight="false" outlineLevel="0" collapsed="false">
      <c r="A1061" s="325"/>
    </row>
    <row r="1062" customFormat="false" ht="12.75" hidden="false" customHeight="false" outlineLevel="0" collapsed="false">
      <c r="A1062" s="325"/>
    </row>
    <row r="1063" customFormat="false" ht="12.75" hidden="false" customHeight="false" outlineLevel="0" collapsed="false">
      <c r="A1063" s="325"/>
    </row>
    <row r="1064" customFormat="false" ht="12.75" hidden="false" customHeight="false" outlineLevel="0" collapsed="false">
      <c r="A1064" s="325"/>
    </row>
    <row r="1065" customFormat="false" ht="12.75" hidden="false" customHeight="false" outlineLevel="0" collapsed="false">
      <c r="A1065" s="325"/>
    </row>
    <row r="1066" customFormat="false" ht="12.75" hidden="false" customHeight="false" outlineLevel="0" collapsed="false">
      <c r="A1066" s="325"/>
    </row>
    <row r="1067" customFormat="false" ht="12.75" hidden="false" customHeight="false" outlineLevel="0" collapsed="false">
      <c r="A1067" s="325"/>
    </row>
    <row r="1068" customFormat="false" ht="12.75" hidden="false" customHeight="false" outlineLevel="0" collapsed="false">
      <c r="A1068" s="325"/>
    </row>
    <row r="1069" customFormat="false" ht="12.75" hidden="false" customHeight="false" outlineLevel="0" collapsed="false">
      <c r="A1069" s="325"/>
    </row>
    <row r="1070" customFormat="false" ht="12.75" hidden="false" customHeight="false" outlineLevel="0" collapsed="false">
      <c r="A1070" s="325"/>
    </row>
    <row r="1071" customFormat="false" ht="12.75" hidden="false" customHeight="false" outlineLevel="0" collapsed="false">
      <c r="A1071" s="325"/>
    </row>
    <row r="1072" customFormat="false" ht="12.75" hidden="false" customHeight="false" outlineLevel="0" collapsed="false">
      <c r="A1072" s="325"/>
    </row>
    <row r="1073" customFormat="false" ht="12.75" hidden="false" customHeight="false" outlineLevel="0" collapsed="false">
      <c r="A1073" s="325"/>
    </row>
    <row r="1074" customFormat="false" ht="12.75" hidden="false" customHeight="false" outlineLevel="0" collapsed="false">
      <c r="A1074" s="325"/>
    </row>
    <row r="1075" customFormat="false" ht="12.75" hidden="false" customHeight="false" outlineLevel="0" collapsed="false">
      <c r="A1075" s="325"/>
    </row>
    <row r="1076" customFormat="false" ht="12.75" hidden="false" customHeight="false" outlineLevel="0" collapsed="false">
      <c r="A1076" s="325"/>
    </row>
    <row r="1077" customFormat="false" ht="12.75" hidden="false" customHeight="false" outlineLevel="0" collapsed="false">
      <c r="A1077" s="325"/>
    </row>
    <row r="1078" customFormat="false" ht="12.75" hidden="false" customHeight="false" outlineLevel="0" collapsed="false">
      <c r="A1078" s="325"/>
    </row>
    <row r="1079" customFormat="false" ht="12.75" hidden="false" customHeight="false" outlineLevel="0" collapsed="false">
      <c r="A1079" s="325"/>
    </row>
    <row r="1080" customFormat="false" ht="12.75" hidden="false" customHeight="false" outlineLevel="0" collapsed="false">
      <c r="A1080" s="325"/>
    </row>
    <row r="1081" customFormat="false" ht="12.75" hidden="false" customHeight="false" outlineLevel="0" collapsed="false">
      <c r="A1081" s="325"/>
    </row>
    <row r="1082" customFormat="false" ht="12.75" hidden="false" customHeight="false" outlineLevel="0" collapsed="false">
      <c r="A1082" s="325"/>
    </row>
    <row r="1083" customFormat="false" ht="12.75" hidden="false" customHeight="false" outlineLevel="0" collapsed="false">
      <c r="A1083" s="325"/>
    </row>
    <row r="1084" customFormat="false" ht="12.75" hidden="false" customHeight="false" outlineLevel="0" collapsed="false">
      <c r="A1084" s="325"/>
    </row>
    <row r="1085" customFormat="false" ht="12.75" hidden="false" customHeight="false" outlineLevel="0" collapsed="false">
      <c r="A1085" s="325"/>
    </row>
    <row r="1086" customFormat="false" ht="12.75" hidden="false" customHeight="false" outlineLevel="0" collapsed="false">
      <c r="A1086" s="325"/>
    </row>
    <row r="1087" customFormat="false" ht="12.75" hidden="false" customHeight="false" outlineLevel="0" collapsed="false">
      <c r="A1087" s="325"/>
    </row>
    <row r="1088" customFormat="false" ht="12.75" hidden="false" customHeight="false" outlineLevel="0" collapsed="false">
      <c r="A1088" s="325"/>
    </row>
    <row r="1089" customFormat="false" ht="12.75" hidden="false" customHeight="false" outlineLevel="0" collapsed="false">
      <c r="A1089" s="325"/>
    </row>
    <row r="1090" customFormat="false" ht="12.75" hidden="false" customHeight="false" outlineLevel="0" collapsed="false">
      <c r="A1090" s="325"/>
    </row>
    <row r="1091" customFormat="false" ht="12.75" hidden="false" customHeight="false" outlineLevel="0" collapsed="false">
      <c r="A1091" s="325"/>
    </row>
    <row r="1092" customFormat="false" ht="12.75" hidden="false" customHeight="false" outlineLevel="0" collapsed="false">
      <c r="A1092" s="325"/>
    </row>
    <row r="1093" customFormat="false" ht="12.75" hidden="false" customHeight="false" outlineLevel="0" collapsed="false">
      <c r="A1093" s="325"/>
    </row>
    <row r="1094" customFormat="false" ht="12.75" hidden="false" customHeight="false" outlineLevel="0" collapsed="false">
      <c r="A1094" s="325"/>
    </row>
    <row r="1095" customFormat="false" ht="12.75" hidden="false" customHeight="false" outlineLevel="0" collapsed="false">
      <c r="A1095" s="325"/>
    </row>
    <row r="1096" customFormat="false" ht="12.75" hidden="false" customHeight="false" outlineLevel="0" collapsed="false">
      <c r="A1096" s="325"/>
    </row>
    <row r="1097" customFormat="false" ht="12.75" hidden="false" customHeight="false" outlineLevel="0" collapsed="false">
      <c r="A1097" s="325"/>
    </row>
    <row r="1098" customFormat="false" ht="12.75" hidden="false" customHeight="false" outlineLevel="0" collapsed="false">
      <c r="A1098" s="325"/>
    </row>
    <row r="1099" customFormat="false" ht="12.75" hidden="false" customHeight="false" outlineLevel="0" collapsed="false">
      <c r="A1099" s="325"/>
    </row>
    <row r="1100" customFormat="false" ht="12.75" hidden="false" customHeight="false" outlineLevel="0" collapsed="false">
      <c r="A1100" s="325"/>
    </row>
    <row r="1101" customFormat="false" ht="12.75" hidden="false" customHeight="false" outlineLevel="0" collapsed="false">
      <c r="A1101" s="325"/>
    </row>
    <row r="1102" customFormat="false" ht="12.75" hidden="false" customHeight="false" outlineLevel="0" collapsed="false">
      <c r="A1102" s="325"/>
    </row>
    <row r="1103" customFormat="false" ht="12.75" hidden="false" customHeight="false" outlineLevel="0" collapsed="false">
      <c r="A1103" s="325"/>
    </row>
    <row r="1104" customFormat="false" ht="12.75" hidden="false" customHeight="false" outlineLevel="0" collapsed="false">
      <c r="A1104" s="325"/>
    </row>
    <row r="1105" customFormat="false" ht="12.75" hidden="false" customHeight="false" outlineLevel="0" collapsed="false">
      <c r="A1105" s="325"/>
    </row>
    <row r="1106" customFormat="false" ht="12.75" hidden="false" customHeight="false" outlineLevel="0" collapsed="false">
      <c r="A1106" s="325"/>
    </row>
    <row r="1107" customFormat="false" ht="12.75" hidden="false" customHeight="false" outlineLevel="0" collapsed="false">
      <c r="A1107" s="325"/>
    </row>
    <row r="1108" customFormat="false" ht="12.75" hidden="false" customHeight="false" outlineLevel="0" collapsed="false">
      <c r="A1108" s="325"/>
    </row>
    <row r="1109" customFormat="false" ht="12.75" hidden="false" customHeight="false" outlineLevel="0" collapsed="false">
      <c r="A1109" s="325"/>
    </row>
    <row r="1110" customFormat="false" ht="12.75" hidden="false" customHeight="false" outlineLevel="0" collapsed="false">
      <c r="A1110" s="325"/>
    </row>
    <row r="1111" customFormat="false" ht="12.75" hidden="false" customHeight="false" outlineLevel="0" collapsed="false">
      <c r="A1111" s="325"/>
    </row>
    <row r="1112" customFormat="false" ht="12.75" hidden="false" customHeight="false" outlineLevel="0" collapsed="false">
      <c r="A1112" s="325"/>
    </row>
    <row r="1113" customFormat="false" ht="12.75" hidden="false" customHeight="false" outlineLevel="0" collapsed="false">
      <c r="A1113" s="325"/>
    </row>
    <row r="1114" customFormat="false" ht="12.75" hidden="false" customHeight="false" outlineLevel="0" collapsed="false">
      <c r="A1114" s="325"/>
    </row>
    <row r="1115" customFormat="false" ht="12.75" hidden="false" customHeight="false" outlineLevel="0" collapsed="false">
      <c r="A1115" s="325"/>
    </row>
    <row r="1116" customFormat="false" ht="12.75" hidden="false" customHeight="false" outlineLevel="0" collapsed="false">
      <c r="A1116" s="325"/>
    </row>
    <row r="1117" customFormat="false" ht="12.75" hidden="false" customHeight="false" outlineLevel="0" collapsed="false">
      <c r="A1117" s="325"/>
    </row>
    <row r="1118" customFormat="false" ht="12.75" hidden="false" customHeight="false" outlineLevel="0" collapsed="false">
      <c r="A1118" s="325"/>
    </row>
    <row r="1119" customFormat="false" ht="12.75" hidden="false" customHeight="false" outlineLevel="0" collapsed="false">
      <c r="A1119" s="325"/>
    </row>
    <row r="1120" customFormat="false" ht="12.75" hidden="false" customHeight="false" outlineLevel="0" collapsed="false">
      <c r="A1120" s="325"/>
    </row>
    <row r="1121" customFormat="false" ht="12.75" hidden="false" customHeight="false" outlineLevel="0" collapsed="false">
      <c r="A1121" s="325"/>
    </row>
    <row r="1122" customFormat="false" ht="12.75" hidden="false" customHeight="false" outlineLevel="0" collapsed="false">
      <c r="A1122" s="325"/>
    </row>
    <row r="1123" customFormat="false" ht="12.75" hidden="false" customHeight="false" outlineLevel="0" collapsed="false">
      <c r="A1123" s="325"/>
    </row>
    <row r="1124" customFormat="false" ht="12.75" hidden="false" customHeight="false" outlineLevel="0" collapsed="false">
      <c r="A1124" s="325"/>
    </row>
    <row r="1125" customFormat="false" ht="12.75" hidden="false" customHeight="false" outlineLevel="0" collapsed="false">
      <c r="A1125" s="325"/>
    </row>
    <row r="1126" customFormat="false" ht="12.75" hidden="false" customHeight="false" outlineLevel="0" collapsed="false">
      <c r="A1126" s="325"/>
    </row>
    <row r="1127" customFormat="false" ht="12.75" hidden="false" customHeight="false" outlineLevel="0" collapsed="false">
      <c r="A1127" s="325"/>
    </row>
    <row r="1128" customFormat="false" ht="12.75" hidden="false" customHeight="false" outlineLevel="0" collapsed="false">
      <c r="A1128" s="325"/>
    </row>
    <row r="1129" customFormat="false" ht="12.75" hidden="false" customHeight="false" outlineLevel="0" collapsed="false">
      <c r="A1129" s="325"/>
    </row>
    <row r="1130" customFormat="false" ht="12.75" hidden="false" customHeight="false" outlineLevel="0" collapsed="false">
      <c r="A1130" s="325"/>
    </row>
    <row r="1131" customFormat="false" ht="12.75" hidden="false" customHeight="false" outlineLevel="0" collapsed="false">
      <c r="A1131" s="325"/>
    </row>
    <row r="1132" customFormat="false" ht="12.75" hidden="false" customHeight="false" outlineLevel="0" collapsed="false">
      <c r="A1132" s="325"/>
    </row>
    <row r="1133" customFormat="false" ht="12.75" hidden="false" customHeight="false" outlineLevel="0" collapsed="false">
      <c r="A1133" s="325"/>
    </row>
    <row r="1134" customFormat="false" ht="12.75" hidden="false" customHeight="false" outlineLevel="0" collapsed="false">
      <c r="A1134" s="325"/>
    </row>
    <row r="1135" customFormat="false" ht="12.75" hidden="false" customHeight="false" outlineLevel="0" collapsed="false">
      <c r="A1135" s="325"/>
    </row>
    <row r="1136" customFormat="false" ht="12.75" hidden="false" customHeight="false" outlineLevel="0" collapsed="false">
      <c r="A1136" s="325"/>
    </row>
    <row r="1137" customFormat="false" ht="12.75" hidden="false" customHeight="false" outlineLevel="0" collapsed="false">
      <c r="A1137" s="325"/>
    </row>
    <row r="1138" customFormat="false" ht="12.75" hidden="false" customHeight="false" outlineLevel="0" collapsed="false">
      <c r="A1138" s="325"/>
    </row>
    <row r="1139" customFormat="false" ht="12.75" hidden="false" customHeight="false" outlineLevel="0" collapsed="false">
      <c r="A1139" s="325"/>
    </row>
    <row r="1140" customFormat="false" ht="12.75" hidden="false" customHeight="false" outlineLevel="0" collapsed="false">
      <c r="A1140" s="325"/>
    </row>
    <row r="1141" customFormat="false" ht="12.75" hidden="false" customHeight="false" outlineLevel="0" collapsed="false">
      <c r="A1141" s="325"/>
    </row>
    <row r="1142" customFormat="false" ht="12.75" hidden="false" customHeight="false" outlineLevel="0" collapsed="false">
      <c r="A1142" s="325"/>
    </row>
    <row r="1143" customFormat="false" ht="12.75" hidden="false" customHeight="false" outlineLevel="0" collapsed="false">
      <c r="A1143" s="325"/>
    </row>
    <row r="1144" customFormat="false" ht="12.75" hidden="false" customHeight="false" outlineLevel="0" collapsed="false">
      <c r="A1144" s="325"/>
    </row>
    <row r="1145" customFormat="false" ht="12.75" hidden="false" customHeight="false" outlineLevel="0" collapsed="false">
      <c r="A1145" s="325"/>
    </row>
    <row r="1146" customFormat="false" ht="12.75" hidden="false" customHeight="false" outlineLevel="0" collapsed="false">
      <c r="A1146" s="325"/>
    </row>
    <row r="1147" customFormat="false" ht="12.75" hidden="false" customHeight="false" outlineLevel="0" collapsed="false">
      <c r="A1147" s="325"/>
    </row>
    <row r="1148" customFormat="false" ht="12.75" hidden="false" customHeight="false" outlineLevel="0" collapsed="false">
      <c r="A1148" s="325"/>
    </row>
    <row r="1149" customFormat="false" ht="12.75" hidden="false" customHeight="false" outlineLevel="0" collapsed="false">
      <c r="A1149" s="325"/>
    </row>
    <row r="1150" customFormat="false" ht="12.75" hidden="false" customHeight="false" outlineLevel="0" collapsed="false">
      <c r="A1150" s="325"/>
    </row>
    <row r="1151" customFormat="false" ht="12.75" hidden="false" customHeight="false" outlineLevel="0" collapsed="false">
      <c r="A1151" s="325"/>
    </row>
    <row r="1152" customFormat="false" ht="12.75" hidden="false" customHeight="false" outlineLevel="0" collapsed="false">
      <c r="A1152" s="325"/>
    </row>
    <row r="1153" customFormat="false" ht="12.75" hidden="false" customHeight="false" outlineLevel="0" collapsed="false">
      <c r="A1153" s="325"/>
    </row>
    <row r="1154" customFormat="false" ht="12.75" hidden="false" customHeight="false" outlineLevel="0" collapsed="false">
      <c r="A1154" s="325"/>
    </row>
    <row r="1155" customFormat="false" ht="12.75" hidden="false" customHeight="false" outlineLevel="0" collapsed="false">
      <c r="A1155" s="325"/>
    </row>
    <row r="1156" customFormat="false" ht="12.75" hidden="false" customHeight="false" outlineLevel="0" collapsed="false">
      <c r="A1156" s="325"/>
    </row>
    <row r="1157" customFormat="false" ht="12.75" hidden="false" customHeight="false" outlineLevel="0" collapsed="false">
      <c r="A1157" s="325"/>
    </row>
    <row r="1158" customFormat="false" ht="12.75" hidden="false" customHeight="false" outlineLevel="0" collapsed="false">
      <c r="A1158" s="325"/>
    </row>
    <row r="1159" customFormat="false" ht="12.75" hidden="false" customHeight="false" outlineLevel="0" collapsed="false">
      <c r="A1159" s="325"/>
    </row>
    <row r="1160" customFormat="false" ht="12.75" hidden="false" customHeight="false" outlineLevel="0" collapsed="false">
      <c r="A1160" s="325"/>
    </row>
    <row r="1161" customFormat="false" ht="12.75" hidden="false" customHeight="false" outlineLevel="0" collapsed="false">
      <c r="A1161" s="325"/>
    </row>
    <row r="1162" customFormat="false" ht="12.75" hidden="false" customHeight="false" outlineLevel="0" collapsed="false">
      <c r="A1162" s="325"/>
    </row>
    <row r="1163" customFormat="false" ht="12.75" hidden="false" customHeight="false" outlineLevel="0" collapsed="false">
      <c r="A1163" s="325"/>
    </row>
    <row r="1164" customFormat="false" ht="12.75" hidden="false" customHeight="false" outlineLevel="0" collapsed="false">
      <c r="A1164" s="325"/>
    </row>
    <row r="1165" customFormat="false" ht="12.75" hidden="false" customHeight="false" outlineLevel="0" collapsed="false">
      <c r="A1165" s="325"/>
    </row>
    <row r="1166" customFormat="false" ht="12.75" hidden="false" customHeight="false" outlineLevel="0" collapsed="false">
      <c r="A1166" s="325"/>
    </row>
    <row r="1167" customFormat="false" ht="12.75" hidden="false" customHeight="false" outlineLevel="0" collapsed="false">
      <c r="A1167" s="325"/>
    </row>
    <row r="1168" customFormat="false" ht="12.75" hidden="false" customHeight="false" outlineLevel="0" collapsed="false">
      <c r="A1168" s="325"/>
    </row>
    <row r="1169" customFormat="false" ht="12.75" hidden="false" customHeight="false" outlineLevel="0" collapsed="false">
      <c r="A1169" s="325"/>
    </row>
    <row r="1170" customFormat="false" ht="12.75" hidden="false" customHeight="false" outlineLevel="0" collapsed="false">
      <c r="A1170" s="325"/>
    </row>
    <row r="1171" customFormat="false" ht="12.75" hidden="false" customHeight="false" outlineLevel="0" collapsed="false">
      <c r="A1171" s="325"/>
    </row>
    <row r="1172" customFormat="false" ht="12.75" hidden="false" customHeight="false" outlineLevel="0" collapsed="false">
      <c r="A1172" s="325"/>
    </row>
    <row r="1173" customFormat="false" ht="12.75" hidden="false" customHeight="false" outlineLevel="0" collapsed="false">
      <c r="A1173" s="325"/>
    </row>
    <row r="1174" customFormat="false" ht="12.75" hidden="false" customHeight="false" outlineLevel="0" collapsed="false">
      <c r="A1174" s="325"/>
    </row>
    <row r="1175" customFormat="false" ht="12.75" hidden="false" customHeight="false" outlineLevel="0" collapsed="false">
      <c r="A1175" s="325"/>
    </row>
    <row r="1176" customFormat="false" ht="12.75" hidden="false" customHeight="false" outlineLevel="0" collapsed="false">
      <c r="A1176" s="325"/>
    </row>
    <row r="1177" customFormat="false" ht="12.75" hidden="false" customHeight="false" outlineLevel="0" collapsed="false">
      <c r="A1177" s="325"/>
    </row>
    <row r="1178" customFormat="false" ht="12.75" hidden="false" customHeight="false" outlineLevel="0" collapsed="false">
      <c r="A1178" s="325"/>
    </row>
    <row r="1179" customFormat="false" ht="12.75" hidden="false" customHeight="false" outlineLevel="0" collapsed="false">
      <c r="A1179" s="325"/>
    </row>
    <row r="1180" customFormat="false" ht="12.75" hidden="false" customHeight="false" outlineLevel="0" collapsed="false">
      <c r="A1180" s="325"/>
    </row>
    <row r="1181" customFormat="false" ht="12.75" hidden="false" customHeight="false" outlineLevel="0" collapsed="false">
      <c r="A1181" s="325"/>
    </row>
    <row r="1182" customFormat="false" ht="12.75" hidden="false" customHeight="false" outlineLevel="0" collapsed="false">
      <c r="A1182" s="325"/>
    </row>
    <row r="1183" customFormat="false" ht="12.75" hidden="false" customHeight="false" outlineLevel="0" collapsed="false">
      <c r="A1183" s="325"/>
    </row>
    <row r="1184" customFormat="false" ht="12.75" hidden="false" customHeight="false" outlineLevel="0" collapsed="false">
      <c r="A1184" s="325"/>
    </row>
    <row r="1185" customFormat="false" ht="12.75" hidden="false" customHeight="false" outlineLevel="0" collapsed="false">
      <c r="A1185" s="325"/>
    </row>
    <row r="1186" customFormat="false" ht="12.75" hidden="false" customHeight="false" outlineLevel="0" collapsed="false">
      <c r="A1186" s="325"/>
    </row>
    <row r="1187" customFormat="false" ht="12.75" hidden="false" customHeight="false" outlineLevel="0" collapsed="false">
      <c r="A1187" s="325"/>
    </row>
    <row r="1188" customFormat="false" ht="12.75" hidden="false" customHeight="false" outlineLevel="0" collapsed="false">
      <c r="A1188" s="325"/>
    </row>
    <row r="1189" customFormat="false" ht="12.75" hidden="false" customHeight="false" outlineLevel="0" collapsed="false">
      <c r="A1189" s="325"/>
    </row>
    <row r="1190" customFormat="false" ht="12.75" hidden="false" customHeight="false" outlineLevel="0" collapsed="false">
      <c r="A1190" s="325"/>
    </row>
    <row r="1191" customFormat="false" ht="12.75" hidden="false" customHeight="false" outlineLevel="0" collapsed="false">
      <c r="A1191" s="325"/>
    </row>
    <row r="1192" customFormat="false" ht="12.75" hidden="false" customHeight="false" outlineLevel="0" collapsed="false">
      <c r="A1192" s="325"/>
    </row>
    <row r="1193" customFormat="false" ht="12.75" hidden="false" customHeight="false" outlineLevel="0" collapsed="false">
      <c r="A1193" s="325"/>
    </row>
    <row r="1194" customFormat="false" ht="12.75" hidden="false" customHeight="false" outlineLevel="0" collapsed="false">
      <c r="A1194" s="325"/>
    </row>
    <row r="1195" customFormat="false" ht="12.75" hidden="false" customHeight="false" outlineLevel="0" collapsed="false">
      <c r="A1195" s="325"/>
    </row>
    <row r="1196" customFormat="false" ht="12.75" hidden="false" customHeight="false" outlineLevel="0" collapsed="false">
      <c r="A1196" s="325"/>
    </row>
    <row r="1197" customFormat="false" ht="12.75" hidden="false" customHeight="false" outlineLevel="0" collapsed="false">
      <c r="A1197" s="325"/>
    </row>
    <row r="1198" customFormat="false" ht="12.75" hidden="false" customHeight="false" outlineLevel="0" collapsed="false">
      <c r="A1198" s="325"/>
    </row>
    <row r="1199" customFormat="false" ht="12.75" hidden="false" customHeight="false" outlineLevel="0" collapsed="false">
      <c r="A1199" s="325"/>
    </row>
    <row r="1200" customFormat="false" ht="12.75" hidden="false" customHeight="false" outlineLevel="0" collapsed="false">
      <c r="A1200" s="325"/>
    </row>
    <row r="1201" customFormat="false" ht="12.75" hidden="false" customHeight="false" outlineLevel="0" collapsed="false">
      <c r="A1201" s="325"/>
    </row>
    <row r="1202" customFormat="false" ht="12.75" hidden="false" customHeight="false" outlineLevel="0" collapsed="false">
      <c r="A1202" s="325"/>
    </row>
    <row r="1203" customFormat="false" ht="12.75" hidden="false" customHeight="false" outlineLevel="0" collapsed="false">
      <c r="A1203" s="325"/>
    </row>
    <row r="1204" customFormat="false" ht="12.75" hidden="false" customHeight="false" outlineLevel="0" collapsed="false">
      <c r="A1204" s="325"/>
    </row>
    <row r="1205" customFormat="false" ht="12.75" hidden="false" customHeight="false" outlineLevel="0" collapsed="false">
      <c r="A1205" s="325"/>
    </row>
    <row r="1206" customFormat="false" ht="12.75" hidden="false" customHeight="false" outlineLevel="0" collapsed="false">
      <c r="A1206" s="325"/>
    </row>
    <row r="1207" customFormat="false" ht="12.75" hidden="false" customHeight="false" outlineLevel="0" collapsed="false">
      <c r="A1207" s="325"/>
    </row>
    <row r="1208" customFormat="false" ht="12.75" hidden="false" customHeight="false" outlineLevel="0" collapsed="false">
      <c r="A1208" s="325"/>
    </row>
    <row r="1209" customFormat="false" ht="12.75" hidden="false" customHeight="false" outlineLevel="0" collapsed="false">
      <c r="A1209" s="325"/>
    </row>
    <row r="1210" customFormat="false" ht="12.75" hidden="false" customHeight="false" outlineLevel="0" collapsed="false">
      <c r="A1210" s="325"/>
    </row>
    <row r="1211" customFormat="false" ht="12.75" hidden="false" customHeight="false" outlineLevel="0" collapsed="false">
      <c r="A1211" s="325"/>
    </row>
    <row r="1212" customFormat="false" ht="12.75" hidden="false" customHeight="false" outlineLevel="0" collapsed="false">
      <c r="A1212" s="325"/>
    </row>
    <row r="1213" customFormat="false" ht="12.75" hidden="false" customHeight="false" outlineLevel="0" collapsed="false">
      <c r="A1213" s="325"/>
    </row>
    <row r="1214" customFormat="false" ht="12.75" hidden="false" customHeight="false" outlineLevel="0" collapsed="false">
      <c r="A1214" s="325"/>
    </row>
    <row r="1215" customFormat="false" ht="12.75" hidden="false" customHeight="false" outlineLevel="0" collapsed="false">
      <c r="A1215" s="325"/>
    </row>
    <row r="1216" customFormat="false" ht="12.75" hidden="false" customHeight="false" outlineLevel="0" collapsed="false">
      <c r="A1216" s="325"/>
    </row>
    <row r="1217" customFormat="false" ht="12.75" hidden="false" customHeight="false" outlineLevel="0" collapsed="false">
      <c r="A1217" s="325"/>
    </row>
    <row r="1218" customFormat="false" ht="12.75" hidden="false" customHeight="false" outlineLevel="0" collapsed="false">
      <c r="A1218" s="325"/>
    </row>
    <row r="1219" customFormat="false" ht="12.75" hidden="false" customHeight="false" outlineLevel="0" collapsed="false">
      <c r="A1219" s="325"/>
    </row>
    <row r="1220" customFormat="false" ht="12.75" hidden="false" customHeight="false" outlineLevel="0" collapsed="false">
      <c r="A1220" s="325"/>
    </row>
    <row r="1221" customFormat="false" ht="12.75" hidden="false" customHeight="false" outlineLevel="0" collapsed="false">
      <c r="A1221" s="325"/>
    </row>
    <row r="1222" customFormat="false" ht="12.75" hidden="false" customHeight="false" outlineLevel="0" collapsed="false">
      <c r="A1222" s="325"/>
    </row>
    <row r="1223" customFormat="false" ht="12.75" hidden="false" customHeight="false" outlineLevel="0" collapsed="false">
      <c r="A1223" s="325"/>
    </row>
    <row r="1224" customFormat="false" ht="12.75" hidden="false" customHeight="false" outlineLevel="0" collapsed="false">
      <c r="A1224" s="325"/>
    </row>
    <row r="1225" customFormat="false" ht="12.75" hidden="false" customHeight="false" outlineLevel="0" collapsed="false">
      <c r="A1225" s="325"/>
    </row>
    <row r="1226" customFormat="false" ht="12.75" hidden="false" customHeight="false" outlineLevel="0" collapsed="false">
      <c r="A1226" s="325"/>
    </row>
    <row r="1227" customFormat="false" ht="12.75" hidden="false" customHeight="false" outlineLevel="0" collapsed="false">
      <c r="A1227" s="325"/>
    </row>
    <row r="1228" customFormat="false" ht="12.75" hidden="false" customHeight="false" outlineLevel="0" collapsed="false">
      <c r="A1228" s="325"/>
    </row>
    <row r="1229" customFormat="false" ht="12.75" hidden="false" customHeight="false" outlineLevel="0" collapsed="false">
      <c r="A1229" s="325"/>
    </row>
    <row r="1230" customFormat="false" ht="12.75" hidden="false" customHeight="false" outlineLevel="0" collapsed="false">
      <c r="A1230" s="325"/>
    </row>
    <row r="1231" customFormat="false" ht="12.75" hidden="false" customHeight="false" outlineLevel="0" collapsed="false">
      <c r="A1231" s="325"/>
    </row>
    <row r="1232" customFormat="false" ht="12.75" hidden="false" customHeight="false" outlineLevel="0" collapsed="false">
      <c r="A1232" s="325"/>
    </row>
    <row r="1233" customFormat="false" ht="12.75" hidden="false" customHeight="false" outlineLevel="0" collapsed="false">
      <c r="A1233" s="325"/>
    </row>
    <row r="1234" customFormat="false" ht="12.75" hidden="false" customHeight="false" outlineLevel="0" collapsed="false">
      <c r="A1234" s="325"/>
    </row>
    <row r="1235" customFormat="false" ht="12.75" hidden="false" customHeight="false" outlineLevel="0" collapsed="false">
      <c r="A1235" s="325"/>
    </row>
    <row r="1236" customFormat="false" ht="12.75" hidden="false" customHeight="false" outlineLevel="0" collapsed="false">
      <c r="A1236" s="325"/>
    </row>
    <row r="1237" customFormat="false" ht="12.75" hidden="false" customHeight="false" outlineLevel="0" collapsed="false">
      <c r="A1237" s="325"/>
    </row>
    <row r="1238" customFormat="false" ht="12.75" hidden="false" customHeight="false" outlineLevel="0" collapsed="false">
      <c r="A1238" s="325"/>
    </row>
    <row r="1239" customFormat="false" ht="12.75" hidden="false" customHeight="false" outlineLevel="0" collapsed="false">
      <c r="A1239" s="325"/>
    </row>
    <row r="1240" customFormat="false" ht="12.75" hidden="false" customHeight="false" outlineLevel="0" collapsed="false">
      <c r="A1240" s="325"/>
    </row>
    <row r="1241" customFormat="false" ht="12.75" hidden="false" customHeight="false" outlineLevel="0" collapsed="false">
      <c r="A1241" s="325"/>
    </row>
    <row r="1242" customFormat="false" ht="12.75" hidden="false" customHeight="false" outlineLevel="0" collapsed="false">
      <c r="A1242" s="325"/>
    </row>
    <row r="1243" customFormat="false" ht="12.75" hidden="false" customHeight="false" outlineLevel="0" collapsed="false">
      <c r="A1243" s="325"/>
    </row>
    <row r="1244" customFormat="false" ht="12.75" hidden="false" customHeight="false" outlineLevel="0" collapsed="false">
      <c r="A1244" s="325"/>
    </row>
    <row r="1245" customFormat="false" ht="12.75" hidden="false" customHeight="false" outlineLevel="0" collapsed="false">
      <c r="A1245" s="325"/>
    </row>
    <row r="1246" customFormat="false" ht="12.75" hidden="false" customHeight="false" outlineLevel="0" collapsed="false">
      <c r="A1246" s="325"/>
    </row>
    <row r="1247" customFormat="false" ht="12.75" hidden="false" customHeight="false" outlineLevel="0" collapsed="false">
      <c r="A1247" s="325"/>
    </row>
    <row r="1248" customFormat="false" ht="12.75" hidden="false" customHeight="false" outlineLevel="0" collapsed="false">
      <c r="A1248" s="325"/>
    </row>
    <row r="1249" customFormat="false" ht="12.75" hidden="false" customHeight="false" outlineLevel="0" collapsed="false">
      <c r="A1249" s="325"/>
    </row>
    <row r="1250" customFormat="false" ht="12.75" hidden="false" customHeight="false" outlineLevel="0" collapsed="false">
      <c r="A1250" s="325"/>
    </row>
    <row r="1251" customFormat="false" ht="12.75" hidden="false" customHeight="false" outlineLevel="0" collapsed="false">
      <c r="A1251" s="325"/>
    </row>
    <row r="1252" customFormat="false" ht="12.75" hidden="false" customHeight="false" outlineLevel="0" collapsed="false">
      <c r="A1252" s="325"/>
    </row>
    <row r="1253" customFormat="false" ht="12.75" hidden="false" customHeight="false" outlineLevel="0" collapsed="false">
      <c r="A1253" s="325"/>
    </row>
    <row r="1254" customFormat="false" ht="12.75" hidden="false" customHeight="false" outlineLevel="0" collapsed="false">
      <c r="A1254" s="325"/>
    </row>
    <row r="1255" customFormat="false" ht="12.75" hidden="false" customHeight="false" outlineLevel="0" collapsed="false">
      <c r="A1255" s="325"/>
    </row>
    <row r="1256" customFormat="false" ht="12.75" hidden="false" customHeight="false" outlineLevel="0" collapsed="false">
      <c r="A1256" s="325"/>
    </row>
    <row r="1257" customFormat="false" ht="12.75" hidden="false" customHeight="false" outlineLevel="0" collapsed="false">
      <c r="A1257" s="325"/>
    </row>
    <row r="1258" customFormat="false" ht="12.75" hidden="false" customHeight="false" outlineLevel="0" collapsed="false">
      <c r="A1258" s="325"/>
    </row>
    <row r="1259" customFormat="false" ht="12.75" hidden="false" customHeight="false" outlineLevel="0" collapsed="false">
      <c r="A1259" s="325"/>
    </row>
    <row r="1260" customFormat="false" ht="12.75" hidden="false" customHeight="false" outlineLevel="0" collapsed="false">
      <c r="A1260" s="325"/>
    </row>
    <row r="1261" customFormat="false" ht="12.75" hidden="false" customHeight="false" outlineLevel="0" collapsed="false">
      <c r="A1261" s="325"/>
    </row>
    <row r="1262" customFormat="false" ht="12.75" hidden="false" customHeight="false" outlineLevel="0" collapsed="false">
      <c r="A1262" s="325"/>
    </row>
    <row r="1263" customFormat="false" ht="12.75" hidden="false" customHeight="false" outlineLevel="0" collapsed="false">
      <c r="A1263" s="325"/>
    </row>
    <row r="1264" customFormat="false" ht="12.75" hidden="false" customHeight="false" outlineLevel="0" collapsed="false">
      <c r="A1264" s="325"/>
    </row>
    <row r="1265" customFormat="false" ht="12.75" hidden="false" customHeight="false" outlineLevel="0" collapsed="false">
      <c r="A1265" s="325"/>
    </row>
    <row r="1266" customFormat="false" ht="12.75" hidden="false" customHeight="false" outlineLevel="0" collapsed="false">
      <c r="A1266" s="325"/>
    </row>
    <row r="1267" customFormat="false" ht="12.75" hidden="false" customHeight="false" outlineLevel="0" collapsed="false">
      <c r="A1267" s="325"/>
    </row>
    <row r="1268" customFormat="false" ht="12.75" hidden="false" customHeight="false" outlineLevel="0" collapsed="false">
      <c r="A1268" s="325"/>
    </row>
    <row r="1269" customFormat="false" ht="12.75" hidden="false" customHeight="false" outlineLevel="0" collapsed="false">
      <c r="A1269" s="325"/>
    </row>
    <row r="1270" customFormat="false" ht="12.75" hidden="false" customHeight="false" outlineLevel="0" collapsed="false">
      <c r="A1270" s="325"/>
    </row>
    <row r="1271" customFormat="false" ht="12.75" hidden="false" customHeight="false" outlineLevel="0" collapsed="false">
      <c r="A1271" s="325"/>
    </row>
    <row r="1272" customFormat="false" ht="12.75" hidden="false" customHeight="false" outlineLevel="0" collapsed="false">
      <c r="A1272" s="325"/>
    </row>
    <row r="1273" customFormat="false" ht="12.75" hidden="false" customHeight="false" outlineLevel="0" collapsed="false">
      <c r="A1273" s="325"/>
    </row>
    <row r="1274" customFormat="false" ht="12.75" hidden="false" customHeight="false" outlineLevel="0" collapsed="false">
      <c r="A1274" s="325"/>
    </row>
    <row r="1275" customFormat="false" ht="12.75" hidden="false" customHeight="false" outlineLevel="0" collapsed="false">
      <c r="A1275" s="325"/>
    </row>
    <row r="1276" customFormat="false" ht="12.75" hidden="false" customHeight="false" outlineLevel="0" collapsed="false">
      <c r="A1276" s="325"/>
    </row>
    <row r="1277" customFormat="false" ht="12.75" hidden="false" customHeight="false" outlineLevel="0" collapsed="false">
      <c r="A1277" s="325"/>
    </row>
    <row r="1278" customFormat="false" ht="12.75" hidden="false" customHeight="false" outlineLevel="0" collapsed="false">
      <c r="A1278" s="325"/>
    </row>
    <row r="1279" customFormat="false" ht="12.75" hidden="false" customHeight="false" outlineLevel="0" collapsed="false">
      <c r="A1279" s="325"/>
    </row>
    <row r="1280" customFormat="false" ht="12.75" hidden="false" customHeight="false" outlineLevel="0" collapsed="false">
      <c r="A1280" s="325"/>
    </row>
    <row r="1281" customFormat="false" ht="12.75" hidden="false" customHeight="false" outlineLevel="0" collapsed="false">
      <c r="A1281" s="325"/>
    </row>
    <row r="1282" customFormat="false" ht="12.75" hidden="false" customHeight="false" outlineLevel="0" collapsed="false">
      <c r="A1282" s="325"/>
    </row>
    <row r="1283" customFormat="false" ht="12.75" hidden="false" customHeight="false" outlineLevel="0" collapsed="false">
      <c r="A1283" s="325"/>
    </row>
    <row r="1284" customFormat="false" ht="12.75" hidden="false" customHeight="false" outlineLevel="0" collapsed="false">
      <c r="A1284" s="325"/>
    </row>
    <row r="1285" customFormat="false" ht="12.75" hidden="false" customHeight="false" outlineLevel="0" collapsed="false">
      <c r="A1285" s="325"/>
    </row>
    <row r="1286" customFormat="false" ht="12.75" hidden="false" customHeight="false" outlineLevel="0" collapsed="false">
      <c r="A1286" s="325"/>
    </row>
    <row r="1287" customFormat="false" ht="12.75" hidden="false" customHeight="false" outlineLevel="0" collapsed="false">
      <c r="A1287" s="325"/>
    </row>
    <row r="1288" customFormat="false" ht="12.75" hidden="false" customHeight="false" outlineLevel="0" collapsed="false">
      <c r="A1288" s="325"/>
    </row>
    <row r="1289" customFormat="false" ht="12.75" hidden="false" customHeight="false" outlineLevel="0" collapsed="false">
      <c r="A1289" s="325"/>
    </row>
    <row r="1290" customFormat="false" ht="12.75" hidden="false" customHeight="false" outlineLevel="0" collapsed="false">
      <c r="A1290" s="325"/>
    </row>
    <row r="1291" customFormat="false" ht="12.75" hidden="false" customHeight="false" outlineLevel="0" collapsed="false">
      <c r="A1291" s="325"/>
    </row>
    <row r="1292" customFormat="false" ht="12.75" hidden="false" customHeight="false" outlineLevel="0" collapsed="false">
      <c r="A1292" s="325"/>
    </row>
    <row r="1293" customFormat="false" ht="12.75" hidden="false" customHeight="false" outlineLevel="0" collapsed="false">
      <c r="A1293" s="325"/>
    </row>
    <row r="1294" customFormat="false" ht="12.75" hidden="false" customHeight="false" outlineLevel="0" collapsed="false">
      <c r="A1294" s="325"/>
    </row>
    <row r="1295" customFormat="false" ht="12.75" hidden="false" customHeight="false" outlineLevel="0" collapsed="false">
      <c r="A1295" s="325"/>
    </row>
    <row r="1296" customFormat="false" ht="12.75" hidden="false" customHeight="false" outlineLevel="0" collapsed="false">
      <c r="A1296" s="325"/>
    </row>
    <row r="1297" customFormat="false" ht="12.75" hidden="false" customHeight="false" outlineLevel="0" collapsed="false">
      <c r="A1297" s="325"/>
    </row>
    <row r="1298" customFormat="false" ht="12.75" hidden="false" customHeight="false" outlineLevel="0" collapsed="false">
      <c r="A1298" s="325"/>
    </row>
    <row r="1299" customFormat="false" ht="12.75" hidden="false" customHeight="false" outlineLevel="0" collapsed="false">
      <c r="A1299" s="325"/>
    </row>
    <row r="1300" customFormat="false" ht="12.75" hidden="false" customHeight="false" outlineLevel="0" collapsed="false">
      <c r="A1300" s="325"/>
    </row>
    <row r="1301" customFormat="false" ht="12.75" hidden="false" customHeight="false" outlineLevel="0" collapsed="false">
      <c r="A1301" s="325"/>
    </row>
    <row r="1302" customFormat="false" ht="12.75" hidden="false" customHeight="false" outlineLevel="0" collapsed="false">
      <c r="A1302" s="325"/>
    </row>
    <row r="1303" customFormat="false" ht="12.75" hidden="false" customHeight="false" outlineLevel="0" collapsed="false">
      <c r="A1303" s="325"/>
    </row>
    <row r="1304" customFormat="false" ht="12.75" hidden="false" customHeight="false" outlineLevel="0" collapsed="false">
      <c r="A1304" s="325"/>
    </row>
    <row r="1305" customFormat="false" ht="12.75" hidden="false" customHeight="false" outlineLevel="0" collapsed="false">
      <c r="A1305" s="325"/>
    </row>
    <row r="1306" customFormat="false" ht="12.75" hidden="false" customHeight="false" outlineLevel="0" collapsed="false">
      <c r="A1306" s="325"/>
    </row>
    <row r="1307" customFormat="false" ht="12.75" hidden="false" customHeight="false" outlineLevel="0" collapsed="false">
      <c r="A1307" s="325"/>
    </row>
    <row r="1308" customFormat="false" ht="12.75" hidden="false" customHeight="false" outlineLevel="0" collapsed="false">
      <c r="A1308" s="325"/>
    </row>
    <row r="1309" customFormat="false" ht="12.75" hidden="false" customHeight="false" outlineLevel="0" collapsed="false">
      <c r="A1309" s="325"/>
    </row>
    <row r="1310" customFormat="false" ht="12.75" hidden="false" customHeight="false" outlineLevel="0" collapsed="false">
      <c r="A1310" s="325"/>
    </row>
    <row r="1311" customFormat="false" ht="12.75" hidden="false" customHeight="false" outlineLevel="0" collapsed="false">
      <c r="A1311" s="325"/>
    </row>
    <row r="1312" customFormat="false" ht="12.75" hidden="false" customHeight="false" outlineLevel="0" collapsed="false">
      <c r="A1312" s="325"/>
    </row>
    <row r="1313" customFormat="false" ht="12.75" hidden="false" customHeight="false" outlineLevel="0" collapsed="false">
      <c r="A1313" s="325"/>
    </row>
    <row r="1314" customFormat="false" ht="12.75" hidden="false" customHeight="false" outlineLevel="0" collapsed="false">
      <c r="A1314" s="325"/>
    </row>
    <row r="1315" customFormat="false" ht="12.75" hidden="false" customHeight="false" outlineLevel="0" collapsed="false">
      <c r="A1315" s="325"/>
    </row>
    <row r="1316" customFormat="false" ht="12.75" hidden="false" customHeight="false" outlineLevel="0" collapsed="false">
      <c r="A1316" s="325"/>
    </row>
    <row r="1317" customFormat="false" ht="12.75" hidden="false" customHeight="false" outlineLevel="0" collapsed="false">
      <c r="A1317" s="325"/>
    </row>
    <row r="1318" customFormat="false" ht="12.75" hidden="false" customHeight="false" outlineLevel="0" collapsed="false">
      <c r="A1318" s="325"/>
    </row>
    <row r="1319" customFormat="false" ht="12.75" hidden="false" customHeight="false" outlineLevel="0" collapsed="false">
      <c r="A1319" s="325"/>
    </row>
    <row r="1320" customFormat="false" ht="12.75" hidden="false" customHeight="false" outlineLevel="0" collapsed="false">
      <c r="A1320" s="325"/>
    </row>
    <row r="1321" customFormat="false" ht="12.75" hidden="false" customHeight="false" outlineLevel="0" collapsed="false">
      <c r="A1321" s="325"/>
    </row>
    <row r="1322" customFormat="false" ht="12.75" hidden="false" customHeight="false" outlineLevel="0" collapsed="false">
      <c r="A1322" s="325"/>
    </row>
    <row r="1323" customFormat="false" ht="12.75" hidden="false" customHeight="false" outlineLevel="0" collapsed="false">
      <c r="A1323" s="325"/>
    </row>
    <row r="1324" customFormat="false" ht="12.75" hidden="false" customHeight="false" outlineLevel="0" collapsed="false">
      <c r="A1324" s="325"/>
    </row>
    <row r="1325" customFormat="false" ht="12.75" hidden="false" customHeight="false" outlineLevel="0" collapsed="false">
      <c r="A1325" s="325"/>
    </row>
    <row r="1326" customFormat="false" ht="12.75" hidden="false" customHeight="false" outlineLevel="0" collapsed="false">
      <c r="A1326" s="325"/>
    </row>
    <row r="1327" customFormat="false" ht="12.75" hidden="false" customHeight="false" outlineLevel="0" collapsed="false">
      <c r="A1327" s="325"/>
    </row>
    <row r="1328" customFormat="false" ht="12.75" hidden="false" customHeight="false" outlineLevel="0" collapsed="false">
      <c r="A1328" s="325"/>
    </row>
    <row r="1329" customFormat="false" ht="12.75" hidden="false" customHeight="false" outlineLevel="0" collapsed="false">
      <c r="A1329" s="325"/>
    </row>
    <row r="1330" customFormat="false" ht="12.75" hidden="false" customHeight="false" outlineLevel="0" collapsed="false">
      <c r="A1330" s="325"/>
    </row>
    <row r="1331" customFormat="false" ht="12.75" hidden="false" customHeight="false" outlineLevel="0" collapsed="false">
      <c r="A1331" s="325"/>
    </row>
    <row r="1332" customFormat="false" ht="12.75" hidden="false" customHeight="false" outlineLevel="0" collapsed="false">
      <c r="A1332" s="325"/>
    </row>
    <row r="1333" customFormat="false" ht="12.75" hidden="false" customHeight="false" outlineLevel="0" collapsed="false">
      <c r="A1333" s="325"/>
    </row>
    <row r="1334" customFormat="false" ht="12.75" hidden="false" customHeight="false" outlineLevel="0" collapsed="false">
      <c r="A1334" s="325"/>
    </row>
    <row r="1335" customFormat="false" ht="12.75" hidden="false" customHeight="false" outlineLevel="0" collapsed="false">
      <c r="A1335" s="325"/>
    </row>
    <row r="1336" customFormat="false" ht="12.75" hidden="false" customHeight="false" outlineLevel="0" collapsed="false">
      <c r="A1336" s="325"/>
    </row>
    <row r="1337" customFormat="false" ht="12.75" hidden="false" customHeight="false" outlineLevel="0" collapsed="false">
      <c r="A1337" s="325"/>
    </row>
    <row r="1338" customFormat="false" ht="12.75" hidden="false" customHeight="false" outlineLevel="0" collapsed="false">
      <c r="A1338" s="325"/>
    </row>
    <row r="1339" customFormat="false" ht="12.75" hidden="false" customHeight="false" outlineLevel="0" collapsed="false">
      <c r="A1339" s="325"/>
    </row>
    <row r="1340" customFormat="false" ht="12.75" hidden="false" customHeight="false" outlineLevel="0" collapsed="false">
      <c r="A1340" s="325"/>
    </row>
    <row r="1341" customFormat="false" ht="12.75" hidden="false" customHeight="false" outlineLevel="0" collapsed="false">
      <c r="A1341" s="325"/>
    </row>
    <row r="1342" customFormat="false" ht="12.75" hidden="false" customHeight="false" outlineLevel="0" collapsed="false">
      <c r="A1342" s="325"/>
    </row>
    <row r="1343" customFormat="false" ht="12.75" hidden="false" customHeight="false" outlineLevel="0" collapsed="false">
      <c r="A1343" s="325"/>
    </row>
    <row r="1344" customFormat="false" ht="12.75" hidden="false" customHeight="false" outlineLevel="0" collapsed="false">
      <c r="A1344" s="325"/>
    </row>
    <row r="1345" customFormat="false" ht="12.75" hidden="false" customHeight="false" outlineLevel="0" collapsed="false">
      <c r="A1345" s="325"/>
    </row>
    <row r="1346" customFormat="false" ht="12.75" hidden="false" customHeight="false" outlineLevel="0" collapsed="false">
      <c r="A1346" s="325"/>
    </row>
    <row r="1347" customFormat="false" ht="12.75" hidden="false" customHeight="false" outlineLevel="0" collapsed="false">
      <c r="A1347" s="325"/>
    </row>
    <row r="1348" customFormat="false" ht="12.75" hidden="false" customHeight="false" outlineLevel="0" collapsed="false">
      <c r="A1348" s="325"/>
    </row>
    <row r="1349" customFormat="false" ht="12.75" hidden="false" customHeight="false" outlineLevel="0" collapsed="false">
      <c r="A1349" s="325"/>
    </row>
    <row r="1350" customFormat="false" ht="12.75" hidden="false" customHeight="false" outlineLevel="0" collapsed="false">
      <c r="A1350" s="325"/>
    </row>
    <row r="1351" customFormat="false" ht="12.75" hidden="false" customHeight="false" outlineLevel="0" collapsed="false">
      <c r="A1351" s="325"/>
    </row>
    <row r="1352" customFormat="false" ht="12.75" hidden="false" customHeight="false" outlineLevel="0" collapsed="false">
      <c r="A1352" s="325"/>
    </row>
    <row r="1353" customFormat="false" ht="12.75" hidden="false" customHeight="false" outlineLevel="0" collapsed="false">
      <c r="A1353" s="325"/>
    </row>
    <row r="1354" customFormat="false" ht="12.75" hidden="false" customHeight="false" outlineLevel="0" collapsed="false">
      <c r="A1354" s="325"/>
    </row>
    <row r="1355" customFormat="false" ht="12.75" hidden="false" customHeight="false" outlineLevel="0" collapsed="false">
      <c r="A1355" s="325"/>
    </row>
    <row r="1356" customFormat="false" ht="12.75" hidden="false" customHeight="false" outlineLevel="0" collapsed="false">
      <c r="A1356" s="325"/>
    </row>
    <row r="1357" customFormat="false" ht="12.75" hidden="false" customHeight="false" outlineLevel="0" collapsed="false">
      <c r="A1357" s="325"/>
    </row>
    <row r="1358" customFormat="false" ht="12.75" hidden="false" customHeight="false" outlineLevel="0" collapsed="false">
      <c r="A1358" s="325"/>
    </row>
    <row r="1359" customFormat="false" ht="12.75" hidden="false" customHeight="false" outlineLevel="0" collapsed="false">
      <c r="A1359" s="325"/>
    </row>
    <row r="1360" customFormat="false" ht="12.75" hidden="false" customHeight="false" outlineLevel="0" collapsed="false">
      <c r="A1360" s="325"/>
    </row>
    <row r="1361" customFormat="false" ht="12.75" hidden="false" customHeight="false" outlineLevel="0" collapsed="false">
      <c r="A1361" s="325"/>
    </row>
    <row r="1362" customFormat="false" ht="12.75" hidden="false" customHeight="false" outlineLevel="0" collapsed="false">
      <c r="A1362" s="325"/>
    </row>
    <row r="1363" customFormat="false" ht="12.75" hidden="false" customHeight="false" outlineLevel="0" collapsed="false">
      <c r="A1363" s="325"/>
    </row>
    <row r="1364" customFormat="false" ht="12.75" hidden="false" customHeight="false" outlineLevel="0" collapsed="false">
      <c r="A1364" s="325"/>
    </row>
    <row r="1365" customFormat="false" ht="12.75" hidden="false" customHeight="false" outlineLevel="0" collapsed="false">
      <c r="A1365" s="325"/>
    </row>
    <row r="1366" customFormat="false" ht="12.75" hidden="false" customHeight="false" outlineLevel="0" collapsed="false">
      <c r="A1366" s="325"/>
    </row>
    <row r="1367" customFormat="false" ht="12.75" hidden="false" customHeight="false" outlineLevel="0" collapsed="false">
      <c r="A1367" s="325"/>
    </row>
    <row r="1368" customFormat="false" ht="12.75" hidden="false" customHeight="false" outlineLevel="0" collapsed="false">
      <c r="A1368" s="325"/>
    </row>
    <row r="1369" customFormat="false" ht="12.75" hidden="false" customHeight="false" outlineLevel="0" collapsed="false">
      <c r="A1369" s="325"/>
    </row>
    <row r="1370" customFormat="false" ht="12.75" hidden="false" customHeight="false" outlineLevel="0" collapsed="false">
      <c r="A1370" s="325"/>
    </row>
    <row r="1371" customFormat="false" ht="12.75" hidden="false" customHeight="false" outlineLevel="0" collapsed="false">
      <c r="A1371" s="325"/>
    </row>
    <row r="1372" customFormat="false" ht="12.75" hidden="false" customHeight="false" outlineLevel="0" collapsed="false">
      <c r="A1372" s="325"/>
    </row>
    <row r="1373" customFormat="false" ht="12.75" hidden="false" customHeight="false" outlineLevel="0" collapsed="false">
      <c r="A1373" s="325"/>
    </row>
    <row r="1374" customFormat="false" ht="12.75" hidden="false" customHeight="false" outlineLevel="0" collapsed="false">
      <c r="A1374" s="325"/>
    </row>
    <row r="1375" customFormat="false" ht="12.75" hidden="false" customHeight="false" outlineLevel="0" collapsed="false">
      <c r="A1375" s="325"/>
    </row>
    <row r="1376" customFormat="false" ht="12.75" hidden="false" customHeight="false" outlineLevel="0" collapsed="false">
      <c r="A1376" s="325"/>
    </row>
    <row r="1377" customFormat="false" ht="12.75" hidden="false" customHeight="false" outlineLevel="0" collapsed="false">
      <c r="A1377" s="325"/>
    </row>
    <row r="1378" customFormat="false" ht="12.75" hidden="false" customHeight="false" outlineLevel="0" collapsed="false">
      <c r="A1378" s="325"/>
    </row>
    <row r="1379" customFormat="false" ht="12.75" hidden="false" customHeight="false" outlineLevel="0" collapsed="false">
      <c r="A1379" s="325"/>
    </row>
    <row r="1380" customFormat="false" ht="12.75" hidden="false" customHeight="false" outlineLevel="0" collapsed="false">
      <c r="A1380" s="325"/>
    </row>
    <row r="1381" customFormat="false" ht="12.75" hidden="false" customHeight="false" outlineLevel="0" collapsed="false">
      <c r="A1381" s="325"/>
    </row>
    <row r="1382" customFormat="false" ht="12.75" hidden="false" customHeight="false" outlineLevel="0" collapsed="false">
      <c r="A1382" s="325"/>
    </row>
    <row r="1383" customFormat="false" ht="12.75" hidden="false" customHeight="false" outlineLevel="0" collapsed="false">
      <c r="A1383" s="325"/>
    </row>
    <row r="1384" customFormat="false" ht="12.75" hidden="false" customHeight="false" outlineLevel="0" collapsed="false">
      <c r="A1384" s="325"/>
    </row>
    <row r="1385" customFormat="false" ht="12.75" hidden="false" customHeight="false" outlineLevel="0" collapsed="false">
      <c r="A1385" s="325"/>
    </row>
    <row r="1386" customFormat="false" ht="12.75" hidden="false" customHeight="false" outlineLevel="0" collapsed="false">
      <c r="A1386" s="325"/>
    </row>
    <row r="1387" customFormat="false" ht="12.75" hidden="false" customHeight="false" outlineLevel="0" collapsed="false">
      <c r="A1387" s="325"/>
    </row>
    <row r="1388" customFormat="false" ht="12.75" hidden="false" customHeight="false" outlineLevel="0" collapsed="false">
      <c r="A1388" s="325"/>
    </row>
    <row r="1389" customFormat="false" ht="12.75" hidden="false" customHeight="false" outlineLevel="0" collapsed="false">
      <c r="A1389" s="325"/>
    </row>
    <row r="1390" customFormat="false" ht="12.75" hidden="false" customHeight="false" outlineLevel="0" collapsed="false">
      <c r="A1390" s="325"/>
    </row>
    <row r="1391" customFormat="false" ht="12.75" hidden="false" customHeight="false" outlineLevel="0" collapsed="false">
      <c r="A1391" s="325"/>
    </row>
    <row r="1392" customFormat="false" ht="12.75" hidden="false" customHeight="false" outlineLevel="0" collapsed="false">
      <c r="A1392" s="325"/>
    </row>
    <row r="1393" customFormat="false" ht="12.75" hidden="false" customHeight="false" outlineLevel="0" collapsed="false">
      <c r="A1393" s="325"/>
    </row>
    <row r="1394" customFormat="false" ht="12.75" hidden="false" customHeight="false" outlineLevel="0" collapsed="false">
      <c r="A1394" s="325"/>
    </row>
    <row r="1395" customFormat="false" ht="12.75" hidden="false" customHeight="false" outlineLevel="0" collapsed="false">
      <c r="A1395" s="325"/>
    </row>
    <row r="1396" customFormat="false" ht="12.75" hidden="false" customHeight="false" outlineLevel="0" collapsed="false">
      <c r="A1396" s="325"/>
    </row>
    <row r="1397" customFormat="false" ht="12.75" hidden="false" customHeight="false" outlineLevel="0" collapsed="false">
      <c r="A1397" s="325"/>
    </row>
    <row r="1398" customFormat="false" ht="12.75" hidden="false" customHeight="false" outlineLevel="0" collapsed="false">
      <c r="A1398" s="325"/>
    </row>
    <row r="1399" customFormat="false" ht="12.75" hidden="false" customHeight="false" outlineLevel="0" collapsed="false">
      <c r="A1399" s="325"/>
    </row>
    <row r="1400" customFormat="false" ht="12.75" hidden="false" customHeight="false" outlineLevel="0" collapsed="false">
      <c r="A1400" s="325"/>
    </row>
    <row r="1401" customFormat="false" ht="12.75" hidden="false" customHeight="false" outlineLevel="0" collapsed="false">
      <c r="A1401" s="325"/>
    </row>
    <row r="1402" customFormat="false" ht="12.75" hidden="false" customHeight="false" outlineLevel="0" collapsed="false">
      <c r="A1402" s="325"/>
    </row>
    <row r="1403" customFormat="false" ht="12.75" hidden="false" customHeight="false" outlineLevel="0" collapsed="false">
      <c r="A1403" s="325"/>
    </row>
    <row r="1404" customFormat="false" ht="12.75" hidden="false" customHeight="false" outlineLevel="0" collapsed="false">
      <c r="A1404" s="325"/>
    </row>
    <row r="1405" customFormat="false" ht="12.75" hidden="false" customHeight="false" outlineLevel="0" collapsed="false">
      <c r="A1405" s="325"/>
    </row>
    <row r="1406" customFormat="false" ht="12.75" hidden="false" customHeight="false" outlineLevel="0" collapsed="false">
      <c r="A1406" s="325"/>
    </row>
    <row r="1407" customFormat="false" ht="12.75" hidden="false" customHeight="false" outlineLevel="0" collapsed="false">
      <c r="A1407" s="325"/>
    </row>
    <row r="1408" customFormat="false" ht="12.75" hidden="false" customHeight="false" outlineLevel="0" collapsed="false">
      <c r="A1408" s="325"/>
    </row>
    <row r="1409" customFormat="false" ht="12.75" hidden="false" customHeight="false" outlineLevel="0" collapsed="false">
      <c r="A1409" s="325"/>
    </row>
    <row r="1410" customFormat="false" ht="12.75" hidden="false" customHeight="false" outlineLevel="0" collapsed="false">
      <c r="A1410" s="325"/>
    </row>
    <row r="1411" customFormat="false" ht="12.75" hidden="false" customHeight="false" outlineLevel="0" collapsed="false">
      <c r="A1411" s="325"/>
    </row>
    <row r="1412" customFormat="false" ht="12.75" hidden="false" customHeight="false" outlineLevel="0" collapsed="false">
      <c r="A1412" s="325"/>
    </row>
    <row r="1413" customFormat="false" ht="12.75" hidden="false" customHeight="false" outlineLevel="0" collapsed="false">
      <c r="A1413" s="325"/>
    </row>
    <row r="1414" customFormat="false" ht="12.75" hidden="false" customHeight="false" outlineLevel="0" collapsed="false">
      <c r="A1414" s="325"/>
    </row>
    <row r="1415" customFormat="false" ht="12.75" hidden="false" customHeight="false" outlineLevel="0" collapsed="false">
      <c r="A1415" s="325"/>
    </row>
    <row r="1416" customFormat="false" ht="12.75" hidden="false" customHeight="false" outlineLevel="0" collapsed="false">
      <c r="A1416" s="325"/>
    </row>
    <row r="1417" customFormat="false" ht="12.75" hidden="false" customHeight="false" outlineLevel="0" collapsed="false">
      <c r="A1417" s="325"/>
    </row>
    <row r="1418" customFormat="false" ht="12.75" hidden="false" customHeight="false" outlineLevel="0" collapsed="false">
      <c r="A1418" s="325"/>
    </row>
    <row r="1419" customFormat="false" ht="12.75" hidden="false" customHeight="false" outlineLevel="0" collapsed="false">
      <c r="A1419" s="325"/>
    </row>
    <row r="1420" customFormat="false" ht="12.75" hidden="false" customHeight="false" outlineLevel="0" collapsed="false">
      <c r="A1420" s="325"/>
    </row>
    <row r="1421" customFormat="false" ht="12.75" hidden="false" customHeight="false" outlineLevel="0" collapsed="false">
      <c r="A1421" s="325"/>
    </row>
    <row r="1422" customFormat="false" ht="12.75" hidden="false" customHeight="false" outlineLevel="0" collapsed="false">
      <c r="A1422" s="325"/>
    </row>
    <row r="1423" customFormat="false" ht="12.75" hidden="false" customHeight="false" outlineLevel="0" collapsed="false">
      <c r="A1423" s="325"/>
    </row>
    <row r="1424" customFormat="false" ht="12.75" hidden="false" customHeight="false" outlineLevel="0" collapsed="false">
      <c r="A1424" s="325"/>
    </row>
    <row r="1425" customFormat="false" ht="12.75" hidden="false" customHeight="false" outlineLevel="0" collapsed="false">
      <c r="A1425" s="325"/>
    </row>
    <row r="1426" customFormat="false" ht="12.75" hidden="false" customHeight="false" outlineLevel="0" collapsed="false">
      <c r="A1426" s="325"/>
    </row>
    <row r="1427" customFormat="false" ht="12.75" hidden="false" customHeight="false" outlineLevel="0" collapsed="false">
      <c r="A1427" s="325"/>
    </row>
    <row r="1428" customFormat="false" ht="12.75" hidden="false" customHeight="false" outlineLevel="0" collapsed="false">
      <c r="A1428" s="325"/>
    </row>
    <row r="1429" customFormat="false" ht="12.75" hidden="false" customHeight="false" outlineLevel="0" collapsed="false">
      <c r="A1429" s="325"/>
    </row>
    <row r="1430" customFormat="false" ht="12.75" hidden="false" customHeight="false" outlineLevel="0" collapsed="false">
      <c r="A1430" s="325"/>
    </row>
    <row r="1431" customFormat="false" ht="12.75" hidden="false" customHeight="false" outlineLevel="0" collapsed="false">
      <c r="A1431" s="325"/>
    </row>
    <row r="1432" customFormat="false" ht="12.75" hidden="false" customHeight="false" outlineLevel="0" collapsed="false">
      <c r="A1432" s="325"/>
    </row>
    <row r="1433" customFormat="false" ht="12.75" hidden="false" customHeight="false" outlineLevel="0" collapsed="false">
      <c r="A1433" s="325"/>
    </row>
    <row r="1434" customFormat="false" ht="12.75" hidden="false" customHeight="false" outlineLevel="0" collapsed="false">
      <c r="A1434" s="325"/>
    </row>
    <row r="1435" customFormat="false" ht="12.75" hidden="false" customHeight="false" outlineLevel="0" collapsed="false">
      <c r="A1435" s="325"/>
    </row>
    <row r="1436" customFormat="false" ht="12.75" hidden="false" customHeight="false" outlineLevel="0" collapsed="false">
      <c r="A1436" s="325"/>
    </row>
    <row r="1437" customFormat="false" ht="12.75" hidden="false" customHeight="false" outlineLevel="0" collapsed="false">
      <c r="A1437" s="325"/>
    </row>
    <row r="1438" customFormat="false" ht="12.75" hidden="false" customHeight="false" outlineLevel="0" collapsed="false">
      <c r="A1438" s="325"/>
    </row>
    <row r="1439" customFormat="false" ht="12.75" hidden="false" customHeight="false" outlineLevel="0" collapsed="false">
      <c r="A1439" s="325"/>
    </row>
    <row r="1440" customFormat="false" ht="12.75" hidden="false" customHeight="false" outlineLevel="0" collapsed="false">
      <c r="A1440" s="325"/>
    </row>
    <row r="1441" customFormat="false" ht="12.75" hidden="false" customHeight="false" outlineLevel="0" collapsed="false">
      <c r="A1441" s="325"/>
    </row>
    <row r="1442" customFormat="false" ht="12.75" hidden="false" customHeight="false" outlineLevel="0" collapsed="false">
      <c r="A1442" s="325"/>
    </row>
    <row r="1443" customFormat="false" ht="12.75" hidden="false" customHeight="false" outlineLevel="0" collapsed="false">
      <c r="A1443" s="325"/>
    </row>
    <row r="1444" customFormat="false" ht="12.75" hidden="false" customHeight="false" outlineLevel="0" collapsed="false">
      <c r="A1444" s="325"/>
    </row>
    <row r="1445" customFormat="false" ht="12.75" hidden="false" customHeight="false" outlineLevel="0" collapsed="false">
      <c r="A1445" s="325"/>
    </row>
    <row r="1446" customFormat="false" ht="12.75" hidden="false" customHeight="false" outlineLevel="0" collapsed="false">
      <c r="A1446" s="325"/>
    </row>
  </sheetData>
  <mergeCells count="3">
    <mergeCell ref="B4:M4"/>
    <mergeCell ref="O4:Z4"/>
    <mergeCell ref="B6:M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S12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3" topLeftCell="Z4" activePane="bottomRight" state="frozen"/>
      <selection pane="topLeft" activeCell="A1" activeCellId="0" sqref="A1"/>
      <selection pane="topRight" activeCell="Z1" activeCellId="0" sqref="Z1"/>
      <selection pane="bottomLeft" activeCell="A4" activeCellId="0" sqref="A4"/>
      <selection pane="bottomRight" activeCell="AH4" activeCellId="0" sqref="AH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7.14"/>
    <col collapsed="false" customWidth="true" hidden="false" outlineLevel="0" max="2" min="2" style="295" width="4.99"/>
    <col collapsed="false" customWidth="true" hidden="false" outlineLevel="0" max="3" min="3" style="0" width="9.99"/>
    <col collapsed="false" customWidth="true" hidden="false" outlineLevel="0" max="4" min="4" style="0" width="12.42"/>
    <col collapsed="false" customWidth="true" hidden="false" outlineLevel="0" max="5" min="5" style="0" width="9.56"/>
    <col collapsed="false" customWidth="true" hidden="false" outlineLevel="0" max="6" min="6" style="0" width="9.99"/>
    <col collapsed="false" customWidth="true" hidden="false" outlineLevel="0" max="7" min="7" style="0" width="12.42"/>
    <col collapsed="false" customWidth="true" hidden="false" outlineLevel="0" max="8" min="8" style="0" width="9.56"/>
    <col collapsed="false" customWidth="true" hidden="false" outlineLevel="0" max="9" min="9" style="0" width="9.99"/>
    <col collapsed="false" customWidth="true" hidden="false" outlineLevel="0" max="10" min="10" style="0" width="12.42"/>
    <col collapsed="false" customWidth="true" hidden="false" outlineLevel="0" max="11" min="11" style="0" width="9.56"/>
    <col collapsed="false" customWidth="true" hidden="false" outlineLevel="0" max="12" min="12" style="0" width="11.13"/>
    <col collapsed="false" customWidth="true" hidden="false" outlineLevel="0" max="13" min="13" style="0" width="12.42"/>
    <col collapsed="false" customWidth="true" hidden="false" outlineLevel="0" max="14" min="14" style="0" width="9.56"/>
    <col collapsed="false" customWidth="true" hidden="false" outlineLevel="0" max="15" min="15" style="0" width="9.99"/>
    <col collapsed="false" customWidth="true" hidden="false" outlineLevel="0" max="16" min="16" style="0" width="12.42"/>
    <col collapsed="false" customWidth="true" hidden="false" outlineLevel="0" max="17" min="17" style="0" width="9.28"/>
    <col collapsed="false" customWidth="true" hidden="false" outlineLevel="0" max="18" min="18" style="0" width="9.99"/>
    <col collapsed="false" customWidth="true" hidden="false" outlineLevel="0" max="19" min="19" style="0" width="12.42"/>
    <col collapsed="false" customWidth="true" hidden="false" outlineLevel="0" max="20" min="20" style="0" width="9.56"/>
    <col collapsed="false" customWidth="true" hidden="false" outlineLevel="0" max="21" min="21" style="73" width="8.28"/>
    <col collapsed="false" customWidth="true" hidden="false" outlineLevel="0" max="22" min="22" style="73" width="11.99"/>
    <col collapsed="false" customWidth="true" hidden="false" outlineLevel="0" max="24" min="23" style="73" width="12.42"/>
    <col collapsed="false" customWidth="true" hidden="false" outlineLevel="0" max="25" min="25" style="73" width="11.13"/>
    <col collapsed="false" customWidth="true" hidden="false" outlineLevel="0" max="27" min="26" style="73" width="12.42"/>
    <col collapsed="false" customWidth="true" hidden="false" outlineLevel="0" max="28" min="28" style="73" width="11.13"/>
    <col collapsed="false" customWidth="true" hidden="false" outlineLevel="0" max="29" min="29" style="0" width="12.42"/>
    <col collapsed="false" customWidth="true" hidden="false" outlineLevel="0" max="31" min="30" style="0" width="12.28"/>
    <col collapsed="false" customWidth="true" hidden="false" outlineLevel="0" max="33" min="33" style="0" width="9.28"/>
    <col collapsed="false" customWidth="true" hidden="false" outlineLevel="0" max="35" min="35" style="0" width="8.7"/>
    <col collapsed="false" customWidth="true" hidden="false" outlineLevel="0" max="36" min="36" style="0" width="7.99"/>
    <col collapsed="false" customWidth="true" hidden="false" outlineLevel="0" max="39" min="39" style="295" width="9.14"/>
    <col collapsed="false" customWidth="true" hidden="false" outlineLevel="0" max="69" min="69" style="0" width="6.28"/>
    <col collapsed="false" customWidth="true" hidden="false" outlineLevel="0" max="70" min="70" style="0" width="5.56"/>
    <col collapsed="false" customWidth="true" hidden="false" outlineLevel="0" max="71" min="71" style="0" width="7.42"/>
  </cols>
  <sheetData>
    <row r="1" customFormat="false" ht="12.75" hidden="false" customHeight="false" outlineLevel="0" collapsed="false">
      <c r="A1" s="296"/>
      <c r="B1" s="296"/>
      <c r="C1" s="297" t="s">
        <v>1274</v>
      </c>
      <c r="D1" s="297"/>
      <c r="E1" s="297"/>
      <c r="F1" s="297"/>
      <c r="G1" s="297"/>
      <c r="H1" s="297"/>
      <c r="I1" s="297"/>
      <c r="J1" s="297"/>
      <c r="K1" s="297"/>
      <c r="L1" s="298" t="s">
        <v>1275</v>
      </c>
      <c r="M1" s="298"/>
      <c r="N1" s="298"/>
      <c r="O1" s="298"/>
      <c r="P1" s="298"/>
      <c r="Q1" s="298"/>
      <c r="R1" s="298"/>
      <c r="S1" s="298"/>
      <c r="T1" s="298"/>
      <c r="U1" s="299" t="s">
        <v>1276</v>
      </c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300" t="s">
        <v>1277</v>
      </c>
      <c r="AG1" s="300"/>
      <c r="AH1" s="300"/>
      <c r="AI1" s="300"/>
      <c r="AJ1" s="300"/>
      <c r="AK1" s="300"/>
      <c r="AL1" s="300"/>
      <c r="AM1" s="300"/>
      <c r="BQ1" s="301" t="s">
        <v>1278</v>
      </c>
      <c r="BR1" s="301"/>
      <c r="BS1" s="301"/>
    </row>
    <row r="2" customFormat="false" ht="12.75" hidden="false" customHeight="false" outlineLevel="0" collapsed="false">
      <c r="A2" s="302"/>
      <c r="B2" s="303"/>
      <c r="C2" s="304" t="s">
        <v>1279</v>
      </c>
      <c r="D2" s="304" t="s">
        <v>1279</v>
      </c>
      <c r="E2" s="304" t="s">
        <v>1279</v>
      </c>
      <c r="F2" s="304" t="s">
        <v>1280</v>
      </c>
      <c r="G2" s="304" t="s">
        <v>1280</v>
      </c>
      <c r="H2" s="304" t="s">
        <v>1280</v>
      </c>
      <c r="I2" s="304" t="s">
        <v>1281</v>
      </c>
      <c r="J2" s="304" t="s">
        <v>1281</v>
      </c>
      <c r="K2" s="304" t="s">
        <v>1281</v>
      </c>
      <c r="L2" s="305" t="s">
        <v>1279</v>
      </c>
      <c r="M2" s="305" t="s">
        <v>1279</v>
      </c>
      <c r="N2" s="305" t="s">
        <v>1279</v>
      </c>
      <c r="O2" s="305" t="s">
        <v>1280</v>
      </c>
      <c r="P2" s="305" t="s">
        <v>1280</v>
      </c>
      <c r="Q2" s="305" t="s">
        <v>1282</v>
      </c>
      <c r="R2" s="305" t="s">
        <v>1281</v>
      </c>
      <c r="S2" s="305" t="s">
        <v>1281</v>
      </c>
      <c r="T2" s="305" t="s">
        <v>1281</v>
      </c>
      <c r="U2" s="306"/>
      <c r="V2" s="307" t="s">
        <v>1279</v>
      </c>
      <c r="W2" s="307" t="s">
        <v>1279</v>
      </c>
      <c r="X2" s="307" t="s">
        <v>1279</v>
      </c>
      <c r="Y2" s="307" t="s">
        <v>1280</v>
      </c>
      <c r="Z2" s="307" t="s">
        <v>1280</v>
      </c>
      <c r="AA2" s="307" t="s">
        <v>1282</v>
      </c>
      <c r="AB2" s="307" t="s">
        <v>1281</v>
      </c>
      <c r="AC2" s="307" t="s">
        <v>1281</v>
      </c>
      <c r="AD2" s="307" t="s">
        <v>1281</v>
      </c>
      <c r="AE2" s="307" t="s">
        <v>1283</v>
      </c>
      <c r="AF2" s="308" t="s">
        <v>47</v>
      </c>
      <c r="AG2" s="308" t="s">
        <v>47</v>
      </c>
      <c r="AH2" s="308" t="s">
        <v>47</v>
      </c>
      <c r="AI2" s="308" t="s">
        <v>1284</v>
      </c>
      <c r="AJ2" s="308" t="s">
        <v>1284</v>
      </c>
      <c r="AK2" s="308" t="s">
        <v>1284</v>
      </c>
      <c r="AL2" s="308" t="s">
        <v>1285</v>
      </c>
      <c r="AM2" s="309" t="s">
        <v>1286</v>
      </c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Q2" s="311" t="s">
        <v>1287</v>
      </c>
      <c r="BR2" s="311" t="s">
        <v>1280</v>
      </c>
      <c r="BS2" s="312" t="s">
        <v>1281</v>
      </c>
    </row>
    <row r="3" customFormat="false" ht="12.75" hidden="false" customHeight="false" outlineLevel="0" collapsed="false">
      <c r="A3" s="313" t="s">
        <v>1288</v>
      </c>
      <c r="B3" s="314" t="s">
        <v>1289</v>
      </c>
      <c r="C3" s="304" t="s">
        <v>1290</v>
      </c>
      <c r="D3" s="304" t="s">
        <v>1291</v>
      </c>
      <c r="E3" s="304" t="s">
        <v>1292</v>
      </c>
      <c r="F3" s="304" t="s">
        <v>1290</v>
      </c>
      <c r="G3" s="304" t="s">
        <v>1291</v>
      </c>
      <c r="H3" s="304" t="s">
        <v>1292</v>
      </c>
      <c r="I3" s="304" t="s">
        <v>1290</v>
      </c>
      <c r="J3" s="304" t="s">
        <v>1291</v>
      </c>
      <c r="K3" s="304" t="s">
        <v>1292</v>
      </c>
      <c r="L3" s="305" t="s">
        <v>1290</v>
      </c>
      <c r="M3" s="305" t="s">
        <v>1291</v>
      </c>
      <c r="N3" s="305" t="s">
        <v>1292</v>
      </c>
      <c r="O3" s="305" t="s">
        <v>1290</v>
      </c>
      <c r="P3" s="305" t="s">
        <v>1291</v>
      </c>
      <c r="Q3" s="305" t="s">
        <v>1292</v>
      </c>
      <c r="R3" s="305" t="s">
        <v>1290</v>
      </c>
      <c r="S3" s="305" t="s">
        <v>1291</v>
      </c>
      <c r="T3" s="305" t="s">
        <v>1292</v>
      </c>
      <c r="U3" s="307" t="s">
        <v>1293</v>
      </c>
      <c r="V3" s="307" t="s">
        <v>1290</v>
      </c>
      <c r="W3" s="307" t="s">
        <v>1291</v>
      </c>
      <c r="X3" s="307" t="s">
        <v>1292</v>
      </c>
      <c r="Y3" s="307" t="s">
        <v>1290</v>
      </c>
      <c r="Z3" s="307" t="s">
        <v>1291</v>
      </c>
      <c r="AA3" s="307" t="s">
        <v>1292</v>
      </c>
      <c r="AB3" s="307" t="s">
        <v>1290</v>
      </c>
      <c r="AC3" s="307" t="s">
        <v>1291</v>
      </c>
      <c r="AD3" s="307" t="s">
        <v>1292</v>
      </c>
      <c r="AE3" s="307" t="s">
        <v>1294</v>
      </c>
      <c r="AF3" s="308" t="s">
        <v>1295</v>
      </c>
      <c r="AG3" s="308" t="s">
        <v>1296</v>
      </c>
      <c r="AH3" s="308" t="s">
        <v>1297</v>
      </c>
      <c r="AI3" s="308" t="s">
        <v>1295</v>
      </c>
      <c r="AJ3" s="308" t="s">
        <v>1298</v>
      </c>
      <c r="AK3" s="308" t="s">
        <v>1297</v>
      </c>
      <c r="AL3" s="308" t="s">
        <v>1299</v>
      </c>
      <c r="AM3" s="309" t="s">
        <v>65</v>
      </c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Q3" s="311" t="s">
        <v>1300</v>
      </c>
      <c r="BR3" s="311" t="s">
        <v>1300</v>
      </c>
      <c r="BS3" s="312" t="s">
        <v>1301</v>
      </c>
    </row>
    <row r="4" customFormat="false" ht="12.75" hidden="false" customHeight="false" outlineLevel="0" collapsed="false">
      <c r="A4" s="315" t="n">
        <f aca="false">Inputs!R4</f>
        <v>37257</v>
      </c>
      <c r="B4" s="316" t="n">
        <f aca="false">IF(A4="N/A"," ",YEAR(A4))</f>
        <v>2002</v>
      </c>
      <c r="C4" s="317" t="n">
        <f aca="false">IF($A4="N/A"," ",IF(Dayrun4=10,0,IF(Scaler4=1,(VLOOKUP(A4,ScaledPrice4,4)),(VLOOKUP(A4,ScaledPrice4,2)))))</f>
        <v>32.4166677565802</v>
      </c>
      <c r="D4" s="317" t="n">
        <f aca="false">IF(A4="N/A"," ",IF(Dayrun4&gt;=7,0,IF(Scaler4=2,VLOOKUP(A4,ScaledPrice4,2),(VLOOKUP(A4,ScaledPrice4,2))*(2-(VLOOKUP(A4,ScaledPrice4,3))))))</f>
        <v>32.4166677565802</v>
      </c>
      <c r="E4" s="317" t="n">
        <f aca="false">IF($A4="N/A"," ",IF(AND(Dayrun4&gt;=4,Dayrun4&lt;=9),0,VLOOKUP($A4,ScaledPrice4,9)))</f>
        <v>18.25</v>
      </c>
      <c r="F4" s="317" t="n">
        <f aca="false">IF(A4="N/A"," ",IF(OR(Dayrun4=2,Dayrun4=3,Dayrun4=5,Dayrun4=6,Dayrun4=8,Dayrun4=9),VLOOKUP(A4,ScaledPrice4,IF(Scaler4=1,6,5)),0))</f>
        <v>0</v>
      </c>
      <c r="G4" s="317" t="n">
        <f aca="false">IF(A4="N/A"," ",IF(OR(Dayrun4=2,Dayrun4=3,Dayrun4=5,Dayrun4=6),IF(Scaler4=2,F4,(VLOOKUP(A4,ScaledPrice4,5))*(2-(VLOOKUP(A4,ScaledPrice4,3)))),0))</f>
        <v>0</v>
      </c>
      <c r="H4" s="317" t="n">
        <f aca="false">IF($A4="N/A"," ",IF(OR(Dayrun4=2,Dayrun4=3,Dayrun4=10),VLOOKUP($A4,ScaledPrice4,9),0))</f>
        <v>0</v>
      </c>
      <c r="I4" s="317" t="n">
        <f aca="false">IF(A4="N/A"," ",IF(OR(Dayrun4=3,Dayrun4=6,Dayrun4=9),(VLOOKUP(A4,ScaledPrice4,IF(Scaler4=2,7,8))),0))</f>
        <v>0</v>
      </c>
      <c r="J4" s="317" t="n">
        <f aca="false">IF(A4="N/A"," ",IF(OR(Dayrun4=3,Dayrun4=6),IF(Scaler4=2,I4,(VLOOKUP(A4,ScaledPrice4,7))*(2-(VLOOKUP(A4,ScaledPrice4,3)))),0))</f>
        <v>0</v>
      </c>
      <c r="K4" s="317" t="n">
        <f aca="false">IF($A4="N/A"," ",IF(OR(Dayrun4=3,Dayrun4=10),VLOOKUP($A4,ScaledPrice4,9),0))</f>
        <v>0</v>
      </c>
      <c r="L4" s="318" t="e">
        <f aca="false">IF($A4="N/A"," ",IF(Pricetype4=2,MAX(C4,0),IF(OR(Pricetype4=1,Pricetype4=4),IF(C4=0,0,(EURO(C4,Strikeprice4,0,0,($AH4+IF(Smile=TRUE(),VLOOKUP(MAX(-5,Strikeprice4-C4),Volsmile,2),0)),($A4-DateToday)+15,IF(Pricetype4=1,1,0),0))),C4)))</f>
        <v>#NAME?</v>
      </c>
      <c r="M4" s="318" t="e">
        <f aca="false">IF($A4="N/A"," ",IF(Pricetype4=2,MAX(D4,0),IF(OR(Pricetype4=1,Pricetype4=4),IF(D4=0,0,(EURO(D4,Strikeprice4,0,0,($AH4+IF(Smile=TRUE(),VLOOKUP(MAX(-5,Strikeprice4-D4),Volsmile,2),0)),($A4-DateToday)+15,IF(Pricetype4=1,1,0),0))),D4)))</f>
        <v>#NAME?</v>
      </c>
      <c r="N4" s="318" t="e">
        <f aca="false">IF($A4="N/A"," ",IF(Pricetype4=2,MAX(E4,0),IF(OR(Pricetype4=1,Pricetype4=4),IF(E4=0,0,(EURO(E4,Strikeprice4,0,0,($AK4+IF(Smile=TRUE(),VLOOKUP(MAX(-5,Strikeprice4-E4),Volsmile,2),0)),($A4-DateToday)+15,IF(Pricetype4=1,1,0),0))),E4)))</f>
        <v>#NAME?</v>
      </c>
      <c r="O4" s="318" t="n">
        <f aca="false">IF($A4="N/A"," ",IF(Pricetype4=2,MAX(F4,0),IF(OR(Pricetype4=1,Pricetype4=4),IF(F4=0,0,(EURO(F4,Strikeprice4,0,0,($AK4+IF(Smile=TRUE(),VLOOKUP(MAX(-5,Strikeprice4-F4),Volsmile,2),0)),($A4-DateToday)+15,IF(Pricetype4=1,1,0),0))),F4)))</f>
        <v>0</v>
      </c>
      <c r="P4" s="318" t="n">
        <f aca="false">IF($A4="N/A"," ",IF(Pricetype4=2,MAX(G4,0),IF(OR(Pricetype4=1,Pricetype4=4),IF(G4=0,0,(EURO(G4,Strikeprice4,0,0,($AK4+IF(Smile=TRUE(),VLOOKUP(MAX(-5,Strikeprice4-G4),Volsmile,2),0)),($A4-DateToday)+15,IF(Pricetype4=1,1,0),0))),G4)))</f>
        <v>0</v>
      </c>
      <c r="Q4" s="318" t="n">
        <f aca="false">IF($A4="N/A"," ",IF(Pricetype4=2,MAX(H4,0),IF(OR(Pricetype4=1,Pricetype4=4),IF(H4=0,0,(EURO(H4,Strikeprice4,0,0,($AK4+IF(Smile=TRUE(),VLOOKUP(MAX(-5,Strikeprice4-H4),Volsmile,2),0)),($A4-DateToday)+15,IF(Pricetype4=1,1,0),0))),H4)))</f>
        <v>0</v>
      </c>
      <c r="R4" s="318" t="n">
        <f aca="false">IF($A4="N/A"," ",IF(Pricetype4=2,MAX(I4,0),IF(OR(Pricetype4=1,Pricetype4=4),IF(I4=0,0,(EURO(I4,Strikeprice4,0,0,($AK4+IF(Smile=TRUE(),VLOOKUP(MAX(-5,Strikeprice4-I4),Volsmile,2),0)),($A4-DateToday)+15,IF(Pricetype4=1,1,0),0))),I4)))</f>
        <v>0</v>
      </c>
      <c r="S4" s="318" t="n">
        <f aca="false">IF($A4="N/A"," ",IF(Pricetype4=2,MAX(J4,0),IF(OR(Pricetype4=1,Pricetype4=4),IF(J4=0,0,(EURO(J4,Strikeprice4,0,0,($AK4+IF(Smile=TRUE(),VLOOKUP(MAX(-5,Strikeprice4-J4),Volsmile,2),0)),($A4-DateToday)+15,IF(Pricetype4=1,1,0),0))),J4)))</f>
        <v>0</v>
      </c>
      <c r="T4" s="318" t="n">
        <f aca="false">IF($A4="N/A"," ",IF(Pricetype4=2,MAX(K4,0),IF(OR(Pricetype4=1,Pricetype4=4),IF(K4=0,0,(EURO(K4,Strikeprice4,0,0,($AK4+IF(Smile=TRUE(),VLOOKUP(MAX(-5,Strikeprice4-K4),Volsmile,2),0)),($A4-DateToday)+15,IF(Pricetype4=1,1,0),0))),K4)))</f>
        <v>0</v>
      </c>
      <c r="U4" s="319" t="e">
        <f aca="false">IF($A4="N/A"," ",Volume4*$AM4)</f>
        <v>#N/A</v>
      </c>
      <c r="V4" s="320" t="e">
        <f aca="false">IF($A4="N/A"," ",$U4*(8*($BQ4))*L4)</f>
        <v>#N/A</v>
      </c>
      <c r="W4" s="320" t="e">
        <f aca="false">IF($A4="N/A"," ",$U4*(8*($BQ4))*M4)</f>
        <v>#N/A</v>
      </c>
      <c r="X4" s="320" t="e">
        <f aca="false">IF($A4="N/A"," ",$U4*(8*($BQ4))*N4)</f>
        <v>#N/A</v>
      </c>
      <c r="Y4" s="320" t="e">
        <f aca="false">IF($A4="N/A"," ",$U4*(8*($BR4))*O4)</f>
        <v>#N/A</v>
      </c>
      <c r="Z4" s="320" t="e">
        <f aca="false">IF($A4="N/A"," ",$U4*(8*($BR4))*P4)</f>
        <v>#N/A</v>
      </c>
      <c r="AA4" s="320" t="e">
        <f aca="false">IF($A4="N/A"," ",$U4*(8*($BR4))*Q4)</f>
        <v>#N/A</v>
      </c>
      <c r="AB4" s="320" t="e">
        <f aca="false">IF($A4="N/A"," ",$U4*(8*($BS4))*R4)</f>
        <v>#N/A</v>
      </c>
      <c r="AC4" s="320" t="e">
        <f aca="false">IF($A4="N/A"," ",$U4*(8*($BS4))*S4)</f>
        <v>#N/A</v>
      </c>
      <c r="AD4" s="320" t="e">
        <f aca="false">IF($A4="N/A"," ",$U4*(8*($BS4))*T4)</f>
        <v>#N/A</v>
      </c>
      <c r="AE4" s="320" t="e">
        <f aca="false">IF($A4="N/A"," ",SUM(V4:AD4))</f>
        <v>#N/A</v>
      </c>
      <c r="AF4" s="321" t="n">
        <f aca="false">IF($A4="N/A"," ",(VLOOKUP($A4,PowerVolTable,(IF(VolBMO4=2,7,IF(VolBMO4=1,6,8))),FALSE())))</f>
        <v>0.42</v>
      </c>
      <c r="AG4" s="321" t="n">
        <f aca="false">IF($A4="N/A"," ",(VLOOKUP($A4,IntraPowerVol,(IF(VolBMO4=2,3,IF(VolBMO4=1,2,4))),FALSE())*VLOOKUP(MONTH($A4),Volscale,2)))</f>
        <v>0.9</v>
      </c>
      <c r="AH4" s="321" t="n">
        <f aca="false">IF($A4="N/A"," ",IF(VolType4=1,AG4,AF4))</f>
        <v>0.9</v>
      </c>
      <c r="AI4" s="321" t="n">
        <f aca="false">IF($A4="N/A"," ",(VLOOKUP($A4,OffPwrVolTable,(IF(VolBMO4=2,7,IF(VolBMO4=1,6,8))),FALSE())))</f>
        <v>0.21</v>
      </c>
      <c r="AJ4" s="321" t="n">
        <f aca="false">IF($A4="N/A"," ",(VLOOKUP($A4,OffPwrVolTable,(IF(VolBMO4=2,3,IF(VolBMO4=1,2,4))),FALSE())*VLOOKUP(MONTH($A4),Volscale,2)))</f>
        <v>0.54</v>
      </c>
      <c r="AK4" s="321" t="n">
        <f aca="false">IF($A4="N/A"," ",IF(VolType4=1,AJ4,AI4))</f>
        <v>0.54</v>
      </c>
      <c r="AL4" s="321" t="e">
        <f aca="false">IF($A4="N/A"," ",IF(PV=1,0,'Pricing Inputs4'!R37))</f>
        <v>#N/A</v>
      </c>
      <c r="AM4" s="322" t="e">
        <f aca="false">IF($A4="N/A"," ",(1+AL4/2)^(-2*((EOMONTH(A4,0)+20)-DateToday)/365.25))</f>
        <v>#N/A</v>
      </c>
      <c r="BQ4" s="0" t="n">
        <f aca="false">IF($A4="N/A"," ",(VLOOKUP($A4,NumberofDaysTable,2)))</f>
        <v>22</v>
      </c>
      <c r="BR4" s="0" t="n">
        <f aca="false">IF($A4="N/A"," ",(VLOOKUP($A4,NumberofDaysTable,3)))</f>
        <v>4</v>
      </c>
      <c r="BS4" s="0" t="n">
        <f aca="false">IF($A4="N/A"," ",(VLOOKUP($A4,NumberofDaysTable,4)))</f>
        <v>5</v>
      </c>
    </row>
    <row r="5" customFormat="false" ht="12.75" hidden="false" customHeight="false" outlineLevel="0" collapsed="false">
      <c r="A5" s="315" t="n">
        <f aca="false">IF(A4="N/A","N/A",IF(EDATE(A4,1)&gt;Inputs!$R$5,"N/A",EDATE(A4,1)))</f>
        <v>37288</v>
      </c>
      <c r="B5" s="316" t="n">
        <f aca="false">IF(A5="N/A"," ",YEAR(A5))</f>
        <v>2002</v>
      </c>
      <c r="C5" s="317" t="n">
        <f aca="false">IF($A5="N/A"," ",IF(Dayrun4=10,0,IF(Scaler4=1,(VLOOKUP(A5,ScaledPrice4,4)),(VLOOKUP(A5,ScaledPrice4,2)))))</f>
        <v>32.0666654677618</v>
      </c>
      <c r="D5" s="317" t="n">
        <f aca="false">IF(A5="N/A"," ",IF(Dayrun4&gt;=7,0,IF(Scaler4=2,VLOOKUP(A5,ScaledPrice4,2),(VLOOKUP(A5,ScaledPrice4,2))*(2-(VLOOKUP(A5,ScaledPrice4,3))))))</f>
        <v>32.0666654677618</v>
      </c>
      <c r="E5" s="317" t="n">
        <f aca="false">IF($A5="N/A"," ",IF(AND(Dayrun4&gt;=4,Dayrun4&lt;=9),0,VLOOKUP($A5,ScaledPrice4,9)))</f>
        <v>16.75</v>
      </c>
      <c r="F5" s="317" t="n">
        <f aca="false">IF(A5="N/A"," ",IF(OR(Dayrun4=2,Dayrun4=3,Dayrun4=5,Dayrun4=6,Dayrun4=8,Dayrun4=9),VLOOKUP(A5,ScaledPrice4,IF(Scaler4=1,6,5)),0))</f>
        <v>0</v>
      </c>
      <c r="G5" s="317" t="n">
        <f aca="false">IF(A5="N/A"," ",IF(OR(Dayrun4=2,Dayrun4=3,Dayrun4=5,Dayrun4=6),IF(Scaler4=2,F5,(VLOOKUP(A5,ScaledPrice4,5))*(2-(VLOOKUP(A5,ScaledPrice4,3)))),0))</f>
        <v>0</v>
      </c>
      <c r="H5" s="317" t="n">
        <f aca="false">IF($A5="N/A"," ",IF(OR(Dayrun4=2,Dayrun4=3,Dayrun4=10),VLOOKUP($A5,ScaledPrice4,9),0))</f>
        <v>0</v>
      </c>
      <c r="I5" s="317" t="n">
        <f aca="false">IF(A5="N/A"," ",IF(OR(Dayrun4=3,Dayrun4=6,Dayrun4=9),(VLOOKUP(A5,ScaledPrice4,IF(Scaler4=2,7,8))),0))</f>
        <v>0</v>
      </c>
      <c r="J5" s="317" t="n">
        <f aca="false">IF(A5="N/A"," ",IF(OR(Dayrun4=3,Dayrun4=6),IF(Scaler4=2,I5,(VLOOKUP(A5,ScaledPrice4,7))*(2-(VLOOKUP(A5,ScaledPrice4,3)))),0))</f>
        <v>0</v>
      </c>
      <c r="K5" s="317" t="n">
        <f aca="false">IF($A5="N/A"," ",IF(OR(Dayrun4=3,Dayrun4=10),VLOOKUP($A5,ScaledPrice4,9),0))</f>
        <v>0</v>
      </c>
      <c r="L5" s="318" t="e">
        <f aca="false">IF($A5="N/A"," ",IF(Pricetype4=2,MAX(C5,0),IF(OR(Pricetype4=1,Pricetype4=4),IF(C5=0,0,(EURO(C5,Strikeprice4,0,0,($AH5+IF(Smile=TRUE(),VLOOKUP(MAX(-5,Strikeprice4-C5),Volsmile,2),0)),($A5-DateToday)+15,IF(Pricetype4=1,1,0),0))),C5)))</f>
        <v>#NAME?</v>
      </c>
      <c r="M5" s="318" t="e">
        <f aca="false">IF($A5="N/A"," ",IF(Pricetype4=2,MAX(D5,0),IF(OR(Pricetype4=1,Pricetype4=4),IF(D5=0,0,(EURO(D5,Strikeprice4,0,0,($AH5+IF(Smile=TRUE(),VLOOKUP(MAX(-5,Strikeprice4-D5),Volsmile,2),0)),($A5-DateToday)+15,IF(Pricetype4=1,1,0),0))),D5)))</f>
        <v>#NAME?</v>
      </c>
      <c r="N5" s="318" t="e">
        <f aca="false">IF($A5="N/A"," ",IF(Pricetype4=2,MAX(E5,0),IF(OR(Pricetype4=1,Pricetype4=4),IF(E5=0,0,(EURO(E5,Strikeprice4,0,0,($AK5+IF(Smile=TRUE(),VLOOKUP(MAX(-5,Strikeprice4-E5),Volsmile,2),0)),($A5-DateToday)+15,IF(Pricetype4=1,1,0),0))),E5)))</f>
        <v>#NAME?</v>
      </c>
      <c r="O5" s="318" t="n">
        <f aca="false">IF($A5="N/A"," ",IF(Pricetype4=2,MAX(F5,0),IF(OR(Pricetype4=1,Pricetype4=4),IF(F5=0,0,(EURO(F5,Strikeprice4,0,0,($AK5+IF(Smile=TRUE(),VLOOKUP(MAX(-5,Strikeprice4-F5),Volsmile,2),0)),($A5-DateToday)+15,IF(Pricetype4=1,1,0),0))),F5)))</f>
        <v>0</v>
      </c>
      <c r="P5" s="318" t="n">
        <f aca="false">IF($A5="N/A"," ",IF(Pricetype4=2,MAX(G5,0),IF(OR(Pricetype4=1,Pricetype4=4),IF(G5=0,0,(EURO(G5,Strikeprice4,0,0,($AK5+IF(Smile=TRUE(),VLOOKUP(MAX(-5,Strikeprice4-G5),Volsmile,2),0)),($A5-DateToday)+15,IF(Pricetype4=1,1,0),0))),G5)))</f>
        <v>0</v>
      </c>
      <c r="Q5" s="318" t="n">
        <f aca="false">IF($A5="N/A"," ",IF(Pricetype4=2,MAX(H5,0),IF(OR(Pricetype4=1,Pricetype4=4),IF(H5=0,0,(EURO(H5,Strikeprice4,0,0,($AK5+IF(Smile=TRUE(),VLOOKUP(MAX(-5,Strikeprice4-H5),Volsmile,2),0)),($A5-DateToday)+15,IF(Pricetype4=1,1,0),0))),H5)))</f>
        <v>0</v>
      </c>
      <c r="R5" s="318" t="n">
        <f aca="false">IF($A5="N/A"," ",IF(Pricetype4=2,MAX(I5,0),IF(OR(Pricetype4=1,Pricetype4=4),IF(I5=0,0,(EURO(I5,Strikeprice4,0,0,($AK5+IF(Smile=TRUE(),VLOOKUP(MAX(-5,Strikeprice4-I5),Volsmile,2),0)),($A5-DateToday)+15,IF(Pricetype4=1,1,0),0))),I5)))</f>
        <v>0</v>
      </c>
      <c r="S5" s="318" t="n">
        <f aca="false">IF($A5="N/A"," ",IF(Pricetype4=2,MAX(J5,0),IF(OR(Pricetype4=1,Pricetype4=4),IF(J5=0,0,(EURO(J5,Strikeprice4,0,0,($AK5+IF(Smile=TRUE(),VLOOKUP(MAX(-5,Strikeprice4-J5),Volsmile,2),0)),($A5-DateToday)+15,IF(Pricetype4=1,1,0),0))),J5)))</f>
        <v>0</v>
      </c>
      <c r="T5" s="318" t="n">
        <f aca="false">IF($A5="N/A"," ",IF(Pricetype4=2,MAX(K5,0),IF(OR(Pricetype4=1,Pricetype4=4),IF(K5=0,0,(EURO(K5,Strikeprice4,0,0,($AK5+IF(Smile=TRUE(),VLOOKUP(MAX(-5,Strikeprice4-K5),Volsmile,2),0)),($A5-DateToday)+15,IF(Pricetype4=1,1,0),0))),K5)))</f>
        <v>0</v>
      </c>
      <c r="U5" s="319" t="e">
        <f aca="false">IF($A5="N/A"," ",Volume4*$AM5)</f>
        <v>#N/A</v>
      </c>
      <c r="V5" s="320" t="e">
        <f aca="false">IF($A5="N/A"," ",$U5*(8*($BQ5))*L5)</f>
        <v>#N/A</v>
      </c>
      <c r="W5" s="320" t="e">
        <f aca="false">IF($A5="N/A"," ",$U5*(8*($BQ5))*M5)</f>
        <v>#N/A</v>
      </c>
      <c r="X5" s="320" t="e">
        <f aca="false">IF($A5="N/A"," ",$U5*(8*($BQ5))*N5)</f>
        <v>#N/A</v>
      </c>
      <c r="Y5" s="320" t="e">
        <f aca="false">IF($A5="N/A"," ",$U5*(8*($BR5))*O5)</f>
        <v>#N/A</v>
      </c>
      <c r="Z5" s="320" t="e">
        <f aca="false">IF($A5="N/A"," ",$U5*(8*($BR5))*P5)</f>
        <v>#N/A</v>
      </c>
      <c r="AA5" s="320" t="e">
        <f aca="false">IF($A5="N/A"," ",$U5*(8*($BR5))*Q5)</f>
        <v>#N/A</v>
      </c>
      <c r="AB5" s="320" t="e">
        <f aca="false">IF($A5="N/A"," ",$U5*(8*($BS5))*R5)</f>
        <v>#N/A</v>
      </c>
      <c r="AC5" s="320" t="e">
        <f aca="false">IF($A5="N/A"," ",$U5*(8*($BS5))*S5)</f>
        <v>#N/A</v>
      </c>
      <c r="AD5" s="320" t="e">
        <f aca="false">IF($A5="N/A"," ",$U5*(8*($BS5))*T5)</f>
        <v>#N/A</v>
      </c>
      <c r="AE5" s="320" t="e">
        <f aca="false">IF($A5="N/A"," ",SUM(V5:AD5))</f>
        <v>#N/A</v>
      </c>
      <c r="AF5" s="321" t="n">
        <f aca="false">IF(A5="N/A"," ",(VLOOKUP(A5,PowerVolTable,(IF(VolBMO4=2,7,IF(VolBMO4=1,6,8))),FALSE())))</f>
        <v>0.42</v>
      </c>
      <c r="AG5" s="321" t="n">
        <f aca="false">IF(A5="N/A"," ",(VLOOKUP(A5,IntraPowerVol,(IF(VolBMO4=2,3,IF(VolBMO4=1,2,4))),FALSE())*VLOOKUP(MONTH($A5),Volscale,2)))</f>
        <v>0.9</v>
      </c>
      <c r="AH5" s="321" t="n">
        <f aca="false">IF($A5="N/A"," ",IF(VolType4=1,AG5,AF5))</f>
        <v>0.9</v>
      </c>
      <c r="AI5" s="321" t="n">
        <f aca="false">IF($A5="N/A"," ",(VLOOKUP($A5,OffPwrVolTable,(IF(VolBMO4=2,7,IF(VolBMO4=1,6,8))),FALSE())))</f>
        <v>0.21</v>
      </c>
      <c r="AJ5" s="321" t="n">
        <f aca="false">IF($A5="N/A"," ",(VLOOKUP($A5,OffPwrVolTable,(IF(VolBMO4=2,3,IF(VolBMO4=1,2,4))),FALSE())*VLOOKUP(MONTH($A5),Volscale,2)))</f>
        <v>0.54</v>
      </c>
      <c r="AK5" s="321" t="n">
        <f aca="false">IF($A5="N/A"," ",IF(VolType4=1,AJ5,AI5))</f>
        <v>0.54</v>
      </c>
      <c r="AL5" s="321" t="e">
        <f aca="false">IF($A5="N/A"," ",IF(PV=1,0,'Pricing Inputs4'!R38))</f>
        <v>#N/A</v>
      </c>
      <c r="AM5" s="323" t="e">
        <f aca="false">IF($A5="N/A"," ",(1+AL5/2)^(-2*((EOMONTH(A5,0)+20)-DateToday)/365.25))</f>
        <v>#N/A</v>
      </c>
      <c r="BQ5" s="0" t="n">
        <f aca="false">IF($A5="N/A"," ",(VLOOKUP($A5,NumberofDaysTable,2)))</f>
        <v>20</v>
      </c>
      <c r="BR5" s="0" t="n">
        <f aca="false">IF($A5="N/A"," ",(VLOOKUP($A5,NumberofDaysTable,3)))</f>
        <v>4</v>
      </c>
      <c r="BS5" s="0" t="n">
        <f aca="false">IF($A5="N/A"," ",(VLOOKUP($A5,NumberofDaysTable,4)))</f>
        <v>4</v>
      </c>
    </row>
    <row r="6" customFormat="false" ht="12.75" hidden="false" customHeight="false" outlineLevel="0" collapsed="false">
      <c r="A6" s="315" t="n">
        <f aca="false">IF(A5="N/A","N/A",IF(EDATE(A5,1)&gt;Inputs!$R$5,"N/A",EDATE(A5,1)))</f>
        <v>37316</v>
      </c>
      <c r="B6" s="316" t="n">
        <f aca="false">IF(A6="N/A"," ",YEAR(A6))</f>
        <v>2002</v>
      </c>
      <c r="C6" s="317" t="n">
        <f aca="false">IF($A6="N/A"," ",IF(Dayrun4=10,0,IF(Scaler4=1,(VLOOKUP(A6,ScaledPrice4,4)),(VLOOKUP(A6,ScaledPrice4,2)))))</f>
        <v>31.0197670515194</v>
      </c>
      <c r="D6" s="317" t="n">
        <f aca="false">IF(A6="N/A"," ",IF(Dayrun4&gt;=7,0,IF(Scaler4=2,VLOOKUP(A6,ScaledPrice4,2),(VLOOKUP(A6,ScaledPrice4,2))*(2-(VLOOKUP(A6,ScaledPrice4,3))))))</f>
        <v>31.0197670515194</v>
      </c>
      <c r="E6" s="317" t="n">
        <f aca="false">IF($A6="N/A"," ",IF(AND(Dayrun4&gt;=4,Dayrun4&lt;=9),0,VLOOKUP($A6,ScaledPrice4,9)))</f>
        <v>17.75</v>
      </c>
      <c r="F6" s="317" t="n">
        <f aca="false">IF(A6="N/A"," ",IF(OR(Dayrun4=2,Dayrun4=3,Dayrun4=5,Dayrun4=6,Dayrun4=8,Dayrun4=9),VLOOKUP(A6,ScaledPrice4,IF(Scaler4=1,6,5)),0))</f>
        <v>0</v>
      </c>
      <c r="G6" s="317" t="n">
        <f aca="false">IF(A6="N/A"," ",IF(OR(Dayrun4=2,Dayrun4=3,Dayrun4=5,Dayrun4=6),IF(Scaler4=2,F6,(VLOOKUP(A6,ScaledPrice4,5))*(2-(VLOOKUP(A6,ScaledPrice4,3)))),0))</f>
        <v>0</v>
      </c>
      <c r="H6" s="317" t="n">
        <f aca="false">IF($A6="N/A"," ",IF(OR(Dayrun4=2,Dayrun4=3,Dayrun4=10),VLOOKUP($A6,ScaledPrice4,9),0))</f>
        <v>0</v>
      </c>
      <c r="I6" s="317" t="n">
        <f aca="false">IF(A6="N/A"," ",IF(OR(Dayrun4=3,Dayrun4=6,Dayrun4=9),(VLOOKUP(A6,ScaledPrice4,IF(Scaler4=2,7,8))),0))</f>
        <v>0</v>
      </c>
      <c r="J6" s="317" t="n">
        <f aca="false">IF(A6="N/A"," ",IF(OR(Dayrun4=3,Dayrun4=6),IF(Scaler4=2,I6,(VLOOKUP(A6,ScaledPrice4,7))*(2-(VLOOKUP(A6,ScaledPrice4,3)))),0))</f>
        <v>0</v>
      </c>
      <c r="K6" s="317" t="n">
        <f aca="false">IF($A6="N/A"," ",IF(OR(Dayrun4=3,Dayrun4=10),VLOOKUP($A6,ScaledPrice4,9),0))</f>
        <v>0</v>
      </c>
      <c r="L6" s="318" t="e">
        <f aca="false">IF($A6="N/A"," ",IF(Pricetype4=2,MAX(C6,0),IF(OR(Pricetype4=1,Pricetype4=4),IF(C6=0,0,(EURO(C6,Strikeprice4,0,0,($AH6+IF(Smile=TRUE(),VLOOKUP(MAX(-5,Strikeprice4-C6),Volsmile,2),0)),($A6-DateToday)+15,IF(Pricetype4=1,1,0),0))),C6)))</f>
        <v>#NAME?</v>
      </c>
      <c r="M6" s="318" t="e">
        <f aca="false">IF($A6="N/A"," ",IF(Pricetype4=2,MAX(D6,0),IF(OR(Pricetype4=1,Pricetype4=4),IF(D6=0,0,(EURO(D6,Strikeprice4,0,0,($AH6+IF(Smile=TRUE(),VLOOKUP(MAX(-5,Strikeprice4-D6),Volsmile,2),0)),($A6-DateToday)+15,IF(Pricetype4=1,1,0),0))),D6)))</f>
        <v>#NAME?</v>
      </c>
      <c r="N6" s="318" t="e">
        <f aca="false">IF($A6="N/A"," ",IF(Pricetype4=2,MAX(E6,0),IF(OR(Pricetype4=1,Pricetype4=4),IF(E6=0,0,(EURO(E6,Strikeprice4,0,0,($AK6+IF(Smile=TRUE(),VLOOKUP(MAX(-5,Strikeprice4-E6),Volsmile,2),0)),($A6-DateToday)+15,IF(Pricetype4=1,1,0),0))),E6)))</f>
        <v>#NAME?</v>
      </c>
      <c r="O6" s="318" t="n">
        <f aca="false">IF($A6="N/A"," ",IF(Pricetype4=2,MAX(F6,0),IF(OR(Pricetype4=1,Pricetype4=4),IF(F6=0,0,(EURO(F6,Strikeprice4,0,0,($AK6+IF(Smile=TRUE(),VLOOKUP(MAX(-5,Strikeprice4-F6),Volsmile,2),0)),($A6-DateToday)+15,IF(Pricetype4=1,1,0),0))),F6)))</f>
        <v>0</v>
      </c>
      <c r="P6" s="318" t="n">
        <f aca="false">IF($A6="N/A"," ",IF(Pricetype4=2,MAX(G6,0),IF(OR(Pricetype4=1,Pricetype4=4),IF(G6=0,0,(EURO(G6,Strikeprice4,0,0,($AK6+IF(Smile=TRUE(),VLOOKUP(MAX(-5,Strikeprice4-G6),Volsmile,2),0)),($A6-DateToday)+15,IF(Pricetype4=1,1,0),0))),G6)))</f>
        <v>0</v>
      </c>
      <c r="Q6" s="318" t="n">
        <f aca="false">IF($A6="N/A"," ",IF(Pricetype4=2,MAX(H6,0),IF(OR(Pricetype4=1,Pricetype4=4),IF(H6=0,0,(EURO(H6,Strikeprice4,0,0,($AK6+IF(Smile=TRUE(),VLOOKUP(MAX(-5,Strikeprice4-H6),Volsmile,2),0)),($A6-DateToday)+15,IF(Pricetype4=1,1,0),0))),H6)))</f>
        <v>0</v>
      </c>
      <c r="R6" s="318" t="n">
        <f aca="false">IF($A6="N/A"," ",IF(Pricetype4=2,MAX(I6,0),IF(OR(Pricetype4=1,Pricetype4=4),IF(I6=0,0,(EURO(I6,Strikeprice4,0,0,($AK6+IF(Smile=TRUE(),VLOOKUP(MAX(-5,Strikeprice4-I6),Volsmile,2),0)),($A6-DateToday)+15,IF(Pricetype4=1,1,0),0))),I6)))</f>
        <v>0</v>
      </c>
      <c r="S6" s="318" t="n">
        <f aca="false">IF($A6="N/A"," ",IF(Pricetype4=2,MAX(J6,0),IF(OR(Pricetype4=1,Pricetype4=4),IF(J6=0,0,(EURO(J6,Strikeprice4,0,0,($AK6+IF(Smile=TRUE(),VLOOKUP(MAX(-5,Strikeprice4-J6),Volsmile,2),0)),($A6-DateToday)+15,IF(Pricetype4=1,1,0),0))),J6)))</f>
        <v>0</v>
      </c>
      <c r="T6" s="318" t="n">
        <f aca="false">IF($A6="N/A"," ",IF(Pricetype4=2,MAX(K6,0),IF(OR(Pricetype4=1,Pricetype4=4),IF(K6=0,0,(EURO(K6,Strikeprice4,0,0,($AK6+IF(Smile=TRUE(),VLOOKUP(MAX(-5,Strikeprice4-K6),Volsmile,2),0)),($A6-DateToday)+15,IF(Pricetype4=1,1,0),0))),K6)))</f>
        <v>0</v>
      </c>
      <c r="U6" s="319" t="e">
        <f aca="false">IF($A6="N/A"," ",Volume4*$AM6)</f>
        <v>#N/A</v>
      </c>
      <c r="V6" s="320" t="e">
        <f aca="false">IF($A6="N/A"," ",$U6*(8*($BQ6))*L6)</f>
        <v>#N/A</v>
      </c>
      <c r="W6" s="320" t="e">
        <f aca="false">IF($A6="N/A"," ",$U6*(8*($BQ6))*M6)</f>
        <v>#N/A</v>
      </c>
      <c r="X6" s="320" t="e">
        <f aca="false">IF($A6="N/A"," ",$U6*(8*($BQ6))*N6)</f>
        <v>#N/A</v>
      </c>
      <c r="Y6" s="320" t="e">
        <f aca="false">IF($A6="N/A"," ",$U6*(8*($BR6))*O6)</f>
        <v>#N/A</v>
      </c>
      <c r="Z6" s="320" t="e">
        <f aca="false">IF($A6="N/A"," ",$U6*(8*($BR6))*P6)</f>
        <v>#N/A</v>
      </c>
      <c r="AA6" s="320" t="e">
        <f aca="false">IF($A6="N/A"," ",$U6*(8*($BR6))*Q6)</f>
        <v>#N/A</v>
      </c>
      <c r="AB6" s="320" t="e">
        <f aca="false">IF($A6="N/A"," ",$U6*(8*($BS6))*R6)</f>
        <v>#N/A</v>
      </c>
      <c r="AC6" s="320" t="e">
        <f aca="false">IF($A6="N/A"," ",$U6*(8*($BS6))*S6)</f>
        <v>#N/A</v>
      </c>
      <c r="AD6" s="320" t="e">
        <f aca="false">IF($A6="N/A"," ",$U6*(8*($BS6))*T6)</f>
        <v>#N/A</v>
      </c>
      <c r="AE6" s="320" t="e">
        <f aca="false">IF($A6="N/A"," ",SUM(V6:AD6))</f>
        <v>#N/A</v>
      </c>
      <c r="AF6" s="321" t="n">
        <f aca="false">IF(A6="N/A"," ",(VLOOKUP(A6,PowerVolTable,(IF(VolBMO4=2,7,IF(VolBMO4=1,6,8))),FALSE())))</f>
        <v>0.42</v>
      </c>
      <c r="AG6" s="321" t="n">
        <f aca="false">IF(A6="N/A"," ",(VLOOKUP(A6,IntraPowerVol,(IF(VolBMO4=2,3,IF(VolBMO4=1,2,4))),FALSE())*VLOOKUP(MONTH($A6),Volscale,2)))</f>
        <v>0.84</v>
      </c>
      <c r="AH6" s="321" t="n">
        <f aca="false">IF($A6="N/A"," ",IF(VolType4=1,AG6,AF6))</f>
        <v>0.84</v>
      </c>
      <c r="AI6" s="321" t="n">
        <f aca="false">IF($A6="N/A"," ",(VLOOKUP($A6,OffPwrVolTable,(IF(VolBMO4=2,7,IF(VolBMO4=1,6,8))),FALSE())))</f>
        <v>0.21</v>
      </c>
      <c r="AJ6" s="321" t="n">
        <f aca="false">IF($A6="N/A"," ",(VLOOKUP($A6,OffPwrVolTable,(IF(VolBMO4=2,3,IF(VolBMO4=1,2,4))),FALSE())*VLOOKUP(MONTH($A6),Volscale,2)))</f>
        <v>0.504</v>
      </c>
      <c r="AK6" s="321" t="n">
        <f aca="false">IF($A6="N/A"," ",IF(VolType4=1,AJ6,AI6))</f>
        <v>0.504</v>
      </c>
      <c r="AL6" s="321" t="e">
        <f aca="false">IF($A6="N/A"," ",IF(PV=1,0,'Pricing Inputs4'!R39))</f>
        <v>#N/A</v>
      </c>
      <c r="AM6" s="323" t="e">
        <f aca="false">IF($A6="N/A"," ",(1+AL6/2)^(-2*((EOMONTH(A6,0)+20)-DateToday)/365.25))</f>
        <v>#N/A</v>
      </c>
      <c r="BQ6" s="0" t="n">
        <f aca="false">IF($A6="N/A"," ",(VLOOKUP($A6,NumberofDaysTable,2)))</f>
        <v>21</v>
      </c>
      <c r="BR6" s="0" t="n">
        <f aca="false">IF($A6="N/A"," ",(VLOOKUP($A6,NumberofDaysTable,3)))</f>
        <v>5</v>
      </c>
      <c r="BS6" s="0" t="n">
        <f aca="false">IF($A6="N/A"," ",(VLOOKUP($A6,NumberofDaysTable,4)))</f>
        <v>5</v>
      </c>
    </row>
    <row r="7" customFormat="false" ht="12.75" hidden="false" customHeight="false" outlineLevel="0" collapsed="false">
      <c r="A7" s="315" t="n">
        <f aca="false">IF(A6="N/A","N/A",IF(EDATE(A6,1)&gt;Inputs!$R$5,"N/A",EDATE(A6,1)))</f>
        <v>37347</v>
      </c>
      <c r="B7" s="316" t="n">
        <f aca="false">IF(A7="N/A"," ",YEAR(A7))</f>
        <v>2002</v>
      </c>
      <c r="C7" s="317" t="n">
        <f aca="false">IF($A7="N/A"," ",IF(Dayrun4=10,0,IF(Scaler4=1,(VLOOKUP(A7,ScaledPrice4,4)),(VLOOKUP(A7,ScaledPrice4,2)))))</f>
        <v>31.4697678144588</v>
      </c>
      <c r="D7" s="317" t="n">
        <f aca="false">IF(A7="N/A"," ",IF(Dayrun4&gt;=7,0,IF(Scaler4=2,VLOOKUP(A7,ScaledPrice4,2),(VLOOKUP(A7,ScaledPrice4,2))*(2-(VLOOKUP(A7,ScaledPrice4,3))))))</f>
        <v>31.4697678144588</v>
      </c>
      <c r="E7" s="317" t="n">
        <f aca="false">IF($A7="N/A"," ",IF(AND(Dayrun4&gt;=4,Dayrun4&lt;=9),0,VLOOKUP($A7,ScaledPrice4,9)))</f>
        <v>15.7500009536743</v>
      </c>
      <c r="F7" s="317" t="n">
        <f aca="false">IF(A7="N/A"," ",IF(OR(Dayrun4=2,Dayrun4=3,Dayrun4=5,Dayrun4=6,Dayrun4=8,Dayrun4=9),VLOOKUP(A7,ScaledPrice4,IF(Scaler4=1,6,5)),0))</f>
        <v>0</v>
      </c>
      <c r="G7" s="317" t="n">
        <f aca="false">IF(A7="N/A"," ",IF(OR(Dayrun4=2,Dayrun4=3,Dayrun4=5,Dayrun4=6),IF(Scaler4=2,F7,(VLOOKUP(A7,ScaledPrice4,5))*(2-(VLOOKUP(A7,ScaledPrice4,3)))),0))</f>
        <v>0</v>
      </c>
      <c r="H7" s="317" t="n">
        <f aca="false">IF($A7="N/A"," ",IF(OR(Dayrun4=2,Dayrun4=3,Dayrun4=10),VLOOKUP($A7,ScaledPrice4,9),0))</f>
        <v>0</v>
      </c>
      <c r="I7" s="317" t="n">
        <f aca="false">IF(A7="N/A"," ",IF(OR(Dayrun4=3,Dayrun4=6,Dayrun4=9),(VLOOKUP(A7,ScaledPrice4,IF(Scaler4=2,7,8))),0))</f>
        <v>0</v>
      </c>
      <c r="J7" s="317" t="n">
        <f aca="false">IF(A7="N/A"," ",IF(OR(Dayrun4=3,Dayrun4=6),IF(Scaler4=2,I7,(VLOOKUP(A7,ScaledPrice4,7))*(2-(VLOOKUP(A7,ScaledPrice4,3)))),0))</f>
        <v>0</v>
      </c>
      <c r="K7" s="317" t="n">
        <f aca="false">IF($A7="N/A"," ",IF(OR(Dayrun4=3,Dayrun4=10),VLOOKUP($A7,ScaledPrice4,9),0))</f>
        <v>0</v>
      </c>
      <c r="L7" s="318" t="e">
        <f aca="false">IF($A7="N/A"," ",IF(Pricetype4=2,MAX(C7,0),IF(OR(Pricetype4=1,Pricetype4=4),IF(C7=0,0,(EURO(C7,Strikeprice4,0,0,($AH7+IF(Smile=TRUE(),VLOOKUP(MAX(-5,Strikeprice4-C7),Volsmile,2),0)),($A7-DateToday)+15,IF(Pricetype4=1,1,0),0))),C7)))</f>
        <v>#NAME?</v>
      </c>
      <c r="M7" s="318" t="e">
        <f aca="false">IF($A7="N/A"," ",IF(Pricetype4=2,MAX(D7,0),IF(OR(Pricetype4=1,Pricetype4=4),IF(D7=0,0,(EURO(D7,Strikeprice4,0,0,($AH7+IF(Smile=TRUE(),VLOOKUP(MAX(-5,Strikeprice4-D7),Volsmile,2),0)),($A7-DateToday)+15,IF(Pricetype4=1,1,0),0))),D7)))</f>
        <v>#NAME?</v>
      </c>
      <c r="N7" s="318" t="e">
        <f aca="false">IF($A7="N/A"," ",IF(Pricetype4=2,MAX(E7,0),IF(OR(Pricetype4=1,Pricetype4=4),IF(E7=0,0,(EURO(E7,Strikeprice4,0,0,($AK7+IF(Smile=TRUE(),VLOOKUP(MAX(-5,Strikeprice4-E7),Volsmile,2),0)),($A7-DateToday)+15,IF(Pricetype4=1,1,0),0))),E7)))</f>
        <v>#NAME?</v>
      </c>
      <c r="O7" s="318" t="n">
        <f aca="false">IF($A7="N/A"," ",IF(Pricetype4=2,MAX(F7,0),IF(OR(Pricetype4=1,Pricetype4=4),IF(F7=0,0,(EURO(F7,Strikeprice4,0,0,($AK7+IF(Smile=TRUE(),VLOOKUP(MAX(-5,Strikeprice4-F7),Volsmile,2),0)),($A7-DateToday)+15,IF(Pricetype4=1,1,0),0))),F7)))</f>
        <v>0</v>
      </c>
      <c r="P7" s="318" t="n">
        <f aca="false">IF($A7="N/A"," ",IF(Pricetype4=2,MAX(G7,0),IF(OR(Pricetype4=1,Pricetype4=4),IF(G7=0,0,(EURO(G7,Strikeprice4,0,0,($AK7+IF(Smile=TRUE(),VLOOKUP(MAX(-5,Strikeprice4-G7),Volsmile,2),0)),($A7-DateToday)+15,IF(Pricetype4=1,1,0),0))),G7)))</f>
        <v>0</v>
      </c>
      <c r="Q7" s="318" t="n">
        <f aca="false">IF($A7="N/A"," ",IF(Pricetype4=2,MAX(H7,0),IF(OR(Pricetype4=1,Pricetype4=4),IF(H7=0,0,(EURO(H7,Strikeprice4,0,0,($AK7+IF(Smile=TRUE(),VLOOKUP(MAX(-5,Strikeprice4-H7),Volsmile,2),0)),($A7-DateToday)+15,IF(Pricetype4=1,1,0),0))),H7)))</f>
        <v>0</v>
      </c>
      <c r="R7" s="318" t="n">
        <f aca="false">IF($A7="N/A"," ",IF(Pricetype4=2,MAX(I7,0),IF(OR(Pricetype4=1,Pricetype4=4),IF(I7=0,0,(EURO(I7,Strikeprice4,0,0,($AK7+IF(Smile=TRUE(),VLOOKUP(MAX(-5,Strikeprice4-I7),Volsmile,2),0)),($A7-DateToday)+15,IF(Pricetype4=1,1,0),0))),I7)))</f>
        <v>0</v>
      </c>
      <c r="S7" s="318" t="n">
        <f aca="false">IF($A7="N/A"," ",IF(Pricetype4=2,MAX(J7,0),IF(OR(Pricetype4=1,Pricetype4=4),IF(J7=0,0,(EURO(J7,Strikeprice4,0,0,($AK7+IF(Smile=TRUE(),VLOOKUP(MAX(-5,Strikeprice4-J7),Volsmile,2),0)),($A7-DateToday)+15,IF(Pricetype4=1,1,0),0))),J7)))</f>
        <v>0</v>
      </c>
      <c r="T7" s="318" t="n">
        <f aca="false">IF($A7="N/A"," ",IF(Pricetype4=2,MAX(K7,0),IF(OR(Pricetype4=1,Pricetype4=4),IF(K7=0,0,(EURO(K7,Strikeprice4,0,0,($AK7+IF(Smile=TRUE(),VLOOKUP(MAX(-5,Strikeprice4-K7),Volsmile,2),0)),($A7-DateToday)+15,IF(Pricetype4=1,1,0),0))),K7)))</f>
        <v>0</v>
      </c>
      <c r="U7" s="319" t="e">
        <f aca="false">IF($A7="N/A"," ",Volume4*$AM7)</f>
        <v>#N/A</v>
      </c>
      <c r="V7" s="320" t="e">
        <f aca="false">IF($A7="N/A"," ",$U7*(8*($BQ7))*L7)</f>
        <v>#N/A</v>
      </c>
      <c r="W7" s="320" t="e">
        <f aca="false">IF($A7="N/A"," ",$U7*(8*($BQ7))*M7)</f>
        <v>#N/A</v>
      </c>
      <c r="X7" s="320" t="e">
        <f aca="false">IF($A7="N/A"," ",$U7*(8*($BQ7))*N7)</f>
        <v>#N/A</v>
      </c>
      <c r="Y7" s="320" t="e">
        <f aca="false">IF($A7="N/A"," ",$U7*(8*($BR7))*O7)</f>
        <v>#N/A</v>
      </c>
      <c r="Z7" s="320" t="e">
        <f aca="false">IF($A7="N/A"," ",$U7*(8*($BR7))*P7)</f>
        <v>#N/A</v>
      </c>
      <c r="AA7" s="320" t="e">
        <f aca="false">IF($A7="N/A"," ",$U7*(8*($BR7))*Q7)</f>
        <v>#N/A</v>
      </c>
      <c r="AB7" s="320" t="e">
        <f aca="false">IF($A7="N/A"," ",$U7*(8*($BS7))*R7)</f>
        <v>#N/A</v>
      </c>
      <c r="AC7" s="320" t="e">
        <f aca="false">IF($A7="N/A"," ",$U7*(8*($BS7))*S7)</f>
        <v>#N/A</v>
      </c>
      <c r="AD7" s="320" t="e">
        <f aca="false">IF($A7="N/A"," ",$U7*(8*($BS7))*T7)</f>
        <v>#N/A</v>
      </c>
      <c r="AE7" s="320" t="e">
        <f aca="false">IF($A7="N/A"," ",SUM(V7:AD7))</f>
        <v>#N/A</v>
      </c>
      <c r="AF7" s="321" t="n">
        <f aca="false">IF(A7="N/A"," ",(VLOOKUP(A7,PowerVolTable,(IF(VolBMO4=2,7,IF(VolBMO4=1,6,8))),FALSE())))</f>
        <v>0.42</v>
      </c>
      <c r="AG7" s="321" t="n">
        <f aca="false">IF(A7="N/A"," ",(VLOOKUP(A7,IntraPowerVol,(IF(VolBMO4=2,3,IF(VolBMO4=1,2,4))),FALSE())*VLOOKUP(MONTH($A7),Volscale,2)))</f>
        <v>0.84</v>
      </c>
      <c r="AH7" s="321" t="n">
        <f aca="false">IF($A7="N/A"," ",IF(VolType4=1,AG7,AF7))</f>
        <v>0.84</v>
      </c>
      <c r="AI7" s="321" t="n">
        <f aca="false">IF($A7="N/A"," ",(VLOOKUP($A7,OffPwrVolTable,(IF(VolBMO4=2,7,IF(VolBMO4=1,6,8))),FALSE())))</f>
        <v>0.21</v>
      </c>
      <c r="AJ7" s="321" t="n">
        <f aca="false">IF($A7="N/A"," ",(VLOOKUP($A7,OffPwrVolTable,(IF(VolBMO4=2,3,IF(VolBMO4=1,2,4))),FALSE())*VLOOKUP(MONTH($A7),Volscale,2)))</f>
        <v>0.504</v>
      </c>
      <c r="AK7" s="321" t="n">
        <f aca="false">IF($A7="N/A"," ",IF(VolType4=1,AJ7,AI7))</f>
        <v>0.504</v>
      </c>
      <c r="AL7" s="321" t="e">
        <f aca="false">IF($A7="N/A"," ",IF(PV=1,0,'Pricing Inputs4'!R40))</f>
        <v>#N/A</v>
      </c>
      <c r="AM7" s="323" t="e">
        <f aca="false">IF($A7="N/A"," ",(1+AL7/2)^(-2*((EOMONTH(A7,0)+20)-DateToday)/365.25))</f>
        <v>#N/A</v>
      </c>
      <c r="BQ7" s="0" t="n">
        <f aca="false">IF($A7="N/A"," ",(VLOOKUP($A7,NumberofDaysTable,2)))</f>
        <v>22</v>
      </c>
      <c r="BR7" s="0" t="n">
        <f aca="false">IF($A7="N/A"," ",(VLOOKUP($A7,NumberofDaysTable,3)))</f>
        <v>4</v>
      </c>
      <c r="BS7" s="0" t="n">
        <f aca="false">IF($A7="N/A"," ",(VLOOKUP($A7,NumberofDaysTable,4)))</f>
        <v>4</v>
      </c>
    </row>
    <row r="8" customFormat="false" ht="12.75" hidden="false" customHeight="false" outlineLevel="0" collapsed="false">
      <c r="A8" s="315" t="n">
        <f aca="false">IF(A7="N/A","N/A",IF(EDATE(A7,1)&gt;Inputs!$R$5,"N/A",EDATE(A7,1)))</f>
        <v>37377</v>
      </c>
      <c r="B8" s="316" t="n">
        <f aca="false">IF(A8="N/A"," ",YEAR(A8))</f>
        <v>2002</v>
      </c>
      <c r="C8" s="317" t="n">
        <f aca="false">IF($A8="N/A"," ",IF(Dayrun4=10,0,IF(Scaler4=1,(VLOOKUP(A8,ScaledPrice4,4)),(VLOOKUP(A8,ScaledPrice4,2)))))</f>
        <v>34.625</v>
      </c>
      <c r="D8" s="317" t="n">
        <f aca="false">IF(A8="N/A"," ",IF(Dayrun4&gt;=7,0,IF(Scaler4=2,VLOOKUP(A8,ScaledPrice4,2),(VLOOKUP(A8,ScaledPrice4,2))*(2-(VLOOKUP(A8,ScaledPrice4,3))))))</f>
        <v>34.625</v>
      </c>
      <c r="E8" s="317" t="n">
        <f aca="false">IF($A8="N/A"," ",IF(AND(Dayrun4&gt;=4,Dayrun4&lt;=9),0,VLOOKUP($A8,ScaledPrice4,9)))</f>
        <v>17.75</v>
      </c>
      <c r="F8" s="317" t="n">
        <f aca="false">IF(A8="N/A"," ",IF(OR(Dayrun4=2,Dayrun4=3,Dayrun4=5,Dayrun4=6,Dayrun4=8,Dayrun4=9),VLOOKUP(A8,ScaledPrice4,IF(Scaler4=1,6,5)),0))</f>
        <v>0</v>
      </c>
      <c r="G8" s="317" t="n">
        <f aca="false">IF(A8="N/A"," ",IF(OR(Dayrun4=2,Dayrun4=3,Dayrun4=5,Dayrun4=6),IF(Scaler4=2,F8,(VLOOKUP(A8,ScaledPrice4,5))*(2-(VLOOKUP(A8,ScaledPrice4,3)))),0))</f>
        <v>0</v>
      </c>
      <c r="H8" s="317" t="n">
        <f aca="false">IF($A8="N/A"," ",IF(OR(Dayrun4=2,Dayrun4=3,Dayrun4=10),VLOOKUP($A8,ScaledPrice4,9),0))</f>
        <v>0</v>
      </c>
      <c r="I8" s="317" t="n">
        <f aca="false">IF(A8="N/A"," ",IF(OR(Dayrun4=3,Dayrun4=6,Dayrun4=9),(VLOOKUP(A8,ScaledPrice4,IF(Scaler4=2,7,8))),0))</f>
        <v>0</v>
      </c>
      <c r="J8" s="317" t="n">
        <f aca="false">IF(A8="N/A"," ",IF(OR(Dayrun4=3,Dayrun4=6),IF(Scaler4=2,I8,(VLOOKUP(A8,ScaledPrice4,7))*(2-(VLOOKUP(A8,ScaledPrice4,3)))),0))</f>
        <v>0</v>
      </c>
      <c r="K8" s="317" t="n">
        <f aca="false">IF($A8="N/A"," ",IF(OR(Dayrun4=3,Dayrun4=10),VLOOKUP($A8,ScaledPrice4,9),0))</f>
        <v>0</v>
      </c>
      <c r="L8" s="318" t="e">
        <f aca="false">IF($A8="N/A"," ",IF(Pricetype4=2,MAX(C8,0),IF(OR(Pricetype4=1,Pricetype4=4),IF(C8=0,0,(EURO(C8,Strikeprice4,0,0,($AH8+IF(Smile=TRUE(),VLOOKUP(MAX(-5,Strikeprice4-C8),Volsmile,2),0)),($A8-DateToday)+15,IF(Pricetype4=1,1,0),0))),C8)))</f>
        <v>#NAME?</v>
      </c>
      <c r="M8" s="318" t="e">
        <f aca="false">IF($A8="N/A"," ",IF(Pricetype4=2,MAX(D8,0),IF(OR(Pricetype4=1,Pricetype4=4),IF(D8=0,0,(EURO(D8,Strikeprice4,0,0,($AH8+IF(Smile=TRUE(),VLOOKUP(MAX(-5,Strikeprice4-D8),Volsmile,2),0)),($A8-DateToday)+15,IF(Pricetype4=1,1,0),0))),D8)))</f>
        <v>#NAME?</v>
      </c>
      <c r="N8" s="318" t="e">
        <f aca="false">IF($A8="N/A"," ",IF(Pricetype4=2,MAX(E8,0),IF(OR(Pricetype4=1,Pricetype4=4),IF(E8=0,0,(EURO(E8,Strikeprice4,0,0,($AK8+IF(Smile=TRUE(),VLOOKUP(MAX(-5,Strikeprice4-E8),Volsmile,2),0)),($A8-DateToday)+15,IF(Pricetype4=1,1,0),0))),E8)))</f>
        <v>#NAME?</v>
      </c>
      <c r="O8" s="318" t="n">
        <f aca="false">IF($A8="N/A"," ",IF(Pricetype4=2,MAX(F8,0),IF(OR(Pricetype4=1,Pricetype4=4),IF(F8=0,0,(EURO(F8,Strikeprice4,0,0,($AK8+IF(Smile=TRUE(),VLOOKUP(MAX(-5,Strikeprice4-F8),Volsmile,2),0)),($A8-DateToday)+15,IF(Pricetype4=1,1,0),0))),F8)))</f>
        <v>0</v>
      </c>
      <c r="P8" s="318" t="n">
        <f aca="false">IF($A8="N/A"," ",IF(Pricetype4=2,MAX(G8,0),IF(OR(Pricetype4=1,Pricetype4=4),IF(G8=0,0,(EURO(G8,Strikeprice4,0,0,($AK8+IF(Smile=TRUE(),VLOOKUP(MAX(-5,Strikeprice4-G8),Volsmile,2),0)),($A8-DateToday)+15,IF(Pricetype4=1,1,0),0))),G8)))</f>
        <v>0</v>
      </c>
      <c r="Q8" s="318" t="n">
        <f aca="false">IF($A8="N/A"," ",IF(Pricetype4=2,MAX(H8,0),IF(OR(Pricetype4=1,Pricetype4=4),IF(H8=0,0,(EURO(H8,Strikeprice4,0,0,($AK8+IF(Smile=TRUE(),VLOOKUP(MAX(-5,Strikeprice4-H8),Volsmile,2),0)),($A8-DateToday)+15,IF(Pricetype4=1,1,0),0))),H8)))</f>
        <v>0</v>
      </c>
      <c r="R8" s="318" t="n">
        <f aca="false">IF($A8="N/A"," ",IF(Pricetype4=2,MAX(I8,0),IF(OR(Pricetype4=1,Pricetype4=4),IF(I8=0,0,(EURO(I8,Strikeprice4,0,0,($AK8+IF(Smile=TRUE(),VLOOKUP(MAX(-5,Strikeprice4-I8),Volsmile,2),0)),($A8-DateToday)+15,IF(Pricetype4=1,1,0),0))),I8)))</f>
        <v>0</v>
      </c>
      <c r="S8" s="318" t="n">
        <f aca="false">IF($A8="N/A"," ",IF(Pricetype4=2,MAX(J8,0),IF(OR(Pricetype4=1,Pricetype4=4),IF(J8=0,0,(EURO(J8,Strikeprice4,0,0,($AK8+IF(Smile=TRUE(),VLOOKUP(MAX(-5,Strikeprice4-J8),Volsmile,2),0)),($A8-DateToday)+15,IF(Pricetype4=1,1,0),0))),J8)))</f>
        <v>0</v>
      </c>
      <c r="T8" s="318" t="n">
        <f aca="false">IF($A8="N/A"," ",IF(Pricetype4=2,MAX(K8,0),IF(OR(Pricetype4=1,Pricetype4=4),IF(K8=0,0,(EURO(K8,Strikeprice4,0,0,($AK8+IF(Smile=TRUE(),VLOOKUP(MAX(-5,Strikeprice4-K8),Volsmile,2),0)),($A8-DateToday)+15,IF(Pricetype4=1,1,0),0))),K8)))</f>
        <v>0</v>
      </c>
      <c r="U8" s="319" t="e">
        <f aca="false">IF($A8="N/A"," ",Volume4*$AM8)</f>
        <v>#N/A</v>
      </c>
      <c r="V8" s="320" t="e">
        <f aca="false">IF($A8="N/A"," ",$U8*(8*($BQ8))*L8)</f>
        <v>#N/A</v>
      </c>
      <c r="W8" s="320" t="e">
        <f aca="false">IF($A8="N/A"," ",$U8*(8*($BQ8))*M8)</f>
        <v>#N/A</v>
      </c>
      <c r="X8" s="320" t="e">
        <f aca="false">IF($A8="N/A"," ",$U8*(8*($BQ8))*N8)</f>
        <v>#N/A</v>
      </c>
      <c r="Y8" s="320" t="e">
        <f aca="false">IF($A8="N/A"," ",$U8*(8*($BR8))*O8)</f>
        <v>#N/A</v>
      </c>
      <c r="Z8" s="320" t="e">
        <f aca="false">IF($A8="N/A"," ",$U8*(8*($BR8))*P8)</f>
        <v>#N/A</v>
      </c>
      <c r="AA8" s="320" t="e">
        <f aca="false">IF($A8="N/A"," ",$U8*(8*($BR8))*Q8)</f>
        <v>#N/A</v>
      </c>
      <c r="AB8" s="320" t="e">
        <f aca="false">IF($A8="N/A"," ",$U8*(8*($BS8))*R8)</f>
        <v>#N/A</v>
      </c>
      <c r="AC8" s="320" t="e">
        <f aca="false">IF($A8="N/A"," ",$U8*(8*($BS8))*S8)</f>
        <v>#N/A</v>
      </c>
      <c r="AD8" s="320" t="e">
        <f aca="false">IF($A8="N/A"," ",$U8*(8*($BS8))*T8)</f>
        <v>#N/A</v>
      </c>
      <c r="AE8" s="320" t="e">
        <f aca="false">IF($A8="N/A"," ",SUM(V8:AD8))</f>
        <v>#N/A</v>
      </c>
      <c r="AF8" s="321" t="n">
        <f aca="false">IF(A8="N/A"," ",(VLOOKUP(A8,PowerVolTable,(IF(VolBMO4=2,7,IF(VolBMO4=1,6,8))),FALSE())))</f>
        <v>0.42</v>
      </c>
      <c r="AG8" s="321" t="n">
        <f aca="false">IF(A8="N/A"," ",(VLOOKUP(A8,IntraPowerVol,(IF(VolBMO4=2,3,IF(VolBMO4=1,2,4))),FALSE())*VLOOKUP(MONTH($A8),Volscale,2)))</f>
        <v>0.84</v>
      </c>
      <c r="AH8" s="321" t="n">
        <f aca="false">IF($A8="N/A"," ",IF(VolType4=1,AG8,AF8))</f>
        <v>0.84</v>
      </c>
      <c r="AI8" s="321" t="n">
        <f aca="false">IF($A8="N/A"," ",(VLOOKUP($A8,OffPwrVolTable,(IF(VolBMO4=2,7,IF(VolBMO4=1,6,8))),FALSE())))</f>
        <v>0.21</v>
      </c>
      <c r="AJ8" s="321" t="n">
        <f aca="false">IF($A8="N/A"," ",(VLOOKUP($A8,OffPwrVolTable,(IF(VolBMO4=2,3,IF(VolBMO4=1,2,4))),FALSE())*VLOOKUP(MONTH($A8),Volscale,2)))</f>
        <v>0.504</v>
      </c>
      <c r="AK8" s="321" t="n">
        <f aca="false">IF($A8="N/A"," ",IF(VolType4=1,AJ8,AI8))</f>
        <v>0.504</v>
      </c>
      <c r="AL8" s="321" t="e">
        <f aca="false">IF($A8="N/A"," ",IF(PV=1,0,'Pricing Inputs4'!R41))</f>
        <v>#N/A</v>
      </c>
      <c r="AM8" s="323" t="e">
        <f aca="false">IF($A8="N/A"," ",(1+AL8/2)^(-2*((EOMONTH(A8,0)+20)-DateToday)/365.25))</f>
        <v>#N/A</v>
      </c>
      <c r="BQ8" s="0" t="n">
        <f aca="false">IF($A8="N/A"," ",(VLOOKUP($A8,NumberofDaysTable,2)))</f>
        <v>22</v>
      </c>
      <c r="BR8" s="0" t="n">
        <f aca="false">IF($A8="N/A"," ",(VLOOKUP($A8,NumberofDaysTable,3)))</f>
        <v>4</v>
      </c>
      <c r="BS8" s="0" t="n">
        <f aca="false">IF($A8="N/A"," ",(VLOOKUP($A8,NumberofDaysTable,4)))</f>
        <v>5</v>
      </c>
    </row>
    <row r="9" customFormat="false" ht="12.75" hidden="false" customHeight="false" outlineLevel="0" collapsed="false">
      <c r="A9" s="315" t="n">
        <f aca="false">IF(A8="N/A","N/A",IF(EDATE(A8,1)&gt;Inputs!$R$5,"N/A",EDATE(A8,1)))</f>
        <v>37408</v>
      </c>
      <c r="B9" s="316" t="n">
        <f aca="false">IF(A9="N/A"," ",YEAR(A9))</f>
        <v>2002</v>
      </c>
      <c r="C9" s="317" t="n">
        <f aca="false">IF($A9="N/A"," ",IF(Dayrun4=10,0,IF(Scaler4=1,(VLOOKUP(A9,ScaledPrice4,4)),(VLOOKUP(A9,ScaledPrice4,2)))))</f>
        <v>44.75</v>
      </c>
      <c r="D9" s="317" t="n">
        <f aca="false">IF(A9="N/A"," ",IF(Dayrun4&gt;=7,0,IF(Scaler4=2,VLOOKUP(A9,ScaledPrice4,2),(VLOOKUP(A9,ScaledPrice4,2))*(2-(VLOOKUP(A9,ScaledPrice4,3))))))</f>
        <v>44.75</v>
      </c>
      <c r="E9" s="317" t="n">
        <f aca="false">IF($A9="N/A"," ",IF(AND(Dayrun4&gt;=4,Dayrun4&lt;=9),0,VLOOKUP($A9,ScaledPrice4,9)))</f>
        <v>20.75</v>
      </c>
      <c r="F9" s="317" t="n">
        <f aca="false">IF(A9="N/A"," ",IF(OR(Dayrun4=2,Dayrun4=3,Dayrun4=5,Dayrun4=6,Dayrun4=8,Dayrun4=9),VLOOKUP(A9,ScaledPrice4,IF(Scaler4=1,6,5)),0))</f>
        <v>0</v>
      </c>
      <c r="G9" s="317" t="n">
        <f aca="false">IF(A9="N/A"," ",IF(OR(Dayrun4=2,Dayrun4=3,Dayrun4=5,Dayrun4=6),IF(Scaler4=2,F9,(VLOOKUP(A9,ScaledPrice4,5))*(2-(VLOOKUP(A9,ScaledPrice4,3)))),0))</f>
        <v>0</v>
      </c>
      <c r="H9" s="317" t="n">
        <f aca="false">IF($A9="N/A"," ",IF(OR(Dayrun4=2,Dayrun4=3,Dayrun4=10),VLOOKUP($A9,ScaledPrice4,9),0))</f>
        <v>0</v>
      </c>
      <c r="I9" s="317" t="n">
        <f aca="false">IF(A9="N/A"," ",IF(OR(Dayrun4=3,Dayrun4=6,Dayrun4=9),(VLOOKUP(A9,ScaledPrice4,IF(Scaler4=2,7,8))),0))</f>
        <v>0</v>
      </c>
      <c r="J9" s="317" t="n">
        <f aca="false">IF(A9="N/A"," ",IF(OR(Dayrun4=3,Dayrun4=6),IF(Scaler4=2,I9,(VLOOKUP(A9,ScaledPrice4,7))*(2-(VLOOKUP(A9,ScaledPrice4,3)))),0))</f>
        <v>0</v>
      </c>
      <c r="K9" s="317" t="n">
        <f aca="false">IF($A9="N/A"," ",IF(OR(Dayrun4=3,Dayrun4=10),VLOOKUP($A9,ScaledPrice4,9),0))</f>
        <v>0</v>
      </c>
      <c r="L9" s="318" t="e">
        <f aca="false">IF($A9="N/A"," ",IF(Pricetype4=2,MAX(C9,0),IF(OR(Pricetype4=1,Pricetype4=4),IF(C9=0,0,(EURO(C9,Strikeprice4,0,0,($AH9+IF(Smile=TRUE(),VLOOKUP(MAX(-5,Strikeprice4-C9),Volsmile,2),0)),($A9-DateToday)+15,IF(Pricetype4=1,1,0),0))),C9)))</f>
        <v>#NAME?</v>
      </c>
      <c r="M9" s="318" t="e">
        <f aca="false">IF($A9="N/A"," ",IF(Pricetype4=2,MAX(D9,0),IF(OR(Pricetype4=1,Pricetype4=4),IF(D9=0,0,(EURO(D9,Strikeprice4,0,0,($AH9+IF(Smile=TRUE(),VLOOKUP(MAX(-5,Strikeprice4-D9),Volsmile,2),0)),($A9-DateToday)+15,IF(Pricetype4=1,1,0),0))),D9)))</f>
        <v>#NAME?</v>
      </c>
      <c r="N9" s="318" t="e">
        <f aca="false">IF($A9="N/A"," ",IF(Pricetype4=2,MAX(E9,0),IF(OR(Pricetype4=1,Pricetype4=4),IF(E9=0,0,(EURO(E9,Strikeprice4,0,0,($AK9+IF(Smile=TRUE(),VLOOKUP(MAX(-5,Strikeprice4-E9),Volsmile,2),0)),($A9-DateToday)+15,IF(Pricetype4=1,1,0),0))),E9)))</f>
        <v>#NAME?</v>
      </c>
      <c r="O9" s="318" t="n">
        <f aca="false">IF($A9="N/A"," ",IF(Pricetype4=2,MAX(F9,0),IF(OR(Pricetype4=1,Pricetype4=4),IF(F9=0,0,(EURO(F9,Strikeprice4,0,0,($AK9+IF(Smile=TRUE(),VLOOKUP(MAX(-5,Strikeprice4-F9),Volsmile,2),0)),($A9-DateToday)+15,IF(Pricetype4=1,1,0),0))),F9)))</f>
        <v>0</v>
      </c>
      <c r="P9" s="318" t="n">
        <f aca="false">IF($A9="N/A"," ",IF(Pricetype4=2,MAX(G9,0),IF(OR(Pricetype4=1,Pricetype4=4),IF(G9=0,0,(EURO(G9,Strikeprice4,0,0,($AK9+IF(Smile=TRUE(),VLOOKUP(MAX(-5,Strikeprice4-G9),Volsmile,2),0)),($A9-DateToday)+15,IF(Pricetype4=1,1,0),0))),G9)))</f>
        <v>0</v>
      </c>
      <c r="Q9" s="318" t="n">
        <f aca="false">IF($A9="N/A"," ",IF(Pricetype4=2,MAX(H9,0),IF(OR(Pricetype4=1,Pricetype4=4),IF(H9=0,0,(EURO(H9,Strikeprice4,0,0,($AK9+IF(Smile=TRUE(),VLOOKUP(MAX(-5,Strikeprice4-H9),Volsmile,2),0)),($A9-DateToday)+15,IF(Pricetype4=1,1,0),0))),H9)))</f>
        <v>0</v>
      </c>
      <c r="R9" s="318" t="n">
        <f aca="false">IF($A9="N/A"," ",IF(Pricetype4=2,MAX(I9,0),IF(OR(Pricetype4=1,Pricetype4=4),IF(I9=0,0,(EURO(I9,Strikeprice4,0,0,($AK9+IF(Smile=TRUE(),VLOOKUP(MAX(-5,Strikeprice4-I9),Volsmile,2),0)),($A9-DateToday)+15,IF(Pricetype4=1,1,0),0))),I9)))</f>
        <v>0</v>
      </c>
      <c r="S9" s="318" t="n">
        <f aca="false">IF($A9="N/A"," ",IF(Pricetype4=2,MAX(J9,0),IF(OR(Pricetype4=1,Pricetype4=4),IF(J9=0,0,(EURO(J9,Strikeprice4,0,0,($AK9+IF(Smile=TRUE(),VLOOKUP(MAX(-5,Strikeprice4-J9),Volsmile,2),0)),($A9-DateToday)+15,IF(Pricetype4=1,1,0),0))),J9)))</f>
        <v>0</v>
      </c>
      <c r="T9" s="318" t="n">
        <f aca="false">IF($A9="N/A"," ",IF(Pricetype4=2,MAX(K9,0),IF(OR(Pricetype4=1,Pricetype4=4),IF(K9=0,0,(EURO(K9,Strikeprice4,0,0,($AK9+IF(Smile=TRUE(),VLOOKUP(MAX(-5,Strikeprice4-K9),Volsmile,2),0)),($A9-DateToday)+15,IF(Pricetype4=1,1,0),0))),K9)))</f>
        <v>0</v>
      </c>
      <c r="U9" s="319" t="e">
        <f aca="false">IF($A9="N/A"," ",Volume4*$AM9)</f>
        <v>#N/A</v>
      </c>
      <c r="V9" s="320" t="e">
        <f aca="false">IF($A9="N/A"," ",$U9*(8*($BQ9))*L9)</f>
        <v>#N/A</v>
      </c>
      <c r="W9" s="320" t="e">
        <f aca="false">IF($A9="N/A"," ",$U9*(8*($BQ9))*M9)</f>
        <v>#N/A</v>
      </c>
      <c r="X9" s="320" t="e">
        <f aca="false">IF($A9="N/A"," ",$U9*(8*($BQ9))*N9)</f>
        <v>#N/A</v>
      </c>
      <c r="Y9" s="320" t="e">
        <f aca="false">IF($A9="N/A"," ",$U9*(8*($BR9))*O9)</f>
        <v>#N/A</v>
      </c>
      <c r="Z9" s="320" t="e">
        <f aca="false">IF($A9="N/A"," ",$U9*(8*($BR9))*P9)</f>
        <v>#N/A</v>
      </c>
      <c r="AA9" s="320" t="e">
        <f aca="false">IF($A9="N/A"," ",$U9*(8*($BR9))*Q9)</f>
        <v>#N/A</v>
      </c>
      <c r="AB9" s="320" t="e">
        <f aca="false">IF($A9="N/A"," ",$U9*(8*($BS9))*R9)</f>
        <v>#N/A</v>
      </c>
      <c r="AC9" s="320" t="e">
        <f aca="false">IF($A9="N/A"," ",$U9*(8*($BS9))*S9)</f>
        <v>#N/A</v>
      </c>
      <c r="AD9" s="320" t="e">
        <f aca="false">IF($A9="N/A"," ",$U9*(8*($BS9))*T9)</f>
        <v>#N/A</v>
      </c>
      <c r="AE9" s="320" t="e">
        <f aca="false">IF($A9="N/A"," ",SUM(V9:AD9))</f>
        <v>#N/A</v>
      </c>
      <c r="AF9" s="321" t="n">
        <f aca="false">IF(A9="N/A"," ",(VLOOKUP(A9,PowerVolTable,(IF(VolBMO4=2,7,IF(VolBMO4=1,6,8))),FALSE())))</f>
        <v>0.42</v>
      </c>
      <c r="AG9" s="321" t="n">
        <f aca="false">IF(A9="N/A"," ",(VLOOKUP(A9,IntraPowerVol,(IF(VolBMO4=2,3,IF(VolBMO4=1,2,4))),FALSE())*VLOOKUP(MONTH($A9),Volscale,2)))</f>
        <v>0.9</v>
      </c>
      <c r="AH9" s="321" t="n">
        <f aca="false">IF($A9="N/A"," ",IF(VolType4=1,AG9,AF9))</f>
        <v>0.9</v>
      </c>
      <c r="AI9" s="321" t="n">
        <f aca="false">IF($A9="N/A"," ",(VLOOKUP($A9,OffPwrVolTable,(IF(VolBMO4=2,7,IF(VolBMO4=1,6,8))),FALSE())))</f>
        <v>0.21</v>
      </c>
      <c r="AJ9" s="321" t="n">
        <f aca="false">IF($A9="N/A"," ",(VLOOKUP($A9,OffPwrVolTable,(IF(VolBMO4=2,3,IF(VolBMO4=1,2,4))),FALSE())*VLOOKUP(MONTH($A9),Volscale,2)))</f>
        <v>0.54</v>
      </c>
      <c r="AK9" s="321" t="n">
        <f aca="false">IF($A9="N/A"," ",IF(VolType4=1,AJ9,AI9))</f>
        <v>0.54</v>
      </c>
      <c r="AL9" s="321" t="e">
        <f aca="false">IF($A9="N/A"," ",IF(PV=1,0,'Pricing Inputs4'!R42))</f>
        <v>#N/A</v>
      </c>
      <c r="AM9" s="323" t="e">
        <f aca="false">IF($A9="N/A"," ",(1+AL9/2)^(-2*((EOMONTH(A9,0)+20)-DateToday)/365.25))</f>
        <v>#N/A</v>
      </c>
      <c r="BQ9" s="0" t="n">
        <f aca="false">IF($A9="N/A"," ",(VLOOKUP($A9,NumberofDaysTable,2)))</f>
        <v>20</v>
      </c>
      <c r="BR9" s="0" t="n">
        <f aca="false">IF($A9="N/A"," ",(VLOOKUP($A9,NumberofDaysTable,3)))</f>
        <v>5</v>
      </c>
      <c r="BS9" s="0" t="n">
        <f aca="false">IF($A9="N/A"," ",(VLOOKUP($A9,NumberofDaysTable,4)))</f>
        <v>5</v>
      </c>
    </row>
    <row r="10" customFormat="false" ht="12.75" hidden="false" customHeight="false" outlineLevel="0" collapsed="false">
      <c r="A10" s="315" t="n">
        <f aca="false">IF(A9="N/A","N/A",IF(EDATE(A9,1)&gt;Inputs!$R$5,"N/A",EDATE(A9,1)))</f>
        <v>37438</v>
      </c>
      <c r="B10" s="316" t="n">
        <f aca="false">IF(A10="N/A"," ",YEAR(A10))</f>
        <v>2002</v>
      </c>
      <c r="C10" s="317" t="n">
        <f aca="false">IF($A10="N/A"," ",IF(Dayrun4=10,0,IF(Scaler4=1,(VLOOKUP(A10,ScaledPrice4,4)),(VLOOKUP(A10,ScaledPrice4,2)))))</f>
        <v>62.25</v>
      </c>
      <c r="D10" s="317" t="n">
        <f aca="false">IF(A10="N/A"," ",IF(Dayrun4&gt;=7,0,IF(Scaler4=2,VLOOKUP(A10,ScaledPrice4,2),(VLOOKUP(A10,ScaledPrice4,2))*(2-(VLOOKUP(A10,ScaledPrice4,3))))))</f>
        <v>62.25</v>
      </c>
      <c r="E10" s="317" t="n">
        <f aca="false">IF($A10="N/A"," ",IF(AND(Dayrun4&gt;=4,Dayrun4&lt;=9),0,VLOOKUP($A10,ScaledPrice4,9)))</f>
        <v>21.25</v>
      </c>
      <c r="F10" s="317" t="n">
        <f aca="false">IF(A10="N/A"," ",IF(OR(Dayrun4=2,Dayrun4=3,Dayrun4=5,Dayrun4=6,Dayrun4=8,Dayrun4=9),VLOOKUP(A10,ScaledPrice4,IF(Scaler4=1,6,5)),0))</f>
        <v>0</v>
      </c>
      <c r="G10" s="317" t="n">
        <f aca="false">IF(A10="N/A"," ",IF(OR(Dayrun4=2,Dayrun4=3,Dayrun4=5,Dayrun4=6),IF(Scaler4=2,F10,(VLOOKUP(A10,ScaledPrice4,5))*(2-(VLOOKUP(A10,ScaledPrice4,3)))),0))</f>
        <v>0</v>
      </c>
      <c r="H10" s="317" t="n">
        <f aca="false">IF($A10="N/A"," ",IF(OR(Dayrun4=2,Dayrun4=3,Dayrun4=10),VLOOKUP($A10,ScaledPrice4,9),0))</f>
        <v>0</v>
      </c>
      <c r="I10" s="317" t="n">
        <f aca="false">IF(A10="N/A"," ",IF(OR(Dayrun4=3,Dayrun4=6,Dayrun4=9),(VLOOKUP(A10,ScaledPrice4,IF(Scaler4=2,7,8))),0))</f>
        <v>0</v>
      </c>
      <c r="J10" s="317" t="n">
        <f aca="false">IF(A10="N/A"," ",IF(OR(Dayrun4=3,Dayrun4=6),IF(Scaler4=2,I10,(VLOOKUP(A10,ScaledPrice4,7))*(2-(VLOOKUP(A10,ScaledPrice4,3)))),0))</f>
        <v>0</v>
      </c>
      <c r="K10" s="317" t="n">
        <f aca="false">IF($A10="N/A"," ",IF(OR(Dayrun4=3,Dayrun4=10),VLOOKUP($A10,ScaledPrice4,9),0))</f>
        <v>0</v>
      </c>
      <c r="L10" s="318" t="e">
        <f aca="false">IF($A10="N/A"," ",IF(Pricetype4=2,MAX(C10,0),IF(OR(Pricetype4=1,Pricetype4=4),IF(C10=0,0,(EURO(C10,Strikeprice4,0,0,($AH10+IF(Smile=TRUE(),VLOOKUP(MAX(-5,Strikeprice4-C10),Volsmile,2),0)),($A10-DateToday)+15,IF(Pricetype4=1,1,0),0))),C10)))</f>
        <v>#NAME?</v>
      </c>
      <c r="M10" s="318" t="e">
        <f aca="false">IF($A10="N/A"," ",IF(Pricetype4=2,MAX(D10,0),IF(OR(Pricetype4=1,Pricetype4=4),IF(D10=0,0,(EURO(D10,Strikeprice4,0,0,($AH10+IF(Smile=TRUE(),VLOOKUP(MAX(-5,Strikeprice4-D10),Volsmile,2),0)),($A10-DateToday)+15,IF(Pricetype4=1,1,0),0))),D10)))</f>
        <v>#NAME?</v>
      </c>
      <c r="N10" s="318" t="e">
        <f aca="false">IF($A10="N/A"," ",IF(Pricetype4=2,MAX(E10,0),IF(OR(Pricetype4=1,Pricetype4=4),IF(E10=0,0,(EURO(E10,Strikeprice4,0,0,($AK10+IF(Smile=TRUE(),VLOOKUP(MAX(-5,Strikeprice4-E10),Volsmile,2),0)),($A10-DateToday)+15,IF(Pricetype4=1,1,0),0))),E10)))</f>
        <v>#NAME?</v>
      </c>
      <c r="O10" s="318" t="n">
        <f aca="false">IF($A10="N/A"," ",IF(Pricetype4=2,MAX(F10,0),IF(OR(Pricetype4=1,Pricetype4=4),IF(F10=0,0,(EURO(F10,Strikeprice4,0,0,($AK10+IF(Smile=TRUE(),VLOOKUP(MAX(-5,Strikeprice4-F10),Volsmile,2),0)),($A10-DateToday)+15,IF(Pricetype4=1,1,0),0))),F10)))</f>
        <v>0</v>
      </c>
      <c r="P10" s="318" t="n">
        <f aca="false">IF($A10="N/A"," ",IF(Pricetype4=2,MAX(G10,0),IF(OR(Pricetype4=1,Pricetype4=4),IF(G10=0,0,(EURO(G10,Strikeprice4,0,0,($AK10+IF(Smile=TRUE(),VLOOKUP(MAX(-5,Strikeprice4-G10),Volsmile,2),0)),($A10-DateToday)+15,IF(Pricetype4=1,1,0),0))),G10)))</f>
        <v>0</v>
      </c>
      <c r="Q10" s="318" t="n">
        <f aca="false">IF($A10="N/A"," ",IF(Pricetype4=2,MAX(H10,0),IF(OR(Pricetype4=1,Pricetype4=4),IF(H10=0,0,(EURO(H10,Strikeprice4,0,0,($AK10+IF(Smile=TRUE(),VLOOKUP(MAX(-5,Strikeprice4-H10),Volsmile,2),0)),($A10-DateToday)+15,IF(Pricetype4=1,1,0),0))),H10)))</f>
        <v>0</v>
      </c>
      <c r="R10" s="318" t="n">
        <f aca="false">IF($A10="N/A"," ",IF(Pricetype4=2,MAX(I10,0),IF(OR(Pricetype4=1,Pricetype4=4),IF(I10=0,0,(EURO(I10,Strikeprice4,0,0,($AK10+IF(Smile=TRUE(),VLOOKUP(MAX(-5,Strikeprice4-I10),Volsmile,2),0)),($A10-DateToday)+15,IF(Pricetype4=1,1,0),0))),I10)))</f>
        <v>0</v>
      </c>
      <c r="S10" s="318" t="n">
        <f aca="false">IF($A10="N/A"," ",IF(Pricetype4=2,MAX(J10,0),IF(OR(Pricetype4=1,Pricetype4=4),IF(J10=0,0,(EURO(J10,Strikeprice4,0,0,($AK10+IF(Smile=TRUE(),VLOOKUP(MAX(-5,Strikeprice4-J10),Volsmile,2),0)),($A10-DateToday)+15,IF(Pricetype4=1,1,0),0))),J10)))</f>
        <v>0</v>
      </c>
      <c r="T10" s="318" t="n">
        <f aca="false">IF($A10="N/A"," ",IF(Pricetype4=2,MAX(K10,0),IF(OR(Pricetype4=1,Pricetype4=4),IF(K10=0,0,(EURO(K10,Strikeprice4,0,0,($AK10+IF(Smile=TRUE(),VLOOKUP(MAX(-5,Strikeprice4-K10),Volsmile,2),0)),($A10-DateToday)+15,IF(Pricetype4=1,1,0),0))),K10)))</f>
        <v>0</v>
      </c>
      <c r="U10" s="319" t="e">
        <f aca="false">IF($A10="N/A"," ",Volume4*$AM10)</f>
        <v>#N/A</v>
      </c>
      <c r="V10" s="320" t="e">
        <f aca="false">IF($A10="N/A"," ",$U10*(8*($BQ10))*L10)</f>
        <v>#N/A</v>
      </c>
      <c r="W10" s="320" t="e">
        <f aca="false">IF($A10="N/A"," ",$U10*(8*($BQ10))*M10)</f>
        <v>#N/A</v>
      </c>
      <c r="X10" s="320" t="e">
        <f aca="false">IF($A10="N/A"," ",$U10*(8*($BQ10))*N10)</f>
        <v>#N/A</v>
      </c>
      <c r="Y10" s="320" t="e">
        <f aca="false">IF($A10="N/A"," ",$U10*(8*($BR10))*O10)</f>
        <v>#N/A</v>
      </c>
      <c r="Z10" s="320" t="e">
        <f aca="false">IF($A10="N/A"," ",$U10*(8*($BR10))*P10)</f>
        <v>#N/A</v>
      </c>
      <c r="AA10" s="320" t="e">
        <f aca="false">IF($A10="N/A"," ",$U10*(8*($BR10))*Q10)</f>
        <v>#N/A</v>
      </c>
      <c r="AB10" s="320" t="e">
        <f aca="false">IF($A10="N/A"," ",$U10*(8*($BS10))*R10)</f>
        <v>#N/A</v>
      </c>
      <c r="AC10" s="320" t="e">
        <f aca="false">IF($A10="N/A"," ",$U10*(8*($BS10))*S10)</f>
        <v>#N/A</v>
      </c>
      <c r="AD10" s="320" t="e">
        <f aca="false">IF($A10="N/A"," ",$U10*(8*($BS10))*T10)</f>
        <v>#N/A</v>
      </c>
      <c r="AE10" s="320" t="e">
        <f aca="false">IF($A10="N/A"," ",SUM(V10:AD10))</f>
        <v>#N/A</v>
      </c>
      <c r="AF10" s="321" t="n">
        <f aca="false">IF(A10="N/A"," ",(VLOOKUP(A10,PowerVolTable,(IF(VolBMO4=2,7,IF(VolBMO4=1,6,8))),FALSE())))</f>
        <v>0.54</v>
      </c>
      <c r="AG10" s="321" t="n">
        <f aca="false">IF(A10="N/A"," ",(VLOOKUP(A10,IntraPowerVol,(IF(VolBMO4=2,3,IF(VolBMO4=1,2,4))),FALSE())*VLOOKUP(MONTH($A10),Volscale,2)))</f>
        <v>1.08</v>
      </c>
      <c r="AH10" s="321" t="n">
        <f aca="false">IF($A10="N/A"," ",IF(VolType4=1,AG10,AF10))</f>
        <v>1.08</v>
      </c>
      <c r="AI10" s="321" t="n">
        <f aca="false">IF($A10="N/A"," ",(VLOOKUP($A10,OffPwrVolTable,(IF(VolBMO4=2,7,IF(VolBMO4=1,6,8))),FALSE())))</f>
        <v>0.27</v>
      </c>
      <c r="AJ10" s="321" t="n">
        <f aca="false">IF($A10="N/A"," ",(VLOOKUP($A10,OffPwrVolTable,(IF(VolBMO4=2,3,IF(VolBMO4=1,2,4))),FALSE())*VLOOKUP(MONTH($A10),Volscale,2)))</f>
        <v>0.648</v>
      </c>
      <c r="AK10" s="321" t="n">
        <f aca="false">IF($A10="N/A"," ",IF(VolType4=1,AJ10,AI10))</f>
        <v>0.648</v>
      </c>
      <c r="AL10" s="321" t="e">
        <f aca="false">IF($A10="N/A"," ",IF(PV=1,0,'Pricing Inputs4'!R43))</f>
        <v>#N/A</v>
      </c>
      <c r="AM10" s="323" t="e">
        <f aca="false">IF($A10="N/A"," ",(1+AL10/2)^(-2*((EOMONTH(A10,0)+20)-DateToday)/365.25))</f>
        <v>#N/A</v>
      </c>
      <c r="BQ10" s="0" t="n">
        <f aca="false">IF($A10="N/A"," ",(VLOOKUP($A10,NumberofDaysTable,2)))</f>
        <v>22</v>
      </c>
      <c r="BR10" s="0" t="n">
        <f aca="false">IF($A10="N/A"," ",(VLOOKUP($A10,NumberofDaysTable,3)))</f>
        <v>4</v>
      </c>
      <c r="BS10" s="0" t="n">
        <f aca="false">IF($A10="N/A"," ",(VLOOKUP($A10,NumberofDaysTable,4)))</f>
        <v>5</v>
      </c>
    </row>
    <row r="11" customFormat="false" ht="12.75" hidden="false" customHeight="false" outlineLevel="0" collapsed="false">
      <c r="A11" s="315" t="n">
        <f aca="false">IF(A10="N/A","N/A",IF(EDATE(A10,1)&gt;Inputs!$R$5,"N/A",EDATE(A10,1)))</f>
        <v>37469</v>
      </c>
      <c r="B11" s="316" t="n">
        <f aca="false">IF(A11="N/A"," ",YEAR(A11))</f>
        <v>2002</v>
      </c>
      <c r="C11" s="317" t="n">
        <f aca="false">IF($A11="N/A"," ",IF(Dayrun4=10,0,IF(Scaler4=1,(VLOOKUP(A11,ScaledPrice4,4)),(VLOOKUP(A11,ScaledPrice4,2)))))</f>
        <v>62.25</v>
      </c>
      <c r="D11" s="317" t="n">
        <f aca="false">IF(A11="N/A"," ",IF(Dayrun4&gt;=7,0,IF(Scaler4=2,VLOOKUP(A11,ScaledPrice4,2),(VLOOKUP(A11,ScaledPrice4,2))*(2-(VLOOKUP(A11,ScaledPrice4,3))))))</f>
        <v>62.25</v>
      </c>
      <c r="E11" s="317" t="n">
        <f aca="false">IF($A11="N/A"," ",IF(AND(Dayrun4&gt;=4,Dayrun4&lt;=9),0,VLOOKUP($A11,ScaledPrice4,9)))</f>
        <v>22.25</v>
      </c>
      <c r="F11" s="317" t="n">
        <f aca="false">IF(A11="N/A"," ",IF(OR(Dayrun4=2,Dayrun4=3,Dayrun4=5,Dayrun4=6,Dayrun4=8,Dayrun4=9),VLOOKUP(A11,ScaledPrice4,IF(Scaler4=1,6,5)),0))</f>
        <v>0</v>
      </c>
      <c r="G11" s="317" t="n">
        <f aca="false">IF(A11="N/A"," ",IF(OR(Dayrun4=2,Dayrun4=3,Dayrun4=5,Dayrun4=6),IF(Scaler4=2,F11,(VLOOKUP(A11,ScaledPrice4,5))*(2-(VLOOKUP(A11,ScaledPrice4,3)))),0))</f>
        <v>0</v>
      </c>
      <c r="H11" s="317" t="n">
        <f aca="false">IF($A11="N/A"," ",IF(OR(Dayrun4=2,Dayrun4=3,Dayrun4=10),VLOOKUP($A11,ScaledPrice4,9),0))</f>
        <v>0</v>
      </c>
      <c r="I11" s="317" t="n">
        <f aca="false">IF(A11="N/A"," ",IF(OR(Dayrun4=3,Dayrun4=6,Dayrun4=9),(VLOOKUP(A11,ScaledPrice4,IF(Scaler4=2,7,8))),0))</f>
        <v>0</v>
      </c>
      <c r="J11" s="317" t="n">
        <f aca="false">IF(A11="N/A"," ",IF(OR(Dayrun4=3,Dayrun4=6),IF(Scaler4=2,I11,(VLOOKUP(A11,ScaledPrice4,7))*(2-(VLOOKUP(A11,ScaledPrice4,3)))),0))</f>
        <v>0</v>
      </c>
      <c r="K11" s="317" t="n">
        <f aca="false">IF($A11="N/A"," ",IF(OR(Dayrun4=3,Dayrun4=10),VLOOKUP($A11,ScaledPrice4,9),0))</f>
        <v>0</v>
      </c>
      <c r="L11" s="318" t="e">
        <f aca="false">IF($A11="N/A"," ",IF(Pricetype4=2,MAX(C11,0),IF(OR(Pricetype4=1,Pricetype4=4),IF(C11=0,0,(EURO(C11,Strikeprice4,0,0,($AH11+IF(Smile=TRUE(),VLOOKUP(MAX(-5,Strikeprice4-C11),Volsmile,2),0)),($A11-DateToday)+15,IF(Pricetype4=1,1,0),0))),C11)))</f>
        <v>#NAME?</v>
      </c>
      <c r="M11" s="318" t="e">
        <f aca="false">IF($A11="N/A"," ",IF(Pricetype4=2,MAX(D11,0),IF(OR(Pricetype4=1,Pricetype4=4),IF(D11=0,0,(EURO(D11,Strikeprice4,0,0,($AH11+IF(Smile=TRUE(),VLOOKUP(MAX(-5,Strikeprice4-D11),Volsmile,2),0)),($A11-DateToday)+15,IF(Pricetype4=1,1,0),0))),D11)))</f>
        <v>#NAME?</v>
      </c>
      <c r="N11" s="318" t="e">
        <f aca="false">IF($A11="N/A"," ",IF(Pricetype4=2,MAX(E11,0),IF(OR(Pricetype4=1,Pricetype4=4),IF(E11=0,0,(EURO(E11,Strikeprice4,0,0,($AK11+IF(Smile=TRUE(),VLOOKUP(MAX(-5,Strikeprice4-E11),Volsmile,2),0)),($A11-DateToday)+15,IF(Pricetype4=1,1,0),0))),E11)))</f>
        <v>#NAME?</v>
      </c>
      <c r="O11" s="318" t="n">
        <f aca="false">IF($A11="N/A"," ",IF(Pricetype4=2,MAX(F11,0),IF(OR(Pricetype4=1,Pricetype4=4),IF(F11=0,0,(EURO(F11,Strikeprice4,0,0,($AK11+IF(Smile=TRUE(),VLOOKUP(MAX(-5,Strikeprice4-F11),Volsmile,2),0)),($A11-DateToday)+15,IF(Pricetype4=1,1,0),0))),F11)))</f>
        <v>0</v>
      </c>
      <c r="P11" s="318" t="n">
        <f aca="false">IF($A11="N/A"," ",IF(Pricetype4=2,MAX(G11,0),IF(OR(Pricetype4=1,Pricetype4=4),IF(G11=0,0,(EURO(G11,Strikeprice4,0,0,($AK11+IF(Smile=TRUE(),VLOOKUP(MAX(-5,Strikeprice4-G11),Volsmile,2),0)),($A11-DateToday)+15,IF(Pricetype4=1,1,0),0))),G11)))</f>
        <v>0</v>
      </c>
      <c r="Q11" s="318" t="n">
        <f aca="false">IF($A11="N/A"," ",IF(Pricetype4=2,MAX(H11,0),IF(OR(Pricetype4=1,Pricetype4=4),IF(H11=0,0,(EURO(H11,Strikeprice4,0,0,($AK11+IF(Smile=TRUE(),VLOOKUP(MAX(-5,Strikeprice4-H11),Volsmile,2),0)),($A11-DateToday)+15,IF(Pricetype4=1,1,0),0))),H11)))</f>
        <v>0</v>
      </c>
      <c r="R11" s="318" t="n">
        <f aca="false">IF($A11="N/A"," ",IF(Pricetype4=2,MAX(I11,0),IF(OR(Pricetype4=1,Pricetype4=4),IF(I11=0,0,(EURO(I11,Strikeprice4,0,0,($AK11+IF(Smile=TRUE(),VLOOKUP(MAX(-5,Strikeprice4-I11),Volsmile,2),0)),($A11-DateToday)+15,IF(Pricetype4=1,1,0),0))),I11)))</f>
        <v>0</v>
      </c>
      <c r="S11" s="318" t="n">
        <f aca="false">IF($A11="N/A"," ",IF(Pricetype4=2,MAX(J11,0),IF(OR(Pricetype4=1,Pricetype4=4),IF(J11=0,0,(EURO(J11,Strikeprice4,0,0,($AK11+IF(Smile=TRUE(),VLOOKUP(MAX(-5,Strikeprice4-J11),Volsmile,2),0)),($A11-DateToday)+15,IF(Pricetype4=1,1,0),0))),J11)))</f>
        <v>0</v>
      </c>
      <c r="T11" s="318" t="n">
        <f aca="false">IF($A11="N/A"," ",IF(Pricetype4=2,MAX(K11,0),IF(OR(Pricetype4=1,Pricetype4=4),IF(K11=0,0,(EURO(K11,Strikeprice4,0,0,($AK11+IF(Smile=TRUE(),VLOOKUP(MAX(-5,Strikeprice4-K11),Volsmile,2),0)),($A11-DateToday)+15,IF(Pricetype4=1,1,0),0))),K11)))</f>
        <v>0</v>
      </c>
      <c r="U11" s="319" t="e">
        <f aca="false">IF($A11="N/A"," ",Volume4*$AM11)</f>
        <v>#N/A</v>
      </c>
      <c r="V11" s="320" t="e">
        <f aca="false">IF($A11="N/A"," ",$U11*(8*($BQ11))*L11)</f>
        <v>#N/A</v>
      </c>
      <c r="W11" s="320" t="e">
        <f aca="false">IF($A11="N/A"," ",$U11*(8*($BQ11))*M11)</f>
        <v>#N/A</v>
      </c>
      <c r="X11" s="320" t="e">
        <f aca="false">IF($A11="N/A"," ",$U11*(8*($BQ11))*N11)</f>
        <v>#N/A</v>
      </c>
      <c r="Y11" s="320" t="e">
        <f aca="false">IF($A11="N/A"," ",$U11*(8*($BR11))*O11)</f>
        <v>#N/A</v>
      </c>
      <c r="Z11" s="320" t="e">
        <f aca="false">IF($A11="N/A"," ",$U11*(8*($BR11))*P11)</f>
        <v>#N/A</v>
      </c>
      <c r="AA11" s="320" t="e">
        <f aca="false">IF($A11="N/A"," ",$U11*(8*($BR11))*Q11)</f>
        <v>#N/A</v>
      </c>
      <c r="AB11" s="320" t="e">
        <f aca="false">IF($A11="N/A"," ",$U11*(8*($BS11))*R11)</f>
        <v>#N/A</v>
      </c>
      <c r="AC11" s="320" t="e">
        <f aca="false">IF($A11="N/A"," ",$U11*(8*($BS11))*S11)</f>
        <v>#N/A</v>
      </c>
      <c r="AD11" s="320" t="e">
        <f aca="false">IF($A11="N/A"," ",$U11*(8*($BS11))*T11)</f>
        <v>#N/A</v>
      </c>
      <c r="AE11" s="320" t="e">
        <f aca="false">IF($A11="N/A"," ",SUM(V11:AD11))</f>
        <v>#N/A</v>
      </c>
      <c r="AF11" s="321" t="n">
        <f aca="false">IF(A11="N/A"," ",(VLOOKUP(A11,PowerVolTable,(IF(VolBMO4=2,7,IF(VolBMO4=1,6,8))),FALSE())))</f>
        <v>0.54</v>
      </c>
      <c r="AG11" s="321" t="n">
        <f aca="false">IF(A11="N/A"," ",(VLOOKUP(A11,IntraPowerVol,(IF(VolBMO4=2,3,IF(VolBMO4=1,2,4))),FALSE())*VLOOKUP(MONTH($A11),Volscale,2)))</f>
        <v>1.08</v>
      </c>
      <c r="AH11" s="321" t="n">
        <f aca="false">IF($A11="N/A"," ",IF(VolType4=1,AG11,AF11))</f>
        <v>1.08</v>
      </c>
      <c r="AI11" s="321" t="n">
        <f aca="false">IF($A11="N/A"," ",(VLOOKUP($A11,OffPwrVolTable,(IF(VolBMO4=2,7,IF(VolBMO4=1,6,8))),FALSE())))</f>
        <v>0.27</v>
      </c>
      <c r="AJ11" s="321" t="n">
        <f aca="false">IF($A11="N/A"," ",(VLOOKUP($A11,OffPwrVolTable,(IF(VolBMO4=2,3,IF(VolBMO4=1,2,4))),FALSE())*VLOOKUP(MONTH($A11),Volscale,2)))</f>
        <v>0.648</v>
      </c>
      <c r="AK11" s="321" t="n">
        <f aca="false">IF($A11="N/A"," ",IF(VolType4=1,AJ11,AI11))</f>
        <v>0.648</v>
      </c>
      <c r="AL11" s="321" t="e">
        <f aca="false">IF($A11="N/A"," ",IF(PV=1,0,'Pricing Inputs4'!R44))</f>
        <v>#N/A</v>
      </c>
      <c r="AM11" s="323" t="e">
        <f aca="false">IF($A11="N/A"," ",(1+AL11/2)^(-2*((EOMONTH(A11,0)+20)-DateToday)/365.25))</f>
        <v>#N/A</v>
      </c>
      <c r="BQ11" s="0" t="n">
        <f aca="false">IF($A11="N/A"," ",(VLOOKUP($A11,NumberofDaysTable,2)))</f>
        <v>22</v>
      </c>
      <c r="BR11" s="0" t="n">
        <f aca="false">IF($A11="N/A"," ",(VLOOKUP($A11,NumberofDaysTable,3)))</f>
        <v>5</v>
      </c>
      <c r="BS11" s="0" t="n">
        <f aca="false">IF($A11="N/A"," ",(VLOOKUP($A11,NumberofDaysTable,4)))</f>
        <v>4</v>
      </c>
    </row>
    <row r="12" customFormat="false" ht="12.75" hidden="false" customHeight="false" outlineLevel="0" collapsed="false">
      <c r="A12" s="315" t="n">
        <f aca="false">IF(A11="N/A","N/A",IF(EDATE(A11,1)&gt;Inputs!$R$5,"N/A",EDATE(A11,1)))</f>
        <v>37500</v>
      </c>
      <c r="B12" s="316" t="n">
        <f aca="false">IF(A12="N/A"," ",YEAR(A12))</f>
        <v>2002</v>
      </c>
      <c r="C12" s="317" t="n">
        <f aca="false">IF($A12="N/A"," ",IF(Dayrun4=10,0,IF(Scaler4=1,(VLOOKUP(A12,ScaledPrice4,4)),(VLOOKUP(A12,ScaledPrice4,2)))))</f>
        <v>29.25</v>
      </c>
      <c r="D12" s="317" t="n">
        <f aca="false">IF(A12="N/A"," ",IF(Dayrun4&gt;=7,0,IF(Scaler4=2,VLOOKUP(A12,ScaledPrice4,2),(VLOOKUP(A12,ScaledPrice4,2))*(2-(VLOOKUP(A12,ScaledPrice4,3))))))</f>
        <v>29.25</v>
      </c>
      <c r="E12" s="317" t="n">
        <f aca="false">IF($A12="N/A"," ",IF(AND(Dayrun4&gt;=4,Dayrun4&lt;=9),0,VLOOKUP($A12,ScaledPrice4,9)))</f>
        <v>16.25</v>
      </c>
      <c r="F12" s="317" t="n">
        <f aca="false">IF(A12="N/A"," ",IF(OR(Dayrun4=2,Dayrun4=3,Dayrun4=5,Dayrun4=6,Dayrun4=8,Dayrun4=9),VLOOKUP(A12,ScaledPrice4,IF(Scaler4=1,6,5)),0))</f>
        <v>0</v>
      </c>
      <c r="G12" s="317" t="n">
        <f aca="false">IF(A12="N/A"," ",IF(OR(Dayrun4=2,Dayrun4=3,Dayrun4=5,Dayrun4=6),IF(Scaler4=2,F12,(VLOOKUP(A12,ScaledPrice4,5))*(2-(VLOOKUP(A12,ScaledPrice4,3)))),0))</f>
        <v>0</v>
      </c>
      <c r="H12" s="317" t="n">
        <f aca="false">IF($A12="N/A"," ",IF(OR(Dayrun4=2,Dayrun4=3,Dayrun4=10),VLOOKUP($A12,ScaledPrice4,9),0))</f>
        <v>0</v>
      </c>
      <c r="I12" s="317" t="n">
        <f aca="false">IF(A12="N/A"," ",IF(OR(Dayrun4=3,Dayrun4=6,Dayrun4=9),(VLOOKUP(A12,ScaledPrice4,IF(Scaler4=2,7,8))),0))</f>
        <v>0</v>
      </c>
      <c r="J12" s="317" t="n">
        <f aca="false">IF(A12="N/A"," ",IF(OR(Dayrun4=3,Dayrun4=6),IF(Scaler4=2,I12,(VLOOKUP(A12,ScaledPrice4,7))*(2-(VLOOKUP(A12,ScaledPrice4,3)))),0))</f>
        <v>0</v>
      </c>
      <c r="K12" s="317" t="n">
        <f aca="false">IF($A12="N/A"," ",IF(OR(Dayrun4=3,Dayrun4=10),VLOOKUP($A12,ScaledPrice4,9),0))</f>
        <v>0</v>
      </c>
      <c r="L12" s="318" t="e">
        <f aca="false">IF($A12="N/A"," ",IF(Pricetype4=2,MAX(C12,0),IF(OR(Pricetype4=1,Pricetype4=4),IF(C12=0,0,(EURO(C12,Strikeprice4,0,0,($AH12+IF(Smile=TRUE(),VLOOKUP(MAX(-5,Strikeprice4-C12),Volsmile,2),0)),($A12-DateToday)+15,IF(Pricetype4=1,1,0),0))),C12)))</f>
        <v>#NAME?</v>
      </c>
      <c r="M12" s="318" t="e">
        <f aca="false">IF($A12="N/A"," ",IF(Pricetype4=2,MAX(D12,0),IF(OR(Pricetype4=1,Pricetype4=4),IF(D12=0,0,(EURO(D12,Strikeprice4,0,0,($AH12+IF(Smile=TRUE(),VLOOKUP(MAX(-5,Strikeprice4-D12),Volsmile,2),0)),($A12-DateToday)+15,IF(Pricetype4=1,1,0),0))),D12)))</f>
        <v>#NAME?</v>
      </c>
      <c r="N12" s="318" t="e">
        <f aca="false">IF($A12="N/A"," ",IF(Pricetype4=2,MAX(E12,0),IF(OR(Pricetype4=1,Pricetype4=4),IF(E12=0,0,(EURO(E12,Strikeprice4,0,0,($AK12+IF(Smile=TRUE(),VLOOKUP(MAX(-5,Strikeprice4-E12),Volsmile,2),0)),($A12-DateToday)+15,IF(Pricetype4=1,1,0),0))),E12)))</f>
        <v>#NAME?</v>
      </c>
      <c r="O12" s="318" t="n">
        <f aca="false">IF($A12="N/A"," ",IF(Pricetype4=2,MAX(F12,0),IF(OR(Pricetype4=1,Pricetype4=4),IF(F12=0,0,(EURO(F12,Strikeprice4,0,0,($AK12+IF(Smile=TRUE(),VLOOKUP(MAX(-5,Strikeprice4-F12),Volsmile,2),0)),($A12-DateToday)+15,IF(Pricetype4=1,1,0),0))),F12)))</f>
        <v>0</v>
      </c>
      <c r="P12" s="318" t="n">
        <f aca="false">IF($A12="N/A"," ",IF(Pricetype4=2,MAX(G12,0),IF(OR(Pricetype4=1,Pricetype4=4),IF(G12=0,0,(EURO(G12,Strikeprice4,0,0,($AK12+IF(Smile=TRUE(),VLOOKUP(MAX(-5,Strikeprice4-G12),Volsmile,2),0)),($A12-DateToday)+15,IF(Pricetype4=1,1,0),0))),G12)))</f>
        <v>0</v>
      </c>
      <c r="Q12" s="318" t="n">
        <f aca="false">IF($A12="N/A"," ",IF(Pricetype4=2,MAX(H12,0),IF(OR(Pricetype4=1,Pricetype4=4),IF(H12=0,0,(EURO(H12,Strikeprice4,0,0,($AK12+IF(Smile=TRUE(),VLOOKUP(MAX(-5,Strikeprice4-H12),Volsmile,2),0)),($A12-DateToday)+15,IF(Pricetype4=1,1,0),0))),H12)))</f>
        <v>0</v>
      </c>
      <c r="R12" s="318" t="n">
        <f aca="false">IF($A12="N/A"," ",IF(Pricetype4=2,MAX(I12,0),IF(OR(Pricetype4=1,Pricetype4=4),IF(I12=0,0,(EURO(I12,Strikeprice4,0,0,($AK12+IF(Smile=TRUE(),VLOOKUP(MAX(-5,Strikeprice4-I12),Volsmile,2),0)),($A12-DateToday)+15,IF(Pricetype4=1,1,0),0))),I12)))</f>
        <v>0</v>
      </c>
      <c r="S12" s="318" t="n">
        <f aca="false">IF($A12="N/A"," ",IF(Pricetype4=2,MAX(J12,0),IF(OR(Pricetype4=1,Pricetype4=4),IF(J12=0,0,(EURO(J12,Strikeprice4,0,0,($AK12+IF(Smile=TRUE(),VLOOKUP(MAX(-5,Strikeprice4-J12),Volsmile,2),0)),($A12-DateToday)+15,IF(Pricetype4=1,1,0),0))),J12)))</f>
        <v>0</v>
      </c>
      <c r="T12" s="318" t="n">
        <f aca="false">IF($A12="N/A"," ",IF(Pricetype4=2,MAX(K12,0),IF(OR(Pricetype4=1,Pricetype4=4),IF(K12=0,0,(EURO(K12,Strikeprice4,0,0,($AK12+IF(Smile=TRUE(),VLOOKUP(MAX(-5,Strikeprice4-K12),Volsmile,2),0)),($A12-DateToday)+15,IF(Pricetype4=1,1,0),0))),K12)))</f>
        <v>0</v>
      </c>
      <c r="U12" s="319" t="e">
        <f aca="false">IF($A12="N/A"," ",Volume4*$AM12)</f>
        <v>#N/A</v>
      </c>
      <c r="V12" s="320" t="e">
        <f aca="false">IF($A12="N/A"," ",$U12*(8*($BQ12))*L12)</f>
        <v>#N/A</v>
      </c>
      <c r="W12" s="320" t="e">
        <f aca="false">IF($A12="N/A"," ",$U12*(8*($BQ12))*M12)</f>
        <v>#N/A</v>
      </c>
      <c r="X12" s="320" t="e">
        <f aca="false">IF($A12="N/A"," ",$U12*(8*($BQ12))*N12)</f>
        <v>#N/A</v>
      </c>
      <c r="Y12" s="320" t="e">
        <f aca="false">IF($A12="N/A"," ",$U12*(8*($BR12))*O12)</f>
        <v>#N/A</v>
      </c>
      <c r="Z12" s="320" t="e">
        <f aca="false">IF($A12="N/A"," ",$U12*(8*($BR12))*P12)</f>
        <v>#N/A</v>
      </c>
      <c r="AA12" s="320" t="e">
        <f aca="false">IF($A12="N/A"," ",$U12*(8*($BR12))*Q12)</f>
        <v>#N/A</v>
      </c>
      <c r="AB12" s="320" t="e">
        <f aca="false">IF($A12="N/A"," ",$U12*(8*($BS12))*R12)</f>
        <v>#N/A</v>
      </c>
      <c r="AC12" s="320" t="e">
        <f aca="false">IF($A12="N/A"," ",$U12*(8*($BS12))*S12)</f>
        <v>#N/A</v>
      </c>
      <c r="AD12" s="320" t="e">
        <f aca="false">IF($A12="N/A"," ",$U12*(8*($BS12))*T12)</f>
        <v>#N/A</v>
      </c>
      <c r="AE12" s="320" t="e">
        <f aca="false">IF($A12="N/A"," ",SUM(V12:AD12))</f>
        <v>#N/A</v>
      </c>
      <c r="AF12" s="321" t="n">
        <f aca="false">IF(A12="N/A"," ",(VLOOKUP(A12,PowerVolTable,(IF(VolBMO4=2,7,IF(VolBMO4=1,6,8))),FALSE())))</f>
        <v>0.36</v>
      </c>
      <c r="AG12" s="321" t="n">
        <f aca="false">IF(A12="N/A"," ",(VLOOKUP(A12,IntraPowerVol,(IF(VolBMO4=2,3,IF(VolBMO4=1,2,4))),FALSE())*VLOOKUP(MONTH($A12),Volscale,2)))</f>
        <v>0.6</v>
      </c>
      <c r="AH12" s="321" t="n">
        <f aca="false">IF($A12="N/A"," ",IF(VolType4=1,AG12,AF12))</f>
        <v>0.6</v>
      </c>
      <c r="AI12" s="321" t="n">
        <f aca="false">IF($A12="N/A"," ",(VLOOKUP($A12,OffPwrVolTable,(IF(VolBMO4=2,7,IF(VolBMO4=1,6,8))),FALSE())))</f>
        <v>0.18</v>
      </c>
      <c r="AJ12" s="321" t="n">
        <f aca="false">IF($A12="N/A"," ",(VLOOKUP($A12,OffPwrVolTable,(IF(VolBMO4=2,3,IF(VolBMO4=1,2,4))),FALSE())*VLOOKUP(MONTH($A12),Volscale,2)))</f>
        <v>0.36</v>
      </c>
      <c r="AK12" s="321" t="n">
        <f aca="false">IF($A12="N/A"," ",IF(VolType4=1,AJ12,AI12))</f>
        <v>0.36</v>
      </c>
      <c r="AL12" s="321" t="e">
        <f aca="false">IF($A12="N/A"," ",IF(PV=1,0,'Pricing Inputs4'!R45))</f>
        <v>#N/A</v>
      </c>
      <c r="AM12" s="323" t="e">
        <f aca="false">IF($A12="N/A"," ",(1+AL12/2)^(-2*((EOMONTH(A12,0)+20)-DateToday)/365.25))</f>
        <v>#N/A</v>
      </c>
      <c r="BQ12" s="0" t="n">
        <f aca="false">IF($A12="N/A"," ",(VLOOKUP($A12,NumberofDaysTable,2)))</f>
        <v>20</v>
      </c>
      <c r="BR12" s="0" t="n">
        <f aca="false">IF($A12="N/A"," ",(VLOOKUP($A12,NumberofDaysTable,3)))</f>
        <v>4</v>
      </c>
      <c r="BS12" s="0" t="n">
        <f aca="false">IF($A12="N/A"," ",(VLOOKUP($A12,NumberofDaysTable,4)))</f>
        <v>6</v>
      </c>
    </row>
    <row r="13" customFormat="false" ht="12.75" hidden="false" customHeight="false" outlineLevel="0" collapsed="false">
      <c r="A13" s="315" t="n">
        <f aca="false">IF(A12="N/A","N/A",IF(EDATE(A12,1)&gt;Inputs!$R$5,"N/A",EDATE(A12,1)))</f>
        <v>37530</v>
      </c>
      <c r="B13" s="316" t="n">
        <f aca="false">IF(A13="N/A"," ",YEAR(A13))</f>
        <v>2002</v>
      </c>
      <c r="C13" s="317" t="n">
        <f aca="false">IF($A13="N/A"," ",IF(Dayrun4=10,0,IF(Scaler4=1,(VLOOKUP(A13,ScaledPrice4,4)),(VLOOKUP(A13,ScaledPrice4,2)))))</f>
        <v>29.5562492907047</v>
      </c>
      <c r="D13" s="317" t="n">
        <f aca="false">IF(A13="N/A"," ",IF(Dayrun4&gt;=7,0,IF(Scaler4=2,VLOOKUP(A13,ScaledPrice4,2),(VLOOKUP(A13,ScaledPrice4,2))*(2-(VLOOKUP(A13,ScaledPrice4,3))))))</f>
        <v>29.5562492907047</v>
      </c>
      <c r="E13" s="317" t="n">
        <f aca="false">IF($A13="N/A"," ",IF(AND(Dayrun4&gt;=4,Dayrun4&lt;=9),0,VLOOKUP($A13,ScaledPrice4,9)))</f>
        <v>15.750002861023</v>
      </c>
      <c r="F13" s="317" t="n">
        <f aca="false">IF(A13="N/A"," ",IF(OR(Dayrun4=2,Dayrun4=3,Dayrun4=5,Dayrun4=6,Dayrun4=8,Dayrun4=9),VLOOKUP(A13,ScaledPrice4,IF(Scaler4=1,6,5)),0))</f>
        <v>0</v>
      </c>
      <c r="G13" s="317" t="n">
        <f aca="false">IF(A13="N/A"," ",IF(OR(Dayrun4=2,Dayrun4=3,Dayrun4=5,Dayrun4=6),IF(Scaler4=2,F13,(VLOOKUP(A13,ScaledPrice4,5))*(2-(VLOOKUP(A13,ScaledPrice4,3)))),0))</f>
        <v>0</v>
      </c>
      <c r="H13" s="317" t="n">
        <f aca="false">IF($A13="N/A"," ",IF(OR(Dayrun4=2,Dayrun4=3,Dayrun4=10),VLOOKUP($A13,ScaledPrice4,9),0))</f>
        <v>0</v>
      </c>
      <c r="I13" s="317" t="n">
        <f aca="false">IF(A13="N/A"," ",IF(OR(Dayrun4=3,Dayrun4=6,Dayrun4=9),(VLOOKUP(A13,ScaledPrice4,IF(Scaler4=2,7,8))),0))</f>
        <v>0</v>
      </c>
      <c r="J13" s="317" t="n">
        <f aca="false">IF(A13="N/A"," ",IF(OR(Dayrun4=3,Dayrun4=6),IF(Scaler4=2,I13,(VLOOKUP(A13,ScaledPrice4,7))*(2-(VLOOKUP(A13,ScaledPrice4,3)))),0))</f>
        <v>0</v>
      </c>
      <c r="K13" s="317" t="n">
        <f aca="false">IF($A13="N/A"," ",IF(OR(Dayrun4=3,Dayrun4=10),VLOOKUP($A13,ScaledPrice4,9),0))</f>
        <v>0</v>
      </c>
      <c r="L13" s="318" t="e">
        <f aca="false">IF($A13="N/A"," ",IF(Pricetype4=2,MAX(C13,0),IF(OR(Pricetype4=1,Pricetype4=4),IF(C13=0,0,(EURO(C13,Strikeprice4,0,0,($AH13+IF(Smile=TRUE(),VLOOKUP(MAX(-5,Strikeprice4-C13),Volsmile,2),0)),($A13-DateToday)+15,IF(Pricetype4=1,1,0),0))),C13)))</f>
        <v>#NAME?</v>
      </c>
      <c r="M13" s="318" t="e">
        <f aca="false">IF($A13="N/A"," ",IF(Pricetype4=2,MAX(D13,0),IF(OR(Pricetype4=1,Pricetype4=4),IF(D13=0,0,(EURO(D13,Strikeprice4,0,0,($AH13+IF(Smile=TRUE(),VLOOKUP(MAX(-5,Strikeprice4-D13),Volsmile,2),0)),($A13-DateToday)+15,IF(Pricetype4=1,1,0),0))),D13)))</f>
        <v>#NAME?</v>
      </c>
      <c r="N13" s="318" t="e">
        <f aca="false">IF($A13="N/A"," ",IF(Pricetype4=2,MAX(E13,0),IF(OR(Pricetype4=1,Pricetype4=4),IF(E13=0,0,(EURO(E13,Strikeprice4,0,0,($AK13+IF(Smile=TRUE(),VLOOKUP(MAX(-5,Strikeprice4-E13),Volsmile,2),0)),($A13-DateToday)+15,IF(Pricetype4=1,1,0),0))),E13)))</f>
        <v>#NAME?</v>
      </c>
      <c r="O13" s="318" t="n">
        <f aca="false">IF($A13="N/A"," ",IF(Pricetype4=2,MAX(F13,0),IF(OR(Pricetype4=1,Pricetype4=4),IF(F13=0,0,(EURO(F13,Strikeprice4,0,0,($AK13+IF(Smile=TRUE(),VLOOKUP(MAX(-5,Strikeprice4-F13),Volsmile,2),0)),($A13-DateToday)+15,IF(Pricetype4=1,1,0),0))),F13)))</f>
        <v>0</v>
      </c>
      <c r="P13" s="318" t="n">
        <f aca="false">IF($A13="N/A"," ",IF(Pricetype4=2,MAX(G13,0),IF(OR(Pricetype4=1,Pricetype4=4),IF(G13=0,0,(EURO(G13,Strikeprice4,0,0,($AK13+IF(Smile=TRUE(),VLOOKUP(MAX(-5,Strikeprice4-G13),Volsmile,2),0)),($A13-DateToday)+15,IF(Pricetype4=1,1,0),0))),G13)))</f>
        <v>0</v>
      </c>
      <c r="Q13" s="318" t="n">
        <f aca="false">IF($A13="N/A"," ",IF(Pricetype4=2,MAX(H13,0),IF(OR(Pricetype4=1,Pricetype4=4),IF(H13=0,0,(EURO(H13,Strikeprice4,0,0,($AK13+IF(Smile=TRUE(),VLOOKUP(MAX(-5,Strikeprice4-H13),Volsmile,2),0)),($A13-DateToday)+15,IF(Pricetype4=1,1,0),0))),H13)))</f>
        <v>0</v>
      </c>
      <c r="R13" s="318" t="n">
        <f aca="false">IF($A13="N/A"," ",IF(Pricetype4=2,MAX(I13,0),IF(OR(Pricetype4=1,Pricetype4=4),IF(I13=0,0,(EURO(I13,Strikeprice4,0,0,($AK13+IF(Smile=TRUE(),VLOOKUP(MAX(-5,Strikeprice4-I13),Volsmile,2),0)),($A13-DateToday)+15,IF(Pricetype4=1,1,0),0))),I13)))</f>
        <v>0</v>
      </c>
      <c r="S13" s="318" t="n">
        <f aca="false">IF($A13="N/A"," ",IF(Pricetype4=2,MAX(J13,0),IF(OR(Pricetype4=1,Pricetype4=4),IF(J13=0,0,(EURO(J13,Strikeprice4,0,0,($AK13+IF(Smile=TRUE(),VLOOKUP(MAX(-5,Strikeprice4-J13),Volsmile,2),0)),($A13-DateToday)+15,IF(Pricetype4=1,1,0),0))),J13)))</f>
        <v>0</v>
      </c>
      <c r="T13" s="318" t="n">
        <f aca="false">IF($A13="N/A"," ",IF(Pricetype4=2,MAX(K13,0),IF(OR(Pricetype4=1,Pricetype4=4),IF(K13=0,0,(EURO(K13,Strikeprice4,0,0,($AK13+IF(Smile=TRUE(),VLOOKUP(MAX(-5,Strikeprice4-K13),Volsmile,2),0)),($A13-DateToday)+15,IF(Pricetype4=1,1,0),0))),K13)))</f>
        <v>0</v>
      </c>
      <c r="U13" s="319" t="e">
        <f aca="false">IF($A13="N/A"," ",Volume4*$AM13)</f>
        <v>#N/A</v>
      </c>
      <c r="V13" s="320" t="e">
        <f aca="false">IF($A13="N/A"," ",$U13*(8*($BQ13))*L13)</f>
        <v>#N/A</v>
      </c>
      <c r="W13" s="320" t="e">
        <f aca="false">IF($A13="N/A"," ",$U13*(8*($BQ13))*M13)</f>
        <v>#N/A</v>
      </c>
      <c r="X13" s="320" t="e">
        <f aca="false">IF($A13="N/A"," ",$U13*(8*($BQ13))*N13)</f>
        <v>#N/A</v>
      </c>
      <c r="Y13" s="320" t="e">
        <f aca="false">IF($A13="N/A"," ",$U13*(8*($BR13))*O13)</f>
        <v>#N/A</v>
      </c>
      <c r="Z13" s="320" t="e">
        <f aca="false">IF($A13="N/A"," ",$U13*(8*($BR13))*P13)</f>
        <v>#N/A</v>
      </c>
      <c r="AA13" s="320" t="e">
        <f aca="false">IF($A13="N/A"," ",$U13*(8*($BR13))*Q13)</f>
        <v>#N/A</v>
      </c>
      <c r="AB13" s="320" t="e">
        <f aca="false">IF($A13="N/A"," ",$U13*(8*($BS13))*R13)</f>
        <v>#N/A</v>
      </c>
      <c r="AC13" s="320" t="e">
        <f aca="false">IF($A13="N/A"," ",$U13*(8*($BS13))*S13)</f>
        <v>#N/A</v>
      </c>
      <c r="AD13" s="320" t="e">
        <f aca="false">IF($A13="N/A"," ",$U13*(8*($BS13))*T13)</f>
        <v>#N/A</v>
      </c>
      <c r="AE13" s="320" t="e">
        <f aca="false">IF($A13="N/A"," ",SUM(V13:AD13))</f>
        <v>#N/A</v>
      </c>
      <c r="AF13" s="321" t="n">
        <f aca="false">IF(A13="N/A"," ",(VLOOKUP(A13,PowerVolTable,(IF(VolBMO4=2,7,IF(VolBMO4=1,6,8))),FALSE())))</f>
        <v>0.36</v>
      </c>
      <c r="AG13" s="321" t="n">
        <f aca="false">IF(A13="N/A"," ",(VLOOKUP(A13,IntraPowerVol,(IF(VolBMO4=2,3,IF(VolBMO4=1,2,4))),FALSE())*VLOOKUP(MONTH($A13),Volscale,2)))</f>
        <v>0.6</v>
      </c>
      <c r="AH13" s="321" t="n">
        <f aca="false">IF($A13="N/A"," ",IF(VolType4=1,AG13,AF13))</f>
        <v>0.6</v>
      </c>
      <c r="AI13" s="321" t="n">
        <f aca="false">IF($A13="N/A"," ",(VLOOKUP($A13,OffPwrVolTable,(IF(VolBMO4=2,7,IF(VolBMO4=1,6,8))),FALSE())))</f>
        <v>0.18</v>
      </c>
      <c r="AJ13" s="321" t="n">
        <f aca="false">IF($A13="N/A"," ",(VLOOKUP($A13,OffPwrVolTable,(IF(VolBMO4=2,3,IF(VolBMO4=1,2,4))),FALSE())*VLOOKUP(MONTH($A13),Volscale,2)))</f>
        <v>0.36</v>
      </c>
      <c r="AK13" s="321" t="n">
        <f aca="false">IF($A13="N/A"," ",IF(VolType4=1,AJ13,AI13))</f>
        <v>0.36</v>
      </c>
      <c r="AL13" s="321" t="e">
        <f aca="false">IF($A13="N/A"," ",IF(PV=1,0,'Pricing Inputs4'!R46))</f>
        <v>#N/A</v>
      </c>
      <c r="AM13" s="323" t="e">
        <f aca="false">IF($A13="N/A"," ",(1+AL13/2)^(-2*((EOMONTH(A13,0)+20)-DateToday)/365.25))</f>
        <v>#N/A</v>
      </c>
      <c r="BQ13" s="0" t="n">
        <f aca="false">IF($A13="N/A"," ",(VLOOKUP($A13,NumberofDaysTable,2)))</f>
        <v>23</v>
      </c>
      <c r="BR13" s="0" t="n">
        <f aca="false">IF($A13="N/A"," ",(VLOOKUP($A13,NumberofDaysTable,3)))</f>
        <v>4</v>
      </c>
      <c r="BS13" s="0" t="n">
        <f aca="false">IF($A13="N/A"," ",(VLOOKUP($A13,NumberofDaysTable,4)))</f>
        <v>4</v>
      </c>
    </row>
    <row r="14" customFormat="false" ht="12.75" hidden="false" customHeight="false" outlineLevel="0" collapsed="false">
      <c r="A14" s="315" t="n">
        <f aca="false">IF(A13="N/A","N/A",IF(EDATE(A13,1)&gt;Inputs!$R$5,"N/A",EDATE(A13,1)))</f>
        <v>37561</v>
      </c>
      <c r="B14" s="316" t="n">
        <f aca="false">IF(A14="N/A"," ",YEAR(A14))</f>
        <v>2002</v>
      </c>
      <c r="C14" s="317" t="n">
        <f aca="false">IF($A14="N/A"," ",IF(Dayrun4=10,0,IF(Scaler4=1,(VLOOKUP(A14,ScaledPrice4,4)),(VLOOKUP(A14,ScaledPrice4,2)))))</f>
        <v>29.7562519609928</v>
      </c>
      <c r="D14" s="317" t="n">
        <f aca="false">IF(A14="N/A"," ",IF(Dayrun4&gt;=7,0,IF(Scaler4=2,VLOOKUP(A14,ScaledPrice4,2),(VLOOKUP(A14,ScaledPrice4,2))*(2-(VLOOKUP(A14,ScaledPrice4,3))))))</f>
        <v>29.7562519609928</v>
      </c>
      <c r="E14" s="317" t="n">
        <f aca="false">IF($A14="N/A"," ",IF(AND(Dayrun4&gt;=4,Dayrun4&lt;=9),0,VLOOKUP($A14,ScaledPrice4,9)))</f>
        <v>16.75</v>
      </c>
      <c r="F14" s="317" t="n">
        <f aca="false">IF(A14="N/A"," ",IF(OR(Dayrun4=2,Dayrun4=3,Dayrun4=5,Dayrun4=6,Dayrun4=8,Dayrun4=9),VLOOKUP(A14,ScaledPrice4,IF(Scaler4=1,6,5)),0))</f>
        <v>0</v>
      </c>
      <c r="G14" s="317" t="n">
        <f aca="false">IF(A14="N/A"," ",IF(OR(Dayrun4=2,Dayrun4=3,Dayrun4=5,Dayrun4=6),IF(Scaler4=2,F14,(VLOOKUP(A14,ScaledPrice4,5))*(2-(VLOOKUP(A14,ScaledPrice4,3)))),0))</f>
        <v>0</v>
      </c>
      <c r="H14" s="317" t="n">
        <f aca="false">IF($A14="N/A"," ",IF(OR(Dayrun4=2,Dayrun4=3,Dayrun4=10),VLOOKUP($A14,ScaledPrice4,9),0))</f>
        <v>0</v>
      </c>
      <c r="I14" s="317" t="n">
        <f aca="false">IF(A14="N/A"," ",IF(OR(Dayrun4=3,Dayrun4=6,Dayrun4=9),(VLOOKUP(A14,ScaledPrice4,IF(Scaler4=2,7,8))),0))</f>
        <v>0</v>
      </c>
      <c r="J14" s="317" t="n">
        <f aca="false">IF(A14="N/A"," ",IF(OR(Dayrun4=3,Dayrun4=6),IF(Scaler4=2,I14,(VLOOKUP(A14,ScaledPrice4,7))*(2-(VLOOKUP(A14,ScaledPrice4,3)))),0))</f>
        <v>0</v>
      </c>
      <c r="K14" s="317" t="n">
        <f aca="false">IF($A14="N/A"," ",IF(OR(Dayrun4=3,Dayrun4=10),VLOOKUP($A14,ScaledPrice4,9),0))</f>
        <v>0</v>
      </c>
      <c r="L14" s="318" t="e">
        <f aca="false">IF($A14="N/A"," ",IF(Pricetype4=2,MAX(C14,0),IF(OR(Pricetype4=1,Pricetype4=4),IF(C14=0,0,(EURO(C14,Strikeprice4,0,0,($AH14+IF(Smile=TRUE(),VLOOKUP(MAX(-5,Strikeprice4-C14),Volsmile,2),0)),($A14-DateToday)+15,IF(Pricetype4=1,1,0),0))),C14)))</f>
        <v>#NAME?</v>
      </c>
      <c r="M14" s="318" t="e">
        <f aca="false">IF($A14="N/A"," ",IF(Pricetype4=2,MAX(D14,0),IF(OR(Pricetype4=1,Pricetype4=4),IF(D14=0,0,(EURO(D14,Strikeprice4,0,0,($AH14+IF(Smile=TRUE(),VLOOKUP(MAX(-5,Strikeprice4-D14),Volsmile,2),0)),($A14-DateToday)+15,IF(Pricetype4=1,1,0),0))),D14)))</f>
        <v>#NAME?</v>
      </c>
      <c r="N14" s="318" t="e">
        <f aca="false">IF($A14="N/A"," ",IF(Pricetype4=2,MAX(E14,0),IF(OR(Pricetype4=1,Pricetype4=4),IF(E14=0,0,(EURO(E14,Strikeprice4,0,0,($AK14+IF(Smile=TRUE(),VLOOKUP(MAX(-5,Strikeprice4-E14),Volsmile,2),0)),($A14-DateToday)+15,IF(Pricetype4=1,1,0),0))),E14)))</f>
        <v>#NAME?</v>
      </c>
      <c r="O14" s="318" t="n">
        <f aca="false">IF($A14="N/A"," ",IF(Pricetype4=2,MAX(F14,0),IF(OR(Pricetype4=1,Pricetype4=4),IF(F14=0,0,(EURO(F14,Strikeprice4,0,0,($AK14+IF(Smile=TRUE(),VLOOKUP(MAX(-5,Strikeprice4-F14),Volsmile,2),0)),($A14-DateToday)+15,IF(Pricetype4=1,1,0),0))),F14)))</f>
        <v>0</v>
      </c>
      <c r="P14" s="318" t="n">
        <f aca="false">IF($A14="N/A"," ",IF(Pricetype4=2,MAX(G14,0),IF(OR(Pricetype4=1,Pricetype4=4),IF(G14=0,0,(EURO(G14,Strikeprice4,0,0,($AK14+IF(Smile=TRUE(),VLOOKUP(MAX(-5,Strikeprice4-G14),Volsmile,2),0)),($A14-DateToday)+15,IF(Pricetype4=1,1,0),0))),G14)))</f>
        <v>0</v>
      </c>
      <c r="Q14" s="318" t="n">
        <f aca="false">IF($A14="N/A"," ",IF(Pricetype4=2,MAX(H14,0),IF(OR(Pricetype4=1,Pricetype4=4),IF(H14=0,0,(EURO(H14,Strikeprice4,0,0,($AK14+IF(Smile=TRUE(),VLOOKUP(MAX(-5,Strikeprice4-H14),Volsmile,2),0)),($A14-DateToday)+15,IF(Pricetype4=1,1,0),0))),H14)))</f>
        <v>0</v>
      </c>
      <c r="R14" s="318" t="n">
        <f aca="false">IF($A14="N/A"," ",IF(Pricetype4=2,MAX(I14,0),IF(OR(Pricetype4=1,Pricetype4=4),IF(I14=0,0,(EURO(I14,Strikeprice4,0,0,($AK14+IF(Smile=TRUE(),VLOOKUP(MAX(-5,Strikeprice4-I14),Volsmile,2),0)),($A14-DateToday)+15,IF(Pricetype4=1,1,0),0))),I14)))</f>
        <v>0</v>
      </c>
      <c r="S14" s="318" t="n">
        <f aca="false">IF($A14="N/A"," ",IF(Pricetype4=2,MAX(J14,0),IF(OR(Pricetype4=1,Pricetype4=4),IF(J14=0,0,(EURO(J14,Strikeprice4,0,0,($AK14+IF(Smile=TRUE(),VLOOKUP(MAX(-5,Strikeprice4-J14),Volsmile,2),0)),($A14-DateToday)+15,IF(Pricetype4=1,1,0),0))),J14)))</f>
        <v>0</v>
      </c>
      <c r="T14" s="318" t="n">
        <f aca="false">IF($A14="N/A"," ",IF(Pricetype4=2,MAX(K14,0),IF(OR(Pricetype4=1,Pricetype4=4),IF(K14=0,0,(EURO(K14,Strikeprice4,0,0,($AK14+IF(Smile=TRUE(),VLOOKUP(MAX(-5,Strikeprice4-K14),Volsmile,2),0)),($A14-DateToday)+15,IF(Pricetype4=1,1,0),0))),K14)))</f>
        <v>0</v>
      </c>
      <c r="U14" s="319" t="e">
        <f aca="false">IF($A14="N/A"," ",Volume4*$AM14)</f>
        <v>#N/A</v>
      </c>
      <c r="V14" s="320" t="e">
        <f aca="false">IF($A14="N/A"," ",$U14*(8*($BQ14))*L14)</f>
        <v>#N/A</v>
      </c>
      <c r="W14" s="320" t="e">
        <f aca="false">IF($A14="N/A"," ",$U14*(8*($BQ14))*M14)</f>
        <v>#N/A</v>
      </c>
      <c r="X14" s="320" t="e">
        <f aca="false">IF($A14="N/A"," ",$U14*(8*($BQ14))*N14)</f>
        <v>#N/A</v>
      </c>
      <c r="Y14" s="320" t="e">
        <f aca="false">IF($A14="N/A"," ",$U14*(8*($BR14))*O14)</f>
        <v>#N/A</v>
      </c>
      <c r="Z14" s="320" t="e">
        <f aca="false">IF($A14="N/A"," ",$U14*(8*($BR14))*P14)</f>
        <v>#N/A</v>
      </c>
      <c r="AA14" s="320" t="e">
        <f aca="false">IF($A14="N/A"," ",$U14*(8*($BR14))*Q14)</f>
        <v>#N/A</v>
      </c>
      <c r="AB14" s="320" t="e">
        <f aca="false">IF($A14="N/A"," ",$U14*(8*($BS14))*R14)</f>
        <v>#N/A</v>
      </c>
      <c r="AC14" s="320" t="e">
        <f aca="false">IF($A14="N/A"," ",$U14*(8*($BS14))*S14)</f>
        <v>#N/A</v>
      </c>
      <c r="AD14" s="320" t="e">
        <f aca="false">IF($A14="N/A"," ",$U14*(8*($BS14))*T14)</f>
        <v>#N/A</v>
      </c>
      <c r="AE14" s="320" t="e">
        <f aca="false">IF($A14="N/A"," ",SUM(V14:AD14))</f>
        <v>#N/A</v>
      </c>
      <c r="AF14" s="321" t="n">
        <f aca="false">IF(A14="N/A"," ",(VLOOKUP(A14,PowerVolTable,(IF(VolBMO4=2,7,IF(VolBMO4=1,6,8))),FALSE())))</f>
        <v>0.36</v>
      </c>
      <c r="AG14" s="321" t="n">
        <f aca="false">IF(A14="N/A"," ",(VLOOKUP(A14,IntraPowerVol,(IF(VolBMO4=2,3,IF(VolBMO4=1,2,4))),FALSE())*VLOOKUP(MONTH($A14),Volscale,2)))</f>
        <v>0.6</v>
      </c>
      <c r="AH14" s="321" t="n">
        <f aca="false">IF($A14="N/A"," ",IF(VolType4=1,AG14,AF14))</f>
        <v>0.6</v>
      </c>
      <c r="AI14" s="321" t="n">
        <f aca="false">IF($A14="N/A"," ",(VLOOKUP($A14,OffPwrVolTable,(IF(VolBMO4=2,7,IF(VolBMO4=1,6,8))),FALSE())))</f>
        <v>0.18</v>
      </c>
      <c r="AJ14" s="321" t="n">
        <f aca="false">IF($A14="N/A"," ",(VLOOKUP($A14,OffPwrVolTable,(IF(VolBMO4=2,3,IF(VolBMO4=1,2,4))),FALSE())*VLOOKUP(MONTH($A14),Volscale,2)))</f>
        <v>0.36</v>
      </c>
      <c r="AK14" s="321" t="n">
        <f aca="false">IF($A14="N/A"," ",IF(VolType4=1,AJ14,AI14))</f>
        <v>0.36</v>
      </c>
      <c r="AL14" s="321" t="e">
        <f aca="false">IF($A14="N/A"," ",IF(PV=1,0,'Pricing Inputs4'!R47))</f>
        <v>#N/A</v>
      </c>
      <c r="AM14" s="323" t="e">
        <f aca="false">IF($A14="N/A"," ",(1+AL14/2)^(-2*((EOMONTH(A14,0)+20)-DateToday)/365.25))</f>
        <v>#N/A</v>
      </c>
      <c r="BQ14" s="0" t="n">
        <f aca="false">IF($A14="N/A"," ",(VLOOKUP($A14,NumberofDaysTable,2)))</f>
        <v>20</v>
      </c>
      <c r="BR14" s="0" t="n">
        <f aca="false">IF($A14="N/A"," ",(VLOOKUP($A14,NumberofDaysTable,3)))</f>
        <v>5</v>
      </c>
      <c r="BS14" s="0" t="n">
        <f aca="false">IF($A14="N/A"," ",(VLOOKUP($A14,NumberofDaysTable,4)))</f>
        <v>5</v>
      </c>
    </row>
    <row r="15" customFormat="false" ht="12.75" hidden="false" customHeight="false" outlineLevel="0" collapsed="false">
      <c r="A15" s="315" t="n">
        <f aca="false">IF(A14="N/A","N/A",IF(EDATE(A14,1)&gt;Inputs!$R$5,"N/A",EDATE(A14,1)))</f>
        <v>37591</v>
      </c>
      <c r="B15" s="316" t="n">
        <f aca="false">IF(A15="N/A"," ",YEAR(A15))</f>
        <v>2002</v>
      </c>
      <c r="C15" s="317" t="n">
        <f aca="false">IF($A15="N/A"," ",IF(Dayrun4=10,0,IF(Scaler4=1,(VLOOKUP(A15,ScaledPrice4,4)),(VLOOKUP(A15,ScaledPrice4,2)))))</f>
        <v>29.956248909235</v>
      </c>
      <c r="D15" s="317" t="n">
        <f aca="false">IF(A15="N/A"," ",IF(Dayrun4&gt;=7,0,IF(Scaler4=2,VLOOKUP(A15,ScaledPrice4,2),(VLOOKUP(A15,ScaledPrice4,2))*(2-(VLOOKUP(A15,ScaledPrice4,3))))))</f>
        <v>29.956248909235</v>
      </c>
      <c r="E15" s="317" t="n">
        <f aca="false">IF($A15="N/A"," ",IF(AND(Dayrun4&gt;=4,Dayrun4&lt;=9),0,VLOOKUP($A15,ScaledPrice4,9)))</f>
        <v>19</v>
      </c>
      <c r="F15" s="317" t="n">
        <f aca="false">IF(A15="N/A"," ",IF(OR(Dayrun4=2,Dayrun4=3,Dayrun4=5,Dayrun4=6,Dayrun4=8,Dayrun4=9),VLOOKUP(A15,ScaledPrice4,IF(Scaler4=1,6,5)),0))</f>
        <v>0</v>
      </c>
      <c r="G15" s="317" t="n">
        <f aca="false">IF(A15="N/A"," ",IF(OR(Dayrun4=2,Dayrun4=3,Dayrun4=5,Dayrun4=6),IF(Scaler4=2,F15,(VLOOKUP(A15,ScaledPrice4,5))*(2-(VLOOKUP(A15,ScaledPrice4,3)))),0))</f>
        <v>0</v>
      </c>
      <c r="H15" s="317" t="n">
        <f aca="false">IF($A15="N/A"," ",IF(OR(Dayrun4=2,Dayrun4=3,Dayrun4=10),VLOOKUP($A15,ScaledPrice4,9),0))</f>
        <v>0</v>
      </c>
      <c r="I15" s="317" t="n">
        <f aca="false">IF(A15="N/A"," ",IF(OR(Dayrun4=3,Dayrun4=6,Dayrun4=9),(VLOOKUP(A15,ScaledPrice4,IF(Scaler4=2,7,8))),0))</f>
        <v>0</v>
      </c>
      <c r="J15" s="317" t="n">
        <f aca="false">IF(A15="N/A"," ",IF(OR(Dayrun4=3,Dayrun4=6),IF(Scaler4=2,I15,(VLOOKUP(A15,ScaledPrice4,7))*(2-(VLOOKUP(A15,ScaledPrice4,3)))),0))</f>
        <v>0</v>
      </c>
      <c r="K15" s="317" t="n">
        <f aca="false">IF($A15="N/A"," ",IF(OR(Dayrun4=3,Dayrun4=10),VLOOKUP($A15,ScaledPrice4,9),0))</f>
        <v>0</v>
      </c>
      <c r="L15" s="318" t="e">
        <f aca="false">IF($A15="N/A"," ",IF(Pricetype4=2,MAX(C15,0),IF(OR(Pricetype4=1,Pricetype4=4),IF(C15=0,0,(EURO(C15,Strikeprice4,0,0,($AH15+IF(Smile=TRUE(),VLOOKUP(MAX(-5,Strikeprice4-C15),Volsmile,2),0)),($A15-DateToday)+15,IF(Pricetype4=1,1,0),0))),C15)))</f>
        <v>#NAME?</v>
      </c>
      <c r="M15" s="318" t="e">
        <f aca="false">IF($A15="N/A"," ",IF(Pricetype4=2,MAX(D15,0),IF(OR(Pricetype4=1,Pricetype4=4),IF(D15=0,0,(EURO(D15,Strikeprice4,0,0,($AH15+IF(Smile=TRUE(),VLOOKUP(MAX(-5,Strikeprice4-D15),Volsmile,2),0)),($A15-DateToday)+15,IF(Pricetype4=1,1,0),0))),D15)))</f>
        <v>#NAME?</v>
      </c>
      <c r="N15" s="318" t="e">
        <f aca="false">IF($A15="N/A"," ",IF(Pricetype4=2,MAX(E15,0),IF(OR(Pricetype4=1,Pricetype4=4),IF(E15=0,0,(EURO(E15,Strikeprice4,0,0,($AK15+IF(Smile=TRUE(),VLOOKUP(MAX(-5,Strikeprice4-E15),Volsmile,2),0)),($A15-DateToday)+15,IF(Pricetype4=1,1,0),0))),E15)))</f>
        <v>#NAME?</v>
      </c>
      <c r="O15" s="318" t="n">
        <f aca="false">IF($A15="N/A"," ",IF(Pricetype4=2,MAX(F15,0),IF(OR(Pricetype4=1,Pricetype4=4),IF(F15=0,0,(EURO(F15,Strikeprice4,0,0,($AK15+IF(Smile=TRUE(),VLOOKUP(MAX(-5,Strikeprice4-F15),Volsmile,2),0)),($A15-DateToday)+15,IF(Pricetype4=1,1,0),0))),F15)))</f>
        <v>0</v>
      </c>
      <c r="P15" s="318" t="n">
        <f aca="false">IF($A15="N/A"," ",IF(Pricetype4=2,MAX(G15,0),IF(OR(Pricetype4=1,Pricetype4=4),IF(G15=0,0,(EURO(G15,Strikeprice4,0,0,($AK15+IF(Smile=TRUE(),VLOOKUP(MAX(-5,Strikeprice4-G15),Volsmile,2),0)),($A15-DateToday)+15,IF(Pricetype4=1,1,0),0))),G15)))</f>
        <v>0</v>
      </c>
      <c r="Q15" s="318" t="n">
        <f aca="false">IF($A15="N/A"," ",IF(Pricetype4=2,MAX(H15,0),IF(OR(Pricetype4=1,Pricetype4=4),IF(H15=0,0,(EURO(H15,Strikeprice4,0,0,($AK15+IF(Smile=TRUE(),VLOOKUP(MAX(-5,Strikeprice4-H15),Volsmile,2),0)),($A15-DateToday)+15,IF(Pricetype4=1,1,0),0))),H15)))</f>
        <v>0</v>
      </c>
      <c r="R15" s="318" t="n">
        <f aca="false">IF($A15="N/A"," ",IF(Pricetype4=2,MAX(I15,0),IF(OR(Pricetype4=1,Pricetype4=4),IF(I15=0,0,(EURO(I15,Strikeprice4,0,0,($AK15+IF(Smile=TRUE(),VLOOKUP(MAX(-5,Strikeprice4-I15),Volsmile,2),0)),($A15-DateToday)+15,IF(Pricetype4=1,1,0),0))),I15)))</f>
        <v>0</v>
      </c>
      <c r="S15" s="318" t="n">
        <f aca="false">IF($A15="N/A"," ",IF(Pricetype4=2,MAX(J15,0),IF(OR(Pricetype4=1,Pricetype4=4),IF(J15=0,0,(EURO(J15,Strikeprice4,0,0,($AK15+IF(Smile=TRUE(),VLOOKUP(MAX(-5,Strikeprice4-J15),Volsmile,2),0)),($A15-DateToday)+15,IF(Pricetype4=1,1,0),0))),J15)))</f>
        <v>0</v>
      </c>
      <c r="T15" s="318" t="n">
        <f aca="false">IF($A15="N/A"," ",IF(Pricetype4=2,MAX(K15,0),IF(OR(Pricetype4=1,Pricetype4=4),IF(K15=0,0,(EURO(K15,Strikeprice4,0,0,($AK15+IF(Smile=TRUE(),VLOOKUP(MAX(-5,Strikeprice4-K15),Volsmile,2),0)),($A15-DateToday)+15,IF(Pricetype4=1,1,0),0))),K15)))</f>
        <v>0</v>
      </c>
      <c r="U15" s="319" t="e">
        <f aca="false">IF($A15="N/A"," ",Volume4*$AM15)</f>
        <v>#N/A</v>
      </c>
      <c r="V15" s="320" t="e">
        <f aca="false">IF($A15="N/A"," ",$U15*(8*($BQ15))*L15)</f>
        <v>#N/A</v>
      </c>
      <c r="W15" s="320" t="e">
        <f aca="false">IF($A15="N/A"," ",$U15*(8*($BQ15))*M15)</f>
        <v>#N/A</v>
      </c>
      <c r="X15" s="320" t="e">
        <f aca="false">IF($A15="N/A"," ",$U15*(8*($BQ15))*N15)</f>
        <v>#N/A</v>
      </c>
      <c r="Y15" s="320" t="e">
        <f aca="false">IF($A15="N/A"," ",$U15*(8*($BR15))*O15)</f>
        <v>#N/A</v>
      </c>
      <c r="Z15" s="320" t="e">
        <f aca="false">IF($A15="N/A"," ",$U15*(8*($BR15))*P15)</f>
        <v>#N/A</v>
      </c>
      <c r="AA15" s="320" t="e">
        <f aca="false">IF($A15="N/A"," ",$U15*(8*($BR15))*Q15)</f>
        <v>#N/A</v>
      </c>
      <c r="AB15" s="320" t="e">
        <f aca="false">IF($A15="N/A"," ",$U15*(8*($BS15))*R15)</f>
        <v>#N/A</v>
      </c>
      <c r="AC15" s="320" t="e">
        <f aca="false">IF($A15="N/A"," ",$U15*(8*($BS15))*S15)</f>
        <v>#N/A</v>
      </c>
      <c r="AD15" s="320" t="e">
        <f aca="false">IF($A15="N/A"," ",$U15*(8*($BS15))*T15)</f>
        <v>#N/A</v>
      </c>
      <c r="AE15" s="320" t="e">
        <f aca="false">IF($A15="N/A"," ",SUM(V15:AD15))</f>
        <v>#N/A</v>
      </c>
      <c r="AF15" s="321" t="n">
        <f aca="false">IF(A15="N/A"," ",(VLOOKUP(A15,PowerVolTable,(IF(VolBMO4=2,7,IF(VolBMO4=1,6,8))),FALSE())))</f>
        <v>0.36</v>
      </c>
      <c r="AG15" s="321" t="n">
        <f aca="false">IF(A15="N/A"," ",(VLOOKUP(A15,IntraPowerVol,(IF(VolBMO4=2,3,IF(VolBMO4=1,2,4))),FALSE())*VLOOKUP(MONTH($A15),Volscale,2)))</f>
        <v>0.6</v>
      </c>
      <c r="AH15" s="321" t="n">
        <f aca="false">IF($A15="N/A"," ",IF(VolType4=1,AG15,AF15))</f>
        <v>0.6</v>
      </c>
      <c r="AI15" s="321" t="n">
        <f aca="false">IF($A15="N/A"," ",(VLOOKUP($A15,OffPwrVolTable,(IF(VolBMO4=2,7,IF(VolBMO4=1,6,8))),FALSE())))</f>
        <v>0.18</v>
      </c>
      <c r="AJ15" s="321" t="n">
        <f aca="false">IF($A15="N/A"," ",(VLOOKUP($A15,OffPwrVolTable,(IF(VolBMO4=2,3,IF(VolBMO4=1,2,4))),FALSE())*VLOOKUP(MONTH($A15),Volscale,2)))</f>
        <v>0.36</v>
      </c>
      <c r="AK15" s="321" t="n">
        <f aca="false">IF($A15="N/A"," ",IF(VolType4=1,AJ15,AI15))</f>
        <v>0.36</v>
      </c>
      <c r="AL15" s="321" t="e">
        <f aca="false">IF($A15="N/A"," ",IF(PV=1,0,'Pricing Inputs4'!R48))</f>
        <v>#N/A</v>
      </c>
      <c r="AM15" s="323" t="e">
        <f aca="false">IF($A15="N/A"," ",(1+AL15/2)^(-2*((EOMONTH(A15,0)+20)-DateToday)/365.25))</f>
        <v>#N/A</v>
      </c>
      <c r="BQ15" s="0" t="n">
        <f aca="false">IF($A15="N/A"," ",(VLOOKUP($A15,NumberofDaysTable,2)))</f>
        <v>21</v>
      </c>
      <c r="BR15" s="0" t="n">
        <f aca="false">IF($A15="N/A"," ",(VLOOKUP($A15,NumberofDaysTable,3)))</f>
        <v>4</v>
      </c>
      <c r="BS15" s="0" t="n">
        <f aca="false">IF($A15="N/A"," ",(VLOOKUP($A15,NumberofDaysTable,4)))</f>
        <v>6</v>
      </c>
    </row>
    <row r="16" customFormat="false" ht="12.75" hidden="false" customHeight="false" outlineLevel="0" collapsed="false">
      <c r="A16" s="315" t="n">
        <f aca="false">IF(A15="N/A","N/A",IF(EDATE(A15,1)&gt;Inputs!$R$5,"N/A",EDATE(A15,1)))</f>
        <v>37622</v>
      </c>
      <c r="B16" s="316" t="n">
        <f aca="false">IF(A16="N/A"," ",YEAR(A16))</f>
        <v>2003</v>
      </c>
      <c r="C16" s="317" t="n">
        <f aca="false">IF($A16="N/A"," ",IF(Dayrun4=10,0,IF(Scaler4=1,(VLOOKUP(A16,ScaledPrice4,4)),(VLOOKUP(A16,ScaledPrice4,2)))))</f>
        <v>33.2857153756278</v>
      </c>
      <c r="D16" s="317" t="n">
        <f aca="false">IF(A16="N/A"," ",IF(Dayrun4&gt;=7,0,IF(Scaler4=2,VLOOKUP(A16,ScaledPrice4,2),(VLOOKUP(A16,ScaledPrice4,2))*(2-(VLOOKUP(A16,ScaledPrice4,3))))))</f>
        <v>33.2857153756278</v>
      </c>
      <c r="E16" s="317" t="n">
        <f aca="false">IF($A16="N/A"," ",IF(AND(Dayrun4&gt;=4,Dayrun4&lt;=9),0,VLOOKUP($A16,ScaledPrice4,9)))</f>
        <v>20.8899993896484</v>
      </c>
      <c r="F16" s="317" t="n">
        <f aca="false">IF(A16="N/A"," ",IF(OR(Dayrun4=2,Dayrun4=3,Dayrun4=5,Dayrun4=6,Dayrun4=8,Dayrun4=9),VLOOKUP(A16,ScaledPrice4,IF(Scaler4=1,6,5)),0))</f>
        <v>0</v>
      </c>
      <c r="G16" s="317" t="n">
        <f aca="false">IF(A16="N/A"," ",IF(OR(Dayrun4=2,Dayrun4=3,Dayrun4=5,Dayrun4=6),IF(Scaler4=2,F16,(VLOOKUP(A16,ScaledPrice4,5))*(2-(VLOOKUP(A16,ScaledPrice4,3)))),0))</f>
        <v>0</v>
      </c>
      <c r="H16" s="317" t="n">
        <f aca="false">IF($A16="N/A"," ",IF(OR(Dayrun4=2,Dayrun4=3,Dayrun4=10),VLOOKUP($A16,ScaledPrice4,9),0))</f>
        <v>0</v>
      </c>
      <c r="I16" s="317" t="n">
        <f aca="false">IF(A16="N/A"," ",IF(OR(Dayrun4=3,Dayrun4=6,Dayrun4=9),(VLOOKUP(A16,ScaledPrice4,IF(Scaler4=2,7,8))),0))</f>
        <v>0</v>
      </c>
      <c r="J16" s="317" t="n">
        <f aca="false">IF(A16="N/A"," ",IF(OR(Dayrun4=3,Dayrun4=6),IF(Scaler4=2,I16,(VLOOKUP(A16,ScaledPrice4,7))*(2-(VLOOKUP(A16,ScaledPrice4,3)))),0))</f>
        <v>0</v>
      </c>
      <c r="K16" s="317" t="n">
        <f aca="false">IF($A16="N/A"," ",IF(OR(Dayrun4=3,Dayrun4=10),VLOOKUP($A16,ScaledPrice4,9),0))</f>
        <v>0</v>
      </c>
      <c r="L16" s="318" t="e">
        <f aca="false">IF($A16="N/A"," ",IF(Pricetype4=2,MAX(C16,0),IF(OR(Pricetype4=1,Pricetype4=4),IF(C16=0,0,(EURO(C16,Strikeprice4,0,0,($AH16+IF(Smile=TRUE(),VLOOKUP(MAX(-5,Strikeprice4-C16),Volsmile,2),0)),($A16-DateToday)+15,IF(Pricetype4=1,1,0),0))),C16)))</f>
        <v>#NAME?</v>
      </c>
      <c r="M16" s="318" t="e">
        <f aca="false">IF($A16="N/A"," ",IF(Pricetype4=2,MAX(D16,0),IF(OR(Pricetype4=1,Pricetype4=4),IF(D16=0,0,(EURO(D16,Strikeprice4,0,0,($AH16+IF(Smile=TRUE(),VLOOKUP(MAX(-5,Strikeprice4-D16),Volsmile,2),0)),($A16-DateToday)+15,IF(Pricetype4=1,1,0),0))),D16)))</f>
        <v>#NAME?</v>
      </c>
      <c r="N16" s="318" t="e">
        <f aca="false">IF($A16="N/A"," ",IF(Pricetype4=2,MAX(E16,0),IF(OR(Pricetype4=1,Pricetype4=4),IF(E16=0,0,(EURO(E16,Strikeprice4,0,0,($AK16+IF(Smile=TRUE(),VLOOKUP(MAX(-5,Strikeprice4-E16),Volsmile,2),0)),($A16-DateToday)+15,IF(Pricetype4=1,1,0),0))),E16)))</f>
        <v>#NAME?</v>
      </c>
      <c r="O16" s="318" t="n">
        <f aca="false">IF($A16="N/A"," ",IF(Pricetype4=2,MAX(F16,0),IF(OR(Pricetype4=1,Pricetype4=4),IF(F16=0,0,(EURO(F16,Strikeprice4,0,0,($AK16+IF(Smile=TRUE(),VLOOKUP(MAX(-5,Strikeprice4-F16),Volsmile,2),0)),($A16-DateToday)+15,IF(Pricetype4=1,1,0),0))),F16)))</f>
        <v>0</v>
      </c>
      <c r="P16" s="318" t="n">
        <f aca="false">IF($A16="N/A"," ",IF(Pricetype4=2,MAX(G16,0),IF(OR(Pricetype4=1,Pricetype4=4),IF(G16=0,0,(EURO(G16,Strikeprice4,0,0,($AK16+IF(Smile=TRUE(),VLOOKUP(MAX(-5,Strikeprice4-G16),Volsmile,2),0)),($A16-DateToday)+15,IF(Pricetype4=1,1,0),0))),G16)))</f>
        <v>0</v>
      </c>
      <c r="Q16" s="318" t="n">
        <f aca="false">IF($A16="N/A"," ",IF(Pricetype4=2,MAX(H16,0),IF(OR(Pricetype4=1,Pricetype4=4),IF(H16=0,0,(EURO(H16,Strikeprice4,0,0,($AK16+IF(Smile=TRUE(),VLOOKUP(MAX(-5,Strikeprice4-H16),Volsmile,2),0)),($A16-DateToday)+15,IF(Pricetype4=1,1,0),0))),H16)))</f>
        <v>0</v>
      </c>
      <c r="R16" s="318" t="n">
        <f aca="false">IF($A16="N/A"," ",IF(Pricetype4=2,MAX(I16,0),IF(OR(Pricetype4=1,Pricetype4=4),IF(I16=0,0,(EURO(I16,Strikeprice4,0,0,($AK16+IF(Smile=TRUE(),VLOOKUP(MAX(-5,Strikeprice4-I16),Volsmile,2),0)),($A16-DateToday)+15,IF(Pricetype4=1,1,0),0))),I16)))</f>
        <v>0</v>
      </c>
      <c r="S16" s="318" t="n">
        <f aca="false">IF($A16="N/A"," ",IF(Pricetype4=2,MAX(J16,0),IF(OR(Pricetype4=1,Pricetype4=4),IF(J16=0,0,(EURO(J16,Strikeprice4,0,0,($AK16+IF(Smile=TRUE(),VLOOKUP(MAX(-5,Strikeprice4-J16),Volsmile,2),0)),($A16-DateToday)+15,IF(Pricetype4=1,1,0),0))),J16)))</f>
        <v>0</v>
      </c>
      <c r="T16" s="318" t="n">
        <f aca="false">IF($A16="N/A"," ",IF(Pricetype4=2,MAX(K16,0),IF(OR(Pricetype4=1,Pricetype4=4),IF(K16=0,0,(EURO(K16,Strikeprice4,0,0,($AK16+IF(Smile=TRUE(),VLOOKUP(MAX(-5,Strikeprice4-K16),Volsmile,2),0)),($A16-DateToday)+15,IF(Pricetype4=1,1,0),0))),K16)))</f>
        <v>0</v>
      </c>
      <c r="U16" s="319" t="e">
        <f aca="false">IF($A16="N/A"," ",Volume4*$AM16)</f>
        <v>#N/A</v>
      </c>
      <c r="V16" s="320" t="e">
        <f aca="false">IF($A16="N/A"," ",$U16*(8*($BQ16))*L16)</f>
        <v>#N/A</v>
      </c>
      <c r="W16" s="320" t="e">
        <f aca="false">IF($A16="N/A"," ",$U16*(8*($BQ16))*M16)</f>
        <v>#N/A</v>
      </c>
      <c r="X16" s="320" t="e">
        <f aca="false">IF($A16="N/A"," ",$U16*(8*($BQ16))*N16)</f>
        <v>#N/A</v>
      </c>
      <c r="Y16" s="320" t="e">
        <f aca="false">IF($A16="N/A"," ",$U16*(8*($BR16))*O16)</f>
        <v>#N/A</v>
      </c>
      <c r="Z16" s="320" t="e">
        <f aca="false">IF($A16="N/A"," ",$U16*(8*($BR16))*P16)</f>
        <v>#N/A</v>
      </c>
      <c r="AA16" s="320" t="e">
        <f aca="false">IF($A16="N/A"," ",$U16*(8*($BR16))*Q16)</f>
        <v>#N/A</v>
      </c>
      <c r="AB16" s="320" t="e">
        <f aca="false">IF($A16="N/A"," ",$U16*(8*($BS16))*R16)</f>
        <v>#N/A</v>
      </c>
      <c r="AC16" s="320" t="e">
        <f aca="false">IF($A16="N/A"," ",$U16*(8*($BS16))*S16)</f>
        <v>#N/A</v>
      </c>
      <c r="AD16" s="320" t="e">
        <f aca="false">IF($A16="N/A"," ",$U16*(8*($BS16))*T16)</f>
        <v>#N/A</v>
      </c>
      <c r="AE16" s="320" t="e">
        <f aca="false">IF($A16="N/A"," ",SUM(V16:AD16))</f>
        <v>#N/A</v>
      </c>
      <c r="AF16" s="321" t="n">
        <f aca="false">IF(A16="N/A"," ",(VLOOKUP(A16,PowerVolTable,(IF(VolBMO4=2,7,IF(VolBMO4=1,6,8))),FALSE())))</f>
        <v>0.36</v>
      </c>
      <c r="AG16" s="321" t="n">
        <f aca="false">IF(A16="N/A"," ",(VLOOKUP(A16,IntraPowerVol,(IF(VolBMO4=2,3,IF(VolBMO4=1,2,4))),FALSE())*VLOOKUP(MONTH($A16),Volscale,2)))</f>
        <v>0.54</v>
      </c>
      <c r="AH16" s="321" t="n">
        <f aca="false">IF($A16="N/A"," ",IF(VolType4=1,AG16,AF16))</f>
        <v>0.54</v>
      </c>
      <c r="AI16" s="321" t="n">
        <f aca="false">IF($A16="N/A"," ",(VLOOKUP($A16,OffPwrVolTable,(IF(VolBMO4=2,7,IF(VolBMO4=1,6,8))),FALSE())))</f>
        <v>0.18</v>
      </c>
      <c r="AJ16" s="321" t="n">
        <f aca="false">IF($A16="N/A"," ",(VLOOKUP($A16,OffPwrVolTable,(IF(VolBMO4=2,3,IF(VolBMO4=1,2,4))),FALSE())*VLOOKUP(MONTH($A16),Volscale,2)))</f>
        <v>0.324</v>
      </c>
      <c r="AK16" s="321" t="n">
        <f aca="false">IF($A16="N/A"," ",IF(VolType4=1,AJ16,AI16))</f>
        <v>0.324</v>
      </c>
      <c r="AL16" s="321" t="e">
        <f aca="false">IF($A16="N/A"," ",IF(PV=1,0,'Pricing Inputs4'!R49))</f>
        <v>#N/A</v>
      </c>
      <c r="AM16" s="323" t="e">
        <f aca="false">IF($A16="N/A"," ",(1+AL16/2)^(-2*((EOMONTH(A16,0)+20)-DateToday)/365.25))</f>
        <v>#N/A</v>
      </c>
      <c r="BQ16" s="0" t="n">
        <f aca="false">IF($A16="N/A"," ",(VLOOKUP($A16,NumberofDaysTable,2)))</f>
        <v>22</v>
      </c>
      <c r="BR16" s="0" t="n">
        <f aca="false">IF($A16="N/A"," ",(VLOOKUP($A16,NumberofDaysTable,3)))</f>
        <v>4</v>
      </c>
      <c r="BS16" s="0" t="n">
        <f aca="false">IF($A16="N/A"," ",(VLOOKUP($A16,NumberofDaysTable,4)))</f>
        <v>5</v>
      </c>
    </row>
    <row r="17" customFormat="false" ht="12.75" hidden="false" customHeight="false" outlineLevel="0" collapsed="false">
      <c r="A17" s="315" t="n">
        <f aca="false">IF(A16="N/A","N/A",IF(EDATE(A16,1)&gt;Inputs!$R$5,"N/A",EDATE(A16,1)))</f>
        <v>37653</v>
      </c>
      <c r="B17" s="316" t="n">
        <f aca="false">IF(A17="N/A"," ",YEAR(A17))</f>
        <v>2003</v>
      </c>
      <c r="C17" s="317" t="n">
        <f aca="false">IF($A17="N/A"," ",IF(Dayrun4=10,0,IF(Scaler4=1,(VLOOKUP(A17,ScaledPrice4,4)),(VLOOKUP(A17,ScaledPrice4,2)))))</f>
        <v>32.6857130868094</v>
      </c>
      <c r="D17" s="317" t="n">
        <f aca="false">IF(A17="N/A"," ",IF(Dayrun4&gt;=7,0,IF(Scaler4=2,VLOOKUP(A17,ScaledPrice4,2),(VLOOKUP(A17,ScaledPrice4,2))*(2-(VLOOKUP(A17,ScaledPrice4,3))))))</f>
        <v>32.6857130868094</v>
      </c>
      <c r="E17" s="317" t="n">
        <f aca="false">IF($A17="N/A"," ",IF(AND(Dayrun4&gt;=4,Dayrun4&lt;=9),0,VLOOKUP($A17,ScaledPrice4,9)))</f>
        <v>19.3899993896484</v>
      </c>
      <c r="F17" s="317" t="n">
        <f aca="false">IF(A17="N/A"," ",IF(OR(Dayrun4=2,Dayrun4=3,Dayrun4=5,Dayrun4=6,Dayrun4=8,Dayrun4=9),VLOOKUP(A17,ScaledPrice4,IF(Scaler4=1,6,5)),0))</f>
        <v>0</v>
      </c>
      <c r="G17" s="317" t="n">
        <f aca="false">IF(A17="N/A"," ",IF(OR(Dayrun4=2,Dayrun4=3,Dayrun4=5,Dayrun4=6),IF(Scaler4=2,F17,(VLOOKUP(A17,ScaledPrice4,5))*(2-(VLOOKUP(A17,ScaledPrice4,3)))),0))</f>
        <v>0</v>
      </c>
      <c r="H17" s="317" t="n">
        <f aca="false">IF($A17="N/A"," ",IF(OR(Dayrun4=2,Dayrun4=3,Dayrun4=10),VLOOKUP($A17,ScaledPrice4,9),0))</f>
        <v>0</v>
      </c>
      <c r="I17" s="317" t="n">
        <f aca="false">IF(A17="N/A"," ",IF(OR(Dayrun4=3,Dayrun4=6,Dayrun4=9),(VLOOKUP(A17,ScaledPrice4,IF(Scaler4=2,7,8))),0))</f>
        <v>0</v>
      </c>
      <c r="J17" s="317" t="n">
        <f aca="false">IF(A17="N/A"," ",IF(OR(Dayrun4=3,Dayrun4=6),IF(Scaler4=2,I17,(VLOOKUP(A17,ScaledPrice4,7))*(2-(VLOOKUP(A17,ScaledPrice4,3)))),0))</f>
        <v>0</v>
      </c>
      <c r="K17" s="317" t="n">
        <f aca="false">IF($A17="N/A"," ",IF(OR(Dayrun4=3,Dayrun4=10),VLOOKUP($A17,ScaledPrice4,9),0))</f>
        <v>0</v>
      </c>
      <c r="L17" s="318" t="e">
        <f aca="false">IF($A17="N/A"," ",IF(Pricetype4=2,MAX(C17,0),IF(OR(Pricetype4=1,Pricetype4=4),IF(C17=0,0,(EURO(C17,Strikeprice4,0,0,($AH17+IF(Smile=TRUE(),VLOOKUP(MAX(-5,Strikeprice4-C17),Volsmile,2),0)),($A17-DateToday)+15,IF(Pricetype4=1,1,0),0))),C17)))</f>
        <v>#NAME?</v>
      </c>
      <c r="M17" s="318" t="e">
        <f aca="false">IF($A17="N/A"," ",IF(Pricetype4=2,MAX(D17,0),IF(OR(Pricetype4=1,Pricetype4=4),IF(D17=0,0,(EURO(D17,Strikeprice4,0,0,($AH17+IF(Smile=TRUE(),VLOOKUP(MAX(-5,Strikeprice4-D17),Volsmile,2),0)),($A17-DateToday)+15,IF(Pricetype4=1,1,0),0))),D17)))</f>
        <v>#NAME?</v>
      </c>
      <c r="N17" s="318" t="e">
        <f aca="false">IF($A17="N/A"," ",IF(Pricetype4=2,MAX(E17,0),IF(OR(Pricetype4=1,Pricetype4=4),IF(E17=0,0,(EURO(E17,Strikeprice4,0,0,($AK17+IF(Smile=TRUE(),VLOOKUP(MAX(-5,Strikeprice4-E17),Volsmile,2),0)),($A17-DateToday)+15,IF(Pricetype4=1,1,0),0))),E17)))</f>
        <v>#NAME?</v>
      </c>
      <c r="O17" s="318" t="n">
        <f aca="false">IF($A17="N/A"," ",IF(Pricetype4=2,MAX(F17,0),IF(OR(Pricetype4=1,Pricetype4=4),IF(F17=0,0,(EURO(F17,Strikeprice4,0,0,($AK17+IF(Smile=TRUE(),VLOOKUP(MAX(-5,Strikeprice4-F17),Volsmile,2),0)),($A17-DateToday)+15,IF(Pricetype4=1,1,0),0))),F17)))</f>
        <v>0</v>
      </c>
      <c r="P17" s="318" t="n">
        <f aca="false">IF($A17="N/A"," ",IF(Pricetype4=2,MAX(G17,0),IF(OR(Pricetype4=1,Pricetype4=4),IF(G17=0,0,(EURO(G17,Strikeprice4,0,0,($AK17+IF(Smile=TRUE(),VLOOKUP(MAX(-5,Strikeprice4-G17),Volsmile,2),0)),($A17-DateToday)+15,IF(Pricetype4=1,1,0),0))),G17)))</f>
        <v>0</v>
      </c>
      <c r="Q17" s="318" t="n">
        <f aca="false">IF($A17="N/A"," ",IF(Pricetype4=2,MAX(H17,0),IF(OR(Pricetype4=1,Pricetype4=4),IF(H17=0,0,(EURO(H17,Strikeprice4,0,0,($AK17+IF(Smile=TRUE(),VLOOKUP(MAX(-5,Strikeprice4-H17),Volsmile,2),0)),($A17-DateToday)+15,IF(Pricetype4=1,1,0),0))),H17)))</f>
        <v>0</v>
      </c>
      <c r="R17" s="318" t="n">
        <f aca="false">IF($A17="N/A"," ",IF(Pricetype4=2,MAX(I17,0),IF(OR(Pricetype4=1,Pricetype4=4),IF(I17=0,0,(EURO(I17,Strikeprice4,0,0,($AK17+IF(Smile=TRUE(),VLOOKUP(MAX(-5,Strikeprice4-I17),Volsmile,2),0)),($A17-DateToday)+15,IF(Pricetype4=1,1,0),0))),I17)))</f>
        <v>0</v>
      </c>
      <c r="S17" s="318" t="n">
        <f aca="false">IF($A17="N/A"," ",IF(Pricetype4=2,MAX(J17,0),IF(OR(Pricetype4=1,Pricetype4=4),IF(J17=0,0,(EURO(J17,Strikeprice4,0,0,($AK17+IF(Smile=TRUE(),VLOOKUP(MAX(-5,Strikeprice4-J17),Volsmile,2),0)),($A17-DateToday)+15,IF(Pricetype4=1,1,0),0))),J17)))</f>
        <v>0</v>
      </c>
      <c r="T17" s="318" t="n">
        <f aca="false">IF($A17="N/A"," ",IF(Pricetype4=2,MAX(K17,0),IF(OR(Pricetype4=1,Pricetype4=4),IF(K17=0,0,(EURO(K17,Strikeprice4,0,0,($AK17+IF(Smile=TRUE(),VLOOKUP(MAX(-5,Strikeprice4-K17),Volsmile,2),0)),($A17-DateToday)+15,IF(Pricetype4=1,1,0),0))),K17)))</f>
        <v>0</v>
      </c>
      <c r="U17" s="319" t="e">
        <f aca="false">IF($A17="N/A"," ",Volume4*$AM17)</f>
        <v>#N/A</v>
      </c>
      <c r="V17" s="320" t="e">
        <f aca="false">IF($A17="N/A"," ",$U17*(8*($BQ17))*L17)</f>
        <v>#N/A</v>
      </c>
      <c r="W17" s="320" t="e">
        <f aca="false">IF($A17="N/A"," ",$U17*(8*($BQ17))*M17)</f>
        <v>#N/A</v>
      </c>
      <c r="X17" s="320" t="e">
        <f aca="false">IF($A17="N/A"," ",$U17*(8*($BQ17))*N17)</f>
        <v>#N/A</v>
      </c>
      <c r="Y17" s="320" t="e">
        <f aca="false">IF($A17="N/A"," ",$U17*(8*($BR17))*O17)</f>
        <v>#N/A</v>
      </c>
      <c r="Z17" s="320" t="e">
        <f aca="false">IF($A17="N/A"," ",$U17*(8*($BR17))*P17)</f>
        <v>#N/A</v>
      </c>
      <c r="AA17" s="320" t="e">
        <f aca="false">IF($A17="N/A"," ",$U17*(8*($BR17))*Q17)</f>
        <v>#N/A</v>
      </c>
      <c r="AB17" s="320" t="e">
        <f aca="false">IF($A17="N/A"," ",$U17*(8*($BS17))*R17)</f>
        <v>#N/A</v>
      </c>
      <c r="AC17" s="320" t="e">
        <f aca="false">IF($A17="N/A"," ",$U17*(8*($BS17))*S17)</f>
        <v>#N/A</v>
      </c>
      <c r="AD17" s="320" t="e">
        <f aca="false">IF($A17="N/A"," ",$U17*(8*($BS17))*T17)</f>
        <v>#N/A</v>
      </c>
      <c r="AE17" s="320" t="e">
        <f aca="false">IF($A17="N/A"," ",SUM(V17:AD17))</f>
        <v>#N/A</v>
      </c>
      <c r="AF17" s="321" t="n">
        <f aca="false">IF(A17="N/A"," ",(VLOOKUP(A17,PowerVolTable,(IF(VolBMO4=2,7,IF(VolBMO4=1,6,8))),FALSE())))</f>
        <v>0.36</v>
      </c>
      <c r="AG17" s="321" t="n">
        <f aca="false">IF(A17="N/A"," ",(VLOOKUP(A17,IntraPowerVol,(IF(VolBMO4=2,3,IF(VolBMO4=1,2,4))),FALSE())*VLOOKUP(MONTH($A17),Volscale,2)))</f>
        <v>0.54</v>
      </c>
      <c r="AH17" s="321" t="n">
        <f aca="false">IF($A17="N/A"," ",IF(VolType4=1,AG17,AF17))</f>
        <v>0.54</v>
      </c>
      <c r="AI17" s="321" t="n">
        <f aca="false">IF($A17="N/A"," ",(VLOOKUP($A17,OffPwrVolTable,(IF(VolBMO4=2,7,IF(VolBMO4=1,6,8))),FALSE())))</f>
        <v>0.18</v>
      </c>
      <c r="AJ17" s="321" t="n">
        <f aca="false">IF($A17="N/A"," ",(VLOOKUP($A17,OffPwrVolTable,(IF(VolBMO4=2,3,IF(VolBMO4=1,2,4))),FALSE())*VLOOKUP(MONTH($A17),Volscale,2)))</f>
        <v>0.324</v>
      </c>
      <c r="AK17" s="321" t="n">
        <f aca="false">IF($A17="N/A"," ",IF(VolType4=1,AJ17,AI17))</f>
        <v>0.324</v>
      </c>
      <c r="AL17" s="321" t="e">
        <f aca="false">IF($A17="N/A"," ",IF(PV=1,0,'Pricing Inputs4'!R50))</f>
        <v>#N/A</v>
      </c>
      <c r="AM17" s="323" t="e">
        <f aca="false">IF($A17="N/A"," ",(1+AL17/2)^(-2*((EOMONTH(A17,0)+20)-DateToday)/365.25))</f>
        <v>#N/A</v>
      </c>
      <c r="BQ17" s="0" t="n">
        <f aca="false">IF($A17="N/A"," ",(VLOOKUP($A17,NumberofDaysTable,2)))</f>
        <v>20</v>
      </c>
      <c r="BR17" s="0" t="n">
        <f aca="false">IF($A17="N/A"," ",(VLOOKUP($A17,NumberofDaysTable,3)))</f>
        <v>4</v>
      </c>
      <c r="BS17" s="0" t="n">
        <f aca="false">IF($A17="N/A"," ",(VLOOKUP($A17,NumberofDaysTable,4)))</f>
        <v>4</v>
      </c>
    </row>
    <row r="18" customFormat="false" ht="12.75" hidden="false" customHeight="false" outlineLevel="0" collapsed="false">
      <c r="A18" s="315" t="n">
        <f aca="false">IF(A17="N/A","N/A",IF(EDATE(A17,1)&gt;Inputs!$R$5,"N/A",EDATE(A17,1)))</f>
        <v>37681</v>
      </c>
      <c r="B18" s="316" t="n">
        <f aca="false">IF(A18="N/A"," ",YEAR(A18))</f>
        <v>2003</v>
      </c>
      <c r="C18" s="317" t="n">
        <f aca="false">IF($A18="N/A"," ",IF(Dayrun4=10,0,IF(Scaler4=1,(VLOOKUP(A18,ScaledPrice4,4)),(VLOOKUP(A18,ScaledPrice4,2)))))</f>
        <v>31.6476779316747</v>
      </c>
      <c r="D18" s="317" t="n">
        <f aca="false">IF(A18="N/A"," ",IF(Dayrun4&gt;=7,0,IF(Scaler4=2,VLOOKUP(A18,ScaledPrice4,2),(VLOOKUP(A18,ScaledPrice4,2))*(2-(VLOOKUP(A18,ScaledPrice4,3))))))</f>
        <v>31.6476779316747</v>
      </c>
      <c r="E18" s="317" t="n">
        <f aca="false">IF($A18="N/A"," ",IF(AND(Dayrun4&gt;=4,Dayrun4&lt;=9),0,VLOOKUP($A18,ScaledPrice4,9)))</f>
        <v>20.3899993896484</v>
      </c>
      <c r="F18" s="317" t="n">
        <f aca="false">IF(A18="N/A"," ",IF(OR(Dayrun4=2,Dayrun4=3,Dayrun4=5,Dayrun4=6,Dayrun4=8,Dayrun4=9),VLOOKUP(A18,ScaledPrice4,IF(Scaler4=1,6,5)),0))</f>
        <v>0</v>
      </c>
      <c r="G18" s="317" t="n">
        <f aca="false">IF(A18="N/A"," ",IF(OR(Dayrun4=2,Dayrun4=3,Dayrun4=5,Dayrun4=6),IF(Scaler4=2,F18,(VLOOKUP(A18,ScaledPrice4,5))*(2-(VLOOKUP(A18,ScaledPrice4,3)))),0))</f>
        <v>0</v>
      </c>
      <c r="H18" s="317" t="n">
        <f aca="false">IF($A18="N/A"," ",IF(OR(Dayrun4=2,Dayrun4=3,Dayrun4=10),VLOOKUP($A18,ScaledPrice4,9),0))</f>
        <v>0</v>
      </c>
      <c r="I18" s="317" t="n">
        <f aca="false">IF(A18="N/A"," ",IF(OR(Dayrun4=3,Dayrun4=6,Dayrun4=9),(VLOOKUP(A18,ScaledPrice4,IF(Scaler4=2,7,8))),0))</f>
        <v>0</v>
      </c>
      <c r="J18" s="317" t="n">
        <f aca="false">IF(A18="N/A"," ",IF(OR(Dayrun4=3,Dayrun4=6),IF(Scaler4=2,I18,(VLOOKUP(A18,ScaledPrice4,7))*(2-(VLOOKUP(A18,ScaledPrice4,3)))),0))</f>
        <v>0</v>
      </c>
      <c r="K18" s="317" t="n">
        <f aca="false">IF($A18="N/A"," ",IF(OR(Dayrun4=3,Dayrun4=10),VLOOKUP($A18,ScaledPrice4,9),0))</f>
        <v>0</v>
      </c>
      <c r="L18" s="318" t="e">
        <f aca="false">IF($A18="N/A"," ",IF(Pricetype4=2,MAX(C18,0),IF(OR(Pricetype4=1,Pricetype4=4),IF(C18=0,0,(EURO(C18,Strikeprice4,0,0,($AH18+IF(Smile=TRUE(),VLOOKUP(MAX(-5,Strikeprice4-C18),Volsmile,2),0)),($A18-DateToday)+15,IF(Pricetype4=1,1,0),0))),C18)))</f>
        <v>#NAME?</v>
      </c>
      <c r="M18" s="318" t="e">
        <f aca="false">IF($A18="N/A"," ",IF(Pricetype4=2,MAX(D18,0),IF(OR(Pricetype4=1,Pricetype4=4),IF(D18=0,0,(EURO(D18,Strikeprice4,0,0,($AH18+IF(Smile=TRUE(),VLOOKUP(MAX(-5,Strikeprice4-D18),Volsmile,2),0)),($A18-DateToday)+15,IF(Pricetype4=1,1,0),0))),D18)))</f>
        <v>#NAME?</v>
      </c>
      <c r="N18" s="318" t="e">
        <f aca="false">IF($A18="N/A"," ",IF(Pricetype4=2,MAX(E18,0),IF(OR(Pricetype4=1,Pricetype4=4),IF(E18=0,0,(EURO(E18,Strikeprice4,0,0,($AK18+IF(Smile=TRUE(),VLOOKUP(MAX(-5,Strikeprice4-E18),Volsmile,2),0)),($A18-DateToday)+15,IF(Pricetype4=1,1,0),0))),E18)))</f>
        <v>#NAME?</v>
      </c>
      <c r="O18" s="318" t="n">
        <f aca="false">IF($A18="N/A"," ",IF(Pricetype4=2,MAX(F18,0),IF(OR(Pricetype4=1,Pricetype4=4),IF(F18=0,0,(EURO(F18,Strikeprice4,0,0,($AK18+IF(Smile=TRUE(),VLOOKUP(MAX(-5,Strikeprice4-F18),Volsmile,2),0)),($A18-DateToday)+15,IF(Pricetype4=1,1,0),0))),F18)))</f>
        <v>0</v>
      </c>
      <c r="P18" s="318" t="n">
        <f aca="false">IF($A18="N/A"," ",IF(Pricetype4=2,MAX(G18,0),IF(OR(Pricetype4=1,Pricetype4=4),IF(G18=0,0,(EURO(G18,Strikeprice4,0,0,($AK18+IF(Smile=TRUE(),VLOOKUP(MAX(-5,Strikeprice4-G18),Volsmile,2),0)),($A18-DateToday)+15,IF(Pricetype4=1,1,0),0))),G18)))</f>
        <v>0</v>
      </c>
      <c r="Q18" s="318" t="n">
        <f aca="false">IF($A18="N/A"," ",IF(Pricetype4=2,MAX(H18,0),IF(OR(Pricetype4=1,Pricetype4=4),IF(H18=0,0,(EURO(H18,Strikeprice4,0,0,($AK18+IF(Smile=TRUE(),VLOOKUP(MAX(-5,Strikeprice4-H18),Volsmile,2),0)),($A18-DateToday)+15,IF(Pricetype4=1,1,0),0))),H18)))</f>
        <v>0</v>
      </c>
      <c r="R18" s="318" t="n">
        <f aca="false">IF($A18="N/A"," ",IF(Pricetype4=2,MAX(I18,0),IF(OR(Pricetype4=1,Pricetype4=4),IF(I18=0,0,(EURO(I18,Strikeprice4,0,0,($AK18+IF(Smile=TRUE(),VLOOKUP(MAX(-5,Strikeprice4-I18),Volsmile,2),0)),($A18-DateToday)+15,IF(Pricetype4=1,1,0),0))),I18)))</f>
        <v>0</v>
      </c>
      <c r="S18" s="318" t="n">
        <f aca="false">IF($A18="N/A"," ",IF(Pricetype4=2,MAX(J18,0),IF(OR(Pricetype4=1,Pricetype4=4),IF(J18=0,0,(EURO(J18,Strikeprice4,0,0,($AK18+IF(Smile=TRUE(),VLOOKUP(MAX(-5,Strikeprice4-J18),Volsmile,2),0)),($A18-DateToday)+15,IF(Pricetype4=1,1,0),0))),J18)))</f>
        <v>0</v>
      </c>
      <c r="T18" s="318" t="n">
        <f aca="false">IF($A18="N/A"," ",IF(Pricetype4=2,MAX(K18,0),IF(OR(Pricetype4=1,Pricetype4=4),IF(K18=0,0,(EURO(K18,Strikeprice4,0,0,($AK18+IF(Smile=TRUE(),VLOOKUP(MAX(-5,Strikeprice4-K18),Volsmile,2),0)),($A18-DateToday)+15,IF(Pricetype4=1,1,0),0))),K18)))</f>
        <v>0</v>
      </c>
      <c r="U18" s="319" t="e">
        <f aca="false">IF($A18="N/A"," ",Volume4*$AM18)</f>
        <v>#N/A</v>
      </c>
      <c r="V18" s="320" t="e">
        <f aca="false">IF($A18="N/A"," ",$U18*(8*($BQ18))*L18)</f>
        <v>#N/A</v>
      </c>
      <c r="W18" s="320" t="e">
        <f aca="false">IF($A18="N/A"," ",$U18*(8*($BQ18))*M18)</f>
        <v>#N/A</v>
      </c>
      <c r="X18" s="320" t="e">
        <f aca="false">IF($A18="N/A"," ",$U18*(8*($BQ18))*N18)</f>
        <v>#N/A</v>
      </c>
      <c r="Y18" s="320" t="e">
        <f aca="false">IF($A18="N/A"," ",$U18*(8*($BR18))*O18)</f>
        <v>#N/A</v>
      </c>
      <c r="Z18" s="320" t="e">
        <f aca="false">IF($A18="N/A"," ",$U18*(8*($BR18))*P18)</f>
        <v>#N/A</v>
      </c>
      <c r="AA18" s="320" t="e">
        <f aca="false">IF($A18="N/A"," ",$U18*(8*($BR18))*Q18)</f>
        <v>#N/A</v>
      </c>
      <c r="AB18" s="320" t="e">
        <f aca="false">IF($A18="N/A"," ",$U18*(8*($BS18))*R18)</f>
        <v>#N/A</v>
      </c>
      <c r="AC18" s="320" t="e">
        <f aca="false">IF($A18="N/A"," ",$U18*(8*($BS18))*S18)</f>
        <v>#N/A</v>
      </c>
      <c r="AD18" s="320" t="e">
        <f aca="false">IF($A18="N/A"," ",$U18*(8*($BS18))*T18)</f>
        <v>#N/A</v>
      </c>
      <c r="AE18" s="320" t="e">
        <f aca="false">IF($A18="N/A"," ",SUM(V18:AD18))</f>
        <v>#N/A</v>
      </c>
      <c r="AF18" s="321" t="n">
        <f aca="false">IF(A18="N/A"," ",(VLOOKUP(A18,PowerVolTable,(IF(VolBMO4=2,7,IF(VolBMO4=1,6,8))),FALSE())))</f>
        <v>0.36</v>
      </c>
      <c r="AG18" s="321" t="n">
        <f aca="false">IF(A18="N/A"," ",(VLOOKUP(A18,IntraPowerVol,(IF(VolBMO4=2,3,IF(VolBMO4=1,2,4))),FALSE())*VLOOKUP(MONTH($A18),Volscale,2)))</f>
        <v>0.54</v>
      </c>
      <c r="AH18" s="321" t="n">
        <f aca="false">IF($A18="N/A"," ",IF(VolType4=1,AG18,AF18))</f>
        <v>0.54</v>
      </c>
      <c r="AI18" s="321" t="n">
        <f aca="false">IF($A18="N/A"," ",(VLOOKUP($A18,OffPwrVolTable,(IF(VolBMO4=2,7,IF(VolBMO4=1,6,8))),FALSE())))</f>
        <v>0.18</v>
      </c>
      <c r="AJ18" s="321" t="n">
        <f aca="false">IF($A18="N/A"," ",(VLOOKUP($A18,OffPwrVolTable,(IF(VolBMO4=2,3,IF(VolBMO4=1,2,4))),FALSE())*VLOOKUP(MONTH($A18),Volscale,2)))</f>
        <v>0.324</v>
      </c>
      <c r="AK18" s="321" t="n">
        <f aca="false">IF($A18="N/A"," ",IF(VolType4=1,AJ18,AI18))</f>
        <v>0.324</v>
      </c>
      <c r="AL18" s="321" t="e">
        <f aca="false">IF($A18="N/A"," ",IF(PV=1,0,'Pricing Inputs4'!R51))</f>
        <v>#N/A</v>
      </c>
      <c r="AM18" s="323" t="e">
        <f aca="false">IF($A18="N/A"," ",(1+AL18/2)^(-2*((EOMONTH(A18,0)+20)-DateToday)/365.25))</f>
        <v>#N/A</v>
      </c>
      <c r="BQ18" s="0" t="n">
        <f aca="false">IF($A18="N/A"," ",(VLOOKUP($A18,NumberofDaysTable,2)))</f>
        <v>21</v>
      </c>
      <c r="BR18" s="0" t="n">
        <f aca="false">IF($A18="N/A"," ",(VLOOKUP($A18,NumberofDaysTable,3)))</f>
        <v>5</v>
      </c>
      <c r="BS18" s="0" t="n">
        <f aca="false">IF($A18="N/A"," ",(VLOOKUP($A18,NumberofDaysTable,4)))</f>
        <v>5</v>
      </c>
    </row>
    <row r="19" customFormat="false" ht="12.75" hidden="false" customHeight="false" outlineLevel="0" collapsed="false">
      <c r="A19" s="315" t="n">
        <f aca="false">IF(A18="N/A","N/A",IF(EDATE(A18,1)&gt;Inputs!$R$5,"N/A",EDATE(A18,1)))</f>
        <v>37712</v>
      </c>
      <c r="B19" s="316" t="n">
        <f aca="false">IF(A19="N/A"," ",YEAR(A19))</f>
        <v>2003</v>
      </c>
      <c r="C19" s="317" t="n">
        <f aca="false">IF($A19="N/A"," ",IF(Dayrun4=10,0,IF(Scaler4=1,(VLOOKUP(A19,ScaledPrice4,4)),(VLOOKUP(A19,ScaledPrice4,2)))))</f>
        <v>31.8476710652196</v>
      </c>
      <c r="D19" s="317" t="n">
        <f aca="false">IF(A19="N/A"," ",IF(Dayrun4&gt;=7,0,IF(Scaler4=2,VLOOKUP(A19,ScaledPrice4,2),(VLOOKUP(A19,ScaledPrice4,2))*(2-(VLOOKUP(A19,ScaledPrice4,3))))))</f>
        <v>31.8476710652196</v>
      </c>
      <c r="E19" s="317" t="n">
        <f aca="false">IF($A19="N/A"," ",IF(AND(Dayrun4&gt;=4,Dayrun4&lt;=9),0,VLOOKUP($A19,ScaledPrice4,9)))</f>
        <v>17.3899993896484</v>
      </c>
      <c r="F19" s="317" t="n">
        <f aca="false">IF(A19="N/A"," ",IF(OR(Dayrun4=2,Dayrun4=3,Dayrun4=5,Dayrun4=6,Dayrun4=8,Dayrun4=9),VLOOKUP(A19,ScaledPrice4,IF(Scaler4=1,6,5)),0))</f>
        <v>0</v>
      </c>
      <c r="G19" s="317" t="n">
        <f aca="false">IF(A19="N/A"," ",IF(OR(Dayrun4=2,Dayrun4=3,Dayrun4=5,Dayrun4=6),IF(Scaler4=2,F19,(VLOOKUP(A19,ScaledPrice4,5))*(2-(VLOOKUP(A19,ScaledPrice4,3)))),0))</f>
        <v>0</v>
      </c>
      <c r="H19" s="317" t="n">
        <f aca="false">IF($A19="N/A"," ",IF(OR(Dayrun4=2,Dayrun4=3,Dayrun4=10),VLOOKUP($A19,ScaledPrice4,9),0))</f>
        <v>0</v>
      </c>
      <c r="I19" s="317" t="n">
        <f aca="false">IF(A19="N/A"," ",IF(OR(Dayrun4=3,Dayrun4=6,Dayrun4=9),(VLOOKUP(A19,ScaledPrice4,IF(Scaler4=2,7,8))),0))</f>
        <v>0</v>
      </c>
      <c r="J19" s="317" t="n">
        <f aca="false">IF(A19="N/A"," ",IF(OR(Dayrun4=3,Dayrun4=6),IF(Scaler4=2,I19,(VLOOKUP(A19,ScaledPrice4,7))*(2-(VLOOKUP(A19,ScaledPrice4,3)))),0))</f>
        <v>0</v>
      </c>
      <c r="K19" s="317" t="n">
        <f aca="false">IF($A19="N/A"," ",IF(OR(Dayrun4=3,Dayrun4=10),VLOOKUP($A19,ScaledPrice4,9),0))</f>
        <v>0</v>
      </c>
      <c r="L19" s="318" t="e">
        <f aca="false">IF($A19="N/A"," ",IF(Pricetype4=2,MAX(C19,0),IF(OR(Pricetype4=1,Pricetype4=4),IF(C19=0,0,(EURO(C19,Strikeprice4,0,0,($AH19+IF(Smile=TRUE(),VLOOKUP(MAX(-5,Strikeprice4-C19),Volsmile,2),0)),($A19-DateToday)+15,IF(Pricetype4=1,1,0),0))),C19)))</f>
        <v>#NAME?</v>
      </c>
      <c r="M19" s="318" t="e">
        <f aca="false">IF($A19="N/A"," ",IF(Pricetype4=2,MAX(D19,0),IF(OR(Pricetype4=1,Pricetype4=4),IF(D19=0,0,(EURO(D19,Strikeprice4,0,0,($AH19+IF(Smile=TRUE(),VLOOKUP(MAX(-5,Strikeprice4-D19),Volsmile,2),0)),($A19-DateToday)+15,IF(Pricetype4=1,1,0),0))),D19)))</f>
        <v>#NAME?</v>
      </c>
      <c r="N19" s="318" t="e">
        <f aca="false">IF($A19="N/A"," ",IF(Pricetype4=2,MAX(E19,0),IF(OR(Pricetype4=1,Pricetype4=4),IF(E19=0,0,(EURO(E19,Strikeprice4,0,0,($AK19+IF(Smile=TRUE(),VLOOKUP(MAX(-5,Strikeprice4-E19),Volsmile,2),0)),($A19-DateToday)+15,IF(Pricetype4=1,1,0),0))),E19)))</f>
        <v>#NAME?</v>
      </c>
      <c r="O19" s="318" t="n">
        <f aca="false">IF($A19="N/A"," ",IF(Pricetype4=2,MAX(F19,0),IF(OR(Pricetype4=1,Pricetype4=4),IF(F19=0,0,(EURO(F19,Strikeprice4,0,0,($AK19+IF(Smile=TRUE(),VLOOKUP(MAX(-5,Strikeprice4-F19),Volsmile,2),0)),($A19-DateToday)+15,IF(Pricetype4=1,1,0),0))),F19)))</f>
        <v>0</v>
      </c>
      <c r="P19" s="318" t="n">
        <f aca="false">IF($A19="N/A"," ",IF(Pricetype4=2,MAX(G19,0),IF(OR(Pricetype4=1,Pricetype4=4),IF(G19=0,0,(EURO(G19,Strikeprice4,0,0,($AK19+IF(Smile=TRUE(),VLOOKUP(MAX(-5,Strikeprice4-G19),Volsmile,2),0)),($A19-DateToday)+15,IF(Pricetype4=1,1,0),0))),G19)))</f>
        <v>0</v>
      </c>
      <c r="Q19" s="318" t="n">
        <f aca="false">IF($A19="N/A"," ",IF(Pricetype4=2,MAX(H19,0),IF(OR(Pricetype4=1,Pricetype4=4),IF(H19=0,0,(EURO(H19,Strikeprice4,0,0,($AK19+IF(Smile=TRUE(),VLOOKUP(MAX(-5,Strikeprice4-H19),Volsmile,2),0)),($A19-DateToday)+15,IF(Pricetype4=1,1,0),0))),H19)))</f>
        <v>0</v>
      </c>
      <c r="R19" s="318" t="n">
        <f aca="false">IF($A19="N/A"," ",IF(Pricetype4=2,MAX(I19,0),IF(OR(Pricetype4=1,Pricetype4=4),IF(I19=0,0,(EURO(I19,Strikeprice4,0,0,($AK19+IF(Smile=TRUE(),VLOOKUP(MAX(-5,Strikeprice4-I19),Volsmile,2),0)),($A19-DateToday)+15,IF(Pricetype4=1,1,0),0))),I19)))</f>
        <v>0</v>
      </c>
      <c r="S19" s="318" t="n">
        <f aca="false">IF($A19="N/A"," ",IF(Pricetype4=2,MAX(J19,0),IF(OR(Pricetype4=1,Pricetype4=4),IF(J19=0,0,(EURO(J19,Strikeprice4,0,0,($AK19+IF(Smile=TRUE(),VLOOKUP(MAX(-5,Strikeprice4-J19),Volsmile,2),0)),($A19-DateToday)+15,IF(Pricetype4=1,1,0),0))),J19)))</f>
        <v>0</v>
      </c>
      <c r="T19" s="318" t="n">
        <f aca="false">IF($A19="N/A"," ",IF(Pricetype4=2,MAX(K19,0),IF(OR(Pricetype4=1,Pricetype4=4),IF(K19=0,0,(EURO(K19,Strikeprice4,0,0,($AK19+IF(Smile=TRUE(),VLOOKUP(MAX(-5,Strikeprice4-K19),Volsmile,2),0)),($A19-DateToday)+15,IF(Pricetype4=1,1,0),0))),K19)))</f>
        <v>0</v>
      </c>
      <c r="U19" s="319" t="e">
        <f aca="false">IF($A19="N/A"," ",Volume4*$AM19)</f>
        <v>#N/A</v>
      </c>
      <c r="V19" s="320" t="e">
        <f aca="false">IF($A19="N/A"," ",$U19*(8*($BQ19))*L19)</f>
        <v>#N/A</v>
      </c>
      <c r="W19" s="320" t="e">
        <f aca="false">IF($A19="N/A"," ",$U19*(8*($BQ19))*M19)</f>
        <v>#N/A</v>
      </c>
      <c r="X19" s="320" t="e">
        <f aca="false">IF($A19="N/A"," ",$U19*(8*($BQ19))*N19)</f>
        <v>#N/A</v>
      </c>
      <c r="Y19" s="320" t="e">
        <f aca="false">IF($A19="N/A"," ",$U19*(8*($BR19))*O19)</f>
        <v>#N/A</v>
      </c>
      <c r="Z19" s="320" t="e">
        <f aca="false">IF($A19="N/A"," ",$U19*(8*($BR19))*P19)</f>
        <v>#N/A</v>
      </c>
      <c r="AA19" s="320" t="e">
        <f aca="false">IF($A19="N/A"," ",$U19*(8*($BR19))*Q19)</f>
        <v>#N/A</v>
      </c>
      <c r="AB19" s="320" t="e">
        <f aca="false">IF($A19="N/A"," ",$U19*(8*($BS19))*R19)</f>
        <v>#N/A</v>
      </c>
      <c r="AC19" s="320" t="e">
        <f aca="false">IF($A19="N/A"," ",$U19*(8*($BS19))*S19)</f>
        <v>#N/A</v>
      </c>
      <c r="AD19" s="320" t="e">
        <f aca="false">IF($A19="N/A"," ",$U19*(8*($BS19))*T19)</f>
        <v>#N/A</v>
      </c>
      <c r="AE19" s="320" t="e">
        <f aca="false">IF($A19="N/A"," ",SUM(V19:AD19))</f>
        <v>#N/A</v>
      </c>
      <c r="AF19" s="321" t="n">
        <f aca="false">IF(A19="N/A"," ",(VLOOKUP(A19,PowerVolTable,(IF(VolBMO4=2,7,IF(VolBMO4=1,6,8))),FALSE())))</f>
        <v>0.36</v>
      </c>
      <c r="AG19" s="321" t="n">
        <f aca="false">IF(A19="N/A"," ",(VLOOKUP(A19,IntraPowerVol,(IF(VolBMO4=2,3,IF(VolBMO4=1,2,4))),FALSE())*VLOOKUP(MONTH($A19),Volscale,2)))</f>
        <v>0.54</v>
      </c>
      <c r="AH19" s="321" t="n">
        <f aca="false">IF($A19="N/A"," ",IF(VolType4=1,AG19,AF19))</f>
        <v>0.54</v>
      </c>
      <c r="AI19" s="321" t="n">
        <f aca="false">IF($A19="N/A"," ",(VLOOKUP($A19,OffPwrVolTable,(IF(VolBMO4=2,7,IF(VolBMO4=1,6,8))),FALSE())))</f>
        <v>0.18</v>
      </c>
      <c r="AJ19" s="321" t="n">
        <f aca="false">IF($A19="N/A"," ",(VLOOKUP($A19,OffPwrVolTable,(IF(VolBMO4=2,3,IF(VolBMO4=1,2,4))),FALSE())*VLOOKUP(MONTH($A19),Volscale,2)))</f>
        <v>0.324</v>
      </c>
      <c r="AK19" s="321" t="n">
        <f aca="false">IF($A19="N/A"," ",IF(VolType4=1,AJ19,AI19))</f>
        <v>0.324</v>
      </c>
      <c r="AL19" s="321" t="e">
        <f aca="false">IF($A19="N/A"," ",IF(PV=1,0,'Pricing Inputs4'!R52))</f>
        <v>#N/A</v>
      </c>
      <c r="AM19" s="323" t="e">
        <f aca="false">IF($A19="N/A"," ",(1+AL19/2)^(-2*((EOMONTH(A19,0)+20)-DateToday)/365.25))</f>
        <v>#N/A</v>
      </c>
      <c r="BQ19" s="0" t="n">
        <f aca="false">IF($A19="N/A"," ",(VLOOKUP($A19,NumberofDaysTable,2)))</f>
        <v>22</v>
      </c>
      <c r="BR19" s="0" t="n">
        <f aca="false">IF($A19="N/A"," ",(VLOOKUP($A19,NumberofDaysTable,3)))</f>
        <v>4</v>
      </c>
      <c r="BS19" s="0" t="n">
        <f aca="false">IF($A19="N/A"," ",(VLOOKUP($A19,NumberofDaysTable,4)))</f>
        <v>4</v>
      </c>
    </row>
    <row r="20" customFormat="false" ht="12.75" hidden="false" customHeight="false" outlineLevel="0" collapsed="false">
      <c r="A20" s="315" t="n">
        <f aca="false">IF(A19="N/A","N/A",IF(EDATE(A19,1)&gt;Inputs!$R$5,"N/A",EDATE(A19,1)))</f>
        <v>37742</v>
      </c>
      <c r="B20" s="316" t="n">
        <f aca="false">IF(A20="N/A"," ",YEAR(A20))</f>
        <v>2003</v>
      </c>
      <c r="C20" s="317" t="n">
        <f aca="false">IF($A20="N/A"," ",IF(Dayrun4=10,0,IF(Scaler4=1,(VLOOKUP(A20,ScaledPrice4,4)),(VLOOKUP(A20,ScaledPrice4,2)))))</f>
        <v>35.125</v>
      </c>
      <c r="D20" s="317" t="n">
        <f aca="false">IF(A20="N/A"," ",IF(Dayrun4&gt;=7,0,IF(Scaler4=2,VLOOKUP(A20,ScaledPrice4,2),(VLOOKUP(A20,ScaledPrice4,2))*(2-(VLOOKUP(A20,ScaledPrice4,3))))))</f>
        <v>35.125</v>
      </c>
      <c r="E20" s="317" t="n">
        <f aca="false">IF($A20="N/A"," ",IF(AND(Dayrun4&gt;=4,Dayrun4&lt;=9),0,VLOOKUP($A20,ScaledPrice4,9)))</f>
        <v>17.9300003051758</v>
      </c>
      <c r="F20" s="317" t="n">
        <f aca="false">IF(A20="N/A"," ",IF(OR(Dayrun4=2,Dayrun4=3,Dayrun4=5,Dayrun4=6,Dayrun4=8,Dayrun4=9),VLOOKUP(A20,ScaledPrice4,IF(Scaler4=1,6,5)),0))</f>
        <v>0</v>
      </c>
      <c r="G20" s="317" t="n">
        <f aca="false">IF(A20="N/A"," ",IF(OR(Dayrun4=2,Dayrun4=3,Dayrun4=5,Dayrun4=6),IF(Scaler4=2,F20,(VLOOKUP(A20,ScaledPrice4,5))*(2-(VLOOKUP(A20,ScaledPrice4,3)))),0))</f>
        <v>0</v>
      </c>
      <c r="H20" s="317" t="n">
        <f aca="false">IF($A20="N/A"," ",IF(OR(Dayrun4=2,Dayrun4=3,Dayrun4=10),VLOOKUP($A20,ScaledPrice4,9),0))</f>
        <v>0</v>
      </c>
      <c r="I20" s="317" t="n">
        <f aca="false">IF(A20="N/A"," ",IF(OR(Dayrun4=3,Dayrun4=6,Dayrun4=9),(VLOOKUP(A20,ScaledPrice4,IF(Scaler4=2,7,8))),0))</f>
        <v>0</v>
      </c>
      <c r="J20" s="317" t="n">
        <f aca="false">IF(A20="N/A"," ",IF(OR(Dayrun4=3,Dayrun4=6),IF(Scaler4=2,I20,(VLOOKUP(A20,ScaledPrice4,7))*(2-(VLOOKUP(A20,ScaledPrice4,3)))),0))</f>
        <v>0</v>
      </c>
      <c r="K20" s="317" t="n">
        <f aca="false">IF($A20="N/A"," ",IF(OR(Dayrun4=3,Dayrun4=10),VLOOKUP($A20,ScaledPrice4,9),0))</f>
        <v>0</v>
      </c>
      <c r="L20" s="318" t="e">
        <f aca="false">IF($A20="N/A"," ",IF(Pricetype4=2,MAX(C20,0),IF(OR(Pricetype4=1,Pricetype4=4),IF(C20=0,0,(EURO(C20,Strikeprice4,0,0,($AH20+IF(Smile=TRUE(),VLOOKUP(MAX(-5,Strikeprice4-C20),Volsmile,2),0)),($A20-DateToday)+15,IF(Pricetype4=1,1,0),0))),C20)))</f>
        <v>#NAME?</v>
      </c>
      <c r="M20" s="318" t="e">
        <f aca="false">IF($A20="N/A"," ",IF(Pricetype4=2,MAX(D20,0),IF(OR(Pricetype4=1,Pricetype4=4),IF(D20=0,0,(EURO(D20,Strikeprice4,0,0,($AH20+IF(Smile=TRUE(),VLOOKUP(MAX(-5,Strikeprice4-D20),Volsmile,2),0)),($A20-DateToday)+15,IF(Pricetype4=1,1,0),0))),D20)))</f>
        <v>#NAME?</v>
      </c>
      <c r="N20" s="318" t="e">
        <f aca="false">IF($A20="N/A"," ",IF(Pricetype4=2,MAX(E20,0),IF(OR(Pricetype4=1,Pricetype4=4),IF(E20=0,0,(EURO(E20,Strikeprice4,0,0,($AK20+IF(Smile=TRUE(),VLOOKUP(MAX(-5,Strikeprice4-E20),Volsmile,2),0)),($A20-DateToday)+15,IF(Pricetype4=1,1,0),0))),E20)))</f>
        <v>#NAME?</v>
      </c>
      <c r="O20" s="318" t="n">
        <f aca="false">IF($A20="N/A"," ",IF(Pricetype4=2,MAX(F20,0),IF(OR(Pricetype4=1,Pricetype4=4),IF(F20=0,0,(EURO(F20,Strikeprice4,0,0,($AK20+IF(Smile=TRUE(),VLOOKUP(MAX(-5,Strikeprice4-F20),Volsmile,2),0)),($A20-DateToday)+15,IF(Pricetype4=1,1,0),0))),F20)))</f>
        <v>0</v>
      </c>
      <c r="P20" s="318" t="n">
        <f aca="false">IF($A20="N/A"," ",IF(Pricetype4=2,MAX(G20,0),IF(OR(Pricetype4=1,Pricetype4=4),IF(G20=0,0,(EURO(G20,Strikeprice4,0,0,($AK20+IF(Smile=TRUE(),VLOOKUP(MAX(-5,Strikeprice4-G20),Volsmile,2),0)),($A20-DateToday)+15,IF(Pricetype4=1,1,0),0))),G20)))</f>
        <v>0</v>
      </c>
      <c r="Q20" s="318" t="n">
        <f aca="false">IF($A20="N/A"," ",IF(Pricetype4=2,MAX(H20,0),IF(OR(Pricetype4=1,Pricetype4=4),IF(H20=0,0,(EURO(H20,Strikeprice4,0,0,($AK20+IF(Smile=TRUE(),VLOOKUP(MAX(-5,Strikeprice4-H20),Volsmile,2),0)),($A20-DateToday)+15,IF(Pricetype4=1,1,0),0))),H20)))</f>
        <v>0</v>
      </c>
      <c r="R20" s="318" t="n">
        <f aca="false">IF($A20="N/A"," ",IF(Pricetype4=2,MAX(I20,0),IF(OR(Pricetype4=1,Pricetype4=4),IF(I20=0,0,(EURO(I20,Strikeprice4,0,0,($AK20+IF(Smile=TRUE(),VLOOKUP(MAX(-5,Strikeprice4-I20),Volsmile,2),0)),($A20-DateToday)+15,IF(Pricetype4=1,1,0),0))),I20)))</f>
        <v>0</v>
      </c>
      <c r="S20" s="318" t="n">
        <f aca="false">IF($A20="N/A"," ",IF(Pricetype4=2,MAX(J20,0),IF(OR(Pricetype4=1,Pricetype4=4),IF(J20=0,0,(EURO(J20,Strikeprice4,0,0,($AK20+IF(Smile=TRUE(),VLOOKUP(MAX(-5,Strikeprice4-J20),Volsmile,2),0)),($A20-DateToday)+15,IF(Pricetype4=1,1,0),0))),J20)))</f>
        <v>0</v>
      </c>
      <c r="T20" s="318" t="n">
        <f aca="false">IF($A20="N/A"," ",IF(Pricetype4=2,MAX(K20,0),IF(OR(Pricetype4=1,Pricetype4=4),IF(K20=0,0,(EURO(K20,Strikeprice4,0,0,($AK20+IF(Smile=TRUE(),VLOOKUP(MAX(-5,Strikeprice4-K20),Volsmile,2),0)),($A20-DateToday)+15,IF(Pricetype4=1,1,0),0))),K20)))</f>
        <v>0</v>
      </c>
      <c r="U20" s="319" t="e">
        <f aca="false">IF($A20="N/A"," ",Volume4*$AM20)</f>
        <v>#N/A</v>
      </c>
      <c r="V20" s="320" t="e">
        <f aca="false">IF($A20="N/A"," ",$U20*(8*($BQ20))*L20)</f>
        <v>#N/A</v>
      </c>
      <c r="W20" s="320" t="e">
        <f aca="false">IF($A20="N/A"," ",$U20*(8*($BQ20))*M20)</f>
        <v>#N/A</v>
      </c>
      <c r="X20" s="320" t="e">
        <f aca="false">IF($A20="N/A"," ",$U20*(8*($BQ20))*N20)</f>
        <v>#N/A</v>
      </c>
      <c r="Y20" s="320" t="e">
        <f aca="false">IF($A20="N/A"," ",$U20*(8*($BR20))*O20)</f>
        <v>#N/A</v>
      </c>
      <c r="Z20" s="320" t="e">
        <f aca="false">IF($A20="N/A"," ",$U20*(8*($BR20))*P20)</f>
        <v>#N/A</v>
      </c>
      <c r="AA20" s="320" t="e">
        <f aca="false">IF($A20="N/A"," ",$U20*(8*($BR20))*Q20)</f>
        <v>#N/A</v>
      </c>
      <c r="AB20" s="320" t="e">
        <f aca="false">IF($A20="N/A"," ",$U20*(8*($BS20))*R20)</f>
        <v>#N/A</v>
      </c>
      <c r="AC20" s="320" t="e">
        <f aca="false">IF($A20="N/A"," ",$U20*(8*($BS20))*S20)</f>
        <v>#N/A</v>
      </c>
      <c r="AD20" s="320" t="e">
        <f aca="false">IF($A20="N/A"," ",$U20*(8*($BS20))*T20)</f>
        <v>#N/A</v>
      </c>
      <c r="AE20" s="320" t="e">
        <f aca="false">IF($A20="N/A"," ",SUM(V20:AD20))</f>
        <v>#N/A</v>
      </c>
      <c r="AF20" s="321" t="n">
        <f aca="false">IF(A20="N/A"," ",(VLOOKUP(A20,PowerVolTable,(IF(VolBMO4=2,7,IF(VolBMO4=1,6,8))),FALSE())))</f>
        <v>0.42</v>
      </c>
      <c r="AG20" s="321" t="n">
        <f aca="false">IF(A20="N/A"," ",(VLOOKUP(A20,IntraPowerVol,(IF(VolBMO4=2,3,IF(VolBMO4=1,2,4))),FALSE())*VLOOKUP(MONTH($A20),Volscale,2)))</f>
        <v>0.54</v>
      </c>
      <c r="AH20" s="321" t="n">
        <f aca="false">IF($A20="N/A"," ",IF(VolType4=1,AG20,AF20))</f>
        <v>0.54</v>
      </c>
      <c r="AI20" s="321" t="n">
        <f aca="false">IF($A20="N/A"," ",(VLOOKUP($A20,OffPwrVolTable,(IF(VolBMO4=2,7,IF(VolBMO4=1,6,8))),FALSE())))</f>
        <v>0.21</v>
      </c>
      <c r="AJ20" s="321" t="n">
        <f aca="false">IF($A20="N/A"," ",(VLOOKUP($A20,OffPwrVolTable,(IF(VolBMO4=2,3,IF(VolBMO4=1,2,4))),FALSE())*VLOOKUP(MONTH($A20),Volscale,2)))</f>
        <v>0.324</v>
      </c>
      <c r="AK20" s="321" t="n">
        <f aca="false">IF($A20="N/A"," ",IF(VolType4=1,AJ20,AI20))</f>
        <v>0.324</v>
      </c>
      <c r="AL20" s="321" t="e">
        <f aca="false">IF($A20="N/A"," ",IF(PV=1,0,'Pricing Inputs4'!R53))</f>
        <v>#N/A</v>
      </c>
      <c r="AM20" s="323" t="e">
        <f aca="false">IF($A20="N/A"," ",(1+AL20/2)^(-2*((EOMONTH(A20,0)+20)-DateToday)/365.25))</f>
        <v>#N/A</v>
      </c>
      <c r="BQ20" s="0" t="n">
        <f aca="false">IF($A20="N/A"," ",(VLOOKUP($A20,NumberofDaysTable,2)))</f>
        <v>21</v>
      </c>
      <c r="BR20" s="0" t="n">
        <f aca="false">IF($A20="N/A"," ",(VLOOKUP($A20,NumberofDaysTable,3)))</f>
        <v>5</v>
      </c>
      <c r="BS20" s="0" t="n">
        <f aca="false">IF($A20="N/A"," ",(VLOOKUP($A20,NumberofDaysTable,4)))</f>
        <v>5</v>
      </c>
    </row>
    <row r="21" customFormat="false" ht="12.75" hidden="false" customHeight="false" outlineLevel="0" collapsed="false">
      <c r="A21" s="315" t="n">
        <f aca="false">IF(A20="N/A","N/A",IF(EDATE(A20,1)&gt;Inputs!$R$5,"N/A",EDATE(A20,1)))</f>
        <v>37773</v>
      </c>
      <c r="B21" s="316" t="n">
        <f aca="false">IF(A21="N/A"," ",YEAR(A21))</f>
        <v>2003</v>
      </c>
      <c r="C21" s="317" t="n">
        <f aca="false">IF($A21="N/A"," ",IF(Dayrun4=10,0,IF(Scaler4=1,(VLOOKUP(A21,ScaledPrice4,4)),(VLOOKUP(A21,ScaledPrice4,2)))))</f>
        <v>43.5</v>
      </c>
      <c r="D21" s="317" t="n">
        <f aca="false">IF(A21="N/A"," ",IF(Dayrun4&gt;=7,0,IF(Scaler4=2,VLOOKUP(A21,ScaledPrice4,2),(VLOOKUP(A21,ScaledPrice4,2))*(2-(VLOOKUP(A21,ScaledPrice4,3))))))</f>
        <v>43.5</v>
      </c>
      <c r="E21" s="317" t="n">
        <f aca="false">IF($A21="N/A"," ",IF(AND(Dayrun4&gt;=4,Dayrun4&lt;=9),0,VLOOKUP($A21,ScaledPrice4,9)))</f>
        <v>20.1800003051758</v>
      </c>
      <c r="F21" s="317" t="n">
        <f aca="false">IF(A21="N/A"," ",IF(OR(Dayrun4=2,Dayrun4=3,Dayrun4=5,Dayrun4=6,Dayrun4=8,Dayrun4=9),VLOOKUP(A21,ScaledPrice4,IF(Scaler4=1,6,5)),0))</f>
        <v>0</v>
      </c>
      <c r="G21" s="317" t="n">
        <f aca="false">IF(A21="N/A"," ",IF(OR(Dayrun4=2,Dayrun4=3,Dayrun4=5,Dayrun4=6),IF(Scaler4=2,F21,(VLOOKUP(A21,ScaledPrice4,5))*(2-(VLOOKUP(A21,ScaledPrice4,3)))),0))</f>
        <v>0</v>
      </c>
      <c r="H21" s="317" t="n">
        <f aca="false">IF($A21="N/A"," ",IF(OR(Dayrun4=2,Dayrun4=3,Dayrun4=10),VLOOKUP($A21,ScaledPrice4,9),0))</f>
        <v>0</v>
      </c>
      <c r="I21" s="317" t="n">
        <f aca="false">IF(A21="N/A"," ",IF(OR(Dayrun4=3,Dayrun4=6,Dayrun4=9),(VLOOKUP(A21,ScaledPrice4,IF(Scaler4=2,7,8))),0))</f>
        <v>0</v>
      </c>
      <c r="J21" s="317" t="n">
        <f aca="false">IF(A21="N/A"," ",IF(OR(Dayrun4=3,Dayrun4=6),IF(Scaler4=2,I21,(VLOOKUP(A21,ScaledPrice4,7))*(2-(VLOOKUP(A21,ScaledPrice4,3)))),0))</f>
        <v>0</v>
      </c>
      <c r="K21" s="317" t="n">
        <f aca="false">IF($A21="N/A"," ",IF(OR(Dayrun4=3,Dayrun4=10),VLOOKUP($A21,ScaledPrice4,9),0))</f>
        <v>0</v>
      </c>
      <c r="L21" s="318" t="e">
        <f aca="false">IF($A21="N/A"," ",IF(Pricetype4=2,MAX(C21,0),IF(OR(Pricetype4=1,Pricetype4=4),IF(C21=0,0,(EURO(C21,Strikeprice4,0,0,($AH21+IF(Smile=TRUE(),VLOOKUP(MAX(-5,Strikeprice4-C21),Volsmile,2),0)),($A21-DateToday)+15,IF(Pricetype4=1,1,0),0))),C21)))</f>
        <v>#NAME?</v>
      </c>
      <c r="M21" s="318" t="e">
        <f aca="false">IF($A21="N/A"," ",IF(Pricetype4=2,MAX(D21,0),IF(OR(Pricetype4=1,Pricetype4=4),IF(D21=0,0,(EURO(D21,Strikeprice4,0,0,($AH21+IF(Smile=TRUE(),VLOOKUP(MAX(-5,Strikeprice4-D21),Volsmile,2),0)),($A21-DateToday)+15,IF(Pricetype4=1,1,0),0))),D21)))</f>
        <v>#NAME?</v>
      </c>
      <c r="N21" s="318" t="e">
        <f aca="false">IF($A21="N/A"," ",IF(Pricetype4=2,MAX(E21,0),IF(OR(Pricetype4=1,Pricetype4=4),IF(E21=0,0,(EURO(E21,Strikeprice4,0,0,($AK21+IF(Smile=TRUE(),VLOOKUP(MAX(-5,Strikeprice4-E21),Volsmile,2),0)),($A21-DateToday)+15,IF(Pricetype4=1,1,0),0))),E21)))</f>
        <v>#NAME?</v>
      </c>
      <c r="O21" s="318" t="n">
        <f aca="false">IF($A21="N/A"," ",IF(Pricetype4=2,MAX(F21,0),IF(OR(Pricetype4=1,Pricetype4=4),IF(F21=0,0,(EURO(F21,Strikeprice4,0,0,($AK21+IF(Smile=TRUE(),VLOOKUP(MAX(-5,Strikeprice4-F21),Volsmile,2),0)),($A21-DateToday)+15,IF(Pricetype4=1,1,0),0))),F21)))</f>
        <v>0</v>
      </c>
      <c r="P21" s="318" t="n">
        <f aca="false">IF($A21="N/A"," ",IF(Pricetype4=2,MAX(G21,0),IF(OR(Pricetype4=1,Pricetype4=4),IF(G21=0,0,(EURO(G21,Strikeprice4,0,0,($AK21+IF(Smile=TRUE(),VLOOKUP(MAX(-5,Strikeprice4-G21),Volsmile,2),0)),($A21-DateToday)+15,IF(Pricetype4=1,1,0),0))),G21)))</f>
        <v>0</v>
      </c>
      <c r="Q21" s="318" t="n">
        <f aca="false">IF($A21="N/A"," ",IF(Pricetype4=2,MAX(H21,0),IF(OR(Pricetype4=1,Pricetype4=4),IF(H21=0,0,(EURO(H21,Strikeprice4,0,0,($AK21+IF(Smile=TRUE(),VLOOKUP(MAX(-5,Strikeprice4-H21),Volsmile,2),0)),($A21-DateToday)+15,IF(Pricetype4=1,1,0),0))),H21)))</f>
        <v>0</v>
      </c>
      <c r="R21" s="318" t="n">
        <f aca="false">IF($A21="N/A"," ",IF(Pricetype4=2,MAX(I21,0),IF(OR(Pricetype4=1,Pricetype4=4),IF(I21=0,0,(EURO(I21,Strikeprice4,0,0,($AK21+IF(Smile=TRUE(),VLOOKUP(MAX(-5,Strikeprice4-I21),Volsmile,2),0)),($A21-DateToday)+15,IF(Pricetype4=1,1,0),0))),I21)))</f>
        <v>0</v>
      </c>
      <c r="S21" s="318" t="n">
        <f aca="false">IF($A21="N/A"," ",IF(Pricetype4=2,MAX(J21,0),IF(OR(Pricetype4=1,Pricetype4=4),IF(J21=0,0,(EURO(J21,Strikeprice4,0,0,($AK21+IF(Smile=TRUE(),VLOOKUP(MAX(-5,Strikeprice4-J21),Volsmile,2),0)),($A21-DateToday)+15,IF(Pricetype4=1,1,0),0))),J21)))</f>
        <v>0</v>
      </c>
      <c r="T21" s="318" t="n">
        <f aca="false">IF($A21="N/A"," ",IF(Pricetype4=2,MAX(K21,0),IF(OR(Pricetype4=1,Pricetype4=4),IF(K21=0,0,(EURO(K21,Strikeprice4,0,0,($AK21+IF(Smile=TRUE(),VLOOKUP(MAX(-5,Strikeprice4-K21),Volsmile,2),0)),($A21-DateToday)+15,IF(Pricetype4=1,1,0),0))),K21)))</f>
        <v>0</v>
      </c>
      <c r="U21" s="319" t="e">
        <f aca="false">IF($A21="N/A"," ",Volume4*$AM21)</f>
        <v>#N/A</v>
      </c>
      <c r="V21" s="320" t="e">
        <f aca="false">IF($A21="N/A"," ",$U21*(8*($BQ21))*L21)</f>
        <v>#N/A</v>
      </c>
      <c r="W21" s="320" t="e">
        <f aca="false">IF($A21="N/A"," ",$U21*(8*($BQ21))*M21)</f>
        <v>#N/A</v>
      </c>
      <c r="X21" s="320" t="e">
        <f aca="false">IF($A21="N/A"," ",$U21*(8*($BQ21))*N21)</f>
        <v>#N/A</v>
      </c>
      <c r="Y21" s="320" t="e">
        <f aca="false">IF($A21="N/A"," ",$U21*(8*($BR21))*O21)</f>
        <v>#N/A</v>
      </c>
      <c r="Z21" s="320" t="e">
        <f aca="false">IF($A21="N/A"," ",$U21*(8*($BR21))*P21)</f>
        <v>#N/A</v>
      </c>
      <c r="AA21" s="320" t="e">
        <f aca="false">IF($A21="N/A"," ",$U21*(8*($BR21))*Q21)</f>
        <v>#N/A</v>
      </c>
      <c r="AB21" s="320" t="e">
        <f aca="false">IF($A21="N/A"," ",$U21*(8*($BS21))*R21)</f>
        <v>#N/A</v>
      </c>
      <c r="AC21" s="320" t="e">
        <f aca="false">IF($A21="N/A"," ",$U21*(8*($BS21))*S21)</f>
        <v>#N/A</v>
      </c>
      <c r="AD21" s="320" t="e">
        <f aca="false">IF($A21="N/A"," ",$U21*(8*($BS21))*T21)</f>
        <v>#N/A</v>
      </c>
      <c r="AE21" s="320" t="e">
        <f aca="false">IF($A21="N/A"," ",SUM(V21:AD21))</f>
        <v>#N/A</v>
      </c>
      <c r="AF21" s="321" t="n">
        <f aca="false">IF(A21="N/A"," ",(VLOOKUP(A21,PowerVolTable,(IF(VolBMO4=2,7,IF(VolBMO4=1,6,8))),FALSE())))</f>
        <v>0.42</v>
      </c>
      <c r="AG21" s="321" t="n">
        <f aca="false">IF(A21="N/A"," ",(VLOOKUP(A21,IntraPowerVol,(IF(VolBMO4=2,3,IF(VolBMO4=1,2,4))),FALSE())*VLOOKUP(MONTH($A21),Volscale,2)))</f>
        <v>0.66</v>
      </c>
      <c r="AH21" s="321" t="n">
        <f aca="false">IF($A21="N/A"," ",IF(VolType4=1,AG21,AF21))</f>
        <v>0.66</v>
      </c>
      <c r="AI21" s="321" t="n">
        <f aca="false">IF($A21="N/A"," ",(VLOOKUP($A21,OffPwrVolTable,(IF(VolBMO4=2,7,IF(VolBMO4=1,6,8))),FALSE())))</f>
        <v>0.21</v>
      </c>
      <c r="AJ21" s="321" t="n">
        <f aca="false">IF($A21="N/A"," ",(VLOOKUP($A21,OffPwrVolTable,(IF(VolBMO4=2,3,IF(VolBMO4=1,2,4))),FALSE())*VLOOKUP(MONTH($A21),Volscale,2)))</f>
        <v>0.396</v>
      </c>
      <c r="AK21" s="321" t="n">
        <f aca="false">IF($A21="N/A"," ",IF(VolType4=1,AJ21,AI21))</f>
        <v>0.396</v>
      </c>
      <c r="AL21" s="321" t="e">
        <f aca="false">IF($A21="N/A"," ",IF(PV=1,0,'Pricing Inputs4'!R54))</f>
        <v>#N/A</v>
      </c>
      <c r="AM21" s="323" t="e">
        <f aca="false">IF($A21="N/A"," ",(1+AL21/2)^(-2*((EOMONTH(A21,0)+20)-DateToday)/365.25))</f>
        <v>#N/A</v>
      </c>
      <c r="BQ21" s="0" t="n">
        <f aca="false">IF($A21="N/A"," ",(VLOOKUP($A21,NumberofDaysTable,2)))</f>
        <v>21</v>
      </c>
      <c r="BR21" s="0" t="n">
        <f aca="false">IF($A21="N/A"," ",(VLOOKUP($A21,NumberofDaysTable,3)))</f>
        <v>4</v>
      </c>
      <c r="BS21" s="0" t="n">
        <f aca="false">IF($A21="N/A"," ",(VLOOKUP($A21,NumberofDaysTable,4)))</f>
        <v>5</v>
      </c>
    </row>
    <row r="22" customFormat="false" ht="12.75" hidden="false" customHeight="false" outlineLevel="0" collapsed="false">
      <c r="A22" s="315" t="n">
        <f aca="false">IF(A21="N/A","N/A",IF(EDATE(A21,1)&gt;Inputs!$R$5,"N/A",EDATE(A21,1)))</f>
        <v>37803</v>
      </c>
      <c r="B22" s="316" t="n">
        <f aca="false">IF(A22="N/A"," ",YEAR(A22))</f>
        <v>2003</v>
      </c>
      <c r="C22" s="317" t="n">
        <f aca="false">IF($A22="N/A"," ",IF(Dayrun4=10,0,IF(Scaler4=1,(VLOOKUP(A22,ScaledPrice4,4)),(VLOOKUP(A22,ScaledPrice4,2)))))</f>
        <v>54.5</v>
      </c>
      <c r="D22" s="317" t="n">
        <f aca="false">IF(A22="N/A"," ",IF(Dayrun4&gt;=7,0,IF(Scaler4=2,VLOOKUP(A22,ScaledPrice4,2),(VLOOKUP(A22,ScaledPrice4,2))*(2-(VLOOKUP(A22,ScaledPrice4,3))))))</f>
        <v>54.5</v>
      </c>
      <c r="E22" s="317" t="n">
        <f aca="false">IF($A22="N/A"," ",IF(AND(Dayrun4&gt;=4,Dayrun4&lt;=9),0,VLOOKUP($A22,ScaledPrice4,9)))</f>
        <v>20.6800003051758</v>
      </c>
      <c r="F22" s="317" t="n">
        <f aca="false">IF(A22="N/A"," ",IF(OR(Dayrun4=2,Dayrun4=3,Dayrun4=5,Dayrun4=6,Dayrun4=8,Dayrun4=9),VLOOKUP(A22,ScaledPrice4,IF(Scaler4=1,6,5)),0))</f>
        <v>0</v>
      </c>
      <c r="G22" s="317" t="n">
        <f aca="false">IF(A22="N/A"," ",IF(OR(Dayrun4=2,Dayrun4=3,Dayrun4=5,Dayrun4=6),IF(Scaler4=2,F22,(VLOOKUP(A22,ScaledPrice4,5))*(2-(VLOOKUP(A22,ScaledPrice4,3)))),0))</f>
        <v>0</v>
      </c>
      <c r="H22" s="317" t="n">
        <f aca="false">IF($A22="N/A"," ",IF(OR(Dayrun4=2,Dayrun4=3,Dayrun4=10),VLOOKUP($A22,ScaledPrice4,9),0))</f>
        <v>0</v>
      </c>
      <c r="I22" s="317" t="n">
        <f aca="false">IF(A22="N/A"," ",IF(OR(Dayrun4=3,Dayrun4=6,Dayrun4=9),(VLOOKUP(A22,ScaledPrice4,IF(Scaler4=2,7,8))),0))</f>
        <v>0</v>
      </c>
      <c r="J22" s="317" t="n">
        <f aca="false">IF(A22="N/A"," ",IF(OR(Dayrun4=3,Dayrun4=6),IF(Scaler4=2,I22,(VLOOKUP(A22,ScaledPrice4,7))*(2-(VLOOKUP(A22,ScaledPrice4,3)))),0))</f>
        <v>0</v>
      </c>
      <c r="K22" s="317" t="n">
        <f aca="false">IF($A22="N/A"," ",IF(OR(Dayrun4=3,Dayrun4=10),VLOOKUP($A22,ScaledPrice4,9),0))</f>
        <v>0</v>
      </c>
      <c r="L22" s="318" t="e">
        <f aca="false">IF($A22="N/A"," ",IF(Pricetype4=2,MAX(C22,0),IF(OR(Pricetype4=1,Pricetype4=4),IF(C22=0,0,(EURO(C22,Strikeprice4,0,0,($AH22+IF(Smile=TRUE(),VLOOKUP(MAX(-5,Strikeprice4-C22),Volsmile,2),0)),($A22-DateToday)+15,IF(Pricetype4=1,1,0),0))),C22)))</f>
        <v>#NAME?</v>
      </c>
      <c r="M22" s="318" t="e">
        <f aca="false">IF($A22="N/A"," ",IF(Pricetype4=2,MAX(D22,0),IF(OR(Pricetype4=1,Pricetype4=4),IF(D22=0,0,(EURO(D22,Strikeprice4,0,0,($AH22+IF(Smile=TRUE(),VLOOKUP(MAX(-5,Strikeprice4-D22),Volsmile,2),0)),($A22-DateToday)+15,IF(Pricetype4=1,1,0),0))),D22)))</f>
        <v>#NAME?</v>
      </c>
      <c r="N22" s="318" t="e">
        <f aca="false">IF($A22="N/A"," ",IF(Pricetype4=2,MAX(E22,0),IF(OR(Pricetype4=1,Pricetype4=4),IF(E22=0,0,(EURO(E22,Strikeprice4,0,0,($AK22+IF(Smile=TRUE(),VLOOKUP(MAX(-5,Strikeprice4-E22),Volsmile,2),0)),($A22-DateToday)+15,IF(Pricetype4=1,1,0),0))),E22)))</f>
        <v>#NAME?</v>
      </c>
      <c r="O22" s="318" t="n">
        <f aca="false">IF($A22="N/A"," ",IF(Pricetype4=2,MAX(F22,0),IF(OR(Pricetype4=1,Pricetype4=4),IF(F22=0,0,(EURO(F22,Strikeprice4,0,0,($AK22+IF(Smile=TRUE(),VLOOKUP(MAX(-5,Strikeprice4-F22),Volsmile,2),0)),($A22-DateToday)+15,IF(Pricetype4=1,1,0),0))),F22)))</f>
        <v>0</v>
      </c>
      <c r="P22" s="318" t="n">
        <f aca="false">IF($A22="N/A"," ",IF(Pricetype4=2,MAX(G22,0),IF(OR(Pricetype4=1,Pricetype4=4),IF(G22=0,0,(EURO(G22,Strikeprice4,0,0,($AK22+IF(Smile=TRUE(),VLOOKUP(MAX(-5,Strikeprice4-G22),Volsmile,2),0)),($A22-DateToday)+15,IF(Pricetype4=1,1,0),0))),G22)))</f>
        <v>0</v>
      </c>
      <c r="Q22" s="318" t="n">
        <f aca="false">IF($A22="N/A"," ",IF(Pricetype4=2,MAX(H22,0),IF(OR(Pricetype4=1,Pricetype4=4),IF(H22=0,0,(EURO(H22,Strikeprice4,0,0,($AK22+IF(Smile=TRUE(),VLOOKUP(MAX(-5,Strikeprice4-H22),Volsmile,2),0)),($A22-DateToday)+15,IF(Pricetype4=1,1,0),0))),H22)))</f>
        <v>0</v>
      </c>
      <c r="R22" s="318" t="n">
        <f aca="false">IF($A22="N/A"," ",IF(Pricetype4=2,MAX(I22,0),IF(OR(Pricetype4=1,Pricetype4=4),IF(I22=0,0,(EURO(I22,Strikeprice4,0,0,($AK22+IF(Smile=TRUE(),VLOOKUP(MAX(-5,Strikeprice4-I22),Volsmile,2),0)),($A22-DateToday)+15,IF(Pricetype4=1,1,0),0))),I22)))</f>
        <v>0</v>
      </c>
      <c r="S22" s="318" t="n">
        <f aca="false">IF($A22="N/A"," ",IF(Pricetype4=2,MAX(J22,0),IF(OR(Pricetype4=1,Pricetype4=4),IF(J22=0,0,(EURO(J22,Strikeprice4,0,0,($AK22+IF(Smile=TRUE(),VLOOKUP(MAX(-5,Strikeprice4-J22),Volsmile,2),0)),($A22-DateToday)+15,IF(Pricetype4=1,1,0),0))),J22)))</f>
        <v>0</v>
      </c>
      <c r="T22" s="318" t="n">
        <f aca="false">IF($A22="N/A"," ",IF(Pricetype4=2,MAX(K22,0),IF(OR(Pricetype4=1,Pricetype4=4),IF(K22=0,0,(EURO(K22,Strikeprice4,0,0,($AK22+IF(Smile=TRUE(),VLOOKUP(MAX(-5,Strikeprice4-K22),Volsmile,2),0)),($A22-DateToday)+15,IF(Pricetype4=1,1,0),0))),K22)))</f>
        <v>0</v>
      </c>
      <c r="U22" s="319" t="e">
        <f aca="false">IF($A22="N/A"," ",Volume4*$AM22)</f>
        <v>#N/A</v>
      </c>
      <c r="V22" s="320" t="e">
        <f aca="false">IF($A22="N/A"," ",$U22*(8*($BQ22))*L22)</f>
        <v>#N/A</v>
      </c>
      <c r="W22" s="320" t="e">
        <f aca="false">IF($A22="N/A"," ",$U22*(8*($BQ22))*M22)</f>
        <v>#N/A</v>
      </c>
      <c r="X22" s="320" t="e">
        <f aca="false">IF($A22="N/A"," ",$U22*(8*($BQ22))*N22)</f>
        <v>#N/A</v>
      </c>
      <c r="Y22" s="320" t="e">
        <f aca="false">IF($A22="N/A"," ",$U22*(8*($BR22))*O22)</f>
        <v>#N/A</v>
      </c>
      <c r="Z22" s="320" t="e">
        <f aca="false">IF($A22="N/A"," ",$U22*(8*($BR22))*P22)</f>
        <v>#N/A</v>
      </c>
      <c r="AA22" s="320" t="e">
        <f aca="false">IF($A22="N/A"," ",$U22*(8*($BR22))*Q22)</f>
        <v>#N/A</v>
      </c>
      <c r="AB22" s="320" t="e">
        <f aca="false">IF($A22="N/A"," ",$U22*(8*($BS22))*R22)</f>
        <v>#N/A</v>
      </c>
      <c r="AC22" s="320" t="e">
        <f aca="false">IF($A22="N/A"," ",$U22*(8*($BS22))*S22)</f>
        <v>#N/A</v>
      </c>
      <c r="AD22" s="320" t="e">
        <f aca="false">IF($A22="N/A"," ",$U22*(8*($BS22))*T22)</f>
        <v>#N/A</v>
      </c>
      <c r="AE22" s="320" t="e">
        <f aca="false">IF($A22="N/A"," ",SUM(V22:AD22))</f>
        <v>#N/A</v>
      </c>
      <c r="AF22" s="321" t="n">
        <f aca="false">IF(A22="N/A"," ",(VLOOKUP(A22,PowerVolTable,(IF(VolBMO4=2,7,IF(VolBMO4=1,6,8))),FALSE())))</f>
        <v>0.468</v>
      </c>
      <c r="AG22" s="321" t="n">
        <f aca="false">IF(A22="N/A"," ",(VLOOKUP(A22,IntraPowerVol,(IF(VolBMO4=2,3,IF(VolBMO4=1,2,4))),FALSE())*VLOOKUP(MONTH($A22),Volscale,2)))</f>
        <v>0.84</v>
      </c>
      <c r="AH22" s="321" t="n">
        <f aca="false">IF($A22="N/A"," ",IF(VolType4=1,AG22,AF22))</f>
        <v>0.84</v>
      </c>
      <c r="AI22" s="321" t="n">
        <f aca="false">IF($A22="N/A"," ",(VLOOKUP($A22,OffPwrVolTable,(IF(VolBMO4=2,7,IF(VolBMO4=1,6,8))),FALSE())))</f>
        <v>0.234</v>
      </c>
      <c r="AJ22" s="321" t="n">
        <f aca="false">IF($A22="N/A"," ",(VLOOKUP($A22,OffPwrVolTable,(IF(VolBMO4=2,3,IF(VolBMO4=1,2,4))),FALSE())*VLOOKUP(MONTH($A22),Volscale,2)))</f>
        <v>0.504</v>
      </c>
      <c r="AK22" s="321" t="n">
        <f aca="false">IF($A22="N/A"," ",IF(VolType4=1,AJ22,AI22))</f>
        <v>0.504</v>
      </c>
      <c r="AL22" s="321" t="e">
        <f aca="false">IF($A22="N/A"," ",IF(PV=1,0,'Pricing Inputs4'!R55))</f>
        <v>#N/A</v>
      </c>
      <c r="AM22" s="323" t="e">
        <f aca="false">IF($A22="N/A"," ",(1+AL22/2)^(-2*((EOMONTH(A22,0)+20)-DateToday)/365.25))</f>
        <v>#N/A</v>
      </c>
      <c r="BQ22" s="0" t="n">
        <f aca="false">IF($A22="N/A"," ",(VLOOKUP($A22,NumberofDaysTable,2)))</f>
        <v>22</v>
      </c>
      <c r="BR22" s="0" t="n">
        <f aca="false">IF($A22="N/A"," ",(VLOOKUP($A22,NumberofDaysTable,3)))</f>
        <v>4</v>
      </c>
      <c r="BS22" s="0" t="n">
        <f aca="false">IF($A22="N/A"," ",(VLOOKUP($A22,NumberofDaysTable,4)))</f>
        <v>5</v>
      </c>
    </row>
    <row r="23" customFormat="false" ht="12.75" hidden="false" customHeight="false" outlineLevel="0" collapsed="false">
      <c r="A23" s="315" t="n">
        <f aca="false">IF(A22="N/A","N/A",IF(EDATE(A22,1)&gt;Inputs!$R$5,"N/A",EDATE(A22,1)))</f>
        <v>37834</v>
      </c>
      <c r="B23" s="316" t="n">
        <f aca="false">IF(A23="N/A"," ",YEAR(A23))</f>
        <v>2003</v>
      </c>
      <c r="C23" s="317" t="n">
        <f aca="false">IF($A23="N/A"," ",IF(Dayrun4=10,0,IF(Scaler4=1,(VLOOKUP(A23,ScaledPrice4,4)),(VLOOKUP(A23,ScaledPrice4,2)))))</f>
        <v>54.5</v>
      </c>
      <c r="D23" s="317" t="n">
        <f aca="false">IF(A23="N/A"," ",IF(Dayrun4&gt;=7,0,IF(Scaler4=2,VLOOKUP(A23,ScaledPrice4,2),(VLOOKUP(A23,ScaledPrice4,2))*(2-(VLOOKUP(A23,ScaledPrice4,3))))))</f>
        <v>54.5</v>
      </c>
      <c r="E23" s="317" t="n">
        <f aca="false">IF($A23="N/A"," ",IF(AND(Dayrun4&gt;=4,Dayrun4&lt;=9),0,VLOOKUP($A23,ScaledPrice4,9)))</f>
        <v>21.6800003051758</v>
      </c>
      <c r="F23" s="317" t="n">
        <f aca="false">IF(A23="N/A"," ",IF(OR(Dayrun4=2,Dayrun4=3,Dayrun4=5,Dayrun4=6,Dayrun4=8,Dayrun4=9),VLOOKUP(A23,ScaledPrice4,IF(Scaler4=1,6,5)),0))</f>
        <v>0</v>
      </c>
      <c r="G23" s="317" t="n">
        <f aca="false">IF(A23="N/A"," ",IF(OR(Dayrun4=2,Dayrun4=3,Dayrun4=5,Dayrun4=6),IF(Scaler4=2,F23,(VLOOKUP(A23,ScaledPrice4,5))*(2-(VLOOKUP(A23,ScaledPrice4,3)))),0))</f>
        <v>0</v>
      </c>
      <c r="H23" s="317" t="n">
        <f aca="false">IF($A23="N/A"," ",IF(OR(Dayrun4=2,Dayrun4=3,Dayrun4=10),VLOOKUP($A23,ScaledPrice4,9),0))</f>
        <v>0</v>
      </c>
      <c r="I23" s="317" t="n">
        <f aca="false">IF(A23="N/A"," ",IF(OR(Dayrun4=3,Dayrun4=6,Dayrun4=9),(VLOOKUP(A23,ScaledPrice4,IF(Scaler4=2,7,8))),0))</f>
        <v>0</v>
      </c>
      <c r="J23" s="317" t="n">
        <f aca="false">IF(A23="N/A"," ",IF(OR(Dayrun4=3,Dayrun4=6),IF(Scaler4=2,I23,(VLOOKUP(A23,ScaledPrice4,7))*(2-(VLOOKUP(A23,ScaledPrice4,3)))),0))</f>
        <v>0</v>
      </c>
      <c r="K23" s="317" t="n">
        <f aca="false">IF($A23="N/A"," ",IF(OR(Dayrun4=3,Dayrun4=10),VLOOKUP($A23,ScaledPrice4,9),0))</f>
        <v>0</v>
      </c>
      <c r="L23" s="318" t="e">
        <f aca="false">IF($A23="N/A"," ",IF(Pricetype4=2,MAX(C23,0),IF(OR(Pricetype4=1,Pricetype4=4),IF(C23=0,0,(EURO(C23,Strikeprice4,0,0,($AH23+IF(Smile=TRUE(),VLOOKUP(MAX(-5,Strikeprice4-C23),Volsmile,2),0)),($A23-DateToday)+15,IF(Pricetype4=1,1,0),0))),C23)))</f>
        <v>#NAME?</v>
      </c>
      <c r="M23" s="318" t="e">
        <f aca="false">IF($A23="N/A"," ",IF(Pricetype4=2,MAX(D23,0),IF(OR(Pricetype4=1,Pricetype4=4),IF(D23=0,0,(EURO(D23,Strikeprice4,0,0,($AH23+IF(Smile=TRUE(),VLOOKUP(MAX(-5,Strikeprice4-D23),Volsmile,2),0)),($A23-DateToday)+15,IF(Pricetype4=1,1,0),0))),D23)))</f>
        <v>#NAME?</v>
      </c>
      <c r="N23" s="318" t="e">
        <f aca="false">IF($A23="N/A"," ",IF(Pricetype4=2,MAX(E23,0),IF(OR(Pricetype4=1,Pricetype4=4),IF(E23=0,0,(EURO(E23,Strikeprice4,0,0,($AK23+IF(Smile=TRUE(),VLOOKUP(MAX(-5,Strikeprice4-E23),Volsmile,2),0)),($A23-DateToday)+15,IF(Pricetype4=1,1,0),0))),E23)))</f>
        <v>#NAME?</v>
      </c>
      <c r="O23" s="318" t="n">
        <f aca="false">IF($A23="N/A"," ",IF(Pricetype4=2,MAX(F23,0),IF(OR(Pricetype4=1,Pricetype4=4),IF(F23=0,0,(EURO(F23,Strikeprice4,0,0,($AK23+IF(Smile=TRUE(),VLOOKUP(MAX(-5,Strikeprice4-F23),Volsmile,2),0)),($A23-DateToday)+15,IF(Pricetype4=1,1,0),0))),F23)))</f>
        <v>0</v>
      </c>
      <c r="P23" s="318" t="n">
        <f aca="false">IF($A23="N/A"," ",IF(Pricetype4=2,MAX(G23,0),IF(OR(Pricetype4=1,Pricetype4=4),IF(G23=0,0,(EURO(G23,Strikeprice4,0,0,($AK23+IF(Smile=TRUE(),VLOOKUP(MAX(-5,Strikeprice4-G23),Volsmile,2),0)),($A23-DateToday)+15,IF(Pricetype4=1,1,0),0))),G23)))</f>
        <v>0</v>
      </c>
      <c r="Q23" s="318" t="n">
        <f aca="false">IF($A23="N/A"," ",IF(Pricetype4=2,MAX(H23,0),IF(OR(Pricetype4=1,Pricetype4=4),IF(H23=0,0,(EURO(H23,Strikeprice4,0,0,($AK23+IF(Smile=TRUE(),VLOOKUP(MAX(-5,Strikeprice4-H23),Volsmile,2),0)),($A23-DateToday)+15,IF(Pricetype4=1,1,0),0))),H23)))</f>
        <v>0</v>
      </c>
      <c r="R23" s="318" t="n">
        <f aca="false">IF($A23="N/A"," ",IF(Pricetype4=2,MAX(I23,0),IF(OR(Pricetype4=1,Pricetype4=4),IF(I23=0,0,(EURO(I23,Strikeprice4,0,0,($AK23+IF(Smile=TRUE(),VLOOKUP(MAX(-5,Strikeprice4-I23),Volsmile,2),0)),($A23-DateToday)+15,IF(Pricetype4=1,1,0),0))),I23)))</f>
        <v>0</v>
      </c>
      <c r="S23" s="318" t="n">
        <f aca="false">IF($A23="N/A"," ",IF(Pricetype4=2,MAX(J23,0),IF(OR(Pricetype4=1,Pricetype4=4),IF(J23=0,0,(EURO(J23,Strikeprice4,0,0,($AK23+IF(Smile=TRUE(),VLOOKUP(MAX(-5,Strikeprice4-J23),Volsmile,2),0)),($A23-DateToday)+15,IF(Pricetype4=1,1,0),0))),J23)))</f>
        <v>0</v>
      </c>
      <c r="T23" s="318" t="n">
        <f aca="false">IF($A23="N/A"," ",IF(Pricetype4=2,MAX(K23,0),IF(OR(Pricetype4=1,Pricetype4=4),IF(K23=0,0,(EURO(K23,Strikeprice4,0,0,($AK23+IF(Smile=TRUE(),VLOOKUP(MAX(-5,Strikeprice4-K23),Volsmile,2),0)),($A23-DateToday)+15,IF(Pricetype4=1,1,0),0))),K23)))</f>
        <v>0</v>
      </c>
      <c r="U23" s="319" t="e">
        <f aca="false">IF($A23="N/A"," ",Volume4*$AM23)</f>
        <v>#N/A</v>
      </c>
      <c r="V23" s="320" t="e">
        <f aca="false">IF($A23="N/A"," ",$U23*(8*($BQ23))*L23)</f>
        <v>#N/A</v>
      </c>
      <c r="W23" s="320" t="e">
        <f aca="false">IF($A23="N/A"," ",$U23*(8*($BQ23))*M23)</f>
        <v>#N/A</v>
      </c>
      <c r="X23" s="320" t="e">
        <f aca="false">IF($A23="N/A"," ",$U23*(8*($BQ23))*N23)</f>
        <v>#N/A</v>
      </c>
      <c r="Y23" s="320" t="e">
        <f aca="false">IF($A23="N/A"," ",$U23*(8*($BR23))*O23)</f>
        <v>#N/A</v>
      </c>
      <c r="Z23" s="320" t="e">
        <f aca="false">IF($A23="N/A"," ",$U23*(8*($BR23))*P23)</f>
        <v>#N/A</v>
      </c>
      <c r="AA23" s="320" t="e">
        <f aca="false">IF($A23="N/A"," ",$U23*(8*($BR23))*Q23)</f>
        <v>#N/A</v>
      </c>
      <c r="AB23" s="320" t="e">
        <f aca="false">IF($A23="N/A"," ",$U23*(8*($BS23))*R23)</f>
        <v>#N/A</v>
      </c>
      <c r="AC23" s="320" t="e">
        <f aca="false">IF($A23="N/A"," ",$U23*(8*($BS23))*S23)</f>
        <v>#N/A</v>
      </c>
      <c r="AD23" s="320" t="e">
        <f aca="false">IF($A23="N/A"," ",$U23*(8*($BS23))*T23)</f>
        <v>#N/A</v>
      </c>
      <c r="AE23" s="320" t="e">
        <f aca="false">IF($A23="N/A"," ",SUM(V23:AD23))</f>
        <v>#N/A</v>
      </c>
      <c r="AF23" s="321" t="n">
        <f aca="false">IF(A23="N/A"," ",(VLOOKUP(A23,PowerVolTable,(IF(VolBMO4=2,7,IF(VolBMO4=1,6,8))),FALSE())))</f>
        <v>0.468</v>
      </c>
      <c r="AG23" s="321" t="n">
        <f aca="false">IF(A23="N/A"," ",(VLOOKUP(A23,IntraPowerVol,(IF(VolBMO4=2,3,IF(VolBMO4=1,2,4))),FALSE())*VLOOKUP(MONTH($A23),Volscale,2)))</f>
        <v>0.84</v>
      </c>
      <c r="AH23" s="321" t="n">
        <f aca="false">IF($A23="N/A"," ",IF(VolType4=1,AG23,AF23))</f>
        <v>0.84</v>
      </c>
      <c r="AI23" s="321" t="n">
        <f aca="false">IF($A23="N/A"," ",(VLOOKUP($A23,OffPwrVolTable,(IF(VolBMO4=2,7,IF(VolBMO4=1,6,8))),FALSE())))</f>
        <v>0.234</v>
      </c>
      <c r="AJ23" s="321" t="n">
        <f aca="false">IF($A23="N/A"," ",(VLOOKUP($A23,OffPwrVolTable,(IF(VolBMO4=2,3,IF(VolBMO4=1,2,4))),FALSE())*VLOOKUP(MONTH($A23),Volscale,2)))</f>
        <v>0.504</v>
      </c>
      <c r="AK23" s="321" t="n">
        <f aca="false">IF($A23="N/A"," ",IF(VolType4=1,AJ23,AI23))</f>
        <v>0.504</v>
      </c>
      <c r="AL23" s="321" t="e">
        <f aca="false">IF($A23="N/A"," ",IF(PV=1,0,'Pricing Inputs4'!R56))</f>
        <v>#N/A</v>
      </c>
      <c r="AM23" s="323" t="e">
        <f aca="false">IF($A23="N/A"," ",(1+AL23/2)^(-2*((EOMONTH(A23,0)+20)-DateToday)/365.25))</f>
        <v>#N/A</v>
      </c>
      <c r="BQ23" s="0" t="n">
        <f aca="false">IF($A23="N/A"," ",(VLOOKUP($A23,NumberofDaysTable,2)))</f>
        <v>21</v>
      </c>
      <c r="BR23" s="0" t="n">
        <f aca="false">IF($A23="N/A"," ",(VLOOKUP($A23,NumberofDaysTable,3)))</f>
        <v>5</v>
      </c>
      <c r="BS23" s="0" t="n">
        <f aca="false">IF($A23="N/A"," ",(VLOOKUP($A23,NumberofDaysTable,4)))</f>
        <v>5</v>
      </c>
    </row>
    <row r="24" customFormat="false" ht="12.75" hidden="false" customHeight="false" outlineLevel="0" collapsed="false">
      <c r="A24" s="315" t="n">
        <f aca="false">IF(A23="N/A","N/A",IF(EDATE(A23,1)&gt;Inputs!$R$5,"N/A",EDATE(A23,1)))</f>
        <v>37865</v>
      </c>
      <c r="B24" s="316" t="n">
        <f aca="false">IF(A24="N/A"," ",YEAR(A24))</f>
        <v>2003</v>
      </c>
      <c r="C24" s="317" t="n">
        <f aca="false">IF($A24="N/A"," ",IF(Dayrun4=10,0,IF(Scaler4=1,(VLOOKUP(A24,ScaledPrice4,4)),(VLOOKUP(A24,ScaledPrice4,2)))))</f>
        <v>30</v>
      </c>
      <c r="D24" s="317" t="n">
        <f aca="false">IF(A24="N/A"," ",IF(Dayrun4&gt;=7,0,IF(Scaler4=2,VLOOKUP(A24,ScaledPrice4,2),(VLOOKUP(A24,ScaledPrice4,2))*(2-(VLOOKUP(A24,ScaledPrice4,3))))))</f>
        <v>30</v>
      </c>
      <c r="E24" s="317" t="n">
        <f aca="false">IF($A24="N/A"," ",IF(AND(Dayrun4&gt;=4,Dayrun4&lt;=9),0,VLOOKUP($A24,ScaledPrice4,9)))</f>
        <v>15.6800003051758</v>
      </c>
      <c r="F24" s="317" t="n">
        <f aca="false">IF(A24="N/A"," ",IF(OR(Dayrun4=2,Dayrun4=3,Dayrun4=5,Dayrun4=6,Dayrun4=8,Dayrun4=9),VLOOKUP(A24,ScaledPrice4,IF(Scaler4=1,6,5)),0))</f>
        <v>0</v>
      </c>
      <c r="G24" s="317" t="n">
        <f aca="false">IF(A24="N/A"," ",IF(OR(Dayrun4=2,Dayrun4=3,Dayrun4=5,Dayrun4=6),IF(Scaler4=2,F24,(VLOOKUP(A24,ScaledPrice4,5))*(2-(VLOOKUP(A24,ScaledPrice4,3)))),0))</f>
        <v>0</v>
      </c>
      <c r="H24" s="317" t="n">
        <f aca="false">IF($A24="N/A"," ",IF(OR(Dayrun4=2,Dayrun4=3,Dayrun4=10),VLOOKUP($A24,ScaledPrice4,9),0))</f>
        <v>0</v>
      </c>
      <c r="I24" s="317" t="n">
        <f aca="false">IF(A24="N/A"," ",IF(OR(Dayrun4=3,Dayrun4=6,Dayrun4=9),(VLOOKUP(A24,ScaledPrice4,IF(Scaler4=2,7,8))),0))</f>
        <v>0</v>
      </c>
      <c r="J24" s="317" t="n">
        <f aca="false">IF(A24="N/A"," ",IF(OR(Dayrun4=3,Dayrun4=6),IF(Scaler4=2,I24,(VLOOKUP(A24,ScaledPrice4,7))*(2-(VLOOKUP(A24,ScaledPrice4,3)))),0))</f>
        <v>0</v>
      </c>
      <c r="K24" s="317" t="n">
        <f aca="false">IF($A24="N/A"," ",IF(OR(Dayrun4=3,Dayrun4=10),VLOOKUP($A24,ScaledPrice4,9),0))</f>
        <v>0</v>
      </c>
      <c r="L24" s="318" t="e">
        <f aca="false">IF($A24="N/A"," ",IF(Pricetype4=2,MAX(C24,0),IF(OR(Pricetype4=1,Pricetype4=4),IF(C24=0,0,(EURO(C24,Strikeprice4,0,0,($AH24+IF(Smile=TRUE(),VLOOKUP(MAX(-5,Strikeprice4-C24),Volsmile,2),0)),($A24-DateToday)+15,IF(Pricetype4=1,1,0),0))),C24)))</f>
        <v>#NAME?</v>
      </c>
      <c r="M24" s="318" t="e">
        <f aca="false">IF($A24="N/A"," ",IF(Pricetype4=2,MAX(D24,0),IF(OR(Pricetype4=1,Pricetype4=4),IF(D24=0,0,(EURO(D24,Strikeprice4,0,0,($AH24+IF(Smile=TRUE(),VLOOKUP(MAX(-5,Strikeprice4-D24),Volsmile,2),0)),($A24-DateToday)+15,IF(Pricetype4=1,1,0),0))),D24)))</f>
        <v>#NAME?</v>
      </c>
      <c r="N24" s="318" t="e">
        <f aca="false">IF($A24="N/A"," ",IF(Pricetype4=2,MAX(E24,0),IF(OR(Pricetype4=1,Pricetype4=4),IF(E24=0,0,(EURO(E24,Strikeprice4,0,0,($AK24+IF(Smile=TRUE(),VLOOKUP(MAX(-5,Strikeprice4-E24),Volsmile,2),0)),($A24-DateToday)+15,IF(Pricetype4=1,1,0),0))),E24)))</f>
        <v>#NAME?</v>
      </c>
      <c r="O24" s="318" t="n">
        <f aca="false">IF($A24="N/A"," ",IF(Pricetype4=2,MAX(F24,0),IF(OR(Pricetype4=1,Pricetype4=4),IF(F24=0,0,(EURO(F24,Strikeprice4,0,0,($AK24+IF(Smile=TRUE(),VLOOKUP(MAX(-5,Strikeprice4-F24),Volsmile,2),0)),($A24-DateToday)+15,IF(Pricetype4=1,1,0),0))),F24)))</f>
        <v>0</v>
      </c>
      <c r="P24" s="318" t="n">
        <f aca="false">IF($A24="N/A"," ",IF(Pricetype4=2,MAX(G24,0),IF(OR(Pricetype4=1,Pricetype4=4),IF(G24=0,0,(EURO(G24,Strikeprice4,0,0,($AK24+IF(Smile=TRUE(),VLOOKUP(MAX(-5,Strikeprice4-G24),Volsmile,2),0)),($A24-DateToday)+15,IF(Pricetype4=1,1,0),0))),G24)))</f>
        <v>0</v>
      </c>
      <c r="Q24" s="318" t="n">
        <f aca="false">IF($A24="N/A"," ",IF(Pricetype4=2,MAX(H24,0),IF(OR(Pricetype4=1,Pricetype4=4),IF(H24=0,0,(EURO(H24,Strikeprice4,0,0,($AK24+IF(Smile=TRUE(),VLOOKUP(MAX(-5,Strikeprice4-H24),Volsmile,2),0)),($A24-DateToday)+15,IF(Pricetype4=1,1,0),0))),H24)))</f>
        <v>0</v>
      </c>
      <c r="R24" s="318" t="n">
        <f aca="false">IF($A24="N/A"," ",IF(Pricetype4=2,MAX(I24,0),IF(OR(Pricetype4=1,Pricetype4=4),IF(I24=0,0,(EURO(I24,Strikeprice4,0,0,($AK24+IF(Smile=TRUE(),VLOOKUP(MAX(-5,Strikeprice4-I24),Volsmile,2),0)),($A24-DateToday)+15,IF(Pricetype4=1,1,0),0))),I24)))</f>
        <v>0</v>
      </c>
      <c r="S24" s="318" t="n">
        <f aca="false">IF($A24="N/A"," ",IF(Pricetype4=2,MAX(J24,0),IF(OR(Pricetype4=1,Pricetype4=4),IF(J24=0,0,(EURO(J24,Strikeprice4,0,0,($AK24+IF(Smile=TRUE(),VLOOKUP(MAX(-5,Strikeprice4-J24),Volsmile,2),0)),($A24-DateToday)+15,IF(Pricetype4=1,1,0),0))),J24)))</f>
        <v>0</v>
      </c>
      <c r="T24" s="318" t="n">
        <f aca="false">IF($A24="N/A"," ",IF(Pricetype4=2,MAX(K24,0),IF(OR(Pricetype4=1,Pricetype4=4),IF(K24=0,0,(EURO(K24,Strikeprice4,0,0,($AK24+IF(Smile=TRUE(),VLOOKUP(MAX(-5,Strikeprice4-K24),Volsmile,2),0)),($A24-DateToday)+15,IF(Pricetype4=1,1,0),0))),K24)))</f>
        <v>0</v>
      </c>
      <c r="U24" s="319" t="e">
        <f aca="false">IF($A24="N/A"," ",Volume4*$AM24)</f>
        <v>#N/A</v>
      </c>
      <c r="V24" s="320" t="e">
        <f aca="false">IF($A24="N/A"," ",$U24*(8*($BQ24))*L24)</f>
        <v>#N/A</v>
      </c>
      <c r="W24" s="320" t="e">
        <f aca="false">IF($A24="N/A"," ",$U24*(8*($BQ24))*M24)</f>
        <v>#N/A</v>
      </c>
      <c r="X24" s="320" t="e">
        <f aca="false">IF($A24="N/A"," ",$U24*(8*($BQ24))*N24)</f>
        <v>#N/A</v>
      </c>
      <c r="Y24" s="320" t="e">
        <f aca="false">IF($A24="N/A"," ",$U24*(8*($BR24))*O24)</f>
        <v>#N/A</v>
      </c>
      <c r="Z24" s="320" t="e">
        <f aca="false">IF($A24="N/A"," ",$U24*(8*($BR24))*P24)</f>
        <v>#N/A</v>
      </c>
      <c r="AA24" s="320" t="e">
        <f aca="false">IF($A24="N/A"," ",$U24*(8*($BR24))*Q24)</f>
        <v>#N/A</v>
      </c>
      <c r="AB24" s="320" t="e">
        <f aca="false">IF($A24="N/A"," ",$U24*(8*($BS24))*R24)</f>
        <v>#N/A</v>
      </c>
      <c r="AC24" s="320" t="e">
        <f aca="false">IF($A24="N/A"," ",$U24*(8*($BS24))*S24)</f>
        <v>#N/A</v>
      </c>
      <c r="AD24" s="320" t="e">
        <f aca="false">IF($A24="N/A"," ",$U24*(8*($BS24))*T24)</f>
        <v>#N/A</v>
      </c>
      <c r="AE24" s="320" t="e">
        <f aca="false">IF($A24="N/A"," ",SUM(V24:AD24))</f>
        <v>#N/A</v>
      </c>
      <c r="AF24" s="321" t="n">
        <f aca="false">IF(A24="N/A"," ",(VLOOKUP(A24,PowerVolTable,(IF(VolBMO4=2,7,IF(VolBMO4=1,6,8))),FALSE())))</f>
        <v>0.3</v>
      </c>
      <c r="AG24" s="321" t="n">
        <f aca="false">IF(A24="N/A"," ",(VLOOKUP(A24,IntraPowerVol,(IF(VolBMO4=2,3,IF(VolBMO4=1,2,4))),FALSE())*VLOOKUP(MONTH($A24),Volscale,2)))</f>
        <v>0.42</v>
      </c>
      <c r="AH24" s="321" t="n">
        <f aca="false">IF($A24="N/A"," ",IF(VolType4=1,AG24,AF24))</f>
        <v>0.42</v>
      </c>
      <c r="AI24" s="321" t="n">
        <f aca="false">IF($A24="N/A"," ",(VLOOKUP($A24,OffPwrVolTable,(IF(VolBMO4=2,7,IF(VolBMO4=1,6,8))),FALSE())))</f>
        <v>0.15</v>
      </c>
      <c r="AJ24" s="321" t="n">
        <f aca="false">IF($A24="N/A"," ",(VLOOKUP($A24,OffPwrVolTable,(IF(VolBMO4=2,3,IF(VolBMO4=1,2,4))),FALSE())*VLOOKUP(MONTH($A24),Volscale,2)))</f>
        <v>0.252</v>
      </c>
      <c r="AK24" s="321" t="n">
        <f aca="false">IF($A24="N/A"," ",IF(VolType4=1,AJ24,AI24))</f>
        <v>0.252</v>
      </c>
      <c r="AL24" s="321" t="e">
        <f aca="false">IF($A24="N/A"," ",IF(PV=1,0,'Pricing Inputs4'!R57))</f>
        <v>#N/A</v>
      </c>
      <c r="AM24" s="323" t="e">
        <f aca="false">IF($A24="N/A"," ",(1+AL24/2)^(-2*((EOMONTH(A24,0)+20)-DateToday)/365.25))</f>
        <v>#N/A</v>
      </c>
      <c r="BQ24" s="0" t="n">
        <f aca="false">IF($A24="N/A"," ",(VLOOKUP($A24,NumberofDaysTable,2)))</f>
        <v>21</v>
      </c>
      <c r="BR24" s="0" t="n">
        <f aca="false">IF($A24="N/A"," ",(VLOOKUP($A24,NumberofDaysTable,3)))</f>
        <v>4</v>
      </c>
      <c r="BS24" s="0" t="n">
        <f aca="false">IF($A24="N/A"," ",(VLOOKUP($A24,NumberofDaysTable,4)))</f>
        <v>5</v>
      </c>
    </row>
    <row r="25" customFormat="false" ht="12.75" hidden="false" customHeight="false" outlineLevel="0" collapsed="false">
      <c r="A25" s="315" t="n">
        <f aca="false">IF(A24="N/A","N/A",IF(EDATE(A24,1)&gt;Inputs!$R$5,"N/A",EDATE(A24,1)))</f>
        <v>37895</v>
      </c>
      <c r="B25" s="316" t="n">
        <f aca="false">IF(A25="N/A"," ",YEAR(A25))</f>
        <v>2003</v>
      </c>
      <c r="C25" s="317" t="n">
        <f aca="false">IF($A25="N/A"," ",IF(Dayrun4=10,0,IF(Scaler4=1,(VLOOKUP(A25,ScaledPrice4,4)),(VLOOKUP(A25,ScaledPrice4,2)))))</f>
        <v>30.4015640020371</v>
      </c>
      <c r="D25" s="317" t="n">
        <f aca="false">IF(A25="N/A"," ",IF(Dayrun4&gt;=7,0,IF(Scaler4=2,VLOOKUP(A25,ScaledPrice4,2),(VLOOKUP(A25,ScaledPrice4,2))*(2-(VLOOKUP(A25,ScaledPrice4,3))))))</f>
        <v>30.4015640020371</v>
      </c>
      <c r="E25" s="317" t="n">
        <f aca="false">IF($A25="N/A"," ",IF(AND(Dayrun4&gt;=4,Dayrun4&lt;=9),0,VLOOKUP($A25,ScaledPrice4,9)))</f>
        <v>15.1800022125244</v>
      </c>
      <c r="F25" s="317" t="n">
        <f aca="false">IF(A25="N/A"," ",IF(OR(Dayrun4=2,Dayrun4=3,Dayrun4=5,Dayrun4=6,Dayrun4=8,Dayrun4=9),VLOOKUP(A25,ScaledPrice4,IF(Scaler4=1,6,5)),0))</f>
        <v>0</v>
      </c>
      <c r="G25" s="317" t="n">
        <f aca="false">IF(A25="N/A"," ",IF(OR(Dayrun4=2,Dayrun4=3,Dayrun4=5,Dayrun4=6),IF(Scaler4=2,F25,(VLOOKUP(A25,ScaledPrice4,5))*(2-(VLOOKUP(A25,ScaledPrice4,3)))),0))</f>
        <v>0</v>
      </c>
      <c r="H25" s="317" t="n">
        <f aca="false">IF($A25="N/A"," ",IF(OR(Dayrun4=2,Dayrun4=3,Dayrun4=10),VLOOKUP($A25,ScaledPrice4,9),0))</f>
        <v>0</v>
      </c>
      <c r="I25" s="317" t="n">
        <f aca="false">IF(A25="N/A"," ",IF(OR(Dayrun4=3,Dayrun4=6,Dayrun4=9),(VLOOKUP(A25,ScaledPrice4,IF(Scaler4=2,7,8))),0))</f>
        <v>0</v>
      </c>
      <c r="J25" s="317" t="n">
        <f aca="false">IF(A25="N/A"," ",IF(OR(Dayrun4=3,Dayrun4=6),IF(Scaler4=2,I25,(VLOOKUP(A25,ScaledPrice4,7))*(2-(VLOOKUP(A25,ScaledPrice4,3)))),0))</f>
        <v>0</v>
      </c>
      <c r="K25" s="317" t="n">
        <f aca="false">IF($A25="N/A"," ",IF(OR(Dayrun4=3,Dayrun4=10),VLOOKUP($A25,ScaledPrice4,9),0))</f>
        <v>0</v>
      </c>
      <c r="L25" s="318" t="e">
        <f aca="false">IF($A25="N/A"," ",IF(Pricetype4=2,MAX(C25,0),IF(OR(Pricetype4=1,Pricetype4=4),IF(C25=0,0,(EURO(C25,Strikeprice4,0,0,($AH25+IF(Smile=TRUE(),VLOOKUP(MAX(-5,Strikeprice4-C25),Volsmile,2),0)),($A25-DateToday)+15,IF(Pricetype4=1,1,0),0))),C25)))</f>
        <v>#NAME?</v>
      </c>
      <c r="M25" s="318" t="e">
        <f aca="false">IF($A25="N/A"," ",IF(Pricetype4=2,MAX(D25,0),IF(OR(Pricetype4=1,Pricetype4=4),IF(D25=0,0,(EURO(D25,Strikeprice4,0,0,($AH25+IF(Smile=TRUE(),VLOOKUP(MAX(-5,Strikeprice4-D25),Volsmile,2),0)),($A25-DateToday)+15,IF(Pricetype4=1,1,0),0))),D25)))</f>
        <v>#NAME?</v>
      </c>
      <c r="N25" s="318" t="e">
        <f aca="false">IF($A25="N/A"," ",IF(Pricetype4=2,MAX(E25,0),IF(OR(Pricetype4=1,Pricetype4=4),IF(E25=0,0,(EURO(E25,Strikeprice4,0,0,($AK25+IF(Smile=TRUE(),VLOOKUP(MAX(-5,Strikeprice4-E25),Volsmile,2),0)),($A25-DateToday)+15,IF(Pricetype4=1,1,0),0))),E25)))</f>
        <v>#NAME?</v>
      </c>
      <c r="O25" s="318" t="n">
        <f aca="false">IF($A25="N/A"," ",IF(Pricetype4=2,MAX(F25,0),IF(OR(Pricetype4=1,Pricetype4=4),IF(F25=0,0,(EURO(F25,Strikeprice4,0,0,($AK25+IF(Smile=TRUE(),VLOOKUP(MAX(-5,Strikeprice4-F25),Volsmile,2),0)),($A25-DateToday)+15,IF(Pricetype4=1,1,0),0))),F25)))</f>
        <v>0</v>
      </c>
      <c r="P25" s="318" t="n">
        <f aca="false">IF($A25="N/A"," ",IF(Pricetype4=2,MAX(G25,0),IF(OR(Pricetype4=1,Pricetype4=4),IF(G25=0,0,(EURO(G25,Strikeprice4,0,0,($AK25+IF(Smile=TRUE(),VLOOKUP(MAX(-5,Strikeprice4-G25),Volsmile,2),0)),($A25-DateToday)+15,IF(Pricetype4=1,1,0),0))),G25)))</f>
        <v>0</v>
      </c>
      <c r="Q25" s="318" t="n">
        <f aca="false">IF($A25="N/A"," ",IF(Pricetype4=2,MAX(H25,0),IF(OR(Pricetype4=1,Pricetype4=4),IF(H25=0,0,(EURO(H25,Strikeprice4,0,0,($AK25+IF(Smile=TRUE(),VLOOKUP(MAX(-5,Strikeprice4-H25),Volsmile,2),0)),($A25-DateToday)+15,IF(Pricetype4=1,1,0),0))),H25)))</f>
        <v>0</v>
      </c>
      <c r="R25" s="318" t="n">
        <f aca="false">IF($A25="N/A"," ",IF(Pricetype4=2,MAX(I25,0),IF(OR(Pricetype4=1,Pricetype4=4),IF(I25=0,0,(EURO(I25,Strikeprice4,0,0,($AK25+IF(Smile=TRUE(),VLOOKUP(MAX(-5,Strikeprice4-I25),Volsmile,2),0)),($A25-DateToday)+15,IF(Pricetype4=1,1,0),0))),I25)))</f>
        <v>0</v>
      </c>
      <c r="S25" s="318" t="n">
        <f aca="false">IF($A25="N/A"," ",IF(Pricetype4=2,MAX(J25,0),IF(OR(Pricetype4=1,Pricetype4=4),IF(J25=0,0,(EURO(J25,Strikeprice4,0,0,($AK25+IF(Smile=TRUE(),VLOOKUP(MAX(-5,Strikeprice4-J25),Volsmile,2),0)),($A25-DateToday)+15,IF(Pricetype4=1,1,0),0))),J25)))</f>
        <v>0</v>
      </c>
      <c r="T25" s="318" t="n">
        <f aca="false">IF($A25="N/A"," ",IF(Pricetype4=2,MAX(K25,0),IF(OR(Pricetype4=1,Pricetype4=4),IF(K25=0,0,(EURO(K25,Strikeprice4,0,0,($AK25+IF(Smile=TRUE(),VLOOKUP(MAX(-5,Strikeprice4-K25),Volsmile,2),0)),($A25-DateToday)+15,IF(Pricetype4=1,1,0),0))),K25)))</f>
        <v>0</v>
      </c>
      <c r="U25" s="319" t="e">
        <f aca="false">IF($A25="N/A"," ",Volume4*$AM25)</f>
        <v>#N/A</v>
      </c>
      <c r="V25" s="320" t="e">
        <f aca="false">IF($A25="N/A"," ",$U25*(8*($BQ25))*L25)</f>
        <v>#N/A</v>
      </c>
      <c r="W25" s="320" t="e">
        <f aca="false">IF($A25="N/A"," ",$U25*(8*($BQ25))*M25)</f>
        <v>#N/A</v>
      </c>
      <c r="X25" s="320" t="e">
        <f aca="false">IF($A25="N/A"," ",$U25*(8*($BQ25))*N25)</f>
        <v>#N/A</v>
      </c>
      <c r="Y25" s="320" t="e">
        <f aca="false">IF($A25="N/A"," ",$U25*(8*($BR25))*O25)</f>
        <v>#N/A</v>
      </c>
      <c r="Z25" s="320" t="e">
        <f aca="false">IF($A25="N/A"," ",$U25*(8*($BR25))*P25)</f>
        <v>#N/A</v>
      </c>
      <c r="AA25" s="320" t="e">
        <f aca="false">IF($A25="N/A"," ",$U25*(8*($BR25))*Q25)</f>
        <v>#N/A</v>
      </c>
      <c r="AB25" s="320" t="e">
        <f aca="false">IF($A25="N/A"," ",$U25*(8*($BS25))*R25)</f>
        <v>#N/A</v>
      </c>
      <c r="AC25" s="320" t="e">
        <f aca="false">IF($A25="N/A"," ",$U25*(8*($BS25))*S25)</f>
        <v>#N/A</v>
      </c>
      <c r="AD25" s="320" t="e">
        <f aca="false">IF($A25="N/A"," ",$U25*(8*($BS25))*T25)</f>
        <v>#N/A</v>
      </c>
      <c r="AE25" s="320" t="e">
        <f aca="false">IF($A25="N/A"," ",SUM(V25:AD25))</f>
        <v>#N/A</v>
      </c>
      <c r="AF25" s="321" t="n">
        <f aca="false">IF(A25="N/A"," ",(VLOOKUP(A25,PowerVolTable,(IF(VolBMO4=2,7,IF(VolBMO4=1,6,8))),FALSE())))</f>
        <v>0.3</v>
      </c>
      <c r="AG25" s="321" t="n">
        <f aca="false">IF(A25="N/A"," ",(VLOOKUP(A25,IntraPowerVol,(IF(VolBMO4=2,3,IF(VolBMO4=1,2,4))),FALSE())*VLOOKUP(MONTH($A25),Volscale,2)))</f>
        <v>0.42</v>
      </c>
      <c r="AH25" s="321" t="n">
        <f aca="false">IF($A25="N/A"," ",IF(VolType4=1,AG25,AF25))</f>
        <v>0.42</v>
      </c>
      <c r="AI25" s="321" t="n">
        <f aca="false">IF($A25="N/A"," ",(VLOOKUP($A25,OffPwrVolTable,(IF(VolBMO4=2,7,IF(VolBMO4=1,6,8))),FALSE())))</f>
        <v>0.15</v>
      </c>
      <c r="AJ25" s="321" t="n">
        <f aca="false">IF($A25="N/A"," ",(VLOOKUP($A25,OffPwrVolTable,(IF(VolBMO4=2,3,IF(VolBMO4=1,2,4))),FALSE())*VLOOKUP(MONTH($A25),Volscale,2)))</f>
        <v>0.252</v>
      </c>
      <c r="AK25" s="321" t="n">
        <f aca="false">IF($A25="N/A"," ",IF(VolType4=1,AJ25,AI25))</f>
        <v>0.252</v>
      </c>
      <c r="AL25" s="321" t="e">
        <f aca="false">IF($A25="N/A"," ",IF(PV=1,0,'Pricing Inputs4'!R58))</f>
        <v>#N/A</v>
      </c>
      <c r="AM25" s="323" t="e">
        <f aca="false">IF($A25="N/A"," ",(1+AL25/2)^(-2*((EOMONTH(A25,0)+20)-DateToday)/365.25))</f>
        <v>#N/A</v>
      </c>
      <c r="BQ25" s="0" t="n">
        <f aca="false">IF($A25="N/A"," ",(VLOOKUP($A25,NumberofDaysTable,2)))</f>
        <v>23</v>
      </c>
      <c r="BR25" s="0" t="n">
        <f aca="false">IF($A25="N/A"," ",(VLOOKUP($A25,NumberofDaysTable,3)))</f>
        <v>4</v>
      </c>
      <c r="BS25" s="0" t="n">
        <f aca="false">IF($A25="N/A"," ",(VLOOKUP($A25,NumberofDaysTable,4)))</f>
        <v>4</v>
      </c>
    </row>
    <row r="26" customFormat="false" ht="12.75" hidden="false" customHeight="false" outlineLevel="0" collapsed="false">
      <c r="A26" s="315" t="n">
        <f aca="false">IF(A25="N/A","N/A",IF(EDATE(A25,1)&gt;Inputs!$R$5,"N/A",EDATE(A25,1)))</f>
        <v>37926</v>
      </c>
      <c r="B26" s="316" t="n">
        <f aca="false">IF(A26="N/A"," ",YEAR(A26))</f>
        <v>2003</v>
      </c>
      <c r="C26" s="317" t="n">
        <f aca="false">IF($A26="N/A"," ",IF(Dayrun4=10,0,IF(Scaler4=1,(VLOOKUP(A26,ScaledPrice4,4)),(VLOOKUP(A26,ScaledPrice4,2)))))</f>
        <v>30.5015624761581</v>
      </c>
      <c r="D26" s="317" t="n">
        <f aca="false">IF(A26="N/A"," ",IF(Dayrun4&gt;=7,0,IF(Scaler4=2,VLOOKUP(A26,ScaledPrice4,2),(VLOOKUP(A26,ScaledPrice4,2))*(2-(VLOOKUP(A26,ScaledPrice4,3))))))</f>
        <v>30.5015624761581</v>
      </c>
      <c r="E26" s="317" t="n">
        <f aca="false">IF($A26="N/A"," ",IF(AND(Dayrun4&gt;=4,Dayrun4&lt;=9),0,VLOOKUP($A26,ScaledPrice4,9)))</f>
        <v>16.1800003051758</v>
      </c>
      <c r="F26" s="317" t="n">
        <f aca="false">IF(A26="N/A"," ",IF(OR(Dayrun4=2,Dayrun4=3,Dayrun4=5,Dayrun4=6,Dayrun4=8,Dayrun4=9),VLOOKUP(A26,ScaledPrice4,IF(Scaler4=1,6,5)),0))</f>
        <v>0</v>
      </c>
      <c r="G26" s="317" t="n">
        <f aca="false">IF(A26="N/A"," ",IF(OR(Dayrun4=2,Dayrun4=3,Dayrun4=5,Dayrun4=6),IF(Scaler4=2,F26,(VLOOKUP(A26,ScaledPrice4,5))*(2-(VLOOKUP(A26,ScaledPrice4,3)))),0))</f>
        <v>0</v>
      </c>
      <c r="H26" s="317" t="n">
        <f aca="false">IF($A26="N/A"," ",IF(OR(Dayrun4=2,Dayrun4=3,Dayrun4=10),VLOOKUP($A26,ScaledPrice4,9),0))</f>
        <v>0</v>
      </c>
      <c r="I26" s="317" t="n">
        <f aca="false">IF(A26="N/A"," ",IF(OR(Dayrun4=3,Dayrun4=6,Dayrun4=9),(VLOOKUP(A26,ScaledPrice4,IF(Scaler4=2,7,8))),0))</f>
        <v>0</v>
      </c>
      <c r="J26" s="317" t="n">
        <f aca="false">IF(A26="N/A"," ",IF(OR(Dayrun4=3,Dayrun4=6),IF(Scaler4=2,I26,(VLOOKUP(A26,ScaledPrice4,7))*(2-(VLOOKUP(A26,ScaledPrice4,3)))),0))</f>
        <v>0</v>
      </c>
      <c r="K26" s="317" t="n">
        <f aca="false">IF($A26="N/A"," ",IF(OR(Dayrun4=3,Dayrun4=10),VLOOKUP($A26,ScaledPrice4,9),0))</f>
        <v>0</v>
      </c>
      <c r="L26" s="318" t="e">
        <f aca="false">IF($A26="N/A"," ",IF(Pricetype4=2,MAX(C26,0),IF(OR(Pricetype4=1,Pricetype4=4),IF(C26=0,0,(EURO(C26,Strikeprice4,0,0,($AH26+IF(Smile=TRUE(),VLOOKUP(MAX(-5,Strikeprice4-C26),Volsmile,2),0)),($A26-DateToday)+15,IF(Pricetype4=1,1,0),0))),C26)))</f>
        <v>#NAME?</v>
      </c>
      <c r="M26" s="318" t="e">
        <f aca="false">IF($A26="N/A"," ",IF(Pricetype4=2,MAX(D26,0),IF(OR(Pricetype4=1,Pricetype4=4),IF(D26=0,0,(EURO(D26,Strikeprice4,0,0,($AH26+IF(Smile=TRUE(),VLOOKUP(MAX(-5,Strikeprice4-D26),Volsmile,2),0)),($A26-DateToday)+15,IF(Pricetype4=1,1,0),0))),D26)))</f>
        <v>#NAME?</v>
      </c>
      <c r="N26" s="318" t="e">
        <f aca="false">IF($A26="N/A"," ",IF(Pricetype4=2,MAX(E26,0),IF(OR(Pricetype4=1,Pricetype4=4),IF(E26=0,0,(EURO(E26,Strikeprice4,0,0,($AK26+IF(Smile=TRUE(),VLOOKUP(MAX(-5,Strikeprice4-E26),Volsmile,2),0)),($A26-DateToday)+15,IF(Pricetype4=1,1,0),0))),E26)))</f>
        <v>#NAME?</v>
      </c>
      <c r="O26" s="318" t="n">
        <f aca="false">IF($A26="N/A"," ",IF(Pricetype4=2,MAX(F26,0),IF(OR(Pricetype4=1,Pricetype4=4),IF(F26=0,0,(EURO(F26,Strikeprice4,0,0,($AK26+IF(Smile=TRUE(),VLOOKUP(MAX(-5,Strikeprice4-F26),Volsmile,2),0)),($A26-DateToday)+15,IF(Pricetype4=1,1,0),0))),F26)))</f>
        <v>0</v>
      </c>
      <c r="P26" s="318" t="n">
        <f aca="false">IF($A26="N/A"," ",IF(Pricetype4=2,MAX(G26,0),IF(OR(Pricetype4=1,Pricetype4=4),IF(G26=0,0,(EURO(G26,Strikeprice4,0,0,($AK26+IF(Smile=TRUE(),VLOOKUP(MAX(-5,Strikeprice4-G26),Volsmile,2),0)),($A26-DateToday)+15,IF(Pricetype4=1,1,0),0))),G26)))</f>
        <v>0</v>
      </c>
      <c r="Q26" s="318" t="n">
        <f aca="false">IF($A26="N/A"," ",IF(Pricetype4=2,MAX(H26,0),IF(OR(Pricetype4=1,Pricetype4=4),IF(H26=0,0,(EURO(H26,Strikeprice4,0,0,($AK26+IF(Smile=TRUE(),VLOOKUP(MAX(-5,Strikeprice4-H26),Volsmile,2),0)),($A26-DateToday)+15,IF(Pricetype4=1,1,0),0))),H26)))</f>
        <v>0</v>
      </c>
      <c r="R26" s="318" t="n">
        <f aca="false">IF($A26="N/A"," ",IF(Pricetype4=2,MAX(I26,0),IF(OR(Pricetype4=1,Pricetype4=4),IF(I26=0,0,(EURO(I26,Strikeprice4,0,0,($AK26+IF(Smile=TRUE(),VLOOKUP(MAX(-5,Strikeprice4-I26),Volsmile,2),0)),($A26-DateToday)+15,IF(Pricetype4=1,1,0),0))),I26)))</f>
        <v>0</v>
      </c>
      <c r="S26" s="318" t="n">
        <f aca="false">IF($A26="N/A"," ",IF(Pricetype4=2,MAX(J26,0),IF(OR(Pricetype4=1,Pricetype4=4),IF(J26=0,0,(EURO(J26,Strikeprice4,0,0,($AK26+IF(Smile=TRUE(),VLOOKUP(MAX(-5,Strikeprice4-J26),Volsmile,2),0)),($A26-DateToday)+15,IF(Pricetype4=1,1,0),0))),J26)))</f>
        <v>0</v>
      </c>
      <c r="T26" s="318" t="n">
        <f aca="false">IF($A26="N/A"," ",IF(Pricetype4=2,MAX(K26,0),IF(OR(Pricetype4=1,Pricetype4=4),IF(K26=0,0,(EURO(K26,Strikeprice4,0,0,($AK26+IF(Smile=TRUE(),VLOOKUP(MAX(-5,Strikeprice4-K26),Volsmile,2),0)),($A26-DateToday)+15,IF(Pricetype4=1,1,0),0))),K26)))</f>
        <v>0</v>
      </c>
      <c r="U26" s="319" t="e">
        <f aca="false">IF($A26="N/A"," ",Volume4*$AM26)</f>
        <v>#N/A</v>
      </c>
      <c r="V26" s="320" t="e">
        <f aca="false">IF($A26="N/A"," ",$U26*(8*($BQ26))*L26)</f>
        <v>#N/A</v>
      </c>
      <c r="W26" s="320" t="e">
        <f aca="false">IF($A26="N/A"," ",$U26*(8*($BQ26))*M26)</f>
        <v>#N/A</v>
      </c>
      <c r="X26" s="320" t="e">
        <f aca="false">IF($A26="N/A"," ",$U26*(8*($BQ26))*N26)</f>
        <v>#N/A</v>
      </c>
      <c r="Y26" s="320" t="e">
        <f aca="false">IF($A26="N/A"," ",$U26*(8*($BR26))*O26)</f>
        <v>#N/A</v>
      </c>
      <c r="Z26" s="320" t="e">
        <f aca="false">IF($A26="N/A"," ",$U26*(8*($BR26))*P26)</f>
        <v>#N/A</v>
      </c>
      <c r="AA26" s="320" t="e">
        <f aca="false">IF($A26="N/A"," ",$U26*(8*($BR26))*Q26)</f>
        <v>#N/A</v>
      </c>
      <c r="AB26" s="320" t="e">
        <f aca="false">IF($A26="N/A"," ",$U26*(8*($BS26))*R26)</f>
        <v>#N/A</v>
      </c>
      <c r="AC26" s="320" t="e">
        <f aca="false">IF($A26="N/A"," ",$U26*(8*($BS26))*S26)</f>
        <v>#N/A</v>
      </c>
      <c r="AD26" s="320" t="e">
        <f aca="false">IF($A26="N/A"," ",$U26*(8*($BS26))*T26)</f>
        <v>#N/A</v>
      </c>
      <c r="AE26" s="320" t="e">
        <f aca="false">IF($A26="N/A"," ",SUM(V26:AD26))</f>
        <v>#N/A</v>
      </c>
      <c r="AF26" s="321" t="n">
        <f aca="false">IF(A26="N/A"," ",(VLOOKUP(A26,PowerVolTable,(IF(VolBMO4=2,7,IF(VolBMO4=1,6,8))),FALSE())))</f>
        <v>0.3</v>
      </c>
      <c r="AG26" s="321" t="n">
        <f aca="false">IF(A26="N/A"," ",(VLOOKUP(A26,IntraPowerVol,(IF(VolBMO4=2,3,IF(VolBMO4=1,2,4))),FALSE())*VLOOKUP(MONTH($A26),Volscale,2)))</f>
        <v>0.42</v>
      </c>
      <c r="AH26" s="321" t="n">
        <f aca="false">IF($A26="N/A"," ",IF(VolType4=1,AG26,AF26))</f>
        <v>0.42</v>
      </c>
      <c r="AI26" s="321" t="n">
        <f aca="false">IF($A26="N/A"," ",(VLOOKUP($A26,OffPwrVolTable,(IF(VolBMO4=2,7,IF(VolBMO4=1,6,8))),FALSE())))</f>
        <v>0.15</v>
      </c>
      <c r="AJ26" s="321" t="n">
        <f aca="false">IF($A26="N/A"," ",(VLOOKUP($A26,OffPwrVolTable,(IF(VolBMO4=2,3,IF(VolBMO4=1,2,4))),FALSE())*VLOOKUP(MONTH($A26),Volscale,2)))</f>
        <v>0.252</v>
      </c>
      <c r="AK26" s="321" t="n">
        <f aca="false">IF($A26="N/A"," ",IF(VolType4=1,AJ26,AI26))</f>
        <v>0.252</v>
      </c>
      <c r="AL26" s="321" t="e">
        <f aca="false">IF($A26="N/A"," ",IF(PV=1,0,'Pricing Inputs4'!R59))</f>
        <v>#N/A</v>
      </c>
      <c r="AM26" s="323" t="e">
        <f aca="false">IF($A26="N/A"," ",(1+AL26/2)^(-2*((EOMONTH(A26,0)+20)-DateToday)/365.25))</f>
        <v>#N/A</v>
      </c>
      <c r="BQ26" s="0" t="n">
        <f aca="false">IF($A26="N/A"," ",(VLOOKUP($A26,NumberofDaysTable,2)))</f>
        <v>19</v>
      </c>
      <c r="BR26" s="0" t="n">
        <f aca="false">IF($A26="N/A"," ",(VLOOKUP($A26,NumberofDaysTable,3)))</f>
        <v>5</v>
      </c>
      <c r="BS26" s="0" t="n">
        <f aca="false">IF($A26="N/A"," ",(VLOOKUP($A26,NumberofDaysTable,4)))</f>
        <v>6</v>
      </c>
    </row>
    <row r="27" customFormat="false" ht="12.75" hidden="false" customHeight="false" outlineLevel="0" collapsed="false">
      <c r="A27" s="315" t="n">
        <f aca="false">IF(A26="N/A","N/A",IF(EDATE(A26,1)&gt;Inputs!$R$5,"N/A",EDATE(A26,1)))</f>
        <v>37956</v>
      </c>
      <c r="B27" s="316" t="n">
        <f aca="false">IF(A27="N/A"," ",YEAR(A27))</f>
        <v>2003</v>
      </c>
      <c r="C27" s="317" t="n">
        <f aca="false">IF($A27="N/A"," ",IF(Dayrun4=10,0,IF(Scaler4=1,(VLOOKUP(A27,ScaledPrice4,4)),(VLOOKUP(A27,ScaledPrice4,2)))))</f>
        <v>30.6015609502792</v>
      </c>
      <c r="D27" s="317" t="n">
        <f aca="false">IF(A27="N/A"," ",IF(Dayrun4&gt;=7,0,IF(Scaler4=2,VLOOKUP(A27,ScaledPrice4,2),(VLOOKUP(A27,ScaledPrice4,2))*(2-(VLOOKUP(A27,ScaledPrice4,3))))))</f>
        <v>30.6015609502792</v>
      </c>
      <c r="E27" s="317" t="n">
        <f aca="false">IF($A27="N/A"," ",IF(AND(Dayrun4&gt;=4,Dayrun4&lt;=9),0,VLOOKUP($A27,ScaledPrice4,9)))</f>
        <v>18.4300003051758</v>
      </c>
      <c r="F27" s="317" t="n">
        <f aca="false">IF(A27="N/A"," ",IF(OR(Dayrun4=2,Dayrun4=3,Dayrun4=5,Dayrun4=6,Dayrun4=8,Dayrun4=9),VLOOKUP(A27,ScaledPrice4,IF(Scaler4=1,6,5)),0))</f>
        <v>0</v>
      </c>
      <c r="G27" s="317" t="n">
        <f aca="false">IF(A27="N/A"," ",IF(OR(Dayrun4=2,Dayrun4=3,Dayrun4=5,Dayrun4=6),IF(Scaler4=2,F27,(VLOOKUP(A27,ScaledPrice4,5))*(2-(VLOOKUP(A27,ScaledPrice4,3)))),0))</f>
        <v>0</v>
      </c>
      <c r="H27" s="317" t="n">
        <f aca="false">IF($A27="N/A"," ",IF(OR(Dayrun4=2,Dayrun4=3,Dayrun4=10),VLOOKUP($A27,ScaledPrice4,9),0))</f>
        <v>0</v>
      </c>
      <c r="I27" s="317" t="n">
        <f aca="false">IF(A27="N/A"," ",IF(OR(Dayrun4=3,Dayrun4=6,Dayrun4=9),(VLOOKUP(A27,ScaledPrice4,IF(Scaler4=2,7,8))),0))</f>
        <v>0</v>
      </c>
      <c r="J27" s="317" t="n">
        <f aca="false">IF(A27="N/A"," ",IF(OR(Dayrun4=3,Dayrun4=6),IF(Scaler4=2,I27,(VLOOKUP(A27,ScaledPrice4,7))*(2-(VLOOKUP(A27,ScaledPrice4,3)))),0))</f>
        <v>0</v>
      </c>
      <c r="K27" s="317" t="n">
        <f aca="false">IF($A27="N/A"," ",IF(OR(Dayrun4=3,Dayrun4=10),VLOOKUP($A27,ScaledPrice4,9),0))</f>
        <v>0</v>
      </c>
      <c r="L27" s="318" t="e">
        <f aca="false">IF($A27="N/A"," ",IF(Pricetype4=2,MAX(C27,0),IF(OR(Pricetype4=1,Pricetype4=4),IF(C27=0,0,(EURO(C27,Strikeprice4,0,0,($AH27+IF(Smile=TRUE(),VLOOKUP(MAX(-5,Strikeprice4-C27),Volsmile,2),0)),($A27-DateToday)+15,IF(Pricetype4=1,1,0),0))),C27)))</f>
        <v>#NAME?</v>
      </c>
      <c r="M27" s="318" t="e">
        <f aca="false">IF($A27="N/A"," ",IF(Pricetype4=2,MAX(D27,0),IF(OR(Pricetype4=1,Pricetype4=4),IF(D27=0,0,(EURO(D27,Strikeprice4,0,0,($AH27+IF(Smile=TRUE(),VLOOKUP(MAX(-5,Strikeprice4-D27),Volsmile,2),0)),($A27-DateToday)+15,IF(Pricetype4=1,1,0),0))),D27)))</f>
        <v>#NAME?</v>
      </c>
      <c r="N27" s="318" t="e">
        <f aca="false">IF($A27="N/A"," ",IF(Pricetype4=2,MAX(E27,0),IF(OR(Pricetype4=1,Pricetype4=4),IF(E27=0,0,(EURO(E27,Strikeprice4,0,0,($AK27+IF(Smile=TRUE(),VLOOKUP(MAX(-5,Strikeprice4-E27),Volsmile,2),0)),($A27-DateToday)+15,IF(Pricetype4=1,1,0),0))),E27)))</f>
        <v>#NAME?</v>
      </c>
      <c r="O27" s="318" t="n">
        <f aca="false">IF($A27="N/A"," ",IF(Pricetype4=2,MAX(F27,0),IF(OR(Pricetype4=1,Pricetype4=4),IF(F27=0,0,(EURO(F27,Strikeprice4,0,0,($AK27+IF(Smile=TRUE(),VLOOKUP(MAX(-5,Strikeprice4-F27),Volsmile,2),0)),($A27-DateToday)+15,IF(Pricetype4=1,1,0),0))),F27)))</f>
        <v>0</v>
      </c>
      <c r="P27" s="318" t="n">
        <f aca="false">IF($A27="N/A"," ",IF(Pricetype4=2,MAX(G27,0),IF(OR(Pricetype4=1,Pricetype4=4),IF(G27=0,0,(EURO(G27,Strikeprice4,0,0,($AK27+IF(Smile=TRUE(),VLOOKUP(MAX(-5,Strikeprice4-G27),Volsmile,2),0)),($A27-DateToday)+15,IF(Pricetype4=1,1,0),0))),G27)))</f>
        <v>0</v>
      </c>
      <c r="Q27" s="318" t="n">
        <f aca="false">IF($A27="N/A"," ",IF(Pricetype4=2,MAX(H27,0),IF(OR(Pricetype4=1,Pricetype4=4),IF(H27=0,0,(EURO(H27,Strikeprice4,0,0,($AK27+IF(Smile=TRUE(),VLOOKUP(MAX(-5,Strikeprice4-H27),Volsmile,2),0)),($A27-DateToday)+15,IF(Pricetype4=1,1,0),0))),H27)))</f>
        <v>0</v>
      </c>
      <c r="R27" s="318" t="n">
        <f aca="false">IF($A27="N/A"," ",IF(Pricetype4=2,MAX(I27,0),IF(OR(Pricetype4=1,Pricetype4=4),IF(I27=0,0,(EURO(I27,Strikeprice4,0,0,($AK27+IF(Smile=TRUE(),VLOOKUP(MAX(-5,Strikeprice4-I27),Volsmile,2),0)),($A27-DateToday)+15,IF(Pricetype4=1,1,0),0))),I27)))</f>
        <v>0</v>
      </c>
      <c r="S27" s="318" t="n">
        <f aca="false">IF($A27="N/A"," ",IF(Pricetype4=2,MAX(J27,0),IF(OR(Pricetype4=1,Pricetype4=4),IF(J27=0,0,(EURO(J27,Strikeprice4,0,0,($AK27+IF(Smile=TRUE(),VLOOKUP(MAX(-5,Strikeprice4-J27),Volsmile,2),0)),($A27-DateToday)+15,IF(Pricetype4=1,1,0),0))),J27)))</f>
        <v>0</v>
      </c>
      <c r="T27" s="318" t="n">
        <f aca="false">IF($A27="N/A"," ",IF(Pricetype4=2,MAX(K27,0),IF(OR(Pricetype4=1,Pricetype4=4),IF(K27=0,0,(EURO(K27,Strikeprice4,0,0,($AK27+IF(Smile=TRUE(),VLOOKUP(MAX(-5,Strikeprice4-K27),Volsmile,2),0)),($A27-DateToday)+15,IF(Pricetype4=1,1,0),0))),K27)))</f>
        <v>0</v>
      </c>
      <c r="U27" s="319" t="e">
        <f aca="false">IF($A27="N/A"," ",Volume4*$AM27)</f>
        <v>#N/A</v>
      </c>
      <c r="V27" s="320" t="e">
        <f aca="false">IF($A27="N/A"," ",$U27*(8*($BQ27))*L27)</f>
        <v>#N/A</v>
      </c>
      <c r="W27" s="320" t="e">
        <f aca="false">IF($A27="N/A"," ",$U27*(8*($BQ27))*M27)</f>
        <v>#N/A</v>
      </c>
      <c r="X27" s="320" t="e">
        <f aca="false">IF($A27="N/A"," ",$U27*(8*($BQ27))*N27)</f>
        <v>#N/A</v>
      </c>
      <c r="Y27" s="320" t="e">
        <f aca="false">IF($A27="N/A"," ",$U27*(8*($BR27))*O27)</f>
        <v>#N/A</v>
      </c>
      <c r="Z27" s="320" t="e">
        <f aca="false">IF($A27="N/A"," ",$U27*(8*($BR27))*P27)</f>
        <v>#N/A</v>
      </c>
      <c r="AA27" s="320" t="e">
        <f aca="false">IF($A27="N/A"," ",$U27*(8*($BR27))*Q27)</f>
        <v>#N/A</v>
      </c>
      <c r="AB27" s="320" t="e">
        <f aca="false">IF($A27="N/A"," ",$U27*(8*($BS27))*R27)</f>
        <v>#N/A</v>
      </c>
      <c r="AC27" s="320" t="e">
        <f aca="false">IF($A27="N/A"," ",$U27*(8*($BS27))*S27)</f>
        <v>#N/A</v>
      </c>
      <c r="AD27" s="320" t="e">
        <f aca="false">IF($A27="N/A"," ",$U27*(8*($BS27))*T27)</f>
        <v>#N/A</v>
      </c>
      <c r="AE27" s="320" t="e">
        <f aca="false">IF($A27="N/A"," ",SUM(V27:AD27))</f>
        <v>#N/A</v>
      </c>
      <c r="AF27" s="321" t="n">
        <f aca="false">IF(A27="N/A"," ",(VLOOKUP(A27,PowerVolTable,(IF(VolBMO4=2,7,IF(VolBMO4=1,6,8))),FALSE())))</f>
        <v>0.3</v>
      </c>
      <c r="AG27" s="321" t="n">
        <f aca="false">IF(A27="N/A"," ",(VLOOKUP(A27,IntraPowerVol,(IF(VolBMO4=2,3,IF(VolBMO4=1,2,4))),FALSE())*VLOOKUP(MONTH($A27),Volscale,2)))</f>
        <v>0.42</v>
      </c>
      <c r="AH27" s="321" t="n">
        <f aca="false">IF($A27="N/A"," ",IF(VolType4=1,AG27,AF27))</f>
        <v>0.42</v>
      </c>
      <c r="AI27" s="321" t="n">
        <f aca="false">IF($A27="N/A"," ",(VLOOKUP($A27,OffPwrVolTable,(IF(VolBMO4=2,7,IF(VolBMO4=1,6,8))),FALSE())))</f>
        <v>0.15</v>
      </c>
      <c r="AJ27" s="321" t="n">
        <f aca="false">IF($A27="N/A"," ",(VLOOKUP($A27,OffPwrVolTable,(IF(VolBMO4=2,3,IF(VolBMO4=1,2,4))),FALSE())*VLOOKUP(MONTH($A27),Volscale,2)))</f>
        <v>0.252</v>
      </c>
      <c r="AK27" s="321" t="n">
        <f aca="false">IF($A27="N/A"," ",IF(VolType4=1,AJ27,AI27))</f>
        <v>0.252</v>
      </c>
      <c r="AL27" s="321" t="e">
        <f aca="false">IF($A27="N/A"," ",IF(PV=1,0,'Pricing Inputs4'!R60))</f>
        <v>#N/A</v>
      </c>
      <c r="AM27" s="323" t="e">
        <f aca="false">IF($A27="N/A"," ",(1+AL27/2)^(-2*((EOMONTH(A27,0)+20)-DateToday)/365.25))</f>
        <v>#N/A</v>
      </c>
      <c r="BQ27" s="0" t="n">
        <f aca="false">IF($A27="N/A"," ",(VLOOKUP($A27,NumberofDaysTable,2)))</f>
        <v>22</v>
      </c>
      <c r="BR27" s="0" t="n">
        <f aca="false">IF($A27="N/A"," ",(VLOOKUP($A27,NumberofDaysTable,3)))</f>
        <v>4</v>
      </c>
      <c r="BS27" s="0" t="n">
        <f aca="false">IF($A27="N/A"," ",(VLOOKUP($A27,NumberofDaysTable,4)))</f>
        <v>5</v>
      </c>
    </row>
    <row r="28" customFormat="false" ht="12.75" hidden="false" customHeight="false" outlineLevel="0" collapsed="false">
      <c r="A28" s="315" t="n">
        <f aca="false">IF(A27="N/A","N/A",IF(EDATE(A27,1)&gt;Inputs!$R$5,"N/A",EDATE(A27,1)))</f>
        <v>37987</v>
      </c>
      <c r="B28" s="316" t="n">
        <f aca="false">IF(A28="N/A"," ",YEAR(A28))</f>
        <v>2004</v>
      </c>
      <c r="C28" s="317" t="n">
        <f aca="false">IF($A28="N/A"," ",IF(Dayrun4=10,0,IF(Scaler4=1,(VLOOKUP(A28,ScaledPrice4,4)),(VLOOKUP(A28,ScaledPrice4,2)))))</f>
        <v>34.3357146126883</v>
      </c>
      <c r="D28" s="317" t="n">
        <f aca="false">IF(A28="N/A"," ",IF(Dayrun4&gt;=7,0,IF(Scaler4=2,VLOOKUP(A28,ScaledPrice4,2),(VLOOKUP(A28,ScaledPrice4,2))*(2-(VLOOKUP(A28,ScaledPrice4,3))))))</f>
        <v>34.3357146126883</v>
      </c>
      <c r="E28" s="317" t="n">
        <f aca="false">IF($A28="N/A"," ",IF(AND(Dayrun4&gt;=4,Dayrun4&lt;=9),0,VLOOKUP($A28,ScaledPrice4,9)))</f>
        <v>20.75</v>
      </c>
      <c r="F28" s="317" t="n">
        <f aca="false">IF(A28="N/A"," ",IF(OR(Dayrun4=2,Dayrun4=3,Dayrun4=5,Dayrun4=6,Dayrun4=8,Dayrun4=9),VLOOKUP(A28,ScaledPrice4,IF(Scaler4=1,6,5)),0))</f>
        <v>0</v>
      </c>
      <c r="G28" s="317" t="n">
        <f aca="false">IF(A28="N/A"," ",IF(OR(Dayrun4=2,Dayrun4=3,Dayrun4=5,Dayrun4=6),IF(Scaler4=2,F28,(VLOOKUP(A28,ScaledPrice4,5))*(2-(VLOOKUP(A28,ScaledPrice4,3)))),0))</f>
        <v>0</v>
      </c>
      <c r="H28" s="317" t="n">
        <f aca="false">IF($A28="N/A"," ",IF(OR(Dayrun4=2,Dayrun4=3,Dayrun4=10),VLOOKUP($A28,ScaledPrice4,9),0))</f>
        <v>0</v>
      </c>
      <c r="I28" s="317" t="n">
        <f aca="false">IF(A28="N/A"," ",IF(OR(Dayrun4=3,Dayrun4=6,Dayrun4=9),(VLOOKUP(A28,ScaledPrice4,IF(Scaler4=2,7,8))),0))</f>
        <v>0</v>
      </c>
      <c r="J28" s="317" t="n">
        <f aca="false">IF(A28="N/A"," ",IF(OR(Dayrun4=3,Dayrun4=6),IF(Scaler4=2,I28,(VLOOKUP(A28,ScaledPrice4,7))*(2-(VLOOKUP(A28,ScaledPrice4,3)))),0))</f>
        <v>0</v>
      </c>
      <c r="K28" s="317" t="n">
        <f aca="false">IF($A28="N/A"," ",IF(OR(Dayrun4=3,Dayrun4=10),VLOOKUP($A28,ScaledPrice4,9),0))</f>
        <v>0</v>
      </c>
      <c r="L28" s="318" t="e">
        <f aca="false">IF($A28="N/A"," ",IF(Pricetype4=2,MAX(C28,0),IF(OR(Pricetype4=1,Pricetype4=4),IF(C28=0,0,(EURO(C28,Strikeprice4,0,0,($AH28+IF(Smile=TRUE(),VLOOKUP(MAX(-5,Strikeprice4-C28),Volsmile,2),0)),($A28-DateToday)+15,IF(Pricetype4=1,1,0),0))),C28)))</f>
        <v>#NAME?</v>
      </c>
      <c r="M28" s="318" t="e">
        <f aca="false">IF($A28="N/A"," ",IF(Pricetype4=2,MAX(D28,0),IF(OR(Pricetype4=1,Pricetype4=4),IF(D28=0,0,(EURO(D28,Strikeprice4,0,0,($AH28+IF(Smile=TRUE(),VLOOKUP(MAX(-5,Strikeprice4-D28),Volsmile,2),0)),($A28-DateToday)+15,IF(Pricetype4=1,1,0),0))),D28)))</f>
        <v>#NAME?</v>
      </c>
      <c r="N28" s="318" t="e">
        <f aca="false">IF($A28="N/A"," ",IF(Pricetype4=2,MAX(E28,0),IF(OR(Pricetype4=1,Pricetype4=4),IF(E28=0,0,(EURO(E28,Strikeprice4,0,0,($AK28+IF(Smile=TRUE(),VLOOKUP(MAX(-5,Strikeprice4-E28),Volsmile,2),0)),($A28-DateToday)+15,IF(Pricetype4=1,1,0),0))),E28)))</f>
        <v>#NAME?</v>
      </c>
      <c r="O28" s="318" t="n">
        <f aca="false">IF($A28="N/A"," ",IF(Pricetype4=2,MAX(F28,0),IF(OR(Pricetype4=1,Pricetype4=4),IF(F28=0,0,(EURO(F28,Strikeprice4,0,0,($AK28+IF(Smile=TRUE(),VLOOKUP(MAX(-5,Strikeprice4-F28),Volsmile,2),0)),($A28-DateToday)+15,IF(Pricetype4=1,1,0),0))),F28)))</f>
        <v>0</v>
      </c>
      <c r="P28" s="318" t="n">
        <f aca="false">IF($A28="N/A"," ",IF(Pricetype4=2,MAX(G28,0),IF(OR(Pricetype4=1,Pricetype4=4),IF(G28=0,0,(EURO(G28,Strikeprice4,0,0,($AK28+IF(Smile=TRUE(),VLOOKUP(MAX(-5,Strikeprice4-G28),Volsmile,2),0)),($A28-DateToday)+15,IF(Pricetype4=1,1,0),0))),G28)))</f>
        <v>0</v>
      </c>
      <c r="Q28" s="318" t="n">
        <f aca="false">IF($A28="N/A"," ",IF(Pricetype4=2,MAX(H28,0),IF(OR(Pricetype4=1,Pricetype4=4),IF(H28=0,0,(EURO(H28,Strikeprice4,0,0,($AK28+IF(Smile=TRUE(),VLOOKUP(MAX(-5,Strikeprice4-H28),Volsmile,2),0)),($A28-DateToday)+15,IF(Pricetype4=1,1,0),0))),H28)))</f>
        <v>0</v>
      </c>
      <c r="R28" s="318" t="n">
        <f aca="false">IF($A28="N/A"," ",IF(Pricetype4=2,MAX(I28,0),IF(OR(Pricetype4=1,Pricetype4=4),IF(I28=0,0,(EURO(I28,Strikeprice4,0,0,($AK28+IF(Smile=TRUE(),VLOOKUP(MAX(-5,Strikeprice4-I28),Volsmile,2),0)),($A28-DateToday)+15,IF(Pricetype4=1,1,0),0))),I28)))</f>
        <v>0</v>
      </c>
      <c r="S28" s="318" t="n">
        <f aca="false">IF($A28="N/A"," ",IF(Pricetype4=2,MAX(J28,0),IF(OR(Pricetype4=1,Pricetype4=4),IF(J28=0,0,(EURO(J28,Strikeprice4,0,0,($AK28+IF(Smile=TRUE(),VLOOKUP(MAX(-5,Strikeprice4-J28),Volsmile,2),0)),($A28-DateToday)+15,IF(Pricetype4=1,1,0),0))),J28)))</f>
        <v>0</v>
      </c>
      <c r="T28" s="318" t="n">
        <f aca="false">IF($A28="N/A"," ",IF(Pricetype4=2,MAX(K28,0),IF(OR(Pricetype4=1,Pricetype4=4),IF(K28=0,0,(EURO(K28,Strikeprice4,0,0,($AK28+IF(Smile=TRUE(),VLOOKUP(MAX(-5,Strikeprice4-K28),Volsmile,2),0)),($A28-DateToday)+15,IF(Pricetype4=1,1,0),0))),K28)))</f>
        <v>0</v>
      </c>
      <c r="U28" s="319" t="e">
        <f aca="false">IF($A28="N/A"," ",Volume4*$AM28)</f>
        <v>#N/A</v>
      </c>
      <c r="V28" s="320" t="e">
        <f aca="false">IF($A28="N/A"," ",$U28*(8*($BQ28))*L28)</f>
        <v>#N/A</v>
      </c>
      <c r="W28" s="320" t="e">
        <f aca="false">IF($A28="N/A"," ",$U28*(8*($BQ28))*M28)</f>
        <v>#N/A</v>
      </c>
      <c r="X28" s="320" t="e">
        <f aca="false">IF($A28="N/A"," ",$U28*(8*($BQ28))*N28)</f>
        <v>#N/A</v>
      </c>
      <c r="Y28" s="320" t="e">
        <f aca="false">IF($A28="N/A"," ",$U28*(8*($BR28))*O28)</f>
        <v>#N/A</v>
      </c>
      <c r="Z28" s="320" t="e">
        <f aca="false">IF($A28="N/A"," ",$U28*(8*($BR28))*P28)</f>
        <v>#N/A</v>
      </c>
      <c r="AA28" s="320" t="e">
        <f aca="false">IF($A28="N/A"," ",$U28*(8*($BR28))*Q28)</f>
        <v>#N/A</v>
      </c>
      <c r="AB28" s="320" t="e">
        <f aca="false">IF($A28="N/A"," ",$U28*(8*($BS28))*R28)</f>
        <v>#N/A</v>
      </c>
      <c r="AC28" s="320" t="e">
        <f aca="false">IF($A28="N/A"," ",$U28*(8*($BS28))*S28)</f>
        <v>#N/A</v>
      </c>
      <c r="AD28" s="320" t="e">
        <f aca="false">IF($A28="N/A"," ",$U28*(8*($BS28))*T28)</f>
        <v>#N/A</v>
      </c>
      <c r="AE28" s="320" t="e">
        <f aca="false">IF($A28="N/A"," ",SUM(V28:AD28))</f>
        <v>#N/A</v>
      </c>
      <c r="AF28" s="321" t="n">
        <f aca="false">IF(A28="N/A"," ",(VLOOKUP(A28,PowerVolTable,(IF(VolBMO4=2,7,IF(VolBMO4=1,6,8))),FALSE())))</f>
        <v>0.24</v>
      </c>
      <c r="AG28" s="321" t="n">
        <f aca="false">IF(A28="N/A"," ",(VLOOKUP(A28,IntraPowerVol,(IF(VolBMO4=2,3,IF(VolBMO4=1,2,4))),FALSE())*VLOOKUP(MONTH($A28),Volscale,2)))</f>
        <v>0.42</v>
      </c>
      <c r="AH28" s="321" t="n">
        <f aca="false">IF($A28="N/A"," ",IF(VolType4=1,AG28,AF28))</f>
        <v>0.42</v>
      </c>
      <c r="AI28" s="321" t="n">
        <f aca="false">IF($A28="N/A"," ",(VLOOKUP($A28,OffPwrVolTable,(IF(VolBMO4=2,7,IF(VolBMO4=1,6,8))),FALSE())))</f>
        <v>0.12</v>
      </c>
      <c r="AJ28" s="321" t="n">
        <f aca="false">IF($A28="N/A"," ",(VLOOKUP($A28,OffPwrVolTable,(IF(VolBMO4=2,3,IF(VolBMO4=1,2,4))),FALSE())*VLOOKUP(MONTH($A28),Volscale,2)))</f>
        <v>0.252</v>
      </c>
      <c r="AK28" s="321" t="n">
        <f aca="false">IF($A28="N/A"," ",IF(VolType4=1,AJ28,AI28))</f>
        <v>0.252</v>
      </c>
      <c r="AL28" s="321" t="e">
        <f aca="false">IF($A28="N/A"," ",IF(PV=1,0,'Pricing Inputs4'!R61))</f>
        <v>#N/A</v>
      </c>
      <c r="AM28" s="323" t="e">
        <f aca="false">IF($A28="N/A"," ",(1+AL28/2)^(-2*((EOMONTH(A28,0)+20)-DateToday)/365.25))</f>
        <v>#N/A</v>
      </c>
      <c r="BQ28" s="0" t="n">
        <f aca="false">IF($A28="N/A"," ",(VLOOKUP($A28,NumberofDaysTable,2)))</f>
        <v>21</v>
      </c>
      <c r="BR28" s="0" t="n">
        <f aca="false">IF($A28="N/A"," ",(VLOOKUP($A28,NumberofDaysTable,3)))</f>
        <v>5</v>
      </c>
      <c r="BS28" s="0" t="n">
        <f aca="false">IF($A28="N/A"," ",(VLOOKUP($A28,NumberofDaysTable,4)))</f>
        <v>5</v>
      </c>
    </row>
    <row r="29" customFormat="false" ht="12.75" hidden="false" customHeight="false" outlineLevel="0" collapsed="false">
      <c r="A29" s="315" t="n">
        <f aca="false">IF(A28="N/A","N/A",IF(EDATE(A28,1)&gt;Inputs!$R$5,"N/A",EDATE(A28,1)))</f>
        <v>38018</v>
      </c>
      <c r="B29" s="316" t="n">
        <f aca="false">IF(A29="N/A"," ",YEAR(A29))</f>
        <v>2004</v>
      </c>
      <c r="C29" s="317" t="n">
        <f aca="false">IF($A29="N/A"," ",IF(Dayrun4=10,0,IF(Scaler4=1,(VLOOKUP(A29,ScaledPrice4,4)),(VLOOKUP(A29,ScaledPrice4,2)))))</f>
        <v>33.7357085091727</v>
      </c>
      <c r="D29" s="317" t="n">
        <f aca="false">IF(A29="N/A"," ",IF(Dayrun4&gt;=7,0,IF(Scaler4=2,VLOOKUP(A29,ScaledPrice4,2),(VLOOKUP(A29,ScaledPrice4,2))*(2-(VLOOKUP(A29,ScaledPrice4,3))))))</f>
        <v>33.7357085091727</v>
      </c>
      <c r="E29" s="317" t="n">
        <f aca="false">IF($A29="N/A"," ",IF(AND(Dayrun4&gt;=4,Dayrun4&lt;=9),0,VLOOKUP($A29,ScaledPrice4,9)))</f>
        <v>20</v>
      </c>
      <c r="F29" s="317" t="n">
        <f aca="false">IF(A29="N/A"," ",IF(OR(Dayrun4=2,Dayrun4=3,Dayrun4=5,Dayrun4=6,Dayrun4=8,Dayrun4=9),VLOOKUP(A29,ScaledPrice4,IF(Scaler4=1,6,5)),0))</f>
        <v>0</v>
      </c>
      <c r="G29" s="317" t="n">
        <f aca="false">IF(A29="N/A"," ",IF(OR(Dayrun4=2,Dayrun4=3,Dayrun4=5,Dayrun4=6),IF(Scaler4=2,F29,(VLOOKUP(A29,ScaledPrice4,5))*(2-(VLOOKUP(A29,ScaledPrice4,3)))),0))</f>
        <v>0</v>
      </c>
      <c r="H29" s="317" t="n">
        <f aca="false">IF($A29="N/A"," ",IF(OR(Dayrun4=2,Dayrun4=3,Dayrun4=10),VLOOKUP($A29,ScaledPrice4,9),0))</f>
        <v>0</v>
      </c>
      <c r="I29" s="317" t="n">
        <f aca="false">IF(A29="N/A"," ",IF(OR(Dayrun4=3,Dayrun4=6,Dayrun4=9),(VLOOKUP(A29,ScaledPrice4,IF(Scaler4=2,7,8))),0))</f>
        <v>0</v>
      </c>
      <c r="J29" s="317" t="n">
        <f aca="false">IF(A29="N/A"," ",IF(OR(Dayrun4=3,Dayrun4=6),IF(Scaler4=2,I29,(VLOOKUP(A29,ScaledPrice4,7))*(2-(VLOOKUP(A29,ScaledPrice4,3)))),0))</f>
        <v>0</v>
      </c>
      <c r="K29" s="317" t="n">
        <f aca="false">IF($A29="N/A"," ",IF(OR(Dayrun4=3,Dayrun4=10),VLOOKUP($A29,ScaledPrice4,9),0))</f>
        <v>0</v>
      </c>
      <c r="L29" s="318" t="e">
        <f aca="false">IF($A29="N/A"," ",IF(Pricetype4=2,MAX(C29,0),IF(OR(Pricetype4=1,Pricetype4=4),IF(C29=0,0,(EURO(C29,Strikeprice4,0,0,($AH29+IF(Smile=TRUE(),VLOOKUP(MAX(-5,Strikeprice4-C29),Volsmile,2),0)),($A29-DateToday)+15,IF(Pricetype4=1,1,0),0))),C29)))</f>
        <v>#NAME?</v>
      </c>
      <c r="M29" s="318" t="e">
        <f aca="false">IF($A29="N/A"," ",IF(Pricetype4=2,MAX(D29,0),IF(OR(Pricetype4=1,Pricetype4=4),IF(D29=0,0,(EURO(D29,Strikeprice4,0,0,($AH29+IF(Smile=TRUE(),VLOOKUP(MAX(-5,Strikeprice4-D29),Volsmile,2),0)),($A29-DateToday)+15,IF(Pricetype4=1,1,0),0))),D29)))</f>
        <v>#NAME?</v>
      </c>
      <c r="N29" s="318" t="e">
        <f aca="false">IF($A29="N/A"," ",IF(Pricetype4=2,MAX(E29,0),IF(OR(Pricetype4=1,Pricetype4=4),IF(E29=0,0,(EURO(E29,Strikeprice4,0,0,($AK29+IF(Smile=TRUE(),VLOOKUP(MAX(-5,Strikeprice4-E29),Volsmile,2),0)),($A29-DateToday)+15,IF(Pricetype4=1,1,0),0))),E29)))</f>
        <v>#NAME?</v>
      </c>
      <c r="O29" s="318" t="n">
        <f aca="false">IF($A29="N/A"," ",IF(Pricetype4=2,MAX(F29,0),IF(OR(Pricetype4=1,Pricetype4=4),IF(F29=0,0,(EURO(F29,Strikeprice4,0,0,($AK29+IF(Smile=TRUE(),VLOOKUP(MAX(-5,Strikeprice4-F29),Volsmile,2),0)),($A29-DateToday)+15,IF(Pricetype4=1,1,0),0))),F29)))</f>
        <v>0</v>
      </c>
      <c r="P29" s="318" t="n">
        <f aca="false">IF($A29="N/A"," ",IF(Pricetype4=2,MAX(G29,0),IF(OR(Pricetype4=1,Pricetype4=4),IF(G29=0,0,(EURO(G29,Strikeprice4,0,0,($AK29+IF(Smile=TRUE(),VLOOKUP(MAX(-5,Strikeprice4-G29),Volsmile,2),0)),($A29-DateToday)+15,IF(Pricetype4=1,1,0),0))),G29)))</f>
        <v>0</v>
      </c>
      <c r="Q29" s="318" t="n">
        <f aca="false">IF($A29="N/A"," ",IF(Pricetype4=2,MAX(H29,0),IF(OR(Pricetype4=1,Pricetype4=4),IF(H29=0,0,(EURO(H29,Strikeprice4,0,0,($AK29+IF(Smile=TRUE(),VLOOKUP(MAX(-5,Strikeprice4-H29),Volsmile,2),0)),($A29-DateToday)+15,IF(Pricetype4=1,1,0),0))),H29)))</f>
        <v>0</v>
      </c>
      <c r="R29" s="318" t="n">
        <f aca="false">IF($A29="N/A"," ",IF(Pricetype4=2,MAX(I29,0),IF(OR(Pricetype4=1,Pricetype4=4),IF(I29=0,0,(EURO(I29,Strikeprice4,0,0,($AK29+IF(Smile=TRUE(),VLOOKUP(MAX(-5,Strikeprice4-I29),Volsmile,2),0)),($A29-DateToday)+15,IF(Pricetype4=1,1,0),0))),I29)))</f>
        <v>0</v>
      </c>
      <c r="S29" s="318" t="n">
        <f aca="false">IF($A29="N/A"," ",IF(Pricetype4=2,MAX(J29,0),IF(OR(Pricetype4=1,Pricetype4=4),IF(J29=0,0,(EURO(J29,Strikeprice4,0,0,($AK29+IF(Smile=TRUE(),VLOOKUP(MAX(-5,Strikeprice4-J29),Volsmile,2),0)),($A29-DateToday)+15,IF(Pricetype4=1,1,0),0))),J29)))</f>
        <v>0</v>
      </c>
      <c r="T29" s="318" t="n">
        <f aca="false">IF($A29="N/A"," ",IF(Pricetype4=2,MAX(K29,0),IF(OR(Pricetype4=1,Pricetype4=4),IF(K29=0,0,(EURO(K29,Strikeprice4,0,0,($AK29+IF(Smile=TRUE(),VLOOKUP(MAX(-5,Strikeprice4-K29),Volsmile,2),0)),($A29-DateToday)+15,IF(Pricetype4=1,1,0),0))),K29)))</f>
        <v>0</v>
      </c>
      <c r="U29" s="319" t="e">
        <f aca="false">IF($A29="N/A"," ",Volume4*$AM29)</f>
        <v>#N/A</v>
      </c>
      <c r="V29" s="320" t="e">
        <f aca="false">IF($A29="N/A"," ",$U29*(8*($BQ29))*L29)</f>
        <v>#N/A</v>
      </c>
      <c r="W29" s="320" t="e">
        <f aca="false">IF($A29="N/A"," ",$U29*(8*($BQ29))*M29)</f>
        <v>#N/A</v>
      </c>
      <c r="X29" s="320" t="e">
        <f aca="false">IF($A29="N/A"," ",$U29*(8*($BQ29))*N29)</f>
        <v>#N/A</v>
      </c>
      <c r="Y29" s="320" t="e">
        <f aca="false">IF($A29="N/A"," ",$U29*(8*($BR29))*O29)</f>
        <v>#N/A</v>
      </c>
      <c r="Z29" s="320" t="e">
        <f aca="false">IF($A29="N/A"," ",$U29*(8*($BR29))*P29)</f>
        <v>#N/A</v>
      </c>
      <c r="AA29" s="320" t="e">
        <f aca="false">IF($A29="N/A"," ",$U29*(8*($BR29))*Q29)</f>
        <v>#N/A</v>
      </c>
      <c r="AB29" s="320" t="e">
        <f aca="false">IF($A29="N/A"," ",$U29*(8*($BS29))*R29)</f>
        <v>#N/A</v>
      </c>
      <c r="AC29" s="320" t="e">
        <f aca="false">IF($A29="N/A"," ",$U29*(8*($BS29))*S29)</f>
        <v>#N/A</v>
      </c>
      <c r="AD29" s="320" t="e">
        <f aca="false">IF($A29="N/A"," ",$U29*(8*($BS29))*T29)</f>
        <v>#N/A</v>
      </c>
      <c r="AE29" s="320" t="e">
        <f aca="false">IF($A29="N/A"," ",SUM(V29:AD29))</f>
        <v>#N/A</v>
      </c>
      <c r="AF29" s="321" t="n">
        <f aca="false">IF(A29="N/A"," ",(VLOOKUP(A29,PowerVolTable,(IF(VolBMO4=2,7,IF(VolBMO4=1,6,8))),FALSE())))</f>
        <v>0.24</v>
      </c>
      <c r="AG29" s="321" t="n">
        <f aca="false">IF(A29="N/A"," ",(VLOOKUP(A29,IntraPowerVol,(IF(VolBMO4=2,3,IF(VolBMO4=1,2,4))),FALSE())*VLOOKUP(MONTH($A29),Volscale,2)))</f>
        <v>0.42</v>
      </c>
      <c r="AH29" s="321" t="n">
        <f aca="false">IF($A29="N/A"," ",IF(VolType4=1,AG29,AF29))</f>
        <v>0.42</v>
      </c>
      <c r="AI29" s="321" t="n">
        <f aca="false">IF($A29="N/A"," ",(VLOOKUP($A29,OffPwrVolTable,(IF(VolBMO4=2,7,IF(VolBMO4=1,6,8))),FALSE())))</f>
        <v>0.12</v>
      </c>
      <c r="AJ29" s="321" t="n">
        <f aca="false">IF($A29="N/A"," ",(VLOOKUP($A29,OffPwrVolTable,(IF(VolBMO4=2,3,IF(VolBMO4=1,2,4))),FALSE())*VLOOKUP(MONTH($A29),Volscale,2)))</f>
        <v>0.252</v>
      </c>
      <c r="AK29" s="321" t="n">
        <f aca="false">IF($A29="N/A"," ",IF(VolType4=1,AJ29,AI29))</f>
        <v>0.252</v>
      </c>
      <c r="AL29" s="321" t="e">
        <f aca="false">IF($A29="N/A"," ",IF(PV=1,0,'Pricing Inputs4'!R62))</f>
        <v>#N/A</v>
      </c>
      <c r="AM29" s="323" t="e">
        <f aca="false">IF($A29="N/A"," ",(1+AL29/2)^(-2*((EOMONTH(A29,0)+20)-DateToday)/365.25))</f>
        <v>#N/A</v>
      </c>
      <c r="BQ29" s="0" t="n">
        <f aca="false">IF($A29="N/A"," ",(VLOOKUP($A29,NumberofDaysTable,2)))</f>
        <v>20</v>
      </c>
      <c r="BR29" s="0" t="n">
        <f aca="false">IF($A29="N/A"," ",(VLOOKUP($A29,NumberofDaysTable,3)))</f>
        <v>4</v>
      </c>
      <c r="BS29" s="0" t="n">
        <f aca="false">IF($A29="N/A"," ",(VLOOKUP($A29,NumberofDaysTable,4)))</f>
        <v>5</v>
      </c>
    </row>
    <row r="30" customFormat="false" ht="12.75" hidden="false" customHeight="false" outlineLevel="0" collapsed="false">
      <c r="A30" s="315" t="n">
        <f aca="false">IF(A29="N/A","N/A",IF(EDATE(A29,1)&gt;Inputs!$R$5,"N/A",EDATE(A29,1)))</f>
        <v>38047</v>
      </c>
      <c r="B30" s="316" t="n">
        <f aca="false">IF(A30="N/A"," ",YEAR(A30))</f>
        <v>2004</v>
      </c>
      <c r="C30" s="317" t="n">
        <f aca="false">IF($A30="N/A"," ",IF(Dayrun4=10,0,IF(Scaler4=1,(VLOOKUP(A30,ScaledPrice4,4)),(VLOOKUP(A30,ScaledPrice4,2)))))</f>
        <v>32.4476771687352</v>
      </c>
      <c r="D30" s="317" t="n">
        <f aca="false">IF(A30="N/A"," ",IF(Dayrun4&gt;=7,0,IF(Scaler4=2,VLOOKUP(A30,ScaledPrice4,2),(VLOOKUP(A30,ScaledPrice4,2))*(2-(VLOOKUP(A30,ScaledPrice4,3))))))</f>
        <v>32.4476771687352</v>
      </c>
      <c r="E30" s="317" t="n">
        <f aca="false">IF($A30="N/A"," ",IF(AND(Dayrun4&gt;=4,Dayrun4&lt;=9),0,VLOOKUP($A30,ScaledPrice4,9)))</f>
        <v>21</v>
      </c>
      <c r="F30" s="317" t="n">
        <f aca="false">IF(A30="N/A"," ",IF(OR(Dayrun4=2,Dayrun4=3,Dayrun4=5,Dayrun4=6,Dayrun4=8,Dayrun4=9),VLOOKUP(A30,ScaledPrice4,IF(Scaler4=1,6,5)),0))</f>
        <v>0</v>
      </c>
      <c r="G30" s="317" t="n">
        <f aca="false">IF(A30="N/A"," ",IF(OR(Dayrun4=2,Dayrun4=3,Dayrun4=5,Dayrun4=6),IF(Scaler4=2,F30,(VLOOKUP(A30,ScaledPrice4,5))*(2-(VLOOKUP(A30,ScaledPrice4,3)))),0))</f>
        <v>0</v>
      </c>
      <c r="H30" s="317" t="n">
        <f aca="false">IF($A30="N/A"," ",IF(OR(Dayrun4=2,Dayrun4=3,Dayrun4=10),VLOOKUP($A30,ScaledPrice4,9),0))</f>
        <v>0</v>
      </c>
      <c r="I30" s="317" t="n">
        <f aca="false">IF(A30="N/A"," ",IF(OR(Dayrun4=3,Dayrun4=6,Dayrun4=9),(VLOOKUP(A30,ScaledPrice4,IF(Scaler4=2,7,8))),0))</f>
        <v>0</v>
      </c>
      <c r="J30" s="317" t="n">
        <f aca="false">IF(A30="N/A"," ",IF(OR(Dayrun4=3,Dayrun4=6),IF(Scaler4=2,I30,(VLOOKUP(A30,ScaledPrice4,7))*(2-(VLOOKUP(A30,ScaledPrice4,3)))),0))</f>
        <v>0</v>
      </c>
      <c r="K30" s="317" t="n">
        <f aca="false">IF($A30="N/A"," ",IF(OR(Dayrun4=3,Dayrun4=10),VLOOKUP($A30,ScaledPrice4,9),0))</f>
        <v>0</v>
      </c>
      <c r="L30" s="318" t="e">
        <f aca="false">IF($A30="N/A"," ",IF(Pricetype4=2,MAX(C30,0),IF(OR(Pricetype4=1,Pricetype4=4),IF(C30=0,0,(EURO(C30,Strikeprice4,0,0,($AH30+IF(Smile=TRUE(),VLOOKUP(MAX(-5,Strikeprice4-C30),Volsmile,2),0)),($A30-DateToday)+15,IF(Pricetype4=1,1,0),0))),C30)))</f>
        <v>#NAME?</v>
      </c>
      <c r="M30" s="318" t="e">
        <f aca="false">IF($A30="N/A"," ",IF(Pricetype4=2,MAX(D30,0),IF(OR(Pricetype4=1,Pricetype4=4),IF(D30=0,0,(EURO(D30,Strikeprice4,0,0,($AH30+IF(Smile=TRUE(),VLOOKUP(MAX(-5,Strikeprice4-D30),Volsmile,2),0)),($A30-DateToday)+15,IF(Pricetype4=1,1,0),0))),D30)))</f>
        <v>#NAME?</v>
      </c>
      <c r="N30" s="318" t="e">
        <f aca="false">IF($A30="N/A"," ",IF(Pricetype4=2,MAX(E30,0),IF(OR(Pricetype4=1,Pricetype4=4),IF(E30=0,0,(EURO(E30,Strikeprice4,0,0,($AK30+IF(Smile=TRUE(),VLOOKUP(MAX(-5,Strikeprice4-E30),Volsmile,2),0)),($A30-DateToday)+15,IF(Pricetype4=1,1,0),0))),E30)))</f>
        <v>#NAME?</v>
      </c>
      <c r="O30" s="318" t="n">
        <f aca="false">IF($A30="N/A"," ",IF(Pricetype4=2,MAX(F30,0),IF(OR(Pricetype4=1,Pricetype4=4),IF(F30=0,0,(EURO(F30,Strikeprice4,0,0,($AK30+IF(Smile=TRUE(),VLOOKUP(MAX(-5,Strikeprice4-F30),Volsmile,2),0)),($A30-DateToday)+15,IF(Pricetype4=1,1,0),0))),F30)))</f>
        <v>0</v>
      </c>
      <c r="P30" s="318" t="n">
        <f aca="false">IF($A30="N/A"," ",IF(Pricetype4=2,MAX(G30,0),IF(OR(Pricetype4=1,Pricetype4=4),IF(G30=0,0,(EURO(G30,Strikeprice4,0,0,($AK30+IF(Smile=TRUE(),VLOOKUP(MAX(-5,Strikeprice4-G30),Volsmile,2),0)),($A30-DateToday)+15,IF(Pricetype4=1,1,0),0))),G30)))</f>
        <v>0</v>
      </c>
      <c r="Q30" s="318" t="n">
        <f aca="false">IF($A30="N/A"," ",IF(Pricetype4=2,MAX(H30,0),IF(OR(Pricetype4=1,Pricetype4=4),IF(H30=0,0,(EURO(H30,Strikeprice4,0,0,($AK30+IF(Smile=TRUE(),VLOOKUP(MAX(-5,Strikeprice4-H30),Volsmile,2),0)),($A30-DateToday)+15,IF(Pricetype4=1,1,0),0))),H30)))</f>
        <v>0</v>
      </c>
      <c r="R30" s="318" t="n">
        <f aca="false">IF($A30="N/A"," ",IF(Pricetype4=2,MAX(I30,0),IF(OR(Pricetype4=1,Pricetype4=4),IF(I30=0,0,(EURO(I30,Strikeprice4,0,0,($AK30+IF(Smile=TRUE(),VLOOKUP(MAX(-5,Strikeprice4-I30),Volsmile,2),0)),($A30-DateToday)+15,IF(Pricetype4=1,1,0),0))),I30)))</f>
        <v>0</v>
      </c>
      <c r="S30" s="318" t="n">
        <f aca="false">IF($A30="N/A"," ",IF(Pricetype4=2,MAX(J30,0),IF(OR(Pricetype4=1,Pricetype4=4),IF(J30=0,0,(EURO(J30,Strikeprice4,0,0,($AK30+IF(Smile=TRUE(),VLOOKUP(MAX(-5,Strikeprice4-J30),Volsmile,2),0)),($A30-DateToday)+15,IF(Pricetype4=1,1,0),0))),J30)))</f>
        <v>0</v>
      </c>
      <c r="T30" s="318" t="n">
        <f aca="false">IF($A30="N/A"," ",IF(Pricetype4=2,MAX(K30,0),IF(OR(Pricetype4=1,Pricetype4=4),IF(K30=0,0,(EURO(K30,Strikeprice4,0,0,($AK30+IF(Smile=TRUE(),VLOOKUP(MAX(-5,Strikeprice4-K30),Volsmile,2),0)),($A30-DateToday)+15,IF(Pricetype4=1,1,0),0))),K30)))</f>
        <v>0</v>
      </c>
      <c r="U30" s="319" t="e">
        <f aca="false">IF($A30="N/A"," ",Volume4*$AM30)</f>
        <v>#N/A</v>
      </c>
      <c r="V30" s="320" t="e">
        <f aca="false">IF($A30="N/A"," ",$U30*(8*($BQ30))*L30)</f>
        <v>#N/A</v>
      </c>
      <c r="W30" s="320" t="e">
        <f aca="false">IF($A30="N/A"," ",$U30*(8*($BQ30))*M30)</f>
        <v>#N/A</v>
      </c>
      <c r="X30" s="320" t="e">
        <f aca="false">IF($A30="N/A"," ",$U30*(8*($BQ30))*N30)</f>
        <v>#N/A</v>
      </c>
      <c r="Y30" s="320" t="e">
        <f aca="false">IF($A30="N/A"," ",$U30*(8*($BR30))*O30)</f>
        <v>#N/A</v>
      </c>
      <c r="Z30" s="320" t="e">
        <f aca="false">IF($A30="N/A"," ",$U30*(8*($BR30))*P30)</f>
        <v>#N/A</v>
      </c>
      <c r="AA30" s="320" t="e">
        <f aca="false">IF($A30="N/A"," ",$U30*(8*($BR30))*Q30)</f>
        <v>#N/A</v>
      </c>
      <c r="AB30" s="320" t="e">
        <f aca="false">IF($A30="N/A"," ",$U30*(8*($BS30))*R30)</f>
        <v>#N/A</v>
      </c>
      <c r="AC30" s="320" t="e">
        <f aca="false">IF($A30="N/A"," ",$U30*(8*($BS30))*S30)</f>
        <v>#N/A</v>
      </c>
      <c r="AD30" s="320" t="e">
        <f aca="false">IF($A30="N/A"," ",$U30*(8*($BS30))*T30)</f>
        <v>#N/A</v>
      </c>
      <c r="AE30" s="320" t="e">
        <f aca="false">IF($A30="N/A"," ",SUM(V30:AD30))</f>
        <v>#N/A</v>
      </c>
      <c r="AF30" s="321" t="n">
        <f aca="false">IF(A30="N/A"," ",(VLOOKUP(A30,PowerVolTable,(IF(VolBMO4=2,7,IF(VolBMO4=1,6,8))),FALSE())))</f>
        <v>0.24</v>
      </c>
      <c r="AG30" s="321" t="n">
        <f aca="false">IF(A30="N/A"," ",(VLOOKUP(A30,IntraPowerVol,(IF(VolBMO4=2,3,IF(VolBMO4=1,2,4))),FALSE())*VLOOKUP(MONTH($A30),Volscale,2)))</f>
        <v>0.42</v>
      </c>
      <c r="AH30" s="321" t="n">
        <f aca="false">IF($A30="N/A"," ",IF(VolType4=1,AG30,AF30))</f>
        <v>0.42</v>
      </c>
      <c r="AI30" s="321" t="n">
        <f aca="false">IF($A30="N/A"," ",(VLOOKUP($A30,OffPwrVolTable,(IF(VolBMO4=2,7,IF(VolBMO4=1,6,8))),FALSE())))</f>
        <v>0.12</v>
      </c>
      <c r="AJ30" s="321" t="n">
        <f aca="false">IF($A30="N/A"," ",(VLOOKUP($A30,OffPwrVolTable,(IF(VolBMO4=2,3,IF(VolBMO4=1,2,4))),FALSE())*VLOOKUP(MONTH($A30),Volscale,2)))</f>
        <v>0.252</v>
      </c>
      <c r="AK30" s="321" t="n">
        <f aca="false">IF($A30="N/A"," ",IF(VolType4=1,AJ30,AI30))</f>
        <v>0.252</v>
      </c>
      <c r="AL30" s="321" t="e">
        <f aca="false">IF($A30="N/A"," ",IF(PV=1,0,'Pricing Inputs4'!R63))</f>
        <v>#N/A</v>
      </c>
      <c r="AM30" s="323" t="e">
        <f aca="false">IF($A30="N/A"," ",(1+AL30/2)^(-2*((EOMONTH(A30,0)+20)-DateToday)/365.25))</f>
        <v>#N/A</v>
      </c>
      <c r="BQ30" s="0" t="n">
        <f aca="false">IF($A30="N/A"," ",(VLOOKUP($A30,NumberofDaysTable,2)))</f>
        <v>23</v>
      </c>
      <c r="BR30" s="0" t="n">
        <f aca="false">IF($A30="N/A"," ",(VLOOKUP($A30,NumberofDaysTable,3)))</f>
        <v>4</v>
      </c>
      <c r="BS30" s="0" t="n">
        <f aca="false">IF($A30="N/A"," ",(VLOOKUP($A30,NumberofDaysTable,4)))</f>
        <v>4</v>
      </c>
    </row>
    <row r="31" customFormat="false" ht="12.75" hidden="false" customHeight="false" outlineLevel="0" collapsed="false">
      <c r="A31" s="315" t="n">
        <f aca="false">IF(A30="N/A","N/A",IF(EDATE(A30,1)&gt;Inputs!$R$5,"N/A",EDATE(A30,1)))</f>
        <v>38078</v>
      </c>
      <c r="B31" s="316" t="n">
        <f aca="false">IF(A31="N/A"," ",YEAR(A31))</f>
        <v>2004</v>
      </c>
      <c r="C31" s="317" t="n">
        <f aca="false">IF($A31="N/A"," ",IF(Dayrun4=10,0,IF(Scaler4=1,(VLOOKUP(A31,ScaledPrice4,4)),(VLOOKUP(A31,ScaledPrice4,2)))))</f>
        <v>32.6476779316747</v>
      </c>
      <c r="D31" s="317" t="n">
        <f aca="false">IF(A31="N/A"," ",IF(Dayrun4&gt;=7,0,IF(Scaler4=2,VLOOKUP(A31,ScaledPrice4,2),(VLOOKUP(A31,ScaledPrice4,2))*(2-(VLOOKUP(A31,ScaledPrice4,3))))))</f>
        <v>32.6476779316747</v>
      </c>
      <c r="E31" s="317" t="n">
        <f aca="false">IF($A31="N/A"," ",IF(AND(Dayrun4&gt;=4,Dayrun4&lt;=9),0,VLOOKUP($A31,ScaledPrice4,9)))</f>
        <v>18</v>
      </c>
      <c r="F31" s="317" t="n">
        <f aca="false">IF(A31="N/A"," ",IF(OR(Dayrun4=2,Dayrun4=3,Dayrun4=5,Dayrun4=6,Dayrun4=8,Dayrun4=9),VLOOKUP(A31,ScaledPrice4,IF(Scaler4=1,6,5)),0))</f>
        <v>0</v>
      </c>
      <c r="G31" s="317" t="n">
        <f aca="false">IF(A31="N/A"," ",IF(OR(Dayrun4=2,Dayrun4=3,Dayrun4=5,Dayrun4=6),IF(Scaler4=2,F31,(VLOOKUP(A31,ScaledPrice4,5))*(2-(VLOOKUP(A31,ScaledPrice4,3)))),0))</f>
        <v>0</v>
      </c>
      <c r="H31" s="317" t="n">
        <f aca="false">IF($A31="N/A"," ",IF(OR(Dayrun4=2,Dayrun4=3,Dayrun4=10),VLOOKUP($A31,ScaledPrice4,9),0))</f>
        <v>0</v>
      </c>
      <c r="I31" s="317" t="n">
        <f aca="false">IF(A31="N/A"," ",IF(OR(Dayrun4=3,Dayrun4=6,Dayrun4=9),(VLOOKUP(A31,ScaledPrice4,IF(Scaler4=2,7,8))),0))</f>
        <v>0</v>
      </c>
      <c r="J31" s="317" t="n">
        <f aca="false">IF(A31="N/A"," ",IF(OR(Dayrun4=3,Dayrun4=6),IF(Scaler4=2,I31,(VLOOKUP(A31,ScaledPrice4,7))*(2-(VLOOKUP(A31,ScaledPrice4,3)))),0))</f>
        <v>0</v>
      </c>
      <c r="K31" s="317" t="n">
        <f aca="false">IF($A31="N/A"," ",IF(OR(Dayrun4=3,Dayrun4=10),VLOOKUP($A31,ScaledPrice4,9),0))</f>
        <v>0</v>
      </c>
      <c r="L31" s="318" t="e">
        <f aca="false">IF($A31="N/A"," ",IF(Pricetype4=2,MAX(C31,0),IF(OR(Pricetype4=1,Pricetype4=4),IF(C31=0,0,(EURO(C31,Strikeprice4,0,0,($AH31+IF(Smile=TRUE(),VLOOKUP(MAX(-5,Strikeprice4-C31),Volsmile,2),0)),($A31-DateToday)+15,IF(Pricetype4=1,1,0),0))),C31)))</f>
        <v>#NAME?</v>
      </c>
      <c r="M31" s="318" t="e">
        <f aca="false">IF($A31="N/A"," ",IF(Pricetype4=2,MAX(D31,0),IF(OR(Pricetype4=1,Pricetype4=4),IF(D31=0,0,(EURO(D31,Strikeprice4,0,0,($AH31+IF(Smile=TRUE(),VLOOKUP(MAX(-5,Strikeprice4-D31),Volsmile,2),0)),($A31-DateToday)+15,IF(Pricetype4=1,1,0),0))),D31)))</f>
        <v>#NAME?</v>
      </c>
      <c r="N31" s="318" t="e">
        <f aca="false">IF($A31="N/A"," ",IF(Pricetype4=2,MAX(E31,0),IF(OR(Pricetype4=1,Pricetype4=4),IF(E31=0,0,(EURO(E31,Strikeprice4,0,0,($AK31+IF(Smile=TRUE(),VLOOKUP(MAX(-5,Strikeprice4-E31),Volsmile,2),0)),($A31-DateToday)+15,IF(Pricetype4=1,1,0),0))),E31)))</f>
        <v>#NAME?</v>
      </c>
      <c r="O31" s="318" t="n">
        <f aca="false">IF($A31="N/A"," ",IF(Pricetype4=2,MAX(F31,0),IF(OR(Pricetype4=1,Pricetype4=4),IF(F31=0,0,(EURO(F31,Strikeprice4,0,0,($AK31+IF(Smile=TRUE(),VLOOKUP(MAX(-5,Strikeprice4-F31),Volsmile,2),0)),($A31-DateToday)+15,IF(Pricetype4=1,1,0),0))),F31)))</f>
        <v>0</v>
      </c>
      <c r="P31" s="318" t="n">
        <f aca="false">IF($A31="N/A"," ",IF(Pricetype4=2,MAX(G31,0),IF(OR(Pricetype4=1,Pricetype4=4),IF(G31=0,0,(EURO(G31,Strikeprice4,0,0,($AK31+IF(Smile=TRUE(),VLOOKUP(MAX(-5,Strikeprice4-G31),Volsmile,2),0)),($A31-DateToday)+15,IF(Pricetype4=1,1,0),0))),G31)))</f>
        <v>0</v>
      </c>
      <c r="Q31" s="318" t="n">
        <f aca="false">IF($A31="N/A"," ",IF(Pricetype4=2,MAX(H31,0),IF(OR(Pricetype4=1,Pricetype4=4),IF(H31=0,0,(EURO(H31,Strikeprice4,0,0,($AK31+IF(Smile=TRUE(),VLOOKUP(MAX(-5,Strikeprice4-H31),Volsmile,2),0)),($A31-DateToday)+15,IF(Pricetype4=1,1,0),0))),H31)))</f>
        <v>0</v>
      </c>
      <c r="R31" s="318" t="n">
        <f aca="false">IF($A31="N/A"," ",IF(Pricetype4=2,MAX(I31,0),IF(OR(Pricetype4=1,Pricetype4=4),IF(I31=0,0,(EURO(I31,Strikeprice4,0,0,($AK31+IF(Smile=TRUE(),VLOOKUP(MAX(-5,Strikeprice4-I31),Volsmile,2),0)),($A31-DateToday)+15,IF(Pricetype4=1,1,0),0))),I31)))</f>
        <v>0</v>
      </c>
      <c r="S31" s="318" t="n">
        <f aca="false">IF($A31="N/A"," ",IF(Pricetype4=2,MAX(J31,0),IF(OR(Pricetype4=1,Pricetype4=4),IF(J31=0,0,(EURO(J31,Strikeprice4,0,0,($AK31+IF(Smile=TRUE(),VLOOKUP(MAX(-5,Strikeprice4-J31),Volsmile,2),0)),($A31-DateToday)+15,IF(Pricetype4=1,1,0),0))),J31)))</f>
        <v>0</v>
      </c>
      <c r="T31" s="318" t="n">
        <f aca="false">IF($A31="N/A"," ",IF(Pricetype4=2,MAX(K31,0),IF(OR(Pricetype4=1,Pricetype4=4),IF(K31=0,0,(EURO(K31,Strikeprice4,0,0,($AK31+IF(Smile=TRUE(),VLOOKUP(MAX(-5,Strikeprice4-K31),Volsmile,2),0)),($A31-DateToday)+15,IF(Pricetype4=1,1,0),0))),K31)))</f>
        <v>0</v>
      </c>
      <c r="U31" s="319" t="e">
        <f aca="false">IF($A31="N/A"," ",Volume4*$AM31)</f>
        <v>#N/A</v>
      </c>
      <c r="V31" s="320" t="e">
        <f aca="false">IF($A31="N/A"," ",$U31*(8*($BQ31))*L31)</f>
        <v>#N/A</v>
      </c>
      <c r="W31" s="320" t="e">
        <f aca="false">IF($A31="N/A"," ",$U31*(8*($BQ31))*M31)</f>
        <v>#N/A</v>
      </c>
      <c r="X31" s="320" t="e">
        <f aca="false">IF($A31="N/A"," ",$U31*(8*($BQ31))*N31)</f>
        <v>#N/A</v>
      </c>
      <c r="Y31" s="320" t="e">
        <f aca="false">IF($A31="N/A"," ",$U31*(8*($BR31))*O31)</f>
        <v>#N/A</v>
      </c>
      <c r="Z31" s="320" t="e">
        <f aca="false">IF($A31="N/A"," ",$U31*(8*($BR31))*P31)</f>
        <v>#N/A</v>
      </c>
      <c r="AA31" s="320" t="e">
        <f aca="false">IF($A31="N/A"," ",$U31*(8*($BR31))*Q31)</f>
        <v>#N/A</v>
      </c>
      <c r="AB31" s="320" t="e">
        <f aca="false">IF($A31="N/A"," ",$U31*(8*($BS31))*R31)</f>
        <v>#N/A</v>
      </c>
      <c r="AC31" s="320" t="e">
        <f aca="false">IF($A31="N/A"," ",$U31*(8*($BS31))*S31)</f>
        <v>#N/A</v>
      </c>
      <c r="AD31" s="320" t="e">
        <f aca="false">IF($A31="N/A"," ",$U31*(8*($BS31))*T31)</f>
        <v>#N/A</v>
      </c>
      <c r="AE31" s="320" t="e">
        <f aca="false">IF($A31="N/A"," ",SUM(V31:AD31))</f>
        <v>#N/A</v>
      </c>
      <c r="AF31" s="321" t="n">
        <f aca="false">IF(A31="N/A"," ",(VLOOKUP(A31,PowerVolTable,(IF(VolBMO4=2,7,IF(VolBMO4=1,6,8))),FALSE())))</f>
        <v>0.24</v>
      </c>
      <c r="AG31" s="321" t="n">
        <f aca="false">IF(A31="N/A"," ",(VLOOKUP(A31,IntraPowerVol,(IF(VolBMO4=2,3,IF(VolBMO4=1,2,4))),FALSE())*VLOOKUP(MONTH($A31),Volscale,2)))</f>
        <v>0.42</v>
      </c>
      <c r="AH31" s="321" t="n">
        <f aca="false">IF($A31="N/A"," ",IF(VolType4=1,AG31,AF31))</f>
        <v>0.42</v>
      </c>
      <c r="AI31" s="321" t="n">
        <f aca="false">IF($A31="N/A"," ",(VLOOKUP($A31,OffPwrVolTable,(IF(VolBMO4=2,7,IF(VolBMO4=1,6,8))),FALSE())))</f>
        <v>0.12</v>
      </c>
      <c r="AJ31" s="321" t="n">
        <f aca="false">IF($A31="N/A"," ",(VLOOKUP($A31,OffPwrVolTable,(IF(VolBMO4=2,3,IF(VolBMO4=1,2,4))),FALSE())*VLOOKUP(MONTH($A31),Volscale,2)))</f>
        <v>0.252</v>
      </c>
      <c r="AK31" s="321" t="n">
        <f aca="false">IF($A31="N/A"," ",IF(VolType4=1,AJ31,AI31))</f>
        <v>0.252</v>
      </c>
      <c r="AL31" s="321" t="e">
        <f aca="false">IF($A31="N/A"," ",IF(PV=1,0,'Pricing Inputs4'!R64))</f>
        <v>#N/A</v>
      </c>
      <c r="AM31" s="323" t="e">
        <f aca="false">IF($A31="N/A"," ",(1+AL31/2)^(-2*((EOMONTH(A31,0)+20)-DateToday)/365.25))</f>
        <v>#N/A</v>
      </c>
      <c r="BQ31" s="0" t="n">
        <f aca="false">IF($A31="N/A"," ",(VLOOKUP($A31,NumberofDaysTable,2)))</f>
        <v>22</v>
      </c>
      <c r="BR31" s="0" t="n">
        <f aca="false">IF($A31="N/A"," ",(VLOOKUP($A31,NumberofDaysTable,3)))</f>
        <v>4</v>
      </c>
      <c r="BS31" s="0" t="n">
        <f aca="false">IF($A31="N/A"," ",(VLOOKUP($A31,NumberofDaysTable,4)))</f>
        <v>4</v>
      </c>
    </row>
    <row r="32" customFormat="false" ht="12.75" hidden="false" customHeight="false" outlineLevel="0" collapsed="false">
      <c r="A32" s="315" t="n">
        <f aca="false">IF(A31="N/A","N/A",IF(EDATE(A31,1)&gt;Inputs!$R$5,"N/A",EDATE(A31,1)))</f>
        <v>38108</v>
      </c>
      <c r="B32" s="316" t="n">
        <f aca="false">IF(A32="N/A"," ",YEAR(A32))</f>
        <v>2004</v>
      </c>
      <c r="C32" s="317" t="n">
        <f aca="false">IF($A32="N/A"," ",IF(Dayrun4=10,0,IF(Scaler4=1,(VLOOKUP(A32,ScaledPrice4,4)),(VLOOKUP(A32,ScaledPrice4,2)))))</f>
        <v>35.4250030517578</v>
      </c>
      <c r="D32" s="317" t="n">
        <f aca="false">IF(A32="N/A"," ",IF(Dayrun4&gt;=7,0,IF(Scaler4=2,VLOOKUP(A32,ScaledPrice4,2),(VLOOKUP(A32,ScaledPrice4,2))*(2-(VLOOKUP(A32,ScaledPrice4,3))))))</f>
        <v>35.4250030517578</v>
      </c>
      <c r="E32" s="317" t="n">
        <f aca="false">IF($A32="N/A"," ",IF(AND(Dayrun4&gt;=4,Dayrun4&lt;=9),0,VLOOKUP($A32,ScaledPrice4,9)))</f>
        <v>18.5400009155273</v>
      </c>
      <c r="F32" s="317" t="n">
        <f aca="false">IF(A32="N/A"," ",IF(OR(Dayrun4=2,Dayrun4=3,Dayrun4=5,Dayrun4=6,Dayrun4=8,Dayrun4=9),VLOOKUP(A32,ScaledPrice4,IF(Scaler4=1,6,5)),0))</f>
        <v>0</v>
      </c>
      <c r="G32" s="317" t="n">
        <f aca="false">IF(A32="N/A"," ",IF(OR(Dayrun4=2,Dayrun4=3,Dayrun4=5,Dayrun4=6),IF(Scaler4=2,F32,(VLOOKUP(A32,ScaledPrice4,5))*(2-(VLOOKUP(A32,ScaledPrice4,3)))),0))</f>
        <v>0</v>
      </c>
      <c r="H32" s="317" t="n">
        <f aca="false">IF($A32="N/A"," ",IF(OR(Dayrun4=2,Dayrun4=3,Dayrun4=10),VLOOKUP($A32,ScaledPrice4,9),0))</f>
        <v>0</v>
      </c>
      <c r="I32" s="317" t="n">
        <f aca="false">IF(A32="N/A"," ",IF(OR(Dayrun4=3,Dayrun4=6,Dayrun4=9),(VLOOKUP(A32,ScaledPrice4,IF(Scaler4=2,7,8))),0))</f>
        <v>0</v>
      </c>
      <c r="J32" s="317" t="n">
        <f aca="false">IF(A32="N/A"," ",IF(OR(Dayrun4=3,Dayrun4=6),IF(Scaler4=2,I32,(VLOOKUP(A32,ScaledPrice4,7))*(2-(VLOOKUP(A32,ScaledPrice4,3)))),0))</f>
        <v>0</v>
      </c>
      <c r="K32" s="317" t="n">
        <f aca="false">IF($A32="N/A"," ",IF(OR(Dayrun4=3,Dayrun4=10),VLOOKUP($A32,ScaledPrice4,9),0))</f>
        <v>0</v>
      </c>
      <c r="L32" s="318" t="e">
        <f aca="false">IF($A32="N/A"," ",IF(Pricetype4=2,MAX(C32,0),IF(OR(Pricetype4=1,Pricetype4=4),IF(C32=0,0,(EURO(C32,Strikeprice4,0,0,($AH32+IF(Smile=TRUE(),VLOOKUP(MAX(-5,Strikeprice4-C32),Volsmile,2),0)),($A32-DateToday)+15,IF(Pricetype4=1,1,0),0))),C32)))</f>
        <v>#NAME?</v>
      </c>
      <c r="M32" s="318" t="e">
        <f aca="false">IF($A32="N/A"," ",IF(Pricetype4=2,MAX(D32,0),IF(OR(Pricetype4=1,Pricetype4=4),IF(D32=0,0,(EURO(D32,Strikeprice4,0,0,($AH32+IF(Smile=TRUE(),VLOOKUP(MAX(-5,Strikeprice4-D32),Volsmile,2),0)),($A32-DateToday)+15,IF(Pricetype4=1,1,0),0))),D32)))</f>
        <v>#NAME?</v>
      </c>
      <c r="N32" s="318" t="e">
        <f aca="false">IF($A32="N/A"," ",IF(Pricetype4=2,MAX(E32,0),IF(OR(Pricetype4=1,Pricetype4=4),IF(E32=0,0,(EURO(E32,Strikeprice4,0,0,($AK32+IF(Smile=TRUE(),VLOOKUP(MAX(-5,Strikeprice4-E32),Volsmile,2),0)),($A32-DateToday)+15,IF(Pricetype4=1,1,0),0))),E32)))</f>
        <v>#NAME?</v>
      </c>
      <c r="O32" s="318" t="n">
        <f aca="false">IF($A32="N/A"," ",IF(Pricetype4=2,MAX(F32,0),IF(OR(Pricetype4=1,Pricetype4=4),IF(F32=0,0,(EURO(F32,Strikeprice4,0,0,($AK32+IF(Smile=TRUE(),VLOOKUP(MAX(-5,Strikeprice4-F32),Volsmile,2),0)),($A32-DateToday)+15,IF(Pricetype4=1,1,0),0))),F32)))</f>
        <v>0</v>
      </c>
      <c r="P32" s="318" t="n">
        <f aca="false">IF($A32="N/A"," ",IF(Pricetype4=2,MAX(G32,0),IF(OR(Pricetype4=1,Pricetype4=4),IF(G32=0,0,(EURO(G32,Strikeprice4,0,0,($AK32+IF(Smile=TRUE(),VLOOKUP(MAX(-5,Strikeprice4-G32),Volsmile,2),0)),($A32-DateToday)+15,IF(Pricetype4=1,1,0),0))),G32)))</f>
        <v>0</v>
      </c>
      <c r="Q32" s="318" t="n">
        <f aca="false">IF($A32="N/A"," ",IF(Pricetype4=2,MAX(H32,0),IF(OR(Pricetype4=1,Pricetype4=4),IF(H32=0,0,(EURO(H32,Strikeprice4,0,0,($AK32+IF(Smile=TRUE(),VLOOKUP(MAX(-5,Strikeprice4-H32),Volsmile,2),0)),($A32-DateToday)+15,IF(Pricetype4=1,1,0),0))),H32)))</f>
        <v>0</v>
      </c>
      <c r="R32" s="318" t="n">
        <f aca="false">IF($A32="N/A"," ",IF(Pricetype4=2,MAX(I32,0),IF(OR(Pricetype4=1,Pricetype4=4),IF(I32=0,0,(EURO(I32,Strikeprice4,0,0,($AK32+IF(Smile=TRUE(),VLOOKUP(MAX(-5,Strikeprice4-I32),Volsmile,2),0)),($A32-DateToday)+15,IF(Pricetype4=1,1,0),0))),I32)))</f>
        <v>0</v>
      </c>
      <c r="S32" s="318" t="n">
        <f aca="false">IF($A32="N/A"," ",IF(Pricetype4=2,MAX(J32,0),IF(OR(Pricetype4=1,Pricetype4=4),IF(J32=0,0,(EURO(J32,Strikeprice4,0,0,($AK32+IF(Smile=TRUE(),VLOOKUP(MAX(-5,Strikeprice4-J32),Volsmile,2),0)),($A32-DateToday)+15,IF(Pricetype4=1,1,0),0))),J32)))</f>
        <v>0</v>
      </c>
      <c r="T32" s="318" t="n">
        <f aca="false">IF($A32="N/A"," ",IF(Pricetype4=2,MAX(K32,0),IF(OR(Pricetype4=1,Pricetype4=4),IF(K32=0,0,(EURO(K32,Strikeprice4,0,0,($AK32+IF(Smile=TRUE(),VLOOKUP(MAX(-5,Strikeprice4-K32),Volsmile,2),0)),($A32-DateToday)+15,IF(Pricetype4=1,1,0),0))),K32)))</f>
        <v>0</v>
      </c>
      <c r="U32" s="319" t="e">
        <f aca="false">IF($A32="N/A"," ",Volume4*$AM32)</f>
        <v>#N/A</v>
      </c>
      <c r="V32" s="320" t="e">
        <f aca="false">IF($A32="N/A"," ",$U32*(8*($BQ32))*L32)</f>
        <v>#N/A</v>
      </c>
      <c r="W32" s="320" t="e">
        <f aca="false">IF($A32="N/A"," ",$U32*(8*($BQ32))*M32)</f>
        <v>#N/A</v>
      </c>
      <c r="X32" s="320" t="e">
        <f aca="false">IF($A32="N/A"," ",$U32*(8*($BQ32))*N32)</f>
        <v>#N/A</v>
      </c>
      <c r="Y32" s="320" t="e">
        <f aca="false">IF($A32="N/A"," ",$U32*(8*($BR32))*O32)</f>
        <v>#N/A</v>
      </c>
      <c r="Z32" s="320" t="e">
        <f aca="false">IF($A32="N/A"," ",$U32*(8*($BR32))*P32)</f>
        <v>#N/A</v>
      </c>
      <c r="AA32" s="320" t="e">
        <f aca="false">IF($A32="N/A"," ",$U32*(8*($BR32))*Q32)</f>
        <v>#N/A</v>
      </c>
      <c r="AB32" s="320" t="e">
        <f aca="false">IF($A32="N/A"," ",$U32*(8*($BS32))*R32)</f>
        <v>#N/A</v>
      </c>
      <c r="AC32" s="320" t="e">
        <f aca="false">IF($A32="N/A"," ",$U32*(8*($BS32))*S32)</f>
        <v>#N/A</v>
      </c>
      <c r="AD32" s="320" t="e">
        <f aca="false">IF($A32="N/A"," ",$U32*(8*($BS32))*T32)</f>
        <v>#N/A</v>
      </c>
      <c r="AE32" s="320" t="e">
        <f aca="false">IF($A32="N/A"," ",SUM(V32:AD32))</f>
        <v>#N/A</v>
      </c>
      <c r="AF32" s="321" t="n">
        <f aca="false">IF(A32="N/A"," ",(VLOOKUP(A32,PowerVolTable,(IF(VolBMO4=2,7,IF(VolBMO4=1,6,8))),FALSE())))</f>
        <v>0.24</v>
      </c>
      <c r="AG32" s="321" t="n">
        <f aca="false">IF(A32="N/A"," ",(VLOOKUP(A32,IntraPowerVol,(IF(VolBMO4=2,3,IF(VolBMO4=1,2,4))),FALSE())*VLOOKUP(MONTH($A32),Volscale,2)))</f>
        <v>0.54</v>
      </c>
      <c r="AH32" s="321" t="n">
        <f aca="false">IF($A32="N/A"," ",IF(VolType4=1,AG32,AF32))</f>
        <v>0.54</v>
      </c>
      <c r="AI32" s="321" t="n">
        <f aca="false">IF($A32="N/A"," ",(VLOOKUP($A32,OffPwrVolTable,(IF(VolBMO4=2,7,IF(VolBMO4=1,6,8))),FALSE())))</f>
        <v>0.12</v>
      </c>
      <c r="AJ32" s="321" t="n">
        <f aca="false">IF($A32="N/A"," ",(VLOOKUP($A32,OffPwrVolTable,(IF(VolBMO4=2,3,IF(VolBMO4=1,2,4))),FALSE())*VLOOKUP(MONTH($A32),Volscale,2)))</f>
        <v>0.324</v>
      </c>
      <c r="AK32" s="321" t="n">
        <f aca="false">IF($A32="N/A"," ",IF(VolType4=1,AJ32,AI32))</f>
        <v>0.324</v>
      </c>
      <c r="AL32" s="321" t="e">
        <f aca="false">IF($A32="N/A"," ",IF(PV=1,0,'Pricing Inputs4'!R65))</f>
        <v>#N/A</v>
      </c>
      <c r="AM32" s="323" t="e">
        <f aca="false">IF($A32="N/A"," ",(1+AL32/2)^(-2*((EOMONTH(A32,0)+20)-DateToday)/365.25))</f>
        <v>#N/A</v>
      </c>
      <c r="BQ32" s="0" t="n">
        <f aca="false">IF($A32="N/A"," ",(VLOOKUP($A32,NumberofDaysTable,2)))</f>
        <v>20</v>
      </c>
      <c r="BR32" s="0" t="n">
        <f aca="false">IF($A32="N/A"," ",(VLOOKUP($A32,NumberofDaysTable,3)))</f>
        <v>5</v>
      </c>
      <c r="BS32" s="0" t="n">
        <f aca="false">IF($A32="N/A"," ",(VLOOKUP($A32,NumberofDaysTable,4)))</f>
        <v>6</v>
      </c>
    </row>
    <row r="33" customFormat="false" ht="12.75" hidden="false" customHeight="false" outlineLevel="0" collapsed="false">
      <c r="A33" s="315" t="n">
        <f aca="false">IF(A32="N/A","N/A",IF(EDATE(A32,1)&gt;Inputs!$R$5,"N/A",EDATE(A32,1)))</f>
        <v>38139</v>
      </c>
      <c r="B33" s="316" t="n">
        <f aca="false">IF(A33="N/A"," ",YEAR(A33))</f>
        <v>2004</v>
      </c>
      <c r="C33" s="317" t="n">
        <f aca="false">IF($A33="N/A"," ",IF(Dayrun4=10,0,IF(Scaler4=1,(VLOOKUP(A33,ScaledPrice4,4)),(VLOOKUP(A33,ScaledPrice4,2)))))</f>
        <v>42.6250038146973</v>
      </c>
      <c r="D33" s="317" t="n">
        <f aca="false">IF(A33="N/A"," ",IF(Dayrun4&gt;=7,0,IF(Scaler4=2,VLOOKUP(A33,ScaledPrice4,2),(VLOOKUP(A33,ScaledPrice4,2))*(2-(VLOOKUP(A33,ScaledPrice4,3))))))</f>
        <v>42.6250038146973</v>
      </c>
      <c r="E33" s="317" t="n">
        <f aca="false">IF($A33="N/A"," ",IF(AND(Dayrun4&gt;=4,Dayrun4&lt;=9),0,VLOOKUP($A33,ScaledPrice4,9)))</f>
        <v>21.5400009155273</v>
      </c>
      <c r="F33" s="317" t="n">
        <f aca="false">IF(A33="N/A"," ",IF(OR(Dayrun4=2,Dayrun4=3,Dayrun4=5,Dayrun4=6,Dayrun4=8,Dayrun4=9),VLOOKUP(A33,ScaledPrice4,IF(Scaler4=1,6,5)),0))</f>
        <v>0</v>
      </c>
      <c r="G33" s="317" t="n">
        <f aca="false">IF(A33="N/A"," ",IF(OR(Dayrun4=2,Dayrun4=3,Dayrun4=5,Dayrun4=6),IF(Scaler4=2,F33,(VLOOKUP(A33,ScaledPrice4,5))*(2-(VLOOKUP(A33,ScaledPrice4,3)))),0))</f>
        <v>0</v>
      </c>
      <c r="H33" s="317" t="n">
        <f aca="false">IF($A33="N/A"," ",IF(OR(Dayrun4=2,Dayrun4=3,Dayrun4=10),VLOOKUP($A33,ScaledPrice4,9),0))</f>
        <v>0</v>
      </c>
      <c r="I33" s="317" t="n">
        <f aca="false">IF(A33="N/A"," ",IF(OR(Dayrun4=3,Dayrun4=6,Dayrun4=9),(VLOOKUP(A33,ScaledPrice4,IF(Scaler4=2,7,8))),0))</f>
        <v>0</v>
      </c>
      <c r="J33" s="317" t="n">
        <f aca="false">IF(A33="N/A"," ",IF(OR(Dayrun4=3,Dayrun4=6),IF(Scaler4=2,I33,(VLOOKUP(A33,ScaledPrice4,7))*(2-(VLOOKUP(A33,ScaledPrice4,3)))),0))</f>
        <v>0</v>
      </c>
      <c r="K33" s="317" t="n">
        <f aca="false">IF($A33="N/A"," ",IF(OR(Dayrun4=3,Dayrun4=10),VLOOKUP($A33,ScaledPrice4,9),0))</f>
        <v>0</v>
      </c>
      <c r="L33" s="318" t="e">
        <f aca="false">IF($A33="N/A"," ",IF(Pricetype4=2,MAX(C33,0),IF(OR(Pricetype4=1,Pricetype4=4),IF(C33=0,0,(EURO(C33,Strikeprice4,0,0,($AH33+IF(Smile=TRUE(),VLOOKUP(MAX(-5,Strikeprice4-C33),Volsmile,2),0)),($A33-DateToday)+15,IF(Pricetype4=1,1,0),0))),C33)))</f>
        <v>#NAME?</v>
      </c>
      <c r="M33" s="318" t="e">
        <f aca="false">IF($A33="N/A"," ",IF(Pricetype4=2,MAX(D33,0),IF(OR(Pricetype4=1,Pricetype4=4),IF(D33=0,0,(EURO(D33,Strikeprice4,0,0,($AH33+IF(Smile=TRUE(),VLOOKUP(MAX(-5,Strikeprice4-D33),Volsmile,2),0)),($A33-DateToday)+15,IF(Pricetype4=1,1,0),0))),D33)))</f>
        <v>#NAME?</v>
      </c>
      <c r="N33" s="318" t="e">
        <f aca="false">IF($A33="N/A"," ",IF(Pricetype4=2,MAX(E33,0),IF(OR(Pricetype4=1,Pricetype4=4),IF(E33=0,0,(EURO(E33,Strikeprice4,0,0,($AK33+IF(Smile=TRUE(),VLOOKUP(MAX(-5,Strikeprice4-E33),Volsmile,2),0)),($A33-DateToday)+15,IF(Pricetype4=1,1,0),0))),E33)))</f>
        <v>#NAME?</v>
      </c>
      <c r="O33" s="318" t="n">
        <f aca="false">IF($A33="N/A"," ",IF(Pricetype4=2,MAX(F33,0),IF(OR(Pricetype4=1,Pricetype4=4),IF(F33=0,0,(EURO(F33,Strikeprice4,0,0,($AK33+IF(Smile=TRUE(),VLOOKUP(MAX(-5,Strikeprice4-F33),Volsmile,2),0)),($A33-DateToday)+15,IF(Pricetype4=1,1,0),0))),F33)))</f>
        <v>0</v>
      </c>
      <c r="P33" s="318" t="n">
        <f aca="false">IF($A33="N/A"," ",IF(Pricetype4=2,MAX(G33,0),IF(OR(Pricetype4=1,Pricetype4=4),IF(G33=0,0,(EURO(G33,Strikeprice4,0,0,($AK33+IF(Smile=TRUE(),VLOOKUP(MAX(-5,Strikeprice4-G33),Volsmile,2),0)),($A33-DateToday)+15,IF(Pricetype4=1,1,0),0))),G33)))</f>
        <v>0</v>
      </c>
      <c r="Q33" s="318" t="n">
        <f aca="false">IF($A33="N/A"," ",IF(Pricetype4=2,MAX(H33,0),IF(OR(Pricetype4=1,Pricetype4=4),IF(H33=0,0,(EURO(H33,Strikeprice4,0,0,($AK33+IF(Smile=TRUE(),VLOOKUP(MAX(-5,Strikeprice4-H33),Volsmile,2),0)),($A33-DateToday)+15,IF(Pricetype4=1,1,0),0))),H33)))</f>
        <v>0</v>
      </c>
      <c r="R33" s="318" t="n">
        <f aca="false">IF($A33="N/A"," ",IF(Pricetype4=2,MAX(I33,0),IF(OR(Pricetype4=1,Pricetype4=4),IF(I33=0,0,(EURO(I33,Strikeprice4,0,0,($AK33+IF(Smile=TRUE(),VLOOKUP(MAX(-5,Strikeprice4-I33),Volsmile,2),0)),($A33-DateToday)+15,IF(Pricetype4=1,1,0),0))),I33)))</f>
        <v>0</v>
      </c>
      <c r="S33" s="318" t="n">
        <f aca="false">IF($A33="N/A"," ",IF(Pricetype4=2,MAX(J33,0),IF(OR(Pricetype4=1,Pricetype4=4),IF(J33=0,0,(EURO(J33,Strikeprice4,0,0,($AK33+IF(Smile=TRUE(),VLOOKUP(MAX(-5,Strikeprice4-J33),Volsmile,2),0)),($A33-DateToday)+15,IF(Pricetype4=1,1,0),0))),J33)))</f>
        <v>0</v>
      </c>
      <c r="T33" s="318" t="n">
        <f aca="false">IF($A33="N/A"," ",IF(Pricetype4=2,MAX(K33,0),IF(OR(Pricetype4=1,Pricetype4=4),IF(K33=0,0,(EURO(K33,Strikeprice4,0,0,($AK33+IF(Smile=TRUE(),VLOOKUP(MAX(-5,Strikeprice4-K33),Volsmile,2),0)),($A33-DateToday)+15,IF(Pricetype4=1,1,0),0))),K33)))</f>
        <v>0</v>
      </c>
      <c r="U33" s="319" t="e">
        <f aca="false">IF($A33="N/A"," ",Volume4*$AM33)</f>
        <v>#N/A</v>
      </c>
      <c r="V33" s="320" t="e">
        <f aca="false">IF($A33="N/A"," ",$U33*(8*($BQ33))*L33)</f>
        <v>#N/A</v>
      </c>
      <c r="W33" s="320" t="e">
        <f aca="false">IF($A33="N/A"," ",$U33*(8*($BQ33))*M33)</f>
        <v>#N/A</v>
      </c>
      <c r="X33" s="320" t="e">
        <f aca="false">IF($A33="N/A"," ",$U33*(8*($BQ33))*N33)</f>
        <v>#N/A</v>
      </c>
      <c r="Y33" s="320" t="e">
        <f aca="false">IF($A33="N/A"," ",$U33*(8*($BR33))*O33)</f>
        <v>#N/A</v>
      </c>
      <c r="Z33" s="320" t="e">
        <f aca="false">IF($A33="N/A"," ",$U33*(8*($BR33))*P33)</f>
        <v>#N/A</v>
      </c>
      <c r="AA33" s="320" t="e">
        <f aca="false">IF($A33="N/A"," ",$U33*(8*($BR33))*Q33)</f>
        <v>#N/A</v>
      </c>
      <c r="AB33" s="320" t="e">
        <f aca="false">IF($A33="N/A"," ",$U33*(8*($BS33))*R33)</f>
        <v>#N/A</v>
      </c>
      <c r="AC33" s="320" t="e">
        <f aca="false">IF($A33="N/A"," ",$U33*(8*($BS33))*S33)</f>
        <v>#N/A</v>
      </c>
      <c r="AD33" s="320" t="e">
        <f aca="false">IF($A33="N/A"," ",$U33*(8*($BS33))*T33)</f>
        <v>#N/A</v>
      </c>
      <c r="AE33" s="320" t="e">
        <f aca="false">IF($A33="N/A"," ",SUM(V33:AD33))</f>
        <v>#N/A</v>
      </c>
      <c r="AF33" s="321" t="n">
        <f aca="false">IF(A33="N/A"," ",(VLOOKUP(A33,PowerVolTable,(IF(VolBMO4=2,7,IF(VolBMO4=1,6,8))),FALSE())))</f>
        <v>0.24</v>
      </c>
      <c r="AG33" s="321" t="n">
        <f aca="false">IF(A33="N/A"," ",(VLOOKUP(A33,IntraPowerVol,(IF(VolBMO4=2,3,IF(VolBMO4=1,2,4))),FALSE())*VLOOKUP(MONTH($A33),Volscale,2)))</f>
        <v>0.54</v>
      </c>
      <c r="AH33" s="321" t="n">
        <f aca="false">IF($A33="N/A"," ",IF(VolType4=1,AG33,AF33))</f>
        <v>0.54</v>
      </c>
      <c r="AI33" s="321" t="n">
        <f aca="false">IF($A33="N/A"," ",(VLOOKUP($A33,OffPwrVolTable,(IF(VolBMO4=2,7,IF(VolBMO4=1,6,8))),FALSE())))</f>
        <v>0.12</v>
      </c>
      <c r="AJ33" s="321" t="n">
        <f aca="false">IF($A33="N/A"," ",(VLOOKUP($A33,OffPwrVolTable,(IF(VolBMO4=2,3,IF(VolBMO4=1,2,4))),FALSE())*VLOOKUP(MONTH($A33),Volscale,2)))</f>
        <v>0.324</v>
      </c>
      <c r="AK33" s="321" t="n">
        <f aca="false">IF($A33="N/A"," ",IF(VolType4=1,AJ33,AI33))</f>
        <v>0.324</v>
      </c>
      <c r="AL33" s="321" t="e">
        <f aca="false">IF($A33="N/A"," ",IF(PV=1,0,'Pricing Inputs4'!R66))</f>
        <v>#N/A</v>
      </c>
      <c r="AM33" s="323" t="e">
        <f aca="false">IF($A33="N/A"," ",(1+AL33/2)^(-2*((EOMONTH(A33,0)+20)-DateToday)/365.25))</f>
        <v>#N/A</v>
      </c>
      <c r="BQ33" s="0" t="n">
        <f aca="false">IF($A33="N/A"," ",(VLOOKUP($A33,NumberofDaysTable,2)))</f>
        <v>22</v>
      </c>
      <c r="BR33" s="0" t="n">
        <f aca="false">IF($A33="N/A"," ",(VLOOKUP($A33,NumberofDaysTable,3)))</f>
        <v>4</v>
      </c>
      <c r="BS33" s="0" t="n">
        <f aca="false">IF($A33="N/A"," ",(VLOOKUP($A33,NumberofDaysTable,4)))</f>
        <v>4</v>
      </c>
    </row>
    <row r="34" customFormat="false" ht="12.75" hidden="false" customHeight="false" outlineLevel="0" collapsed="false">
      <c r="A34" s="315" t="n">
        <f aca="false">IF(A33="N/A","N/A",IF(EDATE(A33,1)&gt;Inputs!$R$5,"N/A",EDATE(A33,1)))</f>
        <v>38169</v>
      </c>
      <c r="B34" s="316" t="n">
        <f aca="false">IF(A34="N/A"," ",YEAR(A34))</f>
        <v>2004</v>
      </c>
      <c r="C34" s="317" t="n">
        <f aca="false">IF($A34="N/A"," ",IF(Dayrun4=10,0,IF(Scaler4=1,(VLOOKUP(A34,ScaledPrice4,4)),(VLOOKUP(A34,ScaledPrice4,2)))))</f>
        <v>52.5</v>
      </c>
      <c r="D34" s="317" t="n">
        <f aca="false">IF(A34="N/A"," ",IF(Dayrun4&gt;=7,0,IF(Scaler4=2,VLOOKUP(A34,ScaledPrice4,2),(VLOOKUP(A34,ScaledPrice4,2))*(2-(VLOOKUP(A34,ScaledPrice4,3))))))</f>
        <v>52.5</v>
      </c>
      <c r="E34" s="317" t="n">
        <f aca="false">IF($A34="N/A"," ",IF(AND(Dayrun4&gt;=4,Dayrun4&lt;=9),0,VLOOKUP($A34,ScaledPrice4,9)))</f>
        <v>22.0400009155273</v>
      </c>
      <c r="F34" s="317" t="n">
        <f aca="false">IF(A34="N/A"," ",IF(OR(Dayrun4=2,Dayrun4=3,Dayrun4=5,Dayrun4=6,Dayrun4=8,Dayrun4=9),VLOOKUP(A34,ScaledPrice4,IF(Scaler4=1,6,5)),0))</f>
        <v>0</v>
      </c>
      <c r="G34" s="317" t="n">
        <f aca="false">IF(A34="N/A"," ",IF(OR(Dayrun4=2,Dayrun4=3,Dayrun4=5,Dayrun4=6),IF(Scaler4=2,F34,(VLOOKUP(A34,ScaledPrice4,5))*(2-(VLOOKUP(A34,ScaledPrice4,3)))),0))</f>
        <v>0</v>
      </c>
      <c r="H34" s="317" t="n">
        <f aca="false">IF($A34="N/A"," ",IF(OR(Dayrun4=2,Dayrun4=3,Dayrun4=10),VLOOKUP($A34,ScaledPrice4,9),0))</f>
        <v>0</v>
      </c>
      <c r="I34" s="317" t="n">
        <f aca="false">IF(A34="N/A"," ",IF(OR(Dayrun4=3,Dayrun4=6,Dayrun4=9),(VLOOKUP(A34,ScaledPrice4,IF(Scaler4=2,7,8))),0))</f>
        <v>0</v>
      </c>
      <c r="J34" s="317" t="n">
        <f aca="false">IF(A34="N/A"," ",IF(OR(Dayrun4=3,Dayrun4=6),IF(Scaler4=2,I34,(VLOOKUP(A34,ScaledPrice4,7))*(2-(VLOOKUP(A34,ScaledPrice4,3)))),0))</f>
        <v>0</v>
      </c>
      <c r="K34" s="317" t="n">
        <f aca="false">IF($A34="N/A"," ",IF(OR(Dayrun4=3,Dayrun4=10),VLOOKUP($A34,ScaledPrice4,9),0))</f>
        <v>0</v>
      </c>
      <c r="L34" s="318" t="e">
        <f aca="false">IF($A34="N/A"," ",IF(Pricetype4=2,MAX(C34,0),IF(OR(Pricetype4=1,Pricetype4=4),IF(C34=0,0,(EURO(C34,Strikeprice4,0,0,($AH34+IF(Smile=TRUE(),VLOOKUP(MAX(-5,Strikeprice4-C34),Volsmile,2),0)),($A34-DateToday)+15,IF(Pricetype4=1,1,0),0))),C34)))</f>
        <v>#NAME?</v>
      </c>
      <c r="M34" s="318" t="e">
        <f aca="false">IF($A34="N/A"," ",IF(Pricetype4=2,MAX(D34,0),IF(OR(Pricetype4=1,Pricetype4=4),IF(D34=0,0,(EURO(D34,Strikeprice4,0,0,($AH34+IF(Smile=TRUE(),VLOOKUP(MAX(-5,Strikeprice4-D34),Volsmile,2),0)),($A34-DateToday)+15,IF(Pricetype4=1,1,0),0))),D34)))</f>
        <v>#NAME?</v>
      </c>
      <c r="N34" s="318" t="e">
        <f aca="false">IF($A34="N/A"," ",IF(Pricetype4=2,MAX(E34,0),IF(OR(Pricetype4=1,Pricetype4=4),IF(E34=0,0,(EURO(E34,Strikeprice4,0,0,($AK34+IF(Smile=TRUE(),VLOOKUP(MAX(-5,Strikeprice4-E34),Volsmile,2),0)),($A34-DateToday)+15,IF(Pricetype4=1,1,0),0))),E34)))</f>
        <v>#NAME?</v>
      </c>
      <c r="O34" s="318" t="n">
        <f aca="false">IF($A34="N/A"," ",IF(Pricetype4=2,MAX(F34,0),IF(OR(Pricetype4=1,Pricetype4=4),IF(F34=0,0,(EURO(F34,Strikeprice4,0,0,($AK34+IF(Smile=TRUE(),VLOOKUP(MAX(-5,Strikeprice4-F34),Volsmile,2),0)),($A34-DateToday)+15,IF(Pricetype4=1,1,0),0))),F34)))</f>
        <v>0</v>
      </c>
      <c r="P34" s="318" t="n">
        <f aca="false">IF($A34="N/A"," ",IF(Pricetype4=2,MAX(G34,0),IF(OR(Pricetype4=1,Pricetype4=4),IF(G34=0,0,(EURO(G34,Strikeprice4,0,0,($AK34+IF(Smile=TRUE(),VLOOKUP(MAX(-5,Strikeprice4-G34),Volsmile,2),0)),($A34-DateToday)+15,IF(Pricetype4=1,1,0),0))),G34)))</f>
        <v>0</v>
      </c>
      <c r="Q34" s="318" t="n">
        <f aca="false">IF($A34="N/A"," ",IF(Pricetype4=2,MAX(H34,0),IF(OR(Pricetype4=1,Pricetype4=4),IF(H34=0,0,(EURO(H34,Strikeprice4,0,0,($AK34+IF(Smile=TRUE(),VLOOKUP(MAX(-5,Strikeprice4-H34),Volsmile,2),0)),($A34-DateToday)+15,IF(Pricetype4=1,1,0),0))),H34)))</f>
        <v>0</v>
      </c>
      <c r="R34" s="318" t="n">
        <f aca="false">IF($A34="N/A"," ",IF(Pricetype4=2,MAX(I34,0),IF(OR(Pricetype4=1,Pricetype4=4),IF(I34=0,0,(EURO(I34,Strikeprice4,0,0,($AK34+IF(Smile=TRUE(),VLOOKUP(MAX(-5,Strikeprice4-I34),Volsmile,2),0)),($A34-DateToday)+15,IF(Pricetype4=1,1,0),0))),I34)))</f>
        <v>0</v>
      </c>
      <c r="S34" s="318" t="n">
        <f aca="false">IF($A34="N/A"," ",IF(Pricetype4=2,MAX(J34,0),IF(OR(Pricetype4=1,Pricetype4=4),IF(J34=0,0,(EURO(J34,Strikeprice4,0,0,($AK34+IF(Smile=TRUE(),VLOOKUP(MAX(-5,Strikeprice4-J34),Volsmile,2),0)),($A34-DateToday)+15,IF(Pricetype4=1,1,0),0))),J34)))</f>
        <v>0</v>
      </c>
      <c r="T34" s="318" t="n">
        <f aca="false">IF($A34="N/A"," ",IF(Pricetype4=2,MAX(K34,0),IF(OR(Pricetype4=1,Pricetype4=4),IF(K34=0,0,(EURO(K34,Strikeprice4,0,0,($AK34+IF(Smile=TRUE(),VLOOKUP(MAX(-5,Strikeprice4-K34),Volsmile,2),0)),($A34-DateToday)+15,IF(Pricetype4=1,1,0),0))),K34)))</f>
        <v>0</v>
      </c>
      <c r="U34" s="319" t="e">
        <f aca="false">IF($A34="N/A"," ",Volume4*$AM34)</f>
        <v>#N/A</v>
      </c>
      <c r="V34" s="320" t="e">
        <f aca="false">IF($A34="N/A"," ",$U34*(8*($BQ34))*L34)</f>
        <v>#N/A</v>
      </c>
      <c r="W34" s="320" t="e">
        <f aca="false">IF($A34="N/A"," ",$U34*(8*($BQ34))*M34)</f>
        <v>#N/A</v>
      </c>
      <c r="X34" s="320" t="e">
        <f aca="false">IF($A34="N/A"," ",$U34*(8*($BQ34))*N34)</f>
        <v>#N/A</v>
      </c>
      <c r="Y34" s="320" t="e">
        <f aca="false">IF($A34="N/A"," ",$U34*(8*($BR34))*O34)</f>
        <v>#N/A</v>
      </c>
      <c r="Z34" s="320" t="e">
        <f aca="false">IF($A34="N/A"," ",$U34*(8*($BR34))*P34)</f>
        <v>#N/A</v>
      </c>
      <c r="AA34" s="320" t="e">
        <f aca="false">IF($A34="N/A"," ",$U34*(8*($BR34))*Q34)</f>
        <v>#N/A</v>
      </c>
      <c r="AB34" s="320" t="e">
        <f aca="false">IF($A34="N/A"," ",$U34*(8*($BS34))*R34)</f>
        <v>#N/A</v>
      </c>
      <c r="AC34" s="320" t="e">
        <f aca="false">IF($A34="N/A"," ",$U34*(8*($BS34))*S34)</f>
        <v>#N/A</v>
      </c>
      <c r="AD34" s="320" t="e">
        <f aca="false">IF($A34="N/A"," ",$U34*(8*($BS34))*T34)</f>
        <v>#N/A</v>
      </c>
      <c r="AE34" s="320" t="e">
        <f aca="false">IF($A34="N/A"," ",SUM(V34:AD34))</f>
        <v>#N/A</v>
      </c>
      <c r="AF34" s="321" t="n">
        <f aca="false">IF(A34="N/A"," ",(VLOOKUP(A34,PowerVolTable,(IF(VolBMO4=2,7,IF(VolBMO4=1,6,8))),FALSE())))</f>
        <v>0.36</v>
      </c>
      <c r="AG34" s="321" t="n">
        <f aca="false">IF(A34="N/A"," ",(VLOOKUP(A34,IntraPowerVol,(IF(VolBMO4=2,3,IF(VolBMO4=1,2,4))),FALSE())*VLOOKUP(MONTH($A34),Volscale,2)))</f>
        <v>0.72</v>
      </c>
      <c r="AH34" s="321" t="n">
        <f aca="false">IF($A34="N/A"," ",IF(VolType4=1,AG34,AF34))</f>
        <v>0.72</v>
      </c>
      <c r="AI34" s="321" t="n">
        <f aca="false">IF($A34="N/A"," ",(VLOOKUP($A34,OffPwrVolTable,(IF(VolBMO4=2,7,IF(VolBMO4=1,6,8))),FALSE())))</f>
        <v>0.18</v>
      </c>
      <c r="AJ34" s="321" t="n">
        <f aca="false">IF($A34="N/A"," ",(VLOOKUP($A34,OffPwrVolTable,(IF(VolBMO4=2,3,IF(VolBMO4=1,2,4))),FALSE())*VLOOKUP(MONTH($A34),Volscale,2)))</f>
        <v>0.432</v>
      </c>
      <c r="AK34" s="321" t="n">
        <f aca="false">IF($A34="N/A"," ",IF(VolType4=1,AJ34,AI34))</f>
        <v>0.432</v>
      </c>
      <c r="AL34" s="321" t="e">
        <f aca="false">IF($A34="N/A"," ",IF(PV=1,0,'Pricing Inputs4'!R67))</f>
        <v>#N/A</v>
      </c>
      <c r="AM34" s="323" t="e">
        <f aca="false">IF($A34="N/A"," ",(1+AL34/2)^(-2*((EOMONTH(A34,0)+20)-DateToday)/365.25))</f>
        <v>#N/A</v>
      </c>
      <c r="BQ34" s="0" t="n">
        <f aca="false">IF($A34="N/A"," ",(VLOOKUP($A34,NumberofDaysTable,2)))</f>
        <v>21</v>
      </c>
      <c r="BR34" s="0" t="n">
        <f aca="false">IF($A34="N/A"," ",(VLOOKUP($A34,NumberofDaysTable,3)))</f>
        <v>5</v>
      </c>
      <c r="BS34" s="0" t="n">
        <f aca="false">IF($A34="N/A"," ",(VLOOKUP($A34,NumberofDaysTable,4)))</f>
        <v>5</v>
      </c>
    </row>
    <row r="35" customFormat="false" ht="12.75" hidden="false" customHeight="false" outlineLevel="0" collapsed="false">
      <c r="A35" s="315" t="n">
        <f aca="false">IF(A34="N/A","N/A",IF(EDATE(A34,1)&gt;Inputs!$R$5,"N/A",EDATE(A34,1)))</f>
        <v>38200</v>
      </c>
      <c r="B35" s="316" t="n">
        <f aca="false">IF(A35="N/A"," ",YEAR(A35))</f>
        <v>2004</v>
      </c>
      <c r="C35" s="317" t="n">
        <f aca="false">IF($A35="N/A"," ",IF(Dayrun4=10,0,IF(Scaler4=1,(VLOOKUP(A35,ScaledPrice4,4)),(VLOOKUP(A35,ScaledPrice4,2)))))</f>
        <v>52.5</v>
      </c>
      <c r="D35" s="317" t="n">
        <f aca="false">IF(A35="N/A"," ",IF(Dayrun4&gt;=7,0,IF(Scaler4=2,VLOOKUP(A35,ScaledPrice4,2),(VLOOKUP(A35,ScaledPrice4,2))*(2-(VLOOKUP(A35,ScaledPrice4,3))))))</f>
        <v>52.5</v>
      </c>
      <c r="E35" s="317" t="n">
        <f aca="false">IF($A35="N/A"," ",IF(AND(Dayrun4&gt;=4,Dayrun4&lt;=9),0,VLOOKUP($A35,ScaledPrice4,9)))</f>
        <v>23.0400009155273</v>
      </c>
      <c r="F35" s="317" t="n">
        <f aca="false">IF(A35="N/A"," ",IF(OR(Dayrun4=2,Dayrun4=3,Dayrun4=5,Dayrun4=6,Dayrun4=8,Dayrun4=9),VLOOKUP(A35,ScaledPrice4,IF(Scaler4=1,6,5)),0))</f>
        <v>0</v>
      </c>
      <c r="G35" s="317" t="n">
        <f aca="false">IF(A35="N/A"," ",IF(OR(Dayrun4=2,Dayrun4=3,Dayrun4=5,Dayrun4=6),IF(Scaler4=2,F35,(VLOOKUP(A35,ScaledPrice4,5))*(2-(VLOOKUP(A35,ScaledPrice4,3)))),0))</f>
        <v>0</v>
      </c>
      <c r="H35" s="317" t="n">
        <f aca="false">IF($A35="N/A"," ",IF(OR(Dayrun4=2,Dayrun4=3,Dayrun4=10),VLOOKUP($A35,ScaledPrice4,9),0))</f>
        <v>0</v>
      </c>
      <c r="I35" s="317" t="n">
        <f aca="false">IF(A35="N/A"," ",IF(OR(Dayrun4=3,Dayrun4=6,Dayrun4=9),(VLOOKUP(A35,ScaledPrice4,IF(Scaler4=2,7,8))),0))</f>
        <v>0</v>
      </c>
      <c r="J35" s="317" t="n">
        <f aca="false">IF(A35="N/A"," ",IF(OR(Dayrun4=3,Dayrun4=6),IF(Scaler4=2,I35,(VLOOKUP(A35,ScaledPrice4,7))*(2-(VLOOKUP(A35,ScaledPrice4,3)))),0))</f>
        <v>0</v>
      </c>
      <c r="K35" s="317" t="n">
        <f aca="false">IF($A35="N/A"," ",IF(OR(Dayrun4=3,Dayrun4=10),VLOOKUP($A35,ScaledPrice4,9),0))</f>
        <v>0</v>
      </c>
      <c r="L35" s="318" t="e">
        <f aca="false">IF($A35="N/A"," ",IF(Pricetype4=2,MAX(C35,0),IF(OR(Pricetype4=1,Pricetype4=4),IF(C35=0,0,(EURO(C35,Strikeprice4,0,0,($AH35+IF(Smile=TRUE(),VLOOKUP(MAX(-5,Strikeprice4-C35),Volsmile,2),0)),($A35-DateToday)+15,IF(Pricetype4=1,1,0),0))),C35)))</f>
        <v>#NAME?</v>
      </c>
      <c r="M35" s="318" t="e">
        <f aca="false">IF($A35="N/A"," ",IF(Pricetype4=2,MAX(D35,0),IF(OR(Pricetype4=1,Pricetype4=4),IF(D35=0,0,(EURO(D35,Strikeprice4,0,0,($AH35+IF(Smile=TRUE(),VLOOKUP(MAX(-5,Strikeprice4-D35),Volsmile,2),0)),($A35-DateToday)+15,IF(Pricetype4=1,1,0),0))),D35)))</f>
        <v>#NAME?</v>
      </c>
      <c r="N35" s="318" t="e">
        <f aca="false">IF($A35="N/A"," ",IF(Pricetype4=2,MAX(E35,0),IF(OR(Pricetype4=1,Pricetype4=4),IF(E35=0,0,(EURO(E35,Strikeprice4,0,0,($AK35+IF(Smile=TRUE(),VLOOKUP(MAX(-5,Strikeprice4-E35),Volsmile,2),0)),($A35-DateToday)+15,IF(Pricetype4=1,1,0),0))),E35)))</f>
        <v>#NAME?</v>
      </c>
      <c r="O35" s="318" t="n">
        <f aca="false">IF($A35="N/A"," ",IF(Pricetype4=2,MAX(F35,0),IF(OR(Pricetype4=1,Pricetype4=4),IF(F35=0,0,(EURO(F35,Strikeprice4,0,0,($AK35+IF(Smile=TRUE(),VLOOKUP(MAX(-5,Strikeprice4-F35),Volsmile,2),0)),($A35-DateToday)+15,IF(Pricetype4=1,1,0),0))),F35)))</f>
        <v>0</v>
      </c>
      <c r="P35" s="318" t="n">
        <f aca="false">IF($A35="N/A"," ",IF(Pricetype4=2,MAX(G35,0),IF(OR(Pricetype4=1,Pricetype4=4),IF(G35=0,0,(EURO(G35,Strikeprice4,0,0,($AK35+IF(Smile=TRUE(),VLOOKUP(MAX(-5,Strikeprice4-G35),Volsmile,2),0)),($A35-DateToday)+15,IF(Pricetype4=1,1,0),0))),G35)))</f>
        <v>0</v>
      </c>
      <c r="Q35" s="318" t="n">
        <f aca="false">IF($A35="N/A"," ",IF(Pricetype4=2,MAX(H35,0),IF(OR(Pricetype4=1,Pricetype4=4),IF(H35=0,0,(EURO(H35,Strikeprice4,0,0,($AK35+IF(Smile=TRUE(),VLOOKUP(MAX(-5,Strikeprice4-H35),Volsmile,2),0)),($A35-DateToday)+15,IF(Pricetype4=1,1,0),0))),H35)))</f>
        <v>0</v>
      </c>
      <c r="R35" s="318" t="n">
        <f aca="false">IF($A35="N/A"," ",IF(Pricetype4=2,MAX(I35,0),IF(OR(Pricetype4=1,Pricetype4=4),IF(I35=0,0,(EURO(I35,Strikeprice4,0,0,($AK35+IF(Smile=TRUE(),VLOOKUP(MAX(-5,Strikeprice4-I35),Volsmile,2),0)),($A35-DateToday)+15,IF(Pricetype4=1,1,0),0))),I35)))</f>
        <v>0</v>
      </c>
      <c r="S35" s="318" t="n">
        <f aca="false">IF($A35="N/A"," ",IF(Pricetype4=2,MAX(J35,0),IF(OR(Pricetype4=1,Pricetype4=4),IF(J35=0,0,(EURO(J35,Strikeprice4,0,0,($AK35+IF(Smile=TRUE(),VLOOKUP(MAX(-5,Strikeprice4-J35),Volsmile,2),0)),($A35-DateToday)+15,IF(Pricetype4=1,1,0),0))),J35)))</f>
        <v>0</v>
      </c>
      <c r="T35" s="318" t="n">
        <f aca="false">IF($A35="N/A"," ",IF(Pricetype4=2,MAX(K35,0),IF(OR(Pricetype4=1,Pricetype4=4),IF(K35=0,0,(EURO(K35,Strikeprice4,0,0,($AK35+IF(Smile=TRUE(),VLOOKUP(MAX(-5,Strikeprice4-K35),Volsmile,2),0)),($A35-DateToday)+15,IF(Pricetype4=1,1,0),0))),K35)))</f>
        <v>0</v>
      </c>
      <c r="U35" s="319" t="e">
        <f aca="false">IF($A35="N/A"," ",Volume4*$AM35)</f>
        <v>#N/A</v>
      </c>
      <c r="V35" s="320" t="e">
        <f aca="false">IF($A35="N/A"," ",$U35*(8*($BQ35))*L35)</f>
        <v>#N/A</v>
      </c>
      <c r="W35" s="320" t="e">
        <f aca="false">IF($A35="N/A"," ",$U35*(8*($BQ35))*M35)</f>
        <v>#N/A</v>
      </c>
      <c r="X35" s="320" t="e">
        <f aca="false">IF($A35="N/A"," ",$U35*(8*($BQ35))*N35)</f>
        <v>#N/A</v>
      </c>
      <c r="Y35" s="320" t="e">
        <f aca="false">IF($A35="N/A"," ",$U35*(8*($BR35))*O35)</f>
        <v>#N/A</v>
      </c>
      <c r="Z35" s="320" t="e">
        <f aca="false">IF($A35="N/A"," ",$U35*(8*($BR35))*P35)</f>
        <v>#N/A</v>
      </c>
      <c r="AA35" s="320" t="e">
        <f aca="false">IF($A35="N/A"," ",$U35*(8*($BR35))*Q35)</f>
        <v>#N/A</v>
      </c>
      <c r="AB35" s="320" t="e">
        <f aca="false">IF($A35="N/A"," ",$U35*(8*($BS35))*R35)</f>
        <v>#N/A</v>
      </c>
      <c r="AC35" s="320" t="e">
        <f aca="false">IF($A35="N/A"," ",$U35*(8*($BS35))*S35)</f>
        <v>#N/A</v>
      </c>
      <c r="AD35" s="320" t="e">
        <f aca="false">IF($A35="N/A"," ",$U35*(8*($BS35))*T35)</f>
        <v>#N/A</v>
      </c>
      <c r="AE35" s="320" t="e">
        <f aca="false">IF($A35="N/A"," ",SUM(V35:AD35))</f>
        <v>#N/A</v>
      </c>
      <c r="AF35" s="321" t="n">
        <f aca="false">IF(A35="N/A"," ",(VLOOKUP(A35,PowerVolTable,(IF(VolBMO4=2,7,IF(VolBMO4=1,6,8))),FALSE())))</f>
        <v>0.36</v>
      </c>
      <c r="AG35" s="321" t="n">
        <f aca="false">IF(A35="N/A"," ",(VLOOKUP(A35,IntraPowerVol,(IF(VolBMO4=2,3,IF(VolBMO4=1,2,4))),FALSE())*VLOOKUP(MONTH($A35),Volscale,2)))</f>
        <v>0.72</v>
      </c>
      <c r="AH35" s="321" t="n">
        <f aca="false">IF($A35="N/A"," ",IF(VolType4=1,AG35,AF35))</f>
        <v>0.72</v>
      </c>
      <c r="AI35" s="321" t="n">
        <f aca="false">IF($A35="N/A"," ",(VLOOKUP($A35,OffPwrVolTable,(IF(VolBMO4=2,7,IF(VolBMO4=1,6,8))),FALSE())))</f>
        <v>0.18</v>
      </c>
      <c r="AJ35" s="321" t="n">
        <f aca="false">IF($A35="N/A"," ",(VLOOKUP($A35,OffPwrVolTable,(IF(VolBMO4=2,3,IF(VolBMO4=1,2,4))),FALSE())*VLOOKUP(MONTH($A35),Volscale,2)))</f>
        <v>0.432</v>
      </c>
      <c r="AK35" s="321" t="n">
        <f aca="false">IF($A35="N/A"," ",IF(VolType4=1,AJ35,AI35))</f>
        <v>0.432</v>
      </c>
      <c r="AL35" s="321" t="e">
        <f aca="false">IF($A35="N/A"," ",IF(PV=1,0,'Pricing Inputs4'!R68))</f>
        <v>#N/A</v>
      </c>
      <c r="AM35" s="323" t="e">
        <f aca="false">IF($A35="N/A"," ",(1+AL35/2)^(-2*((EOMONTH(A35,0)+20)-DateToday)/365.25))</f>
        <v>#N/A</v>
      </c>
      <c r="BQ35" s="0" t="n">
        <f aca="false">IF($A35="N/A"," ",(VLOOKUP($A35,NumberofDaysTable,2)))</f>
        <v>22</v>
      </c>
      <c r="BR35" s="0" t="n">
        <f aca="false">IF($A35="N/A"," ",(VLOOKUP($A35,NumberofDaysTable,3)))</f>
        <v>4</v>
      </c>
      <c r="BS35" s="0" t="n">
        <f aca="false">IF($A35="N/A"," ",(VLOOKUP($A35,NumberofDaysTable,4)))</f>
        <v>5</v>
      </c>
    </row>
    <row r="36" customFormat="false" ht="12.75" hidden="false" customHeight="false" outlineLevel="0" collapsed="false">
      <c r="A36" s="315" t="n">
        <f aca="false">IF(A35="N/A","N/A",IF(EDATE(A35,1)&gt;Inputs!$R$5,"N/A",EDATE(A35,1)))</f>
        <v>38231</v>
      </c>
      <c r="B36" s="316" t="n">
        <f aca="false">IF(A36="N/A"," ",YEAR(A36))</f>
        <v>2004</v>
      </c>
      <c r="C36" s="317" t="n">
        <f aca="false">IF($A36="N/A"," ",IF(Dayrun4=10,0,IF(Scaler4=1,(VLOOKUP(A36,ScaledPrice4,4)),(VLOOKUP(A36,ScaledPrice4,2)))))</f>
        <v>30.3000011444092</v>
      </c>
      <c r="D36" s="317" t="n">
        <f aca="false">IF(A36="N/A"," ",IF(Dayrun4&gt;=7,0,IF(Scaler4=2,VLOOKUP(A36,ScaledPrice4,2),(VLOOKUP(A36,ScaledPrice4,2))*(2-(VLOOKUP(A36,ScaledPrice4,3))))))</f>
        <v>30.3000011444092</v>
      </c>
      <c r="E36" s="317" t="n">
        <f aca="false">IF($A36="N/A"," ",IF(AND(Dayrun4&gt;=4,Dayrun4&lt;=9),0,VLOOKUP($A36,ScaledPrice4,9)))</f>
        <v>17.0400009155273</v>
      </c>
      <c r="F36" s="317" t="n">
        <f aca="false">IF(A36="N/A"," ",IF(OR(Dayrun4=2,Dayrun4=3,Dayrun4=5,Dayrun4=6,Dayrun4=8,Dayrun4=9),VLOOKUP(A36,ScaledPrice4,IF(Scaler4=1,6,5)),0))</f>
        <v>0</v>
      </c>
      <c r="G36" s="317" t="n">
        <f aca="false">IF(A36="N/A"," ",IF(OR(Dayrun4=2,Dayrun4=3,Dayrun4=5,Dayrun4=6),IF(Scaler4=2,F36,(VLOOKUP(A36,ScaledPrice4,5))*(2-(VLOOKUP(A36,ScaledPrice4,3)))),0))</f>
        <v>0</v>
      </c>
      <c r="H36" s="317" t="n">
        <f aca="false">IF($A36="N/A"," ",IF(OR(Dayrun4=2,Dayrun4=3,Dayrun4=10),VLOOKUP($A36,ScaledPrice4,9),0))</f>
        <v>0</v>
      </c>
      <c r="I36" s="317" t="n">
        <f aca="false">IF(A36="N/A"," ",IF(OR(Dayrun4=3,Dayrun4=6,Dayrun4=9),(VLOOKUP(A36,ScaledPrice4,IF(Scaler4=2,7,8))),0))</f>
        <v>0</v>
      </c>
      <c r="J36" s="317" t="n">
        <f aca="false">IF(A36="N/A"," ",IF(OR(Dayrun4=3,Dayrun4=6),IF(Scaler4=2,I36,(VLOOKUP(A36,ScaledPrice4,7))*(2-(VLOOKUP(A36,ScaledPrice4,3)))),0))</f>
        <v>0</v>
      </c>
      <c r="K36" s="317" t="n">
        <f aca="false">IF($A36="N/A"," ",IF(OR(Dayrun4=3,Dayrun4=10),VLOOKUP($A36,ScaledPrice4,9),0))</f>
        <v>0</v>
      </c>
      <c r="L36" s="318" t="e">
        <f aca="false">IF($A36="N/A"," ",IF(Pricetype4=2,MAX(C36,0),IF(OR(Pricetype4=1,Pricetype4=4),IF(C36=0,0,(EURO(C36,Strikeprice4,0,0,($AH36+IF(Smile=TRUE(),VLOOKUP(MAX(-5,Strikeprice4-C36),Volsmile,2),0)),($A36-DateToday)+15,IF(Pricetype4=1,1,0),0))),C36)))</f>
        <v>#NAME?</v>
      </c>
      <c r="M36" s="318" t="e">
        <f aca="false">IF($A36="N/A"," ",IF(Pricetype4=2,MAX(D36,0),IF(OR(Pricetype4=1,Pricetype4=4),IF(D36=0,0,(EURO(D36,Strikeprice4,0,0,($AH36+IF(Smile=TRUE(),VLOOKUP(MAX(-5,Strikeprice4-D36),Volsmile,2),0)),($A36-DateToday)+15,IF(Pricetype4=1,1,0),0))),D36)))</f>
        <v>#NAME?</v>
      </c>
      <c r="N36" s="318" t="e">
        <f aca="false">IF($A36="N/A"," ",IF(Pricetype4=2,MAX(E36,0),IF(OR(Pricetype4=1,Pricetype4=4),IF(E36=0,0,(EURO(E36,Strikeprice4,0,0,($AK36+IF(Smile=TRUE(),VLOOKUP(MAX(-5,Strikeprice4-E36),Volsmile,2),0)),($A36-DateToday)+15,IF(Pricetype4=1,1,0),0))),E36)))</f>
        <v>#NAME?</v>
      </c>
      <c r="O36" s="318" t="n">
        <f aca="false">IF($A36="N/A"," ",IF(Pricetype4=2,MAX(F36,0),IF(OR(Pricetype4=1,Pricetype4=4),IF(F36=0,0,(EURO(F36,Strikeprice4,0,0,($AK36+IF(Smile=TRUE(),VLOOKUP(MAX(-5,Strikeprice4-F36),Volsmile,2),0)),($A36-DateToday)+15,IF(Pricetype4=1,1,0),0))),F36)))</f>
        <v>0</v>
      </c>
      <c r="P36" s="318" t="n">
        <f aca="false">IF($A36="N/A"," ",IF(Pricetype4=2,MAX(G36,0),IF(OR(Pricetype4=1,Pricetype4=4),IF(G36=0,0,(EURO(G36,Strikeprice4,0,0,($AK36+IF(Smile=TRUE(),VLOOKUP(MAX(-5,Strikeprice4-G36),Volsmile,2),0)),($A36-DateToday)+15,IF(Pricetype4=1,1,0),0))),G36)))</f>
        <v>0</v>
      </c>
      <c r="Q36" s="318" t="n">
        <f aca="false">IF($A36="N/A"," ",IF(Pricetype4=2,MAX(H36,0),IF(OR(Pricetype4=1,Pricetype4=4),IF(H36=0,0,(EURO(H36,Strikeprice4,0,0,($AK36+IF(Smile=TRUE(),VLOOKUP(MAX(-5,Strikeprice4-H36),Volsmile,2),0)),($A36-DateToday)+15,IF(Pricetype4=1,1,0),0))),H36)))</f>
        <v>0</v>
      </c>
      <c r="R36" s="318" t="n">
        <f aca="false">IF($A36="N/A"," ",IF(Pricetype4=2,MAX(I36,0),IF(OR(Pricetype4=1,Pricetype4=4),IF(I36=0,0,(EURO(I36,Strikeprice4,0,0,($AK36+IF(Smile=TRUE(),VLOOKUP(MAX(-5,Strikeprice4-I36),Volsmile,2),0)),($A36-DateToday)+15,IF(Pricetype4=1,1,0),0))),I36)))</f>
        <v>0</v>
      </c>
      <c r="S36" s="318" t="n">
        <f aca="false">IF($A36="N/A"," ",IF(Pricetype4=2,MAX(J36,0),IF(OR(Pricetype4=1,Pricetype4=4),IF(J36=0,0,(EURO(J36,Strikeprice4,0,0,($AK36+IF(Smile=TRUE(),VLOOKUP(MAX(-5,Strikeprice4-J36),Volsmile,2),0)),($A36-DateToday)+15,IF(Pricetype4=1,1,0),0))),J36)))</f>
        <v>0</v>
      </c>
      <c r="T36" s="318" t="n">
        <f aca="false">IF($A36="N/A"," ",IF(Pricetype4=2,MAX(K36,0),IF(OR(Pricetype4=1,Pricetype4=4),IF(K36=0,0,(EURO(K36,Strikeprice4,0,0,($AK36+IF(Smile=TRUE(),VLOOKUP(MAX(-5,Strikeprice4-K36),Volsmile,2),0)),($A36-DateToday)+15,IF(Pricetype4=1,1,0),0))),K36)))</f>
        <v>0</v>
      </c>
      <c r="U36" s="319" t="e">
        <f aca="false">IF($A36="N/A"," ",Volume4*$AM36)</f>
        <v>#N/A</v>
      </c>
      <c r="V36" s="320" t="e">
        <f aca="false">IF($A36="N/A"," ",$U36*(8*($BQ36))*L36)</f>
        <v>#N/A</v>
      </c>
      <c r="W36" s="320" t="e">
        <f aca="false">IF($A36="N/A"," ",$U36*(8*($BQ36))*M36)</f>
        <v>#N/A</v>
      </c>
      <c r="X36" s="320" t="e">
        <f aca="false">IF($A36="N/A"," ",$U36*(8*($BQ36))*N36)</f>
        <v>#N/A</v>
      </c>
      <c r="Y36" s="320" t="e">
        <f aca="false">IF($A36="N/A"," ",$U36*(8*($BR36))*O36)</f>
        <v>#N/A</v>
      </c>
      <c r="Z36" s="320" t="e">
        <f aca="false">IF($A36="N/A"," ",$U36*(8*($BR36))*P36)</f>
        <v>#N/A</v>
      </c>
      <c r="AA36" s="320" t="e">
        <f aca="false">IF($A36="N/A"," ",$U36*(8*($BR36))*Q36)</f>
        <v>#N/A</v>
      </c>
      <c r="AB36" s="320" t="e">
        <f aca="false">IF($A36="N/A"," ",$U36*(8*($BS36))*R36)</f>
        <v>#N/A</v>
      </c>
      <c r="AC36" s="320" t="e">
        <f aca="false">IF($A36="N/A"," ",$U36*(8*($BS36))*S36)</f>
        <v>#N/A</v>
      </c>
      <c r="AD36" s="320" t="e">
        <f aca="false">IF($A36="N/A"," ",$U36*(8*($BS36))*T36)</f>
        <v>#N/A</v>
      </c>
      <c r="AE36" s="320" t="e">
        <f aca="false">IF($A36="N/A"," ",SUM(V36:AD36))</f>
        <v>#N/A</v>
      </c>
      <c r="AF36" s="321" t="n">
        <f aca="false">IF(A36="N/A"," ",(VLOOKUP(A36,PowerVolTable,(IF(VolBMO4=2,7,IF(VolBMO4=1,6,8))),FALSE())))</f>
        <v>0.24</v>
      </c>
      <c r="AG36" s="321" t="n">
        <f aca="false">IF(A36="N/A"," ",(VLOOKUP(A36,IntraPowerVol,(IF(VolBMO4=2,3,IF(VolBMO4=1,2,4))),FALSE())*VLOOKUP(MONTH($A36),Volscale,2)))</f>
        <v>0.48</v>
      </c>
      <c r="AH36" s="321" t="n">
        <f aca="false">IF($A36="N/A"," ",IF(VolType4=1,AG36,AF36))</f>
        <v>0.48</v>
      </c>
      <c r="AI36" s="321" t="n">
        <f aca="false">IF($A36="N/A"," ",(VLOOKUP($A36,OffPwrVolTable,(IF(VolBMO4=2,7,IF(VolBMO4=1,6,8))),FALSE())))</f>
        <v>0.12</v>
      </c>
      <c r="AJ36" s="321" t="n">
        <f aca="false">IF($A36="N/A"," ",(VLOOKUP($A36,OffPwrVolTable,(IF(VolBMO4=2,3,IF(VolBMO4=1,2,4))),FALSE())*VLOOKUP(MONTH($A36),Volscale,2)))</f>
        <v>0.288</v>
      </c>
      <c r="AK36" s="321" t="n">
        <f aca="false">IF($A36="N/A"," ",IF(VolType4=1,AJ36,AI36))</f>
        <v>0.288</v>
      </c>
      <c r="AL36" s="321" t="e">
        <f aca="false">IF($A36="N/A"," ",IF(PV=1,0,'Pricing Inputs4'!R69))</f>
        <v>#N/A</v>
      </c>
      <c r="AM36" s="323" t="e">
        <f aca="false">IF($A36="N/A"," ",(1+AL36/2)^(-2*((EOMONTH(A36,0)+20)-DateToday)/365.25))</f>
        <v>#N/A</v>
      </c>
      <c r="BQ36" s="0" t="n">
        <f aca="false">IF($A36="N/A"," ",(VLOOKUP($A36,NumberofDaysTable,2)))</f>
        <v>21</v>
      </c>
      <c r="BR36" s="0" t="n">
        <f aca="false">IF($A36="N/A"," ",(VLOOKUP($A36,NumberofDaysTable,3)))</f>
        <v>4</v>
      </c>
      <c r="BS36" s="0" t="n">
        <f aca="false">IF($A36="N/A"," ",(VLOOKUP($A36,NumberofDaysTable,4)))</f>
        <v>5</v>
      </c>
    </row>
    <row r="37" customFormat="false" ht="12.75" hidden="false" customHeight="false" outlineLevel="0" collapsed="false">
      <c r="A37" s="315" t="n">
        <f aca="false">IF(A36="N/A","N/A",IF(EDATE(A36,1)&gt;Inputs!$R$5,"N/A",EDATE(A36,1)))</f>
        <v>38261</v>
      </c>
      <c r="B37" s="316" t="n">
        <f aca="false">IF(A37="N/A"," ",YEAR(A37))</f>
        <v>2004</v>
      </c>
      <c r="C37" s="317" t="n">
        <f aca="false">IF($A37="N/A"," ",IF(Dayrun4=10,0,IF(Scaler4=1,(VLOOKUP(A37,ScaledPrice4,4)),(VLOOKUP(A37,ScaledPrice4,2)))))</f>
        <v>30.9515632390976</v>
      </c>
      <c r="D37" s="317" t="n">
        <f aca="false">IF(A37="N/A"," ",IF(Dayrun4&gt;=7,0,IF(Scaler4=2,VLOOKUP(A37,ScaledPrice4,2),(VLOOKUP(A37,ScaledPrice4,2))*(2-(VLOOKUP(A37,ScaledPrice4,3))))))</f>
        <v>30.9515632390976</v>
      </c>
      <c r="E37" s="317" t="n">
        <f aca="false">IF($A37="N/A"," ",IF(AND(Dayrun4&gt;=4,Dayrun4&lt;=9),0,VLOOKUP($A37,ScaledPrice4,9)))</f>
        <v>16.540002822876</v>
      </c>
      <c r="F37" s="317" t="n">
        <f aca="false">IF(A37="N/A"," ",IF(OR(Dayrun4=2,Dayrun4=3,Dayrun4=5,Dayrun4=6,Dayrun4=8,Dayrun4=9),VLOOKUP(A37,ScaledPrice4,IF(Scaler4=1,6,5)),0))</f>
        <v>0</v>
      </c>
      <c r="G37" s="317" t="n">
        <f aca="false">IF(A37="N/A"," ",IF(OR(Dayrun4=2,Dayrun4=3,Dayrun4=5,Dayrun4=6),IF(Scaler4=2,F37,(VLOOKUP(A37,ScaledPrice4,5))*(2-(VLOOKUP(A37,ScaledPrice4,3)))),0))</f>
        <v>0</v>
      </c>
      <c r="H37" s="317" t="n">
        <f aca="false">IF($A37="N/A"," ",IF(OR(Dayrun4=2,Dayrun4=3,Dayrun4=10),VLOOKUP($A37,ScaledPrice4,9),0))</f>
        <v>0</v>
      </c>
      <c r="I37" s="317" t="n">
        <f aca="false">IF(A37="N/A"," ",IF(OR(Dayrun4=3,Dayrun4=6,Dayrun4=9),(VLOOKUP(A37,ScaledPrice4,IF(Scaler4=2,7,8))),0))</f>
        <v>0</v>
      </c>
      <c r="J37" s="317" t="n">
        <f aca="false">IF(A37="N/A"," ",IF(OR(Dayrun4=3,Dayrun4=6),IF(Scaler4=2,I37,(VLOOKUP(A37,ScaledPrice4,7))*(2-(VLOOKUP(A37,ScaledPrice4,3)))),0))</f>
        <v>0</v>
      </c>
      <c r="K37" s="317" t="n">
        <f aca="false">IF($A37="N/A"," ",IF(OR(Dayrun4=3,Dayrun4=10),VLOOKUP($A37,ScaledPrice4,9),0))</f>
        <v>0</v>
      </c>
      <c r="L37" s="318" t="e">
        <f aca="false">IF($A37="N/A"," ",IF(Pricetype4=2,MAX(C37,0),IF(OR(Pricetype4=1,Pricetype4=4),IF(C37=0,0,(EURO(C37,Strikeprice4,0,0,($AH37+IF(Smile=TRUE(),VLOOKUP(MAX(-5,Strikeprice4-C37),Volsmile,2),0)),($A37-DateToday)+15,IF(Pricetype4=1,1,0),0))),C37)))</f>
        <v>#NAME?</v>
      </c>
      <c r="M37" s="318" t="e">
        <f aca="false">IF($A37="N/A"," ",IF(Pricetype4=2,MAX(D37,0),IF(OR(Pricetype4=1,Pricetype4=4),IF(D37=0,0,(EURO(D37,Strikeprice4,0,0,($AH37+IF(Smile=TRUE(),VLOOKUP(MAX(-5,Strikeprice4-D37),Volsmile,2),0)),($A37-DateToday)+15,IF(Pricetype4=1,1,0),0))),D37)))</f>
        <v>#NAME?</v>
      </c>
      <c r="N37" s="318" t="e">
        <f aca="false">IF($A37="N/A"," ",IF(Pricetype4=2,MAX(E37,0),IF(OR(Pricetype4=1,Pricetype4=4),IF(E37=0,0,(EURO(E37,Strikeprice4,0,0,($AK37+IF(Smile=TRUE(),VLOOKUP(MAX(-5,Strikeprice4-E37),Volsmile,2),0)),($A37-DateToday)+15,IF(Pricetype4=1,1,0),0))),E37)))</f>
        <v>#NAME?</v>
      </c>
      <c r="O37" s="318" t="n">
        <f aca="false">IF($A37="N/A"," ",IF(Pricetype4=2,MAX(F37,0),IF(OR(Pricetype4=1,Pricetype4=4),IF(F37=0,0,(EURO(F37,Strikeprice4,0,0,($AK37+IF(Smile=TRUE(),VLOOKUP(MAX(-5,Strikeprice4-F37),Volsmile,2),0)),($A37-DateToday)+15,IF(Pricetype4=1,1,0),0))),F37)))</f>
        <v>0</v>
      </c>
      <c r="P37" s="318" t="n">
        <f aca="false">IF($A37="N/A"," ",IF(Pricetype4=2,MAX(G37,0),IF(OR(Pricetype4=1,Pricetype4=4),IF(G37=0,0,(EURO(G37,Strikeprice4,0,0,($AK37+IF(Smile=TRUE(),VLOOKUP(MAX(-5,Strikeprice4-G37),Volsmile,2),0)),($A37-DateToday)+15,IF(Pricetype4=1,1,0),0))),G37)))</f>
        <v>0</v>
      </c>
      <c r="Q37" s="318" t="n">
        <f aca="false">IF($A37="N/A"," ",IF(Pricetype4=2,MAX(H37,0),IF(OR(Pricetype4=1,Pricetype4=4),IF(H37=0,0,(EURO(H37,Strikeprice4,0,0,($AK37+IF(Smile=TRUE(),VLOOKUP(MAX(-5,Strikeprice4-H37),Volsmile,2),0)),($A37-DateToday)+15,IF(Pricetype4=1,1,0),0))),H37)))</f>
        <v>0</v>
      </c>
      <c r="R37" s="318" t="n">
        <f aca="false">IF($A37="N/A"," ",IF(Pricetype4=2,MAX(I37,0),IF(OR(Pricetype4=1,Pricetype4=4),IF(I37=0,0,(EURO(I37,Strikeprice4,0,0,($AK37+IF(Smile=TRUE(),VLOOKUP(MAX(-5,Strikeprice4-I37),Volsmile,2),0)),($A37-DateToday)+15,IF(Pricetype4=1,1,0),0))),I37)))</f>
        <v>0</v>
      </c>
      <c r="S37" s="318" t="n">
        <f aca="false">IF($A37="N/A"," ",IF(Pricetype4=2,MAX(J37,0),IF(OR(Pricetype4=1,Pricetype4=4),IF(J37=0,0,(EURO(J37,Strikeprice4,0,0,($AK37+IF(Smile=TRUE(),VLOOKUP(MAX(-5,Strikeprice4-J37),Volsmile,2),0)),($A37-DateToday)+15,IF(Pricetype4=1,1,0),0))),J37)))</f>
        <v>0</v>
      </c>
      <c r="T37" s="318" t="n">
        <f aca="false">IF($A37="N/A"," ",IF(Pricetype4=2,MAX(K37,0),IF(OR(Pricetype4=1,Pricetype4=4),IF(K37=0,0,(EURO(K37,Strikeprice4,0,0,($AK37+IF(Smile=TRUE(),VLOOKUP(MAX(-5,Strikeprice4-K37),Volsmile,2),0)),($A37-DateToday)+15,IF(Pricetype4=1,1,0),0))),K37)))</f>
        <v>0</v>
      </c>
      <c r="U37" s="319" t="e">
        <f aca="false">IF($A37="N/A"," ",Volume4*$AM37)</f>
        <v>#N/A</v>
      </c>
      <c r="V37" s="320" t="e">
        <f aca="false">IF($A37="N/A"," ",$U37*(8*($BQ37))*L37)</f>
        <v>#N/A</v>
      </c>
      <c r="W37" s="320" t="e">
        <f aca="false">IF($A37="N/A"," ",$U37*(8*($BQ37))*M37)</f>
        <v>#N/A</v>
      </c>
      <c r="X37" s="320" t="e">
        <f aca="false">IF($A37="N/A"," ",$U37*(8*($BQ37))*N37)</f>
        <v>#N/A</v>
      </c>
      <c r="Y37" s="320" t="e">
        <f aca="false">IF($A37="N/A"," ",$U37*(8*($BR37))*O37)</f>
        <v>#N/A</v>
      </c>
      <c r="Z37" s="320" t="e">
        <f aca="false">IF($A37="N/A"," ",$U37*(8*($BR37))*P37)</f>
        <v>#N/A</v>
      </c>
      <c r="AA37" s="320" t="e">
        <f aca="false">IF($A37="N/A"," ",$U37*(8*($BR37))*Q37)</f>
        <v>#N/A</v>
      </c>
      <c r="AB37" s="320" t="e">
        <f aca="false">IF($A37="N/A"," ",$U37*(8*($BS37))*R37)</f>
        <v>#N/A</v>
      </c>
      <c r="AC37" s="320" t="e">
        <f aca="false">IF($A37="N/A"," ",$U37*(8*($BS37))*S37)</f>
        <v>#N/A</v>
      </c>
      <c r="AD37" s="320" t="e">
        <f aca="false">IF($A37="N/A"," ",$U37*(8*($BS37))*T37)</f>
        <v>#N/A</v>
      </c>
      <c r="AE37" s="320" t="e">
        <f aca="false">IF($A37="N/A"," ",SUM(V37:AD37))</f>
        <v>#N/A</v>
      </c>
      <c r="AF37" s="321" t="n">
        <f aca="false">IF(A37="N/A"," ",(VLOOKUP(A37,PowerVolTable,(IF(VolBMO4=2,7,IF(VolBMO4=1,6,8))),FALSE())))</f>
        <v>0.24</v>
      </c>
      <c r="AG37" s="321" t="n">
        <f aca="false">IF(A37="N/A"," ",(VLOOKUP(A37,IntraPowerVol,(IF(VolBMO4=2,3,IF(VolBMO4=1,2,4))),FALSE())*VLOOKUP(MONTH($A37),Volscale,2)))</f>
        <v>0.48</v>
      </c>
      <c r="AH37" s="321" t="n">
        <f aca="false">IF($A37="N/A"," ",IF(VolType4=1,AG37,AF37))</f>
        <v>0.48</v>
      </c>
      <c r="AI37" s="321" t="n">
        <f aca="false">IF($A37="N/A"," ",(VLOOKUP($A37,OffPwrVolTable,(IF(VolBMO4=2,7,IF(VolBMO4=1,6,8))),FALSE())))</f>
        <v>0.12</v>
      </c>
      <c r="AJ37" s="321" t="n">
        <f aca="false">IF($A37="N/A"," ",(VLOOKUP($A37,OffPwrVolTable,(IF(VolBMO4=2,3,IF(VolBMO4=1,2,4))),FALSE())*VLOOKUP(MONTH($A37),Volscale,2)))</f>
        <v>0.288</v>
      </c>
      <c r="AK37" s="321" t="n">
        <f aca="false">IF($A37="N/A"," ",IF(VolType4=1,AJ37,AI37))</f>
        <v>0.288</v>
      </c>
      <c r="AL37" s="321" t="e">
        <f aca="false">IF($A37="N/A"," ",IF(PV=1,0,'Pricing Inputs4'!R70))</f>
        <v>#N/A</v>
      </c>
      <c r="AM37" s="323" t="e">
        <f aca="false">IF($A37="N/A"," ",(1+AL37/2)^(-2*((EOMONTH(A37,0)+20)-DateToday)/365.25))</f>
        <v>#N/A</v>
      </c>
      <c r="BQ37" s="0" t="n">
        <f aca="false">IF($A37="N/A"," ",(VLOOKUP($A37,NumberofDaysTable,2)))</f>
        <v>21</v>
      </c>
      <c r="BR37" s="0" t="n">
        <f aca="false">IF($A37="N/A"," ",(VLOOKUP($A37,NumberofDaysTable,3)))</f>
        <v>5</v>
      </c>
      <c r="BS37" s="0" t="n">
        <f aca="false">IF($A37="N/A"," ",(VLOOKUP($A37,NumberofDaysTable,4)))</f>
        <v>5</v>
      </c>
    </row>
    <row r="38" customFormat="false" ht="12.75" hidden="false" customHeight="false" outlineLevel="0" collapsed="false">
      <c r="A38" s="315" t="n">
        <f aca="false">IF(A37="N/A","N/A",IF(EDATE(A37,1)&gt;Inputs!$R$5,"N/A",EDATE(A37,1)))</f>
        <v>38292</v>
      </c>
      <c r="B38" s="316" t="n">
        <f aca="false">IF(A38="N/A"," ",YEAR(A38))</f>
        <v>2004</v>
      </c>
      <c r="C38" s="317" t="n">
        <f aca="false">IF($A38="N/A"," ",IF(Dayrun4=10,0,IF(Scaler4=1,(VLOOKUP(A38,ScaledPrice4,4)),(VLOOKUP(A38,ScaledPrice4,2)))))</f>
        <v>31.0515617132187</v>
      </c>
      <c r="D38" s="317" t="n">
        <f aca="false">IF(A38="N/A"," ",IF(Dayrun4&gt;=7,0,IF(Scaler4=2,VLOOKUP(A38,ScaledPrice4,2),(VLOOKUP(A38,ScaledPrice4,2))*(2-(VLOOKUP(A38,ScaledPrice4,3))))))</f>
        <v>31.0515617132187</v>
      </c>
      <c r="E38" s="317" t="n">
        <f aca="false">IF($A38="N/A"," ",IF(AND(Dayrun4&gt;=4,Dayrun4&lt;=9),0,VLOOKUP($A38,ScaledPrice4,9)))</f>
        <v>17.5400009155273</v>
      </c>
      <c r="F38" s="317" t="n">
        <f aca="false">IF(A38="N/A"," ",IF(OR(Dayrun4=2,Dayrun4=3,Dayrun4=5,Dayrun4=6,Dayrun4=8,Dayrun4=9),VLOOKUP(A38,ScaledPrice4,IF(Scaler4=1,6,5)),0))</f>
        <v>0</v>
      </c>
      <c r="G38" s="317" t="n">
        <f aca="false">IF(A38="N/A"," ",IF(OR(Dayrun4=2,Dayrun4=3,Dayrun4=5,Dayrun4=6),IF(Scaler4=2,F38,(VLOOKUP(A38,ScaledPrice4,5))*(2-(VLOOKUP(A38,ScaledPrice4,3)))),0))</f>
        <v>0</v>
      </c>
      <c r="H38" s="317" t="n">
        <f aca="false">IF($A38="N/A"," ",IF(OR(Dayrun4=2,Dayrun4=3,Dayrun4=10),VLOOKUP($A38,ScaledPrice4,9),0))</f>
        <v>0</v>
      </c>
      <c r="I38" s="317" t="n">
        <f aca="false">IF(A38="N/A"," ",IF(OR(Dayrun4=3,Dayrun4=6,Dayrun4=9),(VLOOKUP(A38,ScaledPrice4,IF(Scaler4=2,7,8))),0))</f>
        <v>0</v>
      </c>
      <c r="J38" s="317" t="n">
        <f aca="false">IF(A38="N/A"," ",IF(OR(Dayrun4=3,Dayrun4=6),IF(Scaler4=2,I38,(VLOOKUP(A38,ScaledPrice4,7))*(2-(VLOOKUP(A38,ScaledPrice4,3)))),0))</f>
        <v>0</v>
      </c>
      <c r="K38" s="317" t="n">
        <f aca="false">IF($A38="N/A"," ",IF(OR(Dayrun4=3,Dayrun4=10),VLOOKUP($A38,ScaledPrice4,9),0))</f>
        <v>0</v>
      </c>
      <c r="L38" s="318" t="e">
        <f aca="false">IF($A38="N/A"," ",IF(Pricetype4=2,MAX(C38,0),IF(OR(Pricetype4=1,Pricetype4=4),IF(C38=0,0,(EURO(C38,Strikeprice4,0,0,($AH38+IF(Smile=TRUE(),VLOOKUP(MAX(-5,Strikeprice4-C38),Volsmile,2),0)),($A38-DateToday)+15,IF(Pricetype4=1,1,0),0))),C38)))</f>
        <v>#NAME?</v>
      </c>
      <c r="M38" s="318" t="e">
        <f aca="false">IF($A38="N/A"," ",IF(Pricetype4=2,MAX(D38,0),IF(OR(Pricetype4=1,Pricetype4=4),IF(D38=0,0,(EURO(D38,Strikeprice4,0,0,($AH38+IF(Smile=TRUE(),VLOOKUP(MAX(-5,Strikeprice4-D38),Volsmile,2),0)),($A38-DateToday)+15,IF(Pricetype4=1,1,0),0))),D38)))</f>
        <v>#NAME?</v>
      </c>
      <c r="N38" s="318" t="e">
        <f aca="false">IF($A38="N/A"," ",IF(Pricetype4=2,MAX(E38,0),IF(OR(Pricetype4=1,Pricetype4=4),IF(E38=0,0,(EURO(E38,Strikeprice4,0,0,($AK38+IF(Smile=TRUE(),VLOOKUP(MAX(-5,Strikeprice4-E38),Volsmile,2),0)),($A38-DateToday)+15,IF(Pricetype4=1,1,0),0))),E38)))</f>
        <v>#NAME?</v>
      </c>
      <c r="O38" s="318" t="n">
        <f aca="false">IF($A38="N/A"," ",IF(Pricetype4=2,MAX(F38,0),IF(OR(Pricetype4=1,Pricetype4=4),IF(F38=0,0,(EURO(F38,Strikeprice4,0,0,($AK38+IF(Smile=TRUE(),VLOOKUP(MAX(-5,Strikeprice4-F38),Volsmile,2),0)),($A38-DateToday)+15,IF(Pricetype4=1,1,0),0))),F38)))</f>
        <v>0</v>
      </c>
      <c r="P38" s="318" t="n">
        <f aca="false">IF($A38="N/A"," ",IF(Pricetype4=2,MAX(G38,0),IF(OR(Pricetype4=1,Pricetype4=4),IF(G38=0,0,(EURO(G38,Strikeprice4,0,0,($AK38+IF(Smile=TRUE(),VLOOKUP(MAX(-5,Strikeprice4-G38),Volsmile,2),0)),($A38-DateToday)+15,IF(Pricetype4=1,1,0),0))),G38)))</f>
        <v>0</v>
      </c>
      <c r="Q38" s="318" t="n">
        <f aca="false">IF($A38="N/A"," ",IF(Pricetype4=2,MAX(H38,0),IF(OR(Pricetype4=1,Pricetype4=4),IF(H38=0,0,(EURO(H38,Strikeprice4,0,0,($AK38+IF(Smile=TRUE(),VLOOKUP(MAX(-5,Strikeprice4-H38),Volsmile,2),0)),($A38-DateToday)+15,IF(Pricetype4=1,1,0),0))),H38)))</f>
        <v>0</v>
      </c>
      <c r="R38" s="318" t="n">
        <f aca="false">IF($A38="N/A"," ",IF(Pricetype4=2,MAX(I38,0),IF(OR(Pricetype4=1,Pricetype4=4),IF(I38=0,0,(EURO(I38,Strikeprice4,0,0,($AK38+IF(Smile=TRUE(),VLOOKUP(MAX(-5,Strikeprice4-I38),Volsmile,2),0)),($A38-DateToday)+15,IF(Pricetype4=1,1,0),0))),I38)))</f>
        <v>0</v>
      </c>
      <c r="S38" s="318" t="n">
        <f aca="false">IF($A38="N/A"," ",IF(Pricetype4=2,MAX(J38,0),IF(OR(Pricetype4=1,Pricetype4=4),IF(J38=0,0,(EURO(J38,Strikeprice4,0,0,($AK38+IF(Smile=TRUE(),VLOOKUP(MAX(-5,Strikeprice4-J38),Volsmile,2),0)),($A38-DateToday)+15,IF(Pricetype4=1,1,0),0))),J38)))</f>
        <v>0</v>
      </c>
      <c r="T38" s="318" t="n">
        <f aca="false">IF($A38="N/A"," ",IF(Pricetype4=2,MAX(K38,0),IF(OR(Pricetype4=1,Pricetype4=4),IF(K38=0,0,(EURO(K38,Strikeprice4,0,0,($AK38+IF(Smile=TRUE(),VLOOKUP(MAX(-5,Strikeprice4-K38),Volsmile,2),0)),($A38-DateToday)+15,IF(Pricetype4=1,1,0),0))),K38)))</f>
        <v>0</v>
      </c>
      <c r="U38" s="319" t="e">
        <f aca="false">IF($A38="N/A"," ",Volume4*$AM38)</f>
        <v>#N/A</v>
      </c>
      <c r="V38" s="320" t="e">
        <f aca="false">IF($A38="N/A"," ",$U38*(8*($BQ38))*L38)</f>
        <v>#N/A</v>
      </c>
      <c r="W38" s="320" t="e">
        <f aca="false">IF($A38="N/A"," ",$U38*(8*($BQ38))*M38)</f>
        <v>#N/A</v>
      </c>
      <c r="X38" s="320" t="e">
        <f aca="false">IF($A38="N/A"," ",$U38*(8*($BQ38))*N38)</f>
        <v>#N/A</v>
      </c>
      <c r="Y38" s="320" t="e">
        <f aca="false">IF($A38="N/A"," ",$U38*(8*($BR38))*O38)</f>
        <v>#N/A</v>
      </c>
      <c r="Z38" s="320" t="e">
        <f aca="false">IF($A38="N/A"," ",$U38*(8*($BR38))*P38)</f>
        <v>#N/A</v>
      </c>
      <c r="AA38" s="320" t="e">
        <f aca="false">IF($A38="N/A"," ",$U38*(8*($BR38))*Q38)</f>
        <v>#N/A</v>
      </c>
      <c r="AB38" s="320" t="e">
        <f aca="false">IF($A38="N/A"," ",$U38*(8*($BS38))*R38)</f>
        <v>#N/A</v>
      </c>
      <c r="AC38" s="320" t="e">
        <f aca="false">IF($A38="N/A"," ",$U38*(8*($BS38))*S38)</f>
        <v>#N/A</v>
      </c>
      <c r="AD38" s="320" t="e">
        <f aca="false">IF($A38="N/A"," ",$U38*(8*($BS38))*T38)</f>
        <v>#N/A</v>
      </c>
      <c r="AE38" s="320" t="e">
        <f aca="false">IF($A38="N/A"," ",SUM(V38:AD38))</f>
        <v>#N/A</v>
      </c>
      <c r="AF38" s="321" t="n">
        <f aca="false">IF(A38="N/A"," ",(VLOOKUP(A38,PowerVolTable,(IF(VolBMO4=2,7,IF(VolBMO4=1,6,8))),FALSE())))</f>
        <v>0.24</v>
      </c>
      <c r="AG38" s="321" t="n">
        <f aca="false">IF(A38="N/A"," ",(VLOOKUP(A38,IntraPowerVol,(IF(VolBMO4=2,3,IF(VolBMO4=1,2,4))),FALSE())*VLOOKUP(MONTH($A38),Volscale,2)))</f>
        <v>0.48</v>
      </c>
      <c r="AH38" s="321" t="n">
        <f aca="false">IF($A38="N/A"," ",IF(VolType4=1,AG38,AF38))</f>
        <v>0.48</v>
      </c>
      <c r="AI38" s="321" t="n">
        <f aca="false">IF($A38="N/A"," ",(VLOOKUP($A38,OffPwrVolTable,(IF(VolBMO4=2,7,IF(VolBMO4=1,6,8))),FALSE())))</f>
        <v>0.12</v>
      </c>
      <c r="AJ38" s="321" t="n">
        <f aca="false">IF($A38="N/A"," ",(VLOOKUP($A38,OffPwrVolTable,(IF(VolBMO4=2,3,IF(VolBMO4=1,2,4))),FALSE())*VLOOKUP(MONTH($A38),Volscale,2)))</f>
        <v>0.288</v>
      </c>
      <c r="AK38" s="321" t="n">
        <f aca="false">IF($A38="N/A"," ",IF(VolType4=1,AJ38,AI38))</f>
        <v>0.288</v>
      </c>
      <c r="AL38" s="321" t="e">
        <f aca="false">IF($A38="N/A"," ",IF(PV=1,0,'Pricing Inputs4'!R71))</f>
        <v>#N/A</v>
      </c>
      <c r="AM38" s="323" t="e">
        <f aca="false">IF($A38="N/A"," ",(1+AL38/2)^(-2*((EOMONTH(A38,0)+20)-DateToday)/365.25))</f>
        <v>#N/A</v>
      </c>
      <c r="BQ38" s="0" t="n">
        <f aca="false">IF($A38="N/A"," ",(VLOOKUP($A38,NumberofDaysTable,2)))</f>
        <v>21</v>
      </c>
      <c r="BR38" s="0" t="n">
        <f aca="false">IF($A38="N/A"," ",(VLOOKUP($A38,NumberofDaysTable,3)))</f>
        <v>4</v>
      </c>
      <c r="BS38" s="0" t="n">
        <f aca="false">IF($A38="N/A"," ",(VLOOKUP($A38,NumberofDaysTable,4)))</f>
        <v>5</v>
      </c>
    </row>
    <row r="39" customFormat="false" ht="12.75" hidden="false" customHeight="false" outlineLevel="0" collapsed="false">
      <c r="A39" s="315" t="n">
        <f aca="false">IF(A38="N/A","N/A",IF(EDATE(A38,1)&gt;Inputs!$R$5,"N/A",EDATE(A38,1)))</f>
        <v>38322</v>
      </c>
      <c r="B39" s="316" t="n">
        <f aca="false">IF(A39="N/A"," ",YEAR(A39))</f>
        <v>2004</v>
      </c>
      <c r="C39" s="317" t="n">
        <f aca="false">IF($A39="N/A"," ",IF(Dayrun4=10,0,IF(Scaler4=1,(VLOOKUP(A39,ScaledPrice4,4)),(VLOOKUP(A39,ScaledPrice4,2)))))</f>
        <v>31.1515601873398</v>
      </c>
      <c r="D39" s="317" t="n">
        <f aca="false">IF(A39="N/A"," ",IF(Dayrun4&gt;=7,0,IF(Scaler4=2,VLOOKUP(A39,ScaledPrice4,2),(VLOOKUP(A39,ScaledPrice4,2))*(2-(VLOOKUP(A39,ScaledPrice4,3))))))</f>
        <v>31.1515601873398</v>
      </c>
      <c r="E39" s="317" t="n">
        <f aca="false">IF($A39="N/A"," ",IF(AND(Dayrun4&gt;=4,Dayrun4&lt;=9),0,VLOOKUP($A39,ScaledPrice4,9)))</f>
        <v>19.7900009155273</v>
      </c>
      <c r="F39" s="317" t="n">
        <f aca="false">IF(A39="N/A"," ",IF(OR(Dayrun4=2,Dayrun4=3,Dayrun4=5,Dayrun4=6,Dayrun4=8,Dayrun4=9),VLOOKUP(A39,ScaledPrice4,IF(Scaler4=1,6,5)),0))</f>
        <v>0</v>
      </c>
      <c r="G39" s="317" t="n">
        <f aca="false">IF(A39="N/A"," ",IF(OR(Dayrun4=2,Dayrun4=3,Dayrun4=5,Dayrun4=6),IF(Scaler4=2,F39,(VLOOKUP(A39,ScaledPrice4,5))*(2-(VLOOKUP(A39,ScaledPrice4,3)))),0))</f>
        <v>0</v>
      </c>
      <c r="H39" s="317" t="n">
        <f aca="false">IF($A39="N/A"," ",IF(OR(Dayrun4=2,Dayrun4=3,Dayrun4=10),VLOOKUP($A39,ScaledPrice4,9),0))</f>
        <v>0</v>
      </c>
      <c r="I39" s="317" t="n">
        <f aca="false">IF(A39="N/A"," ",IF(OR(Dayrun4=3,Dayrun4=6,Dayrun4=9),(VLOOKUP(A39,ScaledPrice4,IF(Scaler4=2,7,8))),0))</f>
        <v>0</v>
      </c>
      <c r="J39" s="317" t="n">
        <f aca="false">IF(A39="N/A"," ",IF(OR(Dayrun4=3,Dayrun4=6),IF(Scaler4=2,I39,(VLOOKUP(A39,ScaledPrice4,7))*(2-(VLOOKUP(A39,ScaledPrice4,3)))),0))</f>
        <v>0</v>
      </c>
      <c r="K39" s="317" t="n">
        <f aca="false">IF($A39="N/A"," ",IF(OR(Dayrun4=3,Dayrun4=10),VLOOKUP($A39,ScaledPrice4,9),0))</f>
        <v>0</v>
      </c>
      <c r="L39" s="318" t="e">
        <f aca="false">IF($A39="N/A"," ",IF(Pricetype4=2,MAX(C39,0),IF(OR(Pricetype4=1,Pricetype4=4),IF(C39=0,0,(EURO(C39,Strikeprice4,0,0,($AH39+IF(Smile=TRUE(),VLOOKUP(MAX(-5,Strikeprice4-C39),Volsmile,2),0)),($A39-DateToday)+15,IF(Pricetype4=1,1,0),0))),C39)))</f>
        <v>#NAME?</v>
      </c>
      <c r="M39" s="318" t="e">
        <f aca="false">IF($A39="N/A"," ",IF(Pricetype4=2,MAX(D39,0),IF(OR(Pricetype4=1,Pricetype4=4),IF(D39=0,0,(EURO(D39,Strikeprice4,0,0,($AH39+IF(Smile=TRUE(),VLOOKUP(MAX(-5,Strikeprice4-D39),Volsmile,2),0)),($A39-DateToday)+15,IF(Pricetype4=1,1,0),0))),D39)))</f>
        <v>#NAME?</v>
      </c>
      <c r="N39" s="318" t="e">
        <f aca="false">IF($A39="N/A"," ",IF(Pricetype4=2,MAX(E39,0),IF(OR(Pricetype4=1,Pricetype4=4),IF(E39=0,0,(EURO(E39,Strikeprice4,0,0,($AK39+IF(Smile=TRUE(),VLOOKUP(MAX(-5,Strikeprice4-E39),Volsmile,2),0)),($A39-DateToday)+15,IF(Pricetype4=1,1,0),0))),E39)))</f>
        <v>#NAME?</v>
      </c>
      <c r="O39" s="318" t="n">
        <f aca="false">IF($A39="N/A"," ",IF(Pricetype4=2,MAX(F39,0),IF(OR(Pricetype4=1,Pricetype4=4),IF(F39=0,0,(EURO(F39,Strikeprice4,0,0,($AK39+IF(Smile=TRUE(),VLOOKUP(MAX(-5,Strikeprice4-F39),Volsmile,2),0)),($A39-DateToday)+15,IF(Pricetype4=1,1,0),0))),F39)))</f>
        <v>0</v>
      </c>
      <c r="P39" s="318" t="n">
        <f aca="false">IF($A39="N/A"," ",IF(Pricetype4=2,MAX(G39,0),IF(OR(Pricetype4=1,Pricetype4=4),IF(G39=0,0,(EURO(G39,Strikeprice4,0,0,($AK39+IF(Smile=TRUE(),VLOOKUP(MAX(-5,Strikeprice4-G39),Volsmile,2),0)),($A39-DateToday)+15,IF(Pricetype4=1,1,0),0))),G39)))</f>
        <v>0</v>
      </c>
      <c r="Q39" s="318" t="n">
        <f aca="false">IF($A39="N/A"," ",IF(Pricetype4=2,MAX(H39,0),IF(OR(Pricetype4=1,Pricetype4=4),IF(H39=0,0,(EURO(H39,Strikeprice4,0,0,($AK39+IF(Smile=TRUE(),VLOOKUP(MAX(-5,Strikeprice4-H39),Volsmile,2),0)),($A39-DateToday)+15,IF(Pricetype4=1,1,0),0))),H39)))</f>
        <v>0</v>
      </c>
      <c r="R39" s="318" t="n">
        <f aca="false">IF($A39="N/A"," ",IF(Pricetype4=2,MAX(I39,0),IF(OR(Pricetype4=1,Pricetype4=4),IF(I39=0,0,(EURO(I39,Strikeprice4,0,0,($AK39+IF(Smile=TRUE(),VLOOKUP(MAX(-5,Strikeprice4-I39),Volsmile,2),0)),($A39-DateToday)+15,IF(Pricetype4=1,1,0),0))),I39)))</f>
        <v>0</v>
      </c>
      <c r="S39" s="318" t="n">
        <f aca="false">IF($A39="N/A"," ",IF(Pricetype4=2,MAX(J39,0),IF(OR(Pricetype4=1,Pricetype4=4),IF(J39=0,0,(EURO(J39,Strikeprice4,0,0,($AK39+IF(Smile=TRUE(),VLOOKUP(MAX(-5,Strikeprice4-J39),Volsmile,2),0)),($A39-DateToday)+15,IF(Pricetype4=1,1,0),0))),J39)))</f>
        <v>0</v>
      </c>
      <c r="T39" s="318" t="n">
        <f aca="false">IF($A39="N/A"," ",IF(Pricetype4=2,MAX(K39,0),IF(OR(Pricetype4=1,Pricetype4=4),IF(K39=0,0,(EURO(K39,Strikeprice4,0,0,($AK39+IF(Smile=TRUE(),VLOOKUP(MAX(-5,Strikeprice4-K39),Volsmile,2),0)),($A39-DateToday)+15,IF(Pricetype4=1,1,0),0))),K39)))</f>
        <v>0</v>
      </c>
      <c r="U39" s="319" t="e">
        <f aca="false">IF($A39="N/A"," ",Volume4*$AM39)</f>
        <v>#N/A</v>
      </c>
      <c r="V39" s="320" t="e">
        <f aca="false">IF($A39="N/A"," ",$U39*(8*($BQ39))*L39)</f>
        <v>#N/A</v>
      </c>
      <c r="W39" s="320" t="e">
        <f aca="false">IF($A39="N/A"," ",$U39*(8*($BQ39))*M39)</f>
        <v>#N/A</v>
      </c>
      <c r="X39" s="320" t="e">
        <f aca="false">IF($A39="N/A"," ",$U39*(8*($BQ39))*N39)</f>
        <v>#N/A</v>
      </c>
      <c r="Y39" s="320" t="e">
        <f aca="false">IF($A39="N/A"," ",$U39*(8*($BR39))*O39)</f>
        <v>#N/A</v>
      </c>
      <c r="Z39" s="320" t="e">
        <f aca="false">IF($A39="N/A"," ",$U39*(8*($BR39))*P39)</f>
        <v>#N/A</v>
      </c>
      <c r="AA39" s="320" t="e">
        <f aca="false">IF($A39="N/A"," ",$U39*(8*($BR39))*Q39)</f>
        <v>#N/A</v>
      </c>
      <c r="AB39" s="320" t="e">
        <f aca="false">IF($A39="N/A"," ",$U39*(8*($BS39))*R39)</f>
        <v>#N/A</v>
      </c>
      <c r="AC39" s="320" t="e">
        <f aca="false">IF($A39="N/A"," ",$U39*(8*($BS39))*S39)</f>
        <v>#N/A</v>
      </c>
      <c r="AD39" s="320" t="e">
        <f aca="false">IF($A39="N/A"," ",$U39*(8*($BS39))*T39)</f>
        <v>#N/A</v>
      </c>
      <c r="AE39" s="320" t="e">
        <f aca="false">IF($A39="N/A"," ",SUM(V39:AD39))</f>
        <v>#N/A</v>
      </c>
      <c r="AF39" s="321" t="n">
        <f aca="false">IF(A39="N/A"," ",(VLOOKUP(A39,PowerVolTable,(IF(VolBMO4=2,7,IF(VolBMO4=1,6,8))),FALSE())))</f>
        <v>0.24</v>
      </c>
      <c r="AG39" s="321" t="n">
        <f aca="false">IF(A39="N/A"," ",(VLOOKUP(A39,IntraPowerVol,(IF(VolBMO4=2,3,IF(VolBMO4=1,2,4))),FALSE())*VLOOKUP(MONTH($A39),Volscale,2)))</f>
        <v>0.48</v>
      </c>
      <c r="AH39" s="321" t="n">
        <f aca="false">IF($A39="N/A"," ",IF(VolType4=1,AG39,AF39))</f>
        <v>0.48</v>
      </c>
      <c r="AI39" s="321" t="n">
        <f aca="false">IF($A39="N/A"," ",(VLOOKUP($A39,OffPwrVolTable,(IF(VolBMO4=2,7,IF(VolBMO4=1,6,8))),FALSE())))</f>
        <v>0.12</v>
      </c>
      <c r="AJ39" s="321" t="n">
        <f aca="false">IF($A39="N/A"," ",(VLOOKUP($A39,OffPwrVolTable,(IF(VolBMO4=2,3,IF(VolBMO4=1,2,4))),FALSE())*VLOOKUP(MONTH($A39),Volscale,2)))</f>
        <v>0.288</v>
      </c>
      <c r="AK39" s="321" t="n">
        <f aca="false">IF($A39="N/A"," ",IF(VolType4=1,AJ39,AI39))</f>
        <v>0.288</v>
      </c>
      <c r="AL39" s="321" t="e">
        <f aca="false">IF($A39="N/A"," ",IF(PV=1,0,'Pricing Inputs4'!R72))</f>
        <v>#N/A</v>
      </c>
      <c r="AM39" s="323" t="e">
        <f aca="false">IF($A39="N/A"," ",(1+AL39/2)^(-2*((EOMONTH(A39,0)+20)-DateToday)/365.25))</f>
        <v>#N/A</v>
      </c>
      <c r="BQ39" s="0" t="n">
        <f aca="false">IF($A39="N/A"," ",(VLOOKUP($A39,NumberofDaysTable,2)))</f>
        <v>23</v>
      </c>
      <c r="BR39" s="0" t="n">
        <f aca="false">IF($A39="N/A"," ",(VLOOKUP($A39,NumberofDaysTable,3)))</f>
        <v>3</v>
      </c>
      <c r="BS39" s="0" t="n">
        <f aca="false">IF($A39="N/A"," ",(VLOOKUP($A39,NumberofDaysTable,4)))</f>
        <v>5</v>
      </c>
    </row>
    <row r="40" customFormat="false" ht="12.75" hidden="false" customHeight="false" outlineLevel="0" collapsed="false">
      <c r="A40" s="315" t="n">
        <f aca="false">IF(A39="N/A","N/A",IF(EDATE(A39,1)&gt;Inputs!$R$5,"N/A",EDATE(A39,1)))</f>
        <v>38353</v>
      </c>
      <c r="B40" s="316" t="n">
        <f aca="false">IF(A40="N/A"," ",YEAR(A40))</f>
        <v>2005</v>
      </c>
      <c r="C40" s="317" t="n">
        <f aca="false">IF($A40="N/A"," ",IF(Dayrun4=10,0,IF(Scaler4=1,(VLOOKUP(A40,ScaledPrice4,4)),(VLOOKUP(A40,ScaledPrice4,2)))))</f>
        <v>35.1757147652762</v>
      </c>
      <c r="D40" s="317" t="n">
        <f aca="false">IF(A40="N/A"," ",IF(Dayrun4&gt;=7,0,IF(Scaler4=2,VLOOKUP(A40,ScaledPrice4,2),(VLOOKUP(A40,ScaledPrice4,2))*(2-(VLOOKUP(A40,ScaledPrice4,3))))))</f>
        <v>35.1757147652762</v>
      </c>
      <c r="E40" s="317" t="n">
        <f aca="false">IF($A40="N/A"," ",IF(AND(Dayrun4&gt;=4,Dayrun4&lt;=9),0,VLOOKUP($A40,ScaledPrice4,9)))</f>
        <v>22</v>
      </c>
      <c r="F40" s="317" t="n">
        <f aca="false">IF(A40="N/A"," ",IF(OR(Dayrun4=2,Dayrun4=3,Dayrun4=5,Dayrun4=6,Dayrun4=8,Dayrun4=9),VLOOKUP(A40,ScaledPrice4,IF(Scaler4=1,6,5)),0))</f>
        <v>0</v>
      </c>
      <c r="G40" s="317" t="n">
        <f aca="false">IF(A40="N/A"," ",IF(OR(Dayrun4=2,Dayrun4=3,Dayrun4=5,Dayrun4=6),IF(Scaler4=2,F40,(VLOOKUP(A40,ScaledPrice4,5))*(2-(VLOOKUP(A40,ScaledPrice4,3)))),0))</f>
        <v>0</v>
      </c>
      <c r="H40" s="317" t="n">
        <f aca="false">IF($A40="N/A"," ",IF(OR(Dayrun4=2,Dayrun4=3,Dayrun4=10),VLOOKUP($A40,ScaledPrice4,9),0))</f>
        <v>0</v>
      </c>
      <c r="I40" s="317" t="n">
        <f aca="false">IF(A40="N/A"," ",IF(OR(Dayrun4=3,Dayrun4=6,Dayrun4=9),(VLOOKUP(A40,ScaledPrice4,IF(Scaler4=2,7,8))),0))</f>
        <v>0</v>
      </c>
      <c r="J40" s="317" t="n">
        <f aca="false">IF(A40="N/A"," ",IF(OR(Dayrun4=3,Dayrun4=6),IF(Scaler4=2,I40,(VLOOKUP(A40,ScaledPrice4,7))*(2-(VLOOKUP(A40,ScaledPrice4,3)))),0))</f>
        <v>0</v>
      </c>
      <c r="K40" s="317" t="n">
        <f aca="false">IF($A40="N/A"," ",IF(OR(Dayrun4=3,Dayrun4=10),VLOOKUP($A40,ScaledPrice4,9),0))</f>
        <v>0</v>
      </c>
      <c r="L40" s="318" t="e">
        <f aca="false">IF($A40="N/A"," ",IF(Pricetype4=2,MAX(C40,0),IF(OR(Pricetype4=1,Pricetype4=4),IF(C40=0,0,(EURO(C40,Strikeprice4,0,0,($AH40+IF(Smile=TRUE(),VLOOKUP(MAX(-5,Strikeprice4-C40),Volsmile,2),0)),($A40-DateToday)+15,IF(Pricetype4=1,1,0),0))),C40)))</f>
        <v>#NAME?</v>
      </c>
      <c r="M40" s="318" t="e">
        <f aca="false">IF($A40="N/A"," ",IF(Pricetype4=2,MAX(D40,0),IF(OR(Pricetype4=1,Pricetype4=4),IF(D40=0,0,(EURO(D40,Strikeprice4,0,0,($AH40+IF(Smile=TRUE(),VLOOKUP(MAX(-5,Strikeprice4-D40),Volsmile,2),0)),($A40-DateToday)+15,IF(Pricetype4=1,1,0),0))),D40)))</f>
        <v>#NAME?</v>
      </c>
      <c r="N40" s="318" t="e">
        <f aca="false">IF($A40="N/A"," ",IF(Pricetype4=2,MAX(E40,0),IF(OR(Pricetype4=1,Pricetype4=4),IF(E40=0,0,(EURO(E40,Strikeprice4,0,0,($AK40+IF(Smile=TRUE(),VLOOKUP(MAX(-5,Strikeprice4-E40),Volsmile,2),0)),($A40-DateToday)+15,IF(Pricetype4=1,1,0),0))),E40)))</f>
        <v>#NAME?</v>
      </c>
      <c r="O40" s="318" t="n">
        <f aca="false">IF($A40="N/A"," ",IF(Pricetype4=2,MAX(F40,0),IF(OR(Pricetype4=1,Pricetype4=4),IF(F40=0,0,(EURO(F40,Strikeprice4,0,0,($AK40+IF(Smile=TRUE(),VLOOKUP(MAX(-5,Strikeprice4-F40),Volsmile,2),0)),($A40-DateToday)+15,IF(Pricetype4=1,1,0),0))),F40)))</f>
        <v>0</v>
      </c>
      <c r="P40" s="318" t="n">
        <f aca="false">IF($A40="N/A"," ",IF(Pricetype4=2,MAX(G40,0),IF(OR(Pricetype4=1,Pricetype4=4),IF(G40=0,0,(EURO(G40,Strikeprice4,0,0,($AK40+IF(Smile=TRUE(),VLOOKUP(MAX(-5,Strikeprice4-G40),Volsmile,2),0)),($A40-DateToday)+15,IF(Pricetype4=1,1,0),0))),G40)))</f>
        <v>0</v>
      </c>
      <c r="Q40" s="318" t="n">
        <f aca="false">IF($A40="N/A"," ",IF(Pricetype4=2,MAX(H40,0),IF(OR(Pricetype4=1,Pricetype4=4),IF(H40=0,0,(EURO(H40,Strikeprice4,0,0,($AK40+IF(Smile=TRUE(),VLOOKUP(MAX(-5,Strikeprice4-H40),Volsmile,2),0)),($A40-DateToday)+15,IF(Pricetype4=1,1,0),0))),H40)))</f>
        <v>0</v>
      </c>
      <c r="R40" s="318" t="n">
        <f aca="false">IF($A40="N/A"," ",IF(Pricetype4=2,MAX(I40,0),IF(OR(Pricetype4=1,Pricetype4=4),IF(I40=0,0,(EURO(I40,Strikeprice4,0,0,($AK40+IF(Smile=TRUE(),VLOOKUP(MAX(-5,Strikeprice4-I40),Volsmile,2),0)),($A40-DateToday)+15,IF(Pricetype4=1,1,0),0))),I40)))</f>
        <v>0</v>
      </c>
      <c r="S40" s="318" t="n">
        <f aca="false">IF($A40="N/A"," ",IF(Pricetype4=2,MAX(J40,0),IF(OR(Pricetype4=1,Pricetype4=4),IF(J40=0,0,(EURO(J40,Strikeprice4,0,0,($AK40+IF(Smile=TRUE(),VLOOKUP(MAX(-5,Strikeprice4-J40),Volsmile,2),0)),($A40-DateToday)+15,IF(Pricetype4=1,1,0),0))),J40)))</f>
        <v>0</v>
      </c>
      <c r="T40" s="318" t="n">
        <f aca="false">IF($A40="N/A"," ",IF(Pricetype4=2,MAX(K40,0),IF(OR(Pricetype4=1,Pricetype4=4),IF(K40=0,0,(EURO(K40,Strikeprice4,0,0,($AK40+IF(Smile=TRUE(),VLOOKUP(MAX(-5,Strikeprice4-K40),Volsmile,2),0)),($A40-DateToday)+15,IF(Pricetype4=1,1,0),0))),K40)))</f>
        <v>0</v>
      </c>
      <c r="U40" s="319" t="e">
        <f aca="false">IF($A40="N/A"," ",Volume4*$AM40)</f>
        <v>#N/A</v>
      </c>
      <c r="V40" s="320" t="e">
        <f aca="false">IF($A40="N/A"," ",$U40*(8*($BQ40))*L40)</f>
        <v>#N/A</v>
      </c>
      <c r="W40" s="320" t="e">
        <f aca="false">IF($A40="N/A"," ",$U40*(8*($BQ40))*M40)</f>
        <v>#N/A</v>
      </c>
      <c r="X40" s="320" t="e">
        <f aca="false">IF($A40="N/A"," ",$U40*(8*($BQ40))*N40)</f>
        <v>#N/A</v>
      </c>
      <c r="Y40" s="320" t="e">
        <f aca="false">IF($A40="N/A"," ",$U40*(8*($BR40))*O40)</f>
        <v>#N/A</v>
      </c>
      <c r="Z40" s="320" t="e">
        <f aca="false">IF($A40="N/A"," ",$U40*(8*($BR40))*P40)</f>
        <v>#N/A</v>
      </c>
      <c r="AA40" s="320" t="e">
        <f aca="false">IF($A40="N/A"," ",$U40*(8*($BR40))*Q40)</f>
        <v>#N/A</v>
      </c>
      <c r="AB40" s="320" t="e">
        <f aca="false">IF($A40="N/A"," ",$U40*(8*($BS40))*R40)</f>
        <v>#N/A</v>
      </c>
      <c r="AC40" s="320" t="e">
        <f aca="false">IF($A40="N/A"," ",$U40*(8*($BS40))*S40)</f>
        <v>#N/A</v>
      </c>
      <c r="AD40" s="320" t="e">
        <f aca="false">IF($A40="N/A"," ",$U40*(8*($BS40))*T40)</f>
        <v>#N/A</v>
      </c>
      <c r="AE40" s="320" t="e">
        <f aca="false">IF($A40="N/A"," ",SUM(V40:AD40))</f>
        <v>#N/A</v>
      </c>
      <c r="AF40" s="321" t="n">
        <f aca="false">IF(A40="N/A"," ",(VLOOKUP(A40,PowerVolTable,(IF(VolBMO4=2,7,IF(VolBMO4=1,6,8))),FALSE())))</f>
        <v>0.24</v>
      </c>
      <c r="AG40" s="321" t="n">
        <f aca="false">IF(A40="N/A"," ",(VLOOKUP(A40,IntraPowerVol,(IF(VolBMO4=2,3,IF(VolBMO4=1,2,4))),FALSE())*VLOOKUP(MONTH($A40),Volscale,2)))</f>
        <v>0.42</v>
      </c>
      <c r="AH40" s="321" t="n">
        <f aca="false">IF($A40="N/A"," ",IF(VolType4=1,AG40,AF40))</f>
        <v>0.42</v>
      </c>
      <c r="AI40" s="321" t="n">
        <f aca="false">IF($A40="N/A"," ",(VLOOKUP($A40,OffPwrVolTable,(IF(VolBMO4=2,7,IF(VolBMO4=1,6,8))),FALSE())))</f>
        <v>0.12</v>
      </c>
      <c r="AJ40" s="321" t="n">
        <f aca="false">IF($A40="N/A"," ",(VLOOKUP($A40,OffPwrVolTable,(IF(VolBMO4=2,3,IF(VolBMO4=1,2,4))),FALSE())*VLOOKUP(MONTH($A40),Volscale,2)))</f>
        <v>0.252</v>
      </c>
      <c r="AK40" s="321" t="n">
        <f aca="false">IF($A40="N/A"," ",IF(VolType4=1,AJ40,AI40))</f>
        <v>0.252</v>
      </c>
      <c r="AL40" s="321" t="e">
        <f aca="false">IF($A40="N/A"," ",IF(PV=1,0,'Pricing Inputs4'!R73))</f>
        <v>#N/A</v>
      </c>
      <c r="AM40" s="323" t="e">
        <f aca="false">IF($A40="N/A"," ",(1+AL40/2)^(-2*((EOMONTH(A40,0)+20)-DateToday)/365.25))</f>
        <v>#N/A</v>
      </c>
      <c r="BQ40" s="0" t="n">
        <f aca="false">IF($A40="N/A"," ",(VLOOKUP($A40,NumberofDaysTable,2)))</f>
        <v>21</v>
      </c>
      <c r="BR40" s="0" t="n">
        <f aca="false">IF($A40="N/A"," ",(VLOOKUP($A40,NumberofDaysTable,3)))</f>
        <v>4</v>
      </c>
      <c r="BS40" s="0" t="n">
        <f aca="false">IF($A40="N/A"," ",(VLOOKUP($A40,NumberofDaysTable,4)))</f>
        <v>6</v>
      </c>
    </row>
    <row r="41" customFormat="false" ht="12.75" hidden="false" customHeight="false" outlineLevel="0" collapsed="false">
      <c r="A41" s="315" t="n">
        <f aca="false">IF(A40="N/A","N/A",IF(EDATE(A40,1)&gt;Inputs!$R$5,"N/A",EDATE(A40,1)))</f>
        <v>38384</v>
      </c>
      <c r="B41" s="316" t="n">
        <f aca="false">IF(A41="N/A"," ",YEAR(A41))</f>
        <v>2005</v>
      </c>
      <c r="C41" s="317" t="n">
        <f aca="false">IF($A41="N/A"," ",IF(Dayrun4=10,0,IF(Scaler4=1,(VLOOKUP(A41,ScaledPrice4,4)),(VLOOKUP(A41,ScaledPrice4,2)))))</f>
        <v>34.5757124764579</v>
      </c>
      <c r="D41" s="317" t="n">
        <f aca="false">IF(A41="N/A"," ",IF(Dayrun4&gt;=7,0,IF(Scaler4=2,VLOOKUP(A41,ScaledPrice4,2),(VLOOKUP(A41,ScaledPrice4,2))*(2-(VLOOKUP(A41,ScaledPrice4,3))))))</f>
        <v>34.5757124764579</v>
      </c>
      <c r="E41" s="317" t="n">
        <f aca="false">IF($A41="N/A"," ",IF(AND(Dayrun4&gt;=4,Dayrun4&lt;=9),0,VLOOKUP($A41,ScaledPrice4,9)))</f>
        <v>20.5</v>
      </c>
      <c r="F41" s="317" t="n">
        <f aca="false">IF(A41="N/A"," ",IF(OR(Dayrun4=2,Dayrun4=3,Dayrun4=5,Dayrun4=6,Dayrun4=8,Dayrun4=9),VLOOKUP(A41,ScaledPrice4,IF(Scaler4=1,6,5)),0))</f>
        <v>0</v>
      </c>
      <c r="G41" s="317" t="n">
        <f aca="false">IF(A41="N/A"," ",IF(OR(Dayrun4=2,Dayrun4=3,Dayrun4=5,Dayrun4=6),IF(Scaler4=2,F41,(VLOOKUP(A41,ScaledPrice4,5))*(2-(VLOOKUP(A41,ScaledPrice4,3)))),0))</f>
        <v>0</v>
      </c>
      <c r="H41" s="317" t="n">
        <f aca="false">IF($A41="N/A"," ",IF(OR(Dayrun4=2,Dayrun4=3,Dayrun4=10),VLOOKUP($A41,ScaledPrice4,9),0))</f>
        <v>0</v>
      </c>
      <c r="I41" s="317" t="n">
        <f aca="false">IF(A41="N/A"," ",IF(OR(Dayrun4=3,Dayrun4=6,Dayrun4=9),(VLOOKUP(A41,ScaledPrice4,IF(Scaler4=2,7,8))),0))</f>
        <v>0</v>
      </c>
      <c r="J41" s="317" t="n">
        <f aca="false">IF(A41="N/A"," ",IF(OR(Dayrun4=3,Dayrun4=6),IF(Scaler4=2,I41,(VLOOKUP(A41,ScaledPrice4,7))*(2-(VLOOKUP(A41,ScaledPrice4,3)))),0))</f>
        <v>0</v>
      </c>
      <c r="K41" s="317" t="n">
        <f aca="false">IF($A41="N/A"," ",IF(OR(Dayrun4=3,Dayrun4=10),VLOOKUP($A41,ScaledPrice4,9),0))</f>
        <v>0</v>
      </c>
      <c r="L41" s="318" t="e">
        <f aca="false">IF($A41="N/A"," ",IF(Pricetype4=2,MAX(C41,0),IF(OR(Pricetype4=1,Pricetype4=4),IF(C41=0,0,(EURO(C41,Strikeprice4,0,0,($AH41+IF(Smile=TRUE(),VLOOKUP(MAX(-5,Strikeprice4-C41),Volsmile,2),0)),($A41-DateToday)+15,IF(Pricetype4=1,1,0),0))),C41)))</f>
        <v>#NAME?</v>
      </c>
      <c r="M41" s="318" t="e">
        <f aca="false">IF($A41="N/A"," ",IF(Pricetype4=2,MAX(D41,0),IF(OR(Pricetype4=1,Pricetype4=4),IF(D41=0,0,(EURO(D41,Strikeprice4,0,0,($AH41+IF(Smile=TRUE(),VLOOKUP(MAX(-5,Strikeprice4-D41),Volsmile,2),0)),($A41-DateToday)+15,IF(Pricetype4=1,1,0),0))),D41)))</f>
        <v>#NAME?</v>
      </c>
      <c r="N41" s="318" t="e">
        <f aca="false">IF($A41="N/A"," ",IF(Pricetype4=2,MAX(E41,0),IF(OR(Pricetype4=1,Pricetype4=4),IF(E41=0,0,(EURO(E41,Strikeprice4,0,0,($AK41+IF(Smile=TRUE(),VLOOKUP(MAX(-5,Strikeprice4-E41),Volsmile,2),0)),($A41-DateToday)+15,IF(Pricetype4=1,1,0),0))),E41)))</f>
        <v>#NAME?</v>
      </c>
      <c r="O41" s="318" t="n">
        <f aca="false">IF($A41="N/A"," ",IF(Pricetype4=2,MAX(F41,0),IF(OR(Pricetype4=1,Pricetype4=4),IF(F41=0,0,(EURO(F41,Strikeprice4,0,0,($AK41+IF(Smile=TRUE(),VLOOKUP(MAX(-5,Strikeprice4-F41),Volsmile,2),0)),($A41-DateToday)+15,IF(Pricetype4=1,1,0),0))),F41)))</f>
        <v>0</v>
      </c>
      <c r="P41" s="318" t="n">
        <f aca="false">IF($A41="N/A"," ",IF(Pricetype4=2,MAX(G41,0),IF(OR(Pricetype4=1,Pricetype4=4),IF(G41=0,0,(EURO(G41,Strikeprice4,0,0,($AK41+IF(Smile=TRUE(),VLOOKUP(MAX(-5,Strikeprice4-G41),Volsmile,2),0)),($A41-DateToday)+15,IF(Pricetype4=1,1,0),0))),G41)))</f>
        <v>0</v>
      </c>
      <c r="Q41" s="318" t="n">
        <f aca="false">IF($A41="N/A"," ",IF(Pricetype4=2,MAX(H41,0),IF(OR(Pricetype4=1,Pricetype4=4),IF(H41=0,0,(EURO(H41,Strikeprice4,0,0,($AK41+IF(Smile=TRUE(),VLOOKUP(MAX(-5,Strikeprice4-H41),Volsmile,2),0)),($A41-DateToday)+15,IF(Pricetype4=1,1,0),0))),H41)))</f>
        <v>0</v>
      </c>
      <c r="R41" s="318" t="n">
        <f aca="false">IF($A41="N/A"," ",IF(Pricetype4=2,MAX(I41,0),IF(OR(Pricetype4=1,Pricetype4=4),IF(I41=0,0,(EURO(I41,Strikeprice4,0,0,($AK41+IF(Smile=TRUE(),VLOOKUP(MAX(-5,Strikeprice4-I41),Volsmile,2),0)),($A41-DateToday)+15,IF(Pricetype4=1,1,0),0))),I41)))</f>
        <v>0</v>
      </c>
      <c r="S41" s="318" t="n">
        <f aca="false">IF($A41="N/A"," ",IF(Pricetype4=2,MAX(J41,0),IF(OR(Pricetype4=1,Pricetype4=4),IF(J41=0,0,(EURO(J41,Strikeprice4,0,0,($AK41+IF(Smile=TRUE(),VLOOKUP(MAX(-5,Strikeprice4-J41),Volsmile,2),0)),($A41-DateToday)+15,IF(Pricetype4=1,1,0),0))),J41)))</f>
        <v>0</v>
      </c>
      <c r="T41" s="318" t="n">
        <f aca="false">IF($A41="N/A"," ",IF(Pricetype4=2,MAX(K41,0),IF(OR(Pricetype4=1,Pricetype4=4),IF(K41=0,0,(EURO(K41,Strikeprice4,0,0,($AK41+IF(Smile=TRUE(),VLOOKUP(MAX(-5,Strikeprice4-K41),Volsmile,2),0)),($A41-DateToday)+15,IF(Pricetype4=1,1,0),0))),K41)))</f>
        <v>0</v>
      </c>
      <c r="U41" s="319" t="e">
        <f aca="false">IF($A41="N/A"," ",Volume4*$AM41)</f>
        <v>#N/A</v>
      </c>
      <c r="V41" s="320" t="e">
        <f aca="false">IF($A41="N/A"," ",$U41*(8*($BQ41))*L41)</f>
        <v>#N/A</v>
      </c>
      <c r="W41" s="320" t="e">
        <f aca="false">IF($A41="N/A"," ",$U41*(8*($BQ41))*M41)</f>
        <v>#N/A</v>
      </c>
      <c r="X41" s="320" t="e">
        <f aca="false">IF($A41="N/A"," ",$U41*(8*($BQ41))*N41)</f>
        <v>#N/A</v>
      </c>
      <c r="Y41" s="320" t="e">
        <f aca="false">IF($A41="N/A"," ",$U41*(8*($BR41))*O41)</f>
        <v>#N/A</v>
      </c>
      <c r="Z41" s="320" t="e">
        <f aca="false">IF($A41="N/A"," ",$U41*(8*($BR41))*P41)</f>
        <v>#N/A</v>
      </c>
      <c r="AA41" s="320" t="e">
        <f aca="false">IF($A41="N/A"," ",$U41*(8*($BR41))*Q41)</f>
        <v>#N/A</v>
      </c>
      <c r="AB41" s="320" t="e">
        <f aca="false">IF($A41="N/A"," ",$U41*(8*($BS41))*R41)</f>
        <v>#N/A</v>
      </c>
      <c r="AC41" s="320" t="e">
        <f aca="false">IF($A41="N/A"," ",$U41*(8*($BS41))*S41)</f>
        <v>#N/A</v>
      </c>
      <c r="AD41" s="320" t="e">
        <f aca="false">IF($A41="N/A"," ",$U41*(8*($BS41))*T41)</f>
        <v>#N/A</v>
      </c>
      <c r="AE41" s="320" t="e">
        <f aca="false">IF($A41="N/A"," ",SUM(V41:AD41))</f>
        <v>#N/A</v>
      </c>
      <c r="AF41" s="321" t="n">
        <f aca="false">IF(A41="N/A"," ",(VLOOKUP(A41,PowerVolTable,(IF(VolBMO4=2,7,IF(VolBMO4=1,6,8))),FALSE())))</f>
        <v>0.24</v>
      </c>
      <c r="AG41" s="321" t="n">
        <f aca="false">IF(A41="N/A"," ",(VLOOKUP(A41,IntraPowerVol,(IF(VolBMO4=2,3,IF(VolBMO4=1,2,4))),FALSE())*VLOOKUP(MONTH($A41),Volscale,2)))</f>
        <v>0.42</v>
      </c>
      <c r="AH41" s="321" t="n">
        <f aca="false">IF($A41="N/A"," ",IF(VolType4=1,AG41,AF41))</f>
        <v>0.42</v>
      </c>
      <c r="AI41" s="321" t="n">
        <f aca="false">IF($A41="N/A"," ",(VLOOKUP($A41,OffPwrVolTable,(IF(VolBMO4=2,7,IF(VolBMO4=1,6,8))),FALSE())))</f>
        <v>0.12</v>
      </c>
      <c r="AJ41" s="321" t="n">
        <f aca="false">IF($A41="N/A"," ",(VLOOKUP($A41,OffPwrVolTable,(IF(VolBMO4=2,3,IF(VolBMO4=1,2,4))),FALSE())*VLOOKUP(MONTH($A41),Volscale,2)))</f>
        <v>0.252</v>
      </c>
      <c r="AK41" s="321" t="n">
        <f aca="false">IF($A41="N/A"," ",IF(VolType4=1,AJ41,AI41))</f>
        <v>0.252</v>
      </c>
      <c r="AL41" s="321" t="e">
        <f aca="false">IF($A41="N/A"," ",IF(PV=1,0,'Pricing Inputs4'!R74))</f>
        <v>#N/A</v>
      </c>
      <c r="AM41" s="323" t="e">
        <f aca="false">IF($A41="N/A"," ",(1+AL41/2)^(-2*((EOMONTH(A41,0)+20)-DateToday)/365.25))</f>
        <v>#N/A</v>
      </c>
      <c r="BQ41" s="0" t="n">
        <f aca="false">IF($A41="N/A"," ",(VLOOKUP($A41,NumberofDaysTable,2)))</f>
        <v>20</v>
      </c>
      <c r="BR41" s="0" t="n">
        <f aca="false">IF($A41="N/A"," ",(VLOOKUP($A41,NumberofDaysTable,3)))</f>
        <v>4</v>
      </c>
      <c r="BS41" s="0" t="n">
        <f aca="false">IF($A41="N/A"," ",(VLOOKUP($A41,NumberofDaysTable,4)))</f>
        <v>4</v>
      </c>
    </row>
    <row r="42" customFormat="false" ht="12.75" hidden="false" customHeight="false" outlineLevel="0" collapsed="false">
      <c r="A42" s="315" t="n">
        <f aca="false">IF(A41="N/A","N/A",IF(EDATE(A41,1)&gt;Inputs!$R$5,"N/A",EDATE(A41,1)))</f>
        <v>38412</v>
      </c>
      <c r="B42" s="316" t="n">
        <f aca="false">IF(A42="N/A"," ",YEAR(A42))</f>
        <v>2005</v>
      </c>
      <c r="C42" s="317" t="n">
        <f aca="false">IF($A42="N/A"," ",IF(Dayrun4=10,0,IF(Scaler4=1,(VLOOKUP(A42,ScaledPrice4,4)),(VLOOKUP(A42,ScaledPrice4,2)))))</f>
        <v>33.2876773213231</v>
      </c>
      <c r="D42" s="317" t="n">
        <f aca="false">IF(A42="N/A"," ",IF(Dayrun4&gt;=7,0,IF(Scaler4=2,VLOOKUP(A42,ScaledPrice4,2),(VLOOKUP(A42,ScaledPrice4,2))*(2-(VLOOKUP(A42,ScaledPrice4,3))))))</f>
        <v>33.2876773213231</v>
      </c>
      <c r="E42" s="317" t="n">
        <f aca="false">IF($A42="N/A"," ",IF(AND(Dayrun4&gt;=4,Dayrun4&lt;=9),0,VLOOKUP($A42,ScaledPrice4,9)))</f>
        <v>21.5</v>
      </c>
      <c r="F42" s="317" t="n">
        <f aca="false">IF(A42="N/A"," ",IF(OR(Dayrun4=2,Dayrun4=3,Dayrun4=5,Dayrun4=6,Dayrun4=8,Dayrun4=9),VLOOKUP(A42,ScaledPrice4,IF(Scaler4=1,6,5)),0))</f>
        <v>0</v>
      </c>
      <c r="G42" s="317" t="n">
        <f aca="false">IF(A42="N/A"," ",IF(OR(Dayrun4=2,Dayrun4=3,Dayrun4=5,Dayrun4=6),IF(Scaler4=2,F42,(VLOOKUP(A42,ScaledPrice4,5))*(2-(VLOOKUP(A42,ScaledPrice4,3)))),0))</f>
        <v>0</v>
      </c>
      <c r="H42" s="317" t="n">
        <f aca="false">IF($A42="N/A"," ",IF(OR(Dayrun4=2,Dayrun4=3,Dayrun4=10),VLOOKUP($A42,ScaledPrice4,9),0))</f>
        <v>0</v>
      </c>
      <c r="I42" s="317" t="n">
        <f aca="false">IF(A42="N/A"," ",IF(OR(Dayrun4=3,Dayrun4=6,Dayrun4=9),(VLOOKUP(A42,ScaledPrice4,IF(Scaler4=2,7,8))),0))</f>
        <v>0</v>
      </c>
      <c r="J42" s="317" t="n">
        <f aca="false">IF(A42="N/A"," ",IF(OR(Dayrun4=3,Dayrun4=6),IF(Scaler4=2,I42,(VLOOKUP(A42,ScaledPrice4,7))*(2-(VLOOKUP(A42,ScaledPrice4,3)))),0))</f>
        <v>0</v>
      </c>
      <c r="K42" s="317" t="n">
        <f aca="false">IF($A42="N/A"," ",IF(OR(Dayrun4=3,Dayrun4=10),VLOOKUP($A42,ScaledPrice4,9),0))</f>
        <v>0</v>
      </c>
      <c r="L42" s="318" t="e">
        <f aca="false">IF($A42="N/A"," ",IF(Pricetype4=2,MAX(C42,0),IF(OR(Pricetype4=1,Pricetype4=4),IF(C42=0,0,(EURO(C42,Strikeprice4,0,0,($AH42+IF(Smile=TRUE(),VLOOKUP(MAX(-5,Strikeprice4-C42),Volsmile,2),0)),($A42-DateToday)+15,IF(Pricetype4=1,1,0),0))),C42)))</f>
        <v>#NAME?</v>
      </c>
      <c r="M42" s="318" t="e">
        <f aca="false">IF($A42="N/A"," ",IF(Pricetype4=2,MAX(D42,0),IF(OR(Pricetype4=1,Pricetype4=4),IF(D42=0,0,(EURO(D42,Strikeprice4,0,0,($AH42+IF(Smile=TRUE(),VLOOKUP(MAX(-5,Strikeprice4-D42),Volsmile,2),0)),($A42-DateToday)+15,IF(Pricetype4=1,1,0),0))),D42)))</f>
        <v>#NAME?</v>
      </c>
      <c r="N42" s="318" t="e">
        <f aca="false">IF($A42="N/A"," ",IF(Pricetype4=2,MAX(E42,0),IF(OR(Pricetype4=1,Pricetype4=4),IF(E42=0,0,(EURO(E42,Strikeprice4,0,0,($AK42+IF(Smile=TRUE(),VLOOKUP(MAX(-5,Strikeprice4-E42),Volsmile,2),0)),($A42-DateToday)+15,IF(Pricetype4=1,1,0),0))),E42)))</f>
        <v>#NAME?</v>
      </c>
      <c r="O42" s="318" t="n">
        <f aca="false">IF($A42="N/A"," ",IF(Pricetype4=2,MAX(F42,0),IF(OR(Pricetype4=1,Pricetype4=4),IF(F42=0,0,(EURO(F42,Strikeprice4,0,0,($AK42+IF(Smile=TRUE(),VLOOKUP(MAX(-5,Strikeprice4-F42),Volsmile,2),0)),($A42-DateToday)+15,IF(Pricetype4=1,1,0),0))),F42)))</f>
        <v>0</v>
      </c>
      <c r="P42" s="318" t="n">
        <f aca="false">IF($A42="N/A"," ",IF(Pricetype4=2,MAX(G42,0),IF(OR(Pricetype4=1,Pricetype4=4),IF(G42=0,0,(EURO(G42,Strikeprice4,0,0,($AK42+IF(Smile=TRUE(),VLOOKUP(MAX(-5,Strikeprice4-G42),Volsmile,2),0)),($A42-DateToday)+15,IF(Pricetype4=1,1,0),0))),G42)))</f>
        <v>0</v>
      </c>
      <c r="Q42" s="318" t="n">
        <f aca="false">IF($A42="N/A"," ",IF(Pricetype4=2,MAX(H42,0),IF(OR(Pricetype4=1,Pricetype4=4),IF(H42=0,0,(EURO(H42,Strikeprice4,0,0,($AK42+IF(Smile=TRUE(),VLOOKUP(MAX(-5,Strikeprice4-H42),Volsmile,2),0)),($A42-DateToday)+15,IF(Pricetype4=1,1,0),0))),H42)))</f>
        <v>0</v>
      </c>
      <c r="R42" s="318" t="n">
        <f aca="false">IF($A42="N/A"," ",IF(Pricetype4=2,MAX(I42,0),IF(OR(Pricetype4=1,Pricetype4=4),IF(I42=0,0,(EURO(I42,Strikeprice4,0,0,($AK42+IF(Smile=TRUE(),VLOOKUP(MAX(-5,Strikeprice4-I42),Volsmile,2),0)),($A42-DateToday)+15,IF(Pricetype4=1,1,0),0))),I42)))</f>
        <v>0</v>
      </c>
      <c r="S42" s="318" t="n">
        <f aca="false">IF($A42="N/A"," ",IF(Pricetype4=2,MAX(J42,0),IF(OR(Pricetype4=1,Pricetype4=4),IF(J42=0,0,(EURO(J42,Strikeprice4,0,0,($AK42+IF(Smile=TRUE(),VLOOKUP(MAX(-5,Strikeprice4-J42),Volsmile,2),0)),($A42-DateToday)+15,IF(Pricetype4=1,1,0),0))),J42)))</f>
        <v>0</v>
      </c>
      <c r="T42" s="318" t="n">
        <f aca="false">IF($A42="N/A"," ",IF(Pricetype4=2,MAX(K42,0),IF(OR(Pricetype4=1,Pricetype4=4),IF(K42=0,0,(EURO(K42,Strikeprice4,0,0,($AK42+IF(Smile=TRUE(),VLOOKUP(MAX(-5,Strikeprice4-K42),Volsmile,2),0)),($A42-DateToday)+15,IF(Pricetype4=1,1,0),0))),K42)))</f>
        <v>0</v>
      </c>
      <c r="U42" s="319" t="e">
        <f aca="false">IF($A42="N/A"," ",Volume4*$AM42)</f>
        <v>#N/A</v>
      </c>
      <c r="V42" s="320" t="e">
        <f aca="false">IF($A42="N/A"," ",$U42*(8*($BQ42))*L42)</f>
        <v>#N/A</v>
      </c>
      <c r="W42" s="320" t="e">
        <f aca="false">IF($A42="N/A"," ",$U42*(8*($BQ42))*M42)</f>
        <v>#N/A</v>
      </c>
      <c r="X42" s="320" t="e">
        <f aca="false">IF($A42="N/A"," ",$U42*(8*($BQ42))*N42)</f>
        <v>#N/A</v>
      </c>
      <c r="Y42" s="320" t="e">
        <f aca="false">IF($A42="N/A"," ",$U42*(8*($BR42))*O42)</f>
        <v>#N/A</v>
      </c>
      <c r="Z42" s="320" t="e">
        <f aca="false">IF($A42="N/A"," ",$U42*(8*($BR42))*P42)</f>
        <v>#N/A</v>
      </c>
      <c r="AA42" s="320" t="e">
        <f aca="false">IF($A42="N/A"," ",$U42*(8*($BR42))*Q42)</f>
        <v>#N/A</v>
      </c>
      <c r="AB42" s="320" t="e">
        <f aca="false">IF($A42="N/A"," ",$U42*(8*($BS42))*R42)</f>
        <v>#N/A</v>
      </c>
      <c r="AC42" s="320" t="e">
        <f aca="false">IF($A42="N/A"," ",$U42*(8*($BS42))*S42)</f>
        <v>#N/A</v>
      </c>
      <c r="AD42" s="320" t="e">
        <f aca="false">IF($A42="N/A"," ",$U42*(8*($BS42))*T42)</f>
        <v>#N/A</v>
      </c>
      <c r="AE42" s="320" t="e">
        <f aca="false">IF($A42="N/A"," ",SUM(V42:AD42))</f>
        <v>#N/A</v>
      </c>
      <c r="AF42" s="321" t="n">
        <f aca="false">IF(A42="N/A"," ",(VLOOKUP(A42,PowerVolTable,(IF(VolBMO4=2,7,IF(VolBMO4=1,6,8))),FALSE())))</f>
        <v>0.24</v>
      </c>
      <c r="AG42" s="321" t="n">
        <f aca="false">IF(A42="N/A"," ",(VLOOKUP(A42,IntraPowerVol,(IF(VolBMO4=2,3,IF(VolBMO4=1,2,4))),FALSE())*VLOOKUP(MONTH($A42),Volscale,2)))</f>
        <v>0.42</v>
      </c>
      <c r="AH42" s="321" t="n">
        <f aca="false">IF($A42="N/A"," ",IF(VolType4=1,AG42,AF42))</f>
        <v>0.42</v>
      </c>
      <c r="AI42" s="321" t="n">
        <f aca="false">IF($A42="N/A"," ",(VLOOKUP($A42,OffPwrVolTable,(IF(VolBMO4=2,7,IF(VolBMO4=1,6,8))),FALSE())))</f>
        <v>0.12</v>
      </c>
      <c r="AJ42" s="321" t="n">
        <f aca="false">IF($A42="N/A"," ",(VLOOKUP($A42,OffPwrVolTable,(IF(VolBMO4=2,3,IF(VolBMO4=1,2,4))),FALSE())*VLOOKUP(MONTH($A42),Volscale,2)))</f>
        <v>0.252</v>
      </c>
      <c r="AK42" s="321" t="n">
        <f aca="false">IF($A42="N/A"," ",IF(VolType4=1,AJ42,AI42))</f>
        <v>0.252</v>
      </c>
      <c r="AL42" s="321" t="e">
        <f aca="false">IF($A42="N/A"," ",IF(PV=1,0,'Pricing Inputs4'!R75))</f>
        <v>#N/A</v>
      </c>
      <c r="AM42" s="323" t="e">
        <f aca="false">IF($A42="N/A"," ",(1+AL42/2)^(-2*((EOMONTH(A42,0)+20)-DateToday)/365.25))</f>
        <v>#N/A</v>
      </c>
      <c r="BQ42" s="0" t="n">
        <f aca="false">IF($A42="N/A"," ",(VLOOKUP($A42,NumberofDaysTable,2)))</f>
        <v>23</v>
      </c>
      <c r="BR42" s="0" t="n">
        <f aca="false">IF($A42="N/A"," ",(VLOOKUP($A42,NumberofDaysTable,3)))</f>
        <v>4</v>
      </c>
      <c r="BS42" s="0" t="n">
        <f aca="false">IF($A42="N/A"," ",(VLOOKUP($A42,NumberofDaysTable,4)))</f>
        <v>4</v>
      </c>
    </row>
    <row r="43" customFormat="false" ht="12.75" hidden="false" customHeight="false" outlineLevel="0" collapsed="false">
      <c r="A43" s="315" t="n">
        <f aca="false">IF(A42="N/A","N/A",IF(EDATE(A42,1)&gt;Inputs!$R$5,"N/A",EDATE(A42,1)))</f>
        <v>38443</v>
      </c>
      <c r="B43" s="316" t="n">
        <f aca="false">IF(A43="N/A"," ",YEAR(A43))</f>
        <v>2005</v>
      </c>
      <c r="C43" s="317" t="n">
        <f aca="false">IF($A43="N/A"," ",IF(Dayrun4=10,0,IF(Scaler4=1,(VLOOKUP(A43,ScaledPrice4,4)),(VLOOKUP(A43,ScaledPrice4,2)))))</f>
        <v>33.4876780842626</v>
      </c>
      <c r="D43" s="317" t="n">
        <f aca="false">IF(A43="N/A"," ",IF(Dayrun4&gt;=7,0,IF(Scaler4=2,VLOOKUP(A43,ScaledPrice4,2),(VLOOKUP(A43,ScaledPrice4,2))*(2-(VLOOKUP(A43,ScaledPrice4,3))))))</f>
        <v>33.4876780842626</v>
      </c>
      <c r="E43" s="317" t="n">
        <f aca="false">IF($A43="N/A"," ",IF(AND(Dayrun4&gt;=4,Dayrun4&lt;=9),0,VLOOKUP($A43,ScaledPrice4,9)))</f>
        <v>18.5</v>
      </c>
      <c r="F43" s="317" t="n">
        <f aca="false">IF(A43="N/A"," ",IF(OR(Dayrun4=2,Dayrun4=3,Dayrun4=5,Dayrun4=6,Dayrun4=8,Dayrun4=9),VLOOKUP(A43,ScaledPrice4,IF(Scaler4=1,6,5)),0))</f>
        <v>0</v>
      </c>
      <c r="G43" s="317" t="n">
        <f aca="false">IF(A43="N/A"," ",IF(OR(Dayrun4=2,Dayrun4=3,Dayrun4=5,Dayrun4=6),IF(Scaler4=2,F43,(VLOOKUP(A43,ScaledPrice4,5))*(2-(VLOOKUP(A43,ScaledPrice4,3)))),0))</f>
        <v>0</v>
      </c>
      <c r="H43" s="317" t="n">
        <f aca="false">IF($A43="N/A"," ",IF(OR(Dayrun4=2,Dayrun4=3,Dayrun4=10),VLOOKUP($A43,ScaledPrice4,9),0))</f>
        <v>0</v>
      </c>
      <c r="I43" s="317" t="n">
        <f aca="false">IF(A43="N/A"," ",IF(OR(Dayrun4=3,Dayrun4=6,Dayrun4=9),(VLOOKUP(A43,ScaledPrice4,IF(Scaler4=2,7,8))),0))</f>
        <v>0</v>
      </c>
      <c r="J43" s="317" t="n">
        <f aca="false">IF(A43="N/A"," ",IF(OR(Dayrun4=3,Dayrun4=6),IF(Scaler4=2,I43,(VLOOKUP(A43,ScaledPrice4,7))*(2-(VLOOKUP(A43,ScaledPrice4,3)))),0))</f>
        <v>0</v>
      </c>
      <c r="K43" s="317" t="n">
        <f aca="false">IF($A43="N/A"," ",IF(OR(Dayrun4=3,Dayrun4=10),VLOOKUP($A43,ScaledPrice4,9),0))</f>
        <v>0</v>
      </c>
      <c r="L43" s="318" t="e">
        <f aca="false">IF($A43="N/A"," ",IF(Pricetype4=2,MAX(C43,0),IF(OR(Pricetype4=1,Pricetype4=4),IF(C43=0,0,(EURO(C43,Strikeprice4,0,0,($AH43+IF(Smile=TRUE(),VLOOKUP(MAX(-5,Strikeprice4-C43),Volsmile,2),0)),($A43-DateToday)+15,IF(Pricetype4=1,1,0),0))),C43)))</f>
        <v>#NAME?</v>
      </c>
      <c r="M43" s="318" t="e">
        <f aca="false">IF($A43="N/A"," ",IF(Pricetype4=2,MAX(D43,0),IF(OR(Pricetype4=1,Pricetype4=4),IF(D43=0,0,(EURO(D43,Strikeprice4,0,0,($AH43+IF(Smile=TRUE(),VLOOKUP(MAX(-5,Strikeprice4-D43),Volsmile,2),0)),($A43-DateToday)+15,IF(Pricetype4=1,1,0),0))),D43)))</f>
        <v>#NAME?</v>
      </c>
      <c r="N43" s="318" t="e">
        <f aca="false">IF($A43="N/A"," ",IF(Pricetype4=2,MAX(E43,0),IF(OR(Pricetype4=1,Pricetype4=4),IF(E43=0,0,(EURO(E43,Strikeprice4,0,0,($AK43+IF(Smile=TRUE(),VLOOKUP(MAX(-5,Strikeprice4-E43),Volsmile,2),0)),($A43-DateToday)+15,IF(Pricetype4=1,1,0),0))),E43)))</f>
        <v>#NAME?</v>
      </c>
      <c r="O43" s="318" t="n">
        <f aca="false">IF($A43="N/A"," ",IF(Pricetype4=2,MAX(F43,0),IF(OR(Pricetype4=1,Pricetype4=4),IF(F43=0,0,(EURO(F43,Strikeprice4,0,0,($AK43+IF(Smile=TRUE(),VLOOKUP(MAX(-5,Strikeprice4-F43),Volsmile,2),0)),($A43-DateToday)+15,IF(Pricetype4=1,1,0),0))),F43)))</f>
        <v>0</v>
      </c>
      <c r="P43" s="318" t="n">
        <f aca="false">IF($A43="N/A"," ",IF(Pricetype4=2,MAX(G43,0),IF(OR(Pricetype4=1,Pricetype4=4),IF(G43=0,0,(EURO(G43,Strikeprice4,0,0,($AK43+IF(Smile=TRUE(),VLOOKUP(MAX(-5,Strikeprice4-G43),Volsmile,2),0)),($A43-DateToday)+15,IF(Pricetype4=1,1,0),0))),G43)))</f>
        <v>0</v>
      </c>
      <c r="Q43" s="318" t="n">
        <f aca="false">IF($A43="N/A"," ",IF(Pricetype4=2,MAX(H43,0),IF(OR(Pricetype4=1,Pricetype4=4),IF(H43=0,0,(EURO(H43,Strikeprice4,0,0,($AK43+IF(Smile=TRUE(),VLOOKUP(MAX(-5,Strikeprice4-H43),Volsmile,2),0)),($A43-DateToday)+15,IF(Pricetype4=1,1,0),0))),H43)))</f>
        <v>0</v>
      </c>
      <c r="R43" s="318" t="n">
        <f aca="false">IF($A43="N/A"," ",IF(Pricetype4=2,MAX(I43,0),IF(OR(Pricetype4=1,Pricetype4=4),IF(I43=0,0,(EURO(I43,Strikeprice4,0,0,($AK43+IF(Smile=TRUE(),VLOOKUP(MAX(-5,Strikeprice4-I43),Volsmile,2),0)),($A43-DateToday)+15,IF(Pricetype4=1,1,0),0))),I43)))</f>
        <v>0</v>
      </c>
      <c r="S43" s="318" t="n">
        <f aca="false">IF($A43="N/A"," ",IF(Pricetype4=2,MAX(J43,0),IF(OR(Pricetype4=1,Pricetype4=4),IF(J43=0,0,(EURO(J43,Strikeprice4,0,0,($AK43+IF(Smile=TRUE(),VLOOKUP(MAX(-5,Strikeprice4-J43),Volsmile,2),0)),($A43-DateToday)+15,IF(Pricetype4=1,1,0),0))),J43)))</f>
        <v>0</v>
      </c>
      <c r="T43" s="318" t="n">
        <f aca="false">IF($A43="N/A"," ",IF(Pricetype4=2,MAX(K43,0),IF(OR(Pricetype4=1,Pricetype4=4),IF(K43=0,0,(EURO(K43,Strikeprice4,0,0,($AK43+IF(Smile=TRUE(),VLOOKUP(MAX(-5,Strikeprice4-K43),Volsmile,2),0)),($A43-DateToday)+15,IF(Pricetype4=1,1,0),0))),K43)))</f>
        <v>0</v>
      </c>
      <c r="U43" s="319" t="e">
        <f aca="false">IF($A43="N/A"," ",Volume4*$AM43)</f>
        <v>#N/A</v>
      </c>
      <c r="V43" s="320" t="e">
        <f aca="false">IF($A43="N/A"," ",$U43*(8*($BQ43))*L43)</f>
        <v>#N/A</v>
      </c>
      <c r="W43" s="320" t="e">
        <f aca="false">IF($A43="N/A"," ",$U43*(8*($BQ43))*M43)</f>
        <v>#N/A</v>
      </c>
      <c r="X43" s="320" t="e">
        <f aca="false">IF($A43="N/A"," ",$U43*(8*($BQ43))*N43)</f>
        <v>#N/A</v>
      </c>
      <c r="Y43" s="320" t="e">
        <f aca="false">IF($A43="N/A"," ",$U43*(8*($BR43))*O43)</f>
        <v>#N/A</v>
      </c>
      <c r="Z43" s="320" t="e">
        <f aca="false">IF($A43="N/A"," ",$U43*(8*($BR43))*P43)</f>
        <v>#N/A</v>
      </c>
      <c r="AA43" s="320" t="e">
        <f aca="false">IF($A43="N/A"," ",$U43*(8*($BR43))*Q43)</f>
        <v>#N/A</v>
      </c>
      <c r="AB43" s="320" t="e">
        <f aca="false">IF($A43="N/A"," ",$U43*(8*($BS43))*R43)</f>
        <v>#N/A</v>
      </c>
      <c r="AC43" s="320" t="e">
        <f aca="false">IF($A43="N/A"," ",$U43*(8*($BS43))*S43)</f>
        <v>#N/A</v>
      </c>
      <c r="AD43" s="320" t="e">
        <f aca="false">IF($A43="N/A"," ",$U43*(8*($BS43))*T43)</f>
        <v>#N/A</v>
      </c>
      <c r="AE43" s="320" t="e">
        <f aca="false">IF($A43="N/A"," ",SUM(V43:AD43))</f>
        <v>#N/A</v>
      </c>
      <c r="AF43" s="321" t="n">
        <f aca="false">IF(A43="N/A"," ",(VLOOKUP(A43,PowerVolTable,(IF(VolBMO4=2,7,IF(VolBMO4=1,6,8))),FALSE())))</f>
        <v>0.24</v>
      </c>
      <c r="AG43" s="321" t="n">
        <f aca="false">IF(A43="N/A"," ",(VLOOKUP(A43,IntraPowerVol,(IF(VolBMO4=2,3,IF(VolBMO4=1,2,4))),FALSE())*VLOOKUP(MONTH($A43),Volscale,2)))</f>
        <v>0.42</v>
      </c>
      <c r="AH43" s="321" t="n">
        <f aca="false">IF($A43="N/A"," ",IF(VolType4=1,AG43,AF43))</f>
        <v>0.42</v>
      </c>
      <c r="AI43" s="321" t="n">
        <f aca="false">IF($A43="N/A"," ",(VLOOKUP($A43,OffPwrVolTable,(IF(VolBMO4=2,7,IF(VolBMO4=1,6,8))),FALSE())))</f>
        <v>0.12</v>
      </c>
      <c r="AJ43" s="321" t="n">
        <f aca="false">IF($A43="N/A"," ",(VLOOKUP($A43,OffPwrVolTable,(IF(VolBMO4=2,3,IF(VolBMO4=1,2,4))),FALSE())*VLOOKUP(MONTH($A43),Volscale,2)))</f>
        <v>0.252</v>
      </c>
      <c r="AK43" s="321" t="n">
        <f aca="false">IF($A43="N/A"," ",IF(VolType4=1,AJ43,AI43))</f>
        <v>0.252</v>
      </c>
      <c r="AL43" s="321" t="e">
        <f aca="false">IF($A43="N/A"," ",IF(PV=1,0,'Pricing Inputs4'!R76))</f>
        <v>#N/A</v>
      </c>
      <c r="AM43" s="323" t="e">
        <f aca="false">IF($A43="N/A"," ",(1+AL43/2)^(-2*((EOMONTH(A43,0)+20)-DateToday)/365.25))</f>
        <v>#N/A</v>
      </c>
      <c r="BQ43" s="0" t="n">
        <f aca="false">IF($A43="N/A"," ",(VLOOKUP($A43,NumberofDaysTable,2)))</f>
        <v>21</v>
      </c>
      <c r="BR43" s="0" t="n">
        <f aca="false">IF($A43="N/A"," ",(VLOOKUP($A43,NumberofDaysTable,3)))</f>
        <v>5</v>
      </c>
      <c r="BS43" s="0" t="n">
        <f aca="false">IF($A43="N/A"," ",(VLOOKUP($A43,NumberofDaysTable,4)))</f>
        <v>4</v>
      </c>
    </row>
    <row r="44" customFormat="false" ht="12.75" hidden="false" customHeight="false" outlineLevel="0" collapsed="false">
      <c r="A44" s="315" t="n">
        <f aca="false">IF(A43="N/A","N/A",IF(EDATE(A43,1)&gt;Inputs!$R$5,"N/A",EDATE(A43,1)))</f>
        <v>38473</v>
      </c>
      <c r="B44" s="316" t="n">
        <f aca="false">IF(A44="N/A"," ",YEAR(A44))</f>
        <v>2005</v>
      </c>
      <c r="C44" s="317" t="n">
        <f aca="false">IF($A44="N/A"," ",IF(Dayrun4=10,0,IF(Scaler4=1,(VLOOKUP(A44,ScaledPrice4,4)),(VLOOKUP(A44,ScaledPrice4,2)))))</f>
        <v>36.2650032043457</v>
      </c>
      <c r="D44" s="317" t="n">
        <f aca="false">IF(A44="N/A"," ",IF(Dayrun4&gt;=7,0,IF(Scaler4=2,VLOOKUP(A44,ScaledPrice4,2),(VLOOKUP(A44,ScaledPrice4,2))*(2-(VLOOKUP(A44,ScaledPrice4,3))))))</f>
        <v>36.2650032043457</v>
      </c>
      <c r="E44" s="317" t="n">
        <f aca="false">IF($A44="N/A"," ",IF(AND(Dayrun4&gt;=4,Dayrun4&lt;=9),0,VLOOKUP($A44,ScaledPrice4,9)))</f>
        <v>19.0400009155273</v>
      </c>
      <c r="F44" s="317" t="n">
        <f aca="false">IF(A44="N/A"," ",IF(OR(Dayrun4=2,Dayrun4=3,Dayrun4=5,Dayrun4=6,Dayrun4=8,Dayrun4=9),VLOOKUP(A44,ScaledPrice4,IF(Scaler4=1,6,5)),0))</f>
        <v>0</v>
      </c>
      <c r="G44" s="317" t="n">
        <f aca="false">IF(A44="N/A"," ",IF(OR(Dayrun4=2,Dayrun4=3,Dayrun4=5,Dayrun4=6),IF(Scaler4=2,F44,(VLOOKUP(A44,ScaledPrice4,5))*(2-(VLOOKUP(A44,ScaledPrice4,3)))),0))</f>
        <v>0</v>
      </c>
      <c r="H44" s="317" t="n">
        <f aca="false">IF($A44="N/A"," ",IF(OR(Dayrun4=2,Dayrun4=3,Dayrun4=10),VLOOKUP($A44,ScaledPrice4,9),0))</f>
        <v>0</v>
      </c>
      <c r="I44" s="317" t="n">
        <f aca="false">IF(A44="N/A"," ",IF(OR(Dayrun4=3,Dayrun4=6,Dayrun4=9),(VLOOKUP(A44,ScaledPrice4,IF(Scaler4=2,7,8))),0))</f>
        <v>0</v>
      </c>
      <c r="J44" s="317" t="n">
        <f aca="false">IF(A44="N/A"," ",IF(OR(Dayrun4=3,Dayrun4=6),IF(Scaler4=2,I44,(VLOOKUP(A44,ScaledPrice4,7))*(2-(VLOOKUP(A44,ScaledPrice4,3)))),0))</f>
        <v>0</v>
      </c>
      <c r="K44" s="317" t="n">
        <f aca="false">IF($A44="N/A"," ",IF(OR(Dayrun4=3,Dayrun4=10),VLOOKUP($A44,ScaledPrice4,9),0))</f>
        <v>0</v>
      </c>
      <c r="L44" s="318" t="e">
        <f aca="false">IF($A44="N/A"," ",IF(Pricetype4=2,MAX(C44,0),IF(OR(Pricetype4=1,Pricetype4=4),IF(C44=0,0,(EURO(C44,Strikeprice4,0,0,($AH44+IF(Smile=TRUE(),VLOOKUP(MAX(-5,Strikeprice4-C44),Volsmile,2),0)),($A44-DateToday)+15,IF(Pricetype4=1,1,0),0))),C44)))</f>
        <v>#NAME?</v>
      </c>
      <c r="M44" s="318" t="e">
        <f aca="false">IF($A44="N/A"," ",IF(Pricetype4=2,MAX(D44,0),IF(OR(Pricetype4=1,Pricetype4=4),IF(D44=0,0,(EURO(D44,Strikeprice4,0,0,($AH44+IF(Smile=TRUE(),VLOOKUP(MAX(-5,Strikeprice4-D44),Volsmile,2),0)),($A44-DateToday)+15,IF(Pricetype4=1,1,0),0))),D44)))</f>
        <v>#NAME?</v>
      </c>
      <c r="N44" s="318" t="e">
        <f aca="false">IF($A44="N/A"," ",IF(Pricetype4=2,MAX(E44,0),IF(OR(Pricetype4=1,Pricetype4=4),IF(E44=0,0,(EURO(E44,Strikeprice4,0,0,($AK44+IF(Smile=TRUE(),VLOOKUP(MAX(-5,Strikeprice4-E44),Volsmile,2),0)),($A44-DateToday)+15,IF(Pricetype4=1,1,0),0))),E44)))</f>
        <v>#NAME?</v>
      </c>
      <c r="O44" s="318" t="n">
        <f aca="false">IF($A44="N/A"," ",IF(Pricetype4=2,MAX(F44,0),IF(OR(Pricetype4=1,Pricetype4=4),IF(F44=0,0,(EURO(F44,Strikeprice4,0,0,($AK44+IF(Smile=TRUE(),VLOOKUP(MAX(-5,Strikeprice4-F44),Volsmile,2),0)),($A44-DateToday)+15,IF(Pricetype4=1,1,0),0))),F44)))</f>
        <v>0</v>
      </c>
      <c r="P44" s="318" t="n">
        <f aca="false">IF($A44="N/A"," ",IF(Pricetype4=2,MAX(G44,0),IF(OR(Pricetype4=1,Pricetype4=4),IF(G44=0,0,(EURO(G44,Strikeprice4,0,0,($AK44+IF(Smile=TRUE(),VLOOKUP(MAX(-5,Strikeprice4-G44),Volsmile,2),0)),($A44-DateToday)+15,IF(Pricetype4=1,1,0),0))),G44)))</f>
        <v>0</v>
      </c>
      <c r="Q44" s="318" t="n">
        <f aca="false">IF($A44="N/A"," ",IF(Pricetype4=2,MAX(H44,0),IF(OR(Pricetype4=1,Pricetype4=4),IF(H44=0,0,(EURO(H44,Strikeprice4,0,0,($AK44+IF(Smile=TRUE(),VLOOKUP(MAX(-5,Strikeprice4-H44),Volsmile,2),0)),($A44-DateToday)+15,IF(Pricetype4=1,1,0),0))),H44)))</f>
        <v>0</v>
      </c>
      <c r="R44" s="318" t="n">
        <f aca="false">IF($A44="N/A"," ",IF(Pricetype4=2,MAX(I44,0),IF(OR(Pricetype4=1,Pricetype4=4),IF(I44=0,0,(EURO(I44,Strikeprice4,0,0,($AK44+IF(Smile=TRUE(),VLOOKUP(MAX(-5,Strikeprice4-I44),Volsmile,2),0)),($A44-DateToday)+15,IF(Pricetype4=1,1,0),0))),I44)))</f>
        <v>0</v>
      </c>
      <c r="S44" s="318" t="n">
        <f aca="false">IF($A44="N/A"," ",IF(Pricetype4=2,MAX(J44,0),IF(OR(Pricetype4=1,Pricetype4=4),IF(J44=0,0,(EURO(J44,Strikeprice4,0,0,($AK44+IF(Smile=TRUE(),VLOOKUP(MAX(-5,Strikeprice4-J44),Volsmile,2),0)),($A44-DateToday)+15,IF(Pricetype4=1,1,0),0))),J44)))</f>
        <v>0</v>
      </c>
      <c r="T44" s="318" t="n">
        <f aca="false">IF($A44="N/A"," ",IF(Pricetype4=2,MAX(K44,0),IF(OR(Pricetype4=1,Pricetype4=4),IF(K44=0,0,(EURO(K44,Strikeprice4,0,0,($AK44+IF(Smile=TRUE(),VLOOKUP(MAX(-5,Strikeprice4-K44),Volsmile,2),0)),($A44-DateToday)+15,IF(Pricetype4=1,1,0),0))),K44)))</f>
        <v>0</v>
      </c>
      <c r="U44" s="319" t="e">
        <f aca="false">IF($A44="N/A"," ",Volume4*$AM44)</f>
        <v>#N/A</v>
      </c>
      <c r="V44" s="320" t="e">
        <f aca="false">IF($A44="N/A"," ",$U44*(8*($BQ44))*L44)</f>
        <v>#N/A</v>
      </c>
      <c r="W44" s="320" t="e">
        <f aca="false">IF($A44="N/A"," ",$U44*(8*($BQ44))*M44)</f>
        <v>#N/A</v>
      </c>
      <c r="X44" s="320" t="e">
        <f aca="false">IF($A44="N/A"," ",$U44*(8*($BQ44))*N44)</f>
        <v>#N/A</v>
      </c>
      <c r="Y44" s="320" t="e">
        <f aca="false">IF($A44="N/A"," ",$U44*(8*($BR44))*O44)</f>
        <v>#N/A</v>
      </c>
      <c r="Z44" s="320" t="e">
        <f aca="false">IF($A44="N/A"," ",$U44*(8*($BR44))*P44)</f>
        <v>#N/A</v>
      </c>
      <c r="AA44" s="320" t="e">
        <f aca="false">IF($A44="N/A"," ",$U44*(8*($BR44))*Q44)</f>
        <v>#N/A</v>
      </c>
      <c r="AB44" s="320" t="e">
        <f aca="false">IF($A44="N/A"," ",$U44*(8*($BS44))*R44)</f>
        <v>#N/A</v>
      </c>
      <c r="AC44" s="320" t="e">
        <f aca="false">IF($A44="N/A"," ",$U44*(8*($BS44))*S44)</f>
        <v>#N/A</v>
      </c>
      <c r="AD44" s="320" t="e">
        <f aca="false">IF($A44="N/A"," ",$U44*(8*($BS44))*T44)</f>
        <v>#N/A</v>
      </c>
      <c r="AE44" s="320" t="e">
        <f aca="false">IF($A44="N/A"," ",SUM(V44:AD44))</f>
        <v>#N/A</v>
      </c>
      <c r="AF44" s="321" t="n">
        <f aca="false">IF(A44="N/A"," ",(VLOOKUP(A44,PowerVolTable,(IF(VolBMO4=2,7,IF(VolBMO4=1,6,8))),FALSE())))</f>
        <v>0.24</v>
      </c>
      <c r="AG44" s="321" t="n">
        <f aca="false">IF(A44="N/A"," ",(VLOOKUP(A44,IntraPowerVol,(IF(VolBMO4=2,3,IF(VolBMO4=1,2,4))),FALSE())*VLOOKUP(MONTH($A44),Volscale,2)))</f>
        <v>0.54</v>
      </c>
      <c r="AH44" s="321" t="n">
        <f aca="false">IF($A44="N/A"," ",IF(VolType4=1,AG44,AF44))</f>
        <v>0.54</v>
      </c>
      <c r="AI44" s="321" t="n">
        <f aca="false">IF($A44="N/A"," ",(VLOOKUP($A44,OffPwrVolTable,(IF(VolBMO4=2,7,IF(VolBMO4=1,6,8))),FALSE())))</f>
        <v>0.12</v>
      </c>
      <c r="AJ44" s="321" t="n">
        <f aca="false">IF($A44="N/A"," ",(VLOOKUP($A44,OffPwrVolTable,(IF(VolBMO4=2,3,IF(VolBMO4=1,2,4))),FALSE())*VLOOKUP(MONTH($A44),Volscale,2)))</f>
        <v>0.324</v>
      </c>
      <c r="AK44" s="321" t="n">
        <f aca="false">IF($A44="N/A"," ",IF(VolType4=1,AJ44,AI44))</f>
        <v>0.324</v>
      </c>
      <c r="AL44" s="321" t="e">
        <f aca="false">IF($A44="N/A"," ",IF(PV=1,0,'Pricing Inputs4'!R77))</f>
        <v>#N/A</v>
      </c>
      <c r="AM44" s="323" t="e">
        <f aca="false">IF($A44="N/A"," ",(1+AL44/2)^(-2*((EOMONTH(A44,0)+20)-DateToday)/365.25))</f>
        <v>#N/A</v>
      </c>
      <c r="BQ44" s="0" t="n">
        <f aca="false">IF($A44="N/A"," ",(VLOOKUP($A44,NumberofDaysTable,2)))</f>
        <v>21</v>
      </c>
      <c r="BR44" s="0" t="n">
        <f aca="false">IF($A44="N/A"," ",(VLOOKUP($A44,NumberofDaysTable,3)))</f>
        <v>4</v>
      </c>
      <c r="BS44" s="0" t="n">
        <f aca="false">IF($A44="N/A"," ",(VLOOKUP($A44,NumberofDaysTable,4)))</f>
        <v>6</v>
      </c>
    </row>
    <row r="45" customFormat="false" ht="12.75" hidden="false" customHeight="false" outlineLevel="0" collapsed="false">
      <c r="A45" s="315" t="n">
        <f aca="false">IF(A44="N/A","N/A",IF(EDATE(A44,1)&gt;Inputs!$R$5,"N/A",EDATE(A44,1)))</f>
        <v>38504</v>
      </c>
      <c r="B45" s="316" t="n">
        <f aca="false">IF(A45="N/A"," ",YEAR(A45))</f>
        <v>2005</v>
      </c>
      <c r="C45" s="317" t="n">
        <f aca="false">IF($A45="N/A"," ",IF(Dayrun4=10,0,IF(Scaler4=1,(VLOOKUP(A45,ScaledPrice4,4)),(VLOOKUP(A45,ScaledPrice4,2)))))</f>
        <v>42.3750038146973</v>
      </c>
      <c r="D45" s="317" t="n">
        <f aca="false">IF(A45="N/A"," ",IF(Dayrun4&gt;=7,0,IF(Scaler4=2,VLOOKUP(A45,ScaledPrice4,2),(VLOOKUP(A45,ScaledPrice4,2))*(2-(VLOOKUP(A45,ScaledPrice4,3))))))</f>
        <v>42.3750038146973</v>
      </c>
      <c r="E45" s="317" t="n">
        <f aca="false">IF($A45="N/A"," ",IF(AND(Dayrun4&gt;=4,Dayrun4&lt;=9),0,VLOOKUP($A45,ScaledPrice4,9)))</f>
        <v>22.0400009155273</v>
      </c>
      <c r="F45" s="317" t="n">
        <f aca="false">IF(A45="N/A"," ",IF(OR(Dayrun4=2,Dayrun4=3,Dayrun4=5,Dayrun4=6,Dayrun4=8,Dayrun4=9),VLOOKUP(A45,ScaledPrice4,IF(Scaler4=1,6,5)),0))</f>
        <v>0</v>
      </c>
      <c r="G45" s="317" t="n">
        <f aca="false">IF(A45="N/A"," ",IF(OR(Dayrun4=2,Dayrun4=3,Dayrun4=5,Dayrun4=6),IF(Scaler4=2,F45,(VLOOKUP(A45,ScaledPrice4,5))*(2-(VLOOKUP(A45,ScaledPrice4,3)))),0))</f>
        <v>0</v>
      </c>
      <c r="H45" s="317" t="n">
        <f aca="false">IF($A45="N/A"," ",IF(OR(Dayrun4=2,Dayrun4=3,Dayrun4=10),VLOOKUP($A45,ScaledPrice4,9),0))</f>
        <v>0</v>
      </c>
      <c r="I45" s="317" t="n">
        <f aca="false">IF(A45="N/A"," ",IF(OR(Dayrun4=3,Dayrun4=6,Dayrun4=9),(VLOOKUP(A45,ScaledPrice4,IF(Scaler4=2,7,8))),0))</f>
        <v>0</v>
      </c>
      <c r="J45" s="317" t="n">
        <f aca="false">IF(A45="N/A"," ",IF(OR(Dayrun4=3,Dayrun4=6),IF(Scaler4=2,I45,(VLOOKUP(A45,ScaledPrice4,7))*(2-(VLOOKUP(A45,ScaledPrice4,3)))),0))</f>
        <v>0</v>
      </c>
      <c r="K45" s="317" t="n">
        <f aca="false">IF($A45="N/A"," ",IF(OR(Dayrun4=3,Dayrun4=10),VLOOKUP($A45,ScaledPrice4,9),0))</f>
        <v>0</v>
      </c>
      <c r="L45" s="318" t="e">
        <f aca="false">IF($A45="N/A"," ",IF(Pricetype4=2,MAX(C45,0),IF(OR(Pricetype4=1,Pricetype4=4),IF(C45=0,0,(EURO(C45,Strikeprice4,0,0,($AH45+IF(Smile=TRUE(),VLOOKUP(MAX(-5,Strikeprice4-C45),Volsmile,2),0)),($A45-DateToday)+15,IF(Pricetype4=1,1,0),0))),C45)))</f>
        <v>#NAME?</v>
      </c>
      <c r="M45" s="318" t="e">
        <f aca="false">IF($A45="N/A"," ",IF(Pricetype4=2,MAX(D45,0),IF(OR(Pricetype4=1,Pricetype4=4),IF(D45=0,0,(EURO(D45,Strikeprice4,0,0,($AH45+IF(Smile=TRUE(),VLOOKUP(MAX(-5,Strikeprice4-D45),Volsmile,2),0)),($A45-DateToday)+15,IF(Pricetype4=1,1,0),0))),D45)))</f>
        <v>#NAME?</v>
      </c>
      <c r="N45" s="318" t="e">
        <f aca="false">IF($A45="N/A"," ",IF(Pricetype4=2,MAX(E45,0),IF(OR(Pricetype4=1,Pricetype4=4),IF(E45=0,0,(EURO(E45,Strikeprice4,0,0,($AK45+IF(Smile=TRUE(),VLOOKUP(MAX(-5,Strikeprice4-E45),Volsmile,2),0)),($A45-DateToday)+15,IF(Pricetype4=1,1,0),0))),E45)))</f>
        <v>#NAME?</v>
      </c>
      <c r="O45" s="318" t="n">
        <f aca="false">IF($A45="N/A"," ",IF(Pricetype4=2,MAX(F45,0),IF(OR(Pricetype4=1,Pricetype4=4),IF(F45=0,0,(EURO(F45,Strikeprice4,0,0,($AK45+IF(Smile=TRUE(),VLOOKUP(MAX(-5,Strikeprice4-F45),Volsmile,2),0)),($A45-DateToday)+15,IF(Pricetype4=1,1,0),0))),F45)))</f>
        <v>0</v>
      </c>
      <c r="P45" s="318" t="n">
        <f aca="false">IF($A45="N/A"," ",IF(Pricetype4=2,MAX(G45,0),IF(OR(Pricetype4=1,Pricetype4=4),IF(G45=0,0,(EURO(G45,Strikeprice4,0,0,($AK45+IF(Smile=TRUE(),VLOOKUP(MAX(-5,Strikeprice4-G45),Volsmile,2),0)),($A45-DateToday)+15,IF(Pricetype4=1,1,0),0))),G45)))</f>
        <v>0</v>
      </c>
      <c r="Q45" s="318" t="n">
        <f aca="false">IF($A45="N/A"," ",IF(Pricetype4=2,MAX(H45,0),IF(OR(Pricetype4=1,Pricetype4=4),IF(H45=0,0,(EURO(H45,Strikeprice4,0,0,($AK45+IF(Smile=TRUE(),VLOOKUP(MAX(-5,Strikeprice4-H45),Volsmile,2),0)),($A45-DateToday)+15,IF(Pricetype4=1,1,0),0))),H45)))</f>
        <v>0</v>
      </c>
      <c r="R45" s="318" t="n">
        <f aca="false">IF($A45="N/A"," ",IF(Pricetype4=2,MAX(I45,0),IF(OR(Pricetype4=1,Pricetype4=4),IF(I45=0,0,(EURO(I45,Strikeprice4,0,0,($AK45+IF(Smile=TRUE(),VLOOKUP(MAX(-5,Strikeprice4-I45),Volsmile,2),0)),($A45-DateToday)+15,IF(Pricetype4=1,1,0),0))),I45)))</f>
        <v>0</v>
      </c>
      <c r="S45" s="318" t="n">
        <f aca="false">IF($A45="N/A"," ",IF(Pricetype4=2,MAX(J45,0),IF(OR(Pricetype4=1,Pricetype4=4),IF(J45=0,0,(EURO(J45,Strikeprice4,0,0,($AK45+IF(Smile=TRUE(),VLOOKUP(MAX(-5,Strikeprice4-J45),Volsmile,2),0)),($A45-DateToday)+15,IF(Pricetype4=1,1,0),0))),J45)))</f>
        <v>0</v>
      </c>
      <c r="T45" s="318" t="n">
        <f aca="false">IF($A45="N/A"," ",IF(Pricetype4=2,MAX(K45,0),IF(OR(Pricetype4=1,Pricetype4=4),IF(K45=0,0,(EURO(K45,Strikeprice4,0,0,($AK45+IF(Smile=TRUE(),VLOOKUP(MAX(-5,Strikeprice4-K45),Volsmile,2),0)),($A45-DateToday)+15,IF(Pricetype4=1,1,0),0))),K45)))</f>
        <v>0</v>
      </c>
      <c r="U45" s="319" t="e">
        <f aca="false">IF($A45="N/A"," ",Volume4*$AM45)</f>
        <v>#N/A</v>
      </c>
      <c r="V45" s="320" t="e">
        <f aca="false">IF($A45="N/A"," ",$U45*(8*($BQ45))*L45)</f>
        <v>#N/A</v>
      </c>
      <c r="W45" s="320" t="e">
        <f aca="false">IF($A45="N/A"," ",$U45*(8*($BQ45))*M45)</f>
        <v>#N/A</v>
      </c>
      <c r="X45" s="320" t="e">
        <f aca="false">IF($A45="N/A"," ",$U45*(8*($BQ45))*N45)</f>
        <v>#N/A</v>
      </c>
      <c r="Y45" s="320" t="e">
        <f aca="false">IF($A45="N/A"," ",$U45*(8*($BR45))*O45)</f>
        <v>#N/A</v>
      </c>
      <c r="Z45" s="320" t="e">
        <f aca="false">IF($A45="N/A"," ",$U45*(8*($BR45))*P45)</f>
        <v>#N/A</v>
      </c>
      <c r="AA45" s="320" t="e">
        <f aca="false">IF($A45="N/A"," ",$U45*(8*($BR45))*Q45)</f>
        <v>#N/A</v>
      </c>
      <c r="AB45" s="320" t="e">
        <f aca="false">IF($A45="N/A"," ",$U45*(8*($BS45))*R45)</f>
        <v>#N/A</v>
      </c>
      <c r="AC45" s="320" t="e">
        <f aca="false">IF($A45="N/A"," ",$U45*(8*($BS45))*S45)</f>
        <v>#N/A</v>
      </c>
      <c r="AD45" s="320" t="e">
        <f aca="false">IF($A45="N/A"," ",$U45*(8*($BS45))*T45)</f>
        <v>#N/A</v>
      </c>
      <c r="AE45" s="320" t="e">
        <f aca="false">IF($A45="N/A"," ",SUM(V45:AD45))</f>
        <v>#N/A</v>
      </c>
      <c r="AF45" s="321" t="n">
        <f aca="false">IF(A45="N/A"," ",(VLOOKUP(A45,PowerVolTable,(IF(VolBMO4=2,7,IF(VolBMO4=1,6,8))),FALSE())))</f>
        <v>0.24</v>
      </c>
      <c r="AG45" s="321" t="n">
        <f aca="false">IF(A45="N/A"," ",(VLOOKUP(A45,IntraPowerVol,(IF(VolBMO4=2,3,IF(VolBMO4=1,2,4))),FALSE())*VLOOKUP(MONTH($A45),Volscale,2)))</f>
        <v>0.54</v>
      </c>
      <c r="AH45" s="321" t="n">
        <f aca="false">IF($A45="N/A"," ",IF(VolType4=1,AG45,AF45))</f>
        <v>0.54</v>
      </c>
      <c r="AI45" s="321" t="n">
        <f aca="false">IF($A45="N/A"," ",(VLOOKUP($A45,OffPwrVolTable,(IF(VolBMO4=2,7,IF(VolBMO4=1,6,8))),FALSE())))</f>
        <v>0.12</v>
      </c>
      <c r="AJ45" s="321" t="n">
        <f aca="false">IF($A45="N/A"," ",(VLOOKUP($A45,OffPwrVolTable,(IF(VolBMO4=2,3,IF(VolBMO4=1,2,4))),FALSE())*VLOOKUP(MONTH($A45),Volscale,2)))</f>
        <v>0.324</v>
      </c>
      <c r="AK45" s="321" t="n">
        <f aca="false">IF($A45="N/A"," ",IF(VolType4=1,AJ45,AI45))</f>
        <v>0.324</v>
      </c>
      <c r="AL45" s="321" t="e">
        <f aca="false">IF($A45="N/A"," ",IF(PV=1,0,'Pricing Inputs4'!R78))</f>
        <v>#N/A</v>
      </c>
      <c r="AM45" s="323" t="e">
        <f aca="false">IF($A45="N/A"," ",(1+AL45/2)^(-2*((EOMONTH(A45,0)+20)-DateToday)/365.25))</f>
        <v>#N/A</v>
      </c>
      <c r="BQ45" s="0" t="n">
        <f aca="false">IF($A45="N/A"," ",(VLOOKUP($A45,NumberofDaysTable,2)))</f>
        <v>22</v>
      </c>
      <c r="BR45" s="0" t="n">
        <f aca="false">IF($A45="N/A"," ",(VLOOKUP($A45,NumberofDaysTable,3)))</f>
        <v>4</v>
      </c>
      <c r="BS45" s="0" t="n">
        <f aca="false">IF($A45="N/A"," ",(VLOOKUP($A45,NumberofDaysTable,4)))</f>
        <v>4</v>
      </c>
    </row>
    <row r="46" customFormat="false" ht="12.75" hidden="false" customHeight="false" outlineLevel="0" collapsed="false">
      <c r="A46" s="315" t="n">
        <f aca="false">IF(A45="N/A","N/A",IF(EDATE(A45,1)&gt;Inputs!$R$5,"N/A",EDATE(A45,1)))</f>
        <v>38534</v>
      </c>
      <c r="B46" s="316" t="n">
        <f aca="false">IF(A46="N/A"," ",YEAR(A46))</f>
        <v>2005</v>
      </c>
      <c r="C46" s="317" t="n">
        <f aca="false">IF($A46="N/A"," ",IF(Dayrun4=10,0,IF(Scaler4=1,(VLOOKUP(A46,ScaledPrice4,4)),(VLOOKUP(A46,ScaledPrice4,2)))))</f>
        <v>50.5</v>
      </c>
      <c r="D46" s="317" t="n">
        <f aca="false">IF(A46="N/A"," ",IF(Dayrun4&gt;=7,0,IF(Scaler4=2,VLOOKUP(A46,ScaledPrice4,2),(VLOOKUP(A46,ScaledPrice4,2))*(2-(VLOOKUP(A46,ScaledPrice4,3))))))</f>
        <v>50.5</v>
      </c>
      <c r="E46" s="317" t="n">
        <f aca="false">IF($A46="N/A"," ",IF(AND(Dayrun4&gt;=4,Dayrun4&lt;=9),0,VLOOKUP($A46,ScaledPrice4,9)))</f>
        <v>22.5400009155273</v>
      </c>
      <c r="F46" s="317" t="n">
        <f aca="false">IF(A46="N/A"," ",IF(OR(Dayrun4=2,Dayrun4=3,Dayrun4=5,Dayrun4=6,Dayrun4=8,Dayrun4=9),VLOOKUP(A46,ScaledPrice4,IF(Scaler4=1,6,5)),0))</f>
        <v>0</v>
      </c>
      <c r="G46" s="317" t="n">
        <f aca="false">IF(A46="N/A"," ",IF(OR(Dayrun4=2,Dayrun4=3,Dayrun4=5,Dayrun4=6),IF(Scaler4=2,F46,(VLOOKUP(A46,ScaledPrice4,5))*(2-(VLOOKUP(A46,ScaledPrice4,3)))),0))</f>
        <v>0</v>
      </c>
      <c r="H46" s="317" t="n">
        <f aca="false">IF($A46="N/A"," ",IF(OR(Dayrun4=2,Dayrun4=3,Dayrun4=10),VLOOKUP($A46,ScaledPrice4,9),0))</f>
        <v>0</v>
      </c>
      <c r="I46" s="317" t="n">
        <f aca="false">IF(A46="N/A"," ",IF(OR(Dayrun4=3,Dayrun4=6,Dayrun4=9),(VLOOKUP(A46,ScaledPrice4,IF(Scaler4=2,7,8))),0))</f>
        <v>0</v>
      </c>
      <c r="J46" s="317" t="n">
        <f aca="false">IF(A46="N/A"," ",IF(OR(Dayrun4=3,Dayrun4=6),IF(Scaler4=2,I46,(VLOOKUP(A46,ScaledPrice4,7))*(2-(VLOOKUP(A46,ScaledPrice4,3)))),0))</f>
        <v>0</v>
      </c>
      <c r="K46" s="317" t="n">
        <f aca="false">IF($A46="N/A"," ",IF(OR(Dayrun4=3,Dayrun4=10),VLOOKUP($A46,ScaledPrice4,9),0))</f>
        <v>0</v>
      </c>
      <c r="L46" s="318" t="e">
        <f aca="false">IF($A46="N/A"," ",IF(Pricetype4=2,MAX(C46,0),IF(OR(Pricetype4=1,Pricetype4=4),IF(C46=0,0,(EURO(C46,Strikeprice4,0,0,($AH46+IF(Smile=TRUE(),VLOOKUP(MAX(-5,Strikeprice4-C46),Volsmile,2),0)),($A46-DateToday)+15,IF(Pricetype4=1,1,0),0))),C46)))</f>
        <v>#NAME?</v>
      </c>
      <c r="M46" s="318" t="e">
        <f aca="false">IF($A46="N/A"," ",IF(Pricetype4=2,MAX(D46,0),IF(OR(Pricetype4=1,Pricetype4=4),IF(D46=0,0,(EURO(D46,Strikeprice4,0,0,($AH46+IF(Smile=TRUE(),VLOOKUP(MAX(-5,Strikeprice4-D46),Volsmile,2),0)),($A46-DateToday)+15,IF(Pricetype4=1,1,0),0))),D46)))</f>
        <v>#NAME?</v>
      </c>
      <c r="N46" s="318" t="e">
        <f aca="false">IF($A46="N/A"," ",IF(Pricetype4=2,MAX(E46,0),IF(OR(Pricetype4=1,Pricetype4=4),IF(E46=0,0,(EURO(E46,Strikeprice4,0,0,($AK46+IF(Smile=TRUE(),VLOOKUP(MAX(-5,Strikeprice4-E46),Volsmile,2),0)),($A46-DateToday)+15,IF(Pricetype4=1,1,0),0))),E46)))</f>
        <v>#NAME?</v>
      </c>
      <c r="O46" s="318" t="n">
        <f aca="false">IF($A46="N/A"," ",IF(Pricetype4=2,MAX(F46,0),IF(OR(Pricetype4=1,Pricetype4=4),IF(F46=0,0,(EURO(F46,Strikeprice4,0,0,($AK46+IF(Smile=TRUE(),VLOOKUP(MAX(-5,Strikeprice4-F46),Volsmile,2),0)),($A46-DateToday)+15,IF(Pricetype4=1,1,0),0))),F46)))</f>
        <v>0</v>
      </c>
      <c r="P46" s="318" t="n">
        <f aca="false">IF($A46="N/A"," ",IF(Pricetype4=2,MAX(G46,0),IF(OR(Pricetype4=1,Pricetype4=4),IF(G46=0,0,(EURO(G46,Strikeprice4,0,0,($AK46+IF(Smile=TRUE(),VLOOKUP(MAX(-5,Strikeprice4-G46),Volsmile,2),0)),($A46-DateToday)+15,IF(Pricetype4=1,1,0),0))),G46)))</f>
        <v>0</v>
      </c>
      <c r="Q46" s="318" t="n">
        <f aca="false">IF($A46="N/A"," ",IF(Pricetype4=2,MAX(H46,0),IF(OR(Pricetype4=1,Pricetype4=4),IF(H46=0,0,(EURO(H46,Strikeprice4,0,0,($AK46+IF(Smile=TRUE(),VLOOKUP(MAX(-5,Strikeprice4-H46),Volsmile,2),0)),($A46-DateToday)+15,IF(Pricetype4=1,1,0),0))),H46)))</f>
        <v>0</v>
      </c>
      <c r="R46" s="318" t="n">
        <f aca="false">IF($A46="N/A"," ",IF(Pricetype4=2,MAX(I46,0),IF(OR(Pricetype4=1,Pricetype4=4),IF(I46=0,0,(EURO(I46,Strikeprice4,0,0,($AK46+IF(Smile=TRUE(),VLOOKUP(MAX(-5,Strikeprice4-I46),Volsmile,2),0)),($A46-DateToday)+15,IF(Pricetype4=1,1,0),0))),I46)))</f>
        <v>0</v>
      </c>
      <c r="S46" s="318" t="n">
        <f aca="false">IF($A46="N/A"," ",IF(Pricetype4=2,MAX(J46,0),IF(OR(Pricetype4=1,Pricetype4=4),IF(J46=0,0,(EURO(J46,Strikeprice4,0,0,($AK46+IF(Smile=TRUE(),VLOOKUP(MAX(-5,Strikeprice4-J46),Volsmile,2),0)),($A46-DateToday)+15,IF(Pricetype4=1,1,0),0))),J46)))</f>
        <v>0</v>
      </c>
      <c r="T46" s="318" t="n">
        <f aca="false">IF($A46="N/A"," ",IF(Pricetype4=2,MAX(K46,0),IF(OR(Pricetype4=1,Pricetype4=4),IF(K46=0,0,(EURO(K46,Strikeprice4,0,0,($AK46+IF(Smile=TRUE(),VLOOKUP(MAX(-5,Strikeprice4-K46),Volsmile,2),0)),($A46-DateToday)+15,IF(Pricetype4=1,1,0),0))),K46)))</f>
        <v>0</v>
      </c>
      <c r="U46" s="319" t="e">
        <f aca="false">IF($A46="N/A"," ",Volume4*$AM46)</f>
        <v>#N/A</v>
      </c>
      <c r="V46" s="320" t="e">
        <f aca="false">IF($A46="N/A"," ",$U46*(8*($BQ46))*L46)</f>
        <v>#N/A</v>
      </c>
      <c r="W46" s="320" t="e">
        <f aca="false">IF($A46="N/A"," ",$U46*(8*($BQ46))*M46)</f>
        <v>#N/A</v>
      </c>
      <c r="X46" s="320" t="e">
        <f aca="false">IF($A46="N/A"," ",$U46*(8*($BQ46))*N46)</f>
        <v>#N/A</v>
      </c>
      <c r="Y46" s="320" t="e">
        <f aca="false">IF($A46="N/A"," ",$U46*(8*($BR46))*O46)</f>
        <v>#N/A</v>
      </c>
      <c r="Z46" s="320" t="e">
        <f aca="false">IF($A46="N/A"," ",$U46*(8*($BR46))*P46)</f>
        <v>#N/A</v>
      </c>
      <c r="AA46" s="320" t="e">
        <f aca="false">IF($A46="N/A"," ",$U46*(8*($BR46))*Q46)</f>
        <v>#N/A</v>
      </c>
      <c r="AB46" s="320" t="e">
        <f aca="false">IF($A46="N/A"," ",$U46*(8*($BS46))*R46)</f>
        <v>#N/A</v>
      </c>
      <c r="AC46" s="320" t="e">
        <f aca="false">IF($A46="N/A"," ",$U46*(8*($BS46))*S46)</f>
        <v>#N/A</v>
      </c>
      <c r="AD46" s="320" t="e">
        <f aca="false">IF($A46="N/A"," ",$U46*(8*($BS46))*T46)</f>
        <v>#N/A</v>
      </c>
      <c r="AE46" s="320" t="e">
        <f aca="false">IF($A46="N/A"," ",SUM(V46:AD46))</f>
        <v>#N/A</v>
      </c>
      <c r="AF46" s="321" t="n">
        <f aca="false">IF(A46="N/A"," ",(VLOOKUP(A46,PowerVolTable,(IF(VolBMO4=2,7,IF(VolBMO4=1,6,8))),FALSE())))</f>
        <v>0.36</v>
      </c>
      <c r="AG46" s="321" t="n">
        <f aca="false">IF(A46="N/A"," ",(VLOOKUP(A46,IntraPowerVol,(IF(VolBMO4=2,3,IF(VolBMO4=1,2,4))),FALSE())*VLOOKUP(MONTH($A46),Volscale,2)))</f>
        <v>0.72</v>
      </c>
      <c r="AH46" s="321" t="n">
        <f aca="false">IF($A46="N/A"," ",IF(VolType4=1,AG46,AF46))</f>
        <v>0.72</v>
      </c>
      <c r="AI46" s="321" t="n">
        <f aca="false">IF($A46="N/A"," ",(VLOOKUP($A46,OffPwrVolTable,(IF(VolBMO4=2,7,IF(VolBMO4=1,6,8))),FALSE())))</f>
        <v>0.18</v>
      </c>
      <c r="AJ46" s="321" t="n">
        <f aca="false">IF($A46="N/A"," ",(VLOOKUP($A46,OffPwrVolTable,(IF(VolBMO4=2,3,IF(VolBMO4=1,2,4))),FALSE())*VLOOKUP(MONTH($A46),Volscale,2)))</f>
        <v>0.432</v>
      </c>
      <c r="AK46" s="321" t="n">
        <f aca="false">IF($A46="N/A"," ",IF(VolType4=1,AJ46,AI46))</f>
        <v>0.432</v>
      </c>
      <c r="AL46" s="321" t="e">
        <f aca="false">IF($A46="N/A"," ",IF(PV=1,0,'Pricing Inputs4'!R79))</f>
        <v>#N/A</v>
      </c>
      <c r="AM46" s="323" t="e">
        <f aca="false">IF($A46="N/A"," ",(1+AL46/2)^(-2*((EOMONTH(A46,0)+20)-DateToday)/365.25))</f>
        <v>#N/A</v>
      </c>
      <c r="BQ46" s="0" t="n">
        <f aca="false">IF($A46="N/A"," ",(VLOOKUP($A46,NumberofDaysTable,2)))</f>
        <v>20</v>
      </c>
      <c r="BR46" s="0" t="n">
        <f aca="false">IF($A46="N/A"," ",(VLOOKUP($A46,NumberofDaysTable,3)))</f>
        <v>5</v>
      </c>
      <c r="BS46" s="0" t="n">
        <f aca="false">IF($A46="N/A"," ",(VLOOKUP($A46,NumberofDaysTable,4)))</f>
        <v>6</v>
      </c>
    </row>
    <row r="47" customFormat="false" ht="12.75" hidden="false" customHeight="false" outlineLevel="0" collapsed="false">
      <c r="A47" s="315" t="n">
        <f aca="false">IF(A46="N/A","N/A",IF(EDATE(A46,1)&gt;Inputs!$R$5,"N/A",EDATE(A46,1)))</f>
        <v>38565</v>
      </c>
      <c r="B47" s="316" t="n">
        <f aca="false">IF(A47="N/A"," ",YEAR(A47))</f>
        <v>2005</v>
      </c>
      <c r="C47" s="317" t="n">
        <f aca="false">IF($A47="N/A"," ",IF(Dayrun4=10,0,IF(Scaler4=1,(VLOOKUP(A47,ScaledPrice4,4)),(VLOOKUP(A47,ScaledPrice4,2)))))</f>
        <v>50.5</v>
      </c>
      <c r="D47" s="317" t="n">
        <f aca="false">IF(A47="N/A"," ",IF(Dayrun4&gt;=7,0,IF(Scaler4=2,VLOOKUP(A47,ScaledPrice4,2),(VLOOKUP(A47,ScaledPrice4,2))*(2-(VLOOKUP(A47,ScaledPrice4,3))))))</f>
        <v>50.5</v>
      </c>
      <c r="E47" s="317" t="n">
        <f aca="false">IF($A47="N/A"," ",IF(AND(Dayrun4&gt;=4,Dayrun4&lt;=9),0,VLOOKUP($A47,ScaledPrice4,9)))</f>
        <v>23.5400009155273</v>
      </c>
      <c r="F47" s="317" t="n">
        <f aca="false">IF(A47="N/A"," ",IF(OR(Dayrun4=2,Dayrun4=3,Dayrun4=5,Dayrun4=6,Dayrun4=8,Dayrun4=9),VLOOKUP(A47,ScaledPrice4,IF(Scaler4=1,6,5)),0))</f>
        <v>0</v>
      </c>
      <c r="G47" s="317" t="n">
        <f aca="false">IF(A47="N/A"," ",IF(OR(Dayrun4=2,Dayrun4=3,Dayrun4=5,Dayrun4=6),IF(Scaler4=2,F47,(VLOOKUP(A47,ScaledPrice4,5))*(2-(VLOOKUP(A47,ScaledPrice4,3)))),0))</f>
        <v>0</v>
      </c>
      <c r="H47" s="317" t="n">
        <f aca="false">IF($A47="N/A"," ",IF(OR(Dayrun4=2,Dayrun4=3,Dayrun4=10),VLOOKUP($A47,ScaledPrice4,9),0))</f>
        <v>0</v>
      </c>
      <c r="I47" s="317" t="n">
        <f aca="false">IF(A47="N/A"," ",IF(OR(Dayrun4=3,Dayrun4=6,Dayrun4=9),(VLOOKUP(A47,ScaledPrice4,IF(Scaler4=2,7,8))),0))</f>
        <v>0</v>
      </c>
      <c r="J47" s="317" t="n">
        <f aca="false">IF(A47="N/A"," ",IF(OR(Dayrun4=3,Dayrun4=6),IF(Scaler4=2,I47,(VLOOKUP(A47,ScaledPrice4,7))*(2-(VLOOKUP(A47,ScaledPrice4,3)))),0))</f>
        <v>0</v>
      </c>
      <c r="K47" s="317" t="n">
        <f aca="false">IF($A47="N/A"," ",IF(OR(Dayrun4=3,Dayrun4=10),VLOOKUP($A47,ScaledPrice4,9),0))</f>
        <v>0</v>
      </c>
      <c r="L47" s="318" t="e">
        <f aca="false">IF($A47="N/A"," ",IF(Pricetype4=2,MAX(C47,0),IF(OR(Pricetype4=1,Pricetype4=4),IF(C47=0,0,(EURO(C47,Strikeprice4,0,0,($AH47+IF(Smile=TRUE(),VLOOKUP(MAX(-5,Strikeprice4-C47),Volsmile,2),0)),($A47-DateToday)+15,IF(Pricetype4=1,1,0),0))),C47)))</f>
        <v>#NAME?</v>
      </c>
      <c r="M47" s="318" t="e">
        <f aca="false">IF($A47="N/A"," ",IF(Pricetype4=2,MAX(D47,0),IF(OR(Pricetype4=1,Pricetype4=4),IF(D47=0,0,(EURO(D47,Strikeprice4,0,0,($AH47+IF(Smile=TRUE(),VLOOKUP(MAX(-5,Strikeprice4-D47),Volsmile,2),0)),($A47-DateToday)+15,IF(Pricetype4=1,1,0),0))),D47)))</f>
        <v>#NAME?</v>
      </c>
      <c r="N47" s="318" t="e">
        <f aca="false">IF($A47="N/A"," ",IF(Pricetype4=2,MAX(E47,0),IF(OR(Pricetype4=1,Pricetype4=4),IF(E47=0,0,(EURO(E47,Strikeprice4,0,0,($AK47+IF(Smile=TRUE(),VLOOKUP(MAX(-5,Strikeprice4-E47),Volsmile,2),0)),($A47-DateToday)+15,IF(Pricetype4=1,1,0),0))),E47)))</f>
        <v>#NAME?</v>
      </c>
      <c r="O47" s="318" t="n">
        <f aca="false">IF($A47="N/A"," ",IF(Pricetype4=2,MAX(F47,0),IF(OR(Pricetype4=1,Pricetype4=4),IF(F47=0,0,(EURO(F47,Strikeprice4,0,0,($AK47+IF(Smile=TRUE(),VLOOKUP(MAX(-5,Strikeprice4-F47),Volsmile,2),0)),($A47-DateToday)+15,IF(Pricetype4=1,1,0),0))),F47)))</f>
        <v>0</v>
      </c>
      <c r="P47" s="318" t="n">
        <f aca="false">IF($A47="N/A"," ",IF(Pricetype4=2,MAX(G47,0),IF(OR(Pricetype4=1,Pricetype4=4),IF(G47=0,0,(EURO(G47,Strikeprice4,0,0,($AK47+IF(Smile=TRUE(),VLOOKUP(MAX(-5,Strikeprice4-G47),Volsmile,2),0)),($A47-DateToday)+15,IF(Pricetype4=1,1,0),0))),G47)))</f>
        <v>0</v>
      </c>
      <c r="Q47" s="318" t="n">
        <f aca="false">IF($A47="N/A"," ",IF(Pricetype4=2,MAX(H47,0),IF(OR(Pricetype4=1,Pricetype4=4),IF(H47=0,0,(EURO(H47,Strikeprice4,0,0,($AK47+IF(Smile=TRUE(),VLOOKUP(MAX(-5,Strikeprice4-H47),Volsmile,2),0)),($A47-DateToday)+15,IF(Pricetype4=1,1,0),0))),H47)))</f>
        <v>0</v>
      </c>
      <c r="R47" s="318" t="n">
        <f aca="false">IF($A47="N/A"," ",IF(Pricetype4=2,MAX(I47,0),IF(OR(Pricetype4=1,Pricetype4=4),IF(I47=0,0,(EURO(I47,Strikeprice4,0,0,($AK47+IF(Smile=TRUE(),VLOOKUP(MAX(-5,Strikeprice4-I47),Volsmile,2),0)),($A47-DateToday)+15,IF(Pricetype4=1,1,0),0))),I47)))</f>
        <v>0</v>
      </c>
      <c r="S47" s="318" t="n">
        <f aca="false">IF($A47="N/A"," ",IF(Pricetype4=2,MAX(J47,0),IF(OR(Pricetype4=1,Pricetype4=4),IF(J47=0,0,(EURO(J47,Strikeprice4,0,0,($AK47+IF(Smile=TRUE(),VLOOKUP(MAX(-5,Strikeprice4-J47),Volsmile,2),0)),($A47-DateToday)+15,IF(Pricetype4=1,1,0),0))),J47)))</f>
        <v>0</v>
      </c>
      <c r="T47" s="318" t="n">
        <f aca="false">IF($A47="N/A"," ",IF(Pricetype4=2,MAX(K47,0),IF(OR(Pricetype4=1,Pricetype4=4),IF(K47=0,0,(EURO(K47,Strikeprice4,0,0,($AK47+IF(Smile=TRUE(),VLOOKUP(MAX(-5,Strikeprice4-K47),Volsmile,2),0)),($A47-DateToday)+15,IF(Pricetype4=1,1,0),0))),K47)))</f>
        <v>0</v>
      </c>
      <c r="U47" s="319" t="e">
        <f aca="false">IF($A47="N/A"," ",Volume4*$AM47)</f>
        <v>#N/A</v>
      </c>
      <c r="V47" s="320" t="e">
        <f aca="false">IF($A47="N/A"," ",$U47*(8*($BQ47))*L47)</f>
        <v>#N/A</v>
      </c>
      <c r="W47" s="320" t="e">
        <f aca="false">IF($A47="N/A"," ",$U47*(8*($BQ47))*M47)</f>
        <v>#N/A</v>
      </c>
      <c r="X47" s="320" t="e">
        <f aca="false">IF($A47="N/A"," ",$U47*(8*($BQ47))*N47)</f>
        <v>#N/A</v>
      </c>
      <c r="Y47" s="320" t="e">
        <f aca="false">IF($A47="N/A"," ",$U47*(8*($BR47))*O47)</f>
        <v>#N/A</v>
      </c>
      <c r="Z47" s="320" t="e">
        <f aca="false">IF($A47="N/A"," ",$U47*(8*($BR47))*P47)</f>
        <v>#N/A</v>
      </c>
      <c r="AA47" s="320" t="e">
        <f aca="false">IF($A47="N/A"," ",$U47*(8*($BR47))*Q47)</f>
        <v>#N/A</v>
      </c>
      <c r="AB47" s="320" t="e">
        <f aca="false">IF($A47="N/A"," ",$U47*(8*($BS47))*R47)</f>
        <v>#N/A</v>
      </c>
      <c r="AC47" s="320" t="e">
        <f aca="false">IF($A47="N/A"," ",$U47*(8*($BS47))*S47)</f>
        <v>#N/A</v>
      </c>
      <c r="AD47" s="320" t="e">
        <f aca="false">IF($A47="N/A"," ",$U47*(8*($BS47))*T47)</f>
        <v>#N/A</v>
      </c>
      <c r="AE47" s="320" t="e">
        <f aca="false">IF($A47="N/A"," ",SUM(V47:AD47))</f>
        <v>#N/A</v>
      </c>
      <c r="AF47" s="321" t="n">
        <f aca="false">IF(A47="N/A"," ",(VLOOKUP(A47,PowerVolTable,(IF(VolBMO4=2,7,IF(VolBMO4=1,6,8))),FALSE())))</f>
        <v>0.36</v>
      </c>
      <c r="AG47" s="321" t="n">
        <f aca="false">IF(A47="N/A"," ",(VLOOKUP(A47,IntraPowerVol,(IF(VolBMO4=2,3,IF(VolBMO4=1,2,4))),FALSE())*VLOOKUP(MONTH($A47),Volscale,2)))</f>
        <v>0.72</v>
      </c>
      <c r="AH47" s="321" t="n">
        <f aca="false">IF($A47="N/A"," ",IF(VolType4=1,AG47,AF47))</f>
        <v>0.72</v>
      </c>
      <c r="AI47" s="321" t="n">
        <f aca="false">IF($A47="N/A"," ",(VLOOKUP($A47,OffPwrVolTable,(IF(VolBMO4=2,7,IF(VolBMO4=1,6,8))),FALSE())))</f>
        <v>0.18</v>
      </c>
      <c r="AJ47" s="321" t="n">
        <f aca="false">IF($A47="N/A"," ",(VLOOKUP($A47,OffPwrVolTable,(IF(VolBMO4=2,3,IF(VolBMO4=1,2,4))),FALSE())*VLOOKUP(MONTH($A47),Volscale,2)))</f>
        <v>0.432</v>
      </c>
      <c r="AK47" s="321" t="n">
        <f aca="false">IF($A47="N/A"," ",IF(VolType4=1,AJ47,AI47))</f>
        <v>0.432</v>
      </c>
      <c r="AL47" s="321" t="e">
        <f aca="false">IF($A47="N/A"," ",IF(PV=1,0,'Pricing Inputs4'!R80))</f>
        <v>#N/A</v>
      </c>
      <c r="AM47" s="323" t="e">
        <f aca="false">IF($A47="N/A"," ",(1+AL47/2)^(-2*((EOMONTH(A47,0)+20)-DateToday)/365.25))</f>
        <v>#N/A</v>
      </c>
      <c r="BQ47" s="0" t="n">
        <f aca="false">IF($A47="N/A"," ",(VLOOKUP($A47,NumberofDaysTable,2)))</f>
        <v>23</v>
      </c>
      <c r="BR47" s="0" t="n">
        <f aca="false">IF($A47="N/A"," ",(VLOOKUP($A47,NumberofDaysTable,3)))</f>
        <v>4</v>
      </c>
      <c r="BS47" s="0" t="n">
        <f aca="false">IF($A47="N/A"," ",(VLOOKUP($A47,NumberofDaysTable,4)))</f>
        <v>4</v>
      </c>
    </row>
    <row r="48" customFormat="false" ht="12.75" hidden="false" customHeight="false" outlineLevel="0" collapsed="false">
      <c r="A48" s="315" t="n">
        <f aca="false">IF(A47="N/A","N/A",IF(EDATE(A47,1)&gt;Inputs!$R$5,"N/A",EDATE(A47,1)))</f>
        <v>38596</v>
      </c>
      <c r="B48" s="316" t="n">
        <f aca="false">IF(A48="N/A"," ",YEAR(A48))</f>
        <v>2005</v>
      </c>
      <c r="C48" s="317" t="n">
        <f aca="false">IF($A48="N/A"," ",IF(Dayrun4=10,0,IF(Scaler4=1,(VLOOKUP(A48,ScaledPrice4,4)),(VLOOKUP(A48,ScaledPrice4,2)))))</f>
        <v>31.1399993896484</v>
      </c>
      <c r="D48" s="317" t="n">
        <f aca="false">IF(A48="N/A"," ",IF(Dayrun4&gt;=7,0,IF(Scaler4=2,VLOOKUP(A48,ScaledPrice4,2),(VLOOKUP(A48,ScaledPrice4,2))*(2-(VLOOKUP(A48,ScaledPrice4,3))))))</f>
        <v>31.1399993896484</v>
      </c>
      <c r="E48" s="317" t="n">
        <f aca="false">IF($A48="N/A"," ",IF(AND(Dayrun4&gt;=4,Dayrun4&lt;=9),0,VLOOKUP($A48,ScaledPrice4,9)))</f>
        <v>17.5400009155273</v>
      </c>
      <c r="F48" s="317" t="n">
        <f aca="false">IF(A48="N/A"," ",IF(OR(Dayrun4=2,Dayrun4=3,Dayrun4=5,Dayrun4=6,Dayrun4=8,Dayrun4=9),VLOOKUP(A48,ScaledPrice4,IF(Scaler4=1,6,5)),0))</f>
        <v>0</v>
      </c>
      <c r="G48" s="317" t="n">
        <f aca="false">IF(A48="N/A"," ",IF(OR(Dayrun4=2,Dayrun4=3,Dayrun4=5,Dayrun4=6),IF(Scaler4=2,F48,(VLOOKUP(A48,ScaledPrice4,5))*(2-(VLOOKUP(A48,ScaledPrice4,3)))),0))</f>
        <v>0</v>
      </c>
      <c r="H48" s="317" t="n">
        <f aca="false">IF($A48="N/A"," ",IF(OR(Dayrun4=2,Dayrun4=3,Dayrun4=10),VLOOKUP($A48,ScaledPrice4,9),0))</f>
        <v>0</v>
      </c>
      <c r="I48" s="317" t="n">
        <f aca="false">IF(A48="N/A"," ",IF(OR(Dayrun4=3,Dayrun4=6,Dayrun4=9),(VLOOKUP(A48,ScaledPrice4,IF(Scaler4=2,7,8))),0))</f>
        <v>0</v>
      </c>
      <c r="J48" s="317" t="n">
        <f aca="false">IF(A48="N/A"," ",IF(OR(Dayrun4=3,Dayrun4=6),IF(Scaler4=2,I48,(VLOOKUP(A48,ScaledPrice4,7))*(2-(VLOOKUP(A48,ScaledPrice4,3)))),0))</f>
        <v>0</v>
      </c>
      <c r="K48" s="317" t="n">
        <f aca="false">IF($A48="N/A"," ",IF(OR(Dayrun4=3,Dayrun4=10),VLOOKUP($A48,ScaledPrice4,9),0))</f>
        <v>0</v>
      </c>
      <c r="L48" s="318" t="e">
        <f aca="false">IF($A48="N/A"," ",IF(Pricetype4=2,MAX(C48,0),IF(OR(Pricetype4=1,Pricetype4=4),IF(C48=0,0,(EURO(C48,Strikeprice4,0,0,($AH48+IF(Smile=TRUE(),VLOOKUP(MAX(-5,Strikeprice4-C48),Volsmile,2),0)),($A48-DateToday)+15,IF(Pricetype4=1,1,0),0))),C48)))</f>
        <v>#NAME?</v>
      </c>
      <c r="M48" s="318" t="e">
        <f aca="false">IF($A48="N/A"," ",IF(Pricetype4=2,MAX(D48,0),IF(OR(Pricetype4=1,Pricetype4=4),IF(D48=0,0,(EURO(D48,Strikeprice4,0,0,($AH48+IF(Smile=TRUE(),VLOOKUP(MAX(-5,Strikeprice4-D48),Volsmile,2),0)),($A48-DateToday)+15,IF(Pricetype4=1,1,0),0))),D48)))</f>
        <v>#NAME?</v>
      </c>
      <c r="N48" s="318" t="e">
        <f aca="false">IF($A48="N/A"," ",IF(Pricetype4=2,MAX(E48,0),IF(OR(Pricetype4=1,Pricetype4=4),IF(E48=0,0,(EURO(E48,Strikeprice4,0,0,($AK48+IF(Smile=TRUE(),VLOOKUP(MAX(-5,Strikeprice4-E48),Volsmile,2),0)),($A48-DateToday)+15,IF(Pricetype4=1,1,0),0))),E48)))</f>
        <v>#NAME?</v>
      </c>
      <c r="O48" s="318" t="n">
        <f aca="false">IF($A48="N/A"," ",IF(Pricetype4=2,MAX(F48,0),IF(OR(Pricetype4=1,Pricetype4=4),IF(F48=0,0,(EURO(F48,Strikeprice4,0,0,($AK48+IF(Smile=TRUE(),VLOOKUP(MAX(-5,Strikeprice4-F48),Volsmile,2),0)),($A48-DateToday)+15,IF(Pricetype4=1,1,0),0))),F48)))</f>
        <v>0</v>
      </c>
      <c r="P48" s="318" t="n">
        <f aca="false">IF($A48="N/A"," ",IF(Pricetype4=2,MAX(G48,0),IF(OR(Pricetype4=1,Pricetype4=4),IF(G48=0,0,(EURO(G48,Strikeprice4,0,0,($AK48+IF(Smile=TRUE(),VLOOKUP(MAX(-5,Strikeprice4-G48),Volsmile,2),0)),($A48-DateToday)+15,IF(Pricetype4=1,1,0),0))),G48)))</f>
        <v>0</v>
      </c>
      <c r="Q48" s="318" t="n">
        <f aca="false">IF($A48="N/A"," ",IF(Pricetype4=2,MAX(H48,0),IF(OR(Pricetype4=1,Pricetype4=4),IF(H48=0,0,(EURO(H48,Strikeprice4,0,0,($AK48+IF(Smile=TRUE(),VLOOKUP(MAX(-5,Strikeprice4-H48),Volsmile,2),0)),($A48-DateToday)+15,IF(Pricetype4=1,1,0),0))),H48)))</f>
        <v>0</v>
      </c>
      <c r="R48" s="318" t="n">
        <f aca="false">IF($A48="N/A"," ",IF(Pricetype4=2,MAX(I48,0),IF(OR(Pricetype4=1,Pricetype4=4),IF(I48=0,0,(EURO(I48,Strikeprice4,0,0,($AK48+IF(Smile=TRUE(),VLOOKUP(MAX(-5,Strikeprice4-I48),Volsmile,2),0)),($A48-DateToday)+15,IF(Pricetype4=1,1,0),0))),I48)))</f>
        <v>0</v>
      </c>
      <c r="S48" s="318" t="n">
        <f aca="false">IF($A48="N/A"," ",IF(Pricetype4=2,MAX(J48,0),IF(OR(Pricetype4=1,Pricetype4=4),IF(J48=0,0,(EURO(J48,Strikeprice4,0,0,($AK48+IF(Smile=TRUE(),VLOOKUP(MAX(-5,Strikeprice4-J48),Volsmile,2),0)),($A48-DateToday)+15,IF(Pricetype4=1,1,0),0))),J48)))</f>
        <v>0</v>
      </c>
      <c r="T48" s="318" t="n">
        <f aca="false">IF($A48="N/A"," ",IF(Pricetype4=2,MAX(K48,0),IF(OR(Pricetype4=1,Pricetype4=4),IF(K48=0,0,(EURO(K48,Strikeprice4,0,0,($AK48+IF(Smile=TRUE(),VLOOKUP(MAX(-5,Strikeprice4-K48),Volsmile,2),0)),($A48-DateToday)+15,IF(Pricetype4=1,1,0),0))),K48)))</f>
        <v>0</v>
      </c>
      <c r="U48" s="319" t="e">
        <f aca="false">IF($A48="N/A"," ",Volume4*$AM48)</f>
        <v>#N/A</v>
      </c>
      <c r="V48" s="320" t="e">
        <f aca="false">IF($A48="N/A"," ",$U48*(8*($BQ48))*L48)</f>
        <v>#N/A</v>
      </c>
      <c r="W48" s="320" t="e">
        <f aca="false">IF($A48="N/A"," ",$U48*(8*($BQ48))*M48)</f>
        <v>#N/A</v>
      </c>
      <c r="X48" s="320" t="e">
        <f aca="false">IF($A48="N/A"," ",$U48*(8*($BQ48))*N48)</f>
        <v>#N/A</v>
      </c>
      <c r="Y48" s="320" t="e">
        <f aca="false">IF($A48="N/A"," ",$U48*(8*($BR48))*O48)</f>
        <v>#N/A</v>
      </c>
      <c r="Z48" s="320" t="e">
        <f aca="false">IF($A48="N/A"," ",$U48*(8*($BR48))*P48)</f>
        <v>#N/A</v>
      </c>
      <c r="AA48" s="320" t="e">
        <f aca="false">IF($A48="N/A"," ",$U48*(8*($BR48))*Q48)</f>
        <v>#N/A</v>
      </c>
      <c r="AB48" s="320" t="e">
        <f aca="false">IF($A48="N/A"," ",$U48*(8*($BS48))*R48)</f>
        <v>#N/A</v>
      </c>
      <c r="AC48" s="320" t="e">
        <f aca="false">IF($A48="N/A"," ",$U48*(8*($BS48))*S48)</f>
        <v>#N/A</v>
      </c>
      <c r="AD48" s="320" t="e">
        <f aca="false">IF($A48="N/A"," ",$U48*(8*($BS48))*T48)</f>
        <v>#N/A</v>
      </c>
      <c r="AE48" s="320" t="e">
        <f aca="false">IF($A48="N/A"," ",SUM(V48:AD48))</f>
        <v>#N/A</v>
      </c>
      <c r="AF48" s="321" t="n">
        <f aca="false">IF(A48="N/A"," ",(VLOOKUP(A48,PowerVolTable,(IF(VolBMO4=2,7,IF(VolBMO4=1,6,8))),FALSE())))</f>
        <v>0.24</v>
      </c>
      <c r="AG48" s="321" t="n">
        <f aca="false">IF(A48="N/A"," ",(VLOOKUP(A48,IntraPowerVol,(IF(VolBMO4=2,3,IF(VolBMO4=1,2,4))),FALSE())*VLOOKUP(MONTH($A48),Volscale,2)))</f>
        <v>0.42</v>
      </c>
      <c r="AH48" s="321" t="n">
        <f aca="false">IF($A48="N/A"," ",IF(VolType4=1,AG48,AF48))</f>
        <v>0.42</v>
      </c>
      <c r="AI48" s="321" t="n">
        <f aca="false">IF($A48="N/A"," ",(VLOOKUP($A48,OffPwrVolTable,(IF(VolBMO4=2,7,IF(VolBMO4=1,6,8))),FALSE())))</f>
        <v>0.12</v>
      </c>
      <c r="AJ48" s="321" t="n">
        <f aca="false">IF($A48="N/A"," ",(VLOOKUP($A48,OffPwrVolTable,(IF(VolBMO4=2,3,IF(VolBMO4=1,2,4))),FALSE())*VLOOKUP(MONTH($A48),Volscale,2)))</f>
        <v>0.252</v>
      </c>
      <c r="AK48" s="321" t="n">
        <f aca="false">IF($A48="N/A"," ",IF(VolType4=1,AJ48,AI48))</f>
        <v>0.252</v>
      </c>
      <c r="AL48" s="321" t="e">
        <f aca="false">IF($A48="N/A"," ",IF(PV=1,0,'Pricing Inputs4'!R81))</f>
        <v>#N/A</v>
      </c>
      <c r="AM48" s="323" t="e">
        <f aca="false">IF($A48="N/A"," ",(1+AL48/2)^(-2*((EOMONTH(A48,0)+20)-DateToday)/365.25))</f>
        <v>#N/A</v>
      </c>
      <c r="BQ48" s="0" t="n">
        <f aca="false">IF($A48="N/A"," ",(VLOOKUP($A48,NumberofDaysTable,2)))</f>
        <v>21</v>
      </c>
      <c r="BR48" s="0" t="n">
        <f aca="false">IF($A48="N/A"," ",(VLOOKUP($A48,NumberofDaysTable,3)))</f>
        <v>4</v>
      </c>
      <c r="BS48" s="0" t="n">
        <f aca="false">IF($A48="N/A"," ",(VLOOKUP($A48,NumberofDaysTable,4)))</f>
        <v>5</v>
      </c>
    </row>
    <row r="49" customFormat="false" ht="12.75" hidden="false" customHeight="false" outlineLevel="0" collapsed="false">
      <c r="A49" s="315" t="n">
        <f aca="false">IF(A48="N/A","N/A",IF(EDATE(A48,1)&gt;Inputs!$R$5,"N/A",EDATE(A48,1)))</f>
        <v>38626</v>
      </c>
      <c r="B49" s="316" t="n">
        <f aca="false">IF(A49="N/A"," ",YEAR(A49))</f>
        <v>2005</v>
      </c>
      <c r="C49" s="317" t="n">
        <f aca="false">IF($A49="N/A"," ",IF(Dayrun4=10,0,IF(Scaler4=1,(VLOOKUP(A49,ScaledPrice4,4)),(VLOOKUP(A49,ScaledPrice4,2)))))</f>
        <v>32.0415614843369</v>
      </c>
      <c r="D49" s="317" t="n">
        <f aca="false">IF(A49="N/A"," ",IF(Dayrun4&gt;=7,0,IF(Scaler4=2,VLOOKUP(A49,ScaledPrice4,2),(VLOOKUP(A49,ScaledPrice4,2))*(2-(VLOOKUP(A49,ScaledPrice4,3))))))</f>
        <v>32.0415614843369</v>
      </c>
      <c r="E49" s="317" t="n">
        <f aca="false">IF($A49="N/A"," ",IF(AND(Dayrun4&gt;=4,Dayrun4&lt;=9),0,VLOOKUP($A49,ScaledPrice4,9)))</f>
        <v>17.040002822876</v>
      </c>
      <c r="F49" s="317" t="n">
        <f aca="false">IF(A49="N/A"," ",IF(OR(Dayrun4=2,Dayrun4=3,Dayrun4=5,Dayrun4=6,Dayrun4=8,Dayrun4=9),VLOOKUP(A49,ScaledPrice4,IF(Scaler4=1,6,5)),0))</f>
        <v>0</v>
      </c>
      <c r="G49" s="317" t="n">
        <f aca="false">IF(A49="N/A"," ",IF(OR(Dayrun4=2,Dayrun4=3,Dayrun4=5,Dayrun4=6),IF(Scaler4=2,F49,(VLOOKUP(A49,ScaledPrice4,5))*(2-(VLOOKUP(A49,ScaledPrice4,3)))),0))</f>
        <v>0</v>
      </c>
      <c r="H49" s="317" t="n">
        <f aca="false">IF($A49="N/A"," ",IF(OR(Dayrun4=2,Dayrun4=3,Dayrun4=10),VLOOKUP($A49,ScaledPrice4,9),0))</f>
        <v>0</v>
      </c>
      <c r="I49" s="317" t="n">
        <f aca="false">IF(A49="N/A"," ",IF(OR(Dayrun4=3,Dayrun4=6,Dayrun4=9),(VLOOKUP(A49,ScaledPrice4,IF(Scaler4=2,7,8))),0))</f>
        <v>0</v>
      </c>
      <c r="J49" s="317" t="n">
        <f aca="false">IF(A49="N/A"," ",IF(OR(Dayrun4=3,Dayrun4=6),IF(Scaler4=2,I49,(VLOOKUP(A49,ScaledPrice4,7))*(2-(VLOOKUP(A49,ScaledPrice4,3)))),0))</f>
        <v>0</v>
      </c>
      <c r="K49" s="317" t="n">
        <f aca="false">IF($A49="N/A"," ",IF(OR(Dayrun4=3,Dayrun4=10),VLOOKUP($A49,ScaledPrice4,9),0))</f>
        <v>0</v>
      </c>
      <c r="L49" s="318" t="e">
        <f aca="false">IF($A49="N/A"," ",IF(Pricetype4=2,MAX(C49,0),IF(OR(Pricetype4=1,Pricetype4=4),IF(C49=0,0,(EURO(C49,Strikeprice4,0,0,($AH49+IF(Smile=TRUE(),VLOOKUP(MAX(-5,Strikeprice4-C49),Volsmile,2),0)),($A49-DateToday)+15,IF(Pricetype4=1,1,0),0))),C49)))</f>
        <v>#NAME?</v>
      </c>
      <c r="M49" s="318" t="e">
        <f aca="false">IF($A49="N/A"," ",IF(Pricetype4=2,MAX(D49,0),IF(OR(Pricetype4=1,Pricetype4=4),IF(D49=0,0,(EURO(D49,Strikeprice4,0,0,($AH49+IF(Smile=TRUE(),VLOOKUP(MAX(-5,Strikeprice4-D49),Volsmile,2),0)),($A49-DateToday)+15,IF(Pricetype4=1,1,0),0))),D49)))</f>
        <v>#NAME?</v>
      </c>
      <c r="N49" s="318" t="e">
        <f aca="false">IF($A49="N/A"," ",IF(Pricetype4=2,MAX(E49,0),IF(OR(Pricetype4=1,Pricetype4=4),IF(E49=0,0,(EURO(E49,Strikeprice4,0,0,($AK49+IF(Smile=TRUE(),VLOOKUP(MAX(-5,Strikeprice4-E49),Volsmile,2),0)),($A49-DateToday)+15,IF(Pricetype4=1,1,0),0))),E49)))</f>
        <v>#NAME?</v>
      </c>
      <c r="O49" s="318" t="n">
        <f aca="false">IF($A49="N/A"," ",IF(Pricetype4=2,MAX(F49,0),IF(OR(Pricetype4=1,Pricetype4=4),IF(F49=0,0,(EURO(F49,Strikeprice4,0,0,($AK49+IF(Smile=TRUE(),VLOOKUP(MAX(-5,Strikeprice4-F49),Volsmile,2),0)),($A49-DateToday)+15,IF(Pricetype4=1,1,0),0))),F49)))</f>
        <v>0</v>
      </c>
      <c r="P49" s="318" t="n">
        <f aca="false">IF($A49="N/A"," ",IF(Pricetype4=2,MAX(G49,0),IF(OR(Pricetype4=1,Pricetype4=4),IF(G49=0,0,(EURO(G49,Strikeprice4,0,0,($AK49+IF(Smile=TRUE(),VLOOKUP(MAX(-5,Strikeprice4-G49),Volsmile,2),0)),($A49-DateToday)+15,IF(Pricetype4=1,1,0),0))),G49)))</f>
        <v>0</v>
      </c>
      <c r="Q49" s="318" t="n">
        <f aca="false">IF($A49="N/A"," ",IF(Pricetype4=2,MAX(H49,0),IF(OR(Pricetype4=1,Pricetype4=4),IF(H49=0,0,(EURO(H49,Strikeprice4,0,0,($AK49+IF(Smile=TRUE(),VLOOKUP(MAX(-5,Strikeprice4-H49),Volsmile,2),0)),($A49-DateToday)+15,IF(Pricetype4=1,1,0),0))),H49)))</f>
        <v>0</v>
      </c>
      <c r="R49" s="318" t="n">
        <f aca="false">IF($A49="N/A"," ",IF(Pricetype4=2,MAX(I49,0),IF(OR(Pricetype4=1,Pricetype4=4),IF(I49=0,0,(EURO(I49,Strikeprice4,0,0,($AK49+IF(Smile=TRUE(),VLOOKUP(MAX(-5,Strikeprice4-I49),Volsmile,2),0)),($A49-DateToday)+15,IF(Pricetype4=1,1,0),0))),I49)))</f>
        <v>0</v>
      </c>
      <c r="S49" s="318" t="n">
        <f aca="false">IF($A49="N/A"," ",IF(Pricetype4=2,MAX(J49,0),IF(OR(Pricetype4=1,Pricetype4=4),IF(J49=0,0,(EURO(J49,Strikeprice4,0,0,($AK49+IF(Smile=TRUE(),VLOOKUP(MAX(-5,Strikeprice4-J49),Volsmile,2),0)),($A49-DateToday)+15,IF(Pricetype4=1,1,0),0))),J49)))</f>
        <v>0</v>
      </c>
      <c r="T49" s="318" t="n">
        <f aca="false">IF($A49="N/A"," ",IF(Pricetype4=2,MAX(K49,0),IF(OR(Pricetype4=1,Pricetype4=4),IF(K49=0,0,(EURO(K49,Strikeprice4,0,0,($AK49+IF(Smile=TRUE(),VLOOKUP(MAX(-5,Strikeprice4-K49),Volsmile,2),0)),($A49-DateToday)+15,IF(Pricetype4=1,1,0),0))),K49)))</f>
        <v>0</v>
      </c>
      <c r="U49" s="319" t="e">
        <f aca="false">IF($A49="N/A"," ",Volume4*$AM49)</f>
        <v>#N/A</v>
      </c>
      <c r="V49" s="320" t="e">
        <f aca="false">IF($A49="N/A"," ",$U49*(8*($BQ49))*L49)</f>
        <v>#N/A</v>
      </c>
      <c r="W49" s="320" t="e">
        <f aca="false">IF($A49="N/A"," ",$U49*(8*($BQ49))*M49)</f>
        <v>#N/A</v>
      </c>
      <c r="X49" s="320" t="e">
        <f aca="false">IF($A49="N/A"," ",$U49*(8*($BQ49))*N49)</f>
        <v>#N/A</v>
      </c>
      <c r="Y49" s="320" t="e">
        <f aca="false">IF($A49="N/A"," ",$U49*(8*($BR49))*O49)</f>
        <v>#N/A</v>
      </c>
      <c r="Z49" s="320" t="e">
        <f aca="false">IF($A49="N/A"," ",$U49*(8*($BR49))*P49)</f>
        <v>#N/A</v>
      </c>
      <c r="AA49" s="320" t="e">
        <f aca="false">IF($A49="N/A"," ",$U49*(8*($BR49))*Q49)</f>
        <v>#N/A</v>
      </c>
      <c r="AB49" s="320" t="e">
        <f aca="false">IF($A49="N/A"," ",$U49*(8*($BS49))*R49)</f>
        <v>#N/A</v>
      </c>
      <c r="AC49" s="320" t="e">
        <f aca="false">IF($A49="N/A"," ",$U49*(8*($BS49))*S49)</f>
        <v>#N/A</v>
      </c>
      <c r="AD49" s="320" t="e">
        <f aca="false">IF($A49="N/A"," ",$U49*(8*($BS49))*T49)</f>
        <v>#N/A</v>
      </c>
      <c r="AE49" s="320" t="e">
        <f aca="false">IF($A49="N/A"," ",SUM(V49:AD49))</f>
        <v>#N/A</v>
      </c>
      <c r="AF49" s="321" t="n">
        <f aca="false">IF(A49="N/A"," ",(VLOOKUP(A49,PowerVolTable,(IF(VolBMO4=2,7,IF(VolBMO4=1,6,8))),FALSE())))</f>
        <v>0.24</v>
      </c>
      <c r="AG49" s="321" t="n">
        <f aca="false">IF(A49="N/A"," ",(VLOOKUP(A49,IntraPowerVol,(IF(VolBMO4=2,3,IF(VolBMO4=1,2,4))),FALSE())*VLOOKUP(MONTH($A49),Volscale,2)))</f>
        <v>0.42</v>
      </c>
      <c r="AH49" s="321" t="n">
        <f aca="false">IF($A49="N/A"," ",IF(VolType4=1,AG49,AF49))</f>
        <v>0.42</v>
      </c>
      <c r="AI49" s="321" t="n">
        <f aca="false">IF($A49="N/A"," ",(VLOOKUP($A49,OffPwrVolTable,(IF(VolBMO4=2,7,IF(VolBMO4=1,6,8))),FALSE())))</f>
        <v>0.12</v>
      </c>
      <c r="AJ49" s="321" t="n">
        <f aca="false">IF($A49="N/A"," ",(VLOOKUP($A49,OffPwrVolTable,(IF(VolBMO4=2,3,IF(VolBMO4=1,2,4))),FALSE())*VLOOKUP(MONTH($A49),Volscale,2)))</f>
        <v>0.252</v>
      </c>
      <c r="AK49" s="321" t="n">
        <f aca="false">IF($A49="N/A"," ",IF(VolType4=1,AJ49,AI49))</f>
        <v>0.252</v>
      </c>
      <c r="AL49" s="321" t="e">
        <f aca="false">IF($A49="N/A"," ",IF(PV=1,0,'Pricing Inputs4'!R82))</f>
        <v>#N/A</v>
      </c>
      <c r="AM49" s="323" t="e">
        <f aca="false">IF($A49="N/A"," ",(1+AL49/2)^(-2*((EOMONTH(A49,0)+20)-DateToday)/365.25))</f>
        <v>#N/A</v>
      </c>
      <c r="BQ49" s="0" t="n">
        <f aca="false">IF($A49="N/A"," ",(VLOOKUP($A49,NumberofDaysTable,2)))</f>
        <v>21</v>
      </c>
      <c r="BR49" s="0" t="n">
        <f aca="false">IF($A49="N/A"," ",(VLOOKUP($A49,NumberofDaysTable,3)))</f>
        <v>5</v>
      </c>
      <c r="BS49" s="0" t="n">
        <f aca="false">IF($A49="N/A"," ",(VLOOKUP($A49,NumberofDaysTable,4)))</f>
        <v>5</v>
      </c>
    </row>
    <row r="50" customFormat="false" ht="12.75" hidden="false" customHeight="false" outlineLevel="0" collapsed="false">
      <c r="A50" s="315" t="n">
        <f aca="false">IF(A49="N/A","N/A",IF(EDATE(A49,1)&gt;Inputs!$R$5,"N/A",EDATE(A49,1)))</f>
        <v>38657</v>
      </c>
      <c r="B50" s="316" t="n">
        <f aca="false">IF(A50="N/A"," ",YEAR(A50))</f>
        <v>2005</v>
      </c>
      <c r="C50" s="317" t="n">
        <f aca="false">IF($A50="N/A"," ",IF(Dayrun4=10,0,IF(Scaler4=1,(VLOOKUP(A50,ScaledPrice4,4)),(VLOOKUP(A50,ScaledPrice4,2)))))</f>
        <v>32.1415637731552</v>
      </c>
      <c r="D50" s="317" t="n">
        <f aca="false">IF(A50="N/A"," ",IF(Dayrun4&gt;=7,0,IF(Scaler4=2,VLOOKUP(A50,ScaledPrice4,2),(VLOOKUP(A50,ScaledPrice4,2))*(2-(VLOOKUP(A50,ScaledPrice4,3))))))</f>
        <v>32.1415637731552</v>
      </c>
      <c r="E50" s="317" t="n">
        <f aca="false">IF($A50="N/A"," ",IF(AND(Dayrun4&gt;=4,Dayrun4&lt;=9),0,VLOOKUP($A50,ScaledPrice4,9)))</f>
        <v>18.0400009155273</v>
      </c>
      <c r="F50" s="317" t="n">
        <f aca="false">IF(A50="N/A"," ",IF(OR(Dayrun4=2,Dayrun4=3,Dayrun4=5,Dayrun4=6,Dayrun4=8,Dayrun4=9),VLOOKUP(A50,ScaledPrice4,IF(Scaler4=1,6,5)),0))</f>
        <v>0</v>
      </c>
      <c r="G50" s="317" t="n">
        <f aca="false">IF(A50="N/A"," ",IF(OR(Dayrun4=2,Dayrun4=3,Dayrun4=5,Dayrun4=6),IF(Scaler4=2,F50,(VLOOKUP(A50,ScaledPrice4,5))*(2-(VLOOKUP(A50,ScaledPrice4,3)))),0))</f>
        <v>0</v>
      </c>
      <c r="H50" s="317" t="n">
        <f aca="false">IF($A50="N/A"," ",IF(OR(Dayrun4=2,Dayrun4=3,Dayrun4=10),VLOOKUP($A50,ScaledPrice4,9),0))</f>
        <v>0</v>
      </c>
      <c r="I50" s="317" t="n">
        <f aca="false">IF(A50="N/A"," ",IF(OR(Dayrun4=3,Dayrun4=6,Dayrun4=9),(VLOOKUP(A50,ScaledPrice4,IF(Scaler4=2,7,8))),0))</f>
        <v>0</v>
      </c>
      <c r="J50" s="317" t="n">
        <f aca="false">IF(A50="N/A"," ",IF(OR(Dayrun4=3,Dayrun4=6),IF(Scaler4=2,I50,(VLOOKUP(A50,ScaledPrice4,7))*(2-(VLOOKUP(A50,ScaledPrice4,3)))),0))</f>
        <v>0</v>
      </c>
      <c r="K50" s="317" t="n">
        <f aca="false">IF($A50="N/A"," ",IF(OR(Dayrun4=3,Dayrun4=10),VLOOKUP($A50,ScaledPrice4,9),0))</f>
        <v>0</v>
      </c>
      <c r="L50" s="318" t="e">
        <f aca="false">IF($A50="N/A"," ",IF(Pricetype4=2,MAX(C50,0),IF(OR(Pricetype4=1,Pricetype4=4),IF(C50=0,0,(EURO(C50,Strikeprice4,0,0,($AH50+IF(Smile=TRUE(),VLOOKUP(MAX(-5,Strikeprice4-C50),Volsmile,2),0)),($A50-DateToday)+15,IF(Pricetype4=1,1,0),0))),C50)))</f>
        <v>#NAME?</v>
      </c>
      <c r="M50" s="318" t="e">
        <f aca="false">IF($A50="N/A"," ",IF(Pricetype4=2,MAX(D50,0),IF(OR(Pricetype4=1,Pricetype4=4),IF(D50=0,0,(EURO(D50,Strikeprice4,0,0,($AH50+IF(Smile=TRUE(),VLOOKUP(MAX(-5,Strikeprice4-D50),Volsmile,2),0)),($A50-DateToday)+15,IF(Pricetype4=1,1,0),0))),D50)))</f>
        <v>#NAME?</v>
      </c>
      <c r="N50" s="318" t="e">
        <f aca="false">IF($A50="N/A"," ",IF(Pricetype4=2,MAX(E50,0),IF(OR(Pricetype4=1,Pricetype4=4),IF(E50=0,0,(EURO(E50,Strikeprice4,0,0,($AK50+IF(Smile=TRUE(),VLOOKUP(MAX(-5,Strikeprice4-E50),Volsmile,2),0)),($A50-DateToday)+15,IF(Pricetype4=1,1,0),0))),E50)))</f>
        <v>#NAME?</v>
      </c>
      <c r="O50" s="318" t="n">
        <f aca="false">IF($A50="N/A"," ",IF(Pricetype4=2,MAX(F50,0),IF(OR(Pricetype4=1,Pricetype4=4),IF(F50=0,0,(EURO(F50,Strikeprice4,0,0,($AK50+IF(Smile=TRUE(),VLOOKUP(MAX(-5,Strikeprice4-F50),Volsmile,2),0)),($A50-DateToday)+15,IF(Pricetype4=1,1,0),0))),F50)))</f>
        <v>0</v>
      </c>
      <c r="P50" s="318" t="n">
        <f aca="false">IF($A50="N/A"," ",IF(Pricetype4=2,MAX(G50,0),IF(OR(Pricetype4=1,Pricetype4=4),IF(G50=0,0,(EURO(G50,Strikeprice4,0,0,($AK50+IF(Smile=TRUE(),VLOOKUP(MAX(-5,Strikeprice4-G50),Volsmile,2),0)),($A50-DateToday)+15,IF(Pricetype4=1,1,0),0))),G50)))</f>
        <v>0</v>
      </c>
      <c r="Q50" s="318" t="n">
        <f aca="false">IF($A50="N/A"," ",IF(Pricetype4=2,MAX(H50,0),IF(OR(Pricetype4=1,Pricetype4=4),IF(H50=0,0,(EURO(H50,Strikeprice4,0,0,($AK50+IF(Smile=TRUE(),VLOOKUP(MAX(-5,Strikeprice4-H50),Volsmile,2),0)),($A50-DateToday)+15,IF(Pricetype4=1,1,0),0))),H50)))</f>
        <v>0</v>
      </c>
      <c r="R50" s="318" t="n">
        <f aca="false">IF($A50="N/A"," ",IF(Pricetype4=2,MAX(I50,0),IF(OR(Pricetype4=1,Pricetype4=4),IF(I50=0,0,(EURO(I50,Strikeprice4,0,0,($AK50+IF(Smile=TRUE(),VLOOKUP(MAX(-5,Strikeprice4-I50),Volsmile,2),0)),($A50-DateToday)+15,IF(Pricetype4=1,1,0),0))),I50)))</f>
        <v>0</v>
      </c>
      <c r="S50" s="318" t="n">
        <f aca="false">IF($A50="N/A"," ",IF(Pricetype4=2,MAX(J50,0),IF(OR(Pricetype4=1,Pricetype4=4),IF(J50=0,0,(EURO(J50,Strikeprice4,0,0,($AK50+IF(Smile=TRUE(),VLOOKUP(MAX(-5,Strikeprice4-J50),Volsmile,2),0)),($A50-DateToday)+15,IF(Pricetype4=1,1,0),0))),J50)))</f>
        <v>0</v>
      </c>
      <c r="T50" s="318" t="n">
        <f aca="false">IF($A50="N/A"," ",IF(Pricetype4=2,MAX(K50,0),IF(OR(Pricetype4=1,Pricetype4=4),IF(K50=0,0,(EURO(K50,Strikeprice4,0,0,($AK50+IF(Smile=TRUE(),VLOOKUP(MAX(-5,Strikeprice4-K50),Volsmile,2),0)),($A50-DateToday)+15,IF(Pricetype4=1,1,0),0))),K50)))</f>
        <v>0</v>
      </c>
      <c r="U50" s="319" t="e">
        <f aca="false">IF($A50="N/A"," ",Volume4*$AM50)</f>
        <v>#N/A</v>
      </c>
      <c r="V50" s="320" t="e">
        <f aca="false">IF($A50="N/A"," ",$U50*(8*($BQ50))*L50)</f>
        <v>#N/A</v>
      </c>
      <c r="W50" s="320" t="e">
        <f aca="false">IF($A50="N/A"," ",$U50*(8*($BQ50))*M50)</f>
        <v>#N/A</v>
      </c>
      <c r="X50" s="320" t="e">
        <f aca="false">IF($A50="N/A"," ",$U50*(8*($BQ50))*N50)</f>
        <v>#N/A</v>
      </c>
      <c r="Y50" s="320" t="e">
        <f aca="false">IF($A50="N/A"," ",$U50*(8*($BR50))*O50)</f>
        <v>#N/A</v>
      </c>
      <c r="Z50" s="320" t="e">
        <f aca="false">IF($A50="N/A"," ",$U50*(8*($BR50))*P50)</f>
        <v>#N/A</v>
      </c>
      <c r="AA50" s="320" t="e">
        <f aca="false">IF($A50="N/A"," ",$U50*(8*($BR50))*Q50)</f>
        <v>#N/A</v>
      </c>
      <c r="AB50" s="320" t="e">
        <f aca="false">IF($A50="N/A"," ",$U50*(8*($BS50))*R50)</f>
        <v>#N/A</v>
      </c>
      <c r="AC50" s="320" t="e">
        <f aca="false">IF($A50="N/A"," ",$U50*(8*($BS50))*S50)</f>
        <v>#N/A</v>
      </c>
      <c r="AD50" s="320" t="e">
        <f aca="false">IF($A50="N/A"," ",$U50*(8*($BS50))*T50)</f>
        <v>#N/A</v>
      </c>
      <c r="AE50" s="320" t="e">
        <f aca="false">IF($A50="N/A"," ",SUM(V50:AD50))</f>
        <v>#N/A</v>
      </c>
      <c r="AF50" s="321" t="n">
        <f aca="false">IF(A50="N/A"," ",(VLOOKUP(A50,PowerVolTable,(IF(VolBMO4=2,7,IF(VolBMO4=1,6,8))),FALSE())))</f>
        <v>0.24</v>
      </c>
      <c r="AG50" s="321" t="n">
        <f aca="false">IF(A50="N/A"," ",(VLOOKUP(A50,IntraPowerVol,(IF(VolBMO4=2,3,IF(VolBMO4=1,2,4))),FALSE())*VLOOKUP(MONTH($A50),Volscale,2)))</f>
        <v>0.42</v>
      </c>
      <c r="AH50" s="321" t="n">
        <f aca="false">IF($A50="N/A"," ",IF(VolType4=1,AG50,AF50))</f>
        <v>0.42</v>
      </c>
      <c r="AI50" s="321" t="n">
        <f aca="false">IF($A50="N/A"," ",(VLOOKUP($A50,OffPwrVolTable,(IF(VolBMO4=2,7,IF(VolBMO4=1,6,8))),FALSE())))</f>
        <v>0.12</v>
      </c>
      <c r="AJ50" s="321" t="n">
        <f aca="false">IF($A50="N/A"," ",(VLOOKUP($A50,OffPwrVolTable,(IF(VolBMO4=2,3,IF(VolBMO4=1,2,4))),FALSE())*VLOOKUP(MONTH($A50),Volscale,2)))</f>
        <v>0.252</v>
      </c>
      <c r="AK50" s="321" t="n">
        <f aca="false">IF($A50="N/A"," ",IF(VolType4=1,AJ50,AI50))</f>
        <v>0.252</v>
      </c>
      <c r="AL50" s="321" t="e">
        <f aca="false">IF($A50="N/A"," ",IF(PV=1,0,'Pricing Inputs4'!R83))</f>
        <v>#N/A</v>
      </c>
      <c r="AM50" s="323" t="e">
        <f aca="false">IF($A50="N/A"," ",(1+AL50/2)^(-2*((EOMONTH(A50,0)+20)-DateToday)/365.25))</f>
        <v>#N/A</v>
      </c>
      <c r="BQ50" s="0" t="n">
        <f aca="false">IF($A50="N/A"," ",(VLOOKUP($A50,NumberofDaysTable,2)))</f>
        <v>21</v>
      </c>
      <c r="BR50" s="0" t="n">
        <f aca="false">IF($A50="N/A"," ",(VLOOKUP($A50,NumberofDaysTable,3)))</f>
        <v>4</v>
      </c>
      <c r="BS50" s="0" t="n">
        <f aca="false">IF($A50="N/A"," ",(VLOOKUP($A50,NumberofDaysTable,4)))</f>
        <v>5</v>
      </c>
    </row>
    <row r="51" customFormat="false" ht="12.75" hidden="false" customHeight="false" outlineLevel="0" collapsed="false">
      <c r="A51" s="315" t="n">
        <f aca="false">IF(A50="N/A","N/A",IF(EDATE(A50,1)&gt;Inputs!$R$5,"N/A",EDATE(A50,1)))</f>
        <v>38687</v>
      </c>
      <c r="B51" s="316" t="n">
        <f aca="false">IF(A51="N/A"," ",YEAR(A51))</f>
        <v>2005</v>
      </c>
      <c r="C51" s="317" t="n">
        <f aca="false">IF($A51="N/A"," ",IF(Dayrun4=10,0,IF(Scaler4=1,(VLOOKUP(A51,ScaledPrice4,4)),(VLOOKUP(A51,ScaledPrice4,2)))))</f>
        <v>32.2415622472763</v>
      </c>
      <c r="D51" s="317" t="n">
        <f aca="false">IF(A51="N/A"," ",IF(Dayrun4&gt;=7,0,IF(Scaler4=2,VLOOKUP(A51,ScaledPrice4,2),(VLOOKUP(A51,ScaledPrice4,2))*(2-(VLOOKUP(A51,ScaledPrice4,3))))))</f>
        <v>32.2415622472763</v>
      </c>
      <c r="E51" s="317" t="n">
        <f aca="false">IF($A51="N/A"," ",IF(AND(Dayrun4&gt;=4,Dayrun4&lt;=9),0,VLOOKUP($A51,ScaledPrice4,9)))</f>
        <v>20.2900009155273</v>
      </c>
      <c r="F51" s="317" t="n">
        <f aca="false">IF(A51="N/A"," ",IF(OR(Dayrun4=2,Dayrun4=3,Dayrun4=5,Dayrun4=6,Dayrun4=8,Dayrun4=9),VLOOKUP(A51,ScaledPrice4,IF(Scaler4=1,6,5)),0))</f>
        <v>0</v>
      </c>
      <c r="G51" s="317" t="n">
        <f aca="false">IF(A51="N/A"," ",IF(OR(Dayrun4=2,Dayrun4=3,Dayrun4=5,Dayrun4=6),IF(Scaler4=2,F51,(VLOOKUP(A51,ScaledPrice4,5))*(2-(VLOOKUP(A51,ScaledPrice4,3)))),0))</f>
        <v>0</v>
      </c>
      <c r="H51" s="317" t="n">
        <f aca="false">IF($A51="N/A"," ",IF(OR(Dayrun4=2,Dayrun4=3,Dayrun4=10),VLOOKUP($A51,ScaledPrice4,9),0))</f>
        <v>0</v>
      </c>
      <c r="I51" s="317" t="n">
        <f aca="false">IF(A51="N/A"," ",IF(OR(Dayrun4=3,Dayrun4=6,Dayrun4=9),(VLOOKUP(A51,ScaledPrice4,IF(Scaler4=2,7,8))),0))</f>
        <v>0</v>
      </c>
      <c r="J51" s="317" t="n">
        <f aca="false">IF(A51="N/A"," ",IF(OR(Dayrun4=3,Dayrun4=6),IF(Scaler4=2,I51,(VLOOKUP(A51,ScaledPrice4,7))*(2-(VLOOKUP(A51,ScaledPrice4,3)))),0))</f>
        <v>0</v>
      </c>
      <c r="K51" s="317" t="n">
        <f aca="false">IF($A51="N/A"," ",IF(OR(Dayrun4=3,Dayrun4=10),VLOOKUP($A51,ScaledPrice4,9),0))</f>
        <v>0</v>
      </c>
      <c r="L51" s="318" t="e">
        <f aca="false">IF($A51="N/A"," ",IF(Pricetype4=2,MAX(C51,0),IF(OR(Pricetype4=1,Pricetype4=4),IF(C51=0,0,(EURO(C51,Strikeprice4,0,0,($AH51+IF(Smile=TRUE(),VLOOKUP(MAX(-5,Strikeprice4-C51),Volsmile,2),0)),($A51-DateToday)+15,IF(Pricetype4=1,1,0),0))),C51)))</f>
        <v>#NAME?</v>
      </c>
      <c r="M51" s="318" t="e">
        <f aca="false">IF($A51="N/A"," ",IF(Pricetype4=2,MAX(D51,0),IF(OR(Pricetype4=1,Pricetype4=4),IF(D51=0,0,(EURO(D51,Strikeprice4,0,0,($AH51+IF(Smile=TRUE(),VLOOKUP(MAX(-5,Strikeprice4-D51),Volsmile,2),0)),($A51-DateToday)+15,IF(Pricetype4=1,1,0),0))),D51)))</f>
        <v>#NAME?</v>
      </c>
      <c r="N51" s="318" t="e">
        <f aca="false">IF($A51="N/A"," ",IF(Pricetype4=2,MAX(E51,0),IF(OR(Pricetype4=1,Pricetype4=4),IF(E51=0,0,(EURO(E51,Strikeprice4,0,0,($AK51+IF(Smile=TRUE(),VLOOKUP(MAX(-5,Strikeprice4-E51),Volsmile,2),0)),($A51-DateToday)+15,IF(Pricetype4=1,1,0),0))),E51)))</f>
        <v>#NAME?</v>
      </c>
      <c r="O51" s="318" t="n">
        <f aca="false">IF($A51="N/A"," ",IF(Pricetype4=2,MAX(F51,0),IF(OR(Pricetype4=1,Pricetype4=4),IF(F51=0,0,(EURO(F51,Strikeprice4,0,0,($AK51+IF(Smile=TRUE(),VLOOKUP(MAX(-5,Strikeprice4-F51),Volsmile,2),0)),($A51-DateToday)+15,IF(Pricetype4=1,1,0),0))),F51)))</f>
        <v>0</v>
      </c>
      <c r="P51" s="318" t="n">
        <f aca="false">IF($A51="N/A"," ",IF(Pricetype4=2,MAX(G51,0),IF(OR(Pricetype4=1,Pricetype4=4),IF(G51=0,0,(EURO(G51,Strikeprice4,0,0,($AK51+IF(Smile=TRUE(),VLOOKUP(MAX(-5,Strikeprice4-G51),Volsmile,2),0)),($A51-DateToday)+15,IF(Pricetype4=1,1,0),0))),G51)))</f>
        <v>0</v>
      </c>
      <c r="Q51" s="318" t="n">
        <f aca="false">IF($A51="N/A"," ",IF(Pricetype4=2,MAX(H51,0),IF(OR(Pricetype4=1,Pricetype4=4),IF(H51=0,0,(EURO(H51,Strikeprice4,0,0,($AK51+IF(Smile=TRUE(),VLOOKUP(MAX(-5,Strikeprice4-H51),Volsmile,2),0)),($A51-DateToday)+15,IF(Pricetype4=1,1,0),0))),H51)))</f>
        <v>0</v>
      </c>
      <c r="R51" s="318" t="n">
        <f aca="false">IF($A51="N/A"," ",IF(Pricetype4=2,MAX(I51,0),IF(OR(Pricetype4=1,Pricetype4=4),IF(I51=0,0,(EURO(I51,Strikeprice4,0,0,($AK51+IF(Smile=TRUE(),VLOOKUP(MAX(-5,Strikeprice4-I51),Volsmile,2),0)),($A51-DateToday)+15,IF(Pricetype4=1,1,0),0))),I51)))</f>
        <v>0</v>
      </c>
      <c r="S51" s="318" t="n">
        <f aca="false">IF($A51="N/A"," ",IF(Pricetype4=2,MAX(J51,0),IF(OR(Pricetype4=1,Pricetype4=4),IF(J51=0,0,(EURO(J51,Strikeprice4,0,0,($AK51+IF(Smile=TRUE(),VLOOKUP(MAX(-5,Strikeprice4-J51),Volsmile,2),0)),($A51-DateToday)+15,IF(Pricetype4=1,1,0),0))),J51)))</f>
        <v>0</v>
      </c>
      <c r="T51" s="318" t="n">
        <f aca="false">IF($A51="N/A"," ",IF(Pricetype4=2,MAX(K51,0),IF(OR(Pricetype4=1,Pricetype4=4),IF(K51=0,0,(EURO(K51,Strikeprice4,0,0,($AK51+IF(Smile=TRUE(),VLOOKUP(MAX(-5,Strikeprice4-K51),Volsmile,2),0)),($A51-DateToday)+15,IF(Pricetype4=1,1,0),0))),K51)))</f>
        <v>0</v>
      </c>
      <c r="U51" s="319" t="e">
        <f aca="false">IF($A51="N/A"," ",Volume4*$AM51)</f>
        <v>#N/A</v>
      </c>
      <c r="V51" s="320" t="e">
        <f aca="false">IF($A51="N/A"," ",$U51*(8*($BQ51))*L51)</f>
        <v>#N/A</v>
      </c>
      <c r="W51" s="320" t="e">
        <f aca="false">IF($A51="N/A"," ",$U51*(8*($BQ51))*M51)</f>
        <v>#N/A</v>
      </c>
      <c r="X51" s="320" t="e">
        <f aca="false">IF($A51="N/A"," ",$U51*(8*($BQ51))*N51)</f>
        <v>#N/A</v>
      </c>
      <c r="Y51" s="320" t="e">
        <f aca="false">IF($A51="N/A"," ",$U51*(8*($BR51))*O51)</f>
        <v>#N/A</v>
      </c>
      <c r="Z51" s="320" t="e">
        <f aca="false">IF($A51="N/A"," ",$U51*(8*($BR51))*P51)</f>
        <v>#N/A</v>
      </c>
      <c r="AA51" s="320" t="e">
        <f aca="false">IF($A51="N/A"," ",$U51*(8*($BR51))*Q51)</f>
        <v>#N/A</v>
      </c>
      <c r="AB51" s="320" t="e">
        <f aca="false">IF($A51="N/A"," ",$U51*(8*($BS51))*R51)</f>
        <v>#N/A</v>
      </c>
      <c r="AC51" s="320" t="e">
        <f aca="false">IF($A51="N/A"," ",$U51*(8*($BS51))*S51)</f>
        <v>#N/A</v>
      </c>
      <c r="AD51" s="320" t="e">
        <f aca="false">IF($A51="N/A"," ",$U51*(8*($BS51))*T51)</f>
        <v>#N/A</v>
      </c>
      <c r="AE51" s="320" t="e">
        <f aca="false">IF($A51="N/A"," ",SUM(V51:AD51))</f>
        <v>#N/A</v>
      </c>
      <c r="AF51" s="321" t="n">
        <f aca="false">IF(A51="N/A"," ",(VLOOKUP(A51,PowerVolTable,(IF(VolBMO4=2,7,IF(VolBMO4=1,6,8))),FALSE())))</f>
        <v>0.24</v>
      </c>
      <c r="AG51" s="321" t="n">
        <f aca="false">IF(A51="N/A"," ",(VLOOKUP(A51,IntraPowerVol,(IF(VolBMO4=2,3,IF(VolBMO4=1,2,4))),FALSE())*VLOOKUP(MONTH($A51),Volscale,2)))</f>
        <v>0.42</v>
      </c>
      <c r="AH51" s="321" t="n">
        <f aca="false">IF($A51="N/A"," ",IF(VolType4=1,AG51,AF51))</f>
        <v>0.42</v>
      </c>
      <c r="AI51" s="321" t="n">
        <f aca="false">IF($A51="N/A"," ",(VLOOKUP($A51,OffPwrVolTable,(IF(VolBMO4=2,7,IF(VolBMO4=1,6,8))),FALSE())))</f>
        <v>0.12</v>
      </c>
      <c r="AJ51" s="321" t="n">
        <f aca="false">IF($A51="N/A"," ",(VLOOKUP($A51,OffPwrVolTable,(IF(VolBMO4=2,3,IF(VolBMO4=1,2,4))),FALSE())*VLOOKUP(MONTH($A51),Volscale,2)))</f>
        <v>0.252</v>
      </c>
      <c r="AK51" s="321" t="n">
        <f aca="false">IF($A51="N/A"," ",IF(VolType4=1,AJ51,AI51))</f>
        <v>0.252</v>
      </c>
      <c r="AL51" s="321" t="e">
        <f aca="false">IF($A51="N/A"," ",IF(PV=1,0,'Pricing Inputs4'!R84))</f>
        <v>#N/A</v>
      </c>
      <c r="AM51" s="323" t="e">
        <f aca="false">IF($A51="N/A"," ",(1+AL51/2)^(-2*((EOMONTH(A51,0)+20)-DateToday)/365.25))</f>
        <v>#N/A</v>
      </c>
      <c r="BQ51" s="0" t="n">
        <f aca="false">IF($A51="N/A"," ",(VLOOKUP($A51,NumberofDaysTable,2)))</f>
        <v>21</v>
      </c>
      <c r="BR51" s="0" t="n">
        <f aca="false">IF($A51="N/A"," ",(VLOOKUP($A51,NumberofDaysTable,3)))</f>
        <v>5</v>
      </c>
      <c r="BS51" s="0" t="n">
        <f aca="false">IF($A51="N/A"," ",(VLOOKUP($A51,NumberofDaysTable,4)))</f>
        <v>5</v>
      </c>
    </row>
    <row r="52" customFormat="false" ht="12.75" hidden="false" customHeight="false" outlineLevel="0" collapsed="false">
      <c r="A52" s="315" t="n">
        <f aca="false">IF(A51="N/A","N/A",IF(EDATE(A51,1)&gt;Inputs!$R$5,"N/A",EDATE(A51,1)))</f>
        <v>38718</v>
      </c>
      <c r="B52" s="316" t="n">
        <f aca="false">IF(A52="N/A"," ",YEAR(A52))</f>
        <v>2006</v>
      </c>
      <c r="C52" s="317" t="n">
        <f aca="false">IF($A52="N/A"," ",IF(Dayrun4=10,0,IF(Scaler4=1,(VLOOKUP(A52,ScaledPrice4,4)),(VLOOKUP(A52,ScaledPrice4,2)))))</f>
        <v>35.1157172066825</v>
      </c>
      <c r="D52" s="317" t="n">
        <f aca="false">IF(A52="N/A"," ",IF(Dayrun4&gt;=7,0,IF(Scaler4=2,VLOOKUP(A52,ScaledPrice4,2),(VLOOKUP(A52,ScaledPrice4,2))*(2-(VLOOKUP(A52,ScaledPrice4,3))))))</f>
        <v>35.1157172066825</v>
      </c>
      <c r="E52" s="317" t="n">
        <f aca="false">IF($A52="N/A"," ",IF(AND(Dayrun4&gt;=4,Dayrun4&lt;=9),0,VLOOKUP($A52,ScaledPrice4,9)))</f>
        <v>22.5</v>
      </c>
      <c r="F52" s="317" t="n">
        <f aca="false">IF(A52="N/A"," ",IF(OR(Dayrun4=2,Dayrun4=3,Dayrun4=5,Dayrun4=6,Dayrun4=8,Dayrun4=9),VLOOKUP(A52,ScaledPrice4,IF(Scaler4=1,6,5)),0))</f>
        <v>0</v>
      </c>
      <c r="G52" s="317" t="n">
        <f aca="false">IF(A52="N/A"," ",IF(OR(Dayrun4=2,Dayrun4=3,Dayrun4=5,Dayrun4=6),IF(Scaler4=2,F52,(VLOOKUP(A52,ScaledPrice4,5))*(2-(VLOOKUP(A52,ScaledPrice4,3)))),0))</f>
        <v>0</v>
      </c>
      <c r="H52" s="317" t="n">
        <f aca="false">IF($A52="N/A"," ",IF(OR(Dayrun4=2,Dayrun4=3,Dayrun4=10),VLOOKUP($A52,ScaledPrice4,9),0))</f>
        <v>0</v>
      </c>
      <c r="I52" s="317" t="n">
        <f aca="false">IF(A52="N/A"," ",IF(OR(Dayrun4=3,Dayrun4=6,Dayrun4=9),(VLOOKUP(A52,ScaledPrice4,IF(Scaler4=2,7,8))),0))</f>
        <v>0</v>
      </c>
      <c r="J52" s="317" t="n">
        <f aca="false">IF(A52="N/A"," ",IF(OR(Dayrun4=3,Dayrun4=6),IF(Scaler4=2,I52,(VLOOKUP(A52,ScaledPrice4,7))*(2-(VLOOKUP(A52,ScaledPrice4,3)))),0))</f>
        <v>0</v>
      </c>
      <c r="K52" s="317" t="n">
        <f aca="false">IF($A52="N/A"," ",IF(OR(Dayrun4=3,Dayrun4=10),VLOOKUP($A52,ScaledPrice4,9),0))</f>
        <v>0</v>
      </c>
      <c r="L52" s="318" t="e">
        <f aca="false">IF($A52="N/A"," ",IF(Pricetype4=2,MAX(C52,0),IF(OR(Pricetype4=1,Pricetype4=4),IF(C52=0,0,(EURO(C52,Strikeprice4,0,0,($AH52+IF(Smile=TRUE(),VLOOKUP(MAX(-5,Strikeprice4-C52),Volsmile,2),0)),($A52-DateToday)+15,IF(Pricetype4=1,1,0),0))),C52)))</f>
        <v>#NAME?</v>
      </c>
      <c r="M52" s="318" t="e">
        <f aca="false">IF($A52="N/A"," ",IF(Pricetype4=2,MAX(D52,0),IF(OR(Pricetype4=1,Pricetype4=4),IF(D52=0,0,(EURO(D52,Strikeprice4,0,0,($AH52+IF(Smile=TRUE(),VLOOKUP(MAX(-5,Strikeprice4-D52),Volsmile,2),0)),($A52-DateToday)+15,IF(Pricetype4=1,1,0),0))),D52)))</f>
        <v>#NAME?</v>
      </c>
      <c r="N52" s="318" t="e">
        <f aca="false">IF($A52="N/A"," ",IF(Pricetype4=2,MAX(E52,0),IF(OR(Pricetype4=1,Pricetype4=4),IF(E52=0,0,(EURO(E52,Strikeprice4,0,0,($AK52+IF(Smile=TRUE(),VLOOKUP(MAX(-5,Strikeprice4-E52),Volsmile,2),0)),($A52-DateToday)+15,IF(Pricetype4=1,1,0),0))),E52)))</f>
        <v>#NAME?</v>
      </c>
      <c r="O52" s="318" t="n">
        <f aca="false">IF($A52="N/A"," ",IF(Pricetype4=2,MAX(F52,0),IF(OR(Pricetype4=1,Pricetype4=4),IF(F52=0,0,(EURO(F52,Strikeprice4,0,0,($AK52+IF(Smile=TRUE(),VLOOKUP(MAX(-5,Strikeprice4-F52),Volsmile,2),0)),($A52-DateToday)+15,IF(Pricetype4=1,1,0),0))),F52)))</f>
        <v>0</v>
      </c>
      <c r="P52" s="318" t="n">
        <f aca="false">IF($A52="N/A"," ",IF(Pricetype4=2,MAX(G52,0),IF(OR(Pricetype4=1,Pricetype4=4),IF(G52=0,0,(EURO(G52,Strikeprice4,0,0,($AK52+IF(Smile=TRUE(),VLOOKUP(MAX(-5,Strikeprice4-G52),Volsmile,2),0)),($A52-DateToday)+15,IF(Pricetype4=1,1,0),0))),G52)))</f>
        <v>0</v>
      </c>
      <c r="Q52" s="318" t="n">
        <f aca="false">IF($A52="N/A"," ",IF(Pricetype4=2,MAX(H52,0),IF(OR(Pricetype4=1,Pricetype4=4),IF(H52=0,0,(EURO(H52,Strikeprice4,0,0,($AK52+IF(Smile=TRUE(),VLOOKUP(MAX(-5,Strikeprice4-H52),Volsmile,2),0)),($A52-DateToday)+15,IF(Pricetype4=1,1,0),0))),H52)))</f>
        <v>0</v>
      </c>
      <c r="R52" s="318" t="n">
        <f aca="false">IF($A52="N/A"," ",IF(Pricetype4=2,MAX(I52,0),IF(OR(Pricetype4=1,Pricetype4=4),IF(I52=0,0,(EURO(I52,Strikeprice4,0,0,($AK52+IF(Smile=TRUE(),VLOOKUP(MAX(-5,Strikeprice4-I52),Volsmile,2),0)),($A52-DateToday)+15,IF(Pricetype4=1,1,0),0))),I52)))</f>
        <v>0</v>
      </c>
      <c r="S52" s="318" t="n">
        <f aca="false">IF($A52="N/A"," ",IF(Pricetype4=2,MAX(J52,0),IF(OR(Pricetype4=1,Pricetype4=4),IF(J52=0,0,(EURO(J52,Strikeprice4,0,0,($AK52+IF(Smile=TRUE(),VLOOKUP(MAX(-5,Strikeprice4-J52),Volsmile,2),0)),($A52-DateToday)+15,IF(Pricetype4=1,1,0),0))),J52)))</f>
        <v>0</v>
      </c>
      <c r="T52" s="318" t="n">
        <f aca="false">IF($A52="N/A"," ",IF(Pricetype4=2,MAX(K52,0),IF(OR(Pricetype4=1,Pricetype4=4),IF(K52=0,0,(EURO(K52,Strikeprice4,0,0,($AK52+IF(Smile=TRUE(),VLOOKUP(MAX(-5,Strikeprice4-K52),Volsmile,2),0)),($A52-DateToday)+15,IF(Pricetype4=1,1,0),0))),K52)))</f>
        <v>0</v>
      </c>
      <c r="U52" s="319" t="e">
        <f aca="false">IF($A52="N/A"," ",Volume4*$AM52)</f>
        <v>#N/A</v>
      </c>
      <c r="V52" s="320" t="e">
        <f aca="false">IF($A52="N/A"," ",$U52*(8*($BQ52))*L52)</f>
        <v>#N/A</v>
      </c>
      <c r="W52" s="320" t="e">
        <f aca="false">IF($A52="N/A"," ",$U52*(8*($BQ52))*M52)</f>
        <v>#N/A</v>
      </c>
      <c r="X52" s="320" t="e">
        <f aca="false">IF($A52="N/A"," ",$U52*(8*($BQ52))*N52)</f>
        <v>#N/A</v>
      </c>
      <c r="Y52" s="320" t="e">
        <f aca="false">IF($A52="N/A"," ",$U52*(8*($BR52))*O52)</f>
        <v>#N/A</v>
      </c>
      <c r="Z52" s="320" t="e">
        <f aca="false">IF($A52="N/A"," ",$U52*(8*($BR52))*P52)</f>
        <v>#N/A</v>
      </c>
      <c r="AA52" s="320" t="e">
        <f aca="false">IF($A52="N/A"," ",$U52*(8*($BR52))*Q52)</f>
        <v>#N/A</v>
      </c>
      <c r="AB52" s="320" t="e">
        <f aca="false">IF($A52="N/A"," ",$U52*(8*($BS52))*R52)</f>
        <v>#N/A</v>
      </c>
      <c r="AC52" s="320" t="e">
        <f aca="false">IF($A52="N/A"," ",$U52*(8*($BS52))*S52)</f>
        <v>#N/A</v>
      </c>
      <c r="AD52" s="320" t="e">
        <f aca="false">IF($A52="N/A"," ",$U52*(8*($BS52))*T52)</f>
        <v>#N/A</v>
      </c>
      <c r="AE52" s="320" t="e">
        <f aca="false">IF($A52="N/A"," ",SUM(V52:AD52))</f>
        <v>#N/A</v>
      </c>
      <c r="AF52" s="321" t="n">
        <f aca="false">IF(A52="N/A"," ",(VLOOKUP(A52,PowerVolTable,(IF(VolBMO4=2,7,IF(VolBMO4=1,6,8))),FALSE())))</f>
        <v>0.24</v>
      </c>
      <c r="AG52" s="321" t="n">
        <f aca="false">IF(A52="N/A"," ",(VLOOKUP(A52,IntraPowerVol,(IF(VolBMO4=2,3,IF(VolBMO4=1,2,4))),FALSE())*VLOOKUP(MONTH($A52),Volscale,2)))</f>
        <v>0.42</v>
      </c>
      <c r="AH52" s="321" t="n">
        <f aca="false">IF($A52="N/A"," ",IF(VolType4=1,AG52,AF52))</f>
        <v>0.42</v>
      </c>
      <c r="AI52" s="321" t="n">
        <f aca="false">IF($A52="N/A"," ",(VLOOKUP($A52,OffPwrVolTable,(IF(VolBMO4=2,7,IF(VolBMO4=1,6,8))),FALSE())))</f>
        <v>0.12</v>
      </c>
      <c r="AJ52" s="321" t="n">
        <f aca="false">IF($A52="N/A"," ",(VLOOKUP($A52,OffPwrVolTable,(IF(VolBMO4=2,3,IF(VolBMO4=1,2,4))),FALSE())*VLOOKUP(MONTH($A52),Volscale,2)))</f>
        <v>0.252</v>
      </c>
      <c r="AK52" s="321" t="n">
        <f aca="false">IF($A52="N/A"," ",IF(VolType4=1,AJ52,AI52))</f>
        <v>0.252</v>
      </c>
      <c r="AL52" s="321" t="e">
        <f aca="false">IF($A52="N/A"," ",IF(PV=1,0,'Pricing Inputs4'!R85))</f>
        <v>#N/A</v>
      </c>
      <c r="AM52" s="323" t="e">
        <f aca="false">IF($A52="N/A"," ",(1+AL52/2)^(-2*((EOMONTH(A52,0)+20)-DateToday)/365.25))</f>
        <v>#N/A</v>
      </c>
      <c r="BQ52" s="0" t="n">
        <f aca="false">IF($A52="N/A"," ",(VLOOKUP($A52,NumberofDaysTable,2)))</f>
        <v>21</v>
      </c>
      <c r="BR52" s="0" t="n">
        <f aca="false">IF($A52="N/A"," ",(VLOOKUP($A52,NumberofDaysTable,3)))</f>
        <v>4</v>
      </c>
      <c r="BS52" s="0" t="n">
        <f aca="false">IF($A52="N/A"," ",(VLOOKUP($A52,NumberofDaysTable,4)))</f>
        <v>6</v>
      </c>
    </row>
    <row r="53" customFormat="false" ht="12.75" hidden="false" customHeight="false" outlineLevel="0" collapsed="false">
      <c r="A53" s="315" t="n">
        <f aca="false">IF(A52="N/A","N/A",IF(EDATE(A52,1)&gt;Inputs!$R$5,"N/A",EDATE(A52,1)))</f>
        <v>38749</v>
      </c>
      <c r="B53" s="316" t="n">
        <f aca="false">IF(A53="N/A"," ",YEAR(A53))</f>
        <v>2006</v>
      </c>
      <c r="C53" s="317" t="n">
        <f aca="false">IF($A53="N/A"," ",IF(Dayrun4=10,0,IF(Scaler4=1,(VLOOKUP(A53,ScaledPrice4,4)),(VLOOKUP(A53,ScaledPrice4,2)))))</f>
        <v>34.5157149178641</v>
      </c>
      <c r="D53" s="317" t="n">
        <f aca="false">IF(A53="N/A"," ",IF(Dayrun4&gt;=7,0,IF(Scaler4=2,VLOOKUP(A53,ScaledPrice4,2),(VLOOKUP(A53,ScaledPrice4,2))*(2-(VLOOKUP(A53,ScaledPrice4,3))))))</f>
        <v>34.5157149178641</v>
      </c>
      <c r="E53" s="317" t="n">
        <f aca="false">IF($A53="N/A"," ",IF(AND(Dayrun4&gt;=4,Dayrun4&lt;=9),0,VLOOKUP($A53,ScaledPrice4,9)))</f>
        <v>21</v>
      </c>
      <c r="F53" s="317" t="n">
        <f aca="false">IF(A53="N/A"," ",IF(OR(Dayrun4=2,Dayrun4=3,Dayrun4=5,Dayrun4=6,Dayrun4=8,Dayrun4=9),VLOOKUP(A53,ScaledPrice4,IF(Scaler4=1,6,5)),0))</f>
        <v>0</v>
      </c>
      <c r="G53" s="317" t="n">
        <f aca="false">IF(A53="N/A"," ",IF(OR(Dayrun4=2,Dayrun4=3,Dayrun4=5,Dayrun4=6),IF(Scaler4=2,F53,(VLOOKUP(A53,ScaledPrice4,5))*(2-(VLOOKUP(A53,ScaledPrice4,3)))),0))</f>
        <v>0</v>
      </c>
      <c r="H53" s="317" t="n">
        <f aca="false">IF($A53="N/A"," ",IF(OR(Dayrun4=2,Dayrun4=3,Dayrun4=10),VLOOKUP($A53,ScaledPrice4,9),0))</f>
        <v>0</v>
      </c>
      <c r="I53" s="317" t="n">
        <f aca="false">IF(A53="N/A"," ",IF(OR(Dayrun4=3,Dayrun4=6,Dayrun4=9),(VLOOKUP(A53,ScaledPrice4,IF(Scaler4=2,7,8))),0))</f>
        <v>0</v>
      </c>
      <c r="J53" s="317" t="n">
        <f aca="false">IF(A53="N/A"," ",IF(OR(Dayrun4=3,Dayrun4=6),IF(Scaler4=2,I53,(VLOOKUP(A53,ScaledPrice4,7))*(2-(VLOOKUP(A53,ScaledPrice4,3)))),0))</f>
        <v>0</v>
      </c>
      <c r="K53" s="317" t="n">
        <f aca="false">IF($A53="N/A"," ",IF(OR(Dayrun4=3,Dayrun4=10),VLOOKUP($A53,ScaledPrice4,9),0))</f>
        <v>0</v>
      </c>
      <c r="L53" s="318" t="e">
        <f aca="false">IF($A53="N/A"," ",IF(Pricetype4=2,MAX(C53,0),IF(OR(Pricetype4=1,Pricetype4=4),IF(C53=0,0,(EURO(C53,Strikeprice4,0,0,($AH53+IF(Smile=TRUE(),VLOOKUP(MAX(-5,Strikeprice4-C53),Volsmile,2),0)),($A53-DateToday)+15,IF(Pricetype4=1,1,0),0))),C53)))</f>
        <v>#NAME?</v>
      </c>
      <c r="M53" s="318" t="e">
        <f aca="false">IF($A53="N/A"," ",IF(Pricetype4=2,MAX(D53,0),IF(OR(Pricetype4=1,Pricetype4=4),IF(D53=0,0,(EURO(D53,Strikeprice4,0,0,($AH53+IF(Smile=TRUE(),VLOOKUP(MAX(-5,Strikeprice4-D53),Volsmile,2),0)),($A53-DateToday)+15,IF(Pricetype4=1,1,0),0))),D53)))</f>
        <v>#NAME?</v>
      </c>
      <c r="N53" s="318" t="e">
        <f aca="false">IF($A53="N/A"," ",IF(Pricetype4=2,MAX(E53,0),IF(OR(Pricetype4=1,Pricetype4=4),IF(E53=0,0,(EURO(E53,Strikeprice4,0,0,($AK53+IF(Smile=TRUE(),VLOOKUP(MAX(-5,Strikeprice4-E53),Volsmile,2),0)),($A53-DateToday)+15,IF(Pricetype4=1,1,0),0))),E53)))</f>
        <v>#NAME?</v>
      </c>
      <c r="O53" s="318" t="n">
        <f aca="false">IF($A53="N/A"," ",IF(Pricetype4=2,MAX(F53,0),IF(OR(Pricetype4=1,Pricetype4=4),IF(F53=0,0,(EURO(F53,Strikeprice4,0,0,($AK53+IF(Smile=TRUE(),VLOOKUP(MAX(-5,Strikeprice4-F53),Volsmile,2),0)),($A53-DateToday)+15,IF(Pricetype4=1,1,0),0))),F53)))</f>
        <v>0</v>
      </c>
      <c r="P53" s="318" t="n">
        <f aca="false">IF($A53="N/A"," ",IF(Pricetype4=2,MAX(G53,0),IF(OR(Pricetype4=1,Pricetype4=4),IF(G53=0,0,(EURO(G53,Strikeprice4,0,0,($AK53+IF(Smile=TRUE(),VLOOKUP(MAX(-5,Strikeprice4-G53),Volsmile,2),0)),($A53-DateToday)+15,IF(Pricetype4=1,1,0),0))),G53)))</f>
        <v>0</v>
      </c>
      <c r="Q53" s="318" t="n">
        <f aca="false">IF($A53="N/A"," ",IF(Pricetype4=2,MAX(H53,0),IF(OR(Pricetype4=1,Pricetype4=4),IF(H53=0,0,(EURO(H53,Strikeprice4,0,0,($AK53+IF(Smile=TRUE(),VLOOKUP(MAX(-5,Strikeprice4-H53),Volsmile,2),0)),($A53-DateToday)+15,IF(Pricetype4=1,1,0),0))),H53)))</f>
        <v>0</v>
      </c>
      <c r="R53" s="318" t="n">
        <f aca="false">IF($A53="N/A"," ",IF(Pricetype4=2,MAX(I53,0),IF(OR(Pricetype4=1,Pricetype4=4),IF(I53=0,0,(EURO(I53,Strikeprice4,0,0,($AK53+IF(Smile=TRUE(),VLOOKUP(MAX(-5,Strikeprice4-I53),Volsmile,2),0)),($A53-DateToday)+15,IF(Pricetype4=1,1,0),0))),I53)))</f>
        <v>0</v>
      </c>
      <c r="S53" s="318" t="n">
        <f aca="false">IF($A53="N/A"," ",IF(Pricetype4=2,MAX(J53,0),IF(OR(Pricetype4=1,Pricetype4=4),IF(J53=0,0,(EURO(J53,Strikeprice4,0,0,($AK53+IF(Smile=TRUE(),VLOOKUP(MAX(-5,Strikeprice4-J53),Volsmile,2),0)),($A53-DateToday)+15,IF(Pricetype4=1,1,0),0))),J53)))</f>
        <v>0</v>
      </c>
      <c r="T53" s="318" t="n">
        <f aca="false">IF($A53="N/A"," ",IF(Pricetype4=2,MAX(K53,0),IF(OR(Pricetype4=1,Pricetype4=4),IF(K53=0,0,(EURO(K53,Strikeprice4,0,0,($AK53+IF(Smile=TRUE(),VLOOKUP(MAX(-5,Strikeprice4-K53),Volsmile,2),0)),($A53-DateToday)+15,IF(Pricetype4=1,1,0),0))),K53)))</f>
        <v>0</v>
      </c>
      <c r="U53" s="319" t="e">
        <f aca="false">IF($A53="N/A"," ",Volume4*$AM53)</f>
        <v>#N/A</v>
      </c>
      <c r="V53" s="320" t="e">
        <f aca="false">IF($A53="N/A"," ",$U53*(8*($BQ53))*L53)</f>
        <v>#N/A</v>
      </c>
      <c r="W53" s="320" t="e">
        <f aca="false">IF($A53="N/A"," ",$U53*(8*($BQ53))*M53)</f>
        <v>#N/A</v>
      </c>
      <c r="X53" s="320" t="e">
        <f aca="false">IF($A53="N/A"," ",$U53*(8*($BQ53))*N53)</f>
        <v>#N/A</v>
      </c>
      <c r="Y53" s="320" t="e">
        <f aca="false">IF($A53="N/A"," ",$U53*(8*($BR53))*O53)</f>
        <v>#N/A</v>
      </c>
      <c r="Z53" s="320" t="e">
        <f aca="false">IF($A53="N/A"," ",$U53*(8*($BR53))*P53)</f>
        <v>#N/A</v>
      </c>
      <c r="AA53" s="320" t="e">
        <f aca="false">IF($A53="N/A"," ",$U53*(8*($BR53))*Q53)</f>
        <v>#N/A</v>
      </c>
      <c r="AB53" s="320" t="e">
        <f aca="false">IF($A53="N/A"," ",$U53*(8*($BS53))*R53)</f>
        <v>#N/A</v>
      </c>
      <c r="AC53" s="320" t="e">
        <f aca="false">IF($A53="N/A"," ",$U53*(8*($BS53))*S53)</f>
        <v>#N/A</v>
      </c>
      <c r="AD53" s="320" t="e">
        <f aca="false">IF($A53="N/A"," ",$U53*(8*($BS53))*T53)</f>
        <v>#N/A</v>
      </c>
      <c r="AE53" s="320" t="e">
        <f aca="false">IF($A53="N/A"," ",SUM(V53:AD53))</f>
        <v>#N/A</v>
      </c>
      <c r="AF53" s="321" t="n">
        <f aca="false">IF(A53="N/A"," ",(VLOOKUP(A53,PowerVolTable,(IF(VolBMO4=2,7,IF(VolBMO4=1,6,8))),FALSE())))</f>
        <v>0.24</v>
      </c>
      <c r="AG53" s="321" t="n">
        <f aca="false">IF(A53="N/A"," ",(VLOOKUP(A53,IntraPowerVol,(IF(VolBMO4=2,3,IF(VolBMO4=1,2,4))),FALSE())*VLOOKUP(MONTH($A53),Volscale,2)))</f>
        <v>0.42</v>
      </c>
      <c r="AH53" s="321" t="n">
        <f aca="false">IF($A53="N/A"," ",IF(VolType4=1,AG53,AF53))</f>
        <v>0.42</v>
      </c>
      <c r="AI53" s="321" t="n">
        <f aca="false">IF($A53="N/A"," ",(VLOOKUP($A53,OffPwrVolTable,(IF(VolBMO4=2,7,IF(VolBMO4=1,6,8))),FALSE())))</f>
        <v>0.12</v>
      </c>
      <c r="AJ53" s="321" t="n">
        <f aca="false">IF($A53="N/A"," ",(VLOOKUP($A53,OffPwrVolTable,(IF(VolBMO4=2,3,IF(VolBMO4=1,2,4))),FALSE())*VLOOKUP(MONTH($A53),Volscale,2)))</f>
        <v>0.252</v>
      </c>
      <c r="AK53" s="321" t="n">
        <f aca="false">IF($A53="N/A"," ",IF(VolType4=1,AJ53,AI53))</f>
        <v>0.252</v>
      </c>
      <c r="AL53" s="321" t="e">
        <f aca="false">IF($A53="N/A"," ",IF(PV=1,0,'Pricing Inputs4'!R86))</f>
        <v>#N/A</v>
      </c>
      <c r="AM53" s="323" t="e">
        <f aca="false">IF($A53="N/A"," ",(1+AL53/2)^(-2*((EOMONTH(A53,0)+20)-DateToday)/365.25))</f>
        <v>#N/A</v>
      </c>
      <c r="BQ53" s="0" t="n">
        <f aca="false">IF($A53="N/A"," ",(VLOOKUP($A53,NumberofDaysTable,2)))</f>
        <v>20</v>
      </c>
      <c r="BR53" s="0" t="n">
        <f aca="false">IF($A53="N/A"," ",(VLOOKUP($A53,NumberofDaysTable,3)))</f>
        <v>4</v>
      </c>
      <c r="BS53" s="0" t="n">
        <f aca="false">IF($A53="N/A"," ",(VLOOKUP($A53,NumberofDaysTable,4)))</f>
        <v>4</v>
      </c>
    </row>
    <row r="54" customFormat="false" ht="12.75" hidden="false" customHeight="false" outlineLevel="0" collapsed="false">
      <c r="A54" s="315" t="n">
        <f aca="false">IF(A53="N/A","N/A",IF(EDATE(A53,1)&gt;Inputs!$R$5,"N/A",EDATE(A53,1)))</f>
        <v>38777</v>
      </c>
      <c r="B54" s="316" t="n">
        <f aca="false">IF(A54="N/A"," ",YEAR(A54))</f>
        <v>2006</v>
      </c>
      <c r="C54" s="317" t="n">
        <f aca="false">IF($A54="N/A"," ",IF(Dayrun4=10,0,IF(Scaler4=1,(VLOOKUP(A54,ScaledPrice4,4)),(VLOOKUP(A54,ScaledPrice4,2)))))</f>
        <v>33.2276797627294</v>
      </c>
      <c r="D54" s="317" t="n">
        <f aca="false">IF(A54="N/A"," ",IF(Dayrun4&gt;=7,0,IF(Scaler4=2,VLOOKUP(A54,ScaledPrice4,2),(VLOOKUP(A54,ScaledPrice4,2))*(2-(VLOOKUP(A54,ScaledPrice4,3))))))</f>
        <v>33.2276797627294</v>
      </c>
      <c r="E54" s="317" t="n">
        <f aca="false">IF($A54="N/A"," ",IF(AND(Dayrun4&gt;=4,Dayrun4&lt;=9),0,VLOOKUP($A54,ScaledPrice4,9)))</f>
        <v>22</v>
      </c>
      <c r="F54" s="317" t="n">
        <f aca="false">IF(A54="N/A"," ",IF(OR(Dayrun4=2,Dayrun4=3,Dayrun4=5,Dayrun4=6,Dayrun4=8,Dayrun4=9),VLOOKUP(A54,ScaledPrice4,IF(Scaler4=1,6,5)),0))</f>
        <v>0</v>
      </c>
      <c r="G54" s="317" t="n">
        <f aca="false">IF(A54="N/A"," ",IF(OR(Dayrun4=2,Dayrun4=3,Dayrun4=5,Dayrun4=6),IF(Scaler4=2,F54,(VLOOKUP(A54,ScaledPrice4,5))*(2-(VLOOKUP(A54,ScaledPrice4,3)))),0))</f>
        <v>0</v>
      </c>
      <c r="H54" s="317" t="n">
        <f aca="false">IF($A54="N/A"," ",IF(OR(Dayrun4=2,Dayrun4=3,Dayrun4=10),VLOOKUP($A54,ScaledPrice4,9),0))</f>
        <v>0</v>
      </c>
      <c r="I54" s="317" t="n">
        <f aca="false">IF(A54="N/A"," ",IF(OR(Dayrun4=3,Dayrun4=6,Dayrun4=9),(VLOOKUP(A54,ScaledPrice4,IF(Scaler4=2,7,8))),0))</f>
        <v>0</v>
      </c>
      <c r="J54" s="317" t="n">
        <f aca="false">IF(A54="N/A"," ",IF(OR(Dayrun4=3,Dayrun4=6),IF(Scaler4=2,I54,(VLOOKUP(A54,ScaledPrice4,7))*(2-(VLOOKUP(A54,ScaledPrice4,3)))),0))</f>
        <v>0</v>
      </c>
      <c r="K54" s="317" t="n">
        <f aca="false">IF($A54="N/A"," ",IF(OR(Dayrun4=3,Dayrun4=10),VLOOKUP($A54,ScaledPrice4,9),0))</f>
        <v>0</v>
      </c>
      <c r="L54" s="318" t="e">
        <f aca="false">IF($A54="N/A"," ",IF(Pricetype4=2,MAX(C54,0),IF(OR(Pricetype4=1,Pricetype4=4),IF(C54=0,0,(EURO(C54,Strikeprice4,0,0,($AH54+IF(Smile=TRUE(),VLOOKUP(MAX(-5,Strikeprice4-C54),Volsmile,2),0)),($A54-DateToday)+15,IF(Pricetype4=1,1,0),0))),C54)))</f>
        <v>#NAME?</v>
      </c>
      <c r="M54" s="318" t="e">
        <f aca="false">IF($A54="N/A"," ",IF(Pricetype4=2,MAX(D54,0),IF(OR(Pricetype4=1,Pricetype4=4),IF(D54=0,0,(EURO(D54,Strikeprice4,0,0,($AH54+IF(Smile=TRUE(),VLOOKUP(MAX(-5,Strikeprice4-D54),Volsmile,2),0)),($A54-DateToday)+15,IF(Pricetype4=1,1,0),0))),D54)))</f>
        <v>#NAME?</v>
      </c>
      <c r="N54" s="318" t="e">
        <f aca="false">IF($A54="N/A"," ",IF(Pricetype4=2,MAX(E54,0),IF(OR(Pricetype4=1,Pricetype4=4),IF(E54=0,0,(EURO(E54,Strikeprice4,0,0,($AK54+IF(Smile=TRUE(),VLOOKUP(MAX(-5,Strikeprice4-E54),Volsmile,2),0)),($A54-DateToday)+15,IF(Pricetype4=1,1,0),0))),E54)))</f>
        <v>#NAME?</v>
      </c>
      <c r="O54" s="318" t="n">
        <f aca="false">IF($A54="N/A"," ",IF(Pricetype4=2,MAX(F54,0),IF(OR(Pricetype4=1,Pricetype4=4),IF(F54=0,0,(EURO(F54,Strikeprice4,0,0,($AK54+IF(Smile=TRUE(),VLOOKUP(MAX(-5,Strikeprice4-F54),Volsmile,2),0)),($A54-DateToday)+15,IF(Pricetype4=1,1,0),0))),F54)))</f>
        <v>0</v>
      </c>
      <c r="P54" s="318" t="n">
        <f aca="false">IF($A54="N/A"," ",IF(Pricetype4=2,MAX(G54,0),IF(OR(Pricetype4=1,Pricetype4=4),IF(G54=0,0,(EURO(G54,Strikeprice4,0,0,($AK54+IF(Smile=TRUE(),VLOOKUP(MAX(-5,Strikeprice4-G54),Volsmile,2),0)),($A54-DateToday)+15,IF(Pricetype4=1,1,0),0))),G54)))</f>
        <v>0</v>
      </c>
      <c r="Q54" s="318" t="n">
        <f aca="false">IF($A54="N/A"," ",IF(Pricetype4=2,MAX(H54,0),IF(OR(Pricetype4=1,Pricetype4=4),IF(H54=0,0,(EURO(H54,Strikeprice4,0,0,($AK54+IF(Smile=TRUE(),VLOOKUP(MAX(-5,Strikeprice4-H54),Volsmile,2),0)),($A54-DateToday)+15,IF(Pricetype4=1,1,0),0))),H54)))</f>
        <v>0</v>
      </c>
      <c r="R54" s="318" t="n">
        <f aca="false">IF($A54="N/A"," ",IF(Pricetype4=2,MAX(I54,0),IF(OR(Pricetype4=1,Pricetype4=4),IF(I54=0,0,(EURO(I54,Strikeprice4,0,0,($AK54+IF(Smile=TRUE(),VLOOKUP(MAX(-5,Strikeprice4-I54),Volsmile,2),0)),($A54-DateToday)+15,IF(Pricetype4=1,1,0),0))),I54)))</f>
        <v>0</v>
      </c>
      <c r="S54" s="318" t="n">
        <f aca="false">IF($A54="N/A"," ",IF(Pricetype4=2,MAX(J54,0),IF(OR(Pricetype4=1,Pricetype4=4),IF(J54=0,0,(EURO(J54,Strikeprice4,0,0,($AK54+IF(Smile=TRUE(),VLOOKUP(MAX(-5,Strikeprice4-J54),Volsmile,2),0)),($A54-DateToday)+15,IF(Pricetype4=1,1,0),0))),J54)))</f>
        <v>0</v>
      </c>
      <c r="T54" s="318" t="n">
        <f aca="false">IF($A54="N/A"," ",IF(Pricetype4=2,MAX(K54,0),IF(OR(Pricetype4=1,Pricetype4=4),IF(K54=0,0,(EURO(K54,Strikeprice4,0,0,($AK54+IF(Smile=TRUE(),VLOOKUP(MAX(-5,Strikeprice4-K54),Volsmile,2),0)),($A54-DateToday)+15,IF(Pricetype4=1,1,0),0))),K54)))</f>
        <v>0</v>
      </c>
      <c r="U54" s="319" t="e">
        <f aca="false">IF($A54="N/A"," ",Volume4*$AM54)</f>
        <v>#N/A</v>
      </c>
      <c r="V54" s="320" t="e">
        <f aca="false">IF($A54="N/A"," ",$U54*(8*($BQ54))*L54)</f>
        <v>#N/A</v>
      </c>
      <c r="W54" s="320" t="e">
        <f aca="false">IF($A54="N/A"," ",$U54*(8*($BQ54))*M54)</f>
        <v>#N/A</v>
      </c>
      <c r="X54" s="320" t="e">
        <f aca="false">IF($A54="N/A"," ",$U54*(8*($BQ54))*N54)</f>
        <v>#N/A</v>
      </c>
      <c r="Y54" s="320" t="e">
        <f aca="false">IF($A54="N/A"," ",$U54*(8*($BR54))*O54)</f>
        <v>#N/A</v>
      </c>
      <c r="Z54" s="320" t="e">
        <f aca="false">IF($A54="N/A"," ",$U54*(8*($BR54))*P54)</f>
        <v>#N/A</v>
      </c>
      <c r="AA54" s="320" t="e">
        <f aca="false">IF($A54="N/A"," ",$U54*(8*($BR54))*Q54)</f>
        <v>#N/A</v>
      </c>
      <c r="AB54" s="320" t="e">
        <f aca="false">IF($A54="N/A"," ",$U54*(8*($BS54))*R54)</f>
        <v>#N/A</v>
      </c>
      <c r="AC54" s="320" t="e">
        <f aca="false">IF($A54="N/A"," ",$U54*(8*($BS54))*S54)</f>
        <v>#N/A</v>
      </c>
      <c r="AD54" s="320" t="e">
        <f aca="false">IF($A54="N/A"," ",$U54*(8*($BS54))*T54)</f>
        <v>#N/A</v>
      </c>
      <c r="AE54" s="320" t="e">
        <f aca="false">IF($A54="N/A"," ",SUM(V54:AD54))</f>
        <v>#N/A</v>
      </c>
      <c r="AF54" s="321" t="n">
        <f aca="false">IF(A54="N/A"," ",(VLOOKUP(A54,PowerVolTable,(IF(VolBMO4=2,7,IF(VolBMO4=1,6,8))),FALSE())))</f>
        <v>0.24</v>
      </c>
      <c r="AG54" s="321" t="n">
        <f aca="false">IF(A54="N/A"," ",(VLOOKUP(A54,IntraPowerVol,(IF(VolBMO4=2,3,IF(VolBMO4=1,2,4))),FALSE())*VLOOKUP(MONTH($A54),Volscale,2)))</f>
        <v>0.42</v>
      </c>
      <c r="AH54" s="321" t="n">
        <f aca="false">IF($A54="N/A"," ",IF(VolType4=1,AG54,AF54))</f>
        <v>0.42</v>
      </c>
      <c r="AI54" s="321" t="n">
        <f aca="false">IF($A54="N/A"," ",(VLOOKUP($A54,OffPwrVolTable,(IF(VolBMO4=2,7,IF(VolBMO4=1,6,8))),FALSE())))</f>
        <v>0.12</v>
      </c>
      <c r="AJ54" s="321" t="n">
        <f aca="false">IF($A54="N/A"," ",(VLOOKUP($A54,OffPwrVolTable,(IF(VolBMO4=2,3,IF(VolBMO4=1,2,4))),FALSE())*VLOOKUP(MONTH($A54),Volscale,2)))</f>
        <v>0.252</v>
      </c>
      <c r="AK54" s="321" t="n">
        <f aca="false">IF($A54="N/A"," ",IF(VolType4=1,AJ54,AI54))</f>
        <v>0.252</v>
      </c>
      <c r="AL54" s="321" t="e">
        <f aca="false">IF($A54="N/A"," ",IF(PV=1,0,'Pricing Inputs4'!R87))</f>
        <v>#N/A</v>
      </c>
      <c r="AM54" s="323" t="e">
        <f aca="false">IF($A54="N/A"," ",(1+AL54/2)^(-2*((EOMONTH(A54,0)+20)-DateToday)/365.25))</f>
        <v>#N/A</v>
      </c>
      <c r="BQ54" s="0" t="n">
        <f aca="false">IF($A54="N/A"," ",(VLOOKUP($A54,NumberofDaysTable,2)))</f>
        <v>23</v>
      </c>
      <c r="BR54" s="0" t="n">
        <f aca="false">IF($A54="N/A"," ",(VLOOKUP($A54,NumberofDaysTable,3)))</f>
        <v>4</v>
      </c>
      <c r="BS54" s="0" t="n">
        <f aca="false">IF($A54="N/A"," ",(VLOOKUP($A54,NumberofDaysTable,4)))</f>
        <v>4</v>
      </c>
    </row>
    <row r="55" customFormat="false" ht="12.75" hidden="false" customHeight="false" outlineLevel="0" collapsed="false">
      <c r="A55" s="315" t="n">
        <f aca="false">IF(A54="N/A","N/A",IF(EDATE(A54,1)&gt;Inputs!$R$5,"N/A",EDATE(A54,1)))</f>
        <v>38808</v>
      </c>
      <c r="B55" s="316" t="n">
        <f aca="false">IF(A55="N/A"," ",YEAR(A55))</f>
        <v>2006</v>
      </c>
      <c r="C55" s="317" t="n">
        <f aca="false">IF($A55="N/A"," ",IF(Dayrun4=10,0,IF(Scaler4=1,(VLOOKUP(A55,ScaledPrice4,4)),(VLOOKUP(A55,ScaledPrice4,2)))))</f>
        <v>33.4276805256688</v>
      </c>
      <c r="D55" s="317" t="n">
        <f aca="false">IF(A55="N/A"," ",IF(Dayrun4&gt;=7,0,IF(Scaler4=2,VLOOKUP(A55,ScaledPrice4,2),(VLOOKUP(A55,ScaledPrice4,2))*(2-(VLOOKUP(A55,ScaledPrice4,3))))))</f>
        <v>33.4276805256688</v>
      </c>
      <c r="E55" s="317" t="n">
        <f aca="false">IF($A55="N/A"," ",IF(AND(Dayrun4&gt;=4,Dayrun4&lt;=9),0,VLOOKUP($A55,ScaledPrice4,9)))</f>
        <v>19</v>
      </c>
      <c r="F55" s="317" t="n">
        <f aca="false">IF(A55="N/A"," ",IF(OR(Dayrun4=2,Dayrun4=3,Dayrun4=5,Dayrun4=6,Dayrun4=8,Dayrun4=9),VLOOKUP(A55,ScaledPrice4,IF(Scaler4=1,6,5)),0))</f>
        <v>0</v>
      </c>
      <c r="G55" s="317" t="n">
        <f aca="false">IF(A55="N/A"," ",IF(OR(Dayrun4=2,Dayrun4=3,Dayrun4=5,Dayrun4=6),IF(Scaler4=2,F55,(VLOOKUP(A55,ScaledPrice4,5))*(2-(VLOOKUP(A55,ScaledPrice4,3)))),0))</f>
        <v>0</v>
      </c>
      <c r="H55" s="317" t="n">
        <f aca="false">IF($A55="N/A"," ",IF(OR(Dayrun4=2,Dayrun4=3,Dayrun4=10),VLOOKUP($A55,ScaledPrice4,9),0))</f>
        <v>0</v>
      </c>
      <c r="I55" s="317" t="n">
        <f aca="false">IF(A55="N/A"," ",IF(OR(Dayrun4=3,Dayrun4=6,Dayrun4=9),(VLOOKUP(A55,ScaledPrice4,IF(Scaler4=2,7,8))),0))</f>
        <v>0</v>
      </c>
      <c r="J55" s="317" t="n">
        <f aca="false">IF(A55="N/A"," ",IF(OR(Dayrun4=3,Dayrun4=6),IF(Scaler4=2,I55,(VLOOKUP(A55,ScaledPrice4,7))*(2-(VLOOKUP(A55,ScaledPrice4,3)))),0))</f>
        <v>0</v>
      </c>
      <c r="K55" s="317" t="n">
        <f aca="false">IF($A55="N/A"," ",IF(OR(Dayrun4=3,Dayrun4=10),VLOOKUP($A55,ScaledPrice4,9),0))</f>
        <v>0</v>
      </c>
      <c r="L55" s="318" t="e">
        <f aca="false">IF($A55="N/A"," ",IF(Pricetype4=2,MAX(C55,0),IF(OR(Pricetype4=1,Pricetype4=4),IF(C55=0,0,(EURO(C55,Strikeprice4,0,0,($AH55+IF(Smile=TRUE(),VLOOKUP(MAX(-5,Strikeprice4-C55),Volsmile,2),0)),($A55-DateToday)+15,IF(Pricetype4=1,1,0),0))),C55)))</f>
        <v>#NAME?</v>
      </c>
      <c r="M55" s="318" t="e">
        <f aca="false">IF($A55="N/A"," ",IF(Pricetype4=2,MAX(D55,0),IF(OR(Pricetype4=1,Pricetype4=4),IF(D55=0,0,(EURO(D55,Strikeprice4,0,0,($AH55+IF(Smile=TRUE(),VLOOKUP(MAX(-5,Strikeprice4-D55),Volsmile,2),0)),($A55-DateToday)+15,IF(Pricetype4=1,1,0),0))),D55)))</f>
        <v>#NAME?</v>
      </c>
      <c r="N55" s="318" t="e">
        <f aca="false">IF($A55="N/A"," ",IF(Pricetype4=2,MAX(E55,0),IF(OR(Pricetype4=1,Pricetype4=4),IF(E55=0,0,(EURO(E55,Strikeprice4,0,0,($AK55+IF(Smile=TRUE(),VLOOKUP(MAX(-5,Strikeprice4-E55),Volsmile,2),0)),($A55-DateToday)+15,IF(Pricetype4=1,1,0),0))),E55)))</f>
        <v>#NAME?</v>
      </c>
      <c r="O55" s="318" t="n">
        <f aca="false">IF($A55="N/A"," ",IF(Pricetype4=2,MAX(F55,0),IF(OR(Pricetype4=1,Pricetype4=4),IF(F55=0,0,(EURO(F55,Strikeprice4,0,0,($AK55+IF(Smile=TRUE(),VLOOKUP(MAX(-5,Strikeprice4-F55),Volsmile,2),0)),($A55-DateToday)+15,IF(Pricetype4=1,1,0),0))),F55)))</f>
        <v>0</v>
      </c>
      <c r="P55" s="318" t="n">
        <f aca="false">IF($A55="N/A"," ",IF(Pricetype4=2,MAX(G55,0),IF(OR(Pricetype4=1,Pricetype4=4),IF(G55=0,0,(EURO(G55,Strikeprice4,0,0,($AK55+IF(Smile=TRUE(),VLOOKUP(MAX(-5,Strikeprice4-G55),Volsmile,2),0)),($A55-DateToday)+15,IF(Pricetype4=1,1,0),0))),G55)))</f>
        <v>0</v>
      </c>
      <c r="Q55" s="318" t="n">
        <f aca="false">IF($A55="N/A"," ",IF(Pricetype4=2,MAX(H55,0),IF(OR(Pricetype4=1,Pricetype4=4),IF(H55=0,0,(EURO(H55,Strikeprice4,0,0,($AK55+IF(Smile=TRUE(),VLOOKUP(MAX(-5,Strikeprice4-H55),Volsmile,2),0)),($A55-DateToday)+15,IF(Pricetype4=1,1,0),0))),H55)))</f>
        <v>0</v>
      </c>
      <c r="R55" s="318" t="n">
        <f aca="false">IF($A55="N/A"," ",IF(Pricetype4=2,MAX(I55,0),IF(OR(Pricetype4=1,Pricetype4=4),IF(I55=0,0,(EURO(I55,Strikeprice4,0,0,($AK55+IF(Smile=TRUE(),VLOOKUP(MAX(-5,Strikeprice4-I55),Volsmile,2),0)),($A55-DateToday)+15,IF(Pricetype4=1,1,0),0))),I55)))</f>
        <v>0</v>
      </c>
      <c r="S55" s="318" t="n">
        <f aca="false">IF($A55="N/A"," ",IF(Pricetype4=2,MAX(J55,0),IF(OR(Pricetype4=1,Pricetype4=4),IF(J55=0,0,(EURO(J55,Strikeprice4,0,0,($AK55+IF(Smile=TRUE(),VLOOKUP(MAX(-5,Strikeprice4-J55),Volsmile,2),0)),($A55-DateToday)+15,IF(Pricetype4=1,1,0),0))),J55)))</f>
        <v>0</v>
      </c>
      <c r="T55" s="318" t="n">
        <f aca="false">IF($A55="N/A"," ",IF(Pricetype4=2,MAX(K55,0),IF(OR(Pricetype4=1,Pricetype4=4),IF(K55=0,0,(EURO(K55,Strikeprice4,0,0,($AK55+IF(Smile=TRUE(),VLOOKUP(MAX(-5,Strikeprice4-K55),Volsmile,2),0)),($A55-DateToday)+15,IF(Pricetype4=1,1,0),0))),K55)))</f>
        <v>0</v>
      </c>
      <c r="U55" s="319" t="e">
        <f aca="false">IF($A55="N/A"," ",Volume4*$AM55)</f>
        <v>#N/A</v>
      </c>
      <c r="V55" s="320" t="e">
        <f aca="false">IF($A55="N/A"," ",$U55*(8*($BQ55))*L55)</f>
        <v>#N/A</v>
      </c>
      <c r="W55" s="320" t="e">
        <f aca="false">IF($A55="N/A"," ",$U55*(8*($BQ55))*M55)</f>
        <v>#N/A</v>
      </c>
      <c r="X55" s="320" t="e">
        <f aca="false">IF($A55="N/A"," ",$U55*(8*($BQ55))*N55)</f>
        <v>#N/A</v>
      </c>
      <c r="Y55" s="320" t="e">
        <f aca="false">IF($A55="N/A"," ",$U55*(8*($BR55))*O55)</f>
        <v>#N/A</v>
      </c>
      <c r="Z55" s="320" t="e">
        <f aca="false">IF($A55="N/A"," ",$U55*(8*($BR55))*P55)</f>
        <v>#N/A</v>
      </c>
      <c r="AA55" s="320" t="e">
        <f aca="false">IF($A55="N/A"," ",$U55*(8*($BR55))*Q55)</f>
        <v>#N/A</v>
      </c>
      <c r="AB55" s="320" t="e">
        <f aca="false">IF($A55="N/A"," ",$U55*(8*($BS55))*R55)</f>
        <v>#N/A</v>
      </c>
      <c r="AC55" s="320" t="e">
        <f aca="false">IF($A55="N/A"," ",$U55*(8*($BS55))*S55)</f>
        <v>#N/A</v>
      </c>
      <c r="AD55" s="320" t="e">
        <f aca="false">IF($A55="N/A"," ",$U55*(8*($BS55))*T55)</f>
        <v>#N/A</v>
      </c>
      <c r="AE55" s="320" t="e">
        <f aca="false">IF($A55="N/A"," ",SUM(V55:AD55))</f>
        <v>#N/A</v>
      </c>
      <c r="AF55" s="321" t="n">
        <f aca="false">IF(A55="N/A"," ",(VLOOKUP(A55,PowerVolTable,(IF(VolBMO4=2,7,IF(VolBMO4=1,6,8))),FALSE())))</f>
        <v>0.24</v>
      </c>
      <c r="AG55" s="321" t="n">
        <f aca="false">IF(A55="N/A"," ",(VLOOKUP(A55,IntraPowerVol,(IF(VolBMO4=2,3,IF(VolBMO4=1,2,4))),FALSE())*VLOOKUP(MONTH($A55),Volscale,2)))</f>
        <v>0.42</v>
      </c>
      <c r="AH55" s="321" t="n">
        <f aca="false">IF($A55="N/A"," ",IF(VolType4=1,AG55,AF55))</f>
        <v>0.42</v>
      </c>
      <c r="AI55" s="321" t="n">
        <f aca="false">IF($A55="N/A"," ",(VLOOKUP($A55,OffPwrVolTable,(IF(VolBMO4=2,7,IF(VolBMO4=1,6,8))),FALSE())))</f>
        <v>0.12</v>
      </c>
      <c r="AJ55" s="321" t="n">
        <f aca="false">IF($A55="N/A"," ",(VLOOKUP($A55,OffPwrVolTable,(IF(VolBMO4=2,3,IF(VolBMO4=1,2,4))),FALSE())*VLOOKUP(MONTH($A55),Volscale,2)))</f>
        <v>0.252</v>
      </c>
      <c r="AK55" s="321" t="n">
        <f aca="false">IF($A55="N/A"," ",IF(VolType4=1,AJ55,AI55))</f>
        <v>0.252</v>
      </c>
      <c r="AL55" s="321" t="e">
        <f aca="false">IF($A55="N/A"," ",IF(PV=1,0,'Pricing Inputs4'!R88))</f>
        <v>#N/A</v>
      </c>
      <c r="AM55" s="323" t="e">
        <f aca="false">IF($A55="N/A"," ",(1+AL55/2)^(-2*((EOMONTH(A55,0)+20)-DateToday)/365.25))</f>
        <v>#N/A</v>
      </c>
      <c r="BQ55" s="0" t="n">
        <f aca="false">IF($A55="N/A"," ",(VLOOKUP($A55,NumberofDaysTable,2)))</f>
        <v>20</v>
      </c>
      <c r="BR55" s="0" t="n">
        <f aca="false">IF($A55="N/A"," ",(VLOOKUP($A55,NumberofDaysTable,3)))</f>
        <v>5</v>
      </c>
      <c r="BS55" s="0" t="n">
        <f aca="false">IF($A55="N/A"," ",(VLOOKUP($A55,NumberofDaysTable,4)))</f>
        <v>5</v>
      </c>
    </row>
    <row r="56" customFormat="false" ht="12.75" hidden="false" customHeight="false" outlineLevel="0" collapsed="false">
      <c r="A56" s="315" t="n">
        <f aca="false">IF(A55="N/A","N/A",IF(EDATE(A55,1)&gt;Inputs!$R$5,"N/A",EDATE(A55,1)))</f>
        <v>38838</v>
      </c>
      <c r="B56" s="316" t="n">
        <f aca="false">IF(A56="N/A"," ",YEAR(A56))</f>
        <v>2006</v>
      </c>
      <c r="C56" s="317" t="n">
        <f aca="false">IF($A56="N/A"," ",IF(Dayrun4=10,0,IF(Scaler4=1,(VLOOKUP(A56,ScaledPrice4,4)),(VLOOKUP(A56,ScaledPrice4,2)))))</f>
        <v>36.7050018310547</v>
      </c>
      <c r="D56" s="317" t="n">
        <f aca="false">IF(A56="N/A"," ",IF(Dayrun4&gt;=7,0,IF(Scaler4=2,VLOOKUP(A56,ScaledPrice4,2),(VLOOKUP(A56,ScaledPrice4,2))*(2-(VLOOKUP(A56,ScaledPrice4,3))))))</f>
        <v>36.7050018310547</v>
      </c>
      <c r="E56" s="317" t="n">
        <f aca="false">IF($A56="N/A"," ",IF(AND(Dayrun4&gt;=4,Dayrun4&lt;=9),0,VLOOKUP($A56,ScaledPrice4,9)))</f>
        <v>19.5400009155273</v>
      </c>
      <c r="F56" s="317" t="n">
        <f aca="false">IF(A56="N/A"," ",IF(OR(Dayrun4=2,Dayrun4=3,Dayrun4=5,Dayrun4=6,Dayrun4=8,Dayrun4=9),VLOOKUP(A56,ScaledPrice4,IF(Scaler4=1,6,5)),0))</f>
        <v>0</v>
      </c>
      <c r="G56" s="317" t="n">
        <f aca="false">IF(A56="N/A"," ",IF(OR(Dayrun4=2,Dayrun4=3,Dayrun4=5,Dayrun4=6),IF(Scaler4=2,F56,(VLOOKUP(A56,ScaledPrice4,5))*(2-(VLOOKUP(A56,ScaledPrice4,3)))),0))</f>
        <v>0</v>
      </c>
      <c r="H56" s="317" t="n">
        <f aca="false">IF($A56="N/A"," ",IF(OR(Dayrun4=2,Dayrun4=3,Dayrun4=10),VLOOKUP($A56,ScaledPrice4,9),0))</f>
        <v>0</v>
      </c>
      <c r="I56" s="317" t="n">
        <f aca="false">IF(A56="N/A"," ",IF(OR(Dayrun4=3,Dayrun4=6,Dayrun4=9),(VLOOKUP(A56,ScaledPrice4,IF(Scaler4=2,7,8))),0))</f>
        <v>0</v>
      </c>
      <c r="J56" s="317" t="n">
        <f aca="false">IF(A56="N/A"," ",IF(OR(Dayrun4=3,Dayrun4=6),IF(Scaler4=2,I56,(VLOOKUP(A56,ScaledPrice4,7))*(2-(VLOOKUP(A56,ScaledPrice4,3)))),0))</f>
        <v>0</v>
      </c>
      <c r="K56" s="317" t="n">
        <f aca="false">IF($A56="N/A"," ",IF(OR(Dayrun4=3,Dayrun4=10),VLOOKUP($A56,ScaledPrice4,9),0))</f>
        <v>0</v>
      </c>
      <c r="L56" s="318" t="e">
        <f aca="false">IF($A56="N/A"," ",IF(Pricetype4=2,MAX(C56,0),IF(OR(Pricetype4=1,Pricetype4=4),IF(C56=0,0,(EURO(C56,Strikeprice4,0,0,($AH56+IF(Smile=TRUE(),VLOOKUP(MAX(-5,Strikeprice4-C56),Volsmile,2),0)),($A56-DateToday)+15,IF(Pricetype4=1,1,0),0))),C56)))</f>
        <v>#NAME?</v>
      </c>
      <c r="M56" s="318" t="e">
        <f aca="false">IF($A56="N/A"," ",IF(Pricetype4=2,MAX(D56,0),IF(OR(Pricetype4=1,Pricetype4=4),IF(D56=0,0,(EURO(D56,Strikeprice4,0,0,($AH56+IF(Smile=TRUE(),VLOOKUP(MAX(-5,Strikeprice4-D56),Volsmile,2),0)),($A56-DateToday)+15,IF(Pricetype4=1,1,0),0))),D56)))</f>
        <v>#NAME?</v>
      </c>
      <c r="N56" s="318" t="e">
        <f aca="false">IF($A56="N/A"," ",IF(Pricetype4=2,MAX(E56,0),IF(OR(Pricetype4=1,Pricetype4=4),IF(E56=0,0,(EURO(E56,Strikeprice4,0,0,($AK56+IF(Smile=TRUE(),VLOOKUP(MAX(-5,Strikeprice4-E56),Volsmile,2),0)),($A56-DateToday)+15,IF(Pricetype4=1,1,0),0))),E56)))</f>
        <v>#NAME?</v>
      </c>
      <c r="O56" s="318" t="n">
        <f aca="false">IF($A56="N/A"," ",IF(Pricetype4=2,MAX(F56,0),IF(OR(Pricetype4=1,Pricetype4=4),IF(F56=0,0,(EURO(F56,Strikeprice4,0,0,($AK56+IF(Smile=TRUE(),VLOOKUP(MAX(-5,Strikeprice4-F56),Volsmile,2),0)),($A56-DateToday)+15,IF(Pricetype4=1,1,0),0))),F56)))</f>
        <v>0</v>
      </c>
      <c r="P56" s="318" t="n">
        <f aca="false">IF($A56="N/A"," ",IF(Pricetype4=2,MAX(G56,0),IF(OR(Pricetype4=1,Pricetype4=4),IF(G56=0,0,(EURO(G56,Strikeprice4,0,0,($AK56+IF(Smile=TRUE(),VLOOKUP(MAX(-5,Strikeprice4-G56),Volsmile,2),0)),($A56-DateToday)+15,IF(Pricetype4=1,1,0),0))),G56)))</f>
        <v>0</v>
      </c>
      <c r="Q56" s="318" t="n">
        <f aca="false">IF($A56="N/A"," ",IF(Pricetype4=2,MAX(H56,0),IF(OR(Pricetype4=1,Pricetype4=4),IF(H56=0,0,(EURO(H56,Strikeprice4,0,0,($AK56+IF(Smile=TRUE(),VLOOKUP(MAX(-5,Strikeprice4-H56),Volsmile,2),0)),($A56-DateToday)+15,IF(Pricetype4=1,1,0),0))),H56)))</f>
        <v>0</v>
      </c>
      <c r="R56" s="318" t="n">
        <f aca="false">IF($A56="N/A"," ",IF(Pricetype4=2,MAX(I56,0),IF(OR(Pricetype4=1,Pricetype4=4),IF(I56=0,0,(EURO(I56,Strikeprice4,0,0,($AK56+IF(Smile=TRUE(),VLOOKUP(MAX(-5,Strikeprice4-I56),Volsmile,2),0)),($A56-DateToday)+15,IF(Pricetype4=1,1,0),0))),I56)))</f>
        <v>0</v>
      </c>
      <c r="S56" s="318" t="n">
        <f aca="false">IF($A56="N/A"," ",IF(Pricetype4=2,MAX(J56,0),IF(OR(Pricetype4=1,Pricetype4=4),IF(J56=0,0,(EURO(J56,Strikeprice4,0,0,($AK56+IF(Smile=TRUE(),VLOOKUP(MAX(-5,Strikeprice4-J56),Volsmile,2),0)),($A56-DateToday)+15,IF(Pricetype4=1,1,0),0))),J56)))</f>
        <v>0</v>
      </c>
      <c r="T56" s="318" t="n">
        <f aca="false">IF($A56="N/A"," ",IF(Pricetype4=2,MAX(K56,0),IF(OR(Pricetype4=1,Pricetype4=4),IF(K56=0,0,(EURO(K56,Strikeprice4,0,0,($AK56+IF(Smile=TRUE(),VLOOKUP(MAX(-5,Strikeprice4-K56),Volsmile,2),0)),($A56-DateToday)+15,IF(Pricetype4=1,1,0),0))),K56)))</f>
        <v>0</v>
      </c>
      <c r="U56" s="319" t="e">
        <f aca="false">IF($A56="N/A"," ",Volume4*$AM56)</f>
        <v>#N/A</v>
      </c>
      <c r="V56" s="320" t="e">
        <f aca="false">IF($A56="N/A"," ",$U56*(8*($BQ56))*L56)</f>
        <v>#N/A</v>
      </c>
      <c r="W56" s="320" t="e">
        <f aca="false">IF($A56="N/A"," ",$U56*(8*($BQ56))*M56)</f>
        <v>#N/A</v>
      </c>
      <c r="X56" s="320" t="e">
        <f aca="false">IF($A56="N/A"," ",$U56*(8*($BQ56))*N56)</f>
        <v>#N/A</v>
      </c>
      <c r="Y56" s="320" t="e">
        <f aca="false">IF($A56="N/A"," ",$U56*(8*($BR56))*O56)</f>
        <v>#N/A</v>
      </c>
      <c r="Z56" s="320" t="e">
        <f aca="false">IF($A56="N/A"," ",$U56*(8*($BR56))*P56)</f>
        <v>#N/A</v>
      </c>
      <c r="AA56" s="320" t="e">
        <f aca="false">IF($A56="N/A"," ",$U56*(8*($BR56))*Q56)</f>
        <v>#N/A</v>
      </c>
      <c r="AB56" s="320" t="e">
        <f aca="false">IF($A56="N/A"," ",$U56*(8*($BS56))*R56)</f>
        <v>#N/A</v>
      </c>
      <c r="AC56" s="320" t="e">
        <f aca="false">IF($A56="N/A"," ",$U56*(8*($BS56))*S56)</f>
        <v>#N/A</v>
      </c>
      <c r="AD56" s="320" t="e">
        <f aca="false">IF($A56="N/A"," ",$U56*(8*($BS56))*T56)</f>
        <v>#N/A</v>
      </c>
      <c r="AE56" s="320" t="e">
        <f aca="false">IF($A56="N/A"," ",SUM(V56:AD56))</f>
        <v>#N/A</v>
      </c>
      <c r="AF56" s="321" t="n">
        <f aca="false">IF(A56="N/A"," ",(VLOOKUP(A56,PowerVolTable,(IF(VolBMO4=2,7,IF(VolBMO4=1,6,8))),FALSE())))</f>
        <v>0.24</v>
      </c>
      <c r="AG56" s="321" t="n">
        <f aca="false">IF(A56="N/A"," ",(VLOOKUP(A56,IntraPowerVol,(IF(VolBMO4=2,3,IF(VolBMO4=1,2,4))),FALSE())*VLOOKUP(MONTH($A56),Volscale,2)))</f>
        <v>0.54</v>
      </c>
      <c r="AH56" s="321" t="n">
        <f aca="false">IF($A56="N/A"," ",IF(VolType4=1,AG56,AF56))</f>
        <v>0.54</v>
      </c>
      <c r="AI56" s="321" t="n">
        <f aca="false">IF($A56="N/A"," ",(VLOOKUP($A56,OffPwrVolTable,(IF(VolBMO4=2,7,IF(VolBMO4=1,6,8))),FALSE())))</f>
        <v>0.12</v>
      </c>
      <c r="AJ56" s="321" t="n">
        <f aca="false">IF($A56="N/A"," ",(VLOOKUP($A56,OffPwrVolTable,(IF(VolBMO4=2,3,IF(VolBMO4=1,2,4))),FALSE())*VLOOKUP(MONTH($A56),Volscale,2)))</f>
        <v>0.324</v>
      </c>
      <c r="AK56" s="321" t="n">
        <f aca="false">IF($A56="N/A"," ",IF(VolType4=1,AJ56,AI56))</f>
        <v>0.324</v>
      </c>
      <c r="AL56" s="321" t="e">
        <f aca="false">IF($A56="N/A"," ",IF(PV=1,0,'Pricing Inputs4'!R89))</f>
        <v>#N/A</v>
      </c>
      <c r="AM56" s="323" t="e">
        <f aca="false">IF($A56="N/A"," ",(1+AL56/2)^(-2*((EOMONTH(A56,0)+20)-DateToday)/365.25))</f>
        <v>#N/A</v>
      </c>
      <c r="BQ56" s="0" t="n">
        <f aca="false">IF($A56="N/A"," ",(VLOOKUP($A56,NumberofDaysTable,2)))</f>
        <v>22</v>
      </c>
      <c r="BR56" s="0" t="n">
        <f aca="false">IF($A56="N/A"," ",(VLOOKUP($A56,NumberofDaysTable,3)))</f>
        <v>4</v>
      </c>
      <c r="BS56" s="0" t="n">
        <f aca="false">IF($A56="N/A"," ",(VLOOKUP($A56,NumberofDaysTable,4)))</f>
        <v>5</v>
      </c>
    </row>
    <row r="57" customFormat="false" ht="12.75" hidden="false" customHeight="false" outlineLevel="0" collapsed="false">
      <c r="A57" s="315" t="n">
        <f aca="false">IF(A56="N/A","N/A",IF(EDATE(A56,1)&gt;Inputs!$R$5,"N/A",EDATE(A56,1)))</f>
        <v>38869</v>
      </c>
      <c r="B57" s="316" t="n">
        <f aca="false">IF(A57="N/A"," ",YEAR(A57))</f>
        <v>2006</v>
      </c>
      <c r="C57" s="317" t="n">
        <f aca="false">IF($A57="N/A"," ",IF(Dayrun4=10,0,IF(Scaler4=1,(VLOOKUP(A57,ScaledPrice4,4)),(VLOOKUP(A57,ScaledPrice4,2)))))</f>
        <v>42.6250038146973</v>
      </c>
      <c r="D57" s="317" t="n">
        <f aca="false">IF(A57="N/A"," ",IF(Dayrun4&gt;=7,0,IF(Scaler4=2,VLOOKUP(A57,ScaledPrice4,2),(VLOOKUP(A57,ScaledPrice4,2))*(2-(VLOOKUP(A57,ScaledPrice4,3))))))</f>
        <v>42.6250038146973</v>
      </c>
      <c r="E57" s="317" t="n">
        <f aca="false">IF($A57="N/A"," ",IF(AND(Dayrun4&gt;=4,Dayrun4&lt;=9),0,VLOOKUP($A57,ScaledPrice4,9)))</f>
        <v>22.5400009155273</v>
      </c>
      <c r="F57" s="317" t="n">
        <f aca="false">IF(A57="N/A"," ",IF(OR(Dayrun4=2,Dayrun4=3,Dayrun4=5,Dayrun4=6,Dayrun4=8,Dayrun4=9),VLOOKUP(A57,ScaledPrice4,IF(Scaler4=1,6,5)),0))</f>
        <v>0</v>
      </c>
      <c r="G57" s="317" t="n">
        <f aca="false">IF(A57="N/A"," ",IF(OR(Dayrun4=2,Dayrun4=3,Dayrun4=5,Dayrun4=6),IF(Scaler4=2,F57,(VLOOKUP(A57,ScaledPrice4,5))*(2-(VLOOKUP(A57,ScaledPrice4,3)))),0))</f>
        <v>0</v>
      </c>
      <c r="H57" s="317" t="n">
        <f aca="false">IF($A57="N/A"," ",IF(OR(Dayrun4=2,Dayrun4=3,Dayrun4=10),VLOOKUP($A57,ScaledPrice4,9),0))</f>
        <v>0</v>
      </c>
      <c r="I57" s="317" t="n">
        <f aca="false">IF(A57="N/A"," ",IF(OR(Dayrun4=3,Dayrun4=6,Dayrun4=9),(VLOOKUP(A57,ScaledPrice4,IF(Scaler4=2,7,8))),0))</f>
        <v>0</v>
      </c>
      <c r="J57" s="317" t="n">
        <f aca="false">IF(A57="N/A"," ",IF(OR(Dayrun4=3,Dayrun4=6),IF(Scaler4=2,I57,(VLOOKUP(A57,ScaledPrice4,7))*(2-(VLOOKUP(A57,ScaledPrice4,3)))),0))</f>
        <v>0</v>
      </c>
      <c r="K57" s="317" t="n">
        <f aca="false">IF($A57="N/A"," ",IF(OR(Dayrun4=3,Dayrun4=10),VLOOKUP($A57,ScaledPrice4,9),0))</f>
        <v>0</v>
      </c>
      <c r="L57" s="318" t="e">
        <f aca="false">IF($A57="N/A"," ",IF(Pricetype4=2,MAX(C57,0),IF(OR(Pricetype4=1,Pricetype4=4),IF(C57=0,0,(EURO(C57,Strikeprice4,0,0,($AH57+IF(Smile=TRUE(),VLOOKUP(MAX(-5,Strikeprice4-C57),Volsmile,2),0)),($A57-DateToday)+15,IF(Pricetype4=1,1,0),0))),C57)))</f>
        <v>#NAME?</v>
      </c>
      <c r="M57" s="318" t="e">
        <f aca="false">IF($A57="N/A"," ",IF(Pricetype4=2,MAX(D57,0),IF(OR(Pricetype4=1,Pricetype4=4),IF(D57=0,0,(EURO(D57,Strikeprice4,0,0,($AH57+IF(Smile=TRUE(),VLOOKUP(MAX(-5,Strikeprice4-D57),Volsmile,2),0)),($A57-DateToday)+15,IF(Pricetype4=1,1,0),0))),D57)))</f>
        <v>#NAME?</v>
      </c>
      <c r="N57" s="318" t="e">
        <f aca="false">IF($A57="N/A"," ",IF(Pricetype4=2,MAX(E57,0),IF(OR(Pricetype4=1,Pricetype4=4),IF(E57=0,0,(EURO(E57,Strikeprice4,0,0,($AK57+IF(Smile=TRUE(),VLOOKUP(MAX(-5,Strikeprice4-E57),Volsmile,2),0)),($A57-DateToday)+15,IF(Pricetype4=1,1,0),0))),E57)))</f>
        <v>#NAME?</v>
      </c>
      <c r="O57" s="318" t="n">
        <f aca="false">IF($A57="N/A"," ",IF(Pricetype4=2,MAX(F57,0),IF(OR(Pricetype4=1,Pricetype4=4),IF(F57=0,0,(EURO(F57,Strikeprice4,0,0,($AK57+IF(Smile=TRUE(),VLOOKUP(MAX(-5,Strikeprice4-F57),Volsmile,2),0)),($A57-DateToday)+15,IF(Pricetype4=1,1,0),0))),F57)))</f>
        <v>0</v>
      </c>
      <c r="P57" s="318" t="n">
        <f aca="false">IF($A57="N/A"," ",IF(Pricetype4=2,MAX(G57,0),IF(OR(Pricetype4=1,Pricetype4=4),IF(G57=0,0,(EURO(G57,Strikeprice4,0,0,($AK57+IF(Smile=TRUE(),VLOOKUP(MAX(-5,Strikeprice4-G57),Volsmile,2),0)),($A57-DateToday)+15,IF(Pricetype4=1,1,0),0))),G57)))</f>
        <v>0</v>
      </c>
      <c r="Q57" s="318" t="n">
        <f aca="false">IF($A57="N/A"," ",IF(Pricetype4=2,MAX(H57,0),IF(OR(Pricetype4=1,Pricetype4=4),IF(H57=0,0,(EURO(H57,Strikeprice4,0,0,($AK57+IF(Smile=TRUE(),VLOOKUP(MAX(-5,Strikeprice4-H57),Volsmile,2),0)),($A57-DateToday)+15,IF(Pricetype4=1,1,0),0))),H57)))</f>
        <v>0</v>
      </c>
      <c r="R57" s="318" t="n">
        <f aca="false">IF($A57="N/A"," ",IF(Pricetype4=2,MAX(I57,0),IF(OR(Pricetype4=1,Pricetype4=4),IF(I57=0,0,(EURO(I57,Strikeprice4,0,0,($AK57+IF(Smile=TRUE(),VLOOKUP(MAX(-5,Strikeprice4-I57),Volsmile,2),0)),($A57-DateToday)+15,IF(Pricetype4=1,1,0),0))),I57)))</f>
        <v>0</v>
      </c>
      <c r="S57" s="318" t="n">
        <f aca="false">IF($A57="N/A"," ",IF(Pricetype4=2,MAX(J57,0),IF(OR(Pricetype4=1,Pricetype4=4),IF(J57=0,0,(EURO(J57,Strikeprice4,0,0,($AK57+IF(Smile=TRUE(),VLOOKUP(MAX(-5,Strikeprice4-J57),Volsmile,2),0)),($A57-DateToday)+15,IF(Pricetype4=1,1,0),0))),J57)))</f>
        <v>0</v>
      </c>
      <c r="T57" s="318" t="n">
        <f aca="false">IF($A57="N/A"," ",IF(Pricetype4=2,MAX(K57,0),IF(OR(Pricetype4=1,Pricetype4=4),IF(K57=0,0,(EURO(K57,Strikeprice4,0,0,($AK57+IF(Smile=TRUE(),VLOOKUP(MAX(-5,Strikeprice4-K57),Volsmile,2),0)),($A57-DateToday)+15,IF(Pricetype4=1,1,0),0))),K57)))</f>
        <v>0</v>
      </c>
      <c r="U57" s="319" t="e">
        <f aca="false">IF($A57="N/A"," ",Volume4*$AM57)</f>
        <v>#N/A</v>
      </c>
      <c r="V57" s="320" t="e">
        <f aca="false">IF($A57="N/A"," ",$U57*(8*($BQ57))*L57)</f>
        <v>#N/A</v>
      </c>
      <c r="W57" s="320" t="e">
        <f aca="false">IF($A57="N/A"," ",$U57*(8*($BQ57))*M57)</f>
        <v>#N/A</v>
      </c>
      <c r="X57" s="320" t="e">
        <f aca="false">IF($A57="N/A"," ",$U57*(8*($BQ57))*N57)</f>
        <v>#N/A</v>
      </c>
      <c r="Y57" s="320" t="e">
        <f aca="false">IF($A57="N/A"," ",$U57*(8*($BR57))*O57)</f>
        <v>#N/A</v>
      </c>
      <c r="Z57" s="320" t="e">
        <f aca="false">IF($A57="N/A"," ",$U57*(8*($BR57))*P57)</f>
        <v>#N/A</v>
      </c>
      <c r="AA57" s="320" t="e">
        <f aca="false">IF($A57="N/A"," ",$U57*(8*($BR57))*Q57)</f>
        <v>#N/A</v>
      </c>
      <c r="AB57" s="320" t="e">
        <f aca="false">IF($A57="N/A"," ",$U57*(8*($BS57))*R57)</f>
        <v>#N/A</v>
      </c>
      <c r="AC57" s="320" t="e">
        <f aca="false">IF($A57="N/A"," ",$U57*(8*($BS57))*S57)</f>
        <v>#N/A</v>
      </c>
      <c r="AD57" s="320" t="e">
        <f aca="false">IF($A57="N/A"," ",$U57*(8*($BS57))*T57)</f>
        <v>#N/A</v>
      </c>
      <c r="AE57" s="320" t="e">
        <f aca="false">IF($A57="N/A"," ",SUM(V57:AD57))</f>
        <v>#N/A</v>
      </c>
      <c r="AF57" s="321" t="n">
        <f aca="false">IF(A57="N/A"," ",(VLOOKUP(A57,PowerVolTable,(IF(VolBMO4=2,7,IF(VolBMO4=1,6,8))),FALSE())))</f>
        <v>0.24</v>
      </c>
      <c r="AG57" s="321" t="n">
        <f aca="false">IF(A57="N/A"," ",(VLOOKUP(A57,IntraPowerVol,(IF(VolBMO4=2,3,IF(VolBMO4=1,2,4))),FALSE())*VLOOKUP(MONTH($A57),Volscale,2)))</f>
        <v>0.54</v>
      </c>
      <c r="AH57" s="321" t="n">
        <f aca="false">IF($A57="N/A"," ",IF(VolType4=1,AG57,AF57))</f>
        <v>0.54</v>
      </c>
      <c r="AI57" s="321" t="n">
        <f aca="false">IF($A57="N/A"," ",(VLOOKUP($A57,OffPwrVolTable,(IF(VolBMO4=2,7,IF(VolBMO4=1,6,8))),FALSE())))</f>
        <v>0.12</v>
      </c>
      <c r="AJ57" s="321" t="n">
        <f aca="false">IF($A57="N/A"," ",(VLOOKUP($A57,OffPwrVolTable,(IF(VolBMO4=2,3,IF(VolBMO4=1,2,4))),FALSE())*VLOOKUP(MONTH($A57),Volscale,2)))</f>
        <v>0.324</v>
      </c>
      <c r="AK57" s="321" t="n">
        <f aca="false">IF($A57="N/A"," ",IF(VolType4=1,AJ57,AI57))</f>
        <v>0.324</v>
      </c>
      <c r="AL57" s="321" t="e">
        <f aca="false">IF($A57="N/A"," ",IF(PV=1,0,'Pricing Inputs4'!R90))</f>
        <v>#N/A</v>
      </c>
      <c r="AM57" s="323" t="e">
        <f aca="false">IF($A57="N/A"," ",(1+AL57/2)^(-2*((EOMONTH(A57,0)+20)-DateToday)/365.25))</f>
        <v>#N/A</v>
      </c>
      <c r="BQ57" s="0" t="n">
        <f aca="false">IF($A57="N/A"," ",(VLOOKUP($A57,NumberofDaysTable,2)))</f>
        <v>22</v>
      </c>
      <c r="BR57" s="0" t="n">
        <f aca="false">IF($A57="N/A"," ",(VLOOKUP($A57,NumberofDaysTable,3)))</f>
        <v>4</v>
      </c>
      <c r="BS57" s="0" t="n">
        <f aca="false">IF($A57="N/A"," ",(VLOOKUP($A57,NumberofDaysTable,4)))</f>
        <v>4</v>
      </c>
    </row>
    <row r="58" customFormat="false" ht="12.75" hidden="false" customHeight="false" outlineLevel="0" collapsed="false">
      <c r="A58" s="315" t="n">
        <f aca="false">IF(A57="N/A","N/A",IF(EDATE(A57,1)&gt;Inputs!$R$5,"N/A",EDATE(A57,1)))</f>
        <v>38899</v>
      </c>
      <c r="B58" s="316" t="n">
        <f aca="false">IF(A58="N/A"," ",YEAR(A58))</f>
        <v>2006</v>
      </c>
      <c r="C58" s="317" t="n">
        <f aca="false">IF($A58="N/A"," ",IF(Dayrun4=10,0,IF(Scaler4=1,(VLOOKUP(A58,ScaledPrice4,4)),(VLOOKUP(A58,ScaledPrice4,2)))))</f>
        <v>51.75</v>
      </c>
      <c r="D58" s="317" t="n">
        <f aca="false">IF(A58="N/A"," ",IF(Dayrun4&gt;=7,0,IF(Scaler4=2,VLOOKUP(A58,ScaledPrice4,2),(VLOOKUP(A58,ScaledPrice4,2))*(2-(VLOOKUP(A58,ScaledPrice4,3))))))</f>
        <v>51.75</v>
      </c>
      <c r="E58" s="317" t="n">
        <f aca="false">IF($A58="N/A"," ",IF(AND(Dayrun4&gt;=4,Dayrun4&lt;=9),0,VLOOKUP($A58,ScaledPrice4,9)))</f>
        <v>23.0400009155273</v>
      </c>
      <c r="F58" s="317" t="n">
        <f aca="false">IF(A58="N/A"," ",IF(OR(Dayrun4=2,Dayrun4=3,Dayrun4=5,Dayrun4=6,Dayrun4=8,Dayrun4=9),VLOOKUP(A58,ScaledPrice4,IF(Scaler4=1,6,5)),0))</f>
        <v>0</v>
      </c>
      <c r="G58" s="317" t="n">
        <f aca="false">IF(A58="N/A"," ",IF(OR(Dayrun4=2,Dayrun4=3,Dayrun4=5,Dayrun4=6),IF(Scaler4=2,F58,(VLOOKUP(A58,ScaledPrice4,5))*(2-(VLOOKUP(A58,ScaledPrice4,3)))),0))</f>
        <v>0</v>
      </c>
      <c r="H58" s="317" t="n">
        <f aca="false">IF($A58="N/A"," ",IF(OR(Dayrun4=2,Dayrun4=3,Dayrun4=10),VLOOKUP($A58,ScaledPrice4,9),0))</f>
        <v>0</v>
      </c>
      <c r="I58" s="317" t="n">
        <f aca="false">IF(A58="N/A"," ",IF(OR(Dayrun4=3,Dayrun4=6,Dayrun4=9),(VLOOKUP(A58,ScaledPrice4,IF(Scaler4=2,7,8))),0))</f>
        <v>0</v>
      </c>
      <c r="J58" s="317" t="n">
        <f aca="false">IF(A58="N/A"," ",IF(OR(Dayrun4=3,Dayrun4=6),IF(Scaler4=2,I58,(VLOOKUP(A58,ScaledPrice4,7))*(2-(VLOOKUP(A58,ScaledPrice4,3)))),0))</f>
        <v>0</v>
      </c>
      <c r="K58" s="317" t="n">
        <f aca="false">IF($A58="N/A"," ",IF(OR(Dayrun4=3,Dayrun4=10),VLOOKUP($A58,ScaledPrice4,9),0))</f>
        <v>0</v>
      </c>
      <c r="L58" s="318" t="e">
        <f aca="false">IF($A58="N/A"," ",IF(Pricetype4=2,MAX(C58,0),IF(OR(Pricetype4=1,Pricetype4=4),IF(C58=0,0,(EURO(C58,Strikeprice4,0,0,($AH58+IF(Smile=TRUE(),VLOOKUP(MAX(-5,Strikeprice4-C58),Volsmile,2),0)),($A58-DateToday)+15,IF(Pricetype4=1,1,0),0))),C58)))</f>
        <v>#NAME?</v>
      </c>
      <c r="M58" s="318" t="e">
        <f aca="false">IF($A58="N/A"," ",IF(Pricetype4=2,MAX(D58,0),IF(OR(Pricetype4=1,Pricetype4=4),IF(D58=0,0,(EURO(D58,Strikeprice4,0,0,($AH58+IF(Smile=TRUE(),VLOOKUP(MAX(-5,Strikeprice4-D58),Volsmile,2),0)),($A58-DateToday)+15,IF(Pricetype4=1,1,0),0))),D58)))</f>
        <v>#NAME?</v>
      </c>
      <c r="N58" s="318" t="e">
        <f aca="false">IF($A58="N/A"," ",IF(Pricetype4=2,MAX(E58,0),IF(OR(Pricetype4=1,Pricetype4=4),IF(E58=0,0,(EURO(E58,Strikeprice4,0,0,($AK58+IF(Smile=TRUE(),VLOOKUP(MAX(-5,Strikeprice4-E58),Volsmile,2),0)),($A58-DateToday)+15,IF(Pricetype4=1,1,0),0))),E58)))</f>
        <v>#NAME?</v>
      </c>
      <c r="O58" s="318" t="n">
        <f aca="false">IF($A58="N/A"," ",IF(Pricetype4=2,MAX(F58,0),IF(OR(Pricetype4=1,Pricetype4=4),IF(F58=0,0,(EURO(F58,Strikeprice4,0,0,($AK58+IF(Smile=TRUE(),VLOOKUP(MAX(-5,Strikeprice4-F58),Volsmile,2),0)),($A58-DateToday)+15,IF(Pricetype4=1,1,0),0))),F58)))</f>
        <v>0</v>
      </c>
      <c r="P58" s="318" t="n">
        <f aca="false">IF($A58="N/A"," ",IF(Pricetype4=2,MAX(G58,0),IF(OR(Pricetype4=1,Pricetype4=4),IF(G58=0,0,(EURO(G58,Strikeprice4,0,0,($AK58+IF(Smile=TRUE(),VLOOKUP(MAX(-5,Strikeprice4-G58),Volsmile,2),0)),($A58-DateToday)+15,IF(Pricetype4=1,1,0),0))),G58)))</f>
        <v>0</v>
      </c>
      <c r="Q58" s="318" t="n">
        <f aca="false">IF($A58="N/A"," ",IF(Pricetype4=2,MAX(H58,0),IF(OR(Pricetype4=1,Pricetype4=4),IF(H58=0,0,(EURO(H58,Strikeprice4,0,0,($AK58+IF(Smile=TRUE(),VLOOKUP(MAX(-5,Strikeprice4-H58),Volsmile,2),0)),($A58-DateToday)+15,IF(Pricetype4=1,1,0),0))),H58)))</f>
        <v>0</v>
      </c>
      <c r="R58" s="318" t="n">
        <f aca="false">IF($A58="N/A"," ",IF(Pricetype4=2,MAX(I58,0),IF(OR(Pricetype4=1,Pricetype4=4),IF(I58=0,0,(EURO(I58,Strikeprice4,0,0,($AK58+IF(Smile=TRUE(),VLOOKUP(MAX(-5,Strikeprice4-I58),Volsmile,2),0)),($A58-DateToday)+15,IF(Pricetype4=1,1,0),0))),I58)))</f>
        <v>0</v>
      </c>
      <c r="S58" s="318" t="n">
        <f aca="false">IF($A58="N/A"," ",IF(Pricetype4=2,MAX(J58,0),IF(OR(Pricetype4=1,Pricetype4=4),IF(J58=0,0,(EURO(J58,Strikeprice4,0,0,($AK58+IF(Smile=TRUE(),VLOOKUP(MAX(-5,Strikeprice4-J58),Volsmile,2),0)),($A58-DateToday)+15,IF(Pricetype4=1,1,0),0))),J58)))</f>
        <v>0</v>
      </c>
      <c r="T58" s="318" t="n">
        <f aca="false">IF($A58="N/A"," ",IF(Pricetype4=2,MAX(K58,0),IF(OR(Pricetype4=1,Pricetype4=4),IF(K58=0,0,(EURO(K58,Strikeprice4,0,0,($AK58+IF(Smile=TRUE(),VLOOKUP(MAX(-5,Strikeprice4-K58),Volsmile,2),0)),($A58-DateToday)+15,IF(Pricetype4=1,1,0),0))),K58)))</f>
        <v>0</v>
      </c>
      <c r="U58" s="319" t="e">
        <f aca="false">IF($A58="N/A"," ",Volume4*$AM58)</f>
        <v>#N/A</v>
      </c>
      <c r="V58" s="320" t="e">
        <f aca="false">IF($A58="N/A"," ",$U58*(8*($BQ58))*L58)</f>
        <v>#N/A</v>
      </c>
      <c r="W58" s="320" t="e">
        <f aca="false">IF($A58="N/A"," ",$U58*(8*($BQ58))*M58)</f>
        <v>#N/A</v>
      </c>
      <c r="X58" s="320" t="e">
        <f aca="false">IF($A58="N/A"," ",$U58*(8*($BQ58))*N58)</f>
        <v>#N/A</v>
      </c>
      <c r="Y58" s="320" t="e">
        <f aca="false">IF($A58="N/A"," ",$U58*(8*($BR58))*O58)</f>
        <v>#N/A</v>
      </c>
      <c r="Z58" s="320" t="e">
        <f aca="false">IF($A58="N/A"," ",$U58*(8*($BR58))*P58)</f>
        <v>#N/A</v>
      </c>
      <c r="AA58" s="320" t="e">
        <f aca="false">IF($A58="N/A"," ",$U58*(8*($BR58))*Q58)</f>
        <v>#N/A</v>
      </c>
      <c r="AB58" s="320" t="e">
        <f aca="false">IF($A58="N/A"," ",$U58*(8*($BS58))*R58)</f>
        <v>#N/A</v>
      </c>
      <c r="AC58" s="320" t="e">
        <f aca="false">IF($A58="N/A"," ",$U58*(8*($BS58))*S58)</f>
        <v>#N/A</v>
      </c>
      <c r="AD58" s="320" t="e">
        <f aca="false">IF($A58="N/A"," ",$U58*(8*($BS58))*T58)</f>
        <v>#N/A</v>
      </c>
      <c r="AE58" s="320" t="e">
        <f aca="false">IF($A58="N/A"," ",SUM(V58:AD58))</f>
        <v>#N/A</v>
      </c>
      <c r="AF58" s="321" t="n">
        <f aca="false">IF(A58="N/A"," ",(VLOOKUP(A58,PowerVolTable,(IF(VolBMO4=2,7,IF(VolBMO4=1,6,8))),FALSE())))</f>
        <v>0.36</v>
      </c>
      <c r="AG58" s="321" t="n">
        <f aca="false">IF(A58="N/A"," ",(VLOOKUP(A58,IntraPowerVol,(IF(VolBMO4=2,3,IF(VolBMO4=1,2,4))),FALSE())*VLOOKUP(MONTH($A58),Volscale,2)))</f>
        <v>0.72</v>
      </c>
      <c r="AH58" s="321" t="n">
        <f aca="false">IF($A58="N/A"," ",IF(VolType4=1,AG58,AF58))</f>
        <v>0.72</v>
      </c>
      <c r="AI58" s="321" t="n">
        <f aca="false">IF($A58="N/A"," ",(VLOOKUP($A58,OffPwrVolTable,(IF(VolBMO4=2,7,IF(VolBMO4=1,6,8))),FALSE())))</f>
        <v>0.18</v>
      </c>
      <c r="AJ58" s="321" t="n">
        <f aca="false">IF($A58="N/A"," ",(VLOOKUP($A58,OffPwrVolTable,(IF(VolBMO4=2,3,IF(VolBMO4=1,2,4))),FALSE())*VLOOKUP(MONTH($A58),Volscale,2)))</f>
        <v>0.432</v>
      </c>
      <c r="AK58" s="321" t="n">
        <f aca="false">IF($A58="N/A"," ",IF(VolType4=1,AJ58,AI58))</f>
        <v>0.432</v>
      </c>
      <c r="AL58" s="321" t="e">
        <f aca="false">IF($A58="N/A"," ",IF(PV=1,0,'Pricing Inputs4'!R91))</f>
        <v>#N/A</v>
      </c>
      <c r="AM58" s="323" t="e">
        <f aca="false">IF($A58="N/A"," ",(1+AL58/2)^(-2*((EOMONTH(A58,0)+20)-DateToday)/365.25))</f>
        <v>#N/A</v>
      </c>
      <c r="BQ58" s="0" t="n">
        <f aca="false">IF($A58="N/A"," ",(VLOOKUP($A58,NumberofDaysTable,2)))</f>
        <v>20</v>
      </c>
      <c r="BR58" s="0" t="n">
        <f aca="false">IF($A58="N/A"," ",(VLOOKUP($A58,NumberofDaysTable,3)))</f>
        <v>5</v>
      </c>
      <c r="BS58" s="0" t="n">
        <f aca="false">IF($A58="N/A"," ",(VLOOKUP($A58,NumberofDaysTable,4)))</f>
        <v>6</v>
      </c>
    </row>
    <row r="59" customFormat="false" ht="12.75" hidden="false" customHeight="false" outlineLevel="0" collapsed="false">
      <c r="A59" s="315" t="n">
        <f aca="false">IF(A58="N/A","N/A",IF(EDATE(A58,1)&gt;Inputs!$R$5,"N/A",EDATE(A58,1)))</f>
        <v>38930</v>
      </c>
      <c r="B59" s="316" t="n">
        <f aca="false">IF(A59="N/A"," ",YEAR(A59))</f>
        <v>2006</v>
      </c>
      <c r="C59" s="317" t="n">
        <f aca="false">IF($A59="N/A"," ",IF(Dayrun4=10,0,IF(Scaler4=1,(VLOOKUP(A59,ScaledPrice4,4)),(VLOOKUP(A59,ScaledPrice4,2)))))</f>
        <v>51.75</v>
      </c>
      <c r="D59" s="317" t="n">
        <f aca="false">IF(A59="N/A"," ",IF(Dayrun4&gt;=7,0,IF(Scaler4=2,VLOOKUP(A59,ScaledPrice4,2),(VLOOKUP(A59,ScaledPrice4,2))*(2-(VLOOKUP(A59,ScaledPrice4,3))))))</f>
        <v>51.75</v>
      </c>
      <c r="E59" s="317" t="n">
        <f aca="false">IF($A59="N/A"," ",IF(AND(Dayrun4&gt;=4,Dayrun4&lt;=9),0,VLOOKUP($A59,ScaledPrice4,9)))</f>
        <v>24.0400009155273</v>
      </c>
      <c r="F59" s="317" t="n">
        <f aca="false">IF(A59="N/A"," ",IF(OR(Dayrun4=2,Dayrun4=3,Dayrun4=5,Dayrun4=6,Dayrun4=8,Dayrun4=9),VLOOKUP(A59,ScaledPrice4,IF(Scaler4=1,6,5)),0))</f>
        <v>0</v>
      </c>
      <c r="G59" s="317" t="n">
        <f aca="false">IF(A59="N/A"," ",IF(OR(Dayrun4=2,Dayrun4=3,Dayrun4=5,Dayrun4=6),IF(Scaler4=2,F59,(VLOOKUP(A59,ScaledPrice4,5))*(2-(VLOOKUP(A59,ScaledPrice4,3)))),0))</f>
        <v>0</v>
      </c>
      <c r="H59" s="317" t="n">
        <f aca="false">IF($A59="N/A"," ",IF(OR(Dayrun4=2,Dayrun4=3,Dayrun4=10),VLOOKUP($A59,ScaledPrice4,9),0))</f>
        <v>0</v>
      </c>
      <c r="I59" s="317" t="n">
        <f aca="false">IF(A59="N/A"," ",IF(OR(Dayrun4=3,Dayrun4=6,Dayrun4=9),(VLOOKUP(A59,ScaledPrice4,IF(Scaler4=2,7,8))),0))</f>
        <v>0</v>
      </c>
      <c r="J59" s="317" t="n">
        <f aca="false">IF(A59="N/A"," ",IF(OR(Dayrun4=3,Dayrun4=6),IF(Scaler4=2,I59,(VLOOKUP(A59,ScaledPrice4,7))*(2-(VLOOKUP(A59,ScaledPrice4,3)))),0))</f>
        <v>0</v>
      </c>
      <c r="K59" s="317" t="n">
        <f aca="false">IF($A59="N/A"," ",IF(OR(Dayrun4=3,Dayrun4=10),VLOOKUP($A59,ScaledPrice4,9),0))</f>
        <v>0</v>
      </c>
      <c r="L59" s="318" t="e">
        <f aca="false">IF($A59="N/A"," ",IF(Pricetype4=2,MAX(C59,0),IF(OR(Pricetype4=1,Pricetype4=4),IF(C59=0,0,(EURO(C59,Strikeprice4,0,0,($AH59+IF(Smile=TRUE(),VLOOKUP(MAX(-5,Strikeprice4-C59),Volsmile,2),0)),($A59-DateToday)+15,IF(Pricetype4=1,1,0),0))),C59)))</f>
        <v>#NAME?</v>
      </c>
      <c r="M59" s="318" t="e">
        <f aca="false">IF($A59="N/A"," ",IF(Pricetype4=2,MAX(D59,0),IF(OR(Pricetype4=1,Pricetype4=4),IF(D59=0,0,(EURO(D59,Strikeprice4,0,0,($AH59+IF(Smile=TRUE(),VLOOKUP(MAX(-5,Strikeprice4-D59),Volsmile,2),0)),($A59-DateToday)+15,IF(Pricetype4=1,1,0),0))),D59)))</f>
        <v>#NAME?</v>
      </c>
      <c r="N59" s="318" t="e">
        <f aca="false">IF($A59="N/A"," ",IF(Pricetype4=2,MAX(E59,0),IF(OR(Pricetype4=1,Pricetype4=4),IF(E59=0,0,(EURO(E59,Strikeprice4,0,0,($AK59+IF(Smile=TRUE(),VLOOKUP(MAX(-5,Strikeprice4-E59),Volsmile,2),0)),($A59-DateToday)+15,IF(Pricetype4=1,1,0),0))),E59)))</f>
        <v>#NAME?</v>
      </c>
      <c r="O59" s="318" t="n">
        <f aca="false">IF($A59="N/A"," ",IF(Pricetype4=2,MAX(F59,0),IF(OR(Pricetype4=1,Pricetype4=4),IF(F59=0,0,(EURO(F59,Strikeprice4,0,0,($AK59+IF(Smile=TRUE(),VLOOKUP(MAX(-5,Strikeprice4-F59),Volsmile,2),0)),($A59-DateToday)+15,IF(Pricetype4=1,1,0),0))),F59)))</f>
        <v>0</v>
      </c>
      <c r="P59" s="318" t="n">
        <f aca="false">IF($A59="N/A"," ",IF(Pricetype4=2,MAX(G59,0),IF(OR(Pricetype4=1,Pricetype4=4),IF(G59=0,0,(EURO(G59,Strikeprice4,0,0,($AK59+IF(Smile=TRUE(),VLOOKUP(MAX(-5,Strikeprice4-G59),Volsmile,2),0)),($A59-DateToday)+15,IF(Pricetype4=1,1,0),0))),G59)))</f>
        <v>0</v>
      </c>
      <c r="Q59" s="318" t="n">
        <f aca="false">IF($A59="N/A"," ",IF(Pricetype4=2,MAX(H59,0),IF(OR(Pricetype4=1,Pricetype4=4),IF(H59=0,0,(EURO(H59,Strikeprice4,0,0,($AK59+IF(Smile=TRUE(),VLOOKUP(MAX(-5,Strikeprice4-H59),Volsmile,2),0)),($A59-DateToday)+15,IF(Pricetype4=1,1,0),0))),H59)))</f>
        <v>0</v>
      </c>
      <c r="R59" s="318" t="n">
        <f aca="false">IF($A59="N/A"," ",IF(Pricetype4=2,MAX(I59,0),IF(OR(Pricetype4=1,Pricetype4=4),IF(I59=0,0,(EURO(I59,Strikeprice4,0,0,($AK59+IF(Smile=TRUE(),VLOOKUP(MAX(-5,Strikeprice4-I59),Volsmile,2),0)),($A59-DateToday)+15,IF(Pricetype4=1,1,0),0))),I59)))</f>
        <v>0</v>
      </c>
      <c r="S59" s="318" t="n">
        <f aca="false">IF($A59="N/A"," ",IF(Pricetype4=2,MAX(J59,0),IF(OR(Pricetype4=1,Pricetype4=4),IF(J59=0,0,(EURO(J59,Strikeprice4,0,0,($AK59+IF(Smile=TRUE(),VLOOKUP(MAX(-5,Strikeprice4-J59),Volsmile,2),0)),($A59-DateToday)+15,IF(Pricetype4=1,1,0),0))),J59)))</f>
        <v>0</v>
      </c>
      <c r="T59" s="318" t="n">
        <f aca="false">IF($A59="N/A"," ",IF(Pricetype4=2,MAX(K59,0),IF(OR(Pricetype4=1,Pricetype4=4),IF(K59=0,0,(EURO(K59,Strikeprice4,0,0,($AK59+IF(Smile=TRUE(),VLOOKUP(MAX(-5,Strikeprice4-K59),Volsmile,2),0)),($A59-DateToday)+15,IF(Pricetype4=1,1,0),0))),K59)))</f>
        <v>0</v>
      </c>
      <c r="U59" s="319" t="e">
        <f aca="false">IF($A59="N/A"," ",Volume4*$AM59)</f>
        <v>#N/A</v>
      </c>
      <c r="V59" s="320" t="e">
        <f aca="false">IF($A59="N/A"," ",$U59*(8*($BQ59))*L59)</f>
        <v>#N/A</v>
      </c>
      <c r="W59" s="320" t="e">
        <f aca="false">IF($A59="N/A"," ",$U59*(8*($BQ59))*M59)</f>
        <v>#N/A</v>
      </c>
      <c r="X59" s="320" t="e">
        <f aca="false">IF($A59="N/A"," ",$U59*(8*($BQ59))*N59)</f>
        <v>#N/A</v>
      </c>
      <c r="Y59" s="320" t="e">
        <f aca="false">IF($A59="N/A"," ",$U59*(8*($BR59))*O59)</f>
        <v>#N/A</v>
      </c>
      <c r="Z59" s="320" t="e">
        <f aca="false">IF($A59="N/A"," ",$U59*(8*($BR59))*P59)</f>
        <v>#N/A</v>
      </c>
      <c r="AA59" s="320" t="e">
        <f aca="false">IF($A59="N/A"," ",$U59*(8*($BR59))*Q59)</f>
        <v>#N/A</v>
      </c>
      <c r="AB59" s="320" t="e">
        <f aca="false">IF($A59="N/A"," ",$U59*(8*($BS59))*R59)</f>
        <v>#N/A</v>
      </c>
      <c r="AC59" s="320" t="e">
        <f aca="false">IF($A59="N/A"," ",$U59*(8*($BS59))*S59)</f>
        <v>#N/A</v>
      </c>
      <c r="AD59" s="320" t="e">
        <f aca="false">IF($A59="N/A"," ",$U59*(8*($BS59))*T59)</f>
        <v>#N/A</v>
      </c>
      <c r="AE59" s="320" t="e">
        <f aca="false">IF($A59="N/A"," ",SUM(V59:AD59))</f>
        <v>#N/A</v>
      </c>
      <c r="AF59" s="321" t="n">
        <f aca="false">IF(A59="N/A"," ",(VLOOKUP(A59,PowerVolTable,(IF(VolBMO4=2,7,IF(VolBMO4=1,6,8))),FALSE())))</f>
        <v>0.36</v>
      </c>
      <c r="AG59" s="321" t="n">
        <f aca="false">IF(A59="N/A"," ",(VLOOKUP(A59,IntraPowerVol,(IF(VolBMO4=2,3,IF(VolBMO4=1,2,4))),FALSE())*VLOOKUP(MONTH($A59),Volscale,2)))</f>
        <v>0.72</v>
      </c>
      <c r="AH59" s="321" t="n">
        <f aca="false">IF($A59="N/A"," ",IF(VolType4=1,AG59,AF59))</f>
        <v>0.72</v>
      </c>
      <c r="AI59" s="321" t="n">
        <f aca="false">IF($A59="N/A"," ",(VLOOKUP($A59,OffPwrVolTable,(IF(VolBMO4=2,7,IF(VolBMO4=1,6,8))),FALSE())))</f>
        <v>0.18</v>
      </c>
      <c r="AJ59" s="321" t="n">
        <f aca="false">IF($A59="N/A"," ",(VLOOKUP($A59,OffPwrVolTable,(IF(VolBMO4=2,3,IF(VolBMO4=1,2,4))),FALSE())*VLOOKUP(MONTH($A59),Volscale,2)))</f>
        <v>0.432</v>
      </c>
      <c r="AK59" s="321" t="n">
        <f aca="false">IF($A59="N/A"," ",IF(VolType4=1,AJ59,AI59))</f>
        <v>0.432</v>
      </c>
      <c r="AL59" s="321" t="e">
        <f aca="false">IF($A59="N/A"," ",IF(PV=1,0,'Pricing Inputs4'!R92))</f>
        <v>#N/A</v>
      </c>
      <c r="AM59" s="323" t="e">
        <f aca="false">IF($A59="N/A"," ",(1+AL59/2)^(-2*((EOMONTH(A59,0)+20)-DateToday)/365.25))</f>
        <v>#N/A</v>
      </c>
      <c r="BQ59" s="0" t="n">
        <f aca="false">IF($A59="N/A"," ",(VLOOKUP($A59,NumberofDaysTable,2)))</f>
        <v>23</v>
      </c>
      <c r="BR59" s="0" t="n">
        <f aca="false">IF($A59="N/A"," ",(VLOOKUP($A59,NumberofDaysTable,3)))</f>
        <v>4</v>
      </c>
      <c r="BS59" s="0" t="n">
        <f aca="false">IF($A59="N/A"," ",(VLOOKUP($A59,NumberofDaysTable,4)))</f>
        <v>4</v>
      </c>
    </row>
    <row r="60" customFormat="false" ht="12.75" hidden="false" customHeight="false" outlineLevel="0" collapsed="false">
      <c r="A60" s="315" t="n">
        <f aca="false">IF(A59="N/A","N/A",IF(EDATE(A59,1)&gt;Inputs!$R$5,"N/A",EDATE(A59,1)))</f>
        <v>38961</v>
      </c>
      <c r="B60" s="316" t="n">
        <f aca="false">IF(A60="N/A"," ",YEAR(A60))</f>
        <v>2006</v>
      </c>
      <c r="C60" s="317" t="n">
        <f aca="false">IF($A60="N/A"," ",IF(Dayrun4=10,0,IF(Scaler4=1,(VLOOKUP(A60,ScaledPrice4,4)),(VLOOKUP(A60,ScaledPrice4,2)))))</f>
        <v>30.8299999237061</v>
      </c>
      <c r="D60" s="317" t="n">
        <f aca="false">IF(A60="N/A"," ",IF(Dayrun4&gt;=7,0,IF(Scaler4=2,VLOOKUP(A60,ScaledPrice4,2),(VLOOKUP(A60,ScaledPrice4,2))*(2-(VLOOKUP(A60,ScaledPrice4,3))))))</f>
        <v>30.8299999237061</v>
      </c>
      <c r="E60" s="317" t="n">
        <f aca="false">IF($A60="N/A"," ",IF(AND(Dayrun4&gt;=4,Dayrun4&lt;=9),0,VLOOKUP($A60,ScaledPrice4,9)))</f>
        <v>18.0400009155273</v>
      </c>
      <c r="F60" s="317" t="n">
        <f aca="false">IF(A60="N/A"," ",IF(OR(Dayrun4=2,Dayrun4=3,Dayrun4=5,Dayrun4=6,Dayrun4=8,Dayrun4=9),VLOOKUP(A60,ScaledPrice4,IF(Scaler4=1,6,5)),0))</f>
        <v>0</v>
      </c>
      <c r="G60" s="317" t="n">
        <f aca="false">IF(A60="N/A"," ",IF(OR(Dayrun4=2,Dayrun4=3,Dayrun4=5,Dayrun4=6),IF(Scaler4=2,F60,(VLOOKUP(A60,ScaledPrice4,5))*(2-(VLOOKUP(A60,ScaledPrice4,3)))),0))</f>
        <v>0</v>
      </c>
      <c r="H60" s="317" t="n">
        <f aca="false">IF($A60="N/A"," ",IF(OR(Dayrun4=2,Dayrun4=3,Dayrun4=10),VLOOKUP($A60,ScaledPrice4,9),0))</f>
        <v>0</v>
      </c>
      <c r="I60" s="317" t="n">
        <f aca="false">IF(A60="N/A"," ",IF(OR(Dayrun4=3,Dayrun4=6,Dayrun4=9),(VLOOKUP(A60,ScaledPrice4,IF(Scaler4=2,7,8))),0))</f>
        <v>0</v>
      </c>
      <c r="J60" s="317" t="n">
        <f aca="false">IF(A60="N/A"," ",IF(OR(Dayrun4=3,Dayrun4=6),IF(Scaler4=2,I60,(VLOOKUP(A60,ScaledPrice4,7))*(2-(VLOOKUP(A60,ScaledPrice4,3)))),0))</f>
        <v>0</v>
      </c>
      <c r="K60" s="317" t="n">
        <f aca="false">IF($A60="N/A"," ",IF(OR(Dayrun4=3,Dayrun4=10),VLOOKUP($A60,ScaledPrice4,9),0))</f>
        <v>0</v>
      </c>
      <c r="L60" s="318" t="e">
        <f aca="false">IF($A60="N/A"," ",IF(Pricetype4=2,MAX(C60,0),IF(OR(Pricetype4=1,Pricetype4=4),IF(C60=0,0,(EURO(C60,Strikeprice4,0,0,($AH60+IF(Smile=TRUE(),VLOOKUP(MAX(-5,Strikeprice4-C60),Volsmile,2),0)),($A60-DateToday)+15,IF(Pricetype4=1,1,0),0))),C60)))</f>
        <v>#NAME?</v>
      </c>
      <c r="M60" s="318" t="e">
        <f aca="false">IF($A60="N/A"," ",IF(Pricetype4=2,MAX(D60,0),IF(OR(Pricetype4=1,Pricetype4=4),IF(D60=0,0,(EURO(D60,Strikeprice4,0,0,($AH60+IF(Smile=TRUE(),VLOOKUP(MAX(-5,Strikeprice4-D60),Volsmile,2),0)),($A60-DateToday)+15,IF(Pricetype4=1,1,0),0))),D60)))</f>
        <v>#NAME?</v>
      </c>
      <c r="N60" s="318" t="e">
        <f aca="false">IF($A60="N/A"," ",IF(Pricetype4=2,MAX(E60,0),IF(OR(Pricetype4=1,Pricetype4=4),IF(E60=0,0,(EURO(E60,Strikeprice4,0,0,($AK60+IF(Smile=TRUE(),VLOOKUP(MAX(-5,Strikeprice4-E60),Volsmile,2),0)),($A60-DateToday)+15,IF(Pricetype4=1,1,0),0))),E60)))</f>
        <v>#NAME?</v>
      </c>
      <c r="O60" s="318" t="n">
        <f aca="false">IF($A60="N/A"," ",IF(Pricetype4=2,MAX(F60,0),IF(OR(Pricetype4=1,Pricetype4=4),IF(F60=0,0,(EURO(F60,Strikeprice4,0,0,($AK60+IF(Smile=TRUE(),VLOOKUP(MAX(-5,Strikeprice4-F60),Volsmile,2),0)),($A60-DateToday)+15,IF(Pricetype4=1,1,0),0))),F60)))</f>
        <v>0</v>
      </c>
      <c r="P60" s="318" t="n">
        <f aca="false">IF($A60="N/A"," ",IF(Pricetype4=2,MAX(G60,0),IF(OR(Pricetype4=1,Pricetype4=4),IF(G60=0,0,(EURO(G60,Strikeprice4,0,0,($AK60+IF(Smile=TRUE(),VLOOKUP(MAX(-5,Strikeprice4-G60),Volsmile,2),0)),($A60-DateToday)+15,IF(Pricetype4=1,1,0),0))),G60)))</f>
        <v>0</v>
      </c>
      <c r="Q60" s="318" t="n">
        <f aca="false">IF($A60="N/A"," ",IF(Pricetype4=2,MAX(H60,0),IF(OR(Pricetype4=1,Pricetype4=4),IF(H60=0,0,(EURO(H60,Strikeprice4,0,0,($AK60+IF(Smile=TRUE(),VLOOKUP(MAX(-5,Strikeprice4-H60),Volsmile,2),0)),($A60-DateToday)+15,IF(Pricetype4=1,1,0),0))),H60)))</f>
        <v>0</v>
      </c>
      <c r="R60" s="318" t="n">
        <f aca="false">IF($A60="N/A"," ",IF(Pricetype4=2,MAX(I60,0),IF(OR(Pricetype4=1,Pricetype4=4),IF(I60=0,0,(EURO(I60,Strikeprice4,0,0,($AK60+IF(Smile=TRUE(),VLOOKUP(MAX(-5,Strikeprice4-I60),Volsmile,2),0)),($A60-DateToday)+15,IF(Pricetype4=1,1,0),0))),I60)))</f>
        <v>0</v>
      </c>
      <c r="S60" s="318" t="n">
        <f aca="false">IF($A60="N/A"," ",IF(Pricetype4=2,MAX(J60,0),IF(OR(Pricetype4=1,Pricetype4=4),IF(J60=0,0,(EURO(J60,Strikeprice4,0,0,($AK60+IF(Smile=TRUE(),VLOOKUP(MAX(-5,Strikeprice4-J60),Volsmile,2),0)),($A60-DateToday)+15,IF(Pricetype4=1,1,0),0))),J60)))</f>
        <v>0</v>
      </c>
      <c r="T60" s="318" t="n">
        <f aca="false">IF($A60="N/A"," ",IF(Pricetype4=2,MAX(K60,0),IF(OR(Pricetype4=1,Pricetype4=4),IF(K60=0,0,(EURO(K60,Strikeprice4,0,0,($AK60+IF(Smile=TRUE(),VLOOKUP(MAX(-5,Strikeprice4-K60),Volsmile,2),0)),($A60-DateToday)+15,IF(Pricetype4=1,1,0),0))),K60)))</f>
        <v>0</v>
      </c>
      <c r="U60" s="319" t="e">
        <f aca="false">IF($A60="N/A"," ",Volume4*$AM60)</f>
        <v>#N/A</v>
      </c>
      <c r="V60" s="320" t="e">
        <f aca="false">IF($A60="N/A"," ",$U60*(8*($BQ60))*L60)</f>
        <v>#N/A</v>
      </c>
      <c r="W60" s="320" t="e">
        <f aca="false">IF($A60="N/A"," ",$U60*(8*($BQ60))*M60)</f>
        <v>#N/A</v>
      </c>
      <c r="X60" s="320" t="e">
        <f aca="false">IF($A60="N/A"," ",$U60*(8*($BQ60))*N60)</f>
        <v>#N/A</v>
      </c>
      <c r="Y60" s="320" t="e">
        <f aca="false">IF($A60="N/A"," ",$U60*(8*($BR60))*O60)</f>
        <v>#N/A</v>
      </c>
      <c r="Z60" s="320" t="e">
        <f aca="false">IF($A60="N/A"," ",$U60*(8*($BR60))*P60)</f>
        <v>#N/A</v>
      </c>
      <c r="AA60" s="320" t="e">
        <f aca="false">IF($A60="N/A"," ",$U60*(8*($BR60))*Q60)</f>
        <v>#N/A</v>
      </c>
      <c r="AB60" s="320" t="e">
        <f aca="false">IF($A60="N/A"," ",$U60*(8*($BS60))*R60)</f>
        <v>#N/A</v>
      </c>
      <c r="AC60" s="320" t="e">
        <f aca="false">IF($A60="N/A"," ",$U60*(8*($BS60))*S60)</f>
        <v>#N/A</v>
      </c>
      <c r="AD60" s="320" t="e">
        <f aca="false">IF($A60="N/A"," ",$U60*(8*($BS60))*T60)</f>
        <v>#N/A</v>
      </c>
      <c r="AE60" s="320" t="e">
        <f aca="false">IF($A60="N/A"," ",SUM(V60:AD60))</f>
        <v>#N/A</v>
      </c>
      <c r="AF60" s="321" t="n">
        <f aca="false">IF(A60="N/A"," ",(VLOOKUP(A60,PowerVolTable,(IF(VolBMO4=2,7,IF(VolBMO4=1,6,8))),FALSE())))</f>
        <v>0.24</v>
      </c>
      <c r="AG60" s="321" t="n">
        <f aca="false">IF(A60="N/A"," ",(VLOOKUP(A60,IntraPowerVol,(IF(VolBMO4=2,3,IF(VolBMO4=1,2,4))),FALSE())*VLOOKUP(MONTH($A60),Volscale,2)))</f>
        <v>0.54</v>
      </c>
      <c r="AH60" s="321" t="n">
        <f aca="false">IF($A60="N/A"," ",IF(VolType4=1,AG60,AF60))</f>
        <v>0.54</v>
      </c>
      <c r="AI60" s="321" t="n">
        <f aca="false">IF($A60="N/A"," ",(VLOOKUP($A60,OffPwrVolTable,(IF(VolBMO4=2,7,IF(VolBMO4=1,6,8))),FALSE())))</f>
        <v>0.12</v>
      </c>
      <c r="AJ60" s="321" t="n">
        <f aca="false">IF($A60="N/A"," ",(VLOOKUP($A60,OffPwrVolTable,(IF(VolBMO4=2,3,IF(VolBMO4=1,2,4))),FALSE())*VLOOKUP(MONTH($A60),Volscale,2)))</f>
        <v>0.324</v>
      </c>
      <c r="AK60" s="321" t="n">
        <f aca="false">IF($A60="N/A"," ",IF(VolType4=1,AJ60,AI60))</f>
        <v>0.324</v>
      </c>
      <c r="AL60" s="321" t="e">
        <f aca="false">IF($A60="N/A"," ",IF(PV=1,0,'Pricing Inputs4'!R93))</f>
        <v>#N/A</v>
      </c>
      <c r="AM60" s="323" t="e">
        <f aca="false">IF($A60="N/A"," ",(1+AL60/2)^(-2*((EOMONTH(A60,0)+20)-DateToday)/365.25))</f>
        <v>#N/A</v>
      </c>
      <c r="BQ60" s="0" t="n">
        <f aca="false">IF($A60="N/A"," ",(VLOOKUP($A60,NumberofDaysTable,2)))</f>
        <v>20</v>
      </c>
      <c r="BR60" s="0" t="n">
        <f aca="false">IF($A60="N/A"," ",(VLOOKUP($A60,NumberofDaysTable,3)))</f>
        <v>5</v>
      </c>
      <c r="BS60" s="0" t="n">
        <f aca="false">IF($A60="N/A"," ",(VLOOKUP($A60,NumberofDaysTable,4)))</f>
        <v>5</v>
      </c>
    </row>
    <row r="61" customFormat="false" ht="12.75" hidden="false" customHeight="false" outlineLevel="0" collapsed="false">
      <c r="A61" s="315" t="n">
        <f aca="false">IF(A60="N/A","N/A",IF(EDATE(A60,1)&gt;Inputs!$R$5,"N/A",EDATE(A60,1)))</f>
        <v>38991</v>
      </c>
      <c r="B61" s="316" t="n">
        <f aca="false">IF(A61="N/A"," ",YEAR(A61))</f>
        <v>2006</v>
      </c>
      <c r="C61" s="317" t="n">
        <f aca="false">IF($A61="N/A"," ",IF(Dayrun4=10,0,IF(Scaler4=1,(VLOOKUP(A61,ScaledPrice4,4)),(VLOOKUP(A61,ScaledPrice4,2)))))</f>
        <v>31.9815639257431</v>
      </c>
      <c r="D61" s="317" t="n">
        <f aca="false">IF(A61="N/A"," ",IF(Dayrun4&gt;=7,0,IF(Scaler4=2,VLOOKUP(A61,ScaledPrice4,2),(VLOOKUP(A61,ScaledPrice4,2))*(2-(VLOOKUP(A61,ScaledPrice4,3))))))</f>
        <v>31.9815639257431</v>
      </c>
      <c r="E61" s="317" t="n">
        <f aca="false">IF($A61="N/A"," ",IF(AND(Dayrun4&gt;=4,Dayrun4&lt;=9),0,VLOOKUP($A61,ScaledPrice4,9)))</f>
        <v>17.540002822876</v>
      </c>
      <c r="F61" s="317" t="n">
        <f aca="false">IF(A61="N/A"," ",IF(OR(Dayrun4=2,Dayrun4=3,Dayrun4=5,Dayrun4=6,Dayrun4=8,Dayrun4=9),VLOOKUP(A61,ScaledPrice4,IF(Scaler4=1,6,5)),0))</f>
        <v>0</v>
      </c>
      <c r="G61" s="317" t="n">
        <f aca="false">IF(A61="N/A"," ",IF(OR(Dayrun4=2,Dayrun4=3,Dayrun4=5,Dayrun4=6),IF(Scaler4=2,F61,(VLOOKUP(A61,ScaledPrice4,5))*(2-(VLOOKUP(A61,ScaledPrice4,3)))),0))</f>
        <v>0</v>
      </c>
      <c r="H61" s="317" t="n">
        <f aca="false">IF($A61="N/A"," ",IF(OR(Dayrun4=2,Dayrun4=3,Dayrun4=10),VLOOKUP($A61,ScaledPrice4,9),0))</f>
        <v>0</v>
      </c>
      <c r="I61" s="317" t="n">
        <f aca="false">IF(A61="N/A"," ",IF(OR(Dayrun4=3,Dayrun4=6,Dayrun4=9),(VLOOKUP(A61,ScaledPrice4,IF(Scaler4=2,7,8))),0))</f>
        <v>0</v>
      </c>
      <c r="J61" s="317" t="n">
        <f aca="false">IF(A61="N/A"," ",IF(OR(Dayrun4=3,Dayrun4=6),IF(Scaler4=2,I61,(VLOOKUP(A61,ScaledPrice4,7))*(2-(VLOOKUP(A61,ScaledPrice4,3)))),0))</f>
        <v>0</v>
      </c>
      <c r="K61" s="317" t="n">
        <f aca="false">IF($A61="N/A"," ",IF(OR(Dayrun4=3,Dayrun4=10),VLOOKUP($A61,ScaledPrice4,9),0))</f>
        <v>0</v>
      </c>
      <c r="L61" s="318" t="e">
        <f aca="false">IF($A61="N/A"," ",IF(Pricetype4=2,MAX(C61,0),IF(OR(Pricetype4=1,Pricetype4=4),IF(C61=0,0,(EURO(C61,Strikeprice4,0,0,($AH61+IF(Smile=TRUE(),VLOOKUP(MAX(-5,Strikeprice4-C61),Volsmile,2),0)),($A61-DateToday)+15,IF(Pricetype4=1,1,0),0))),C61)))</f>
        <v>#NAME?</v>
      </c>
      <c r="M61" s="318" t="e">
        <f aca="false">IF($A61="N/A"," ",IF(Pricetype4=2,MAX(D61,0),IF(OR(Pricetype4=1,Pricetype4=4),IF(D61=0,0,(EURO(D61,Strikeprice4,0,0,($AH61+IF(Smile=TRUE(),VLOOKUP(MAX(-5,Strikeprice4-D61),Volsmile,2),0)),($A61-DateToday)+15,IF(Pricetype4=1,1,0),0))),D61)))</f>
        <v>#NAME?</v>
      </c>
      <c r="N61" s="318" t="e">
        <f aca="false">IF($A61="N/A"," ",IF(Pricetype4=2,MAX(E61,0),IF(OR(Pricetype4=1,Pricetype4=4),IF(E61=0,0,(EURO(E61,Strikeprice4,0,0,($AK61+IF(Smile=TRUE(),VLOOKUP(MAX(-5,Strikeprice4-E61),Volsmile,2),0)),($A61-DateToday)+15,IF(Pricetype4=1,1,0),0))),E61)))</f>
        <v>#NAME?</v>
      </c>
      <c r="O61" s="318" t="n">
        <f aca="false">IF($A61="N/A"," ",IF(Pricetype4=2,MAX(F61,0),IF(OR(Pricetype4=1,Pricetype4=4),IF(F61=0,0,(EURO(F61,Strikeprice4,0,0,($AK61+IF(Smile=TRUE(),VLOOKUP(MAX(-5,Strikeprice4-F61),Volsmile,2),0)),($A61-DateToday)+15,IF(Pricetype4=1,1,0),0))),F61)))</f>
        <v>0</v>
      </c>
      <c r="P61" s="318" t="n">
        <f aca="false">IF($A61="N/A"," ",IF(Pricetype4=2,MAX(G61,0),IF(OR(Pricetype4=1,Pricetype4=4),IF(G61=0,0,(EURO(G61,Strikeprice4,0,0,($AK61+IF(Smile=TRUE(),VLOOKUP(MAX(-5,Strikeprice4-G61),Volsmile,2),0)),($A61-DateToday)+15,IF(Pricetype4=1,1,0),0))),G61)))</f>
        <v>0</v>
      </c>
      <c r="Q61" s="318" t="n">
        <f aca="false">IF($A61="N/A"," ",IF(Pricetype4=2,MAX(H61,0),IF(OR(Pricetype4=1,Pricetype4=4),IF(H61=0,0,(EURO(H61,Strikeprice4,0,0,($AK61+IF(Smile=TRUE(),VLOOKUP(MAX(-5,Strikeprice4-H61),Volsmile,2),0)),($A61-DateToday)+15,IF(Pricetype4=1,1,0),0))),H61)))</f>
        <v>0</v>
      </c>
      <c r="R61" s="318" t="n">
        <f aca="false">IF($A61="N/A"," ",IF(Pricetype4=2,MAX(I61,0),IF(OR(Pricetype4=1,Pricetype4=4),IF(I61=0,0,(EURO(I61,Strikeprice4,0,0,($AK61+IF(Smile=TRUE(),VLOOKUP(MAX(-5,Strikeprice4-I61),Volsmile,2),0)),($A61-DateToday)+15,IF(Pricetype4=1,1,0),0))),I61)))</f>
        <v>0</v>
      </c>
      <c r="S61" s="318" t="n">
        <f aca="false">IF($A61="N/A"," ",IF(Pricetype4=2,MAX(J61,0),IF(OR(Pricetype4=1,Pricetype4=4),IF(J61=0,0,(EURO(J61,Strikeprice4,0,0,($AK61+IF(Smile=TRUE(),VLOOKUP(MAX(-5,Strikeprice4-J61),Volsmile,2),0)),($A61-DateToday)+15,IF(Pricetype4=1,1,0),0))),J61)))</f>
        <v>0</v>
      </c>
      <c r="T61" s="318" t="n">
        <f aca="false">IF($A61="N/A"," ",IF(Pricetype4=2,MAX(K61,0),IF(OR(Pricetype4=1,Pricetype4=4),IF(K61=0,0,(EURO(K61,Strikeprice4,0,0,($AK61+IF(Smile=TRUE(),VLOOKUP(MAX(-5,Strikeprice4-K61),Volsmile,2),0)),($A61-DateToday)+15,IF(Pricetype4=1,1,0),0))),K61)))</f>
        <v>0</v>
      </c>
      <c r="U61" s="319" t="e">
        <f aca="false">IF($A61="N/A"," ",Volume4*$AM61)</f>
        <v>#N/A</v>
      </c>
      <c r="V61" s="320" t="e">
        <f aca="false">IF($A61="N/A"," ",$U61*(8*($BQ61))*L61)</f>
        <v>#N/A</v>
      </c>
      <c r="W61" s="320" t="e">
        <f aca="false">IF($A61="N/A"," ",$U61*(8*($BQ61))*M61)</f>
        <v>#N/A</v>
      </c>
      <c r="X61" s="320" t="e">
        <f aca="false">IF($A61="N/A"," ",$U61*(8*($BQ61))*N61)</f>
        <v>#N/A</v>
      </c>
      <c r="Y61" s="320" t="e">
        <f aca="false">IF($A61="N/A"," ",$U61*(8*($BR61))*O61)</f>
        <v>#N/A</v>
      </c>
      <c r="Z61" s="320" t="e">
        <f aca="false">IF($A61="N/A"," ",$U61*(8*($BR61))*P61)</f>
        <v>#N/A</v>
      </c>
      <c r="AA61" s="320" t="e">
        <f aca="false">IF($A61="N/A"," ",$U61*(8*($BR61))*Q61)</f>
        <v>#N/A</v>
      </c>
      <c r="AB61" s="320" t="e">
        <f aca="false">IF($A61="N/A"," ",$U61*(8*($BS61))*R61)</f>
        <v>#N/A</v>
      </c>
      <c r="AC61" s="320" t="e">
        <f aca="false">IF($A61="N/A"," ",$U61*(8*($BS61))*S61)</f>
        <v>#N/A</v>
      </c>
      <c r="AD61" s="320" t="e">
        <f aca="false">IF($A61="N/A"," ",$U61*(8*($BS61))*T61)</f>
        <v>#N/A</v>
      </c>
      <c r="AE61" s="320" t="e">
        <f aca="false">IF($A61="N/A"," ",SUM(V61:AD61))</f>
        <v>#N/A</v>
      </c>
      <c r="AF61" s="321" t="n">
        <f aca="false">IF(A61="N/A"," ",(VLOOKUP(A61,PowerVolTable,(IF(VolBMO4=2,7,IF(VolBMO4=1,6,8))),FALSE())))</f>
        <v>0.24</v>
      </c>
      <c r="AG61" s="321" t="n">
        <f aca="false">IF(A61="N/A"," ",(VLOOKUP(A61,IntraPowerVol,(IF(VolBMO4=2,3,IF(VolBMO4=1,2,4))),FALSE())*VLOOKUP(MONTH($A61),Volscale,2)))</f>
        <v>0.54</v>
      </c>
      <c r="AH61" s="321" t="n">
        <f aca="false">IF($A61="N/A"," ",IF(VolType4=1,AG61,AF61))</f>
        <v>0.54</v>
      </c>
      <c r="AI61" s="321" t="n">
        <f aca="false">IF($A61="N/A"," ",(VLOOKUP($A61,OffPwrVolTable,(IF(VolBMO4=2,7,IF(VolBMO4=1,6,8))),FALSE())))</f>
        <v>0.12</v>
      </c>
      <c r="AJ61" s="321" t="n">
        <f aca="false">IF($A61="N/A"," ",(VLOOKUP($A61,OffPwrVolTable,(IF(VolBMO4=2,3,IF(VolBMO4=1,2,4))),FALSE())*VLOOKUP(MONTH($A61),Volscale,2)))</f>
        <v>0.324</v>
      </c>
      <c r="AK61" s="321" t="n">
        <f aca="false">IF($A61="N/A"," ",IF(VolType4=1,AJ61,AI61))</f>
        <v>0.324</v>
      </c>
      <c r="AL61" s="321" t="e">
        <f aca="false">IF($A61="N/A"," ",IF(PV=1,0,'Pricing Inputs4'!R94))</f>
        <v>#N/A</v>
      </c>
      <c r="AM61" s="323" t="e">
        <f aca="false">IF($A61="N/A"," ",(1+AL61/2)^(-2*((EOMONTH(A61,0)+20)-DateToday)/365.25))</f>
        <v>#N/A</v>
      </c>
      <c r="BQ61" s="0" t="n">
        <f aca="false">IF($A61="N/A"," ",(VLOOKUP($A61,NumberofDaysTable,2)))</f>
        <v>22</v>
      </c>
      <c r="BR61" s="0" t="n">
        <f aca="false">IF($A61="N/A"," ",(VLOOKUP($A61,NumberofDaysTable,3)))</f>
        <v>4</v>
      </c>
      <c r="BS61" s="0" t="n">
        <f aca="false">IF($A61="N/A"," ",(VLOOKUP($A61,NumberofDaysTable,4)))</f>
        <v>5</v>
      </c>
    </row>
    <row r="62" customFormat="false" ht="12.75" hidden="false" customHeight="false" outlineLevel="0" collapsed="false">
      <c r="A62" s="315" t="n">
        <f aca="false">IF(A61="N/A","N/A",IF(EDATE(A61,1)&gt;Inputs!$R$5,"N/A",EDATE(A61,1)))</f>
        <v>39022</v>
      </c>
      <c r="B62" s="316" t="n">
        <f aca="false">IF(A62="N/A"," ",YEAR(A62))</f>
        <v>2006</v>
      </c>
      <c r="C62" s="317" t="n">
        <f aca="false">IF($A62="N/A"," ",IF(Dayrun4=10,0,IF(Scaler4=1,(VLOOKUP(A62,ScaledPrice4,4)),(VLOOKUP(A62,ScaledPrice4,2)))))</f>
        <v>32.0815623998642</v>
      </c>
      <c r="D62" s="317" t="n">
        <f aca="false">IF(A62="N/A"," ",IF(Dayrun4&gt;=7,0,IF(Scaler4=2,VLOOKUP(A62,ScaledPrice4,2),(VLOOKUP(A62,ScaledPrice4,2))*(2-(VLOOKUP(A62,ScaledPrice4,3))))))</f>
        <v>32.0815623998642</v>
      </c>
      <c r="E62" s="317" t="n">
        <f aca="false">IF($A62="N/A"," ",IF(AND(Dayrun4&gt;=4,Dayrun4&lt;=9),0,VLOOKUP($A62,ScaledPrice4,9)))</f>
        <v>18.5400009155273</v>
      </c>
      <c r="F62" s="317" t="n">
        <f aca="false">IF(A62="N/A"," ",IF(OR(Dayrun4=2,Dayrun4=3,Dayrun4=5,Dayrun4=6,Dayrun4=8,Dayrun4=9),VLOOKUP(A62,ScaledPrice4,IF(Scaler4=1,6,5)),0))</f>
        <v>0</v>
      </c>
      <c r="G62" s="317" t="n">
        <f aca="false">IF(A62="N/A"," ",IF(OR(Dayrun4=2,Dayrun4=3,Dayrun4=5,Dayrun4=6),IF(Scaler4=2,F62,(VLOOKUP(A62,ScaledPrice4,5))*(2-(VLOOKUP(A62,ScaledPrice4,3)))),0))</f>
        <v>0</v>
      </c>
      <c r="H62" s="317" t="n">
        <f aca="false">IF($A62="N/A"," ",IF(OR(Dayrun4=2,Dayrun4=3,Dayrun4=10),VLOOKUP($A62,ScaledPrice4,9),0))</f>
        <v>0</v>
      </c>
      <c r="I62" s="317" t="n">
        <f aca="false">IF(A62="N/A"," ",IF(OR(Dayrun4=3,Dayrun4=6,Dayrun4=9),(VLOOKUP(A62,ScaledPrice4,IF(Scaler4=2,7,8))),0))</f>
        <v>0</v>
      </c>
      <c r="J62" s="317" t="n">
        <f aca="false">IF(A62="N/A"," ",IF(OR(Dayrun4=3,Dayrun4=6),IF(Scaler4=2,I62,(VLOOKUP(A62,ScaledPrice4,7))*(2-(VLOOKUP(A62,ScaledPrice4,3)))),0))</f>
        <v>0</v>
      </c>
      <c r="K62" s="317" t="n">
        <f aca="false">IF($A62="N/A"," ",IF(OR(Dayrun4=3,Dayrun4=10),VLOOKUP($A62,ScaledPrice4,9),0))</f>
        <v>0</v>
      </c>
      <c r="L62" s="318" t="e">
        <f aca="false">IF($A62="N/A"," ",IF(Pricetype4=2,MAX(C62,0),IF(OR(Pricetype4=1,Pricetype4=4),IF(C62=0,0,(EURO(C62,Strikeprice4,0,0,($AH62+IF(Smile=TRUE(),VLOOKUP(MAX(-5,Strikeprice4-C62),Volsmile,2),0)),($A62-DateToday)+15,IF(Pricetype4=1,1,0),0))),C62)))</f>
        <v>#NAME?</v>
      </c>
      <c r="M62" s="318" t="e">
        <f aca="false">IF($A62="N/A"," ",IF(Pricetype4=2,MAX(D62,0),IF(OR(Pricetype4=1,Pricetype4=4),IF(D62=0,0,(EURO(D62,Strikeprice4,0,0,($AH62+IF(Smile=TRUE(),VLOOKUP(MAX(-5,Strikeprice4-D62),Volsmile,2),0)),($A62-DateToday)+15,IF(Pricetype4=1,1,0),0))),D62)))</f>
        <v>#NAME?</v>
      </c>
      <c r="N62" s="318" t="e">
        <f aca="false">IF($A62="N/A"," ",IF(Pricetype4=2,MAX(E62,0),IF(OR(Pricetype4=1,Pricetype4=4),IF(E62=0,0,(EURO(E62,Strikeprice4,0,0,($AK62+IF(Smile=TRUE(),VLOOKUP(MAX(-5,Strikeprice4-E62),Volsmile,2),0)),($A62-DateToday)+15,IF(Pricetype4=1,1,0),0))),E62)))</f>
        <v>#NAME?</v>
      </c>
      <c r="O62" s="318" t="n">
        <f aca="false">IF($A62="N/A"," ",IF(Pricetype4=2,MAX(F62,0),IF(OR(Pricetype4=1,Pricetype4=4),IF(F62=0,0,(EURO(F62,Strikeprice4,0,0,($AK62+IF(Smile=TRUE(),VLOOKUP(MAX(-5,Strikeprice4-F62),Volsmile,2),0)),($A62-DateToday)+15,IF(Pricetype4=1,1,0),0))),F62)))</f>
        <v>0</v>
      </c>
      <c r="P62" s="318" t="n">
        <f aca="false">IF($A62="N/A"," ",IF(Pricetype4=2,MAX(G62,0),IF(OR(Pricetype4=1,Pricetype4=4),IF(G62=0,0,(EURO(G62,Strikeprice4,0,0,($AK62+IF(Smile=TRUE(),VLOOKUP(MAX(-5,Strikeprice4-G62),Volsmile,2),0)),($A62-DateToday)+15,IF(Pricetype4=1,1,0),0))),G62)))</f>
        <v>0</v>
      </c>
      <c r="Q62" s="318" t="n">
        <f aca="false">IF($A62="N/A"," ",IF(Pricetype4=2,MAX(H62,0),IF(OR(Pricetype4=1,Pricetype4=4),IF(H62=0,0,(EURO(H62,Strikeprice4,0,0,($AK62+IF(Smile=TRUE(),VLOOKUP(MAX(-5,Strikeprice4-H62),Volsmile,2),0)),($A62-DateToday)+15,IF(Pricetype4=1,1,0),0))),H62)))</f>
        <v>0</v>
      </c>
      <c r="R62" s="318" t="n">
        <f aca="false">IF($A62="N/A"," ",IF(Pricetype4=2,MAX(I62,0),IF(OR(Pricetype4=1,Pricetype4=4),IF(I62=0,0,(EURO(I62,Strikeprice4,0,0,($AK62+IF(Smile=TRUE(),VLOOKUP(MAX(-5,Strikeprice4-I62),Volsmile,2),0)),($A62-DateToday)+15,IF(Pricetype4=1,1,0),0))),I62)))</f>
        <v>0</v>
      </c>
      <c r="S62" s="318" t="n">
        <f aca="false">IF($A62="N/A"," ",IF(Pricetype4=2,MAX(J62,0),IF(OR(Pricetype4=1,Pricetype4=4),IF(J62=0,0,(EURO(J62,Strikeprice4,0,0,($AK62+IF(Smile=TRUE(),VLOOKUP(MAX(-5,Strikeprice4-J62),Volsmile,2),0)),($A62-DateToday)+15,IF(Pricetype4=1,1,0),0))),J62)))</f>
        <v>0</v>
      </c>
      <c r="T62" s="318" t="n">
        <f aca="false">IF($A62="N/A"," ",IF(Pricetype4=2,MAX(K62,0),IF(OR(Pricetype4=1,Pricetype4=4),IF(K62=0,0,(EURO(K62,Strikeprice4,0,0,($AK62+IF(Smile=TRUE(),VLOOKUP(MAX(-5,Strikeprice4-K62),Volsmile,2),0)),($A62-DateToday)+15,IF(Pricetype4=1,1,0),0))),K62)))</f>
        <v>0</v>
      </c>
      <c r="U62" s="319" t="e">
        <f aca="false">IF($A62="N/A"," ",Volume4*$AM62)</f>
        <v>#N/A</v>
      </c>
      <c r="V62" s="320" t="e">
        <f aca="false">IF($A62="N/A"," ",$U62*(8*($BQ62))*L62)</f>
        <v>#N/A</v>
      </c>
      <c r="W62" s="320" t="e">
        <f aca="false">IF($A62="N/A"," ",$U62*(8*($BQ62))*M62)</f>
        <v>#N/A</v>
      </c>
      <c r="X62" s="320" t="e">
        <f aca="false">IF($A62="N/A"," ",$U62*(8*($BQ62))*N62)</f>
        <v>#N/A</v>
      </c>
      <c r="Y62" s="320" t="e">
        <f aca="false">IF($A62="N/A"," ",$U62*(8*($BR62))*O62)</f>
        <v>#N/A</v>
      </c>
      <c r="Z62" s="320" t="e">
        <f aca="false">IF($A62="N/A"," ",$U62*(8*($BR62))*P62)</f>
        <v>#N/A</v>
      </c>
      <c r="AA62" s="320" t="e">
        <f aca="false">IF($A62="N/A"," ",$U62*(8*($BR62))*Q62)</f>
        <v>#N/A</v>
      </c>
      <c r="AB62" s="320" t="e">
        <f aca="false">IF($A62="N/A"," ",$U62*(8*($BS62))*R62)</f>
        <v>#N/A</v>
      </c>
      <c r="AC62" s="320" t="e">
        <f aca="false">IF($A62="N/A"," ",$U62*(8*($BS62))*S62)</f>
        <v>#N/A</v>
      </c>
      <c r="AD62" s="320" t="e">
        <f aca="false">IF($A62="N/A"," ",$U62*(8*($BS62))*T62)</f>
        <v>#N/A</v>
      </c>
      <c r="AE62" s="320" t="e">
        <f aca="false">IF($A62="N/A"," ",SUM(V62:AD62))</f>
        <v>#N/A</v>
      </c>
      <c r="AF62" s="321" t="n">
        <f aca="false">IF(A62="N/A"," ",(VLOOKUP(A62,PowerVolTable,(IF(VolBMO4=2,7,IF(VolBMO4=1,6,8))),FALSE())))</f>
        <v>0.24</v>
      </c>
      <c r="AG62" s="321" t="n">
        <f aca="false">IF(A62="N/A"," ",(VLOOKUP(A62,IntraPowerVol,(IF(VolBMO4=2,3,IF(VolBMO4=1,2,4))),FALSE())*VLOOKUP(MONTH($A62),Volscale,2)))</f>
        <v>0.42</v>
      </c>
      <c r="AH62" s="321" t="n">
        <f aca="false">IF($A62="N/A"," ",IF(VolType4=1,AG62,AF62))</f>
        <v>0.42</v>
      </c>
      <c r="AI62" s="321" t="n">
        <f aca="false">IF($A62="N/A"," ",(VLOOKUP($A62,OffPwrVolTable,(IF(VolBMO4=2,7,IF(VolBMO4=1,6,8))),FALSE())))</f>
        <v>0.12</v>
      </c>
      <c r="AJ62" s="321" t="n">
        <f aca="false">IF($A62="N/A"," ",(VLOOKUP($A62,OffPwrVolTable,(IF(VolBMO4=2,3,IF(VolBMO4=1,2,4))),FALSE())*VLOOKUP(MONTH($A62),Volscale,2)))</f>
        <v>0.252</v>
      </c>
      <c r="AK62" s="321" t="n">
        <f aca="false">IF($A62="N/A"," ",IF(VolType4=1,AJ62,AI62))</f>
        <v>0.252</v>
      </c>
      <c r="AL62" s="321" t="e">
        <f aca="false">IF($A62="N/A"," ",IF(PV=1,0,'Pricing Inputs4'!R95))</f>
        <v>#N/A</v>
      </c>
      <c r="AM62" s="323" t="e">
        <f aca="false">IF($A62="N/A"," ",(1+AL62/2)^(-2*((EOMONTH(A62,0)+20)-DateToday)/365.25))</f>
        <v>#N/A</v>
      </c>
      <c r="BQ62" s="0" t="n">
        <f aca="false">IF($A62="N/A"," ",(VLOOKUP($A62,NumberofDaysTable,2)))</f>
        <v>21</v>
      </c>
      <c r="BR62" s="0" t="n">
        <f aca="false">IF($A62="N/A"," ",(VLOOKUP($A62,NumberofDaysTable,3)))</f>
        <v>4</v>
      </c>
      <c r="BS62" s="0" t="n">
        <f aca="false">IF($A62="N/A"," ",(VLOOKUP($A62,NumberofDaysTable,4)))</f>
        <v>5</v>
      </c>
    </row>
    <row r="63" customFormat="false" ht="12.75" hidden="false" customHeight="false" outlineLevel="0" collapsed="false">
      <c r="A63" s="315" t="n">
        <f aca="false">IF(A62="N/A","N/A",IF(EDATE(A62,1)&gt;Inputs!$R$5,"N/A",EDATE(A62,1)))</f>
        <v>39052</v>
      </c>
      <c r="B63" s="316" t="n">
        <f aca="false">IF(A63="N/A"," ",YEAR(A63))</f>
        <v>2006</v>
      </c>
      <c r="C63" s="317" t="n">
        <f aca="false">IF($A63="N/A"," ",IF(Dayrun4=10,0,IF(Scaler4=1,(VLOOKUP(A63,ScaledPrice4,4)),(VLOOKUP(A63,ScaledPrice4,2)))))</f>
        <v>32.1815608739853</v>
      </c>
      <c r="D63" s="317" t="n">
        <f aca="false">IF(A63="N/A"," ",IF(Dayrun4&gt;=7,0,IF(Scaler4=2,VLOOKUP(A63,ScaledPrice4,2),(VLOOKUP(A63,ScaledPrice4,2))*(2-(VLOOKUP(A63,ScaledPrice4,3))))))</f>
        <v>32.1815608739853</v>
      </c>
      <c r="E63" s="317" t="n">
        <f aca="false">IF($A63="N/A"," ",IF(AND(Dayrun4&gt;=4,Dayrun4&lt;=9),0,VLOOKUP($A63,ScaledPrice4,9)))</f>
        <v>20.7900009155273</v>
      </c>
      <c r="F63" s="317" t="n">
        <f aca="false">IF(A63="N/A"," ",IF(OR(Dayrun4=2,Dayrun4=3,Dayrun4=5,Dayrun4=6,Dayrun4=8,Dayrun4=9),VLOOKUP(A63,ScaledPrice4,IF(Scaler4=1,6,5)),0))</f>
        <v>0</v>
      </c>
      <c r="G63" s="317" t="n">
        <f aca="false">IF(A63="N/A"," ",IF(OR(Dayrun4=2,Dayrun4=3,Dayrun4=5,Dayrun4=6),IF(Scaler4=2,F63,(VLOOKUP(A63,ScaledPrice4,5))*(2-(VLOOKUP(A63,ScaledPrice4,3)))),0))</f>
        <v>0</v>
      </c>
      <c r="H63" s="317" t="n">
        <f aca="false">IF($A63="N/A"," ",IF(OR(Dayrun4=2,Dayrun4=3,Dayrun4=10),VLOOKUP($A63,ScaledPrice4,9),0))</f>
        <v>0</v>
      </c>
      <c r="I63" s="317" t="n">
        <f aca="false">IF(A63="N/A"," ",IF(OR(Dayrun4=3,Dayrun4=6,Dayrun4=9),(VLOOKUP(A63,ScaledPrice4,IF(Scaler4=2,7,8))),0))</f>
        <v>0</v>
      </c>
      <c r="J63" s="317" t="n">
        <f aca="false">IF(A63="N/A"," ",IF(OR(Dayrun4=3,Dayrun4=6),IF(Scaler4=2,I63,(VLOOKUP(A63,ScaledPrice4,7))*(2-(VLOOKUP(A63,ScaledPrice4,3)))),0))</f>
        <v>0</v>
      </c>
      <c r="K63" s="317" t="n">
        <f aca="false">IF($A63="N/A"," ",IF(OR(Dayrun4=3,Dayrun4=10),VLOOKUP($A63,ScaledPrice4,9),0))</f>
        <v>0</v>
      </c>
      <c r="L63" s="318" t="e">
        <f aca="false">IF($A63="N/A"," ",IF(Pricetype4=2,MAX(C63,0),IF(OR(Pricetype4=1,Pricetype4=4),IF(C63=0,0,(EURO(C63,Strikeprice4,0,0,($AH63+IF(Smile=TRUE(),VLOOKUP(MAX(-5,Strikeprice4-C63),Volsmile,2),0)),($A63-DateToday)+15,IF(Pricetype4=1,1,0),0))),C63)))</f>
        <v>#NAME?</v>
      </c>
      <c r="M63" s="318" t="e">
        <f aca="false">IF($A63="N/A"," ",IF(Pricetype4=2,MAX(D63,0),IF(OR(Pricetype4=1,Pricetype4=4),IF(D63=0,0,(EURO(D63,Strikeprice4,0,0,($AH63+IF(Smile=TRUE(),VLOOKUP(MAX(-5,Strikeprice4-D63),Volsmile,2),0)),($A63-DateToday)+15,IF(Pricetype4=1,1,0),0))),D63)))</f>
        <v>#NAME?</v>
      </c>
      <c r="N63" s="318" t="e">
        <f aca="false">IF($A63="N/A"," ",IF(Pricetype4=2,MAX(E63,0),IF(OR(Pricetype4=1,Pricetype4=4),IF(E63=0,0,(EURO(E63,Strikeprice4,0,0,($AK63+IF(Smile=TRUE(),VLOOKUP(MAX(-5,Strikeprice4-E63),Volsmile,2),0)),($A63-DateToday)+15,IF(Pricetype4=1,1,0),0))),E63)))</f>
        <v>#NAME?</v>
      </c>
      <c r="O63" s="318" t="n">
        <f aca="false">IF($A63="N/A"," ",IF(Pricetype4=2,MAX(F63,0),IF(OR(Pricetype4=1,Pricetype4=4),IF(F63=0,0,(EURO(F63,Strikeprice4,0,0,($AK63+IF(Smile=TRUE(),VLOOKUP(MAX(-5,Strikeprice4-F63),Volsmile,2),0)),($A63-DateToday)+15,IF(Pricetype4=1,1,0),0))),F63)))</f>
        <v>0</v>
      </c>
      <c r="P63" s="318" t="n">
        <f aca="false">IF($A63="N/A"," ",IF(Pricetype4=2,MAX(G63,0),IF(OR(Pricetype4=1,Pricetype4=4),IF(G63=0,0,(EURO(G63,Strikeprice4,0,0,($AK63+IF(Smile=TRUE(),VLOOKUP(MAX(-5,Strikeprice4-G63),Volsmile,2),0)),($A63-DateToday)+15,IF(Pricetype4=1,1,0),0))),G63)))</f>
        <v>0</v>
      </c>
      <c r="Q63" s="318" t="n">
        <f aca="false">IF($A63="N/A"," ",IF(Pricetype4=2,MAX(H63,0),IF(OR(Pricetype4=1,Pricetype4=4),IF(H63=0,0,(EURO(H63,Strikeprice4,0,0,($AK63+IF(Smile=TRUE(),VLOOKUP(MAX(-5,Strikeprice4-H63),Volsmile,2),0)),($A63-DateToday)+15,IF(Pricetype4=1,1,0),0))),H63)))</f>
        <v>0</v>
      </c>
      <c r="R63" s="318" t="n">
        <f aca="false">IF($A63="N/A"," ",IF(Pricetype4=2,MAX(I63,0),IF(OR(Pricetype4=1,Pricetype4=4),IF(I63=0,0,(EURO(I63,Strikeprice4,0,0,($AK63+IF(Smile=TRUE(),VLOOKUP(MAX(-5,Strikeprice4-I63),Volsmile,2),0)),($A63-DateToday)+15,IF(Pricetype4=1,1,0),0))),I63)))</f>
        <v>0</v>
      </c>
      <c r="S63" s="318" t="n">
        <f aca="false">IF($A63="N/A"," ",IF(Pricetype4=2,MAX(J63,0),IF(OR(Pricetype4=1,Pricetype4=4),IF(J63=0,0,(EURO(J63,Strikeprice4,0,0,($AK63+IF(Smile=TRUE(),VLOOKUP(MAX(-5,Strikeprice4-J63),Volsmile,2),0)),($A63-DateToday)+15,IF(Pricetype4=1,1,0),0))),J63)))</f>
        <v>0</v>
      </c>
      <c r="T63" s="318" t="n">
        <f aca="false">IF($A63="N/A"," ",IF(Pricetype4=2,MAX(K63,0),IF(OR(Pricetype4=1,Pricetype4=4),IF(K63=0,0,(EURO(K63,Strikeprice4,0,0,($AK63+IF(Smile=TRUE(),VLOOKUP(MAX(-5,Strikeprice4-K63),Volsmile,2),0)),($A63-DateToday)+15,IF(Pricetype4=1,1,0),0))),K63)))</f>
        <v>0</v>
      </c>
      <c r="U63" s="319" t="e">
        <f aca="false">IF($A63="N/A"," ",Volume4*$AM63)</f>
        <v>#N/A</v>
      </c>
      <c r="V63" s="320" t="e">
        <f aca="false">IF($A63="N/A"," ",$U63*(8*($BQ63))*L63)</f>
        <v>#N/A</v>
      </c>
      <c r="W63" s="320" t="e">
        <f aca="false">IF($A63="N/A"," ",$U63*(8*($BQ63))*M63)</f>
        <v>#N/A</v>
      </c>
      <c r="X63" s="320" t="e">
        <f aca="false">IF($A63="N/A"," ",$U63*(8*($BQ63))*N63)</f>
        <v>#N/A</v>
      </c>
      <c r="Y63" s="320" t="e">
        <f aca="false">IF($A63="N/A"," ",$U63*(8*($BR63))*O63)</f>
        <v>#N/A</v>
      </c>
      <c r="Z63" s="320" t="e">
        <f aca="false">IF($A63="N/A"," ",$U63*(8*($BR63))*P63)</f>
        <v>#N/A</v>
      </c>
      <c r="AA63" s="320" t="e">
        <f aca="false">IF($A63="N/A"," ",$U63*(8*($BR63))*Q63)</f>
        <v>#N/A</v>
      </c>
      <c r="AB63" s="320" t="e">
        <f aca="false">IF($A63="N/A"," ",$U63*(8*($BS63))*R63)</f>
        <v>#N/A</v>
      </c>
      <c r="AC63" s="320" t="e">
        <f aca="false">IF($A63="N/A"," ",$U63*(8*($BS63))*S63)</f>
        <v>#N/A</v>
      </c>
      <c r="AD63" s="320" t="e">
        <f aca="false">IF($A63="N/A"," ",$U63*(8*($BS63))*T63)</f>
        <v>#N/A</v>
      </c>
      <c r="AE63" s="320" t="e">
        <f aca="false">IF($A63="N/A"," ",SUM(V63:AD63))</f>
        <v>#N/A</v>
      </c>
      <c r="AF63" s="321" t="n">
        <f aca="false">IF(A63="N/A"," ",(VLOOKUP(A63,PowerVolTable,(IF(VolBMO4=2,7,IF(VolBMO4=1,6,8))),FALSE())))</f>
        <v>0.24</v>
      </c>
      <c r="AG63" s="321" t="n">
        <f aca="false">IF(A63="N/A"," ",(VLOOKUP(A63,IntraPowerVol,(IF(VolBMO4=2,3,IF(VolBMO4=1,2,4))),FALSE())*VLOOKUP(MONTH($A63),Volscale,2)))</f>
        <v>0.42</v>
      </c>
      <c r="AH63" s="321" t="n">
        <f aca="false">IF($A63="N/A"," ",IF(VolType4=1,AG63,AF63))</f>
        <v>0.42</v>
      </c>
      <c r="AI63" s="321" t="n">
        <f aca="false">IF($A63="N/A"," ",(VLOOKUP($A63,OffPwrVolTable,(IF(VolBMO4=2,7,IF(VolBMO4=1,6,8))),FALSE())))</f>
        <v>0.12</v>
      </c>
      <c r="AJ63" s="321" t="n">
        <f aca="false">IF($A63="N/A"," ",(VLOOKUP($A63,OffPwrVolTable,(IF(VolBMO4=2,3,IF(VolBMO4=1,2,4))),FALSE())*VLOOKUP(MONTH($A63),Volscale,2)))</f>
        <v>0.252</v>
      </c>
      <c r="AK63" s="321" t="n">
        <f aca="false">IF($A63="N/A"," ",IF(VolType4=1,AJ63,AI63))</f>
        <v>0.252</v>
      </c>
      <c r="AL63" s="321" t="e">
        <f aca="false">IF($A63="N/A"," ",IF(PV=1,0,'Pricing Inputs4'!R96))</f>
        <v>#N/A</v>
      </c>
      <c r="AM63" s="323" t="e">
        <f aca="false">IF($A63="N/A"," ",(1+AL63/2)^(-2*((EOMONTH(A63,0)+20)-DateToday)/365.25))</f>
        <v>#N/A</v>
      </c>
      <c r="BQ63" s="0" t="n">
        <f aca="false">IF($A63="N/A"," ",(VLOOKUP($A63,NumberofDaysTable,2)))</f>
        <v>20</v>
      </c>
      <c r="BR63" s="0" t="n">
        <f aca="false">IF($A63="N/A"," ",(VLOOKUP($A63,NumberofDaysTable,3)))</f>
        <v>5</v>
      </c>
      <c r="BS63" s="0" t="n">
        <f aca="false">IF($A63="N/A"," ",(VLOOKUP($A63,NumberofDaysTable,4)))</f>
        <v>6</v>
      </c>
    </row>
    <row r="64" customFormat="false" ht="12.75" hidden="false" customHeight="false" outlineLevel="0" collapsed="false">
      <c r="A64" s="315" t="str">
        <f aca="false">IF(A63="N/A","N/A",IF(EDATE(A63,1)&gt;Inputs!$R$5,"N/A",EDATE(A63,1)))</f>
        <v>N/A</v>
      </c>
      <c r="B64" s="316" t="str">
        <f aca="false">IF(A64="N/A"," ",YEAR(A64))</f>
        <v> </v>
      </c>
      <c r="C64" s="317" t="str">
        <f aca="false">IF($A64="N/A"," ",IF(Dayrun4=10,0,IF(Scaler4=1,(VLOOKUP(A64,ScaledPrice4,4)),(VLOOKUP(A64,ScaledPrice4,2)))))</f>
        <v> </v>
      </c>
      <c r="D64" s="317" t="str">
        <f aca="false">IF(A64="N/A"," ",IF(Dayrun4&gt;=7,0,IF(Scaler4=2,VLOOKUP(A64,ScaledPrice4,2),(VLOOKUP(A64,ScaledPrice4,2))*(2-(VLOOKUP(A64,ScaledPrice4,3))))))</f>
        <v> </v>
      </c>
      <c r="E64" s="317" t="str">
        <f aca="false">IF($A64="N/A"," ",IF(AND(Dayrun4&gt;=4,Dayrun4&lt;=9),0,VLOOKUP($A64,ScaledPrice4,9)))</f>
        <v> </v>
      </c>
      <c r="F64" s="317" t="str">
        <f aca="false">IF(A64="N/A"," ",IF(OR(Dayrun4=2,Dayrun4=3,Dayrun4=5,Dayrun4=6,Dayrun4=8,Dayrun4=9),VLOOKUP(A64,ScaledPrice4,IF(Scaler4=1,6,5)),0))</f>
        <v> </v>
      </c>
      <c r="G64" s="317" t="str">
        <f aca="false">IF(A64="N/A"," ",IF(OR(Dayrun4=2,Dayrun4=3,Dayrun4=5,Dayrun4=6),IF(Scaler4=2,F64,(VLOOKUP(A64,ScaledPrice4,5))*(2-(VLOOKUP(A64,ScaledPrice4,3)))),0))</f>
        <v> </v>
      </c>
      <c r="H64" s="317" t="str">
        <f aca="false">IF($A64="N/A"," ",IF(OR(Dayrun4=2,Dayrun4=3,Dayrun4=10),VLOOKUP($A64,ScaledPrice4,9),0))</f>
        <v> </v>
      </c>
      <c r="I64" s="317" t="str">
        <f aca="false">IF(A64="N/A"," ",IF(OR(Dayrun4=3,Dayrun4=6,Dayrun4=9),(VLOOKUP(A64,ScaledPrice4,IF(Scaler4=2,7,8))),0))</f>
        <v> </v>
      </c>
      <c r="J64" s="317" t="str">
        <f aca="false">IF(A64="N/A"," ",IF(OR(Dayrun4=3,Dayrun4=6),IF(Scaler4=2,I64,(VLOOKUP(A64,ScaledPrice4,7))*(2-(VLOOKUP(A64,ScaledPrice4,3)))),0))</f>
        <v> </v>
      </c>
      <c r="K64" s="317" t="str">
        <f aca="false">IF($A64="N/A"," ",IF(OR(Dayrun4=3,Dayrun4=10),VLOOKUP($A64,ScaledPrice4,9),0))</f>
        <v> </v>
      </c>
      <c r="L64" s="318" t="str">
        <f aca="false">IF($A64="N/A"," ",IF(Pricetype4=2,MAX(C64,0),IF(OR(Pricetype4=1,Pricetype4=4),IF(C64=0,0,(EURO(C64,Strikeprice4,0,0,($AH64+IF(Smile=TRUE(),VLOOKUP(MAX(-5,Strikeprice4-C64),Volsmile,2),0)),($A64-DateToday)+15,IF(Pricetype4=1,1,0),0))),C64)))</f>
        <v> </v>
      </c>
      <c r="M64" s="318" t="str">
        <f aca="false">IF($A64="N/A"," ",IF(Pricetype4=2,MAX(D64,0),IF(OR(Pricetype4=1,Pricetype4=4),IF(D64=0,0,(EURO(D64,Strikeprice4,0,0,($AH64+IF(Smile=TRUE(),VLOOKUP(MAX(-5,Strikeprice4-D64),Volsmile,2),0)),($A64-DateToday)+15,IF(Pricetype4=1,1,0),0))),D64)))</f>
        <v> </v>
      </c>
      <c r="N64" s="318" t="str">
        <f aca="false">IF($A64="N/A"," ",IF(Pricetype4=2,MAX(E64,0),IF(OR(Pricetype4=1,Pricetype4=4),IF(E64=0,0,(EURO(E64,Strikeprice4,0,0,($AK64+IF(Smile=TRUE(),VLOOKUP(MAX(-5,Strikeprice4-E64),Volsmile,2),0)),($A64-DateToday)+15,IF(Pricetype4=1,1,0),0))),E64)))</f>
        <v> </v>
      </c>
      <c r="O64" s="318" t="str">
        <f aca="false">IF($A64="N/A"," ",IF(Pricetype4=2,MAX(F64,0),IF(OR(Pricetype4=1,Pricetype4=4),IF(F64=0,0,(EURO(F64,Strikeprice4,0,0,($AK64+IF(Smile=TRUE(),VLOOKUP(MAX(-5,Strikeprice4-F64),Volsmile,2),0)),($A64-DateToday)+15,IF(Pricetype4=1,1,0),0))),F64)))</f>
        <v> </v>
      </c>
      <c r="P64" s="318" t="str">
        <f aca="false">IF($A64="N/A"," ",IF(Pricetype4=2,MAX(G64,0),IF(OR(Pricetype4=1,Pricetype4=4),IF(G64=0,0,(EURO(G64,Strikeprice4,0,0,($AK64+IF(Smile=TRUE(),VLOOKUP(MAX(-5,Strikeprice4-G64),Volsmile,2),0)),($A64-DateToday)+15,IF(Pricetype4=1,1,0),0))),G64)))</f>
        <v> </v>
      </c>
      <c r="Q64" s="318" t="str">
        <f aca="false">IF($A64="N/A"," ",IF(Pricetype4=2,MAX(H64,0),IF(OR(Pricetype4=1,Pricetype4=4),IF(H64=0,0,(EURO(H64,Strikeprice4,0,0,($AK64+IF(Smile=TRUE(),VLOOKUP(MAX(-5,Strikeprice4-H64),Volsmile,2),0)),($A64-DateToday)+15,IF(Pricetype4=1,1,0),0))),H64)))</f>
        <v> </v>
      </c>
      <c r="R64" s="318" t="str">
        <f aca="false">IF($A64="N/A"," ",IF(Pricetype4=2,MAX(I64,0),IF(OR(Pricetype4=1,Pricetype4=4),IF(I64=0,0,(EURO(I64,Strikeprice4,0,0,($AK64+IF(Smile=TRUE(),VLOOKUP(MAX(-5,Strikeprice4-I64),Volsmile,2),0)),($A64-DateToday)+15,IF(Pricetype4=1,1,0),0))),I64)))</f>
        <v> </v>
      </c>
      <c r="S64" s="318" t="str">
        <f aca="false">IF($A64="N/A"," ",IF(Pricetype4=2,MAX(J64,0),IF(OR(Pricetype4=1,Pricetype4=4),IF(J64=0,0,(EURO(J64,Strikeprice4,0,0,($AK64+IF(Smile=TRUE(),VLOOKUP(MAX(-5,Strikeprice4-J64),Volsmile,2),0)),($A64-DateToday)+15,IF(Pricetype4=1,1,0),0))),J64)))</f>
        <v> </v>
      </c>
      <c r="T64" s="318" t="str">
        <f aca="false">IF($A64="N/A"," ",IF(Pricetype4=2,MAX(K64,0),IF(OR(Pricetype4=1,Pricetype4=4),IF(K64=0,0,(EURO(K64,Strikeprice4,0,0,($AK64+IF(Smile=TRUE(),VLOOKUP(MAX(-5,Strikeprice4-K64),Volsmile,2),0)),($A64-DateToday)+15,IF(Pricetype4=1,1,0),0))),K64)))</f>
        <v> </v>
      </c>
      <c r="U64" s="319" t="str">
        <f aca="false">IF($A64="N/A"," ",Volume4*$AM64)</f>
        <v> </v>
      </c>
      <c r="V64" s="320" t="str">
        <f aca="false">IF($A64="N/A"," ",$U64*(8*($BQ64))*L64)</f>
        <v> </v>
      </c>
      <c r="W64" s="320" t="str">
        <f aca="false">IF($A64="N/A"," ",$U64*(8*($BQ64))*M64)</f>
        <v> </v>
      </c>
      <c r="X64" s="320" t="str">
        <f aca="false">IF($A64="N/A"," ",$U64*(8*($BQ64))*N64)</f>
        <v> </v>
      </c>
      <c r="Y64" s="320" t="str">
        <f aca="false">IF($A64="N/A"," ",$U64*(8*($BR64))*O64)</f>
        <v> </v>
      </c>
      <c r="Z64" s="320" t="str">
        <f aca="false">IF($A64="N/A"," ",$U64*(8*($BR64))*P64)</f>
        <v> </v>
      </c>
      <c r="AA64" s="320" t="str">
        <f aca="false">IF($A64="N/A"," ",$U64*(8*($BR64))*Q64)</f>
        <v> </v>
      </c>
      <c r="AB64" s="320" t="str">
        <f aca="false">IF($A64="N/A"," ",$U64*(8*($BS64))*R64)</f>
        <v> </v>
      </c>
      <c r="AC64" s="320" t="str">
        <f aca="false">IF($A64="N/A"," ",$U64*(8*($BS64))*S64)</f>
        <v> </v>
      </c>
      <c r="AD64" s="320" t="str">
        <f aca="false">IF($A64="N/A"," ",$U64*(8*($BS64))*T64)</f>
        <v> </v>
      </c>
      <c r="AE64" s="320" t="str">
        <f aca="false">IF($A64="N/A"," ",SUM(V64:AD64))</f>
        <v> </v>
      </c>
      <c r="AF64" s="321" t="str">
        <f aca="false">IF(A64="N/A"," ",(VLOOKUP(A64,PowerVolTable,(IF(VolBMO4=2,7,IF(VolBMO4=1,6,8))),FALSE())))</f>
        <v> </v>
      </c>
      <c r="AG64" s="321" t="str">
        <f aca="false">IF(A64="N/A"," ",(VLOOKUP(A64,IntraPowerVol,(IF(VolBMO4=2,3,IF(VolBMO4=1,2,4))),FALSE())*VLOOKUP(MONTH($A64),Volscale,2)))</f>
        <v> </v>
      </c>
      <c r="AH64" s="321" t="str">
        <f aca="false">IF($A64="N/A"," ",IF(VolType4=1,AG64,AF64))</f>
        <v> </v>
      </c>
      <c r="AI64" s="321" t="str">
        <f aca="false">IF($A64="N/A"," ",(VLOOKUP($A64,OffPwrVolTable,(IF(VolBMO4=2,7,IF(VolBMO4=1,6,8))),FALSE())))</f>
        <v> </v>
      </c>
      <c r="AJ64" s="321" t="str">
        <f aca="false">IF($A64="N/A"," ",(VLOOKUP($A64,OffPwrVolTable,(IF(VolBMO4=2,3,IF(VolBMO4=1,2,4))),FALSE())*VLOOKUP(MONTH($A64),Volscale,2)))</f>
        <v> </v>
      </c>
      <c r="AK64" s="321" t="str">
        <f aca="false">IF($A64="N/A"," ",IF(VolType4=1,AJ64,AI64))</f>
        <v> </v>
      </c>
      <c r="AL64" s="321" t="str">
        <f aca="false">IF($A64="N/A"," ",IF(PV=1,0,'Pricing Inputs4'!R97))</f>
        <v> </v>
      </c>
      <c r="AM64" s="323" t="str">
        <f aca="false">IF($A64="N/A"," ",(1+AL64/2)^(-2*((EOMONTH(A64,0)+20)-DateToday)/365.25))</f>
        <v> </v>
      </c>
      <c r="BQ64" s="0" t="str">
        <f aca="false">IF($A64="N/A"," ",(VLOOKUP($A64,NumberofDaysTable,2)))</f>
        <v> </v>
      </c>
      <c r="BR64" s="0" t="str">
        <f aca="false">IF($A64="N/A"," ",(VLOOKUP($A64,NumberofDaysTable,3)))</f>
        <v> </v>
      </c>
      <c r="BS64" s="0" t="str">
        <f aca="false">IF($A64="N/A"," ",(VLOOKUP($A64,NumberofDaysTable,4)))</f>
        <v> </v>
      </c>
    </row>
    <row r="65" customFormat="false" ht="12.75" hidden="false" customHeight="false" outlineLevel="0" collapsed="false">
      <c r="A65" s="315" t="str">
        <f aca="false">IF(A64="N/A","N/A",IF(EDATE(A64,1)&gt;Inputs!$R$5,"N/A",EDATE(A64,1)))</f>
        <v>N/A</v>
      </c>
      <c r="B65" s="316" t="str">
        <f aca="false">IF(A65="N/A"," ",YEAR(A65))</f>
        <v> </v>
      </c>
      <c r="C65" s="317" t="str">
        <f aca="false">IF($A65="N/A"," ",IF(Dayrun4=10,0,IF(Scaler4=1,(VLOOKUP(A65,ScaledPrice4,4)),(VLOOKUP(A65,ScaledPrice4,2)))))</f>
        <v> </v>
      </c>
      <c r="D65" s="317" t="str">
        <f aca="false">IF(A65="N/A"," ",IF(Dayrun4&gt;=7,0,IF(Scaler4=2,VLOOKUP(A65,ScaledPrice4,2),(VLOOKUP(A65,ScaledPrice4,2))*(2-(VLOOKUP(A65,ScaledPrice4,3))))))</f>
        <v> </v>
      </c>
      <c r="E65" s="317" t="str">
        <f aca="false">IF($A65="N/A"," ",IF(AND(Dayrun4&gt;=4,Dayrun4&lt;=9),0,VLOOKUP($A65,ScaledPrice4,9)))</f>
        <v> </v>
      </c>
      <c r="F65" s="317" t="str">
        <f aca="false">IF(A65="N/A"," ",IF(OR(Dayrun4=2,Dayrun4=3,Dayrun4=5,Dayrun4=6,Dayrun4=8,Dayrun4=9),VLOOKUP(A65,ScaledPrice4,IF(Scaler4=1,6,5)),0))</f>
        <v> </v>
      </c>
      <c r="G65" s="317" t="str">
        <f aca="false">IF(A65="N/A"," ",IF(OR(Dayrun4=2,Dayrun4=3,Dayrun4=5,Dayrun4=6),IF(Scaler4=2,F65,(VLOOKUP(A65,ScaledPrice4,5))*(2-(VLOOKUP(A65,ScaledPrice4,3)))),0))</f>
        <v> </v>
      </c>
      <c r="H65" s="317" t="str">
        <f aca="false">IF($A65="N/A"," ",IF(OR(Dayrun4=2,Dayrun4=3,Dayrun4=10),VLOOKUP($A65,ScaledPrice4,9),0))</f>
        <v> </v>
      </c>
      <c r="I65" s="317" t="str">
        <f aca="false">IF(A65="N/A"," ",IF(OR(Dayrun4=3,Dayrun4=6,Dayrun4=9),(VLOOKUP(A65,ScaledPrice4,IF(Scaler4=2,7,8))),0))</f>
        <v> </v>
      </c>
      <c r="J65" s="317" t="str">
        <f aca="false">IF(A65="N/A"," ",IF(OR(Dayrun4=3,Dayrun4=6),IF(Scaler4=2,I65,(VLOOKUP(A65,ScaledPrice4,7))*(2-(VLOOKUP(A65,ScaledPrice4,3)))),0))</f>
        <v> </v>
      </c>
      <c r="K65" s="317" t="str">
        <f aca="false">IF($A65="N/A"," ",IF(OR(Dayrun4=3,Dayrun4=10),VLOOKUP($A65,ScaledPrice4,9),0))</f>
        <v> </v>
      </c>
      <c r="L65" s="318" t="str">
        <f aca="false">IF($A65="N/A"," ",IF(Pricetype4=2,MAX(C65,0),IF(OR(Pricetype4=1,Pricetype4=4),IF(C65=0,0,(EURO(C65,Strikeprice4,0,0,($AH65+IF(Smile=TRUE(),VLOOKUP(MAX(-5,Strikeprice4-C65),Volsmile,2),0)),($A65-DateToday)+15,IF(Pricetype4=1,1,0),0))),C65)))</f>
        <v> </v>
      </c>
      <c r="M65" s="318" t="str">
        <f aca="false">IF($A65="N/A"," ",IF(Pricetype4=2,MAX(D65,0),IF(OR(Pricetype4=1,Pricetype4=4),IF(D65=0,0,(EURO(D65,Strikeprice4,0,0,($AH65+IF(Smile=TRUE(),VLOOKUP(MAX(-5,Strikeprice4-D65),Volsmile,2),0)),($A65-DateToday)+15,IF(Pricetype4=1,1,0),0))),D65)))</f>
        <v> </v>
      </c>
      <c r="N65" s="318" t="str">
        <f aca="false">IF($A65="N/A"," ",IF(Pricetype4=2,MAX(E65,0),IF(OR(Pricetype4=1,Pricetype4=4),IF(E65=0,0,(EURO(E65,Strikeprice4,0,0,($AK65+IF(Smile=TRUE(),VLOOKUP(MAX(-5,Strikeprice4-E65),Volsmile,2),0)),($A65-DateToday)+15,IF(Pricetype4=1,1,0),0))),E65)))</f>
        <v> </v>
      </c>
      <c r="O65" s="318" t="str">
        <f aca="false">IF($A65="N/A"," ",IF(Pricetype4=2,MAX(F65,0),IF(OR(Pricetype4=1,Pricetype4=4),IF(F65=0,0,(EURO(F65,Strikeprice4,0,0,($AK65+IF(Smile=TRUE(),VLOOKUP(MAX(-5,Strikeprice4-F65),Volsmile,2),0)),($A65-DateToday)+15,IF(Pricetype4=1,1,0),0))),F65)))</f>
        <v> </v>
      </c>
      <c r="P65" s="318" t="str">
        <f aca="false">IF($A65="N/A"," ",IF(Pricetype4=2,MAX(G65,0),IF(OR(Pricetype4=1,Pricetype4=4),IF(G65=0,0,(EURO(G65,Strikeprice4,0,0,($AK65+IF(Smile=TRUE(),VLOOKUP(MAX(-5,Strikeprice4-G65),Volsmile,2),0)),($A65-DateToday)+15,IF(Pricetype4=1,1,0),0))),G65)))</f>
        <v> </v>
      </c>
      <c r="Q65" s="318" t="str">
        <f aca="false">IF($A65="N/A"," ",IF(Pricetype4=2,MAX(H65,0),IF(OR(Pricetype4=1,Pricetype4=4),IF(H65=0,0,(EURO(H65,Strikeprice4,0,0,($AK65+IF(Smile=TRUE(),VLOOKUP(MAX(-5,Strikeprice4-H65),Volsmile,2),0)),($A65-DateToday)+15,IF(Pricetype4=1,1,0),0))),H65)))</f>
        <v> </v>
      </c>
      <c r="R65" s="318" t="str">
        <f aca="false">IF($A65="N/A"," ",IF(Pricetype4=2,MAX(I65,0),IF(OR(Pricetype4=1,Pricetype4=4),IF(I65=0,0,(EURO(I65,Strikeprice4,0,0,($AK65+IF(Smile=TRUE(),VLOOKUP(MAX(-5,Strikeprice4-I65),Volsmile,2),0)),($A65-DateToday)+15,IF(Pricetype4=1,1,0),0))),I65)))</f>
        <v> </v>
      </c>
      <c r="S65" s="318" t="str">
        <f aca="false">IF($A65="N/A"," ",IF(Pricetype4=2,MAX(J65,0),IF(OR(Pricetype4=1,Pricetype4=4),IF(J65=0,0,(EURO(J65,Strikeprice4,0,0,($AK65+IF(Smile=TRUE(),VLOOKUP(MAX(-5,Strikeprice4-J65),Volsmile,2),0)),($A65-DateToday)+15,IF(Pricetype4=1,1,0),0))),J65)))</f>
        <v> </v>
      </c>
      <c r="T65" s="318" t="str">
        <f aca="false">IF($A65="N/A"," ",IF(Pricetype4=2,MAX(K65,0),IF(OR(Pricetype4=1,Pricetype4=4),IF(K65=0,0,(EURO(K65,Strikeprice4,0,0,($AK65+IF(Smile=TRUE(),VLOOKUP(MAX(-5,Strikeprice4-K65),Volsmile,2),0)),($A65-DateToday)+15,IF(Pricetype4=1,1,0),0))),K65)))</f>
        <v> </v>
      </c>
      <c r="U65" s="319" t="str">
        <f aca="false">IF($A65="N/A"," ",Volume4*$AM65)</f>
        <v> </v>
      </c>
      <c r="V65" s="320" t="str">
        <f aca="false">IF($A65="N/A"," ",$U65*(8*($BQ65))*L65)</f>
        <v> </v>
      </c>
      <c r="W65" s="320" t="str">
        <f aca="false">IF($A65="N/A"," ",$U65*(8*($BQ65))*M65)</f>
        <v> </v>
      </c>
      <c r="X65" s="320" t="str">
        <f aca="false">IF($A65="N/A"," ",$U65*(8*($BQ65))*N65)</f>
        <v> </v>
      </c>
      <c r="Y65" s="320" t="str">
        <f aca="false">IF($A65="N/A"," ",$U65*(8*($BR65))*O65)</f>
        <v> </v>
      </c>
      <c r="Z65" s="320" t="str">
        <f aca="false">IF($A65="N/A"," ",$U65*(8*($BR65))*P65)</f>
        <v> </v>
      </c>
      <c r="AA65" s="320" t="str">
        <f aca="false">IF($A65="N/A"," ",$U65*(8*($BR65))*Q65)</f>
        <v> </v>
      </c>
      <c r="AB65" s="320" t="str">
        <f aca="false">IF($A65="N/A"," ",$U65*(8*($BS65))*R65)</f>
        <v> </v>
      </c>
      <c r="AC65" s="320" t="str">
        <f aca="false">IF($A65="N/A"," ",$U65*(8*($BS65))*S65)</f>
        <v> </v>
      </c>
      <c r="AD65" s="320" t="str">
        <f aca="false">IF($A65="N/A"," ",$U65*(8*($BS65))*T65)</f>
        <v> </v>
      </c>
      <c r="AE65" s="320" t="str">
        <f aca="false">IF($A65="N/A"," ",SUM(V65:AD65))</f>
        <v> </v>
      </c>
      <c r="AF65" s="321" t="str">
        <f aca="false">IF(A65="N/A"," ",(VLOOKUP(A65,PowerVolTable,(IF(VolBMO4=2,7,IF(VolBMO4=1,6,8))),FALSE())))</f>
        <v> </v>
      </c>
      <c r="AG65" s="321" t="str">
        <f aca="false">IF(A65="N/A"," ",(VLOOKUP(A65,IntraPowerVol,(IF(VolBMO4=2,3,IF(VolBMO4=1,2,4))),FALSE())*VLOOKUP(MONTH($A65),Volscale,2)))</f>
        <v> </v>
      </c>
      <c r="AH65" s="321" t="str">
        <f aca="false">IF($A65="N/A"," ",IF(VolType4=1,AG65,AF65))</f>
        <v> </v>
      </c>
      <c r="AI65" s="321" t="str">
        <f aca="false">IF($A65="N/A"," ",(VLOOKUP($A65,OffPwrVolTable,(IF(VolBMO4=2,7,IF(VolBMO4=1,6,8))),FALSE())))</f>
        <v> </v>
      </c>
      <c r="AJ65" s="321" t="str">
        <f aca="false">IF($A65="N/A"," ",(VLOOKUP($A65,OffPwrVolTable,(IF(VolBMO4=2,3,IF(VolBMO4=1,2,4))),FALSE())*VLOOKUP(MONTH($A65),Volscale,2)))</f>
        <v> </v>
      </c>
      <c r="AK65" s="321" t="str">
        <f aca="false">IF($A65="N/A"," ",IF(VolType4=1,AJ65,AI65))</f>
        <v> </v>
      </c>
      <c r="AL65" s="321" t="str">
        <f aca="false">IF($A65="N/A"," ",IF(PV=1,0,'Pricing Inputs4'!R98))</f>
        <v> </v>
      </c>
      <c r="AM65" s="323" t="str">
        <f aca="false">IF($A65="N/A"," ",(1+AL65/2)^(-2*((EOMONTH(A65,0)+20)-DateToday)/365.25))</f>
        <v> </v>
      </c>
      <c r="BQ65" s="0" t="str">
        <f aca="false">IF($A65="N/A"," ",(VLOOKUP($A65,NumberofDaysTable,2)))</f>
        <v> </v>
      </c>
      <c r="BR65" s="0" t="str">
        <f aca="false">IF($A65="N/A"," ",(VLOOKUP($A65,NumberofDaysTable,3)))</f>
        <v> </v>
      </c>
      <c r="BS65" s="0" t="str">
        <f aca="false">IF($A65="N/A"," ",(VLOOKUP($A65,NumberofDaysTable,4)))</f>
        <v> </v>
      </c>
    </row>
    <row r="66" customFormat="false" ht="12.75" hidden="false" customHeight="false" outlineLevel="0" collapsed="false">
      <c r="A66" s="315" t="str">
        <f aca="false">IF(A65="N/A","N/A",IF(EDATE(A65,1)&gt;Inputs!$R$5,"N/A",EDATE(A65,1)))</f>
        <v>N/A</v>
      </c>
      <c r="B66" s="316" t="str">
        <f aca="false">IF(A66="N/A"," ",YEAR(A66))</f>
        <v> </v>
      </c>
      <c r="C66" s="317" t="str">
        <f aca="false">IF($A66="N/A"," ",IF(Dayrun4=10,0,IF(Scaler4=1,(VLOOKUP(A66,ScaledPrice4,4)),(VLOOKUP(A66,ScaledPrice4,2)))))</f>
        <v> </v>
      </c>
      <c r="D66" s="317" t="str">
        <f aca="false">IF(A66="N/A"," ",IF(Dayrun4&gt;=7,0,IF(Scaler4=2,VLOOKUP(A66,ScaledPrice4,2),(VLOOKUP(A66,ScaledPrice4,2))*(2-(VLOOKUP(A66,ScaledPrice4,3))))))</f>
        <v> </v>
      </c>
      <c r="E66" s="317" t="str">
        <f aca="false">IF($A66="N/A"," ",IF(AND(Dayrun4&gt;=4,Dayrun4&lt;=9),0,VLOOKUP($A66,ScaledPrice4,9)))</f>
        <v> </v>
      </c>
      <c r="F66" s="317" t="str">
        <f aca="false">IF(A66="N/A"," ",IF(OR(Dayrun4=2,Dayrun4=3,Dayrun4=5,Dayrun4=6,Dayrun4=8,Dayrun4=9),VLOOKUP(A66,ScaledPrice4,IF(Scaler4=1,6,5)),0))</f>
        <v> </v>
      </c>
      <c r="G66" s="317" t="str">
        <f aca="false">IF(A66="N/A"," ",IF(OR(Dayrun4=2,Dayrun4=3,Dayrun4=5,Dayrun4=6),IF(Scaler4=2,F66,(VLOOKUP(A66,ScaledPrice4,5))*(2-(VLOOKUP(A66,ScaledPrice4,3)))),0))</f>
        <v> </v>
      </c>
      <c r="H66" s="317" t="str">
        <f aca="false">IF($A66="N/A"," ",IF(OR(Dayrun4=2,Dayrun4=3,Dayrun4=10),VLOOKUP($A66,ScaledPrice4,9),0))</f>
        <v> </v>
      </c>
      <c r="I66" s="317" t="str">
        <f aca="false">IF(A66="N/A"," ",IF(OR(Dayrun4=3,Dayrun4=6,Dayrun4=9),(VLOOKUP(A66,ScaledPrice4,IF(Scaler4=2,7,8))),0))</f>
        <v> </v>
      </c>
      <c r="J66" s="317" t="str">
        <f aca="false">IF(A66="N/A"," ",IF(OR(Dayrun4=3,Dayrun4=6),IF(Scaler4=2,I66,(VLOOKUP(A66,ScaledPrice4,7))*(2-(VLOOKUP(A66,ScaledPrice4,3)))),0))</f>
        <v> </v>
      </c>
      <c r="K66" s="317" t="str">
        <f aca="false">IF($A66="N/A"," ",IF(OR(Dayrun4=3,Dayrun4=10),VLOOKUP($A66,ScaledPrice4,9),0))</f>
        <v> </v>
      </c>
      <c r="L66" s="318" t="str">
        <f aca="false">IF($A66="N/A"," ",IF(Pricetype4=2,MAX(C66,0),IF(OR(Pricetype4=1,Pricetype4=4),IF(C66=0,0,(EURO(C66,Strikeprice4,0,0,($AH66+IF(Smile=TRUE(),VLOOKUP(MAX(-5,Strikeprice4-C66),Volsmile,2),0)),($A66-DateToday)+15,IF(Pricetype4=1,1,0),0))),C66)))</f>
        <v> </v>
      </c>
      <c r="M66" s="318" t="str">
        <f aca="false">IF($A66="N/A"," ",IF(Pricetype4=2,MAX(D66,0),IF(OR(Pricetype4=1,Pricetype4=4),IF(D66=0,0,(EURO(D66,Strikeprice4,0,0,($AH66+IF(Smile=TRUE(),VLOOKUP(MAX(-5,Strikeprice4-D66),Volsmile,2),0)),($A66-DateToday)+15,IF(Pricetype4=1,1,0),0))),D66)))</f>
        <v> </v>
      </c>
      <c r="N66" s="318" t="str">
        <f aca="false">IF($A66="N/A"," ",IF(Pricetype4=2,MAX(E66,0),IF(OR(Pricetype4=1,Pricetype4=4),IF(E66=0,0,(EURO(E66,Strikeprice4,0,0,($AK66+IF(Smile=TRUE(),VLOOKUP(MAX(-5,Strikeprice4-E66),Volsmile,2),0)),($A66-DateToday)+15,IF(Pricetype4=1,1,0),0))),E66)))</f>
        <v> </v>
      </c>
      <c r="O66" s="318" t="str">
        <f aca="false">IF($A66="N/A"," ",IF(Pricetype4=2,MAX(F66,0),IF(OR(Pricetype4=1,Pricetype4=4),IF(F66=0,0,(EURO(F66,Strikeprice4,0,0,($AK66+IF(Smile=TRUE(),VLOOKUP(MAX(-5,Strikeprice4-F66),Volsmile,2),0)),($A66-DateToday)+15,IF(Pricetype4=1,1,0),0))),F66)))</f>
        <v> </v>
      </c>
      <c r="P66" s="318" t="str">
        <f aca="false">IF($A66="N/A"," ",IF(Pricetype4=2,MAX(G66,0),IF(OR(Pricetype4=1,Pricetype4=4),IF(G66=0,0,(EURO(G66,Strikeprice4,0,0,($AK66+IF(Smile=TRUE(),VLOOKUP(MAX(-5,Strikeprice4-G66),Volsmile,2),0)),($A66-DateToday)+15,IF(Pricetype4=1,1,0),0))),G66)))</f>
        <v> </v>
      </c>
      <c r="Q66" s="318" t="str">
        <f aca="false">IF($A66="N/A"," ",IF(Pricetype4=2,MAX(H66,0),IF(OR(Pricetype4=1,Pricetype4=4),IF(H66=0,0,(EURO(H66,Strikeprice4,0,0,($AK66+IF(Smile=TRUE(),VLOOKUP(MAX(-5,Strikeprice4-H66),Volsmile,2),0)),($A66-DateToday)+15,IF(Pricetype4=1,1,0),0))),H66)))</f>
        <v> </v>
      </c>
      <c r="R66" s="318" t="str">
        <f aca="false">IF($A66="N/A"," ",IF(Pricetype4=2,MAX(I66,0),IF(OR(Pricetype4=1,Pricetype4=4),IF(I66=0,0,(EURO(I66,Strikeprice4,0,0,($AK66+IF(Smile=TRUE(),VLOOKUP(MAX(-5,Strikeprice4-I66),Volsmile,2),0)),($A66-DateToday)+15,IF(Pricetype4=1,1,0),0))),I66)))</f>
        <v> </v>
      </c>
      <c r="S66" s="318" t="str">
        <f aca="false">IF($A66="N/A"," ",IF(Pricetype4=2,MAX(J66,0),IF(OR(Pricetype4=1,Pricetype4=4),IF(J66=0,0,(EURO(J66,Strikeprice4,0,0,($AK66+IF(Smile=TRUE(),VLOOKUP(MAX(-5,Strikeprice4-J66),Volsmile,2),0)),($A66-DateToday)+15,IF(Pricetype4=1,1,0),0))),J66)))</f>
        <v> </v>
      </c>
      <c r="T66" s="318" t="str">
        <f aca="false">IF($A66="N/A"," ",IF(Pricetype4=2,MAX(K66,0),IF(OR(Pricetype4=1,Pricetype4=4),IF(K66=0,0,(EURO(K66,Strikeprice4,0,0,($AK66+IF(Smile=TRUE(),VLOOKUP(MAX(-5,Strikeprice4-K66),Volsmile,2),0)),($A66-DateToday)+15,IF(Pricetype4=1,1,0),0))),K66)))</f>
        <v> </v>
      </c>
      <c r="U66" s="319" t="str">
        <f aca="false">IF($A66="N/A"," ",Volume4*$AM66)</f>
        <v> </v>
      </c>
      <c r="V66" s="320" t="str">
        <f aca="false">IF($A66="N/A"," ",$U66*(8*($BQ66))*L66)</f>
        <v> </v>
      </c>
      <c r="W66" s="320" t="str">
        <f aca="false">IF($A66="N/A"," ",$U66*(8*($BQ66))*M66)</f>
        <v> </v>
      </c>
      <c r="X66" s="320" t="str">
        <f aca="false">IF($A66="N/A"," ",$U66*(8*($BQ66))*N66)</f>
        <v> </v>
      </c>
      <c r="Y66" s="320" t="str">
        <f aca="false">IF($A66="N/A"," ",$U66*(8*($BR66))*O66)</f>
        <v> </v>
      </c>
      <c r="Z66" s="320" t="str">
        <f aca="false">IF($A66="N/A"," ",$U66*(8*($BR66))*P66)</f>
        <v> </v>
      </c>
      <c r="AA66" s="320" t="str">
        <f aca="false">IF($A66="N/A"," ",$U66*(8*($BR66))*Q66)</f>
        <v> </v>
      </c>
      <c r="AB66" s="320" t="str">
        <f aca="false">IF($A66="N/A"," ",$U66*(8*($BS66))*R66)</f>
        <v> </v>
      </c>
      <c r="AC66" s="320" t="str">
        <f aca="false">IF($A66="N/A"," ",$U66*(8*($BS66))*S66)</f>
        <v> </v>
      </c>
      <c r="AD66" s="320" t="str">
        <f aca="false">IF($A66="N/A"," ",$U66*(8*($BS66))*T66)</f>
        <v> </v>
      </c>
      <c r="AE66" s="320" t="str">
        <f aca="false">IF($A66="N/A"," ",SUM(V66:AD66))</f>
        <v> </v>
      </c>
      <c r="AF66" s="321" t="str">
        <f aca="false">IF(A66="N/A"," ",(VLOOKUP(A66,PowerVolTable,(IF(VolBMO4=2,7,IF(VolBMO4=1,6,8))),FALSE())))</f>
        <v> </v>
      </c>
      <c r="AG66" s="321" t="str">
        <f aca="false">IF(A66="N/A"," ",(VLOOKUP(A66,IntraPowerVol,(IF(VolBMO4=2,3,IF(VolBMO4=1,2,4))),FALSE())*VLOOKUP(MONTH($A66),Volscale,2)))</f>
        <v> </v>
      </c>
      <c r="AH66" s="321" t="str">
        <f aca="false">IF($A66="N/A"," ",IF(VolType4=1,AG66,AF66))</f>
        <v> </v>
      </c>
      <c r="AI66" s="321" t="str">
        <f aca="false">IF($A66="N/A"," ",(VLOOKUP($A66,OffPwrVolTable,(IF(VolBMO4=2,7,IF(VolBMO4=1,6,8))),FALSE())))</f>
        <v> </v>
      </c>
      <c r="AJ66" s="321" t="str">
        <f aca="false">IF($A66="N/A"," ",(VLOOKUP($A66,OffPwrVolTable,(IF(VolBMO4=2,3,IF(VolBMO4=1,2,4))),FALSE())*VLOOKUP(MONTH($A66),Volscale,2)))</f>
        <v> </v>
      </c>
      <c r="AK66" s="321" t="str">
        <f aca="false">IF($A66="N/A"," ",IF(VolType4=1,AJ66,AI66))</f>
        <v> </v>
      </c>
      <c r="AL66" s="321" t="str">
        <f aca="false">IF($A66="N/A"," ",IF(PV=1,0,'Pricing Inputs4'!R99))</f>
        <v> </v>
      </c>
      <c r="AM66" s="323" t="str">
        <f aca="false">IF($A66="N/A"," ",(1+AL66/2)^(-2*((EOMONTH(A66,0)+20)-DateToday)/365.25))</f>
        <v> </v>
      </c>
      <c r="BQ66" s="0" t="str">
        <f aca="false">IF($A66="N/A"," ",(VLOOKUP($A66,NumberofDaysTable,2)))</f>
        <v> </v>
      </c>
      <c r="BR66" s="0" t="str">
        <f aca="false">IF($A66="N/A"," ",(VLOOKUP($A66,NumberofDaysTable,3)))</f>
        <v> </v>
      </c>
      <c r="BS66" s="0" t="str">
        <f aca="false">IF($A66="N/A"," ",(VLOOKUP($A66,NumberofDaysTable,4)))</f>
        <v> </v>
      </c>
    </row>
    <row r="67" customFormat="false" ht="12.75" hidden="false" customHeight="false" outlineLevel="0" collapsed="false">
      <c r="A67" s="315" t="str">
        <f aca="false">IF(A66="N/A","N/A",IF(EDATE(A66,1)&gt;Inputs!$R$5,"N/A",EDATE(A66,1)))</f>
        <v>N/A</v>
      </c>
      <c r="B67" s="316" t="str">
        <f aca="false">IF(A67="N/A"," ",YEAR(A67))</f>
        <v> </v>
      </c>
      <c r="C67" s="317" t="str">
        <f aca="false">IF($A67="N/A"," ",IF(Dayrun4=10,0,IF(Scaler4=1,(VLOOKUP(A67,ScaledPrice4,4)),(VLOOKUP(A67,ScaledPrice4,2)))))</f>
        <v> </v>
      </c>
      <c r="D67" s="317" t="str">
        <f aca="false">IF(A67="N/A"," ",IF(Dayrun4&gt;=7,0,IF(Scaler4=2,VLOOKUP(A67,ScaledPrice4,2),(VLOOKUP(A67,ScaledPrice4,2))*(2-(VLOOKUP(A67,ScaledPrice4,3))))))</f>
        <v> </v>
      </c>
      <c r="E67" s="317" t="str">
        <f aca="false">IF($A67="N/A"," ",IF(AND(Dayrun4&gt;=4,Dayrun4&lt;=9),0,VLOOKUP($A67,ScaledPrice4,9)))</f>
        <v> </v>
      </c>
      <c r="F67" s="317" t="str">
        <f aca="false">IF(A67="N/A"," ",IF(OR(Dayrun4=2,Dayrun4=3,Dayrun4=5,Dayrun4=6,Dayrun4=8,Dayrun4=9),VLOOKUP(A67,ScaledPrice4,IF(Scaler4=1,6,5)),0))</f>
        <v> </v>
      </c>
      <c r="G67" s="317" t="str">
        <f aca="false">IF(A67="N/A"," ",IF(OR(Dayrun4=2,Dayrun4=3,Dayrun4=5,Dayrun4=6),IF(Scaler4=2,F67,(VLOOKUP(A67,ScaledPrice4,5))*(2-(VLOOKUP(A67,ScaledPrice4,3)))),0))</f>
        <v> </v>
      </c>
      <c r="H67" s="317" t="str">
        <f aca="false">IF($A67="N/A"," ",IF(OR(Dayrun4=2,Dayrun4=3,Dayrun4=10),VLOOKUP($A67,ScaledPrice4,9),0))</f>
        <v> </v>
      </c>
      <c r="I67" s="317" t="str">
        <f aca="false">IF(A67="N/A"," ",IF(OR(Dayrun4=3,Dayrun4=6,Dayrun4=9),(VLOOKUP(A67,ScaledPrice4,IF(Scaler4=2,7,8))),0))</f>
        <v> </v>
      </c>
      <c r="J67" s="317" t="str">
        <f aca="false">IF(A67="N/A"," ",IF(OR(Dayrun4=3,Dayrun4=6),IF(Scaler4=2,I67,(VLOOKUP(A67,ScaledPrice4,7))*(2-(VLOOKUP(A67,ScaledPrice4,3)))),0))</f>
        <v> </v>
      </c>
      <c r="K67" s="317" t="str">
        <f aca="false">IF($A67="N/A"," ",IF(OR(Dayrun4=3,Dayrun4=10),VLOOKUP($A67,ScaledPrice4,9),0))</f>
        <v> </v>
      </c>
      <c r="L67" s="318" t="str">
        <f aca="false">IF($A67="N/A"," ",IF(Pricetype4=2,MAX(C67,0),IF(OR(Pricetype4=1,Pricetype4=4),IF(C67=0,0,(EURO(C67,Strikeprice4,0,0,($AH67+IF(Smile=TRUE(),VLOOKUP(MAX(-5,Strikeprice4-C67),Volsmile,2),0)),($A67-DateToday)+15,IF(Pricetype4=1,1,0),0))),C67)))</f>
        <v> </v>
      </c>
      <c r="M67" s="318" t="str">
        <f aca="false">IF($A67="N/A"," ",IF(Pricetype4=2,MAX(D67,0),IF(OR(Pricetype4=1,Pricetype4=4),IF(D67=0,0,(EURO(D67,Strikeprice4,0,0,($AH67+IF(Smile=TRUE(),VLOOKUP(MAX(-5,Strikeprice4-D67),Volsmile,2),0)),($A67-DateToday)+15,IF(Pricetype4=1,1,0),0))),D67)))</f>
        <v> </v>
      </c>
      <c r="N67" s="318" t="str">
        <f aca="false">IF($A67="N/A"," ",IF(Pricetype4=2,MAX(E67,0),IF(OR(Pricetype4=1,Pricetype4=4),IF(E67=0,0,(EURO(E67,Strikeprice4,0,0,($AK67+IF(Smile=TRUE(),VLOOKUP(MAX(-5,Strikeprice4-E67),Volsmile,2),0)),($A67-DateToday)+15,IF(Pricetype4=1,1,0),0))),E67)))</f>
        <v> </v>
      </c>
      <c r="O67" s="318" t="str">
        <f aca="false">IF($A67="N/A"," ",IF(Pricetype4=2,MAX(F67,0),IF(OR(Pricetype4=1,Pricetype4=4),IF(F67=0,0,(EURO(F67,Strikeprice4,0,0,($AK67+IF(Smile=TRUE(),VLOOKUP(MAX(-5,Strikeprice4-F67),Volsmile,2),0)),($A67-DateToday)+15,IF(Pricetype4=1,1,0),0))),F67)))</f>
        <v> </v>
      </c>
      <c r="P67" s="318" t="str">
        <f aca="false">IF($A67="N/A"," ",IF(Pricetype4=2,MAX(G67,0),IF(OR(Pricetype4=1,Pricetype4=4),IF(G67=0,0,(EURO(G67,Strikeprice4,0,0,($AK67+IF(Smile=TRUE(),VLOOKUP(MAX(-5,Strikeprice4-G67),Volsmile,2),0)),($A67-DateToday)+15,IF(Pricetype4=1,1,0),0))),G67)))</f>
        <v> </v>
      </c>
      <c r="Q67" s="318" t="str">
        <f aca="false">IF($A67="N/A"," ",IF(Pricetype4=2,MAX(H67,0),IF(OR(Pricetype4=1,Pricetype4=4),IF(H67=0,0,(EURO(H67,Strikeprice4,0,0,($AK67+IF(Smile=TRUE(),VLOOKUP(MAX(-5,Strikeprice4-H67),Volsmile,2),0)),($A67-DateToday)+15,IF(Pricetype4=1,1,0),0))),H67)))</f>
        <v> </v>
      </c>
      <c r="R67" s="318" t="str">
        <f aca="false">IF($A67="N/A"," ",IF(Pricetype4=2,MAX(I67,0),IF(OR(Pricetype4=1,Pricetype4=4),IF(I67=0,0,(EURO(I67,Strikeprice4,0,0,($AK67+IF(Smile=TRUE(),VLOOKUP(MAX(-5,Strikeprice4-I67),Volsmile,2),0)),($A67-DateToday)+15,IF(Pricetype4=1,1,0),0))),I67)))</f>
        <v> </v>
      </c>
      <c r="S67" s="318" t="str">
        <f aca="false">IF($A67="N/A"," ",IF(Pricetype4=2,MAX(J67,0),IF(OR(Pricetype4=1,Pricetype4=4),IF(J67=0,0,(EURO(J67,Strikeprice4,0,0,($AK67+IF(Smile=TRUE(),VLOOKUP(MAX(-5,Strikeprice4-J67),Volsmile,2),0)),($A67-DateToday)+15,IF(Pricetype4=1,1,0),0))),J67)))</f>
        <v> </v>
      </c>
      <c r="T67" s="318" t="str">
        <f aca="false">IF($A67="N/A"," ",IF(Pricetype4=2,MAX(K67,0),IF(OR(Pricetype4=1,Pricetype4=4),IF(K67=0,0,(EURO(K67,Strikeprice4,0,0,($AK67+IF(Smile=TRUE(),VLOOKUP(MAX(-5,Strikeprice4-K67),Volsmile,2),0)),($A67-DateToday)+15,IF(Pricetype4=1,1,0),0))),K67)))</f>
        <v> </v>
      </c>
      <c r="U67" s="319" t="str">
        <f aca="false">IF($A67="N/A"," ",Volume4*$AM67)</f>
        <v> </v>
      </c>
      <c r="V67" s="320" t="str">
        <f aca="false">IF($A67="N/A"," ",$U67*(8*($BQ67))*L67)</f>
        <v> </v>
      </c>
      <c r="W67" s="320" t="str">
        <f aca="false">IF($A67="N/A"," ",$U67*(8*($BQ67))*M67)</f>
        <v> </v>
      </c>
      <c r="X67" s="320" t="str">
        <f aca="false">IF($A67="N/A"," ",$U67*(8*($BQ67))*N67)</f>
        <v> </v>
      </c>
      <c r="Y67" s="320" t="str">
        <f aca="false">IF($A67="N/A"," ",$U67*(8*($BR67))*O67)</f>
        <v> </v>
      </c>
      <c r="Z67" s="320" t="str">
        <f aca="false">IF($A67="N/A"," ",$U67*(8*($BR67))*P67)</f>
        <v> </v>
      </c>
      <c r="AA67" s="320" t="str">
        <f aca="false">IF($A67="N/A"," ",$U67*(8*($BR67))*Q67)</f>
        <v> </v>
      </c>
      <c r="AB67" s="320" t="str">
        <f aca="false">IF($A67="N/A"," ",$U67*(8*($BS67))*R67)</f>
        <v> </v>
      </c>
      <c r="AC67" s="320" t="str">
        <f aca="false">IF($A67="N/A"," ",$U67*(8*($BS67))*S67)</f>
        <v> </v>
      </c>
      <c r="AD67" s="320" t="str">
        <f aca="false">IF($A67="N/A"," ",$U67*(8*($BS67))*T67)</f>
        <v> </v>
      </c>
      <c r="AE67" s="320" t="str">
        <f aca="false">IF($A67="N/A"," ",SUM(V67:AD67))</f>
        <v> </v>
      </c>
      <c r="AF67" s="321" t="str">
        <f aca="false">IF(A67="N/A"," ",(VLOOKUP(A67,PowerVolTable,(IF(VolBMO4=2,7,IF(VolBMO4=1,6,8))),FALSE())))</f>
        <v> </v>
      </c>
      <c r="AG67" s="321" t="str">
        <f aca="false">IF(A67="N/A"," ",(VLOOKUP(A67,IntraPowerVol,(IF(VolBMO4=2,3,IF(VolBMO4=1,2,4))),FALSE())*VLOOKUP(MONTH($A67),Volscale,2)))</f>
        <v> </v>
      </c>
      <c r="AH67" s="321" t="str">
        <f aca="false">IF($A67="N/A"," ",IF(VolType4=1,AG67,AF67))</f>
        <v> </v>
      </c>
      <c r="AI67" s="321" t="str">
        <f aca="false">IF($A67="N/A"," ",(VLOOKUP($A67,OffPwrVolTable,(IF(VolBMO4=2,7,IF(VolBMO4=1,6,8))),FALSE())))</f>
        <v> </v>
      </c>
      <c r="AJ67" s="321" t="str">
        <f aca="false">IF($A67="N/A"," ",(VLOOKUP($A67,OffPwrVolTable,(IF(VolBMO4=2,3,IF(VolBMO4=1,2,4))),FALSE())*VLOOKUP(MONTH($A67),Volscale,2)))</f>
        <v> </v>
      </c>
      <c r="AK67" s="321" t="str">
        <f aca="false">IF($A67="N/A"," ",IF(VolType4=1,AJ67,AI67))</f>
        <v> </v>
      </c>
      <c r="AL67" s="321" t="str">
        <f aca="false">IF($A67="N/A"," ",IF(PV=1,0,'Pricing Inputs4'!R100))</f>
        <v> </v>
      </c>
      <c r="AM67" s="323" t="str">
        <f aca="false">IF($A67="N/A"," ",(1+AL67/2)^(-2*((EOMONTH(A67,0)+20)-DateToday)/365.25))</f>
        <v> </v>
      </c>
      <c r="BQ67" s="0" t="str">
        <f aca="false">IF($A67="N/A"," ",(VLOOKUP($A67,NumberofDaysTable,2)))</f>
        <v> </v>
      </c>
      <c r="BR67" s="0" t="str">
        <f aca="false">IF($A67="N/A"," ",(VLOOKUP($A67,NumberofDaysTable,3)))</f>
        <v> </v>
      </c>
      <c r="BS67" s="0" t="str">
        <f aca="false">IF($A67="N/A"," ",(VLOOKUP($A67,NumberofDaysTable,4)))</f>
        <v> </v>
      </c>
    </row>
    <row r="68" customFormat="false" ht="12.75" hidden="false" customHeight="false" outlineLevel="0" collapsed="false">
      <c r="A68" s="315" t="str">
        <f aca="false">IF(A67="N/A","N/A",IF(EDATE(A67,1)&gt;Inputs!$R$5,"N/A",EDATE(A67,1)))</f>
        <v>N/A</v>
      </c>
      <c r="B68" s="316" t="str">
        <f aca="false">IF(A68="N/A"," ",YEAR(A68))</f>
        <v> </v>
      </c>
      <c r="C68" s="317" t="str">
        <f aca="false">IF($A68="N/A"," ",IF(Dayrun4=10,0,IF(Scaler4=1,(VLOOKUP(A68,ScaledPrice4,4)),(VLOOKUP(A68,ScaledPrice4,2)))))</f>
        <v> </v>
      </c>
      <c r="D68" s="317" t="str">
        <f aca="false">IF(A68="N/A"," ",IF(Dayrun4&gt;=7,0,IF(Scaler4=2,VLOOKUP(A68,ScaledPrice4,2),(VLOOKUP(A68,ScaledPrice4,2))*(2-(VLOOKUP(A68,ScaledPrice4,3))))))</f>
        <v> </v>
      </c>
      <c r="E68" s="317" t="str">
        <f aca="false">IF($A68="N/A"," ",IF(AND(Dayrun4&gt;=4,Dayrun4&lt;=9),0,VLOOKUP($A68,ScaledPrice4,9)))</f>
        <v> </v>
      </c>
      <c r="F68" s="317" t="str">
        <f aca="false">IF(A68="N/A"," ",IF(OR(Dayrun4=2,Dayrun4=3,Dayrun4=5,Dayrun4=6,Dayrun4=8,Dayrun4=9),VLOOKUP(A68,ScaledPrice4,IF(Scaler4=1,6,5)),0))</f>
        <v> </v>
      </c>
      <c r="G68" s="317" t="str">
        <f aca="false">IF(A68="N/A"," ",IF(OR(Dayrun4=2,Dayrun4=3,Dayrun4=5,Dayrun4=6),IF(Scaler4=2,F68,(VLOOKUP(A68,ScaledPrice4,5))*(2-(VLOOKUP(A68,ScaledPrice4,3)))),0))</f>
        <v> </v>
      </c>
      <c r="H68" s="317" t="str">
        <f aca="false">IF($A68="N/A"," ",IF(OR(Dayrun4=2,Dayrun4=3,Dayrun4=10),VLOOKUP($A68,ScaledPrice4,9),0))</f>
        <v> </v>
      </c>
      <c r="I68" s="317" t="str">
        <f aca="false">IF(A68="N/A"," ",IF(OR(Dayrun4=3,Dayrun4=6,Dayrun4=9),(VLOOKUP(A68,ScaledPrice4,IF(Scaler4=2,7,8))),0))</f>
        <v> </v>
      </c>
      <c r="J68" s="317" t="str">
        <f aca="false">IF(A68="N/A"," ",IF(OR(Dayrun4=3,Dayrun4=6),IF(Scaler4=2,I68,(VLOOKUP(A68,ScaledPrice4,7))*(2-(VLOOKUP(A68,ScaledPrice4,3)))),0))</f>
        <v> </v>
      </c>
      <c r="K68" s="317" t="str">
        <f aca="false">IF($A68="N/A"," ",IF(OR(Dayrun4=3,Dayrun4=10),VLOOKUP($A68,ScaledPrice4,9),0))</f>
        <v> </v>
      </c>
      <c r="L68" s="318" t="str">
        <f aca="false">IF($A68="N/A"," ",IF(Pricetype4=2,MAX(C68,0),IF(OR(Pricetype4=1,Pricetype4=4),IF(C68=0,0,(EURO(C68,Strikeprice4,0,0,($AH68+IF(Smile=TRUE(),VLOOKUP(MAX(-5,Strikeprice4-C68),Volsmile,2),0)),($A68-DateToday)+15,IF(Pricetype4=1,1,0),0))),C68)))</f>
        <v> </v>
      </c>
      <c r="M68" s="318" t="str">
        <f aca="false">IF($A68="N/A"," ",IF(Pricetype4=2,MAX(D68,0),IF(OR(Pricetype4=1,Pricetype4=4),IF(D68=0,0,(EURO(D68,Strikeprice4,0,0,($AH68+IF(Smile=TRUE(),VLOOKUP(MAX(-5,Strikeprice4-D68),Volsmile,2),0)),($A68-DateToday)+15,IF(Pricetype4=1,1,0),0))),D68)))</f>
        <v> </v>
      </c>
      <c r="N68" s="318" t="str">
        <f aca="false">IF($A68="N/A"," ",IF(Pricetype4=2,MAX(E68,0),IF(OR(Pricetype4=1,Pricetype4=4),IF(E68=0,0,(EURO(E68,Strikeprice4,0,0,($AK68+IF(Smile=TRUE(),VLOOKUP(MAX(-5,Strikeprice4-E68),Volsmile,2),0)),($A68-DateToday)+15,IF(Pricetype4=1,1,0),0))),E68)))</f>
        <v> </v>
      </c>
      <c r="O68" s="318" t="str">
        <f aca="false">IF($A68="N/A"," ",IF(Pricetype4=2,MAX(F68,0),IF(OR(Pricetype4=1,Pricetype4=4),IF(F68=0,0,(EURO(F68,Strikeprice4,0,0,($AK68+IF(Smile=TRUE(),VLOOKUP(MAX(-5,Strikeprice4-F68),Volsmile,2),0)),($A68-DateToday)+15,IF(Pricetype4=1,1,0),0))),F68)))</f>
        <v> </v>
      </c>
      <c r="P68" s="318" t="str">
        <f aca="false">IF($A68="N/A"," ",IF(Pricetype4=2,MAX(G68,0),IF(OR(Pricetype4=1,Pricetype4=4),IF(G68=0,0,(EURO(G68,Strikeprice4,0,0,($AK68+IF(Smile=TRUE(),VLOOKUP(MAX(-5,Strikeprice4-G68),Volsmile,2),0)),($A68-DateToday)+15,IF(Pricetype4=1,1,0),0))),G68)))</f>
        <v> </v>
      </c>
      <c r="Q68" s="318" t="str">
        <f aca="false">IF($A68="N/A"," ",IF(Pricetype4=2,MAX(H68,0),IF(OR(Pricetype4=1,Pricetype4=4),IF(H68=0,0,(EURO(H68,Strikeprice4,0,0,($AK68+IF(Smile=TRUE(),VLOOKUP(MAX(-5,Strikeprice4-H68),Volsmile,2),0)),($A68-DateToday)+15,IF(Pricetype4=1,1,0),0))),H68)))</f>
        <v> </v>
      </c>
      <c r="R68" s="318" t="str">
        <f aca="false">IF($A68="N/A"," ",IF(Pricetype4=2,MAX(I68,0),IF(OR(Pricetype4=1,Pricetype4=4),IF(I68=0,0,(EURO(I68,Strikeprice4,0,0,($AK68+IF(Smile=TRUE(),VLOOKUP(MAX(-5,Strikeprice4-I68),Volsmile,2),0)),($A68-DateToday)+15,IF(Pricetype4=1,1,0),0))),I68)))</f>
        <v> </v>
      </c>
      <c r="S68" s="318" t="str">
        <f aca="false">IF($A68="N/A"," ",IF(Pricetype4=2,MAX(J68,0),IF(OR(Pricetype4=1,Pricetype4=4),IF(J68=0,0,(EURO(J68,Strikeprice4,0,0,($AK68+IF(Smile=TRUE(),VLOOKUP(MAX(-5,Strikeprice4-J68),Volsmile,2),0)),($A68-DateToday)+15,IF(Pricetype4=1,1,0),0))),J68)))</f>
        <v> </v>
      </c>
      <c r="T68" s="318" t="str">
        <f aca="false">IF($A68="N/A"," ",IF(Pricetype4=2,MAX(K68,0),IF(OR(Pricetype4=1,Pricetype4=4),IF(K68=0,0,(EURO(K68,Strikeprice4,0,0,($AK68+IF(Smile=TRUE(),VLOOKUP(MAX(-5,Strikeprice4-K68),Volsmile,2),0)),($A68-DateToday)+15,IF(Pricetype4=1,1,0),0))),K68)))</f>
        <v> </v>
      </c>
      <c r="U68" s="319" t="str">
        <f aca="false">IF($A68="N/A"," ",Volume4*$AM68)</f>
        <v> </v>
      </c>
      <c r="V68" s="320" t="str">
        <f aca="false">IF($A68="N/A"," ",$U68*(8*($BQ68))*L68)</f>
        <v> </v>
      </c>
      <c r="W68" s="320" t="str">
        <f aca="false">IF($A68="N/A"," ",$U68*(8*($BQ68))*M68)</f>
        <v> </v>
      </c>
      <c r="X68" s="320" t="str">
        <f aca="false">IF($A68="N/A"," ",$U68*(8*($BQ68))*N68)</f>
        <v> </v>
      </c>
      <c r="Y68" s="320" t="str">
        <f aca="false">IF($A68="N/A"," ",$U68*(8*($BR68))*O68)</f>
        <v> </v>
      </c>
      <c r="Z68" s="320" t="str">
        <f aca="false">IF($A68="N/A"," ",$U68*(8*($BR68))*P68)</f>
        <v> </v>
      </c>
      <c r="AA68" s="320" t="str">
        <f aca="false">IF($A68="N/A"," ",$U68*(8*($BR68))*Q68)</f>
        <v> </v>
      </c>
      <c r="AB68" s="320" t="str">
        <f aca="false">IF($A68="N/A"," ",$U68*(8*($BS68))*R68)</f>
        <v> </v>
      </c>
      <c r="AC68" s="320" t="str">
        <f aca="false">IF($A68="N/A"," ",$U68*(8*($BS68))*S68)</f>
        <v> </v>
      </c>
      <c r="AD68" s="320" t="str">
        <f aca="false">IF($A68="N/A"," ",$U68*(8*($BS68))*T68)</f>
        <v> </v>
      </c>
      <c r="AE68" s="320" t="str">
        <f aca="false">IF($A68="N/A"," ",SUM(V68:AD68))</f>
        <v> </v>
      </c>
      <c r="AF68" s="321" t="str">
        <f aca="false">IF(A68="N/A"," ",(VLOOKUP(A68,PowerVolTable,(IF(VolBMO4=2,7,IF(VolBMO4=1,6,8))),FALSE())))</f>
        <v> </v>
      </c>
      <c r="AG68" s="321" t="str">
        <f aca="false">IF(A68="N/A"," ",(VLOOKUP(A68,IntraPowerVol,(IF(VolBMO4=2,3,IF(VolBMO4=1,2,4))),FALSE())*VLOOKUP(MONTH($A68),Volscale,2)))</f>
        <v> </v>
      </c>
      <c r="AH68" s="321" t="str">
        <f aca="false">IF($A68="N/A"," ",IF(VolType4=1,AG68,AF68))</f>
        <v> </v>
      </c>
      <c r="AI68" s="321" t="str">
        <f aca="false">IF($A68="N/A"," ",(VLOOKUP($A68,OffPwrVolTable,(IF(VolBMO4=2,7,IF(VolBMO4=1,6,8))),FALSE())))</f>
        <v> </v>
      </c>
      <c r="AJ68" s="321" t="str">
        <f aca="false">IF($A68="N/A"," ",(VLOOKUP($A68,OffPwrVolTable,(IF(VolBMO4=2,3,IF(VolBMO4=1,2,4))),FALSE())*VLOOKUP(MONTH($A68),Volscale,2)))</f>
        <v> </v>
      </c>
      <c r="AK68" s="321" t="str">
        <f aca="false">IF($A68="N/A"," ",IF(VolType4=1,AJ68,AI68))</f>
        <v> </v>
      </c>
      <c r="AL68" s="321" t="str">
        <f aca="false">IF($A68="N/A"," ",IF(PV=1,0,'Pricing Inputs4'!R101))</f>
        <v> </v>
      </c>
      <c r="AM68" s="323" t="str">
        <f aca="false">IF($A68="N/A"," ",(1+AL68/2)^(-2*((EOMONTH(A68,0)+20)-DateToday)/365.25))</f>
        <v> </v>
      </c>
      <c r="BQ68" s="0" t="str">
        <f aca="false">IF($A68="N/A"," ",(VLOOKUP($A68,NumberofDaysTable,2)))</f>
        <v> </v>
      </c>
      <c r="BR68" s="0" t="str">
        <f aca="false">IF($A68="N/A"," ",(VLOOKUP($A68,NumberofDaysTable,3)))</f>
        <v> </v>
      </c>
      <c r="BS68" s="0" t="str">
        <f aca="false">IF($A68="N/A"," ",(VLOOKUP($A68,NumberofDaysTable,4)))</f>
        <v> </v>
      </c>
    </row>
    <row r="69" customFormat="false" ht="12.75" hidden="false" customHeight="false" outlineLevel="0" collapsed="false">
      <c r="A69" s="315" t="str">
        <f aca="false">IF(A68="N/A","N/A",IF(EDATE(A68,1)&gt;Inputs!$R$5,"N/A",EDATE(A68,1)))</f>
        <v>N/A</v>
      </c>
      <c r="B69" s="316" t="str">
        <f aca="false">IF(A69="N/A"," ",YEAR(A69))</f>
        <v> </v>
      </c>
      <c r="C69" s="317" t="str">
        <f aca="false">IF($A69="N/A"," ",IF(Dayrun4=10,0,IF(Scaler4=1,(VLOOKUP(A69,ScaledPrice4,4)),(VLOOKUP(A69,ScaledPrice4,2)))))</f>
        <v> </v>
      </c>
      <c r="D69" s="317" t="str">
        <f aca="false">IF(A69="N/A"," ",IF(Dayrun4&gt;=7,0,IF(Scaler4=2,VLOOKUP(A69,ScaledPrice4,2),(VLOOKUP(A69,ScaledPrice4,2))*(2-(VLOOKUP(A69,ScaledPrice4,3))))))</f>
        <v> </v>
      </c>
      <c r="E69" s="317" t="str">
        <f aca="false">IF($A69="N/A"," ",IF(AND(Dayrun4&gt;=4,Dayrun4&lt;=9),0,VLOOKUP($A69,ScaledPrice4,9)))</f>
        <v> </v>
      </c>
      <c r="F69" s="317" t="str">
        <f aca="false">IF(A69="N/A"," ",IF(OR(Dayrun4=2,Dayrun4=3,Dayrun4=5,Dayrun4=6,Dayrun4=8,Dayrun4=9),VLOOKUP(A69,ScaledPrice4,IF(Scaler4=1,6,5)),0))</f>
        <v> </v>
      </c>
      <c r="G69" s="317" t="str">
        <f aca="false">IF(A69="N/A"," ",IF(OR(Dayrun4=2,Dayrun4=3,Dayrun4=5,Dayrun4=6),IF(Scaler4=2,F69,(VLOOKUP(A69,ScaledPrice4,5))*(2-(VLOOKUP(A69,ScaledPrice4,3)))),0))</f>
        <v> </v>
      </c>
      <c r="H69" s="317" t="str">
        <f aca="false">IF($A69="N/A"," ",IF(OR(Dayrun4=2,Dayrun4=3,Dayrun4=10),VLOOKUP($A69,ScaledPrice4,9),0))</f>
        <v> </v>
      </c>
      <c r="I69" s="317" t="str">
        <f aca="false">IF(A69="N/A"," ",IF(OR(Dayrun4=3,Dayrun4=6,Dayrun4=9),(VLOOKUP(A69,ScaledPrice4,IF(Scaler4=2,7,8))),0))</f>
        <v> </v>
      </c>
      <c r="J69" s="317" t="str">
        <f aca="false">IF(A69="N/A"," ",IF(OR(Dayrun4=3,Dayrun4=6),IF(Scaler4=2,I69,(VLOOKUP(A69,ScaledPrice4,7))*(2-(VLOOKUP(A69,ScaledPrice4,3)))),0))</f>
        <v> </v>
      </c>
      <c r="K69" s="317" t="str">
        <f aca="false">IF($A69="N/A"," ",IF(OR(Dayrun4=3,Dayrun4=10),VLOOKUP($A69,ScaledPrice4,9),0))</f>
        <v> </v>
      </c>
      <c r="L69" s="318" t="str">
        <f aca="false">IF($A69="N/A"," ",IF(Pricetype4=2,MAX(C69,0),IF(OR(Pricetype4=1,Pricetype4=4),IF(C69=0,0,(EURO(C69,Strikeprice4,0,0,($AH69+IF(Smile=TRUE(),VLOOKUP(MAX(-5,Strikeprice4-C69),Volsmile,2),0)),($A69-DateToday)+15,IF(Pricetype4=1,1,0),0))),C69)))</f>
        <v> </v>
      </c>
      <c r="M69" s="318" t="str">
        <f aca="false">IF($A69="N/A"," ",IF(Pricetype4=2,MAX(D69,0),IF(OR(Pricetype4=1,Pricetype4=4),IF(D69=0,0,(EURO(D69,Strikeprice4,0,0,($AH69+IF(Smile=TRUE(),VLOOKUP(MAX(-5,Strikeprice4-D69),Volsmile,2),0)),($A69-DateToday)+15,IF(Pricetype4=1,1,0),0))),D69)))</f>
        <v> </v>
      </c>
      <c r="N69" s="318" t="str">
        <f aca="false">IF($A69="N/A"," ",IF(Pricetype4=2,MAX(E69,0),IF(OR(Pricetype4=1,Pricetype4=4),IF(E69=0,0,(EURO(E69,Strikeprice4,0,0,($AK69+IF(Smile=TRUE(),VLOOKUP(MAX(-5,Strikeprice4-E69),Volsmile,2),0)),($A69-DateToday)+15,IF(Pricetype4=1,1,0),0))),E69)))</f>
        <v> </v>
      </c>
      <c r="O69" s="318" t="str">
        <f aca="false">IF($A69="N/A"," ",IF(Pricetype4=2,MAX(F69,0),IF(OR(Pricetype4=1,Pricetype4=4),IF(F69=0,0,(EURO(F69,Strikeprice4,0,0,($AK69+IF(Smile=TRUE(),VLOOKUP(MAX(-5,Strikeprice4-F69),Volsmile,2),0)),($A69-DateToday)+15,IF(Pricetype4=1,1,0),0))),F69)))</f>
        <v> </v>
      </c>
      <c r="P69" s="318" t="str">
        <f aca="false">IF($A69="N/A"," ",IF(Pricetype4=2,MAX(G69,0),IF(OR(Pricetype4=1,Pricetype4=4),IF(G69=0,0,(EURO(G69,Strikeprice4,0,0,($AK69+IF(Smile=TRUE(),VLOOKUP(MAX(-5,Strikeprice4-G69),Volsmile,2),0)),($A69-DateToday)+15,IF(Pricetype4=1,1,0),0))),G69)))</f>
        <v> </v>
      </c>
      <c r="Q69" s="318" t="str">
        <f aca="false">IF($A69="N/A"," ",IF(Pricetype4=2,MAX(H69,0),IF(OR(Pricetype4=1,Pricetype4=4),IF(H69=0,0,(EURO(H69,Strikeprice4,0,0,($AK69+IF(Smile=TRUE(),VLOOKUP(MAX(-5,Strikeprice4-H69),Volsmile,2),0)),($A69-DateToday)+15,IF(Pricetype4=1,1,0),0))),H69)))</f>
        <v> </v>
      </c>
      <c r="R69" s="318" t="str">
        <f aca="false">IF($A69="N/A"," ",IF(Pricetype4=2,MAX(I69,0),IF(OR(Pricetype4=1,Pricetype4=4),IF(I69=0,0,(EURO(I69,Strikeprice4,0,0,($AK69+IF(Smile=TRUE(),VLOOKUP(MAX(-5,Strikeprice4-I69),Volsmile,2),0)),($A69-DateToday)+15,IF(Pricetype4=1,1,0),0))),I69)))</f>
        <v> </v>
      </c>
      <c r="S69" s="318" t="str">
        <f aca="false">IF($A69="N/A"," ",IF(Pricetype4=2,MAX(J69,0),IF(OR(Pricetype4=1,Pricetype4=4),IF(J69=0,0,(EURO(J69,Strikeprice4,0,0,($AK69+IF(Smile=TRUE(),VLOOKUP(MAX(-5,Strikeprice4-J69),Volsmile,2),0)),($A69-DateToday)+15,IF(Pricetype4=1,1,0),0))),J69)))</f>
        <v> </v>
      </c>
      <c r="T69" s="318" t="str">
        <f aca="false">IF($A69="N/A"," ",IF(Pricetype4=2,MAX(K69,0),IF(OR(Pricetype4=1,Pricetype4=4),IF(K69=0,0,(EURO(K69,Strikeprice4,0,0,($AK69+IF(Smile=TRUE(),VLOOKUP(MAX(-5,Strikeprice4-K69),Volsmile,2),0)),($A69-DateToday)+15,IF(Pricetype4=1,1,0),0))),K69)))</f>
        <v> </v>
      </c>
      <c r="U69" s="319" t="str">
        <f aca="false">IF($A69="N/A"," ",Volume4*$AM69)</f>
        <v> </v>
      </c>
      <c r="V69" s="320" t="str">
        <f aca="false">IF($A69="N/A"," ",$U69*(8*($BQ69))*L69)</f>
        <v> </v>
      </c>
      <c r="W69" s="320" t="str">
        <f aca="false">IF($A69="N/A"," ",$U69*(8*($BQ69))*M69)</f>
        <v> </v>
      </c>
      <c r="X69" s="320" t="str">
        <f aca="false">IF($A69="N/A"," ",$U69*(8*($BQ69))*N69)</f>
        <v> </v>
      </c>
      <c r="Y69" s="320" t="str">
        <f aca="false">IF($A69="N/A"," ",$U69*(8*($BR69))*O69)</f>
        <v> </v>
      </c>
      <c r="Z69" s="320" t="str">
        <f aca="false">IF($A69="N/A"," ",$U69*(8*($BR69))*P69)</f>
        <v> </v>
      </c>
      <c r="AA69" s="320" t="str">
        <f aca="false">IF($A69="N/A"," ",$U69*(8*($BR69))*Q69)</f>
        <v> </v>
      </c>
      <c r="AB69" s="320" t="str">
        <f aca="false">IF($A69="N/A"," ",$U69*(8*($BS69))*R69)</f>
        <v> </v>
      </c>
      <c r="AC69" s="320" t="str">
        <f aca="false">IF($A69="N/A"," ",$U69*(8*($BS69))*S69)</f>
        <v> </v>
      </c>
      <c r="AD69" s="320" t="str">
        <f aca="false">IF($A69="N/A"," ",$U69*(8*($BS69))*T69)</f>
        <v> </v>
      </c>
      <c r="AE69" s="320" t="str">
        <f aca="false">IF($A69="N/A"," ",SUM(V69:AD69))</f>
        <v> </v>
      </c>
      <c r="AF69" s="321" t="str">
        <f aca="false">IF(A69="N/A"," ",(VLOOKUP(A69,PowerVolTable,(IF(VolBMO4=2,7,IF(VolBMO4=1,6,8))),FALSE())))</f>
        <v> </v>
      </c>
      <c r="AG69" s="321" t="str">
        <f aca="false">IF(A69="N/A"," ",(VLOOKUP(A69,IntraPowerVol,(IF(VolBMO4=2,3,IF(VolBMO4=1,2,4))),FALSE())*VLOOKUP(MONTH($A69),Volscale,2)))</f>
        <v> </v>
      </c>
      <c r="AH69" s="321" t="str">
        <f aca="false">IF($A69="N/A"," ",IF(VolType4=1,AG69,AF69))</f>
        <v> </v>
      </c>
      <c r="AI69" s="321" t="str">
        <f aca="false">IF($A69="N/A"," ",(VLOOKUP($A69,OffPwrVolTable,(IF(VolBMO4=2,7,IF(VolBMO4=1,6,8))),FALSE())))</f>
        <v> </v>
      </c>
      <c r="AJ69" s="321" t="str">
        <f aca="false">IF($A69="N/A"," ",(VLOOKUP($A69,OffPwrVolTable,(IF(VolBMO4=2,3,IF(VolBMO4=1,2,4))),FALSE())*VLOOKUP(MONTH($A69),Volscale,2)))</f>
        <v> </v>
      </c>
      <c r="AK69" s="321" t="str">
        <f aca="false">IF($A69="N/A"," ",IF(VolType4=1,AJ69,AI69))</f>
        <v> </v>
      </c>
      <c r="AL69" s="321" t="str">
        <f aca="false">IF($A69="N/A"," ",IF(PV=1,0,'Pricing Inputs4'!R102))</f>
        <v> </v>
      </c>
      <c r="AM69" s="323" t="str">
        <f aca="false">IF($A69="N/A"," ",(1+AL69/2)^(-2*((EOMONTH(A69,0)+20)-DateToday)/365.25))</f>
        <v> </v>
      </c>
      <c r="BQ69" s="0" t="str">
        <f aca="false">IF($A69="N/A"," ",(VLOOKUP($A69,NumberofDaysTable,2)))</f>
        <v> </v>
      </c>
      <c r="BR69" s="0" t="str">
        <f aca="false">IF($A69="N/A"," ",(VLOOKUP($A69,NumberofDaysTable,3)))</f>
        <v> </v>
      </c>
      <c r="BS69" s="0" t="str">
        <f aca="false">IF($A69="N/A"," ",(VLOOKUP($A69,NumberofDaysTable,4)))</f>
        <v> </v>
      </c>
    </row>
    <row r="70" customFormat="false" ht="12.75" hidden="false" customHeight="false" outlineLevel="0" collapsed="false">
      <c r="A70" s="315" t="str">
        <f aca="false">IF(A69="N/A","N/A",IF(EDATE(A69,1)&gt;Inputs!$R$5,"N/A",EDATE(A69,1)))</f>
        <v>N/A</v>
      </c>
      <c r="B70" s="316" t="str">
        <f aca="false">IF(A70="N/A"," ",YEAR(A70))</f>
        <v> </v>
      </c>
      <c r="C70" s="317" t="str">
        <f aca="false">IF($A70="N/A"," ",IF(Dayrun4=10,0,IF(Scaler4=1,(VLOOKUP(A70,ScaledPrice4,4)),(VLOOKUP(A70,ScaledPrice4,2)))))</f>
        <v> </v>
      </c>
      <c r="D70" s="317" t="str">
        <f aca="false">IF(A70="N/A"," ",IF(Dayrun4&gt;=7,0,IF(Scaler4=2,VLOOKUP(A70,ScaledPrice4,2),(VLOOKUP(A70,ScaledPrice4,2))*(2-(VLOOKUP(A70,ScaledPrice4,3))))))</f>
        <v> </v>
      </c>
      <c r="E70" s="317" t="str">
        <f aca="false">IF($A70="N/A"," ",IF(AND(Dayrun4&gt;=4,Dayrun4&lt;=9),0,VLOOKUP($A70,ScaledPrice4,9)))</f>
        <v> </v>
      </c>
      <c r="F70" s="317" t="str">
        <f aca="false">IF(A70="N/A"," ",IF(OR(Dayrun4=2,Dayrun4=3,Dayrun4=5,Dayrun4=6,Dayrun4=8,Dayrun4=9),VLOOKUP(A70,ScaledPrice4,IF(Scaler4=1,6,5)),0))</f>
        <v> </v>
      </c>
      <c r="G70" s="317" t="str">
        <f aca="false">IF(A70="N/A"," ",IF(OR(Dayrun4=2,Dayrun4=3,Dayrun4=5,Dayrun4=6),IF(Scaler4=2,F70,(VLOOKUP(A70,ScaledPrice4,5))*(2-(VLOOKUP(A70,ScaledPrice4,3)))),0))</f>
        <v> </v>
      </c>
      <c r="H70" s="317" t="str">
        <f aca="false">IF($A70="N/A"," ",IF(OR(Dayrun4=2,Dayrun4=3,Dayrun4=10),VLOOKUP($A70,ScaledPrice4,9),0))</f>
        <v> </v>
      </c>
      <c r="I70" s="317" t="str">
        <f aca="false">IF(A70="N/A"," ",IF(OR(Dayrun4=3,Dayrun4=6,Dayrun4=9),(VLOOKUP(A70,ScaledPrice4,IF(Scaler4=2,7,8))),0))</f>
        <v> </v>
      </c>
      <c r="J70" s="317" t="str">
        <f aca="false">IF(A70="N/A"," ",IF(OR(Dayrun4=3,Dayrun4=6),IF(Scaler4=2,I70,(VLOOKUP(A70,ScaledPrice4,7))*(2-(VLOOKUP(A70,ScaledPrice4,3)))),0))</f>
        <v> </v>
      </c>
      <c r="K70" s="317" t="str">
        <f aca="false">IF($A70="N/A"," ",IF(OR(Dayrun4=3,Dayrun4=10),VLOOKUP($A70,ScaledPrice4,9),0))</f>
        <v> </v>
      </c>
      <c r="L70" s="318" t="str">
        <f aca="false">IF($A70="N/A"," ",IF(Pricetype4=2,MAX(C70,0),IF(OR(Pricetype4=1,Pricetype4=4),IF(C70=0,0,(EURO(C70,Strikeprice4,0,0,($AH70+IF(Smile=TRUE(),VLOOKUP(MAX(-5,Strikeprice4-C70),Volsmile,2),0)),($A70-DateToday)+15,IF(Pricetype4=1,1,0),0))),C70)))</f>
        <v> </v>
      </c>
      <c r="M70" s="318" t="str">
        <f aca="false">IF($A70="N/A"," ",IF(Pricetype4=2,MAX(D70,0),IF(OR(Pricetype4=1,Pricetype4=4),IF(D70=0,0,(EURO(D70,Strikeprice4,0,0,($AH70+IF(Smile=TRUE(),VLOOKUP(MAX(-5,Strikeprice4-D70),Volsmile,2),0)),($A70-DateToday)+15,IF(Pricetype4=1,1,0),0))),D70)))</f>
        <v> </v>
      </c>
      <c r="N70" s="318" t="str">
        <f aca="false">IF($A70="N/A"," ",IF(Pricetype4=2,MAX(E70,0),IF(OR(Pricetype4=1,Pricetype4=4),IF(E70=0,0,(EURO(E70,Strikeprice4,0,0,($AK70+IF(Smile=TRUE(),VLOOKUP(MAX(-5,Strikeprice4-E70),Volsmile,2),0)),($A70-DateToday)+15,IF(Pricetype4=1,1,0),0))),E70)))</f>
        <v> </v>
      </c>
      <c r="O70" s="318" t="str">
        <f aca="false">IF($A70="N/A"," ",IF(Pricetype4=2,MAX(F70,0),IF(OR(Pricetype4=1,Pricetype4=4),IF(F70=0,0,(EURO(F70,Strikeprice4,0,0,($AK70+IF(Smile=TRUE(),VLOOKUP(MAX(-5,Strikeprice4-F70),Volsmile,2),0)),($A70-DateToday)+15,IF(Pricetype4=1,1,0),0))),F70)))</f>
        <v> </v>
      </c>
      <c r="P70" s="318" t="str">
        <f aca="false">IF($A70="N/A"," ",IF(Pricetype4=2,MAX(G70,0),IF(OR(Pricetype4=1,Pricetype4=4),IF(G70=0,0,(EURO(G70,Strikeprice4,0,0,($AK70+IF(Smile=TRUE(),VLOOKUP(MAX(-5,Strikeprice4-G70),Volsmile,2),0)),($A70-DateToday)+15,IF(Pricetype4=1,1,0),0))),G70)))</f>
        <v> </v>
      </c>
      <c r="Q70" s="318" t="str">
        <f aca="false">IF($A70="N/A"," ",IF(Pricetype4=2,MAX(H70,0),IF(OR(Pricetype4=1,Pricetype4=4),IF(H70=0,0,(EURO(H70,Strikeprice4,0,0,($AK70+IF(Smile=TRUE(),VLOOKUP(MAX(-5,Strikeprice4-H70),Volsmile,2),0)),($A70-DateToday)+15,IF(Pricetype4=1,1,0),0))),H70)))</f>
        <v> </v>
      </c>
      <c r="R70" s="318" t="str">
        <f aca="false">IF($A70="N/A"," ",IF(Pricetype4=2,MAX(I70,0),IF(OR(Pricetype4=1,Pricetype4=4),IF(I70=0,0,(EURO(I70,Strikeprice4,0,0,($AK70+IF(Smile=TRUE(),VLOOKUP(MAX(-5,Strikeprice4-I70),Volsmile,2),0)),($A70-DateToday)+15,IF(Pricetype4=1,1,0),0))),I70)))</f>
        <v> </v>
      </c>
      <c r="S70" s="318" t="str">
        <f aca="false">IF($A70="N/A"," ",IF(Pricetype4=2,MAX(J70,0),IF(OR(Pricetype4=1,Pricetype4=4),IF(J70=0,0,(EURO(J70,Strikeprice4,0,0,($AK70+IF(Smile=TRUE(),VLOOKUP(MAX(-5,Strikeprice4-J70),Volsmile,2),0)),($A70-DateToday)+15,IF(Pricetype4=1,1,0),0))),J70)))</f>
        <v> </v>
      </c>
      <c r="T70" s="318" t="str">
        <f aca="false">IF($A70="N/A"," ",IF(Pricetype4=2,MAX(K70,0),IF(OR(Pricetype4=1,Pricetype4=4),IF(K70=0,0,(EURO(K70,Strikeprice4,0,0,($AK70+IF(Smile=TRUE(),VLOOKUP(MAX(-5,Strikeprice4-K70),Volsmile,2),0)),($A70-DateToday)+15,IF(Pricetype4=1,1,0),0))),K70)))</f>
        <v> </v>
      </c>
      <c r="U70" s="319" t="str">
        <f aca="false">IF($A70="N/A"," ",Volume4*$AM70)</f>
        <v> </v>
      </c>
      <c r="V70" s="320" t="str">
        <f aca="false">IF($A70="N/A"," ",$U70*(8*($BQ70))*L70)</f>
        <v> </v>
      </c>
      <c r="W70" s="320" t="str">
        <f aca="false">IF($A70="N/A"," ",$U70*(8*($BQ70))*M70)</f>
        <v> </v>
      </c>
      <c r="X70" s="320" t="str">
        <f aca="false">IF($A70="N/A"," ",$U70*(8*($BQ70))*N70)</f>
        <v> </v>
      </c>
      <c r="Y70" s="320" t="str">
        <f aca="false">IF($A70="N/A"," ",$U70*(8*($BR70))*O70)</f>
        <v> </v>
      </c>
      <c r="Z70" s="320" t="str">
        <f aca="false">IF($A70="N/A"," ",$U70*(8*($BR70))*P70)</f>
        <v> </v>
      </c>
      <c r="AA70" s="320" t="str">
        <f aca="false">IF($A70="N/A"," ",$U70*(8*($BR70))*Q70)</f>
        <v> </v>
      </c>
      <c r="AB70" s="320" t="str">
        <f aca="false">IF($A70="N/A"," ",$U70*(8*($BS70))*R70)</f>
        <v> </v>
      </c>
      <c r="AC70" s="320" t="str">
        <f aca="false">IF($A70="N/A"," ",$U70*(8*($BS70))*S70)</f>
        <v> </v>
      </c>
      <c r="AD70" s="320" t="str">
        <f aca="false">IF($A70="N/A"," ",$U70*(8*($BS70))*T70)</f>
        <v> </v>
      </c>
      <c r="AE70" s="320" t="str">
        <f aca="false">IF($A70="N/A"," ",SUM(V70:AD70))</f>
        <v> </v>
      </c>
      <c r="AF70" s="321" t="str">
        <f aca="false">IF(A70="N/A"," ",(VLOOKUP(A70,PowerVolTable,(IF(VolBMO4=2,7,IF(VolBMO4=1,6,8))),FALSE())))</f>
        <v> </v>
      </c>
      <c r="AG70" s="321" t="str">
        <f aca="false">IF(A70="N/A"," ",(VLOOKUP(A70,IntraPowerVol,(IF(VolBMO4=2,3,IF(VolBMO4=1,2,4))),FALSE())*VLOOKUP(MONTH($A70),Volscale,2)))</f>
        <v> </v>
      </c>
      <c r="AH70" s="321" t="str">
        <f aca="false">IF($A70="N/A"," ",IF(VolType4=1,AG70,AF70))</f>
        <v> </v>
      </c>
      <c r="AI70" s="321" t="str">
        <f aca="false">IF($A70="N/A"," ",(VLOOKUP($A70,OffPwrVolTable,(IF(VolBMO4=2,7,IF(VolBMO4=1,6,8))),FALSE())))</f>
        <v> </v>
      </c>
      <c r="AJ70" s="321" t="str">
        <f aca="false">IF($A70="N/A"," ",(VLOOKUP($A70,OffPwrVolTable,(IF(VolBMO4=2,3,IF(VolBMO4=1,2,4))),FALSE())*VLOOKUP(MONTH($A70),Volscale,2)))</f>
        <v> </v>
      </c>
      <c r="AK70" s="321" t="str">
        <f aca="false">IF($A70="N/A"," ",IF(VolType4=1,AJ70,AI70))</f>
        <v> </v>
      </c>
      <c r="AL70" s="321" t="str">
        <f aca="false">IF($A70="N/A"," ",IF(PV=1,0,'Pricing Inputs4'!R103))</f>
        <v> </v>
      </c>
      <c r="AM70" s="323" t="str">
        <f aca="false">IF($A70="N/A"," ",(1+AL70/2)^(-2*((EOMONTH(A70,0)+20)-DateToday)/365.25))</f>
        <v> </v>
      </c>
      <c r="BQ70" s="0" t="str">
        <f aca="false">IF($A70="N/A"," ",(VLOOKUP($A70,NumberofDaysTable,2)))</f>
        <v> </v>
      </c>
      <c r="BR70" s="0" t="str">
        <f aca="false">IF($A70="N/A"," ",(VLOOKUP($A70,NumberofDaysTable,3)))</f>
        <v> </v>
      </c>
      <c r="BS70" s="0" t="str">
        <f aca="false">IF($A70="N/A"," ",(VLOOKUP($A70,NumberofDaysTable,4)))</f>
        <v> </v>
      </c>
    </row>
    <row r="71" customFormat="false" ht="12.75" hidden="false" customHeight="false" outlineLevel="0" collapsed="false">
      <c r="A71" s="315" t="str">
        <f aca="false">IF(A70="N/A","N/A",IF(EDATE(A70,1)&gt;Inputs!$R$5,"N/A",EDATE(A70,1)))</f>
        <v>N/A</v>
      </c>
      <c r="B71" s="316" t="str">
        <f aca="false">IF(A71="N/A"," ",YEAR(A71))</f>
        <v> </v>
      </c>
      <c r="C71" s="317" t="str">
        <f aca="false">IF($A71="N/A"," ",IF(Dayrun4=10,0,IF(Scaler4=1,(VLOOKUP(A71,ScaledPrice4,4)),(VLOOKUP(A71,ScaledPrice4,2)))))</f>
        <v> </v>
      </c>
      <c r="D71" s="317" t="str">
        <f aca="false">IF(A71="N/A"," ",IF(Dayrun4&gt;=7,0,IF(Scaler4=2,VLOOKUP(A71,ScaledPrice4,2),(VLOOKUP(A71,ScaledPrice4,2))*(2-(VLOOKUP(A71,ScaledPrice4,3))))))</f>
        <v> </v>
      </c>
      <c r="E71" s="317" t="str">
        <f aca="false">IF($A71="N/A"," ",IF(AND(Dayrun4&gt;=4,Dayrun4&lt;=9),0,VLOOKUP($A71,ScaledPrice4,9)))</f>
        <v> </v>
      </c>
      <c r="F71" s="317" t="str">
        <f aca="false">IF(A71="N/A"," ",IF(OR(Dayrun4=2,Dayrun4=3,Dayrun4=5,Dayrun4=6,Dayrun4=8,Dayrun4=9),VLOOKUP(A71,ScaledPrice4,IF(Scaler4=1,6,5)),0))</f>
        <v> </v>
      </c>
      <c r="G71" s="317" t="str">
        <f aca="false">IF(A71="N/A"," ",IF(OR(Dayrun4=2,Dayrun4=3,Dayrun4=5,Dayrun4=6),IF(Scaler4=2,F71,(VLOOKUP(A71,ScaledPrice4,5))*(2-(VLOOKUP(A71,ScaledPrice4,3)))),0))</f>
        <v> </v>
      </c>
      <c r="H71" s="317" t="str">
        <f aca="false">IF($A71="N/A"," ",IF(OR(Dayrun4=2,Dayrun4=3,Dayrun4=10),VLOOKUP($A71,ScaledPrice4,9),0))</f>
        <v> </v>
      </c>
      <c r="I71" s="317" t="str">
        <f aca="false">IF(A71="N/A"," ",IF(OR(Dayrun4=3,Dayrun4=6,Dayrun4=9),(VLOOKUP(A71,ScaledPrice4,IF(Scaler4=2,7,8))),0))</f>
        <v> </v>
      </c>
      <c r="J71" s="317" t="str">
        <f aca="false">IF(A71="N/A"," ",IF(OR(Dayrun4=3,Dayrun4=6),IF(Scaler4=2,I71,(VLOOKUP(A71,ScaledPrice4,7))*(2-(VLOOKUP(A71,ScaledPrice4,3)))),0))</f>
        <v> </v>
      </c>
      <c r="K71" s="317" t="str">
        <f aca="false">IF($A71="N/A"," ",IF(OR(Dayrun4=3,Dayrun4=10),VLOOKUP($A71,ScaledPrice4,9),0))</f>
        <v> </v>
      </c>
      <c r="L71" s="318" t="str">
        <f aca="false">IF($A71="N/A"," ",IF(Pricetype4=2,MAX(C71,0),IF(OR(Pricetype4=1,Pricetype4=4),IF(C71=0,0,(EURO(C71,Strikeprice4,0,0,($AH71+IF(Smile=TRUE(),VLOOKUP(MAX(-5,Strikeprice4-C71),Volsmile,2),0)),($A71-DateToday)+15,IF(Pricetype4=1,1,0),0))),C71)))</f>
        <v> </v>
      </c>
      <c r="M71" s="318" t="str">
        <f aca="false">IF($A71="N/A"," ",IF(Pricetype4=2,MAX(D71,0),IF(OR(Pricetype4=1,Pricetype4=4),IF(D71=0,0,(EURO(D71,Strikeprice4,0,0,($AH71+IF(Smile=TRUE(),VLOOKUP(MAX(-5,Strikeprice4-D71),Volsmile,2),0)),($A71-DateToday)+15,IF(Pricetype4=1,1,0),0))),D71)))</f>
        <v> </v>
      </c>
      <c r="N71" s="318" t="str">
        <f aca="false">IF($A71="N/A"," ",IF(Pricetype4=2,MAX(E71,0),IF(OR(Pricetype4=1,Pricetype4=4),IF(E71=0,0,(EURO(E71,Strikeprice4,0,0,($AK71+IF(Smile=TRUE(),VLOOKUP(MAX(-5,Strikeprice4-E71),Volsmile,2),0)),($A71-DateToday)+15,IF(Pricetype4=1,1,0),0))),E71)))</f>
        <v> </v>
      </c>
      <c r="O71" s="318" t="str">
        <f aca="false">IF($A71="N/A"," ",IF(Pricetype4=2,MAX(F71,0),IF(OR(Pricetype4=1,Pricetype4=4),IF(F71=0,0,(EURO(F71,Strikeprice4,0,0,($AK71+IF(Smile=TRUE(),VLOOKUP(MAX(-5,Strikeprice4-F71),Volsmile,2),0)),($A71-DateToday)+15,IF(Pricetype4=1,1,0),0))),F71)))</f>
        <v> </v>
      </c>
      <c r="P71" s="318" t="str">
        <f aca="false">IF($A71="N/A"," ",IF(Pricetype4=2,MAX(G71,0),IF(OR(Pricetype4=1,Pricetype4=4),IF(G71=0,0,(EURO(G71,Strikeprice4,0,0,($AK71+IF(Smile=TRUE(),VLOOKUP(MAX(-5,Strikeprice4-G71),Volsmile,2),0)),($A71-DateToday)+15,IF(Pricetype4=1,1,0),0))),G71)))</f>
        <v> </v>
      </c>
      <c r="Q71" s="318" t="str">
        <f aca="false">IF($A71="N/A"," ",IF(Pricetype4=2,MAX(H71,0),IF(OR(Pricetype4=1,Pricetype4=4),IF(H71=0,0,(EURO(H71,Strikeprice4,0,0,($AK71+IF(Smile=TRUE(),VLOOKUP(MAX(-5,Strikeprice4-H71),Volsmile,2),0)),($A71-DateToday)+15,IF(Pricetype4=1,1,0),0))),H71)))</f>
        <v> </v>
      </c>
      <c r="R71" s="318" t="str">
        <f aca="false">IF($A71="N/A"," ",IF(Pricetype4=2,MAX(I71,0),IF(OR(Pricetype4=1,Pricetype4=4),IF(I71=0,0,(EURO(I71,Strikeprice4,0,0,($AK71+IF(Smile=TRUE(),VLOOKUP(MAX(-5,Strikeprice4-I71),Volsmile,2),0)),($A71-DateToday)+15,IF(Pricetype4=1,1,0),0))),I71)))</f>
        <v> </v>
      </c>
      <c r="S71" s="318" t="str">
        <f aca="false">IF($A71="N/A"," ",IF(Pricetype4=2,MAX(J71,0),IF(OR(Pricetype4=1,Pricetype4=4),IF(J71=0,0,(EURO(J71,Strikeprice4,0,0,($AK71+IF(Smile=TRUE(),VLOOKUP(MAX(-5,Strikeprice4-J71),Volsmile,2),0)),($A71-DateToday)+15,IF(Pricetype4=1,1,0),0))),J71)))</f>
        <v> </v>
      </c>
      <c r="T71" s="318" t="str">
        <f aca="false">IF($A71="N/A"," ",IF(Pricetype4=2,MAX(K71,0),IF(OR(Pricetype4=1,Pricetype4=4),IF(K71=0,0,(EURO(K71,Strikeprice4,0,0,($AK71+IF(Smile=TRUE(),VLOOKUP(MAX(-5,Strikeprice4-K71),Volsmile,2),0)),($A71-DateToday)+15,IF(Pricetype4=1,1,0),0))),K71)))</f>
        <v> </v>
      </c>
      <c r="U71" s="319" t="str">
        <f aca="false">IF($A71="N/A"," ",Volume4*$AM71)</f>
        <v> </v>
      </c>
      <c r="V71" s="320" t="str">
        <f aca="false">IF($A71="N/A"," ",$U71*(8*($BQ71))*L71)</f>
        <v> </v>
      </c>
      <c r="W71" s="320" t="str">
        <f aca="false">IF($A71="N/A"," ",$U71*(8*($BQ71))*M71)</f>
        <v> </v>
      </c>
      <c r="X71" s="320" t="str">
        <f aca="false">IF($A71="N/A"," ",$U71*(8*($BQ71))*N71)</f>
        <v> </v>
      </c>
      <c r="Y71" s="320" t="str">
        <f aca="false">IF($A71="N/A"," ",$U71*(8*($BR71))*O71)</f>
        <v> </v>
      </c>
      <c r="Z71" s="320" t="str">
        <f aca="false">IF($A71="N/A"," ",$U71*(8*($BR71))*P71)</f>
        <v> </v>
      </c>
      <c r="AA71" s="320" t="str">
        <f aca="false">IF($A71="N/A"," ",$U71*(8*($BR71))*Q71)</f>
        <v> </v>
      </c>
      <c r="AB71" s="320" t="str">
        <f aca="false">IF($A71="N/A"," ",$U71*(8*($BS71))*R71)</f>
        <v> </v>
      </c>
      <c r="AC71" s="320" t="str">
        <f aca="false">IF($A71="N/A"," ",$U71*(8*($BS71))*S71)</f>
        <v> </v>
      </c>
      <c r="AD71" s="320" t="str">
        <f aca="false">IF($A71="N/A"," ",$U71*(8*($BS71))*T71)</f>
        <v> </v>
      </c>
      <c r="AE71" s="320" t="str">
        <f aca="false">IF($A71="N/A"," ",SUM(V71:AD71))</f>
        <v> </v>
      </c>
      <c r="AF71" s="321" t="str">
        <f aca="false">IF(A71="N/A"," ",(VLOOKUP(A71,PowerVolTable,(IF(VolBMO4=2,7,IF(VolBMO4=1,6,8))),FALSE())))</f>
        <v> </v>
      </c>
      <c r="AG71" s="321" t="str">
        <f aca="false">IF(A71="N/A"," ",(VLOOKUP(A71,IntraPowerVol,(IF(VolBMO4=2,3,IF(VolBMO4=1,2,4))),FALSE())*VLOOKUP(MONTH($A71),Volscale,2)))</f>
        <v> </v>
      </c>
      <c r="AH71" s="321" t="str">
        <f aca="false">IF($A71="N/A"," ",IF(VolType4=1,AG71,AF71))</f>
        <v> </v>
      </c>
      <c r="AI71" s="321" t="str">
        <f aca="false">IF($A71="N/A"," ",(VLOOKUP($A71,OffPwrVolTable,(IF(VolBMO4=2,7,IF(VolBMO4=1,6,8))),FALSE())))</f>
        <v> </v>
      </c>
      <c r="AJ71" s="321" t="str">
        <f aca="false">IF($A71="N/A"," ",(VLOOKUP($A71,OffPwrVolTable,(IF(VolBMO4=2,3,IF(VolBMO4=1,2,4))),FALSE())*VLOOKUP(MONTH($A71),Volscale,2)))</f>
        <v> </v>
      </c>
      <c r="AK71" s="321" t="str">
        <f aca="false">IF($A71="N/A"," ",IF(VolType4=1,AJ71,AI71))</f>
        <v> </v>
      </c>
      <c r="AL71" s="321" t="str">
        <f aca="false">IF($A71="N/A"," ",IF(PV=1,0,'Pricing Inputs4'!R104))</f>
        <v> </v>
      </c>
      <c r="AM71" s="323" t="str">
        <f aca="false">IF($A71="N/A"," ",(1+AL71/2)^(-2*((EOMONTH(A71,0)+20)-DateToday)/365.25))</f>
        <v> </v>
      </c>
      <c r="BQ71" s="0" t="str">
        <f aca="false">IF($A71="N/A"," ",(VLOOKUP($A71,NumberofDaysTable,2)))</f>
        <v> </v>
      </c>
      <c r="BR71" s="0" t="str">
        <f aca="false">IF($A71="N/A"," ",(VLOOKUP($A71,NumberofDaysTable,3)))</f>
        <v> </v>
      </c>
      <c r="BS71" s="0" t="str">
        <f aca="false">IF($A71="N/A"," ",(VLOOKUP($A71,NumberofDaysTable,4)))</f>
        <v> </v>
      </c>
    </row>
    <row r="72" customFormat="false" ht="12.75" hidden="false" customHeight="false" outlineLevel="0" collapsed="false">
      <c r="A72" s="315" t="str">
        <f aca="false">IF(A71="N/A","N/A",IF(EDATE(A71,1)&gt;Inputs!$R$5,"N/A",EDATE(A71,1)))</f>
        <v>N/A</v>
      </c>
      <c r="B72" s="316" t="str">
        <f aca="false">IF(A72="N/A"," ",YEAR(A72))</f>
        <v> </v>
      </c>
      <c r="C72" s="317" t="str">
        <f aca="false">IF($A72="N/A"," ",IF(Dayrun4=10,0,IF(Scaler4=1,(VLOOKUP(A72,ScaledPrice4,4)),(VLOOKUP(A72,ScaledPrice4,2)))))</f>
        <v> </v>
      </c>
      <c r="D72" s="317" t="str">
        <f aca="false">IF(A72="N/A"," ",IF(Dayrun4&gt;=7,0,IF(Scaler4=2,VLOOKUP(A72,ScaledPrice4,2),(VLOOKUP(A72,ScaledPrice4,2))*(2-(VLOOKUP(A72,ScaledPrice4,3))))))</f>
        <v> </v>
      </c>
      <c r="E72" s="317" t="str">
        <f aca="false">IF($A72="N/A"," ",IF(AND(Dayrun4&gt;=4,Dayrun4&lt;=9),0,VLOOKUP($A72,ScaledPrice4,9)))</f>
        <v> </v>
      </c>
      <c r="F72" s="317" t="str">
        <f aca="false">IF(A72="N/A"," ",IF(OR(Dayrun4=2,Dayrun4=3,Dayrun4=5,Dayrun4=6,Dayrun4=8,Dayrun4=9),VLOOKUP(A72,ScaledPrice4,IF(Scaler4=1,6,5)),0))</f>
        <v> </v>
      </c>
      <c r="G72" s="317" t="str">
        <f aca="false">IF(A72="N/A"," ",IF(OR(Dayrun4=2,Dayrun4=3,Dayrun4=5,Dayrun4=6),IF(Scaler4=2,F72,(VLOOKUP(A72,ScaledPrice4,5))*(2-(VLOOKUP(A72,ScaledPrice4,3)))),0))</f>
        <v> </v>
      </c>
      <c r="H72" s="317" t="str">
        <f aca="false">IF($A72="N/A"," ",IF(OR(Dayrun4=2,Dayrun4=3,Dayrun4=10),VLOOKUP($A72,ScaledPrice4,9),0))</f>
        <v> </v>
      </c>
      <c r="I72" s="317" t="str">
        <f aca="false">IF(A72="N/A"," ",IF(OR(Dayrun4=3,Dayrun4=6,Dayrun4=9),(VLOOKUP(A72,ScaledPrice4,IF(Scaler4=2,7,8))),0))</f>
        <v> </v>
      </c>
      <c r="J72" s="317" t="str">
        <f aca="false">IF(A72="N/A"," ",IF(OR(Dayrun4=3,Dayrun4=6),IF(Scaler4=2,I72,(VLOOKUP(A72,ScaledPrice4,7))*(2-(VLOOKUP(A72,ScaledPrice4,3)))),0))</f>
        <v> </v>
      </c>
      <c r="K72" s="317" t="str">
        <f aca="false">IF($A72="N/A"," ",IF(OR(Dayrun4=3,Dayrun4=10),VLOOKUP($A72,ScaledPrice4,9),0))</f>
        <v> </v>
      </c>
      <c r="L72" s="318" t="str">
        <f aca="false">IF($A72="N/A"," ",IF(Pricetype4=2,MAX(C72,0),IF(OR(Pricetype4=1,Pricetype4=4),IF(C72=0,0,(EURO(C72,Strikeprice4,0,0,($AH72+IF(Smile=TRUE(),VLOOKUP(MAX(-5,Strikeprice4-C72),Volsmile,2),0)),($A72-DateToday)+15,IF(Pricetype4=1,1,0),0))),C72)))</f>
        <v> </v>
      </c>
      <c r="M72" s="318" t="str">
        <f aca="false">IF($A72="N/A"," ",IF(Pricetype4=2,MAX(D72,0),IF(OR(Pricetype4=1,Pricetype4=4),IF(D72=0,0,(EURO(D72,Strikeprice4,0,0,($AH72+IF(Smile=TRUE(),VLOOKUP(MAX(-5,Strikeprice4-D72),Volsmile,2),0)),($A72-DateToday)+15,IF(Pricetype4=1,1,0),0))),D72)))</f>
        <v> </v>
      </c>
      <c r="N72" s="318" t="str">
        <f aca="false">IF($A72="N/A"," ",IF(Pricetype4=2,MAX(E72,0),IF(OR(Pricetype4=1,Pricetype4=4),IF(E72=0,0,(EURO(E72,Strikeprice4,0,0,($AK72+IF(Smile=TRUE(),VLOOKUP(MAX(-5,Strikeprice4-E72),Volsmile,2),0)),($A72-DateToday)+15,IF(Pricetype4=1,1,0),0))),E72)))</f>
        <v> </v>
      </c>
      <c r="O72" s="318" t="str">
        <f aca="false">IF($A72="N/A"," ",IF(Pricetype4=2,MAX(F72,0),IF(OR(Pricetype4=1,Pricetype4=4),IF(F72=0,0,(EURO(F72,Strikeprice4,0,0,($AK72+IF(Smile=TRUE(),VLOOKUP(MAX(-5,Strikeprice4-F72),Volsmile,2),0)),($A72-DateToday)+15,IF(Pricetype4=1,1,0),0))),F72)))</f>
        <v> </v>
      </c>
      <c r="P72" s="318" t="str">
        <f aca="false">IF($A72="N/A"," ",IF(Pricetype4=2,MAX(G72,0),IF(OR(Pricetype4=1,Pricetype4=4),IF(G72=0,0,(EURO(G72,Strikeprice4,0,0,($AK72+IF(Smile=TRUE(),VLOOKUP(MAX(-5,Strikeprice4-G72),Volsmile,2),0)),($A72-DateToday)+15,IF(Pricetype4=1,1,0),0))),G72)))</f>
        <v> </v>
      </c>
      <c r="Q72" s="318" t="str">
        <f aca="false">IF($A72="N/A"," ",IF(Pricetype4=2,MAX(H72,0),IF(OR(Pricetype4=1,Pricetype4=4),IF(H72=0,0,(EURO(H72,Strikeprice4,0,0,($AK72+IF(Smile=TRUE(),VLOOKUP(MAX(-5,Strikeprice4-H72),Volsmile,2),0)),($A72-DateToday)+15,IF(Pricetype4=1,1,0),0))),H72)))</f>
        <v> </v>
      </c>
      <c r="R72" s="318" t="str">
        <f aca="false">IF($A72="N/A"," ",IF(Pricetype4=2,MAX(I72,0),IF(OR(Pricetype4=1,Pricetype4=4),IF(I72=0,0,(EURO(I72,Strikeprice4,0,0,($AK72+IF(Smile=TRUE(),VLOOKUP(MAX(-5,Strikeprice4-I72),Volsmile,2),0)),($A72-DateToday)+15,IF(Pricetype4=1,1,0),0))),I72)))</f>
        <v> </v>
      </c>
      <c r="S72" s="318" t="str">
        <f aca="false">IF($A72="N/A"," ",IF(Pricetype4=2,MAX(J72,0),IF(OR(Pricetype4=1,Pricetype4=4),IF(J72=0,0,(EURO(J72,Strikeprice4,0,0,($AK72+IF(Smile=TRUE(),VLOOKUP(MAX(-5,Strikeprice4-J72),Volsmile,2),0)),($A72-DateToday)+15,IF(Pricetype4=1,1,0),0))),J72)))</f>
        <v> </v>
      </c>
      <c r="T72" s="318" t="str">
        <f aca="false">IF($A72="N/A"," ",IF(Pricetype4=2,MAX(K72,0),IF(OR(Pricetype4=1,Pricetype4=4),IF(K72=0,0,(EURO(K72,Strikeprice4,0,0,($AK72+IF(Smile=TRUE(),VLOOKUP(MAX(-5,Strikeprice4-K72),Volsmile,2),0)),($A72-DateToday)+15,IF(Pricetype4=1,1,0),0))),K72)))</f>
        <v> </v>
      </c>
      <c r="U72" s="319" t="str">
        <f aca="false">IF($A72="N/A"," ",Volume4*$AM72)</f>
        <v> </v>
      </c>
      <c r="V72" s="320" t="str">
        <f aca="false">IF($A72="N/A"," ",$U72*(8*($BQ72))*L72)</f>
        <v> </v>
      </c>
      <c r="W72" s="320" t="str">
        <f aca="false">IF($A72="N/A"," ",$U72*(8*($BQ72))*M72)</f>
        <v> </v>
      </c>
      <c r="X72" s="320" t="str">
        <f aca="false">IF($A72="N/A"," ",$U72*(8*($BQ72))*N72)</f>
        <v> </v>
      </c>
      <c r="Y72" s="320" t="str">
        <f aca="false">IF($A72="N/A"," ",$U72*(8*($BR72))*O72)</f>
        <v> </v>
      </c>
      <c r="Z72" s="320" t="str">
        <f aca="false">IF($A72="N/A"," ",$U72*(8*($BR72))*P72)</f>
        <v> </v>
      </c>
      <c r="AA72" s="320" t="str">
        <f aca="false">IF($A72="N/A"," ",$U72*(8*($BR72))*Q72)</f>
        <v> </v>
      </c>
      <c r="AB72" s="320" t="str">
        <f aca="false">IF($A72="N/A"," ",$U72*(8*($BS72))*R72)</f>
        <v> </v>
      </c>
      <c r="AC72" s="320" t="str">
        <f aca="false">IF($A72="N/A"," ",$U72*(8*($BS72))*S72)</f>
        <v> </v>
      </c>
      <c r="AD72" s="320" t="str">
        <f aca="false">IF($A72="N/A"," ",$U72*(8*($BS72))*T72)</f>
        <v> </v>
      </c>
      <c r="AE72" s="320" t="str">
        <f aca="false">IF($A72="N/A"," ",SUM(V72:AD72))</f>
        <v> </v>
      </c>
      <c r="AF72" s="321" t="str">
        <f aca="false">IF(A72="N/A"," ",(VLOOKUP(A72,PowerVolTable,(IF(VolBMO4=2,7,IF(VolBMO4=1,6,8))),FALSE())))</f>
        <v> </v>
      </c>
      <c r="AG72" s="321" t="str">
        <f aca="false">IF(A72="N/A"," ",(VLOOKUP(A72,IntraPowerVol,(IF(VolBMO4=2,3,IF(VolBMO4=1,2,4))),FALSE())*VLOOKUP(MONTH($A72),Volscale,2)))</f>
        <v> </v>
      </c>
      <c r="AH72" s="321" t="str">
        <f aca="false">IF($A72="N/A"," ",IF(VolType4=1,AG72,AF72))</f>
        <v> </v>
      </c>
      <c r="AI72" s="321" t="str">
        <f aca="false">IF($A72="N/A"," ",(VLOOKUP($A72,OffPwrVolTable,(IF(VolBMO4=2,7,IF(VolBMO4=1,6,8))),FALSE())))</f>
        <v> </v>
      </c>
      <c r="AJ72" s="321" t="str">
        <f aca="false">IF($A72="N/A"," ",(VLOOKUP($A72,OffPwrVolTable,(IF(VolBMO4=2,3,IF(VolBMO4=1,2,4))),FALSE())*VLOOKUP(MONTH($A72),Volscale,2)))</f>
        <v> </v>
      </c>
      <c r="AK72" s="321" t="str">
        <f aca="false">IF($A72="N/A"," ",IF(VolType4=1,AJ72,AI72))</f>
        <v> </v>
      </c>
      <c r="AL72" s="321" t="str">
        <f aca="false">IF($A72="N/A"," ",IF(PV=1,0,'Pricing Inputs4'!R105))</f>
        <v> </v>
      </c>
      <c r="AM72" s="323" t="str">
        <f aca="false">IF($A72="N/A"," ",(1+AL72/2)^(-2*((EOMONTH(A72,0)+20)-DateToday)/365.25))</f>
        <v> </v>
      </c>
      <c r="BQ72" s="0" t="str">
        <f aca="false">IF($A72="N/A"," ",(VLOOKUP($A72,NumberofDaysTable,2)))</f>
        <v> </v>
      </c>
      <c r="BR72" s="0" t="str">
        <f aca="false">IF($A72="N/A"," ",(VLOOKUP($A72,NumberofDaysTable,3)))</f>
        <v> </v>
      </c>
      <c r="BS72" s="0" t="str">
        <f aca="false">IF($A72="N/A"," ",(VLOOKUP($A72,NumberofDaysTable,4)))</f>
        <v> </v>
      </c>
    </row>
    <row r="73" customFormat="false" ht="12.75" hidden="false" customHeight="false" outlineLevel="0" collapsed="false">
      <c r="A73" s="315" t="str">
        <f aca="false">IF(A72="N/A","N/A",IF(EDATE(A72,1)&gt;Inputs!$R$5,"N/A",EDATE(A72,1)))</f>
        <v>N/A</v>
      </c>
      <c r="B73" s="316" t="str">
        <f aca="false">IF(A73="N/A"," ",YEAR(A73))</f>
        <v> </v>
      </c>
      <c r="C73" s="317" t="str">
        <f aca="false">IF($A73="N/A"," ",IF(Dayrun4=10,0,IF(Scaler4=1,(VLOOKUP(A73,ScaledPrice4,4)),(VLOOKUP(A73,ScaledPrice4,2)))))</f>
        <v> </v>
      </c>
      <c r="D73" s="317" t="str">
        <f aca="false">IF(A73="N/A"," ",IF(Dayrun4&gt;=7,0,IF(Scaler4=2,VLOOKUP(A73,ScaledPrice4,2),(VLOOKUP(A73,ScaledPrice4,2))*(2-(VLOOKUP(A73,ScaledPrice4,3))))))</f>
        <v> </v>
      </c>
      <c r="E73" s="317" t="str">
        <f aca="false">IF($A73="N/A"," ",IF(AND(Dayrun4&gt;=4,Dayrun4&lt;=9),0,VLOOKUP($A73,ScaledPrice4,9)))</f>
        <v> </v>
      </c>
      <c r="F73" s="317" t="str">
        <f aca="false">IF(A73="N/A"," ",IF(OR(Dayrun4=2,Dayrun4=3,Dayrun4=5,Dayrun4=6,Dayrun4=8,Dayrun4=9),VLOOKUP(A73,ScaledPrice4,IF(Scaler4=1,6,5)),0))</f>
        <v> </v>
      </c>
      <c r="G73" s="317" t="str">
        <f aca="false">IF(A73="N/A"," ",IF(OR(Dayrun4=2,Dayrun4=3,Dayrun4=5,Dayrun4=6),IF(Scaler4=2,F73,(VLOOKUP(A73,ScaledPrice4,5))*(2-(VLOOKUP(A73,ScaledPrice4,3)))),0))</f>
        <v> </v>
      </c>
      <c r="H73" s="317" t="str">
        <f aca="false">IF($A73="N/A"," ",IF(OR(Dayrun4=2,Dayrun4=3,Dayrun4=10),VLOOKUP($A73,ScaledPrice4,9),0))</f>
        <v> </v>
      </c>
      <c r="I73" s="317" t="str">
        <f aca="false">IF(A73="N/A"," ",IF(OR(Dayrun4=3,Dayrun4=6,Dayrun4=9),(VLOOKUP(A73,ScaledPrice4,IF(Scaler4=2,7,8))),0))</f>
        <v> </v>
      </c>
      <c r="J73" s="317" t="str">
        <f aca="false">IF(A73="N/A"," ",IF(OR(Dayrun4=3,Dayrun4=6),IF(Scaler4=2,I73,(VLOOKUP(A73,ScaledPrice4,7))*(2-(VLOOKUP(A73,ScaledPrice4,3)))),0))</f>
        <v> </v>
      </c>
      <c r="K73" s="317" t="str">
        <f aca="false">IF($A73="N/A"," ",IF(OR(Dayrun4=3,Dayrun4=10),VLOOKUP($A73,ScaledPrice4,9),0))</f>
        <v> </v>
      </c>
      <c r="L73" s="318" t="str">
        <f aca="false">IF($A73="N/A"," ",IF(Pricetype4=2,MAX(C73,0),IF(OR(Pricetype4=1,Pricetype4=4),IF(C73=0,0,(EURO(C73,Strikeprice4,0,0,($AH73+IF(Smile=TRUE(),VLOOKUP(MAX(-5,Strikeprice4-C73),Volsmile,2),0)),($A73-DateToday)+15,IF(Pricetype4=1,1,0),0))),C73)))</f>
        <v> </v>
      </c>
      <c r="M73" s="318" t="str">
        <f aca="false">IF($A73="N/A"," ",IF(Pricetype4=2,MAX(D73,0),IF(OR(Pricetype4=1,Pricetype4=4),IF(D73=0,0,(EURO(D73,Strikeprice4,0,0,($AH73+IF(Smile=TRUE(),VLOOKUP(MAX(-5,Strikeprice4-D73),Volsmile,2),0)),($A73-DateToday)+15,IF(Pricetype4=1,1,0),0))),D73)))</f>
        <v> </v>
      </c>
      <c r="N73" s="318" t="str">
        <f aca="false">IF($A73="N/A"," ",IF(Pricetype4=2,MAX(E73,0),IF(OR(Pricetype4=1,Pricetype4=4),IF(E73=0,0,(EURO(E73,Strikeprice4,0,0,($AK73+IF(Smile=TRUE(),VLOOKUP(MAX(-5,Strikeprice4-E73),Volsmile,2),0)),($A73-DateToday)+15,IF(Pricetype4=1,1,0),0))),E73)))</f>
        <v> </v>
      </c>
      <c r="O73" s="318" t="str">
        <f aca="false">IF($A73="N/A"," ",IF(Pricetype4=2,MAX(F73,0),IF(OR(Pricetype4=1,Pricetype4=4),IF(F73=0,0,(EURO(F73,Strikeprice4,0,0,($AK73+IF(Smile=TRUE(),VLOOKUP(MAX(-5,Strikeprice4-F73),Volsmile,2),0)),($A73-DateToday)+15,IF(Pricetype4=1,1,0),0))),F73)))</f>
        <v> </v>
      </c>
      <c r="P73" s="318" t="str">
        <f aca="false">IF($A73="N/A"," ",IF(Pricetype4=2,MAX(G73,0),IF(OR(Pricetype4=1,Pricetype4=4),IF(G73=0,0,(EURO(G73,Strikeprice4,0,0,($AK73+IF(Smile=TRUE(),VLOOKUP(MAX(-5,Strikeprice4-G73),Volsmile,2),0)),($A73-DateToday)+15,IF(Pricetype4=1,1,0),0))),G73)))</f>
        <v> </v>
      </c>
      <c r="Q73" s="318" t="str">
        <f aca="false">IF($A73="N/A"," ",IF(Pricetype4=2,MAX(H73,0),IF(OR(Pricetype4=1,Pricetype4=4),IF(H73=0,0,(EURO(H73,Strikeprice4,0,0,($AK73+IF(Smile=TRUE(),VLOOKUP(MAX(-5,Strikeprice4-H73),Volsmile,2),0)),($A73-DateToday)+15,IF(Pricetype4=1,1,0),0))),H73)))</f>
        <v> </v>
      </c>
      <c r="R73" s="318" t="str">
        <f aca="false">IF($A73="N/A"," ",IF(Pricetype4=2,MAX(I73,0),IF(OR(Pricetype4=1,Pricetype4=4),IF(I73=0,0,(EURO(I73,Strikeprice4,0,0,($AK73+IF(Smile=TRUE(),VLOOKUP(MAX(-5,Strikeprice4-I73),Volsmile,2),0)),($A73-DateToday)+15,IF(Pricetype4=1,1,0),0))),I73)))</f>
        <v> </v>
      </c>
      <c r="S73" s="318" t="str">
        <f aca="false">IF($A73="N/A"," ",IF(Pricetype4=2,MAX(J73,0),IF(OR(Pricetype4=1,Pricetype4=4),IF(J73=0,0,(EURO(J73,Strikeprice4,0,0,($AK73+IF(Smile=TRUE(),VLOOKUP(MAX(-5,Strikeprice4-J73),Volsmile,2),0)),($A73-DateToday)+15,IF(Pricetype4=1,1,0),0))),J73)))</f>
        <v> </v>
      </c>
      <c r="T73" s="318" t="str">
        <f aca="false">IF($A73="N/A"," ",IF(Pricetype4=2,MAX(K73,0),IF(OR(Pricetype4=1,Pricetype4=4),IF(K73=0,0,(EURO(K73,Strikeprice4,0,0,($AK73+IF(Smile=TRUE(),VLOOKUP(MAX(-5,Strikeprice4-K73),Volsmile,2),0)),($A73-DateToday)+15,IF(Pricetype4=1,1,0),0))),K73)))</f>
        <v> </v>
      </c>
      <c r="U73" s="319" t="str">
        <f aca="false">IF($A73="N/A"," ",Volume4*$AM73)</f>
        <v> </v>
      </c>
      <c r="V73" s="320" t="str">
        <f aca="false">IF($A73="N/A"," ",$U73*(8*($BQ73))*L73)</f>
        <v> </v>
      </c>
      <c r="W73" s="320" t="str">
        <f aca="false">IF($A73="N/A"," ",$U73*(8*($BQ73))*M73)</f>
        <v> </v>
      </c>
      <c r="X73" s="320" t="str">
        <f aca="false">IF($A73="N/A"," ",$U73*(8*($BQ73))*N73)</f>
        <v> </v>
      </c>
      <c r="Y73" s="320" t="str">
        <f aca="false">IF($A73="N/A"," ",$U73*(8*($BR73))*O73)</f>
        <v> </v>
      </c>
      <c r="Z73" s="320" t="str">
        <f aca="false">IF($A73="N/A"," ",$U73*(8*($BR73))*P73)</f>
        <v> </v>
      </c>
      <c r="AA73" s="320" t="str">
        <f aca="false">IF($A73="N/A"," ",$U73*(8*($BR73))*Q73)</f>
        <v> </v>
      </c>
      <c r="AB73" s="320" t="str">
        <f aca="false">IF($A73="N/A"," ",$U73*(8*($BS73))*R73)</f>
        <v> </v>
      </c>
      <c r="AC73" s="320" t="str">
        <f aca="false">IF($A73="N/A"," ",$U73*(8*($BS73))*S73)</f>
        <v> </v>
      </c>
      <c r="AD73" s="320" t="str">
        <f aca="false">IF($A73="N/A"," ",$U73*(8*($BS73))*T73)</f>
        <v> </v>
      </c>
      <c r="AE73" s="320" t="str">
        <f aca="false">IF($A73="N/A"," ",SUM(V73:AD73))</f>
        <v> </v>
      </c>
      <c r="AF73" s="321" t="str">
        <f aca="false">IF(A73="N/A"," ",(VLOOKUP(A73,PowerVolTable,(IF(VolBMO4=2,7,IF(VolBMO4=1,6,8))),FALSE())))</f>
        <v> </v>
      </c>
      <c r="AG73" s="321" t="str">
        <f aca="false">IF(A73="N/A"," ",(VLOOKUP(A73,IntraPowerVol,(IF(VolBMO4=2,3,IF(VolBMO4=1,2,4))),FALSE())*VLOOKUP(MONTH($A73),Volscale,2)))</f>
        <v> </v>
      </c>
      <c r="AH73" s="321" t="str">
        <f aca="false">IF($A73="N/A"," ",IF(VolType4=1,AG73,AF73))</f>
        <v> </v>
      </c>
      <c r="AI73" s="321" t="str">
        <f aca="false">IF($A73="N/A"," ",(VLOOKUP($A73,OffPwrVolTable,(IF(VolBMO4=2,7,IF(VolBMO4=1,6,8))),FALSE())))</f>
        <v> </v>
      </c>
      <c r="AJ73" s="321" t="str">
        <f aca="false">IF($A73="N/A"," ",(VLOOKUP($A73,OffPwrVolTable,(IF(VolBMO4=2,3,IF(VolBMO4=1,2,4))),FALSE())*VLOOKUP(MONTH($A73),Volscale,2)))</f>
        <v> </v>
      </c>
      <c r="AK73" s="321" t="str">
        <f aca="false">IF($A73="N/A"," ",IF(VolType4=1,AJ73,AI73))</f>
        <v> </v>
      </c>
      <c r="AL73" s="321" t="str">
        <f aca="false">IF($A73="N/A"," ",IF(PV=1,0,'Pricing Inputs4'!R106))</f>
        <v> </v>
      </c>
      <c r="AM73" s="323" t="str">
        <f aca="false">IF($A73="N/A"," ",(1+AL73/2)^(-2*((EOMONTH(A73,0)+20)-DateToday)/365.25))</f>
        <v> </v>
      </c>
      <c r="BQ73" s="0" t="str">
        <f aca="false">IF($A73="N/A"," ",(VLOOKUP($A73,NumberofDaysTable,2)))</f>
        <v> </v>
      </c>
      <c r="BR73" s="0" t="str">
        <f aca="false">IF($A73="N/A"," ",(VLOOKUP($A73,NumberofDaysTable,3)))</f>
        <v> </v>
      </c>
      <c r="BS73" s="0" t="str">
        <f aca="false">IF($A73="N/A"," ",(VLOOKUP($A73,NumberofDaysTable,4)))</f>
        <v> </v>
      </c>
    </row>
    <row r="74" customFormat="false" ht="12.75" hidden="false" customHeight="false" outlineLevel="0" collapsed="false">
      <c r="A74" s="315" t="str">
        <f aca="false">IF(A73="N/A","N/A",IF(EDATE(A73,1)&gt;Inputs!$R$5,"N/A",EDATE(A73,1)))</f>
        <v>N/A</v>
      </c>
      <c r="B74" s="316" t="str">
        <f aca="false">IF(A74="N/A"," ",YEAR(A74))</f>
        <v> </v>
      </c>
      <c r="C74" s="317" t="str">
        <f aca="false">IF($A74="N/A"," ",IF(Dayrun4=10,0,IF(Scaler4=1,(VLOOKUP(A74,ScaledPrice4,4)),(VLOOKUP(A74,ScaledPrice4,2)))))</f>
        <v> </v>
      </c>
      <c r="D74" s="317" t="str">
        <f aca="false">IF(A74="N/A"," ",IF(Dayrun4&gt;=7,0,IF(Scaler4=2,VLOOKUP(A74,ScaledPrice4,2),(VLOOKUP(A74,ScaledPrice4,2))*(2-(VLOOKUP(A74,ScaledPrice4,3))))))</f>
        <v> </v>
      </c>
      <c r="E74" s="317" t="str">
        <f aca="false">IF($A74="N/A"," ",IF(AND(Dayrun4&gt;=4,Dayrun4&lt;=9),0,VLOOKUP($A74,ScaledPrice4,9)))</f>
        <v> </v>
      </c>
      <c r="F74" s="317" t="str">
        <f aca="false">IF(A74="N/A"," ",IF(OR(Dayrun4=2,Dayrun4=3,Dayrun4=5,Dayrun4=6,Dayrun4=8,Dayrun4=9),VLOOKUP(A74,ScaledPrice4,IF(Scaler4=1,6,5)),0))</f>
        <v> </v>
      </c>
      <c r="G74" s="317" t="str">
        <f aca="false">IF(A74="N/A"," ",IF(OR(Dayrun4=2,Dayrun4=3,Dayrun4=5,Dayrun4=6),IF(Scaler4=2,F74,(VLOOKUP(A74,ScaledPrice4,5))*(2-(VLOOKUP(A74,ScaledPrice4,3)))),0))</f>
        <v> </v>
      </c>
      <c r="H74" s="317" t="str">
        <f aca="false">IF($A74="N/A"," ",IF(OR(Dayrun4=2,Dayrun4=3,Dayrun4=10),VLOOKUP($A74,ScaledPrice4,9),0))</f>
        <v> </v>
      </c>
      <c r="I74" s="317" t="str">
        <f aca="false">IF(A74="N/A"," ",IF(OR(Dayrun4=3,Dayrun4=6,Dayrun4=9),(VLOOKUP(A74,ScaledPrice4,IF(Scaler4=2,7,8))),0))</f>
        <v> </v>
      </c>
      <c r="J74" s="317" t="str">
        <f aca="false">IF(A74="N/A"," ",IF(OR(Dayrun4=3,Dayrun4=6),IF(Scaler4=2,I74,(VLOOKUP(A74,ScaledPrice4,7))*(2-(VLOOKUP(A74,ScaledPrice4,3)))),0))</f>
        <v> </v>
      </c>
      <c r="K74" s="317" t="str">
        <f aca="false">IF($A74="N/A"," ",IF(OR(Dayrun4=3,Dayrun4=10),VLOOKUP($A74,ScaledPrice4,9),0))</f>
        <v> </v>
      </c>
      <c r="L74" s="318" t="str">
        <f aca="false">IF($A74="N/A"," ",IF(Pricetype4=2,MAX(C74,0),IF(OR(Pricetype4=1,Pricetype4=4),IF(C74=0,0,(EURO(C74,Strikeprice4,0,0,($AH74+IF(Smile=TRUE(),VLOOKUP(MAX(-5,Strikeprice4-C74),Volsmile,2),0)),($A74-DateToday)+15,IF(Pricetype4=1,1,0),0))),C74)))</f>
        <v> </v>
      </c>
      <c r="M74" s="318" t="str">
        <f aca="false">IF($A74="N/A"," ",IF(Pricetype4=2,MAX(D74,0),IF(OR(Pricetype4=1,Pricetype4=4),IF(D74=0,0,(EURO(D74,Strikeprice4,0,0,($AH74+IF(Smile=TRUE(),VLOOKUP(MAX(-5,Strikeprice4-D74),Volsmile,2),0)),($A74-DateToday)+15,IF(Pricetype4=1,1,0),0))),D74)))</f>
        <v> </v>
      </c>
      <c r="N74" s="318" t="str">
        <f aca="false">IF($A74="N/A"," ",IF(Pricetype4=2,MAX(E74,0),IF(OR(Pricetype4=1,Pricetype4=4),IF(E74=0,0,(EURO(E74,Strikeprice4,0,0,($AK74+IF(Smile=TRUE(),VLOOKUP(MAX(-5,Strikeprice4-E74),Volsmile,2),0)),($A74-DateToday)+15,IF(Pricetype4=1,1,0),0))),E74)))</f>
        <v> </v>
      </c>
      <c r="O74" s="318" t="str">
        <f aca="false">IF($A74="N/A"," ",IF(Pricetype4=2,MAX(F74,0),IF(OR(Pricetype4=1,Pricetype4=4),IF(F74=0,0,(EURO(F74,Strikeprice4,0,0,($AK74+IF(Smile=TRUE(),VLOOKUP(MAX(-5,Strikeprice4-F74),Volsmile,2),0)),($A74-DateToday)+15,IF(Pricetype4=1,1,0),0))),F74)))</f>
        <v> </v>
      </c>
      <c r="P74" s="318" t="str">
        <f aca="false">IF($A74="N/A"," ",IF(Pricetype4=2,MAX(G74,0),IF(OR(Pricetype4=1,Pricetype4=4),IF(G74=0,0,(EURO(G74,Strikeprice4,0,0,($AK74+IF(Smile=TRUE(),VLOOKUP(MAX(-5,Strikeprice4-G74),Volsmile,2),0)),($A74-DateToday)+15,IF(Pricetype4=1,1,0),0))),G74)))</f>
        <v> </v>
      </c>
      <c r="Q74" s="318" t="str">
        <f aca="false">IF($A74="N/A"," ",IF(Pricetype4=2,MAX(H74,0),IF(OR(Pricetype4=1,Pricetype4=4),IF(H74=0,0,(EURO(H74,Strikeprice4,0,0,($AK74+IF(Smile=TRUE(),VLOOKUP(MAX(-5,Strikeprice4-H74),Volsmile,2),0)),($A74-DateToday)+15,IF(Pricetype4=1,1,0),0))),H74)))</f>
        <v> </v>
      </c>
      <c r="R74" s="318" t="str">
        <f aca="false">IF($A74="N/A"," ",IF(Pricetype4=2,MAX(I74,0),IF(OR(Pricetype4=1,Pricetype4=4),IF(I74=0,0,(EURO(I74,Strikeprice4,0,0,($AK74+IF(Smile=TRUE(),VLOOKUP(MAX(-5,Strikeprice4-I74),Volsmile,2),0)),($A74-DateToday)+15,IF(Pricetype4=1,1,0),0))),I74)))</f>
        <v> </v>
      </c>
      <c r="S74" s="318" t="str">
        <f aca="false">IF($A74="N/A"," ",IF(Pricetype4=2,MAX(J74,0),IF(OR(Pricetype4=1,Pricetype4=4),IF(J74=0,0,(EURO(J74,Strikeprice4,0,0,($AK74+IF(Smile=TRUE(),VLOOKUP(MAX(-5,Strikeprice4-J74),Volsmile,2),0)),($A74-DateToday)+15,IF(Pricetype4=1,1,0),0))),J74)))</f>
        <v> </v>
      </c>
      <c r="T74" s="318" t="str">
        <f aca="false">IF($A74="N/A"," ",IF(Pricetype4=2,MAX(K74,0),IF(OR(Pricetype4=1,Pricetype4=4),IF(K74=0,0,(EURO(K74,Strikeprice4,0,0,($AK74+IF(Smile=TRUE(),VLOOKUP(MAX(-5,Strikeprice4-K74),Volsmile,2),0)),($A74-DateToday)+15,IF(Pricetype4=1,1,0),0))),K74)))</f>
        <v> </v>
      </c>
      <c r="U74" s="319" t="str">
        <f aca="false">IF($A74="N/A"," ",Volume4*$AM74)</f>
        <v> </v>
      </c>
      <c r="V74" s="320" t="str">
        <f aca="false">IF($A74="N/A"," ",$U74*(8*($BQ74))*L74)</f>
        <v> </v>
      </c>
      <c r="W74" s="320" t="str">
        <f aca="false">IF($A74="N/A"," ",$U74*(8*($BQ74))*M74)</f>
        <v> </v>
      </c>
      <c r="X74" s="320" t="str">
        <f aca="false">IF($A74="N/A"," ",$U74*(8*($BQ74))*N74)</f>
        <v> </v>
      </c>
      <c r="Y74" s="320" t="str">
        <f aca="false">IF($A74="N/A"," ",$U74*(8*($BR74))*O74)</f>
        <v> </v>
      </c>
      <c r="Z74" s="320" t="str">
        <f aca="false">IF($A74="N/A"," ",$U74*(8*($BR74))*P74)</f>
        <v> </v>
      </c>
      <c r="AA74" s="320" t="str">
        <f aca="false">IF($A74="N/A"," ",$U74*(8*($BR74))*Q74)</f>
        <v> </v>
      </c>
      <c r="AB74" s="320" t="str">
        <f aca="false">IF($A74="N/A"," ",$U74*(8*($BS74))*R74)</f>
        <v> </v>
      </c>
      <c r="AC74" s="320" t="str">
        <f aca="false">IF($A74="N/A"," ",$U74*(8*($BS74))*S74)</f>
        <v> </v>
      </c>
      <c r="AD74" s="320" t="str">
        <f aca="false">IF($A74="N/A"," ",$U74*(8*($BS74))*T74)</f>
        <v> </v>
      </c>
      <c r="AE74" s="320" t="str">
        <f aca="false">IF($A74="N/A"," ",SUM(V74:AD74))</f>
        <v> </v>
      </c>
      <c r="AF74" s="321" t="str">
        <f aca="false">IF(A74="N/A"," ",(VLOOKUP(A74,PowerVolTable,(IF(VolBMO4=2,7,IF(VolBMO4=1,6,8))),FALSE())))</f>
        <v> </v>
      </c>
      <c r="AG74" s="321" t="str">
        <f aca="false">IF(A74="N/A"," ",(VLOOKUP(A74,IntraPowerVol,(IF(VolBMO4=2,3,IF(VolBMO4=1,2,4))),FALSE())*VLOOKUP(MONTH($A74),Volscale,2)))</f>
        <v> </v>
      </c>
      <c r="AH74" s="321" t="str">
        <f aca="false">IF($A74="N/A"," ",IF(VolType4=1,AG74,AF74))</f>
        <v> </v>
      </c>
      <c r="AI74" s="321" t="str">
        <f aca="false">IF($A74="N/A"," ",(VLOOKUP($A74,OffPwrVolTable,(IF(VolBMO4=2,7,IF(VolBMO4=1,6,8))),FALSE())))</f>
        <v> </v>
      </c>
      <c r="AJ74" s="321" t="str">
        <f aca="false">IF($A74="N/A"," ",(VLOOKUP($A74,OffPwrVolTable,(IF(VolBMO4=2,3,IF(VolBMO4=1,2,4))),FALSE())*VLOOKUP(MONTH($A74),Volscale,2)))</f>
        <v> </v>
      </c>
      <c r="AK74" s="321" t="str">
        <f aca="false">IF($A74="N/A"," ",IF(VolType4=1,AJ74,AI74))</f>
        <v> </v>
      </c>
      <c r="AL74" s="321" t="str">
        <f aca="false">IF($A74="N/A"," ",IF(PV=1,0,'Pricing Inputs4'!R107))</f>
        <v> </v>
      </c>
      <c r="AM74" s="323" t="str">
        <f aca="false">IF($A74="N/A"," ",(1+AL74/2)^(-2*((EOMONTH(A74,0)+20)-DateToday)/365.25))</f>
        <v> </v>
      </c>
      <c r="BQ74" s="0" t="str">
        <f aca="false">IF($A74="N/A"," ",(VLOOKUP($A74,NumberofDaysTable,2)))</f>
        <v> </v>
      </c>
      <c r="BR74" s="0" t="str">
        <f aca="false">IF($A74="N/A"," ",(VLOOKUP($A74,NumberofDaysTable,3)))</f>
        <v> </v>
      </c>
      <c r="BS74" s="0" t="str">
        <f aca="false">IF($A74="N/A"," ",(VLOOKUP($A74,NumberofDaysTable,4)))</f>
        <v> </v>
      </c>
    </row>
    <row r="75" customFormat="false" ht="12.75" hidden="false" customHeight="false" outlineLevel="0" collapsed="false">
      <c r="A75" s="315" t="str">
        <f aca="false">IF(A74="N/A","N/A",IF(EDATE(A74,1)&gt;Inputs!$R$5,"N/A",EDATE(A74,1)))</f>
        <v>N/A</v>
      </c>
      <c r="B75" s="316" t="str">
        <f aca="false">IF(A75="N/A"," ",YEAR(A75))</f>
        <v> </v>
      </c>
      <c r="C75" s="317" t="str">
        <f aca="false">IF($A75="N/A"," ",IF(Dayrun4=10,0,IF(Scaler4=1,(VLOOKUP(A75,ScaledPrice4,4)),(VLOOKUP(A75,ScaledPrice4,2)))))</f>
        <v> </v>
      </c>
      <c r="D75" s="317" t="str">
        <f aca="false">IF(A75="N/A"," ",IF(Dayrun4&gt;=7,0,IF(Scaler4=2,VLOOKUP(A75,ScaledPrice4,2),(VLOOKUP(A75,ScaledPrice4,2))*(2-(VLOOKUP(A75,ScaledPrice4,3))))))</f>
        <v> </v>
      </c>
      <c r="E75" s="317" t="str">
        <f aca="false">IF($A75="N/A"," ",IF(AND(Dayrun4&gt;=4,Dayrun4&lt;=9),0,VLOOKUP($A75,ScaledPrice4,9)))</f>
        <v> </v>
      </c>
      <c r="F75" s="317" t="str">
        <f aca="false">IF(A75="N/A"," ",IF(OR(Dayrun4=2,Dayrun4=3,Dayrun4=5,Dayrun4=6,Dayrun4=8,Dayrun4=9),VLOOKUP(A75,ScaledPrice4,IF(Scaler4=1,6,5)),0))</f>
        <v> </v>
      </c>
      <c r="G75" s="317" t="str">
        <f aca="false">IF(A75="N/A"," ",IF(OR(Dayrun4=2,Dayrun4=3,Dayrun4=5,Dayrun4=6),IF(Scaler4=2,F75,(VLOOKUP(A75,ScaledPrice4,5))*(2-(VLOOKUP(A75,ScaledPrice4,3)))),0))</f>
        <v> </v>
      </c>
      <c r="H75" s="317" t="str">
        <f aca="false">IF($A75="N/A"," ",IF(OR(Dayrun4=2,Dayrun4=3,Dayrun4=10),VLOOKUP($A75,ScaledPrice4,9),0))</f>
        <v> </v>
      </c>
      <c r="I75" s="317" t="str">
        <f aca="false">IF(A75="N/A"," ",IF(OR(Dayrun4=3,Dayrun4=6,Dayrun4=9),(VLOOKUP(A75,ScaledPrice4,IF(Scaler4=2,7,8))),0))</f>
        <v> </v>
      </c>
      <c r="J75" s="317" t="str">
        <f aca="false">IF(A75="N/A"," ",IF(OR(Dayrun4=3,Dayrun4=6),IF(Scaler4=2,I75,(VLOOKUP(A75,ScaledPrice4,7))*(2-(VLOOKUP(A75,ScaledPrice4,3)))),0))</f>
        <v> </v>
      </c>
      <c r="K75" s="317" t="str">
        <f aca="false">IF($A75="N/A"," ",IF(OR(Dayrun4=3,Dayrun4=10),VLOOKUP($A75,ScaledPrice4,9),0))</f>
        <v> </v>
      </c>
      <c r="L75" s="318" t="str">
        <f aca="false">IF($A75="N/A"," ",IF(Pricetype4=2,MAX(C75,0),IF(OR(Pricetype4=1,Pricetype4=4),IF(C75=0,0,(EURO(C75,Strikeprice4,0,0,($AH75+IF(Smile=TRUE(),VLOOKUP(MAX(-5,Strikeprice4-C75),Volsmile,2),0)),($A75-DateToday)+15,IF(Pricetype4=1,1,0),0))),C75)))</f>
        <v> </v>
      </c>
      <c r="M75" s="318" t="str">
        <f aca="false">IF($A75="N/A"," ",IF(Pricetype4=2,MAX(D75,0),IF(OR(Pricetype4=1,Pricetype4=4),IF(D75=0,0,(EURO(D75,Strikeprice4,0,0,($AH75+IF(Smile=TRUE(),VLOOKUP(MAX(-5,Strikeprice4-D75),Volsmile,2),0)),($A75-DateToday)+15,IF(Pricetype4=1,1,0),0))),D75)))</f>
        <v> </v>
      </c>
      <c r="N75" s="318" t="str">
        <f aca="false">IF($A75="N/A"," ",IF(Pricetype4=2,MAX(E75,0),IF(OR(Pricetype4=1,Pricetype4=4),IF(E75=0,0,(EURO(E75,Strikeprice4,0,0,($AK75+IF(Smile=TRUE(),VLOOKUP(MAX(-5,Strikeprice4-E75),Volsmile,2),0)),($A75-DateToday)+15,IF(Pricetype4=1,1,0),0))),E75)))</f>
        <v> </v>
      </c>
      <c r="O75" s="318" t="str">
        <f aca="false">IF($A75="N/A"," ",IF(Pricetype4=2,MAX(F75,0),IF(OR(Pricetype4=1,Pricetype4=4),IF(F75=0,0,(EURO(F75,Strikeprice4,0,0,($AK75+IF(Smile=TRUE(),VLOOKUP(MAX(-5,Strikeprice4-F75),Volsmile,2),0)),($A75-DateToday)+15,IF(Pricetype4=1,1,0),0))),F75)))</f>
        <v> </v>
      </c>
      <c r="P75" s="318" t="str">
        <f aca="false">IF($A75="N/A"," ",IF(Pricetype4=2,MAX(G75,0),IF(OR(Pricetype4=1,Pricetype4=4),IF(G75=0,0,(EURO(G75,Strikeprice4,0,0,($AK75+IF(Smile=TRUE(),VLOOKUP(MAX(-5,Strikeprice4-G75),Volsmile,2),0)),($A75-DateToday)+15,IF(Pricetype4=1,1,0),0))),G75)))</f>
        <v> </v>
      </c>
      <c r="Q75" s="318" t="str">
        <f aca="false">IF($A75="N/A"," ",IF(Pricetype4=2,MAX(H75,0),IF(OR(Pricetype4=1,Pricetype4=4),IF(H75=0,0,(EURO(H75,Strikeprice4,0,0,($AK75+IF(Smile=TRUE(),VLOOKUP(MAX(-5,Strikeprice4-H75),Volsmile,2),0)),($A75-DateToday)+15,IF(Pricetype4=1,1,0),0))),H75)))</f>
        <v> </v>
      </c>
      <c r="R75" s="318" t="str">
        <f aca="false">IF($A75="N/A"," ",IF(Pricetype4=2,MAX(I75,0),IF(OR(Pricetype4=1,Pricetype4=4),IF(I75=0,0,(EURO(I75,Strikeprice4,0,0,($AK75+IF(Smile=TRUE(),VLOOKUP(MAX(-5,Strikeprice4-I75),Volsmile,2),0)),($A75-DateToday)+15,IF(Pricetype4=1,1,0),0))),I75)))</f>
        <v> </v>
      </c>
      <c r="S75" s="318" t="str">
        <f aca="false">IF($A75="N/A"," ",IF(Pricetype4=2,MAX(J75,0),IF(OR(Pricetype4=1,Pricetype4=4),IF(J75=0,0,(EURO(J75,Strikeprice4,0,0,($AK75+IF(Smile=TRUE(),VLOOKUP(MAX(-5,Strikeprice4-J75),Volsmile,2),0)),($A75-DateToday)+15,IF(Pricetype4=1,1,0),0))),J75)))</f>
        <v> </v>
      </c>
      <c r="T75" s="318" t="str">
        <f aca="false">IF($A75="N/A"," ",IF(Pricetype4=2,MAX(K75,0),IF(OR(Pricetype4=1,Pricetype4=4),IF(K75=0,0,(EURO(K75,Strikeprice4,0,0,($AK75+IF(Smile=TRUE(),VLOOKUP(MAX(-5,Strikeprice4-K75),Volsmile,2),0)),($A75-DateToday)+15,IF(Pricetype4=1,1,0),0))),K75)))</f>
        <v> </v>
      </c>
      <c r="U75" s="319" t="str">
        <f aca="false">IF($A75="N/A"," ",Volume4*$AM75)</f>
        <v> </v>
      </c>
      <c r="V75" s="320" t="str">
        <f aca="false">IF($A75="N/A"," ",$U75*(8*($BQ75))*L75)</f>
        <v> </v>
      </c>
      <c r="W75" s="320" t="str">
        <f aca="false">IF($A75="N/A"," ",$U75*(8*($BQ75))*M75)</f>
        <v> </v>
      </c>
      <c r="X75" s="320" t="str">
        <f aca="false">IF($A75="N/A"," ",$U75*(8*($BQ75))*N75)</f>
        <v> </v>
      </c>
      <c r="Y75" s="320" t="str">
        <f aca="false">IF($A75="N/A"," ",$U75*(8*($BR75))*O75)</f>
        <v> </v>
      </c>
      <c r="Z75" s="320" t="str">
        <f aca="false">IF($A75="N/A"," ",$U75*(8*($BR75))*P75)</f>
        <v> </v>
      </c>
      <c r="AA75" s="320" t="str">
        <f aca="false">IF($A75="N/A"," ",$U75*(8*($BR75))*Q75)</f>
        <v> </v>
      </c>
      <c r="AB75" s="320" t="str">
        <f aca="false">IF($A75="N/A"," ",$U75*(8*($BS75))*R75)</f>
        <v> </v>
      </c>
      <c r="AC75" s="320" t="str">
        <f aca="false">IF($A75="N/A"," ",$U75*(8*($BS75))*S75)</f>
        <v> </v>
      </c>
      <c r="AD75" s="320" t="str">
        <f aca="false">IF($A75="N/A"," ",$U75*(8*($BS75))*T75)</f>
        <v> </v>
      </c>
      <c r="AE75" s="320" t="str">
        <f aca="false">IF($A75="N/A"," ",SUM(V75:AD75))</f>
        <v> </v>
      </c>
      <c r="AF75" s="321" t="str">
        <f aca="false">IF(A75="N/A"," ",(VLOOKUP(A75,PowerVolTable,(IF(VolBMO4=2,7,IF(VolBMO4=1,6,8))),FALSE())))</f>
        <v> </v>
      </c>
      <c r="AG75" s="321" t="str">
        <f aca="false">IF(A75="N/A"," ",(VLOOKUP(A75,IntraPowerVol,(IF(VolBMO4=2,3,IF(VolBMO4=1,2,4))),FALSE())*VLOOKUP(MONTH($A75),Volscale,2)))</f>
        <v> </v>
      </c>
      <c r="AH75" s="321" t="str">
        <f aca="false">IF($A75="N/A"," ",IF(VolType4=1,AG75,AF75))</f>
        <v> </v>
      </c>
      <c r="AI75" s="321" t="str">
        <f aca="false">IF($A75="N/A"," ",(VLOOKUP($A75,OffPwrVolTable,(IF(VolBMO4=2,7,IF(VolBMO4=1,6,8))),FALSE())))</f>
        <v> </v>
      </c>
      <c r="AJ75" s="321" t="str">
        <f aca="false">IF($A75="N/A"," ",(VLOOKUP($A75,OffPwrVolTable,(IF(VolBMO4=2,3,IF(VolBMO4=1,2,4))),FALSE())*VLOOKUP(MONTH($A75),Volscale,2)))</f>
        <v> </v>
      </c>
      <c r="AK75" s="321" t="str">
        <f aca="false">IF($A75="N/A"," ",IF(VolType4=1,AJ75,AI75))</f>
        <v> </v>
      </c>
      <c r="AL75" s="321" t="str">
        <f aca="false">IF($A75="N/A"," ",IF(PV=1,0,'Pricing Inputs4'!R108))</f>
        <v> </v>
      </c>
      <c r="AM75" s="323" t="str">
        <f aca="false">IF($A75="N/A"," ",(1+AL75/2)^(-2*((EOMONTH(A75,0)+20)-DateToday)/365.25))</f>
        <v> </v>
      </c>
      <c r="BQ75" s="0" t="str">
        <f aca="false">IF($A75="N/A"," ",(VLOOKUP($A75,NumberofDaysTable,2)))</f>
        <v> </v>
      </c>
      <c r="BR75" s="0" t="str">
        <f aca="false">IF($A75="N/A"," ",(VLOOKUP($A75,NumberofDaysTable,3)))</f>
        <v> </v>
      </c>
      <c r="BS75" s="0" t="str">
        <f aca="false">IF($A75="N/A"," ",(VLOOKUP($A75,NumberofDaysTable,4)))</f>
        <v> </v>
      </c>
    </row>
    <row r="76" customFormat="false" ht="12.75" hidden="false" customHeight="false" outlineLevel="0" collapsed="false">
      <c r="A76" s="315" t="str">
        <f aca="false">IF(A75="N/A","N/A",IF(EDATE(A75,1)&gt;Inputs!$R$5,"N/A",EDATE(A75,1)))</f>
        <v>N/A</v>
      </c>
      <c r="B76" s="316" t="str">
        <f aca="false">IF(A76="N/A"," ",YEAR(A76))</f>
        <v> </v>
      </c>
      <c r="C76" s="317" t="str">
        <f aca="false">IF($A76="N/A"," ",IF(Dayrun4=10,0,IF(Scaler4=1,(VLOOKUP(A76,ScaledPrice4,4)),(VLOOKUP(A76,ScaledPrice4,2)))))</f>
        <v> </v>
      </c>
      <c r="D76" s="317" t="str">
        <f aca="false">IF(A76="N/A"," ",IF(Dayrun4&gt;=7,0,IF(Scaler4=2,VLOOKUP(A76,ScaledPrice4,2),(VLOOKUP(A76,ScaledPrice4,2))*(2-(VLOOKUP(A76,ScaledPrice4,3))))))</f>
        <v> </v>
      </c>
      <c r="E76" s="317" t="str">
        <f aca="false">IF($A76="N/A"," ",IF(AND(Dayrun4&gt;=4,Dayrun4&lt;=9),0,VLOOKUP($A76,ScaledPrice4,9)))</f>
        <v> </v>
      </c>
      <c r="F76" s="317" t="str">
        <f aca="false">IF(A76="N/A"," ",IF(OR(Dayrun4=2,Dayrun4=3,Dayrun4=5,Dayrun4=6,Dayrun4=8,Dayrun4=9),VLOOKUP(A76,ScaledPrice4,IF(Scaler4=1,6,5)),0))</f>
        <v> </v>
      </c>
      <c r="G76" s="317" t="str">
        <f aca="false">IF(A76="N/A"," ",IF(OR(Dayrun4=2,Dayrun4=3,Dayrun4=5,Dayrun4=6),IF(Scaler4=2,F76,(VLOOKUP(A76,ScaledPrice4,5))*(2-(VLOOKUP(A76,ScaledPrice4,3)))),0))</f>
        <v> </v>
      </c>
      <c r="H76" s="317" t="str">
        <f aca="false">IF($A76="N/A"," ",IF(OR(Dayrun4=2,Dayrun4=3,Dayrun4=10),VLOOKUP($A76,ScaledPrice4,9),0))</f>
        <v> </v>
      </c>
      <c r="I76" s="317" t="str">
        <f aca="false">IF(A76="N/A"," ",IF(OR(Dayrun4=3,Dayrun4=6,Dayrun4=9),(VLOOKUP(A76,ScaledPrice4,IF(Scaler4=2,7,8))),0))</f>
        <v> </v>
      </c>
      <c r="J76" s="317" t="str">
        <f aca="false">IF(A76="N/A"," ",IF(OR(Dayrun4=3,Dayrun4=6),IF(Scaler4=2,I76,(VLOOKUP(A76,ScaledPrice4,7))*(2-(VLOOKUP(A76,ScaledPrice4,3)))),0))</f>
        <v> </v>
      </c>
      <c r="K76" s="317" t="str">
        <f aca="false">IF($A76="N/A"," ",IF(OR(Dayrun4=3,Dayrun4=10),VLOOKUP($A76,ScaledPrice4,9),0))</f>
        <v> </v>
      </c>
      <c r="L76" s="318" t="str">
        <f aca="false">IF($A76="N/A"," ",IF(Pricetype4=2,MAX(C76,0),IF(OR(Pricetype4=1,Pricetype4=4),IF(C76=0,0,(EURO(C76,Strikeprice4,0,0,($AH76+IF(Smile=TRUE(),VLOOKUP(MAX(-5,Strikeprice4-C76),Volsmile,2),0)),($A76-DateToday)+15,IF(Pricetype4=1,1,0),0))),C76)))</f>
        <v> </v>
      </c>
      <c r="M76" s="318" t="str">
        <f aca="false">IF($A76="N/A"," ",IF(Pricetype4=2,MAX(D76,0),IF(OR(Pricetype4=1,Pricetype4=4),IF(D76=0,0,(EURO(D76,Strikeprice4,0,0,($AH76+IF(Smile=TRUE(),VLOOKUP(MAX(-5,Strikeprice4-D76),Volsmile,2),0)),($A76-DateToday)+15,IF(Pricetype4=1,1,0),0))),D76)))</f>
        <v> </v>
      </c>
      <c r="N76" s="318" t="str">
        <f aca="false">IF($A76="N/A"," ",IF(Pricetype4=2,MAX(E76,0),IF(OR(Pricetype4=1,Pricetype4=4),IF(E76=0,0,(EURO(E76,Strikeprice4,0,0,($AK76+IF(Smile=TRUE(),VLOOKUP(MAX(-5,Strikeprice4-E76),Volsmile,2),0)),($A76-DateToday)+15,IF(Pricetype4=1,1,0),0))),E76)))</f>
        <v> </v>
      </c>
      <c r="O76" s="318" t="str">
        <f aca="false">IF($A76="N/A"," ",IF(Pricetype4=2,MAX(F76,0),IF(OR(Pricetype4=1,Pricetype4=4),IF(F76=0,0,(EURO(F76,Strikeprice4,0,0,($AK76+IF(Smile=TRUE(),VLOOKUP(MAX(-5,Strikeprice4-F76),Volsmile,2),0)),($A76-DateToday)+15,IF(Pricetype4=1,1,0),0))),F76)))</f>
        <v> </v>
      </c>
      <c r="P76" s="318" t="str">
        <f aca="false">IF($A76="N/A"," ",IF(Pricetype4=2,MAX(G76,0),IF(OR(Pricetype4=1,Pricetype4=4),IF(G76=0,0,(EURO(G76,Strikeprice4,0,0,($AK76+IF(Smile=TRUE(),VLOOKUP(MAX(-5,Strikeprice4-G76),Volsmile,2),0)),($A76-DateToday)+15,IF(Pricetype4=1,1,0),0))),G76)))</f>
        <v> </v>
      </c>
      <c r="Q76" s="318" t="str">
        <f aca="false">IF($A76="N/A"," ",IF(Pricetype4=2,MAX(H76,0),IF(OR(Pricetype4=1,Pricetype4=4),IF(H76=0,0,(EURO(H76,Strikeprice4,0,0,($AK76+IF(Smile=TRUE(),VLOOKUP(MAX(-5,Strikeprice4-H76),Volsmile,2),0)),($A76-DateToday)+15,IF(Pricetype4=1,1,0),0))),H76)))</f>
        <v> </v>
      </c>
      <c r="R76" s="318" t="str">
        <f aca="false">IF($A76="N/A"," ",IF(Pricetype4=2,MAX(I76,0),IF(OR(Pricetype4=1,Pricetype4=4),IF(I76=0,0,(EURO(I76,Strikeprice4,0,0,($AK76+IF(Smile=TRUE(),VLOOKUP(MAX(-5,Strikeprice4-I76),Volsmile,2),0)),($A76-DateToday)+15,IF(Pricetype4=1,1,0),0))),I76)))</f>
        <v> </v>
      </c>
      <c r="S76" s="318" t="str">
        <f aca="false">IF($A76="N/A"," ",IF(Pricetype4=2,MAX(J76,0),IF(OR(Pricetype4=1,Pricetype4=4),IF(J76=0,0,(EURO(J76,Strikeprice4,0,0,($AK76+IF(Smile=TRUE(),VLOOKUP(MAX(-5,Strikeprice4-J76),Volsmile,2),0)),($A76-DateToday)+15,IF(Pricetype4=1,1,0),0))),J76)))</f>
        <v> </v>
      </c>
      <c r="T76" s="318" t="str">
        <f aca="false">IF($A76="N/A"," ",IF(Pricetype4=2,MAX(K76,0),IF(OR(Pricetype4=1,Pricetype4=4),IF(K76=0,0,(EURO(K76,Strikeprice4,0,0,($AK76+IF(Smile=TRUE(),VLOOKUP(MAX(-5,Strikeprice4-K76),Volsmile,2),0)),($A76-DateToday)+15,IF(Pricetype4=1,1,0),0))),K76)))</f>
        <v> </v>
      </c>
      <c r="U76" s="319" t="str">
        <f aca="false">IF($A76="N/A"," ",Volume4*$AM76)</f>
        <v> </v>
      </c>
      <c r="V76" s="320" t="str">
        <f aca="false">IF($A76="N/A"," ",$U76*(8*($BQ76))*L76)</f>
        <v> </v>
      </c>
      <c r="W76" s="320" t="str">
        <f aca="false">IF($A76="N/A"," ",$U76*(8*($BQ76))*M76)</f>
        <v> </v>
      </c>
      <c r="X76" s="320" t="str">
        <f aca="false">IF($A76="N/A"," ",$U76*(8*($BQ76))*N76)</f>
        <v> </v>
      </c>
      <c r="Y76" s="320" t="str">
        <f aca="false">IF($A76="N/A"," ",$U76*(8*($BR76))*O76)</f>
        <v> </v>
      </c>
      <c r="Z76" s="320" t="str">
        <f aca="false">IF($A76="N/A"," ",$U76*(8*($BR76))*P76)</f>
        <v> </v>
      </c>
      <c r="AA76" s="320" t="str">
        <f aca="false">IF($A76="N/A"," ",$U76*(8*($BR76))*Q76)</f>
        <v> </v>
      </c>
      <c r="AB76" s="320" t="str">
        <f aca="false">IF($A76="N/A"," ",$U76*(8*($BS76))*R76)</f>
        <v> </v>
      </c>
      <c r="AC76" s="320" t="str">
        <f aca="false">IF($A76="N/A"," ",$U76*(8*($BS76))*S76)</f>
        <v> </v>
      </c>
      <c r="AD76" s="320" t="str">
        <f aca="false">IF($A76="N/A"," ",$U76*(8*($BS76))*T76)</f>
        <v> </v>
      </c>
      <c r="AE76" s="320" t="str">
        <f aca="false">IF($A76="N/A"," ",SUM(V76:AD76))</f>
        <v> </v>
      </c>
      <c r="AF76" s="321" t="str">
        <f aca="false">IF(A76="N/A"," ",(VLOOKUP(A76,PowerVolTable,(IF(VolBMO4=2,7,IF(VolBMO4=1,6,8))),FALSE())))</f>
        <v> </v>
      </c>
      <c r="AG76" s="321" t="str">
        <f aca="false">IF(A76="N/A"," ",(VLOOKUP(A76,IntraPowerVol,(IF(VolBMO4=2,3,IF(VolBMO4=1,2,4))),FALSE())*VLOOKUP(MONTH($A76),Volscale,2)))</f>
        <v> </v>
      </c>
      <c r="AH76" s="321" t="str">
        <f aca="false">IF($A76="N/A"," ",IF(VolType4=1,AG76,AF76))</f>
        <v> </v>
      </c>
      <c r="AI76" s="321" t="str">
        <f aca="false">IF($A76="N/A"," ",(VLOOKUP($A76,OffPwrVolTable,(IF(VolBMO4=2,7,IF(VolBMO4=1,6,8))),FALSE())))</f>
        <v> </v>
      </c>
      <c r="AJ76" s="321" t="str">
        <f aca="false">IF($A76="N/A"," ",(VLOOKUP($A76,OffPwrVolTable,(IF(VolBMO4=2,3,IF(VolBMO4=1,2,4))),FALSE())*VLOOKUP(MONTH($A76),Volscale,2)))</f>
        <v> </v>
      </c>
      <c r="AK76" s="321" t="str">
        <f aca="false">IF($A76="N/A"," ",IF(VolType4=1,AJ76,AI76))</f>
        <v> </v>
      </c>
      <c r="AL76" s="321" t="str">
        <f aca="false">IF($A76="N/A"," ",IF(PV=1,0,'Pricing Inputs4'!R109))</f>
        <v> </v>
      </c>
      <c r="AM76" s="323" t="str">
        <f aca="false">IF($A76="N/A"," ",(1+AL76/2)^(-2*((EOMONTH(A76,0)+20)-DateToday)/365.25))</f>
        <v> </v>
      </c>
      <c r="BQ76" s="0" t="str">
        <f aca="false">IF($A76="N/A"," ",(VLOOKUP($A76,NumberofDaysTable,2)))</f>
        <v> </v>
      </c>
      <c r="BR76" s="0" t="str">
        <f aca="false">IF($A76="N/A"," ",(VLOOKUP($A76,NumberofDaysTable,3)))</f>
        <v> </v>
      </c>
      <c r="BS76" s="0" t="str">
        <f aca="false">IF($A76="N/A"," ",(VLOOKUP($A76,NumberofDaysTable,4)))</f>
        <v> </v>
      </c>
    </row>
    <row r="77" customFormat="false" ht="12.75" hidden="false" customHeight="false" outlineLevel="0" collapsed="false">
      <c r="A77" s="315" t="str">
        <f aca="false">IF(A76="N/A","N/A",IF(EDATE(A76,1)&gt;Inputs!$R$5,"N/A",EDATE(A76,1)))</f>
        <v>N/A</v>
      </c>
      <c r="B77" s="316" t="str">
        <f aca="false">IF(A77="N/A"," ",YEAR(A77))</f>
        <v> </v>
      </c>
      <c r="C77" s="317" t="str">
        <f aca="false">IF($A77="N/A"," ",IF(Dayrun4=10,0,IF(Scaler4=1,(VLOOKUP(A77,ScaledPrice4,4)),(VLOOKUP(A77,ScaledPrice4,2)))))</f>
        <v> </v>
      </c>
      <c r="D77" s="317" t="str">
        <f aca="false">IF(A77="N/A"," ",IF(Dayrun4&gt;=7,0,IF(Scaler4=2,VLOOKUP(A77,ScaledPrice4,2),(VLOOKUP(A77,ScaledPrice4,2))*(2-(VLOOKUP(A77,ScaledPrice4,3))))))</f>
        <v> </v>
      </c>
      <c r="E77" s="317" t="str">
        <f aca="false">IF($A77="N/A"," ",IF(AND(Dayrun4&gt;=4,Dayrun4&lt;=9),0,VLOOKUP($A77,ScaledPrice4,9)))</f>
        <v> </v>
      </c>
      <c r="F77" s="317" t="str">
        <f aca="false">IF(A77="N/A"," ",IF(OR(Dayrun4=2,Dayrun4=3,Dayrun4=5,Dayrun4=6,Dayrun4=8,Dayrun4=9),VLOOKUP(A77,ScaledPrice4,IF(Scaler4=1,6,5)),0))</f>
        <v> </v>
      </c>
      <c r="G77" s="317" t="str">
        <f aca="false">IF(A77="N/A"," ",IF(OR(Dayrun4=2,Dayrun4=3,Dayrun4=5,Dayrun4=6),IF(Scaler4=2,F77,(VLOOKUP(A77,ScaledPrice4,5))*(2-(VLOOKUP(A77,ScaledPrice4,3)))),0))</f>
        <v> </v>
      </c>
      <c r="H77" s="317" t="str">
        <f aca="false">IF($A77="N/A"," ",IF(OR(Dayrun4=2,Dayrun4=3,Dayrun4=10),VLOOKUP($A77,ScaledPrice4,9),0))</f>
        <v> </v>
      </c>
      <c r="I77" s="317" t="str">
        <f aca="false">IF(A77="N/A"," ",IF(OR(Dayrun4=3,Dayrun4=6,Dayrun4=9),(VLOOKUP(A77,ScaledPrice4,IF(Scaler4=2,7,8))),0))</f>
        <v> </v>
      </c>
      <c r="J77" s="317" t="str">
        <f aca="false">IF(A77="N/A"," ",IF(OR(Dayrun4=3,Dayrun4=6),IF(Scaler4=2,I77,(VLOOKUP(A77,ScaledPrice4,7))*(2-(VLOOKUP(A77,ScaledPrice4,3)))),0))</f>
        <v> </v>
      </c>
      <c r="K77" s="317" t="str">
        <f aca="false">IF($A77="N/A"," ",IF(OR(Dayrun4=3,Dayrun4=10),VLOOKUP($A77,ScaledPrice4,9),0))</f>
        <v> </v>
      </c>
      <c r="L77" s="318" t="str">
        <f aca="false">IF($A77="N/A"," ",IF(Pricetype4=2,MAX(C77,0),IF(OR(Pricetype4=1,Pricetype4=4),IF(C77=0,0,(EURO(C77,Strikeprice4,0,0,($AH77+IF(Smile=TRUE(),VLOOKUP(MAX(-5,Strikeprice4-C77),Volsmile,2),0)),($A77-DateToday)+15,IF(Pricetype4=1,1,0),0))),C77)))</f>
        <v> </v>
      </c>
      <c r="M77" s="318" t="str">
        <f aca="false">IF($A77="N/A"," ",IF(Pricetype4=2,MAX(D77,0),IF(OR(Pricetype4=1,Pricetype4=4),IF(D77=0,0,(EURO(D77,Strikeprice4,0,0,($AH77+IF(Smile=TRUE(),VLOOKUP(MAX(-5,Strikeprice4-D77),Volsmile,2),0)),($A77-DateToday)+15,IF(Pricetype4=1,1,0),0))),D77)))</f>
        <v> </v>
      </c>
      <c r="N77" s="318" t="str">
        <f aca="false">IF($A77="N/A"," ",IF(Pricetype4=2,MAX(E77,0),IF(OR(Pricetype4=1,Pricetype4=4),IF(E77=0,0,(EURO(E77,Strikeprice4,0,0,($AK77+IF(Smile=TRUE(),VLOOKUP(MAX(-5,Strikeprice4-E77),Volsmile,2),0)),($A77-DateToday)+15,IF(Pricetype4=1,1,0),0))),E77)))</f>
        <v> </v>
      </c>
      <c r="O77" s="318" t="str">
        <f aca="false">IF($A77="N/A"," ",IF(Pricetype4=2,MAX(F77,0),IF(OR(Pricetype4=1,Pricetype4=4),IF(F77=0,0,(EURO(F77,Strikeprice4,0,0,($AK77+IF(Smile=TRUE(),VLOOKUP(MAX(-5,Strikeprice4-F77),Volsmile,2),0)),($A77-DateToday)+15,IF(Pricetype4=1,1,0),0))),F77)))</f>
        <v> </v>
      </c>
      <c r="P77" s="318" t="str">
        <f aca="false">IF($A77="N/A"," ",IF(Pricetype4=2,MAX(G77,0),IF(OR(Pricetype4=1,Pricetype4=4),IF(G77=0,0,(EURO(G77,Strikeprice4,0,0,($AK77+IF(Smile=TRUE(),VLOOKUP(MAX(-5,Strikeprice4-G77),Volsmile,2),0)),($A77-DateToday)+15,IF(Pricetype4=1,1,0),0))),G77)))</f>
        <v> </v>
      </c>
      <c r="Q77" s="318" t="str">
        <f aca="false">IF($A77="N/A"," ",IF(Pricetype4=2,MAX(H77,0),IF(OR(Pricetype4=1,Pricetype4=4),IF(H77=0,0,(EURO(H77,Strikeprice4,0,0,($AK77+IF(Smile=TRUE(),VLOOKUP(MAX(-5,Strikeprice4-H77),Volsmile,2),0)),($A77-DateToday)+15,IF(Pricetype4=1,1,0),0))),H77)))</f>
        <v> </v>
      </c>
      <c r="R77" s="318" t="str">
        <f aca="false">IF($A77="N/A"," ",IF(Pricetype4=2,MAX(I77,0),IF(OR(Pricetype4=1,Pricetype4=4),IF(I77=0,0,(EURO(I77,Strikeprice4,0,0,($AK77+IF(Smile=TRUE(),VLOOKUP(MAX(-5,Strikeprice4-I77),Volsmile,2),0)),($A77-DateToday)+15,IF(Pricetype4=1,1,0),0))),I77)))</f>
        <v> </v>
      </c>
      <c r="S77" s="318" t="str">
        <f aca="false">IF($A77="N/A"," ",IF(Pricetype4=2,MAX(J77,0),IF(OR(Pricetype4=1,Pricetype4=4),IF(J77=0,0,(EURO(J77,Strikeprice4,0,0,($AK77+IF(Smile=TRUE(),VLOOKUP(MAX(-5,Strikeprice4-J77),Volsmile,2),0)),($A77-DateToday)+15,IF(Pricetype4=1,1,0),0))),J77)))</f>
        <v> </v>
      </c>
      <c r="T77" s="318" t="str">
        <f aca="false">IF($A77="N/A"," ",IF(Pricetype4=2,MAX(K77,0),IF(OR(Pricetype4=1,Pricetype4=4),IF(K77=0,0,(EURO(K77,Strikeprice4,0,0,($AK77+IF(Smile=TRUE(),VLOOKUP(MAX(-5,Strikeprice4-K77),Volsmile,2),0)),($A77-DateToday)+15,IF(Pricetype4=1,1,0),0))),K77)))</f>
        <v> </v>
      </c>
      <c r="U77" s="319" t="str">
        <f aca="false">IF($A77="N/A"," ",Volume4*$AM77)</f>
        <v> </v>
      </c>
      <c r="V77" s="320" t="str">
        <f aca="false">IF($A77="N/A"," ",$U77*(8*($BQ77))*L77)</f>
        <v> </v>
      </c>
      <c r="W77" s="320" t="str">
        <f aca="false">IF($A77="N/A"," ",$U77*(8*($BQ77))*M77)</f>
        <v> </v>
      </c>
      <c r="X77" s="320" t="str">
        <f aca="false">IF($A77="N/A"," ",$U77*(8*($BQ77))*N77)</f>
        <v> </v>
      </c>
      <c r="Y77" s="320" t="str">
        <f aca="false">IF($A77="N/A"," ",$U77*(8*($BR77))*O77)</f>
        <v> </v>
      </c>
      <c r="Z77" s="320" t="str">
        <f aca="false">IF($A77="N/A"," ",$U77*(8*($BR77))*P77)</f>
        <v> </v>
      </c>
      <c r="AA77" s="320" t="str">
        <f aca="false">IF($A77="N/A"," ",$U77*(8*($BR77))*Q77)</f>
        <v> </v>
      </c>
      <c r="AB77" s="320" t="str">
        <f aca="false">IF($A77="N/A"," ",$U77*(8*($BS77))*R77)</f>
        <v> </v>
      </c>
      <c r="AC77" s="320" t="str">
        <f aca="false">IF($A77="N/A"," ",$U77*(8*($BS77))*S77)</f>
        <v> </v>
      </c>
      <c r="AD77" s="320" t="str">
        <f aca="false">IF($A77="N/A"," ",$U77*(8*($BS77))*T77)</f>
        <v> </v>
      </c>
      <c r="AE77" s="320" t="str">
        <f aca="false">IF($A77="N/A"," ",SUM(V77:AD77))</f>
        <v> </v>
      </c>
      <c r="AF77" s="321" t="str">
        <f aca="false">IF(A77="N/A"," ",(VLOOKUP(A77,PowerVolTable,(IF(VolBMO4=2,7,IF(VolBMO4=1,6,8))),FALSE())))</f>
        <v> </v>
      </c>
      <c r="AG77" s="321" t="str">
        <f aca="false">IF(A77="N/A"," ",(VLOOKUP(A77,IntraPowerVol,(IF(VolBMO4=2,3,IF(VolBMO4=1,2,4))),FALSE())*VLOOKUP(MONTH($A77),Volscale,2)))</f>
        <v> </v>
      </c>
      <c r="AH77" s="321" t="str">
        <f aca="false">IF($A77="N/A"," ",IF(VolType4=1,AG77,AF77))</f>
        <v> </v>
      </c>
      <c r="AI77" s="321" t="str">
        <f aca="false">IF($A77="N/A"," ",(VLOOKUP($A77,OffPwrVolTable,(IF(VolBMO4=2,7,IF(VolBMO4=1,6,8))),FALSE())))</f>
        <v> </v>
      </c>
      <c r="AJ77" s="321" t="str">
        <f aca="false">IF($A77="N/A"," ",(VLOOKUP($A77,OffPwrVolTable,(IF(VolBMO4=2,3,IF(VolBMO4=1,2,4))),FALSE())*VLOOKUP(MONTH($A77),Volscale,2)))</f>
        <v> </v>
      </c>
      <c r="AK77" s="321" t="str">
        <f aca="false">IF($A77="N/A"," ",IF(VolType4=1,AJ77,AI77))</f>
        <v> </v>
      </c>
      <c r="AL77" s="321" t="str">
        <f aca="false">IF($A77="N/A"," ",IF(PV=1,0,'Pricing Inputs4'!R110))</f>
        <v> </v>
      </c>
      <c r="AM77" s="323" t="str">
        <f aca="false">IF($A77="N/A"," ",(1+AL77/2)^(-2*((EOMONTH(A77,0)+20)-DateToday)/365.25))</f>
        <v> </v>
      </c>
      <c r="BQ77" s="0" t="str">
        <f aca="false">IF($A77="N/A"," ",(VLOOKUP($A77,NumberofDaysTable,2)))</f>
        <v> </v>
      </c>
      <c r="BR77" s="0" t="str">
        <f aca="false">IF($A77="N/A"," ",(VLOOKUP($A77,NumberofDaysTable,3)))</f>
        <v> </v>
      </c>
      <c r="BS77" s="0" t="str">
        <f aca="false">IF($A77="N/A"," ",(VLOOKUP($A77,NumberofDaysTable,4)))</f>
        <v> </v>
      </c>
    </row>
    <row r="78" customFormat="false" ht="12.75" hidden="false" customHeight="false" outlineLevel="0" collapsed="false">
      <c r="A78" s="315" t="str">
        <f aca="false">IF(A77="N/A","N/A",IF(EDATE(A77,1)&gt;Inputs!$R$5,"N/A",EDATE(A77,1)))</f>
        <v>N/A</v>
      </c>
      <c r="B78" s="316" t="str">
        <f aca="false">IF(A78="N/A"," ",YEAR(A78))</f>
        <v> </v>
      </c>
      <c r="C78" s="317" t="str">
        <f aca="false">IF($A78="N/A"," ",IF(Dayrun4=10,0,IF(Scaler4=1,(VLOOKUP(A78,ScaledPrice4,4)),(VLOOKUP(A78,ScaledPrice4,2)))))</f>
        <v> </v>
      </c>
      <c r="D78" s="317" t="str">
        <f aca="false">IF(A78="N/A"," ",IF(Dayrun4&gt;=7,0,IF(Scaler4=2,VLOOKUP(A78,ScaledPrice4,2),(VLOOKUP(A78,ScaledPrice4,2))*(2-(VLOOKUP(A78,ScaledPrice4,3))))))</f>
        <v> </v>
      </c>
      <c r="E78" s="317" t="str">
        <f aca="false">IF($A78="N/A"," ",IF(AND(Dayrun4&gt;=4,Dayrun4&lt;=9),0,VLOOKUP($A78,ScaledPrice4,9)))</f>
        <v> </v>
      </c>
      <c r="F78" s="317" t="str">
        <f aca="false">IF(A78="N/A"," ",IF(OR(Dayrun4=2,Dayrun4=3,Dayrun4=5,Dayrun4=6,Dayrun4=8,Dayrun4=9),VLOOKUP(A78,ScaledPrice4,IF(Scaler4=1,6,5)),0))</f>
        <v> </v>
      </c>
      <c r="G78" s="317" t="str">
        <f aca="false">IF(A78="N/A"," ",IF(OR(Dayrun4=2,Dayrun4=3,Dayrun4=5,Dayrun4=6),IF(Scaler4=2,F78,(VLOOKUP(A78,ScaledPrice4,5))*(2-(VLOOKUP(A78,ScaledPrice4,3)))),0))</f>
        <v> </v>
      </c>
      <c r="H78" s="317" t="str">
        <f aca="false">IF($A78="N/A"," ",IF(OR(Dayrun4=2,Dayrun4=3,Dayrun4=10),VLOOKUP($A78,ScaledPrice4,9),0))</f>
        <v> </v>
      </c>
      <c r="I78" s="317" t="str">
        <f aca="false">IF(A78="N/A"," ",IF(OR(Dayrun4=3,Dayrun4=6,Dayrun4=9),(VLOOKUP(A78,ScaledPrice4,IF(Scaler4=2,7,8))),0))</f>
        <v> </v>
      </c>
      <c r="J78" s="317" t="str">
        <f aca="false">IF(A78="N/A"," ",IF(OR(Dayrun4=3,Dayrun4=6),IF(Scaler4=2,I78,(VLOOKUP(A78,ScaledPrice4,7))*(2-(VLOOKUP(A78,ScaledPrice4,3)))),0))</f>
        <v> </v>
      </c>
      <c r="K78" s="317" t="str">
        <f aca="false">IF($A78="N/A"," ",IF(OR(Dayrun4=3,Dayrun4=10),VLOOKUP($A78,ScaledPrice4,9),0))</f>
        <v> </v>
      </c>
      <c r="L78" s="318" t="str">
        <f aca="false">IF($A78="N/A"," ",IF(Pricetype4=2,MAX(C78,0),IF(OR(Pricetype4=1,Pricetype4=4),IF(C78=0,0,(EURO(C78,Strikeprice4,0,0,($AH78+IF(Smile=TRUE(),VLOOKUP(MAX(-5,Strikeprice4-C78),Volsmile,2),0)),($A78-DateToday)+15,IF(Pricetype4=1,1,0),0))),C78)))</f>
        <v> </v>
      </c>
      <c r="M78" s="318" t="str">
        <f aca="false">IF($A78="N/A"," ",IF(Pricetype4=2,MAX(D78,0),IF(OR(Pricetype4=1,Pricetype4=4),IF(D78=0,0,(EURO(D78,Strikeprice4,0,0,($AH78+IF(Smile=TRUE(),VLOOKUP(MAX(-5,Strikeprice4-D78),Volsmile,2),0)),($A78-DateToday)+15,IF(Pricetype4=1,1,0),0))),D78)))</f>
        <v> </v>
      </c>
      <c r="N78" s="318" t="str">
        <f aca="false">IF($A78="N/A"," ",IF(Pricetype4=2,MAX(E78,0),IF(OR(Pricetype4=1,Pricetype4=4),IF(E78=0,0,(EURO(E78,Strikeprice4,0,0,($AK78+IF(Smile=TRUE(),VLOOKUP(MAX(-5,Strikeprice4-E78),Volsmile,2),0)),($A78-DateToday)+15,IF(Pricetype4=1,1,0),0))),E78)))</f>
        <v> </v>
      </c>
      <c r="O78" s="318" t="str">
        <f aca="false">IF($A78="N/A"," ",IF(Pricetype4=2,MAX(F78,0),IF(OR(Pricetype4=1,Pricetype4=4),IF(F78=0,0,(EURO(F78,Strikeprice4,0,0,($AK78+IF(Smile=TRUE(),VLOOKUP(MAX(-5,Strikeprice4-F78),Volsmile,2),0)),($A78-DateToday)+15,IF(Pricetype4=1,1,0),0))),F78)))</f>
        <v> </v>
      </c>
      <c r="P78" s="318" t="str">
        <f aca="false">IF($A78="N/A"," ",IF(Pricetype4=2,MAX(G78,0),IF(OR(Pricetype4=1,Pricetype4=4),IF(G78=0,0,(EURO(G78,Strikeprice4,0,0,($AK78+IF(Smile=TRUE(),VLOOKUP(MAX(-5,Strikeprice4-G78),Volsmile,2),0)),($A78-DateToday)+15,IF(Pricetype4=1,1,0),0))),G78)))</f>
        <v> </v>
      </c>
      <c r="Q78" s="318" t="str">
        <f aca="false">IF($A78="N/A"," ",IF(Pricetype4=2,MAX(H78,0),IF(OR(Pricetype4=1,Pricetype4=4),IF(H78=0,0,(EURO(H78,Strikeprice4,0,0,($AK78+IF(Smile=TRUE(),VLOOKUP(MAX(-5,Strikeprice4-H78),Volsmile,2),0)),($A78-DateToday)+15,IF(Pricetype4=1,1,0),0))),H78)))</f>
        <v> </v>
      </c>
      <c r="R78" s="318" t="str">
        <f aca="false">IF($A78="N/A"," ",IF(Pricetype4=2,MAX(I78,0),IF(OR(Pricetype4=1,Pricetype4=4),IF(I78=0,0,(EURO(I78,Strikeprice4,0,0,($AK78+IF(Smile=TRUE(),VLOOKUP(MAX(-5,Strikeprice4-I78),Volsmile,2),0)),($A78-DateToday)+15,IF(Pricetype4=1,1,0),0))),I78)))</f>
        <v> </v>
      </c>
      <c r="S78" s="318" t="str">
        <f aca="false">IF($A78="N/A"," ",IF(Pricetype4=2,MAX(J78,0),IF(OR(Pricetype4=1,Pricetype4=4),IF(J78=0,0,(EURO(J78,Strikeprice4,0,0,($AK78+IF(Smile=TRUE(),VLOOKUP(MAX(-5,Strikeprice4-J78),Volsmile,2),0)),($A78-DateToday)+15,IF(Pricetype4=1,1,0),0))),J78)))</f>
        <v> </v>
      </c>
      <c r="T78" s="318" t="str">
        <f aca="false">IF($A78="N/A"," ",IF(Pricetype4=2,MAX(K78,0),IF(OR(Pricetype4=1,Pricetype4=4),IF(K78=0,0,(EURO(K78,Strikeprice4,0,0,($AK78+IF(Smile=TRUE(),VLOOKUP(MAX(-5,Strikeprice4-K78),Volsmile,2),0)),($A78-DateToday)+15,IF(Pricetype4=1,1,0),0))),K78)))</f>
        <v> </v>
      </c>
      <c r="U78" s="319" t="str">
        <f aca="false">IF($A78="N/A"," ",Volume4*$AM78)</f>
        <v> </v>
      </c>
      <c r="V78" s="320" t="str">
        <f aca="false">IF($A78="N/A"," ",$U78*(8*($BQ78))*L78)</f>
        <v> </v>
      </c>
      <c r="W78" s="320" t="str">
        <f aca="false">IF($A78="N/A"," ",$U78*(8*($BQ78))*M78)</f>
        <v> </v>
      </c>
      <c r="X78" s="320" t="str">
        <f aca="false">IF($A78="N/A"," ",$U78*(8*($BQ78))*N78)</f>
        <v> </v>
      </c>
      <c r="Y78" s="320" t="str">
        <f aca="false">IF($A78="N/A"," ",$U78*(8*($BR78))*O78)</f>
        <v> </v>
      </c>
      <c r="Z78" s="320" t="str">
        <f aca="false">IF($A78="N/A"," ",$U78*(8*($BR78))*P78)</f>
        <v> </v>
      </c>
      <c r="AA78" s="320" t="str">
        <f aca="false">IF($A78="N/A"," ",$U78*(8*($BR78))*Q78)</f>
        <v> </v>
      </c>
      <c r="AB78" s="320" t="str">
        <f aca="false">IF($A78="N/A"," ",$U78*(8*($BS78))*R78)</f>
        <v> </v>
      </c>
      <c r="AC78" s="320" t="str">
        <f aca="false">IF($A78="N/A"," ",$U78*(8*($BS78))*S78)</f>
        <v> </v>
      </c>
      <c r="AD78" s="320" t="str">
        <f aca="false">IF($A78="N/A"," ",$U78*(8*($BS78))*T78)</f>
        <v> </v>
      </c>
      <c r="AE78" s="320" t="str">
        <f aca="false">IF($A78="N/A"," ",SUM(V78:AD78))</f>
        <v> </v>
      </c>
      <c r="AF78" s="321" t="str">
        <f aca="false">IF(A78="N/A"," ",(VLOOKUP(A78,PowerVolTable,(IF(VolBMO4=2,7,IF(VolBMO4=1,6,8))),FALSE())))</f>
        <v> </v>
      </c>
      <c r="AG78" s="321" t="str">
        <f aca="false">IF(A78="N/A"," ",(VLOOKUP(A78,IntraPowerVol,(IF(VolBMO4=2,3,IF(VolBMO4=1,2,4))),FALSE())*VLOOKUP(MONTH($A78),Volscale,2)))</f>
        <v> </v>
      </c>
      <c r="AH78" s="321" t="str">
        <f aca="false">IF($A78="N/A"," ",IF(VolType4=1,AG78,AF78))</f>
        <v> </v>
      </c>
      <c r="AI78" s="321" t="str">
        <f aca="false">IF($A78="N/A"," ",(VLOOKUP($A78,OffPwrVolTable,(IF(VolBMO4=2,7,IF(VolBMO4=1,6,8))),FALSE())))</f>
        <v> </v>
      </c>
      <c r="AJ78" s="321" t="str">
        <f aca="false">IF($A78="N/A"," ",(VLOOKUP($A78,OffPwrVolTable,(IF(VolBMO4=2,3,IF(VolBMO4=1,2,4))),FALSE())*VLOOKUP(MONTH($A78),Volscale,2)))</f>
        <v> </v>
      </c>
      <c r="AK78" s="321" t="str">
        <f aca="false">IF($A78="N/A"," ",IF(VolType4=1,AJ78,AI78))</f>
        <v> </v>
      </c>
      <c r="AL78" s="321" t="str">
        <f aca="false">IF($A78="N/A"," ",IF(PV=1,0,'Pricing Inputs4'!R111))</f>
        <v> </v>
      </c>
      <c r="AM78" s="323" t="str">
        <f aca="false">IF($A78="N/A"," ",(1+AL78/2)^(-2*((EOMONTH(A78,0)+20)-DateToday)/365.25))</f>
        <v> </v>
      </c>
      <c r="BQ78" s="0" t="str">
        <f aca="false">IF($A78="N/A"," ",(VLOOKUP($A78,NumberofDaysTable,2)))</f>
        <v> </v>
      </c>
      <c r="BR78" s="0" t="str">
        <f aca="false">IF($A78="N/A"," ",(VLOOKUP($A78,NumberofDaysTable,3)))</f>
        <v> </v>
      </c>
      <c r="BS78" s="0" t="str">
        <f aca="false">IF($A78="N/A"," ",(VLOOKUP($A78,NumberofDaysTable,4)))</f>
        <v> </v>
      </c>
    </row>
    <row r="79" customFormat="false" ht="12.75" hidden="false" customHeight="false" outlineLevel="0" collapsed="false">
      <c r="A79" s="315" t="str">
        <f aca="false">IF(A78="N/A","N/A",IF(EDATE(A78,1)&gt;Inputs!$R$5,"N/A",EDATE(A78,1)))</f>
        <v>N/A</v>
      </c>
      <c r="B79" s="316" t="str">
        <f aca="false">IF(A79="N/A"," ",YEAR(A79))</f>
        <v> </v>
      </c>
      <c r="C79" s="317" t="str">
        <f aca="false">IF($A79="N/A"," ",IF(Dayrun4=10,0,IF(Scaler4=1,(VLOOKUP(A79,ScaledPrice4,4)),(VLOOKUP(A79,ScaledPrice4,2)))))</f>
        <v> </v>
      </c>
      <c r="D79" s="317" t="str">
        <f aca="false">IF(A79="N/A"," ",IF(Dayrun4&gt;=7,0,IF(Scaler4=2,VLOOKUP(A79,ScaledPrice4,2),(VLOOKUP(A79,ScaledPrice4,2))*(2-(VLOOKUP(A79,ScaledPrice4,3))))))</f>
        <v> </v>
      </c>
      <c r="E79" s="317" t="str">
        <f aca="false">IF($A79="N/A"," ",IF(AND(Dayrun4&gt;=4,Dayrun4&lt;=9),0,VLOOKUP($A79,ScaledPrice4,9)))</f>
        <v> </v>
      </c>
      <c r="F79" s="317" t="str">
        <f aca="false">IF(A79="N/A"," ",IF(OR(Dayrun4=2,Dayrun4=3,Dayrun4=5,Dayrun4=6,Dayrun4=8,Dayrun4=9),VLOOKUP(A79,ScaledPrice4,IF(Scaler4=1,6,5)),0))</f>
        <v> </v>
      </c>
      <c r="G79" s="317" t="str">
        <f aca="false">IF(A79="N/A"," ",IF(OR(Dayrun4=2,Dayrun4=3,Dayrun4=5,Dayrun4=6),IF(Scaler4=2,F79,(VLOOKUP(A79,ScaledPrice4,5))*(2-(VLOOKUP(A79,ScaledPrice4,3)))),0))</f>
        <v> </v>
      </c>
      <c r="H79" s="317" t="str">
        <f aca="false">IF($A79="N/A"," ",IF(OR(Dayrun4=2,Dayrun4=3,Dayrun4=10),VLOOKUP($A79,ScaledPrice4,9),0))</f>
        <v> </v>
      </c>
      <c r="I79" s="317" t="str">
        <f aca="false">IF(A79="N/A"," ",IF(OR(Dayrun4=3,Dayrun4=6,Dayrun4=9),(VLOOKUP(A79,ScaledPrice4,IF(Scaler4=2,7,8))),0))</f>
        <v> </v>
      </c>
      <c r="J79" s="317" t="str">
        <f aca="false">IF(A79="N/A"," ",IF(OR(Dayrun4=3,Dayrun4=6),IF(Scaler4=2,I79,(VLOOKUP(A79,ScaledPrice4,7))*(2-(VLOOKUP(A79,ScaledPrice4,3)))),0))</f>
        <v> </v>
      </c>
      <c r="K79" s="317" t="str">
        <f aca="false">IF($A79="N/A"," ",IF(OR(Dayrun4=3,Dayrun4=10),VLOOKUP($A79,ScaledPrice4,9),0))</f>
        <v> </v>
      </c>
      <c r="L79" s="318" t="str">
        <f aca="false">IF($A79="N/A"," ",IF(Pricetype4=2,MAX(C79,0),IF(OR(Pricetype4=1,Pricetype4=4),IF(C79=0,0,(EURO(C79,Strikeprice4,0,0,($AH79+IF(Smile=TRUE(),VLOOKUP(MAX(-5,Strikeprice4-C79),Volsmile,2),0)),($A79-DateToday)+15,IF(Pricetype4=1,1,0),0))),C79)))</f>
        <v> </v>
      </c>
      <c r="M79" s="318" t="str">
        <f aca="false">IF($A79="N/A"," ",IF(Pricetype4=2,MAX(D79,0),IF(OR(Pricetype4=1,Pricetype4=4),IF(D79=0,0,(EURO(D79,Strikeprice4,0,0,($AH79+IF(Smile=TRUE(),VLOOKUP(MAX(-5,Strikeprice4-D79),Volsmile,2),0)),($A79-DateToday)+15,IF(Pricetype4=1,1,0),0))),D79)))</f>
        <v> </v>
      </c>
      <c r="N79" s="318" t="str">
        <f aca="false">IF($A79="N/A"," ",IF(Pricetype4=2,MAX(E79,0),IF(OR(Pricetype4=1,Pricetype4=4),IF(E79=0,0,(EURO(E79,Strikeprice4,0,0,($AK79+IF(Smile=TRUE(),VLOOKUP(MAX(-5,Strikeprice4-E79),Volsmile,2),0)),($A79-DateToday)+15,IF(Pricetype4=1,1,0),0))),E79)))</f>
        <v> </v>
      </c>
      <c r="O79" s="318" t="str">
        <f aca="false">IF($A79="N/A"," ",IF(Pricetype4=2,MAX(F79,0),IF(OR(Pricetype4=1,Pricetype4=4),IF(F79=0,0,(EURO(F79,Strikeprice4,0,0,($AK79+IF(Smile=TRUE(),VLOOKUP(MAX(-5,Strikeprice4-F79),Volsmile,2),0)),($A79-DateToday)+15,IF(Pricetype4=1,1,0),0))),F79)))</f>
        <v> </v>
      </c>
      <c r="P79" s="318" t="str">
        <f aca="false">IF($A79="N/A"," ",IF(Pricetype4=2,MAX(G79,0),IF(OR(Pricetype4=1,Pricetype4=4),IF(G79=0,0,(EURO(G79,Strikeprice4,0,0,($AK79+IF(Smile=TRUE(),VLOOKUP(MAX(-5,Strikeprice4-G79),Volsmile,2),0)),($A79-DateToday)+15,IF(Pricetype4=1,1,0),0))),G79)))</f>
        <v> </v>
      </c>
      <c r="Q79" s="318" t="str">
        <f aca="false">IF($A79="N/A"," ",IF(Pricetype4=2,MAX(H79,0),IF(OR(Pricetype4=1,Pricetype4=4),IF(H79=0,0,(EURO(H79,Strikeprice4,0,0,($AK79+IF(Smile=TRUE(),VLOOKUP(MAX(-5,Strikeprice4-H79),Volsmile,2),0)),($A79-DateToday)+15,IF(Pricetype4=1,1,0),0))),H79)))</f>
        <v> </v>
      </c>
      <c r="R79" s="318" t="str">
        <f aca="false">IF($A79="N/A"," ",IF(Pricetype4=2,MAX(I79,0),IF(OR(Pricetype4=1,Pricetype4=4),IF(I79=0,0,(EURO(I79,Strikeprice4,0,0,($AK79+IF(Smile=TRUE(),VLOOKUP(MAX(-5,Strikeprice4-I79),Volsmile,2),0)),($A79-DateToday)+15,IF(Pricetype4=1,1,0),0))),I79)))</f>
        <v> </v>
      </c>
      <c r="S79" s="318" t="str">
        <f aca="false">IF($A79="N/A"," ",IF(Pricetype4=2,MAX(J79,0),IF(OR(Pricetype4=1,Pricetype4=4),IF(J79=0,0,(EURO(J79,Strikeprice4,0,0,($AK79+IF(Smile=TRUE(),VLOOKUP(MAX(-5,Strikeprice4-J79),Volsmile,2),0)),($A79-DateToday)+15,IF(Pricetype4=1,1,0),0))),J79)))</f>
        <v> </v>
      </c>
      <c r="T79" s="318" t="str">
        <f aca="false">IF($A79="N/A"," ",IF(Pricetype4=2,MAX(K79,0),IF(OR(Pricetype4=1,Pricetype4=4),IF(K79=0,0,(EURO(K79,Strikeprice4,0,0,($AK79+IF(Smile=TRUE(),VLOOKUP(MAX(-5,Strikeprice4-K79),Volsmile,2),0)),($A79-DateToday)+15,IF(Pricetype4=1,1,0),0))),K79)))</f>
        <v> </v>
      </c>
      <c r="U79" s="319" t="str">
        <f aca="false">IF($A79="N/A"," ",Volume4*$AM79)</f>
        <v> </v>
      </c>
      <c r="V79" s="320" t="str">
        <f aca="false">IF($A79="N/A"," ",$U79*(8*($BQ79))*L79)</f>
        <v> </v>
      </c>
      <c r="W79" s="320" t="str">
        <f aca="false">IF($A79="N/A"," ",$U79*(8*($BQ79))*M79)</f>
        <v> </v>
      </c>
      <c r="X79" s="320" t="str">
        <f aca="false">IF($A79="N/A"," ",$U79*(8*($BQ79))*N79)</f>
        <v> </v>
      </c>
      <c r="Y79" s="320" t="str">
        <f aca="false">IF($A79="N/A"," ",$U79*(8*($BR79))*O79)</f>
        <v> </v>
      </c>
      <c r="Z79" s="320" t="str">
        <f aca="false">IF($A79="N/A"," ",$U79*(8*($BR79))*P79)</f>
        <v> </v>
      </c>
      <c r="AA79" s="320" t="str">
        <f aca="false">IF($A79="N/A"," ",$U79*(8*($BR79))*Q79)</f>
        <v> </v>
      </c>
      <c r="AB79" s="320" t="str">
        <f aca="false">IF($A79="N/A"," ",$U79*(8*($BS79))*R79)</f>
        <v> </v>
      </c>
      <c r="AC79" s="320" t="str">
        <f aca="false">IF($A79="N/A"," ",$U79*(8*($BS79))*S79)</f>
        <v> </v>
      </c>
      <c r="AD79" s="320" t="str">
        <f aca="false">IF($A79="N/A"," ",$U79*(8*($BS79))*T79)</f>
        <v> </v>
      </c>
      <c r="AE79" s="320" t="str">
        <f aca="false">IF($A79="N/A"," ",SUM(V79:AD79))</f>
        <v> </v>
      </c>
      <c r="AF79" s="321" t="str">
        <f aca="false">IF(A79="N/A"," ",(VLOOKUP(A79,PowerVolTable,(IF(VolBMO4=2,7,IF(VolBMO4=1,6,8))),FALSE())))</f>
        <v> </v>
      </c>
      <c r="AG79" s="321" t="str">
        <f aca="false">IF(A79="N/A"," ",(VLOOKUP(A79,IntraPowerVol,(IF(VolBMO4=2,3,IF(VolBMO4=1,2,4))),FALSE())*VLOOKUP(MONTH($A79),Volscale,2)))</f>
        <v> </v>
      </c>
      <c r="AH79" s="321" t="str">
        <f aca="false">IF($A79="N/A"," ",IF(VolType4=1,AG79,AF79))</f>
        <v> </v>
      </c>
      <c r="AI79" s="321" t="str">
        <f aca="false">IF($A79="N/A"," ",(VLOOKUP($A79,OffPwrVolTable,(IF(VolBMO4=2,7,IF(VolBMO4=1,6,8))),FALSE())))</f>
        <v> </v>
      </c>
      <c r="AJ79" s="321" t="str">
        <f aca="false">IF($A79="N/A"," ",(VLOOKUP($A79,OffPwrVolTable,(IF(VolBMO4=2,3,IF(VolBMO4=1,2,4))),FALSE())*VLOOKUP(MONTH($A79),Volscale,2)))</f>
        <v> </v>
      </c>
      <c r="AK79" s="321" t="str">
        <f aca="false">IF($A79="N/A"," ",IF(VolType4=1,AJ79,AI79))</f>
        <v> </v>
      </c>
      <c r="AL79" s="321" t="str">
        <f aca="false">IF($A79="N/A"," ",IF(PV=1,0,'Pricing Inputs4'!R112))</f>
        <v> </v>
      </c>
      <c r="AM79" s="323" t="str">
        <f aca="false">IF($A79="N/A"," ",(1+AL79/2)^(-2*((EOMONTH(A79,0)+20)-DateToday)/365.25))</f>
        <v> </v>
      </c>
      <c r="BQ79" s="0" t="str">
        <f aca="false">IF($A79="N/A"," ",(VLOOKUP($A79,NumberofDaysTable,2)))</f>
        <v> </v>
      </c>
      <c r="BR79" s="0" t="str">
        <f aca="false">IF($A79="N/A"," ",(VLOOKUP($A79,NumberofDaysTable,3)))</f>
        <v> </v>
      </c>
      <c r="BS79" s="0" t="str">
        <f aca="false">IF($A79="N/A"," ",(VLOOKUP($A79,NumberofDaysTable,4)))</f>
        <v> </v>
      </c>
    </row>
    <row r="80" customFormat="false" ht="12.75" hidden="false" customHeight="false" outlineLevel="0" collapsed="false">
      <c r="A80" s="315" t="str">
        <f aca="false">IF(A79="N/A","N/A",IF(EDATE(A79,1)&gt;Inputs!$R$5,"N/A",EDATE(A79,1)))</f>
        <v>N/A</v>
      </c>
      <c r="B80" s="316" t="str">
        <f aca="false">IF(A80="N/A"," ",YEAR(A80))</f>
        <v> </v>
      </c>
      <c r="C80" s="317" t="str">
        <f aca="false">IF($A80="N/A"," ",IF(Dayrun4=10,0,IF(Scaler4=1,(VLOOKUP(A80,ScaledPrice4,4)),(VLOOKUP(A80,ScaledPrice4,2)))))</f>
        <v> </v>
      </c>
      <c r="D80" s="317" t="str">
        <f aca="false">IF(A80="N/A"," ",IF(Dayrun4&gt;=7,0,IF(Scaler4=2,VLOOKUP(A80,ScaledPrice4,2),(VLOOKUP(A80,ScaledPrice4,2))*(2-(VLOOKUP(A80,ScaledPrice4,3))))))</f>
        <v> </v>
      </c>
      <c r="E80" s="317" t="str">
        <f aca="false">IF($A80="N/A"," ",IF(AND(Dayrun4&gt;=4,Dayrun4&lt;=9),0,VLOOKUP($A80,ScaledPrice4,9)))</f>
        <v> </v>
      </c>
      <c r="F80" s="317" t="str">
        <f aca="false">IF(A80="N/A"," ",IF(OR(Dayrun4=2,Dayrun4=3,Dayrun4=5,Dayrun4=6,Dayrun4=8,Dayrun4=9),VLOOKUP(A80,ScaledPrice4,IF(Scaler4=1,6,5)),0))</f>
        <v> </v>
      </c>
      <c r="G80" s="317" t="str">
        <f aca="false">IF(A80="N/A"," ",IF(OR(Dayrun4=2,Dayrun4=3,Dayrun4=5,Dayrun4=6),IF(Scaler4=2,F80,(VLOOKUP(A80,ScaledPrice4,5))*(2-(VLOOKUP(A80,ScaledPrice4,3)))),0))</f>
        <v> </v>
      </c>
      <c r="H80" s="317" t="str">
        <f aca="false">IF($A80="N/A"," ",IF(OR(Dayrun4=2,Dayrun4=3,Dayrun4=10),VLOOKUP($A80,ScaledPrice4,9),0))</f>
        <v> </v>
      </c>
      <c r="I80" s="317" t="str">
        <f aca="false">IF(A80="N/A"," ",IF(OR(Dayrun4=3,Dayrun4=6,Dayrun4=9),(VLOOKUP(A80,ScaledPrice4,IF(Scaler4=2,7,8))),0))</f>
        <v> </v>
      </c>
      <c r="J80" s="317" t="str">
        <f aca="false">IF(A80="N/A"," ",IF(OR(Dayrun4=3,Dayrun4=6),IF(Scaler4=2,I80,(VLOOKUP(A80,ScaledPrice4,7))*(2-(VLOOKUP(A80,ScaledPrice4,3)))),0))</f>
        <v> </v>
      </c>
      <c r="K80" s="317" t="str">
        <f aca="false">IF($A80="N/A"," ",IF(OR(Dayrun4=3,Dayrun4=10),VLOOKUP($A80,ScaledPrice4,9),0))</f>
        <v> </v>
      </c>
      <c r="L80" s="318" t="str">
        <f aca="false">IF($A80="N/A"," ",IF(Pricetype4=2,MAX(C80,0),IF(OR(Pricetype4=1,Pricetype4=4),IF(C80=0,0,(EURO(C80,Strikeprice4,0,0,($AH80+IF(Smile=TRUE(),VLOOKUP(MAX(-5,Strikeprice4-C80),Volsmile,2),0)),($A80-DateToday)+15,IF(Pricetype4=1,1,0),0))),C80)))</f>
        <v> </v>
      </c>
      <c r="M80" s="318" t="str">
        <f aca="false">IF($A80="N/A"," ",IF(Pricetype4=2,MAX(D80,0),IF(OR(Pricetype4=1,Pricetype4=4),IF(D80=0,0,(EURO(D80,Strikeprice4,0,0,($AH80+IF(Smile=TRUE(),VLOOKUP(MAX(-5,Strikeprice4-D80),Volsmile,2),0)),($A80-DateToday)+15,IF(Pricetype4=1,1,0),0))),D80)))</f>
        <v> </v>
      </c>
      <c r="N80" s="318" t="str">
        <f aca="false">IF($A80="N/A"," ",IF(Pricetype4=2,MAX(E80,0),IF(OR(Pricetype4=1,Pricetype4=4),IF(E80=0,0,(EURO(E80,Strikeprice4,0,0,($AK80+IF(Smile=TRUE(),VLOOKUP(MAX(-5,Strikeprice4-E80),Volsmile,2),0)),($A80-DateToday)+15,IF(Pricetype4=1,1,0),0))),E80)))</f>
        <v> </v>
      </c>
      <c r="O80" s="318" t="str">
        <f aca="false">IF($A80="N/A"," ",IF(Pricetype4=2,MAX(F80,0),IF(OR(Pricetype4=1,Pricetype4=4),IF(F80=0,0,(EURO(F80,Strikeprice4,0,0,($AK80+IF(Smile=TRUE(),VLOOKUP(MAX(-5,Strikeprice4-F80),Volsmile,2),0)),($A80-DateToday)+15,IF(Pricetype4=1,1,0),0))),F80)))</f>
        <v> </v>
      </c>
      <c r="P80" s="318" t="str">
        <f aca="false">IF($A80="N/A"," ",IF(Pricetype4=2,MAX(G80,0),IF(OR(Pricetype4=1,Pricetype4=4),IF(G80=0,0,(EURO(G80,Strikeprice4,0,0,($AK80+IF(Smile=TRUE(),VLOOKUP(MAX(-5,Strikeprice4-G80),Volsmile,2),0)),($A80-DateToday)+15,IF(Pricetype4=1,1,0),0))),G80)))</f>
        <v> </v>
      </c>
      <c r="Q80" s="318" t="str">
        <f aca="false">IF($A80="N/A"," ",IF(Pricetype4=2,MAX(H80,0),IF(OR(Pricetype4=1,Pricetype4=4),IF(H80=0,0,(EURO(H80,Strikeprice4,0,0,($AK80+IF(Smile=TRUE(),VLOOKUP(MAX(-5,Strikeprice4-H80),Volsmile,2),0)),($A80-DateToday)+15,IF(Pricetype4=1,1,0),0))),H80)))</f>
        <v> </v>
      </c>
      <c r="R80" s="318" t="str">
        <f aca="false">IF($A80="N/A"," ",IF(Pricetype4=2,MAX(I80,0),IF(OR(Pricetype4=1,Pricetype4=4),IF(I80=0,0,(EURO(I80,Strikeprice4,0,0,($AK80+IF(Smile=TRUE(),VLOOKUP(MAX(-5,Strikeprice4-I80),Volsmile,2),0)),($A80-DateToday)+15,IF(Pricetype4=1,1,0),0))),I80)))</f>
        <v> </v>
      </c>
      <c r="S80" s="318" t="str">
        <f aca="false">IF($A80="N/A"," ",IF(Pricetype4=2,MAX(J80,0),IF(OR(Pricetype4=1,Pricetype4=4),IF(J80=0,0,(EURO(J80,Strikeprice4,0,0,($AK80+IF(Smile=TRUE(),VLOOKUP(MAX(-5,Strikeprice4-J80),Volsmile,2),0)),($A80-DateToday)+15,IF(Pricetype4=1,1,0),0))),J80)))</f>
        <v> </v>
      </c>
      <c r="T80" s="318" t="str">
        <f aca="false">IF($A80="N/A"," ",IF(Pricetype4=2,MAX(K80,0),IF(OR(Pricetype4=1,Pricetype4=4),IF(K80=0,0,(EURO(K80,Strikeprice4,0,0,($AK80+IF(Smile=TRUE(),VLOOKUP(MAX(-5,Strikeprice4-K80),Volsmile,2),0)),($A80-DateToday)+15,IF(Pricetype4=1,1,0),0))),K80)))</f>
        <v> </v>
      </c>
      <c r="U80" s="319" t="str">
        <f aca="false">IF($A80="N/A"," ",Volume4*$AM80)</f>
        <v> </v>
      </c>
      <c r="V80" s="320" t="str">
        <f aca="false">IF($A80="N/A"," ",$U80*(8*($BQ80))*L80)</f>
        <v> </v>
      </c>
      <c r="W80" s="320" t="str">
        <f aca="false">IF($A80="N/A"," ",$U80*(8*($BQ80))*M80)</f>
        <v> </v>
      </c>
      <c r="X80" s="320" t="str">
        <f aca="false">IF($A80="N/A"," ",$U80*(8*($BQ80))*N80)</f>
        <v> </v>
      </c>
      <c r="Y80" s="320" t="str">
        <f aca="false">IF($A80="N/A"," ",$U80*(8*($BR80))*O80)</f>
        <v> </v>
      </c>
      <c r="Z80" s="320" t="str">
        <f aca="false">IF($A80="N/A"," ",$U80*(8*($BR80))*P80)</f>
        <v> </v>
      </c>
      <c r="AA80" s="320" t="str">
        <f aca="false">IF($A80="N/A"," ",$U80*(8*($BR80))*Q80)</f>
        <v> </v>
      </c>
      <c r="AB80" s="320" t="str">
        <f aca="false">IF($A80="N/A"," ",$U80*(8*($BS80))*R80)</f>
        <v> </v>
      </c>
      <c r="AC80" s="320" t="str">
        <f aca="false">IF($A80="N/A"," ",$U80*(8*($BS80))*S80)</f>
        <v> </v>
      </c>
      <c r="AD80" s="320" t="str">
        <f aca="false">IF($A80="N/A"," ",$U80*(8*($BS80))*T80)</f>
        <v> </v>
      </c>
      <c r="AE80" s="320" t="str">
        <f aca="false">IF($A80="N/A"," ",SUM(V80:AD80))</f>
        <v> </v>
      </c>
      <c r="AF80" s="321" t="str">
        <f aca="false">IF(A80="N/A"," ",(VLOOKUP(A80,PowerVolTable,(IF(VolBMO4=2,7,IF(VolBMO4=1,6,8))),FALSE())))</f>
        <v> </v>
      </c>
      <c r="AG80" s="321" t="str">
        <f aca="false">IF(A80="N/A"," ",(VLOOKUP(A80,IntraPowerVol,(IF(VolBMO4=2,3,IF(VolBMO4=1,2,4))),FALSE())*VLOOKUP(MONTH($A80),Volscale,2)))</f>
        <v> </v>
      </c>
      <c r="AH80" s="321" t="str">
        <f aca="false">IF($A80="N/A"," ",IF(VolType4=1,AG80,AF80))</f>
        <v> </v>
      </c>
      <c r="AI80" s="321" t="str">
        <f aca="false">IF($A80="N/A"," ",(VLOOKUP($A80,OffPwrVolTable,(IF(VolBMO4=2,7,IF(VolBMO4=1,6,8))),FALSE())))</f>
        <v> </v>
      </c>
      <c r="AJ80" s="321" t="str">
        <f aca="false">IF($A80="N/A"," ",(VLOOKUP($A80,OffPwrVolTable,(IF(VolBMO4=2,3,IF(VolBMO4=1,2,4))),FALSE())*VLOOKUP(MONTH($A80),Volscale,2)))</f>
        <v> </v>
      </c>
      <c r="AK80" s="321" t="str">
        <f aca="false">IF($A80="N/A"," ",IF(VolType4=1,AJ80,AI80))</f>
        <v> </v>
      </c>
      <c r="AL80" s="321" t="str">
        <f aca="false">IF($A80="N/A"," ",IF(PV=1,0,'Pricing Inputs4'!R113))</f>
        <v> </v>
      </c>
      <c r="AM80" s="323" t="str">
        <f aca="false">IF($A80="N/A"," ",(1+AL80/2)^(-2*((EOMONTH(A80,0)+20)-DateToday)/365.25))</f>
        <v> </v>
      </c>
      <c r="BQ80" s="0" t="str">
        <f aca="false">IF($A80="N/A"," ",(VLOOKUP($A80,NumberofDaysTable,2)))</f>
        <v> </v>
      </c>
      <c r="BR80" s="0" t="str">
        <f aca="false">IF($A80="N/A"," ",(VLOOKUP($A80,NumberofDaysTable,3)))</f>
        <v> </v>
      </c>
      <c r="BS80" s="0" t="str">
        <f aca="false">IF($A80="N/A"," ",(VLOOKUP($A80,NumberofDaysTable,4)))</f>
        <v> </v>
      </c>
    </row>
    <row r="81" customFormat="false" ht="12.75" hidden="false" customHeight="false" outlineLevel="0" collapsed="false">
      <c r="A81" s="315" t="str">
        <f aca="false">IF(A80="N/A","N/A",IF(EDATE(A80,1)&gt;Inputs!$R$5,"N/A",EDATE(A80,1)))</f>
        <v>N/A</v>
      </c>
      <c r="B81" s="316" t="str">
        <f aca="false">IF(A81="N/A"," ",YEAR(A81))</f>
        <v> </v>
      </c>
      <c r="C81" s="317" t="str">
        <f aca="false">IF($A81="N/A"," ",IF(Dayrun4=10,0,IF(Scaler4=1,(VLOOKUP(A81,ScaledPrice4,4)),(VLOOKUP(A81,ScaledPrice4,2)))))</f>
        <v> </v>
      </c>
      <c r="D81" s="317" t="str">
        <f aca="false">IF(A81="N/A"," ",IF(Dayrun4&gt;=7,0,IF(Scaler4=2,VLOOKUP(A81,ScaledPrice4,2),(VLOOKUP(A81,ScaledPrice4,2))*(2-(VLOOKUP(A81,ScaledPrice4,3))))))</f>
        <v> </v>
      </c>
      <c r="E81" s="317" t="str">
        <f aca="false">IF($A81="N/A"," ",IF(AND(Dayrun4&gt;=4,Dayrun4&lt;=9),0,VLOOKUP($A81,ScaledPrice4,9)))</f>
        <v> </v>
      </c>
      <c r="F81" s="317" t="str">
        <f aca="false">IF(A81="N/A"," ",IF(OR(Dayrun4=2,Dayrun4=3,Dayrun4=5,Dayrun4=6,Dayrun4=8,Dayrun4=9),VLOOKUP(A81,ScaledPrice4,IF(Scaler4=1,6,5)),0))</f>
        <v> </v>
      </c>
      <c r="G81" s="317" t="str">
        <f aca="false">IF(A81="N/A"," ",IF(OR(Dayrun4=2,Dayrun4=3,Dayrun4=5,Dayrun4=6),IF(Scaler4=2,F81,(VLOOKUP(A81,ScaledPrice4,5))*(2-(VLOOKUP(A81,ScaledPrice4,3)))),0))</f>
        <v> </v>
      </c>
      <c r="H81" s="317" t="str">
        <f aca="false">IF($A81="N/A"," ",IF(OR(Dayrun4=2,Dayrun4=3,Dayrun4=10),VLOOKUP($A81,ScaledPrice4,9),0))</f>
        <v> </v>
      </c>
      <c r="I81" s="317" t="str">
        <f aca="false">IF(A81="N/A"," ",IF(OR(Dayrun4=3,Dayrun4=6,Dayrun4=9),(VLOOKUP(A81,ScaledPrice4,IF(Scaler4=2,7,8))),0))</f>
        <v> </v>
      </c>
      <c r="J81" s="317" t="str">
        <f aca="false">IF(A81="N/A"," ",IF(OR(Dayrun4=3,Dayrun4=6),IF(Scaler4=2,I81,(VLOOKUP(A81,ScaledPrice4,7))*(2-(VLOOKUP(A81,ScaledPrice4,3)))),0))</f>
        <v> </v>
      </c>
      <c r="K81" s="317" t="str">
        <f aca="false">IF($A81="N/A"," ",IF(OR(Dayrun4=3,Dayrun4=10),VLOOKUP($A81,ScaledPrice4,9),0))</f>
        <v> </v>
      </c>
      <c r="L81" s="318" t="str">
        <f aca="false">IF($A81="N/A"," ",IF(Pricetype4=2,MAX(C81,0),IF(OR(Pricetype4=1,Pricetype4=4),IF(C81=0,0,(EURO(C81,Strikeprice4,0,0,($AH81+IF(Smile=TRUE(),VLOOKUP(MAX(-5,Strikeprice4-C81),Volsmile,2),0)),($A81-DateToday)+15,IF(Pricetype4=1,1,0),0))),C81)))</f>
        <v> </v>
      </c>
      <c r="M81" s="318" t="str">
        <f aca="false">IF($A81="N/A"," ",IF(Pricetype4=2,MAX(D81,0),IF(OR(Pricetype4=1,Pricetype4=4),IF(D81=0,0,(EURO(D81,Strikeprice4,0,0,($AH81+IF(Smile=TRUE(),VLOOKUP(MAX(-5,Strikeprice4-D81),Volsmile,2),0)),($A81-DateToday)+15,IF(Pricetype4=1,1,0),0))),D81)))</f>
        <v> </v>
      </c>
      <c r="N81" s="318" t="str">
        <f aca="false">IF($A81="N/A"," ",IF(Pricetype4=2,MAX(E81,0),IF(OR(Pricetype4=1,Pricetype4=4),IF(E81=0,0,(EURO(E81,Strikeprice4,0,0,($AK81+IF(Smile=TRUE(),VLOOKUP(MAX(-5,Strikeprice4-E81),Volsmile,2),0)),($A81-DateToday)+15,IF(Pricetype4=1,1,0),0))),E81)))</f>
        <v> </v>
      </c>
      <c r="O81" s="318" t="str">
        <f aca="false">IF($A81="N/A"," ",IF(Pricetype4=2,MAX(F81,0),IF(OR(Pricetype4=1,Pricetype4=4),IF(F81=0,0,(EURO(F81,Strikeprice4,0,0,($AK81+IF(Smile=TRUE(),VLOOKUP(MAX(-5,Strikeprice4-F81),Volsmile,2),0)),($A81-DateToday)+15,IF(Pricetype4=1,1,0),0))),F81)))</f>
        <v> </v>
      </c>
      <c r="P81" s="318" t="str">
        <f aca="false">IF($A81="N/A"," ",IF(Pricetype4=2,MAX(G81,0),IF(OR(Pricetype4=1,Pricetype4=4),IF(G81=0,0,(EURO(G81,Strikeprice4,0,0,($AK81+IF(Smile=TRUE(),VLOOKUP(MAX(-5,Strikeprice4-G81),Volsmile,2),0)),($A81-DateToday)+15,IF(Pricetype4=1,1,0),0))),G81)))</f>
        <v> </v>
      </c>
      <c r="Q81" s="318" t="str">
        <f aca="false">IF($A81="N/A"," ",IF(Pricetype4=2,MAX(H81,0),IF(OR(Pricetype4=1,Pricetype4=4),IF(H81=0,0,(EURO(H81,Strikeprice4,0,0,($AK81+IF(Smile=TRUE(),VLOOKUP(MAX(-5,Strikeprice4-H81),Volsmile,2),0)),($A81-DateToday)+15,IF(Pricetype4=1,1,0),0))),H81)))</f>
        <v> </v>
      </c>
      <c r="R81" s="318" t="str">
        <f aca="false">IF($A81="N/A"," ",IF(Pricetype4=2,MAX(I81,0),IF(OR(Pricetype4=1,Pricetype4=4),IF(I81=0,0,(EURO(I81,Strikeprice4,0,0,($AK81+IF(Smile=TRUE(),VLOOKUP(MAX(-5,Strikeprice4-I81),Volsmile,2),0)),($A81-DateToday)+15,IF(Pricetype4=1,1,0),0))),I81)))</f>
        <v> </v>
      </c>
      <c r="S81" s="318" t="str">
        <f aca="false">IF($A81="N/A"," ",IF(Pricetype4=2,MAX(J81,0),IF(OR(Pricetype4=1,Pricetype4=4),IF(J81=0,0,(EURO(J81,Strikeprice4,0,0,($AK81+IF(Smile=TRUE(),VLOOKUP(MAX(-5,Strikeprice4-J81),Volsmile,2),0)),($A81-DateToday)+15,IF(Pricetype4=1,1,0),0))),J81)))</f>
        <v> </v>
      </c>
      <c r="T81" s="318" t="str">
        <f aca="false">IF($A81="N/A"," ",IF(Pricetype4=2,MAX(K81,0),IF(OR(Pricetype4=1,Pricetype4=4),IF(K81=0,0,(EURO(K81,Strikeprice4,0,0,($AK81+IF(Smile=TRUE(),VLOOKUP(MAX(-5,Strikeprice4-K81),Volsmile,2),0)),($A81-DateToday)+15,IF(Pricetype4=1,1,0),0))),K81)))</f>
        <v> </v>
      </c>
      <c r="U81" s="319" t="str">
        <f aca="false">IF($A81="N/A"," ",Volume4*$AM81)</f>
        <v> </v>
      </c>
      <c r="V81" s="320" t="str">
        <f aca="false">IF($A81="N/A"," ",$U81*(8*($BQ81))*L81)</f>
        <v> </v>
      </c>
      <c r="W81" s="320" t="str">
        <f aca="false">IF($A81="N/A"," ",$U81*(8*($BQ81))*M81)</f>
        <v> </v>
      </c>
      <c r="X81" s="320" t="str">
        <f aca="false">IF($A81="N/A"," ",$U81*(8*($BQ81))*N81)</f>
        <v> </v>
      </c>
      <c r="Y81" s="320" t="str">
        <f aca="false">IF($A81="N/A"," ",$U81*(8*($BR81))*O81)</f>
        <v> </v>
      </c>
      <c r="Z81" s="320" t="str">
        <f aca="false">IF($A81="N/A"," ",$U81*(8*($BR81))*P81)</f>
        <v> </v>
      </c>
      <c r="AA81" s="320" t="str">
        <f aca="false">IF($A81="N/A"," ",$U81*(8*($BR81))*Q81)</f>
        <v> </v>
      </c>
      <c r="AB81" s="320" t="str">
        <f aca="false">IF($A81="N/A"," ",$U81*(8*($BS81))*R81)</f>
        <v> </v>
      </c>
      <c r="AC81" s="320" t="str">
        <f aca="false">IF($A81="N/A"," ",$U81*(8*($BS81))*S81)</f>
        <v> </v>
      </c>
      <c r="AD81" s="320" t="str">
        <f aca="false">IF($A81="N/A"," ",$U81*(8*($BS81))*T81)</f>
        <v> </v>
      </c>
      <c r="AE81" s="320" t="str">
        <f aca="false">IF($A81="N/A"," ",SUM(V81:AD81))</f>
        <v> </v>
      </c>
      <c r="AF81" s="321" t="str">
        <f aca="false">IF(A81="N/A"," ",(VLOOKUP(A81,PowerVolTable,(IF(VolBMO4=2,7,IF(VolBMO4=1,6,8))),FALSE())))</f>
        <v> </v>
      </c>
      <c r="AG81" s="321" t="str">
        <f aca="false">IF(A81="N/A"," ",(VLOOKUP(A81,IntraPowerVol,(IF(VolBMO4=2,3,IF(VolBMO4=1,2,4))),FALSE())*VLOOKUP(MONTH($A81),Volscale,2)))</f>
        <v> </v>
      </c>
      <c r="AH81" s="321" t="str">
        <f aca="false">IF($A81="N/A"," ",IF(VolType4=1,AG81,AF81))</f>
        <v> </v>
      </c>
      <c r="AI81" s="321" t="str">
        <f aca="false">IF($A81="N/A"," ",(VLOOKUP($A81,OffPwrVolTable,(IF(VolBMO4=2,7,IF(VolBMO4=1,6,8))),FALSE())))</f>
        <v> </v>
      </c>
      <c r="AJ81" s="321" t="str">
        <f aca="false">IF($A81="N/A"," ",(VLOOKUP($A81,OffPwrVolTable,(IF(VolBMO4=2,3,IF(VolBMO4=1,2,4))),FALSE())*VLOOKUP(MONTH($A81),Volscale,2)))</f>
        <v> </v>
      </c>
      <c r="AK81" s="321" t="str">
        <f aca="false">IF($A81="N/A"," ",IF(VolType4=1,AJ81,AI81))</f>
        <v> </v>
      </c>
      <c r="AL81" s="321" t="str">
        <f aca="false">IF($A81="N/A"," ",IF(PV=1,0,'Pricing Inputs4'!R114))</f>
        <v> </v>
      </c>
      <c r="AM81" s="323" t="str">
        <f aca="false">IF($A81="N/A"," ",(1+AL81/2)^(-2*((EOMONTH(A81,0)+20)-DateToday)/365.25))</f>
        <v> </v>
      </c>
      <c r="BQ81" s="0" t="str">
        <f aca="false">IF($A81="N/A"," ",(VLOOKUP($A81,NumberofDaysTable,2)))</f>
        <v> </v>
      </c>
      <c r="BR81" s="0" t="str">
        <f aca="false">IF($A81="N/A"," ",(VLOOKUP($A81,NumberofDaysTable,3)))</f>
        <v> </v>
      </c>
      <c r="BS81" s="0" t="str">
        <f aca="false">IF($A81="N/A"," ",(VLOOKUP($A81,NumberofDaysTable,4)))</f>
        <v> </v>
      </c>
    </row>
    <row r="82" customFormat="false" ht="12.75" hidden="false" customHeight="false" outlineLevel="0" collapsed="false">
      <c r="A82" s="315" t="str">
        <f aca="false">IF(A81="N/A","N/A",IF(EDATE(A81,1)&gt;Inputs!$R$5,"N/A",EDATE(A81,1)))</f>
        <v>N/A</v>
      </c>
      <c r="B82" s="316" t="str">
        <f aca="false">IF(A82="N/A"," ",YEAR(A82))</f>
        <v> </v>
      </c>
      <c r="C82" s="317" t="str">
        <f aca="false">IF($A82="N/A"," ",IF(Dayrun4=10,0,IF(Scaler4=1,(VLOOKUP(A82,ScaledPrice4,4)),(VLOOKUP(A82,ScaledPrice4,2)))))</f>
        <v> </v>
      </c>
      <c r="D82" s="317" t="str">
        <f aca="false">IF(A82="N/A"," ",IF(Dayrun4&gt;=7,0,IF(Scaler4=2,VLOOKUP(A82,ScaledPrice4,2),(VLOOKUP(A82,ScaledPrice4,2))*(2-(VLOOKUP(A82,ScaledPrice4,3))))))</f>
        <v> </v>
      </c>
      <c r="E82" s="317" t="str">
        <f aca="false">IF($A82="N/A"," ",IF(AND(Dayrun4&gt;=4,Dayrun4&lt;=9),0,VLOOKUP($A82,ScaledPrice4,9)))</f>
        <v> </v>
      </c>
      <c r="F82" s="317" t="str">
        <f aca="false">IF(A82="N/A"," ",IF(OR(Dayrun4=2,Dayrun4=3,Dayrun4=5,Dayrun4=6,Dayrun4=8,Dayrun4=9),VLOOKUP(A82,ScaledPrice4,IF(Scaler4=1,6,5)),0))</f>
        <v> </v>
      </c>
      <c r="G82" s="317" t="str">
        <f aca="false">IF(A82="N/A"," ",IF(OR(Dayrun4=2,Dayrun4=3,Dayrun4=5,Dayrun4=6),IF(Scaler4=2,F82,(VLOOKUP(A82,ScaledPrice4,5))*(2-(VLOOKUP(A82,ScaledPrice4,3)))),0))</f>
        <v> </v>
      </c>
      <c r="H82" s="317" t="str">
        <f aca="false">IF($A82="N/A"," ",IF(OR(Dayrun4=2,Dayrun4=3,Dayrun4=10),VLOOKUP($A82,ScaledPrice4,9),0))</f>
        <v> </v>
      </c>
      <c r="I82" s="317" t="str">
        <f aca="false">IF(A82="N/A"," ",IF(OR(Dayrun4=3,Dayrun4=6,Dayrun4=9),(VLOOKUP(A82,ScaledPrice4,IF(Scaler4=2,7,8))),0))</f>
        <v> </v>
      </c>
      <c r="J82" s="317" t="str">
        <f aca="false">IF(A82="N/A"," ",IF(OR(Dayrun4=3,Dayrun4=6),IF(Scaler4=2,I82,(VLOOKUP(A82,ScaledPrice4,7))*(2-(VLOOKUP(A82,ScaledPrice4,3)))),0))</f>
        <v> </v>
      </c>
      <c r="K82" s="317" t="str">
        <f aca="false">IF($A82="N/A"," ",IF(OR(Dayrun4=3,Dayrun4=10),VLOOKUP($A82,ScaledPrice4,9),0))</f>
        <v> </v>
      </c>
      <c r="L82" s="318" t="str">
        <f aca="false">IF($A82="N/A"," ",IF(Pricetype4=2,MAX(C82,0),IF(OR(Pricetype4=1,Pricetype4=4),IF(C82=0,0,(EURO(C82,Strikeprice4,0,0,($AH82+IF(Smile=TRUE(),VLOOKUP(MAX(-5,Strikeprice4-C82),Volsmile,2),0)),($A82-DateToday)+15,IF(Pricetype4=1,1,0),0))),C82)))</f>
        <v> </v>
      </c>
      <c r="M82" s="318" t="str">
        <f aca="false">IF($A82="N/A"," ",IF(Pricetype4=2,MAX(D82,0),IF(OR(Pricetype4=1,Pricetype4=4),IF(D82=0,0,(EURO(D82,Strikeprice4,0,0,($AH82+IF(Smile=TRUE(),VLOOKUP(MAX(-5,Strikeprice4-D82),Volsmile,2),0)),($A82-DateToday)+15,IF(Pricetype4=1,1,0),0))),D82)))</f>
        <v> </v>
      </c>
      <c r="N82" s="318" t="str">
        <f aca="false">IF($A82="N/A"," ",IF(Pricetype4=2,MAX(E82,0),IF(OR(Pricetype4=1,Pricetype4=4),IF(E82=0,0,(EURO(E82,Strikeprice4,0,0,($AK82+IF(Smile=TRUE(),VLOOKUP(MAX(-5,Strikeprice4-E82),Volsmile,2),0)),($A82-DateToday)+15,IF(Pricetype4=1,1,0),0))),E82)))</f>
        <v> </v>
      </c>
      <c r="O82" s="318" t="str">
        <f aca="false">IF($A82="N/A"," ",IF(Pricetype4=2,MAX(F82,0),IF(OR(Pricetype4=1,Pricetype4=4),IF(F82=0,0,(EURO(F82,Strikeprice4,0,0,($AK82+IF(Smile=TRUE(),VLOOKUP(MAX(-5,Strikeprice4-F82),Volsmile,2),0)),($A82-DateToday)+15,IF(Pricetype4=1,1,0),0))),F82)))</f>
        <v> </v>
      </c>
      <c r="P82" s="318" t="str">
        <f aca="false">IF($A82="N/A"," ",IF(Pricetype4=2,MAX(G82,0),IF(OR(Pricetype4=1,Pricetype4=4),IF(G82=0,0,(EURO(G82,Strikeprice4,0,0,($AK82+IF(Smile=TRUE(),VLOOKUP(MAX(-5,Strikeprice4-G82),Volsmile,2),0)),($A82-DateToday)+15,IF(Pricetype4=1,1,0),0))),G82)))</f>
        <v> </v>
      </c>
      <c r="Q82" s="318" t="str">
        <f aca="false">IF($A82="N/A"," ",IF(Pricetype4=2,MAX(H82,0),IF(OR(Pricetype4=1,Pricetype4=4),IF(H82=0,0,(EURO(H82,Strikeprice4,0,0,($AK82+IF(Smile=TRUE(),VLOOKUP(MAX(-5,Strikeprice4-H82),Volsmile,2),0)),($A82-DateToday)+15,IF(Pricetype4=1,1,0),0))),H82)))</f>
        <v> </v>
      </c>
      <c r="R82" s="318" t="str">
        <f aca="false">IF($A82="N/A"," ",IF(Pricetype4=2,MAX(I82,0),IF(OR(Pricetype4=1,Pricetype4=4),IF(I82=0,0,(EURO(I82,Strikeprice4,0,0,($AK82+IF(Smile=TRUE(),VLOOKUP(MAX(-5,Strikeprice4-I82),Volsmile,2),0)),($A82-DateToday)+15,IF(Pricetype4=1,1,0),0))),I82)))</f>
        <v> </v>
      </c>
      <c r="S82" s="318" t="str">
        <f aca="false">IF($A82="N/A"," ",IF(Pricetype4=2,MAX(J82,0),IF(OR(Pricetype4=1,Pricetype4=4),IF(J82=0,0,(EURO(J82,Strikeprice4,0,0,($AK82+IF(Smile=TRUE(),VLOOKUP(MAX(-5,Strikeprice4-J82),Volsmile,2),0)),($A82-DateToday)+15,IF(Pricetype4=1,1,0),0))),J82)))</f>
        <v> </v>
      </c>
      <c r="T82" s="318" t="str">
        <f aca="false">IF($A82="N/A"," ",IF(Pricetype4=2,MAX(K82,0),IF(OR(Pricetype4=1,Pricetype4=4),IF(K82=0,0,(EURO(K82,Strikeprice4,0,0,($AK82+IF(Smile=TRUE(),VLOOKUP(MAX(-5,Strikeprice4-K82),Volsmile,2),0)),($A82-DateToday)+15,IF(Pricetype4=1,1,0),0))),K82)))</f>
        <v> </v>
      </c>
      <c r="U82" s="319" t="str">
        <f aca="false">IF($A82="N/A"," ",Volume4*$AM82)</f>
        <v> </v>
      </c>
      <c r="V82" s="320" t="str">
        <f aca="false">IF($A82="N/A"," ",$U82*(8*($BQ82))*L82)</f>
        <v> </v>
      </c>
      <c r="W82" s="320" t="str">
        <f aca="false">IF($A82="N/A"," ",$U82*(8*($BQ82))*M82)</f>
        <v> </v>
      </c>
      <c r="X82" s="320" t="str">
        <f aca="false">IF($A82="N/A"," ",$U82*(8*($BQ82))*N82)</f>
        <v> </v>
      </c>
      <c r="Y82" s="320" t="str">
        <f aca="false">IF($A82="N/A"," ",$U82*(8*($BR82))*O82)</f>
        <v> </v>
      </c>
      <c r="Z82" s="320" t="str">
        <f aca="false">IF($A82="N/A"," ",$U82*(8*($BR82))*P82)</f>
        <v> </v>
      </c>
      <c r="AA82" s="320" t="str">
        <f aca="false">IF($A82="N/A"," ",$U82*(8*($BR82))*Q82)</f>
        <v> </v>
      </c>
      <c r="AB82" s="320" t="str">
        <f aca="false">IF($A82="N/A"," ",$U82*(8*($BS82))*R82)</f>
        <v> </v>
      </c>
      <c r="AC82" s="320" t="str">
        <f aca="false">IF($A82="N/A"," ",$U82*(8*($BS82))*S82)</f>
        <v> </v>
      </c>
      <c r="AD82" s="320" t="str">
        <f aca="false">IF($A82="N/A"," ",$U82*(8*($BS82))*T82)</f>
        <v> </v>
      </c>
      <c r="AE82" s="320" t="str">
        <f aca="false">IF($A82="N/A"," ",SUM(V82:AD82))</f>
        <v> </v>
      </c>
      <c r="AF82" s="321" t="str">
        <f aca="false">IF(A82="N/A"," ",(VLOOKUP(A82,PowerVolTable,(IF(VolBMO4=2,7,IF(VolBMO4=1,6,8))),FALSE())))</f>
        <v> </v>
      </c>
      <c r="AG82" s="321" t="str">
        <f aca="false">IF(A82="N/A"," ",(VLOOKUP(A82,IntraPowerVol,(IF(VolBMO4=2,3,IF(VolBMO4=1,2,4))),FALSE())*VLOOKUP(MONTH($A82),Volscale,2)))</f>
        <v> </v>
      </c>
      <c r="AH82" s="321" t="str">
        <f aca="false">IF($A82="N/A"," ",IF(VolType4=1,AG82,AF82))</f>
        <v> </v>
      </c>
      <c r="AI82" s="321" t="str">
        <f aca="false">IF($A82="N/A"," ",(VLOOKUP($A82,OffPwrVolTable,(IF(VolBMO4=2,7,IF(VolBMO4=1,6,8))),FALSE())))</f>
        <v> </v>
      </c>
      <c r="AJ82" s="321" t="str">
        <f aca="false">IF($A82="N/A"," ",(VLOOKUP($A82,OffPwrVolTable,(IF(VolBMO4=2,3,IF(VolBMO4=1,2,4))),FALSE())*VLOOKUP(MONTH($A82),Volscale,2)))</f>
        <v> </v>
      </c>
      <c r="AK82" s="321" t="str">
        <f aca="false">IF($A82="N/A"," ",IF(VolType4=1,AJ82,AI82))</f>
        <v> </v>
      </c>
      <c r="AL82" s="321" t="str">
        <f aca="false">IF($A82="N/A"," ",IF(PV=1,0,'Pricing Inputs4'!R115))</f>
        <v> </v>
      </c>
      <c r="AM82" s="323" t="str">
        <f aca="false">IF($A82="N/A"," ",(1+AL82/2)^(-2*((EOMONTH(A82,0)+20)-DateToday)/365.25))</f>
        <v> </v>
      </c>
      <c r="BQ82" s="0" t="str">
        <f aca="false">IF($A82="N/A"," ",(VLOOKUP($A82,NumberofDaysTable,2)))</f>
        <v> </v>
      </c>
      <c r="BR82" s="0" t="str">
        <f aca="false">IF($A82="N/A"," ",(VLOOKUP($A82,NumberofDaysTable,3)))</f>
        <v> </v>
      </c>
      <c r="BS82" s="0" t="str">
        <f aca="false">IF($A82="N/A"," ",(VLOOKUP($A82,NumberofDaysTable,4)))</f>
        <v> </v>
      </c>
    </row>
    <row r="83" customFormat="false" ht="12.75" hidden="false" customHeight="false" outlineLevel="0" collapsed="false">
      <c r="A83" s="315" t="str">
        <f aca="false">IF(A82="N/A","N/A",IF(EDATE(A82,1)&gt;Inputs!$R$5,"N/A",EDATE(A82,1)))</f>
        <v>N/A</v>
      </c>
      <c r="B83" s="316" t="str">
        <f aca="false">IF(A83="N/A"," ",YEAR(A83))</f>
        <v> </v>
      </c>
      <c r="C83" s="317" t="str">
        <f aca="false">IF($A83="N/A"," ",IF(Dayrun4=10,0,IF(Scaler4=1,(VLOOKUP(A83,ScaledPrice4,4)),(VLOOKUP(A83,ScaledPrice4,2)))))</f>
        <v> </v>
      </c>
      <c r="D83" s="317" t="str">
        <f aca="false">IF(A83="N/A"," ",IF(Dayrun4&gt;=7,0,IF(Scaler4=2,VLOOKUP(A83,ScaledPrice4,2),(VLOOKUP(A83,ScaledPrice4,2))*(2-(VLOOKUP(A83,ScaledPrice4,3))))))</f>
        <v> </v>
      </c>
      <c r="E83" s="317" t="str">
        <f aca="false">IF($A83="N/A"," ",IF(AND(Dayrun4&gt;=4,Dayrun4&lt;=9),0,VLOOKUP($A83,ScaledPrice4,9)))</f>
        <v> </v>
      </c>
      <c r="F83" s="317" t="str">
        <f aca="false">IF(A83="N/A"," ",IF(OR(Dayrun4=2,Dayrun4=3,Dayrun4=5,Dayrun4=6,Dayrun4=8,Dayrun4=9),VLOOKUP(A83,ScaledPrice4,IF(Scaler4=1,6,5)),0))</f>
        <v> </v>
      </c>
      <c r="G83" s="317" t="str">
        <f aca="false">IF(A83="N/A"," ",IF(OR(Dayrun4=2,Dayrun4=3,Dayrun4=5,Dayrun4=6),IF(Scaler4=2,F83,(VLOOKUP(A83,ScaledPrice4,5))*(2-(VLOOKUP(A83,ScaledPrice4,3)))),0))</f>
        <v> </v>
      </c>
      <c r="H83" s="317" t="str">
        <f aca="false">IF($A83="N/A"," ",IF(OR(Dayrun4=2,Dayrun4=3,Dayrun4=10),VLOOKUP($A83,ScaledPrice4,9),0))</f>
        <v> </v>
      </c>
      <c r="I83" s="317" t="str">
        <f aca="false">IF(A83="N/A"," ",IF(OR(Dayrun4=3,Dayrun4=6,Dayrun4=9),(VLOOKUP(A83,ScaledPrice4,IF(Scaler4=2,7,8))),0))</f>
        <v> </v>
      </c>
      <c r="J83" s="317" t="str">
        <f aca="false">IF(A83="N/A"," ",IF(OR(Dayrun4=3,Dayrun4=6),IF(Scaler4=2,I83,(VLOOKUP(A83,ScaledPrice4,7))*(2-(VLOOKUP(A83,ScaledPrice4,3)))),0))</f>
        <v> </v>
      </c>
      <c r="K83" s="317" t="str">
        <f aca="false">IF($A83="N/A"," ",IF(OR(Dayrun4=3,Dayrun4=10),VLOOKUP($A83,ScaledPrice4,9),0))</f>
        <v> </v>
      </c>
      <c r="L83" s="318" t="str">
        <f aca="false">IF($A83="N/A"," ",IF(Pricetype4=2,MAX(C83,0),IF(OR(Pricetype4=1,Pricetype4=4),IF(C83=0,0,(EURO(C83,Strikeprice4,0,0,($AH83+IF(Smile=TRUE(),VLOOKUP(MAX(-5,Strikeprice4-C83),Volsmile,2),0)),($A83-DateToday)+15,IF(Pricetype4=1,1,0),0))),C83)))</f>
        <v> </v>
      </c>
      <c r="M83" s="318" t="str">
        <f aca="false">IF($A83="N/A"," ",IF(Pricetype4=2,MAX(D83,0),IF(OR(Pricetype4=1,Pricetype4=4),IF(D83=0,0,(EURO(D83,Strikeprice4,0,0,($AH83+IF(Smile=TRUE(),VLOOKUP(MAX(-5,Strikeprice4-D83),Volsmile,2),0)),($A83-DateToday)+15,IF(Pricetype4=1,1,0),0))),D83)))</f>
        <v> </v>
      </c>
      <c r="N83" s="318" t="str">
        <f aca="false">IF($A83="N/A"," ",IF(Pricetype4=2,MAX(E83,0),IF(OR(Pricetype4=1,Pricetype4=4),IF(E83=0,0,(EURO(E83,Strikeprice4,0,0,($AK83+IF(Smile=TRUE(),VLOOKUP(MAX(-5,Strikeprice4-E83),Volsmile,2),0)),($A83-DateToday)+15,IF(Pricetype4=1,1,0),0))),E83)))</f>
        <v> </v>
      </c>
      <c r="O83" s="318" t="str">
        <f aca="false">IF($A83="N/A"," ",IF(Pricetype4=2,MAX(F83,0),IF(OR(Pricetype4=1,Pricetype4=4),IF(F83=0,0,(EURO(F83,Strikeprice4,0,0,($AK83+IF(Smile=TRUE(),VLOOKUP(MAX(-5,Strikeprice4-F83),Volsmile,2),0)),($A83-DateToday)+15,IF(Pricetype4=1,1,0),0))),F83)))</f>
        <v> </v>
      </c>
      <c r="P83" s="318" t="str">
        <f aca="false">IF($A83="N/A"," ",IF(Pricetype4=2,MAX(G83,0),IF(OR(Pricetype4=1,Pricetype4=4),IF(G83=0,0,(EURO(G83,Strikeprice4,0,0,($AK83+IF(Smile=TRUE(),VLOOKUP(MAX(-5,Strikeprice4-G83),Volsmile,2),0)),($A83-DateToday)+15,IF(Pricetype4=1,1,0),0))),G83)))</f>
        <v> </v>
      </c>
      <c r="Q83" s="318" t="str">
        <f aca="false">IF($A83="N/A"," ",IF(Pricetype4=2,MAX(H83,0),IF(OR(Pricetype4=1,Pricetype4=4),IF(H83=0,0,(EURO(H83,Strikeprice4,0,0,($AK83+IF(Smile=TRUE(),VLOOKUP(MAX(-5,Strikeprice4-H83),Volsmile,2),0)),($A83-DateToday)+15,IF(Pricetype4=1,1,0),0))),H83)))</f>
        <v> </v>
      </c>
      <c r="R83" s="318" t="str">
        <f aca="false">IF($A83="N/A"," ",IF(Pricetype4=2,MAX(I83,0),IF(OR(Pricetype4=1,Pricetype4=4),IF(I83=0,0,(EURO(I83,Strikeprice4,0,0,($AK83+IF(Smile=TRUE(),VLOOKUP(MAX(-5,Strikeprice4-I83),Volsmile,2),0)),($A83-DateToday)+15,IF(Pricetype4=1,1,0),0))),I83)))</f>
        <v> </v>
      </c>
      <c r="S83" s="318" t="str">
        <f aca="false">IF($A83="N/A"," ",IF(Pricetype4=2,MAX(J83,0),IF(OR(Pricetype4=1,Pricetype4=4),IF(J83=0,0,(EURO(J83,Strikeprice4,0,0,($AK83+IF(Smile=TRUE(),VLOOKUP(MAX(-5,Strikeprice4-J83),Volsmile,2),0)),($A83-DateToday)+15,IF(Pricetype4=1,1,0),0))),J83)))</f>
        <v> </v>
      </c>
      <c r="T83" s="318" t="str">
        <f aca="false">IF($A83="N/A"," ",IF(Pricetype4=2,MAX(K83,0),IF(OR(Pricetype4=1,Pricetype4=4),IF(K83=0,0,(EURO(K83,Strikeprice4,0,0,($AK83+IF(Smile=TRUE(),VLOOKUP(MAX(-5,Strikeprice4-K83),Volsmile,2),0)),($A83-DateToday)+15,IF(Pricetype4=1,1,0),0))),K83)))</f>
        <v> </v>
      </c>
      <c r="U83" s="319" t="str">
        <f aca="false">IF($A83="N/A"," ",Volume4*$AM83)</f>
        <v> </v>
      </c>
      <c r="V83" s="320" t="str">
        <f aca="false">IF($A83="N/A"," ",$U83*(8*($BQ83))*L83)</f>
        <v> </v>
      </c>
      <c r="W83" s="320" t="str">
        <f aca="false">IF($A83="N/A"," ",$U83*(8*($BQ83))*M83)</f>
        <v> </v>
      </c>
      <c r="X83" s="320" t="str">
        <f aca="false">IF($A83="N/A"," ",$U83*(8*($BQ83))*N83)</f>
        <v> </v>
      </c>
      <c r="Y83" s="320" t="str">
        <f aca="false">IF($A83="N/A"," ",$U83*(8*($BR83))*O83)</f>
        <v> </v>
      </c>
      <c r="Z83" s="320" t="str">
        <f aca="false">IF($A83="N/A"," ",$U83*(8*($BR83))*P83)</f>
        <v> </v>
      </c>
      <c r="AA83" s="320" t="str">
        <f aca="false">IF($A83="N/A"," ",$U83*(8*($BR83))*Q83)</f>
        <v> </v>
      </c>
      <c r="AB83" s="320" t="str">
        <f aca="false">IF($A83="N/A"," ",$U83*(8*($BS83))*R83)</f>
        <v> </v>
      </c>
      <c r="AC83" s="320" t="str">
        <f aca="false">IF($A83="N/A"," ",$U83*(8*($BS83))*S83)</f>
        <v> </v>
      </c>
      <c r="AD83" s="320" t="str">
        <f aca="false">IF($A83="N/A"," ",$U83*(8*($BS83))*T83)</f>
        <v> </v>
      </c>
      <c r="AE83" s="320" t="str">
        <f aca="false">IF($A83="N/A"," ",SUM(V83:AD83))</f>
        <v> </v>
      </c>
      <c r="AF83" s="321" t="str">
        <f aca="false">IF(A83="N/A"," ",(VLOOKUP(A83,PowerVolTable,(IF(VolBMO4=2,7,IF(VolBMO4=1,6,8))),FALSE())))</f>
        <v> </v>
      </c>
      <c r="AG83" s="321" t="str">
        <f aca="false">IF(A83="N/A"," ",(VLOOKUP(A83,IntraPowerVol,(IF(VolBMO4=2,3,IF(VolBMO4=1,2,4))),FALSE())*VLOOKUP(MONTH($A83),Volscale,2)))</f>
        <v> </v>
      </c>
      <c r="AH83" s="321" t="str">
        <f aca="false">IF($A83="N/A"," ",IF(VolType4=1,AG83,AF83))</f>
        <v> </v>
      </c>
      <c r="AI83" s="321" t="str">
        <f aca="false">IF($A83="N/A"," ",(VLOOKUP($A83,OffPwrVolTable,(IF(VolBMO4=2,7,IF(VolBMO4=1,6,8))),FALSE())))</f>
        <v> </v>
      </c>
      <c r="AJ83" s="321" t="str">
        <f aca="false">IF($A83="N/A"," ",(VLOOKUP($A83,OffPwrVolTable,(IF(VolBMO4=2,3,IF(VolBMO4=1,2,4))),FALSE())*VLOOKUP(MONTH($A83),Volscale,2)))</f>
        <v> </v>
      </c>
      <c r="AK83" s="321" t="str">
        <f aca="false">IF($A83="N/A"," ",IF(VolType4=1,AJ83,AI83))</f>
        <v> </v>
      </c>
      <c r="AL83" s="321" t="str">
        <f aca="false">IF($A83="N/A"," ",IF(PV=1,0,'Pricing Inputs4'!R116))</f>
        <v> </v>
      </c>
      <c r="AM83" s="323" t="str">
        <f aca="false">IF($A83="N/A"," ",(1+AL83/2)^(-2*((EOMONTH(A83,0)+20)-DateToday)/365.25))</f>
        <v> </v>
      </c>
      <c r="BQ83" s="0" t="str">
        <f aca="false">IF($A83="N/A"," ",(VLOOKUP($A83,NumberofDaysTable,2)))</f>
        <v> </v>
      </c>
      <c r="BR83" s="0" t="str">
        <f aca="false">IF($A83="N/A"," ",(VLOOKUP($A83,NumberofDaysTable,3)))</f>
        <v> </v>
      </c>
      <c r="BS83" s="0" t="str">
        <f aca="false">IF($A83="N/A"," ",(VLOOKUP($A83,NumberofDaysTable,4)))</f>
        <v> </v>
      </c>
    </row>
    <row r="84" customFormat="false" ht="12.75" hidden="false" customHeight="false" outlineLevel="0" collapsed="false">
      <c r="A84" s="315" t="str">
        <f aca="false">IF(A83="N/A","N/A",IF(EDATE(A83,1)&gt;Inputs!$R$5,"N/A",EDATE(A83,1)))</f>
        <v>N/A</v>
      </c>
      <c r="B84" s="316" t="str">
        <f aca="false">IF(A84="N/A"," ",YEAR(A84))</f>
        <v> </v>
      </c>
      <c r="C84" s="317" t="str">
        <f aca="false">IF($A84="N/A"," ",IF(Dayrun4=10,0,IF(Scaler4=1,(VLOOKUP(A84,ScaledPrice4,4)),(VLOOKUP(A84,ScaledPrice4,2)))))</f>
        <v> </v>
      </c>
      <c r="D84" s="317" t="str">
        <f aca="false">IF(A84="N/A"," ",IF(Dayrun4&gt;=7,0,IF(Scaler4=2,VLOOKUP(A84,ScaledPrice4,2),(VLOOKUP(A84,ScaledPrice4,2))*(2-(VLOOKUP(A84,ScaledPrice4,3))))))</f>
        <v> </v>
      </c>
      <c r="E84" s="317" t="str">
        <f aca="false">IF($A84="N/A"," ",IF(AND(Dayrun4&gt;=4,Dayrun4&lt;=9),0,VLOOKUP($A84,ScaledPrice4,9)))</f>
        <v> </v>
      </c>
      <c r="F84" s="317" t="str">
        <f aca="false">IF(A84="N/A"," ",IF(OR(Dayrun4=2,Dayrun4=3,Dayrun4=5,Dayrun4=6,Dayrun4=8,Dayrun4=9),VLOOKUP(A84,ScaledPrice4,IF(Scaler4=1,6,5)),0))</f>
        <v> </v>
      </c>
      <c r="G84" s="317" t="str">
        <f aca="false">IF(A84="N/A"," ",IF(OR(Dayrun4=2,Dayrun4=3,Dayrun4=5,Dayrun4=6),IF(Scaler4=2,F84,(VLOOKUP(A84,ScaledPrice4,5))*(2-(VLOOKUP(A84,ScaledPrice4,3)))),0))</f>
        <v> </v>
      </c>
      <c r="H84" s="317" t="str">
        <f aca="false">IF($A84="N/A"," ",IF(OR(Dayrun4=2,Dayrun4=3,Dayrun4=10),VLOOKUP($A84,ScaledPrice4,9),0))</f>
        <v> </v>
      </c>
      <c r="I84" s="317" t="str">
        <f aca="false">IF(A84="N/A"," ",IF(OR(Dayrun4=3,Dayrun4=6,Dayrun4=9),(VLOOKUP(A84,ScaledPrice4,IF(Scaler4=2,7,8))),0))</f>
        <v> </v>
      </c>
      <c r="J84" s="317" t="str">
        <f aca="false">IF(A84="N/A"," ",IF(OR(Dayrun4=3,Dayrun4=6),IF(Scaler4=2,I84,(VLOOKUP(A84,ScaledPrice4,7))*(2-(VLOOKUP(A84,ScaledPrice4,3)))),0))</f>
        <v> </v>
      </c>
      <c r="K84" s="317" t="str">
        <f aca="false">IF($A84="N/A"," ",IF(OR(Dayrun4=3,Dayrun4=10),VLOOKUP($A84,ScaledPrice4,9),0))</f>
        <v> </v>
      </c>
      <c r="L84" s="318" t="str">
        <f aca="false">IF($A84="N/A"," ",IF(Pricetype4=2,MAX(C84,0),IF(OR(Pricetype4=1,Pricetype4=4),IF(C84=0,0,(EURO(C84,Strikeprice4,0,0,($AH84+IF(Smile=TRUE(),VLOOKUP(MAX(-5,Strikeprice4-C84),Volsmile,2),0)),($A84-DateToday)+15,IF(Pricetype4=1,1,0),0))),C84)))</f>
        <v> </v>
      </c>
      <c r="M84" s="318" t="str">
        <f aca="false">IF($A84="N/A"," ",IF(Pricetype4=2,MAX(D84,0),IF(OR(Pricetype4=1,Pricetype4=4),IF(D84=0,0,(EURO(D84,Strikeprice4,0,0,($AH84+IF(Smile=TRUE(),VLOOKUP(MAX(-5,Strikeprice4-D84),Volsmile,2),0)),($A84-DateToday)+15,IF(Pricetype4=1,1,0),0))),D84)))</f>
        <v> </v>
      </c>
      <c r="N84" s="318" t="str">
        <f aca="false">IF($A84="N/A"," ",IF(Pricetype4=2,MAX(E84,0),IF(OR(Pricetype4=1,Pricetype4=4),IF(E84=0,0,(EURO(E84,Strikeprice4,0,0,($AK84+IF(Smile=TRUE(),VLOOKUP(MAX(-5,Strikeprice4-E84),Volsmile,2),0)),($A84-DateToday)+15,IF(Pricetype4=1,1,0),0))),E84)))</f>
        <v> </v>
      </c>
      <c r="O84" s="318" t="str">
        <f aca="false">IF($A84="N/A"," ",IF(Pricetype4=2,MAX(F84,0),IF(OR(Pricetype4=1,Pricetype4=4),IF(F84=0,0,(EURO(F84,Strikeprice4,0,0,($AK84+IF(Smile=TRUE(),VLOOKUP(MAX(-5,Strikeprice4-F84),Volsmile,2),0)),($A84-DateToday)+15,IF(Pricetype4=1,1,0),0))),F84)))</f>
        <v> </v>
      </c>
      <c r="P84" s="318" t="str">
        <f aca="false">IF($A84="N/A"," ",IF(Pricetype4=2,MAX(G84,0),IF(OR(Pricetype4=1,Pricetype4=4),IF(G84=0,0,(EURO(G84,Strikeprice4,0,0,($AK84+IF(Smile=TRUE(),VLOOKUP(MAX(-5,Strikeprice4-G84),Volsmile,2),0)),($A84-DateToday)+15,IF(Pricetype4=1,1,0),0))),G84)))</f>
        <v> </v>
      </c>
      <c r="Q84" s="318" t="str">
        <f aca="false">IF($A84="N/A"," ",IF(Pricetype4=2,MAX(H84,0),IF(OR(Pricetype4=1,Pricetype4=4),IF(H84=0,0,(EURO(H84,Strikeprice4,0,0,($AK84+IF(Smile=TRUE(),VLOOKUP(MAX(-5,Strikeprice4-H84),Volsmile,2),0)),($A84-DateToday)+15,IF(Pricetype4=1,1,0),0))),H84)))</f>
        <v> </v>
      </c>
      <c r="R84" s="318" t="str">
        <f aca="false">IF($A84="N/A"," ",IF(Pricetype4=2,MAX(I84,0),IF(OR(Pricetype4=1,Pricetype4=4),IF(I84=0,0,(EURO(I84,Strikeprice4,0,0,($AK84+IF(Smile=TRUE(),VLOOKUP(MAX(-5,Strikeprice4-I84),Volsmile,2),0)),($A84-DateToday)+15,IF(Pricetype4=1,1,0),0))),I84)))</f>
        <v> </v>
      </c>
      <c r="S84" s="318" t="str">
        <f aca="false">IF($A84="N/A"," ",IF(Pricetype4=2,MAX(J84,0),IF(OR(Pricetype4=1,Pricetype4=4),IF(J84=0,0,(EURO(J84,Strikeprice4,0,0,($AK84+IF(Smile=TRUE(),VLOOKUP(MAX(-5,Strikeprice4-J84),Volsmile,2),0)),($A84-DateToday)+15,IF(Pricetype4=1,1,0),0))),J84)))</f>
        <v> </v>
      </c>
      <c r="T84" s="318" t="str">
        <f aca="false">IF($A84="N/A"," ",IF(Pricetype4=2,MAX(K84,0),IF(OR(Pricetype4=1,Pricetype4=4),IF(K84=0,0,(EURO(K84,Strikeprice4,0,0,($AK84+IF(Smile=TRUE(),VLOOKUP(MAX(-5,Strikeprice4-K84),Volsmile,2),0)),($A84-DateToday)+15,IF(Pricetype4=1,1,0),0))),K84)))</f>
        <v> </v>
      </c>
      <c r="U84" s="319" t="str">
        <f aca="false">IF($A84="N/A"," ",Volume4*$AM84)</f>
        <v> </v>
      </c>
      <c r="V84" s="320" t="str">
        <f aca="false">IF($A84="N/A"," ",$U84*(8*($BQ84))*L84)</f>
        <v> </v>
      </c>
      <c r="W84" s="320" t="str">
        <f aca="false">IF($A84="N/A"," ",$U84*(8*($BQ84))*M84)</f>
        <v> </v>
      </c>
      <c r="X84" s="320" t="str">
        <f aca="false">IF($A84="N/A"," ",$U84*(8*($BQ84))*N84)</f>
        <v> </v>
      </c>
      <c r="Y84" s="320" t="str">
        <f aca="false">IF($A84="N/A"," ",$U84*(8*($BR84))*O84)</f>
        <v> </v>
      </c>
      <c r="Z84" s="320" t="str">
        <f aca="false">IF($A84="N/A"," ",$U84*(8*($BR84))*P84)</f>
        <v> </v>
      </c>
      <c r="AA84" s="320" t="str">
        <f aca="false">IF($A84="N/A"," ",$U84*(8*($BR84))*Q84)</f>
        <v> </v>
      </c>
      <c r="AB84" s="320" t="str">
        <f aca="false">IF($A84="N/A"," ",$U84*(8*($BS84))*R84)</f>
        <v> </v>
      </c>
      <c r="AC84" s="320" t="str">
        <f aca="false">IF($A84="N/A"," ",$U84*(8*($BS84))*S84)</f>
        <v> </v>
      </c>
      <c r="AD84" s="320" t="str">
        <f aca="false">IF($A84="N/A"," ",$U84*(8*($BS84))*T84)</f>
        <v> </v>
      </c>
      <c r="AE84" s="320" t="str">
        <f aca="false">IF($A84="N/A"," ",SUM(V84:AD84))</f>
        <v> </v>
      </c>
      <c r="AF84" s="321" t="str">
        <f aca="false">IF(A84="N/A"," ",(VLOOKUP(A84,PowerVolTable,(IF(VolBMO4=2,7,IF(VolBMO4=1,6,8))),FALSE())))</f>
        <v> </v>
      </c>
      <c r="AG84" s="321" t="str">
        <f aca="false">IF(A84="N/A"," ",(VLOOKUP(A84,IntraPowerVol,(IF(VolBMO4=2,3,IF(VolBMO4=1,2,4))),FALSE())*VLOOKUP(MONTH($A84),Volscale,2)))</f>
        <v> </v>
      </c>
      <c r="AH84" s="321" t="str">
        <f aca="false">IF($A84="N/A"," ",IF(VolType4=1,AG84,AF84))</f>
        <v> </v>
      </c>
      <c r="AI84" s="321" t="str">
        <f aca="false">IF($A84="N/A"," ",(VLOOKUP($A84,OffPwrVolTable,(IF(VolBMO4=2,7,IF(VolBMO4=1,6,8))),FALSE())))</f>
        <v> </v>
      </c>
      <c r="AJ84" s="321" t="str">
        <f aca="false">IF($A84="N/A"," ",(VLOOKUP($A84,OffPwrVolTable,(IF(VolBMO4=2,3,IF(VolBMO4=1,2,4))),FALSE())*VLOOKUP(MONTH($A84),Volscale,2)))</f>
        <v> </v>
      </c>
      <c r="AK84" s="321" t="str">
        <f aca="false">IF($A84="N/A"," ",IF(VolType4=1,AJ84,AI84))</f>
        <v> </v>
      </c>
      <c r="AL84" s="321" t="str">
        <f aca="false">IF($A84="N/A"," ",IF(PV=1,0,'Pricing Inputs4'!R117))</f>
        <v> </v>
      </c>
      <c r="AM84" s="323" t="str">
        <f aca="false">IF($A84="N/A"," ",(1+AL84/2)^(-2*((EOMONTH(A84,0)+20)-DateToday)/365.25))</f>
        <v> </v>
      </c>
      <c r="BQ84" s="0" t="str">
        <f aca="false">IF($A84="N/A"," ",(VLOOKUP($A84,NumberofDaysTable,2)))</f>
        <v> </v>
      </c>
      <c r="BR84" s="0" t="str">
        <f aca="false">IF($A84="N/A"," ",(VLOOKUP($A84,NumberofDaysTable,3)))</f>
        <v> </v>
      </c>
      <c r="BS84" s="0" t="str">
        <f aca="false">IF($A84="N/A"," ",(VLOOKUP($A84,NumberofDaysTable,4)))</f>
        <v> </v>
      </c>
    </row>
    <row r="85" customFormat="false" ht="12.75" hidden="false" customHeight="false" outlineLevel="0" collapsed="false">
      <c r="A85" s="315" t="str">
        <f aca="false">IF(A84="N/A","N/A",IF(EDATE(A84,1)&gt;Inputs!$R$5,"N/A",EDATE(A84,1)))</f>
        <v>N/A</v>
      </c>
      <c r="B85" s="316" t="str">
        <f aca="false">IF(A85="N/A"," ",YEAR(A85))</f>
        <v> </v>
      </c>
      <c r="C85" s="317" t="str">
        <f aca="false">IF($A85="N/A"," ",IF(Dayrun4=10,0,IF(Scaler4=1,(VLOOKUP(A85,ScaledPrice4,4)),(VLOOKUP(A85,ScaledPrice4,2)))))</f>
        <v> </v>
      </c>
      <c r="D85" s="317" t="str">
        <f aca="false">IF(A85="N/A"," ",IF(Dayrun4&gt;=7,0,IF(Scaler4=2,VLOOKUP(A85,ScaledPrice4,2),(VLOOKUP(A85,ScaledPrice4,2))*(2-(VLOOKUP(A85,ScaledPrice4,3))))))</f>
        <v> </v>
      </c>
      <c r="E85" s="317" t="str">
        <f aca="false">IF($A85="N/A"," ",IF(AND(Dayrun4&gt;=4,Dayrun4&lt;=9),0,VLOOKUP($A85,ScaledPrice4,9)))</f>
        <v> </v>
      </c>
      <c r="F85" s="317" t="str">
        <f aca="false">IF(A85="N/A"," ",IF(OR(Dayrun4=2,Dayrun4=3,Dayrun4=5,Dayrun4=6,Dayrun4=8,Dayrun4=9),VLOOKUP(A85,ScaledPrice4,IF(Scaler4=1,6,5)),0))</f>
        <v> </v>
      </c>
      <c r="G85" s="317" t="str">
        <f aca="false">IF(A85="N/A"," ",IF(OR(Dayrun4=2,Dayrun4=3,Dayrun4=5,Dayrun4=6),IF(Scaler4=2,F85,(VLOOKUP(A85,ScaledPrice4,5))*(2-(VLOOKUP(A85,ScaledPrice4,3)))),0))</f>
        <v> </v>
      </c>
      <c r="H85" s="317" t="str">
        <f aca="false">IF($A85="N/A"," ",IF(OR(Dayrun4=2,Dayrun4=3,Dayrun4=10),VLOOKUP($A85,ScaledPrice4,9),0))</f>
        <v> </v>
      </c>
      <c r="I85" s="317" t="str">
        <f aca="false">IF(A85="N/A"," ",IF(OR(Dayrun4=3,Dayrun4=6,Dayrun4=9),(VLOOKUP(A85,ScaledPrice4,IF(Scaler4=2,7,8))),0))</f>
        <v> </v>
      </c>
      <c r="J85" s="317" t="str">
        <f aca="false">IF(A85="N/A"," ",IF(OR(Dayrun4=3,Dayrun4=6),IF(Scaler4=2,I85,(VLOOKUP(A85,ScaledPrice4,7))*(2-(VLOOKUP(A85,ScaledPrice4,3)))),0))</f>
        <v> </v>
      </c>
      <c r="K85" s="317" t="str">
        <f aca="false">IF($A85="N/A"," ",IF(OR(Dayrun4=3,Dayrun4=10),VLOOKUP($A85,ScaledPrice4,9),0))</f>
        <v> </v>
      </c>
      <c r="L85" s="318" t="str">
        <f aca="false">IF($A85="N/A"," ",IF(Pricetype4=2,MAX(C85,0),IF(OR(Pricetype4=1,Pricetype4=4),IF(C85=0,0,(EURO(C85,Strikeprice4,0,0,($AH85+IF(Smile=TRUE(),VLOOKUP(MAX(-5,Strikeprice4-C85),Volsmile,2),0)),($A85-DateToday)+15,IF(Pricetype4=1,1,0),0))),C85)))</f>
        <v> </v>
      </c>
      <c r="M85" s="318" t="str">
        <f aca="false">IF($A85="N/A"," ",IF(Pricetype4=2,MAX(D85,0),IF(OR(Pricetype4=1,Pricetype4=4),IF(D85=0,0,(EURO(D85,Strikeprice4,0,0,($AH85+IF(Smile=TRUE(),VLOOKUP(MAX(-5,Strikeprice4-D85),Volsmile,2),0)),($A85-DateToday)+15,IF(Pricetype4=1,1,0),0))),D85)))</f>
        <v> </v>
      </c>
      <c r="N85" s="318" t="str">
        <f aca="false">IF($A85="N/A"," ",IF(Pricetype4=2,MAX(E85,0),IF(OR(Pricetype4=1,Pricetype4=4),IF(E85=0,0,(EURO(E85,Strikeprice4,0,0,($AK85+IF(Smile=TRUE(),VLOOKUP(MAX(-5,Strikeprice4-E85),Volsmile,2),0)),($A85-DateToday)+15,IF(Pricetype4=1,1,0),0))),E85)))</f>
        <v> </v>
      </c>
      <c r="O85" s="318" t="str">
        <f aca="false">IF($A85="N/A"," ",IF(Pricetype4=2,MAX(F85,0),IF(OR(Pricetype4=1,Pricetype4=4),IF(F85=0,0,(EURO(F85,Strikeprice4,0,0,($AK85+IF(Smile=TRUE(),VLOOKUP(MAX(-5,Strikeprice4-F85),Volsmile,2),0)),($A85-DateToday)+15,IF(Pricetype4=1,1,0),0))),F85)))</f>
        <v> </v>
      </c>
      <c r="P85" s="318" t="str">
        <f aca="false">IF($A85="N/A"," ",IF(Pricetype4=2,MAX(G85,0),IF(OR(Pricetype4=1,Pricetype4=4),IF(G85=0,0,(EURO(G85,Strikeprice4,0,0,($AK85+IF(Smile=TRUE(),VLOOKUP(MAX(-5,Strikeprice4-G85),Volsmile,2),0)),($A85-DateToday)+15,IF(Pricetype4=1,1,0),0))),G85)))</f>
        <v> </v>
      </c>
      <c r="Q85" s="318" t="str">
        <f aca="false">IF($A85="N/A"," ",IF(Pricetype4=2,MAX(H85,0),IF(OR(Pricetype4=1,Pricetype4=4),IF(H85=0,0,(EURO(H85,Strikeprice4,0,0,($AK85+IF(Smile=TRUE(),VLOOKUP(MAX(-5,Strikeprice4-H85),Volsmile,2),0)),($A85-DateToday)+15,IF(Pricetype4=1,1,0),0))),H85)))</f>
        <v> </v>
      </c>
      <c r="R85" s="318" t="str">
        <f aca="false">IF($A85="N/A"," ",IF(Pricetype4=2,MAX(I85,0),IF(OR(Pricetype4=1,Pricetype4=4),IF(I85=0,0,(EURO(I85,Strikeprice4,0,0,($AK85+IF(Smile=TRUE(),VLOOKUP(MAX(-5,Strikeprice4-I85),Volsmile,2),0)),($A85-DateToday)+15,IF(Pricetype4=1,1,0),0))),I85)))</f>
        <v> </v>
      </c>
      <c r="S85" s="318" t="str">
        <f aca="false">IF($A85="N/A"," ",IF(Pricetype4=2,MAX(J85,0),IF(OR(Pricetype4=1,Pricetype4=4),IF(J85=0,0,(EURO(J85,Strikeprice4,0,0,($AK85+IF(Smile=TRUE(),VLOOKUP(MAX(-5,Strikeprice4-J85),Volsmile,2),0)),($A85-DateToday)+15,IF(Pricetype4=1,1,0),0))),J85)))</f>
        <v> </v>
      </c>
      <c r="T85" s="318" t="str">
        <f aca="false">IF($A85="N/A"," ",IF(Pricetype4=2,MAX(K85,0),IF(OR(Pricetype4=1,Pricetype4=4),IF(K85=0,0,(EURO(K85,Strikeprice4,0,0,($AK85+IF(Smile=TRUE(),VLOOKUP(MAX(-5,Strikeprice4-K85),Volsmile,2),0)),($A85-DateToday)+15,IF(Pricetype4=1,1,0),0))),K85)))</f>
        <v> </v>
      </c>
      <c r="U85" s="319" t="str">
        <f aca="false">IF($A85="N/A"," ",Volume4*$AM85)</f>
        <v> </v>
      </c>
      <c r="V85" s="320" t="str">
        <f aca="false">IF($A85="N/A"," ",$U85*(8*($BQ85))*L85)</f>
        <v> </v>
      </c>
      <c r="W85" s="320" t="str">
        <f aca="false">IF($A85="N/A"," ",$U85*(8*($BQ85))*M85)</f>
        <v> </v>
      </c>
      <c r="X85" s="320" t="str">
        <f aca="false">IF($A85="N/A"," ",$U85*(8*($BQ85))*N85)</f>
        <v> </v>
      </c>
      <c r="Y85" s="320" t="str">
        <f aca="false">IF($A85="N/A"," ",$U85*(8*($BR85))*O85)</f>
        <v> </v>
      </c>
      <c r="Z85" s="320" t="str">
        <f aca="false">IF($A85="N/A"," ",$U85*(8*($BR85))*P85)</f>
        <v> </v>
      </c>
      <c r="AA85" s="320" t="str">
        <f aca="false">IF($A85="N/A"," ",$U85*(8*($BR85))*Q85)</f>
        <v> </v>
      </c>
      <c r="AB85" s="320" t="str">
        <f aca="false">IF($A85="N/A"," ",$U85*(8*($BS85))*R85)</f>
        <v> </v>
      </c>
      <c r="AC85" s="320" t="str">
        <f aca="false">IF($A85="N/A"," ",$U85*(8*($BS85))*S85)</f>
        <v> </v>
      </c>
      <c r="AD85" s="320" t="str">
        <f aca="false">IF($A85="N/A"," ",$U85*(8*($BS85))*T85)</f>
        <v> </v>
      </c>
      <c r="AE85" s="320" t="str">
        <f aca="false">IF($A85="N/A"," ",SUM(V85:AD85))</f>
        <v> </v>
      </c>
      <c r="AF85" s="321" t="str">
        <f aca="false">IF(A85="N/A"," ",(VLOOKUP(A85,PowerVolTable,(IF(VolBMO4=2,7,IF(VolBMO4=1,6,8))),FALSE())))</f>
        <v> </v>
      </c>
      <c r="AG85" s="321" t="str">
        <f aca="false">IF(A85="N/A"," ",(VLOOKUP(A85,IntraPowerVol,(IF(VolBMO4=2,3,IF(VolBMO4=1,2,4))),FALSE())*VLOOKUP(MONTH($A85),Volscale,2)))</f>
        <v> </v>
      </c>
      <c r="AH85" s="321" t="str">
        <f aca="false">IF($A85="N/A"," ",IF(VolType4=1,AG85,AF85))</f>
        <v> </v>
      </c>
      <c r="AI85" s="321" t="str">
        <f aca="false">IF($A85="N/A"," ",(VLOOKUP($A85,OffPwrVolTable,(IF(VolBMO4=2,7,IF(VolBMO4=1,6,8))),FALSE())))</f>
        <v> </v>
      </c>
      <c r="AJ85" s="321" t="str">
        <f aca="false">IF($A85="N/A"," ",(VLOOKUP($A85,OffPwrVolTable,(IF(VolBMO4=2,3,IF(VolBMO4=1,2,4))),FALSE())*VLOOKUP(MONTH($A85),Volscale,2)))</f>
        <v> </v>
      </c>
      <c r="AK85" s="321" t="str">
        <f aca="false">IF($A85="N/A"," ",IF(VolType4=1,AJ85,AI85))</f>
        <v> </v>
      </c>
      <c r="AL85" s="321" t="str">
        <f aca="false">IF($A85="N/A"," ",IF(PV=1,0,'Pricing Inputs4'!R118))</f>
        <v> </v>
      </c>
      <c r="AM85" s="323" t="str">
        <f aca="false">IF($A85="N/A"," ",(1+AL85/2)^(-2*((EOMONTH(A85,0)+20)-DateToday)/365.25))</f>
        <v> </v>
      </c>
      <c r="BQ85" s="0" t="str">
        <f aca="false">IF($A85="N/A"," ",(VLOOKUP($A85,NumberofDaysTable,2)))</f>
        <v> </v>
      </c>
      <c r="BR85" s="0" t="str">
        <f aca="false">IF($A85="N/A"," ",(VLOOKUP($A85,NumberofDaysTable,3)))</f>
        <v> </v>
      </c>
      <c r="BS85" s="0" t="str">
        <f aca="false">IF($A85="N/A"," ",(VLOOKUP($A85,NumberofDaysTable,4)))</f>
        <v> </v>
      </c>
    </row>
    <row r="86" customFormat="false" ht="12.75" hidden="false" customHeight="false" outlineLevel="0" collapsed="false">
      <c r="A86" s="315" t="str">
        <f aca="false">IF(A85="N/A","N/A",IF(EDATE(A85,1)&gt;Inputs!$R$5,"N/A",EDATE(A85,1)))</f>
        <v>N/A</v>
      </c>
      <c r="B86" s="316" t="str">
        <f aca="false">IF(A86="N/A"," ",YEAR(A86))</f>
        <v> </v>
      </c>
      <c r="C86" s="317" t="str">
        <f aca="false">IF($A86="N/A"," ",IF(Dayrun4=10,0,IF(Scaler4=1,(VLOOKUP(A86,ScaledPrice4,4)),(VLOOKUP(A86,ScaledPrice4,2)))))</f>
        <v> </v>
      </c>
      <c r="D86" s="317" t="str">
        <f aca="false">IF(A86="N/A"," ",IF(Dayrun4&gt;=7,0,IF(Scaler4=2,VLOOKUP(A86,ScaledPrice4,2),(VLOOKUP(A86,ScaledPrice4,2))*(2-(VLOOKUP(A86,ScaledPrice4,3))))))</f>
        <v> </v>
      </c>
      <c r="E86" s="317" t="str">
        <f aca="false">IF($A86="N/A"," ",IF(AND(Dayrun4&gt;=4,Dayrun4&lt;=9),0,VLOOKUP($A86,ScaledPrice4,9)))</f>
        <v> </v>
      </c>
      <c r="F86" s="317" t="str">
        <f aca="false">IF(A86="N/A"," ",IF(OR(Dayrun4=2,Dayrun4=3,Dayrun4=5,Dayrun4=6,Dayrun4=8,Dayrun4=9),VLOOKUP(A86,ScaledPrice4,IF(Scaler4=1,6,5)),0))</f>
        <v> </v>
      </c>
      <c r="G86" s="317" t="str">
        <f aca="false">IF(A86="N/A"," ",IF(OR(Dayrun4=2,Dayrun4=3,Dayrun4=5,Dayrun4=6),IF(Scaler4=2,F86,(VLOOKUP(A86,ScaledPrice4,5))*(2-(VLOOKUP(A86,ScaledPrice4,3)))),0))</f>
        <v> </v>
      </c>
      <c r="H86" s="317" t="str">
        <f aca="false">IF($A86="N/A"," ",IF(OR(Dayrun4=2,Dayrun4=3,Dayrun4=10),VLOOKUP($A86,ScaledPrice4,9),0))</f>
        <v> </v>
      </c>
      <c r="I86" s="317" t="str">
        <f aca="false">IF(A86="N/A"," ",IF(OR(Dayrun4=3,Dayrun4=6,Dayrun4=9),(VLOOKUP(A86,ScaledPrice4,IF(Scaler4=2,7,8))),0))</f>
        <v> </v>
      </c>
      <c r="J86" s="317" t="str">
        <f aca="false">IF(A86="N/A"," ",IF(OR(Dayrun4=3,Dayrun4=6),IF(Scaler4=2,I86,(VLOOKUP(A86,ScaledPrice4,7))*(2-(VLOOKUP(A86,ScaledPrice4,3)))),0))</f>
        <v> </v>
      </c>
      <c r="K86" s="317" t="str">
        <f aca="false">IF($A86="N/A"," ",IF(OR(Dayrun4=3,Dayrun4=10),VLOOKUP($A86,ScaledPrice4,9),0))</f>
        <v> </v>
      </c>
      <c r="L86" s="318" t="str">
        <f aca="false">IF($A86="N/A"," ",IF(Pricetype4=2,MAX(C86,0),IF(OR(Pricetype4=1,Pricetype4=4),IF(C86=0,0,(EURO(C86,Strikeprice4,0,0,($AH86+IF(Smile=TRUE(),VLOOKUP(MAX(-5,Strikeprice4-C86),Volsmile,2),0)),($A86-DateToday)+15,IF(Pricetype4=1,1,0),0))),C86)))</f>
        <v> </v>
      </c>
      <c r="M86" s="318" t="str">
        <f aca="false">IF($A86="N/A"," ",IF(Pricetype4=2,MAX(D86,0),IF(OR(Pricetype4=1,Pricetype4=4),IF(D86=0,0,(EURO(D86,Strikeprice4,0,0,($AH86+IF(Smile=TRUE(),VLOOKUP(MAX(-5,Strikeprice4-D86),Volsmile,2),0)),($A86-DateToday)+15,IF(Pricetype4=1,1,0),0))),D86)))</f>
        <v> </v>
      </c>
      <c r="N86" s="318" t="str">
        <f aca="false">IF($A86="N/A"," ",IF(Pricetype4=2,MAX(E86,0),IF(OR(Pricetype4=1,Pricetype4=4),IF(E86=0,0,(EURO(E86,Strikeprice4,0,0,($AK86+IF(Smile=TRUE(),VLOOKUP(MAX(-5,Strikeprice4-E86),Volsmile,2),0)),($A86-DateToday)+15,IF(Pricetype4=1,1,0),0))),E86)))</f>
        <v> </v>
      </c>
      <c r="O86" s="318" t="str">
        <f aca="false">IF($A86="N/A"," ",IF(Pricetype4=2,MAX(F86,0),IF(OR(Pricetype4=1,Pricetype4=4),IF(F86=0,0,(EURO(F86,Strikeprice4,0,0,($AK86+IF(Smile=TRUE(),VLOOKUP(MAX(-5,Strikeprice4-F86),Volsmile,2),0)),($A86-DateToday)+15,IF(Pricetype4=1,1,0),0))),F86)))</f>
        <v> </v>
      </c>
      <c r="P86" s="318" t="str">
        <f aca="false">IF($A86="N/A"," ",IF(Pricetype4=2,MAX(G86,0),IF(OR(Pricetype4=1,Pricetype4=4),IF(G86=0,0,(EURO(G86,Strikeprice4,0,0,($AK86+IF(Smile=TRUE(),VLOOKUP(MAX(-5,Strikeprice4-G86),Volsmile,2),0)),($A86-DateToday)+15,IF(Pricetype4=1,1,0),0))),G86)))</f>
        <v> </v>
      </c>
      <c r="Q86" s="318" t="str">
        <f aca="false">IF($A86="N/A"," ",IF(Pricetype4=2,MAX(H86,0),IF(OR(Pricetype4=1,Pricetype4=4),IF(H86=0,0,(EURO(H86,Strikeprice4,0,0,($AK86+IF(Smile=TRUE(),VLOOKUP(MAX(-5,Strikeprice4-H86),Volsmile,2),0)),($A86-DateToday)+15,IF(Pricetype4=1,1,0),0))),H86)))</f>
        <v> </v>
      </c>
      <c r="R86" s="318" t="str">
        <f aca="false">IF($A86="N/A"," ",IF(Pricetype4=2,MAX(I86,0),IF(OR(Pricetype4=1,Pricetype4=4),IF(I86=0,0,(EURO(I86,Strikeprice4,0,0,($AK86+IF(Smile=TRUE(),VLOOKUP(MAX(-5,Strikeprice4-I86),Volsmile,2),0)),($A86-DateToday)+15,IF(Pricetype4=1,1,0),0))),I86)))</f>
        <v> </v>
      </c>
      <c r="S86" s="318" t="str">
        <f aca="false">IF($A86="N/A"," ",IF(Pricetype4=2,MAX(J86,0),IF(OR(Pricetype4=1,Pricetype4=4),IF(J86=0,0,(EURO(J86,Strikeprice4,0,0,($AK86+IF(Smile=TRUE(),VLOOKUP(MAX(-5,Strikeprice4-J86),Volsmile,2),0)),($A86-DateToday)+15,IF(Pricetype4=1,1,0),0))),J86)))</f>
        <v> </v>
      </c>
      <c r="T86" s="318" t="str">
        <f aca="false">IF($A86="N/A"," ",IF(Pricetype4=2,MAX(K86,0),IF(OR(Pricetype4=1,Pricetype4=4),IF(K86=0,0,(EURO(K86,Strikeprice4,0,0,($AK86+IF(Smile=TRUE(),VLOOKUP(MAX(-5,Strikeprice4-K86),Volsmile,2),0)),($A86-DateToday)+15,IF(Pricetype4=1,1,0),0))),K86)))</f>
        <v> </v>
      </c>
      <c r="U86" s="319" t="str">
        <f aca="false">IF($A86="N/A"," ",Volume4*$AM86)</f>
        <v> </v>
      </c>
      <c r="V86" s="320" t="str">
        <f aca="false">IF($A86="N/A"," ",$U86*(8*($BQ86))*L86)</f>
        <v> </v>
      </c>
      <c r="W86" s="320" t="str">
        <f aca="false">IF($A86="N/A"," ",$U86*(8*($BQ86))*M86)</f>
        <v> </v>
      </c>
      <c r="X86" s="320" t="str">
        <f aca="false">IF($A86="N/A"," ",$U86*(8*($BQ86))*N86)</f>
        <v> </v>
      </c>
      <c r="Y86" s="320" t="str">
        <f aca="false">IF($A86="N/A"," ",$U86*(8*($BR86))*O86)</f>
        <v> </v>
      </c>
      <c r="Z86" s="320" t="str">
        <f aca="false">IF($A86="N/A"," ",$U86*(8*($BR86))*P86)</f>
        <v> </v>
      </c>
      <c r="AA86" s="320" t="str">
        <f aca="false">IF($A86="N/A"," ",$U86*(8*($BR86))*Q86)</f>
        <v> </v>
      </c>
      <c r="AB86" s="320" t="str">
        <f aca="false">IF($A86="N/A"," ",$U86*(8*($BS86))*R86)</f>
        <v> </v>
      </c>
      <c r="AC86" s="320" t="str">
        <f aca="false">IF($A86="N/A"," ",$U86*(8*($BS86))*S86)</f>
        <v> </v>
      </c>
      <c r="AD86" s="320" t="str">
        <f aca="false">IF($A86="N/A"," ",$U86*(8*($BS86))*T86)</f>
        <v> </v>
      </c>
      <c r="AE86" s="320" t="str">
        <f aca="false">IF($A86="N/A"," ",SUM(V86:AD86))</f>
        <v> </v>
      </c>
      <c r="AF86" s="321" t="str">
        <f aca="false">IF(A86="N/A"," ",(VLOOKUP(A86,PowerVolTable,(IF(VolBMO4=2,7,IF(VolBMO4=1,6,8))),FALSE())))</f>
        <v> </v>
      </c>
      <c r="AG86" s="321" t="str">
        <f aca="false">IF(A86="N/A"," ",(VLOOKUP(A86,IntraPowerVol,(IF(VolBMO4=2,3,IF(VolBMO4=1,2,4))),FALSE())*VLOOKUP(MONTH($A86),Volscale,2)))</f>
        <v> </v>
      </c>
      <c r="AH86" s="321" t="str">
        <f aca="false">IF($A86="N/A"," ",IF(VolType4=1,AG86,AF86))</f>
        <v> </v>
      </c>
      <c r="AI86" s="321" t="str">
        <f aca="false">IF($A86="N/A"," ",(VLOOKUP($A86,OffPwrVolTable,(IF(VolBMO4=2,7,IF(VolBMO4=1,6,8))),FALSE())))</f>
        <v> </v>
      </c>
      <c r="AJ86" s="321" t="str">
        <f aca="false">IF($A86="N/A"," ",(VLOOKUP($A86,OffPwrVolTable,(IF(VolBMO4=2,3,IF(VolBMO4=1,2,4))),FALSE())*VLOOKUP(MONTH($A86),Volscale,2)))</f>
        <v> </v>
      </c>
      <c r="AK86" s="321" t="str">
        <f aca="false">IF($A86="N/A"," ",IF(VolType4=1,AJ86,AI86))</f>
        <v> </v>
      </c>
      <c r="AL86" s="321" t="str">
        <f aca="false">IF($A86="N/A"," ",IF(PV=1,0,'Pricing Inputs4'!R119))</f>
        <v> </v>
      </c>
      <c r="AM86" s="323" t="str">
        <f aca="false">IF($A86="N/A"," ",(1+AL86/2)^(-2*((EOMONTH(A86,0)+20)-DateToday)/365.25))</f>
        <v> </v>
      </c>
      <c r="BQ86" s="0" t="str">
        <f aca="false">IF($A86="N/A"," ",(VLOOKUP($A86,NumberofDaysTable,2)))</f>
        <v> </v>
      </c>
      <c r="BR86" s="0" t="str">
        <f aca="false">IF($A86="N/A"," ",(VLOOKUP($A86,NumberofDaysTable,3)))</f>
        <v> </v>
      </c>
      <c r="BS86" s="0" t="str">
        <f aca="false">IF($A86="N/A"," ",(VLOOKUP($A86,NumberofDaysTable,4)))</f>
        <v> </v>
      </c>
    </row>
    <row r="87" customFormat="false" ht="12.75" hidden="false" customHeight="false" outlineLevel="0" collapsed="false">
      <c r="A87" s="315" t="str">
        <f aca="false">IF(A86="N/A","N/A",IF(EDATE(A86,1)&gt;Inputs!$R$5,"N/A",EDATE(A86,1)))</f>
        <v>N/A</v>
      </c>
      <c r="B87" s="316" t="str">
        <f aca="false">IF(A87="N/A"," ",YEAR(A87))</f>
        <v> </v>
      </c>
      <c r="C87" s="317" t="str">
        <f aca="false">IF($A87="N/A"," ",IF(Dayrun4=10,0,IF(Scaler4=1,(VLOOKUP(A87,ScaledPrice4,4)),(VLOOKUP(A87,ScaledPrice4,2)))))</f>
        <v> </v>
      </c>
      <c r="D87" s="317" t="str">
        <f aca="false">IF(A87="N/A"," ",IF(Dayrun4&gt;=7,0,IF(Scaler4=2,VLOOKUP(A87,ScaledPrice4,2),(VLOOKUP(A87,ScaledPrice4,2))*(2-(VLOOKUP(A87,ScaledPrice4,3))))))</f>
        <v> </v>
      </c>
      <c r="E87" s="317" t="str">
        <f aca="false">IF($A87="N/A"," ",IF(AND(Dayrun4&gt;=4,Dayrun4&lt;=9),0,VLOOKUP($A87,ScaledPrice4,9)))</f>
        <v> </v>
      </c>
      <c r="F87" s="317" t="str">
        <f aca="false">IF(A87="N/A"," ",IF(OR(Dayrun4=2,Dayrun4=3,Dayrun4=5,Dayrun4=6,Dayrun4=8,Dayrun4=9),VLOOKUP(A87,ScaledPrice4,IF(Scaler4=1,6,5)),0))</f>
        <v> </v>
      </c>
      <c r="G87" s="317" t="str">
        <f aca="false">IF(A87="N/A"," ",IF(OR(Dayrun4=2,Dayrun4=3,Dayrun4=5,Dayrun4=6),IF(Scaler4=2,F87,(VLOOKUP(A87,ScaledPrice4,5))*(2-(VLOOKUP(A87,ScaledPrice4,3)))),0))</f>
        <v> </v>
      </c>
      <c r="H87" s="317" t="str">
        <f aca="false">IF($A87="N/A"," ",IF(OR(Dayrun4=2,Dayrun4=3,Dayrun4=10),VLOOKUP($A87,ScaledPrice4,9),0))</f>
        <v> </v>
      </c>
      <c r="I87" s="317" t="str">
        <f aca="false">IF(A87="N/A"," ",IF(OR(Dayrun4=3,Dayrun4=6,Dayrun4=9),(VLOOKUP(A87,ScaledPrice4,IF(Scaler4=2,7,8))),0))</f>
        <v> </v>
      </c>
      <c r="J87" s="317" t="str">
        <f aca="false">IF(A87="N/A"," ",IF(OR(Dayrun4=3,Dayrun4=6),IF(Scaler4=2,I87,(VLOOKUP(A87,ScaledPrice4,7))*(2-(VLOOKUP(A87,ScaledPrice4,3)))),0))</f>
        <v> </v>
      </c>
      <c r="K87" s="317" t="str">
        <f aca="false">IF($A87="N/A"," ",IF(OR(Dayrun4=3,Dayrun4=10),VLOOKUP($A87,ScaledPrice4,9),0))</f>
        <v> </v>
      </c>
      <c r="L87" s="318" t="str">
        <f aca="false">IF($A87="N/A"," ",IF(Pricetype4=2,MAX(C87,0),IF(OR(Pricetype4=1,Pricetype4=4),IF(C87=0,0,(EURO(C87,Strikeprice4,0,0,($AH87+IF(Smile=TRUE(),VLOOKUP(MAX(-5,Strikeprice4-C87),Volsmile,2),0)),($A87-DateToday)+15,IF(Pricetype4=1,1,0),0))),C87)))</f>
        <v> </v>
      </c>
      <c r="M87" s="318" t="str">
        <f aca="false">IF($A87="N/A"," ",IF(Pricetype4=2,MAX(D87,0),IF(OR(Pricetype4=1,Pricetype4=4),IF(D87=0,0,(EURO(D87,Strikeprice4,0,0,($AH87+IF(Smile=TRUE(),VLOOKUP(MAX(-5,Strikeprice4-D87),Volsmile,2),0)),($A87-DateToday)+15,IF(Pricetype4=1,1,0),0))),D87)))</f>
        <v> </v>
      </c>
      <c r="N87" s="318" t="str">
        <f aca="false">IF($A87="N/A"," ",IF(Pricetype4=2,MAX(E87,0),IF(OR(Pricetype4=1,Pricetype4=4),IF(E87=0,0,(EURO(E87,Strikeprice4,0,0,($AK87+IF(Smile=TRUE(),VLOOKUP(MAX(-5,Strikeprice4-E87),Volsmile,2),0)),($A87-DateToday)+15,IF(Pricetype4=1,1,0),0))),E87)))</f>
        <v> </v>
      </c>
      <c r="O87" s="318" t="str">
        <f aca="false">IF($A87="N/A"," ",IF(Pricetype4=2,MAX(F87,0),IF(OR(Pricetype4=1,Pricetype4=4),IF(F87=0,0,(EURO(F87,Strikeprice4,0,0,($AK87+IF(Smile=TRUE(),VLOOKUP(MAX(-5,Strikeprice4-F87),Volsmile,2),0)),($A87-DateToday)+15,IF(Pricetype4=1,1,0),0))),F87)))</f>
        <v> </v>
      </c>
      <c r="P87" s="318" t="str">
        <f aca="false">IF($A87="N/A"," ",IF(Pricetype4=2,MAX(G87,0),IF(OR(Pricetype4=1,Pricetype4=4),IF(G87=0,0,(EURO(G87,Strikeprice4,0,0,($AK87+IF(Smile=TRUE(),VLOOKUP(MAX(-5,Strikeprice4-G87),Volsmile,2),0)),($A87-DateToday)+15,IF(Pricetype4=1,1,0),0))),G87)))</f>
        <v> </v>
      </c>
      <c r="Q87" s="318" t="str">
        <f aca="false">IF($A87="N/A"," ",IF(Pricetype4=2,MAX(H87,0),IF(OR(Pricetype4=1,Pricetype4=4),IF(H87=0,0,(EURO(H87,Strikeprice4,0,0,($AK87+IF(Smile=TRUE(),VLOOKUP(MAX(-5,Strikeprice4-H87),Volsmile,2),0)),($A87-DateToday)+15,IF(Pricetype4=1,1,0),0))),H87)))</f>
        <v> </v>
      </c>
      <c r="R87" s="318" t="str">
        <f aca="false">IF($A87="N/A"," ",IF(Pricetype4=2,MAX(I87,0),IF(OR(Pricetype4=1,Pricetype4=4),IF(I87=0,0,(EURO(I87,Strikeprice4,0,0,($AK87+IF(Smile=TRUE(),VLOOKUP(MAX(-5,Strikeprice4-I87),Volsmile,2),0)),($A87-DateToday)+15,IF(Pricetype4=1,1,0),0))),I87)))</f>
        <v> </v>
      </c>
      <c r="S87" s="318" t="str">
        <f aca="false">IF($A87="N/A"," ",IF(Pricetype4=2,MAX(J87,0),IF(OR(Pricetype4=1,Pricetype4=4),IF(J87=0,0,(EURO(J87,Strikeprice4,0,0,($AK87+IF(Smile=TRUE(),VLOOKUP(MAX(-5,Strikeprice4-J87),Volsmile,2),0)),($A87-DateToday)+15,IF(Pricetype4=1,1,0),0))),J87)))</f>
        <v> </v>
      </c>
      <c r="T87" s="318" t="str">
        <f aca="false">IF($A87="N/A"," ",IF(Pricetype4=2,MAX(K87,0),IF(OR(Pricetype4=1,Pricetype4=4),IF(K87=0,0,(EURO(K87,Strikeprice4,0,0,($AK87+IF(Smile=TRUE(),VLOOKUP(MAX(-5,Strikeprice4-K87),Volsmile,2),0)),($A87-DateToday)+15,IF(Pricetype4=1,1,0),0))),K87)))</f>
        <v> </v>
      </c>
      <c r="U87" s="319" t="str">
        <f aca="false">IF($A87="N/A"," ",Volume4*$AM87)</f>
        <v> </v>
      </c>
      <c r="V87" s="320" t="str">
        <f aca="false">IF($A87="N/A"," ",$U87*(8*($BQ87))*L87)</f>
        <v> </v>
      </c>
      <c r="W87" s="320" t="str">
        <f aca="false">IF($A87="N/A"," ",$U87*(8*($BQ87))*M87)</f>
        <v> </v>
      </c>
      <c r="X87" s="320" t="str">
        <f aca="false">IF($A87="N/A"," ",$U87*(8*($BQ87))*N87)</f>
        <v> </v>
      </c>
      <c r="Y87" s="320" t="str">
        <f aca="false">IF($A87="N/A"," ",$U87*(8*($BR87))*O87)</f>
        <v> </v>
      </c>
      <c r="Z87" s="320" t="str">
        <f aca="false">IF($A87="N/A"," ",$U87*(8*($BR87))*P87)</f>
        <v> </v>
      </c>
      <c r="AA87" s="320" t="str">
        <f aca="false">IF($A87="N/A"," ",$U87*(8*($BR87))*Q87)</f>
        <v> </v>
      </c>
      <c r="AB87" s="320" t="str">
        <f aca="false">IF($A87="N/A"," ",$U87*(8*($BS87))*R87)</f>
        <v> </v>
      </c>
      <c r="AC87" s="320" t="str">
        <f aca="false">IF($A87="N/A"," ",$U87*(8*($BS87))*S87)</f>
        <v> </v>
      </c>
      <c r="AD87" s="320" t="str">
        <f aca="false">IF($A87="N/A"," ",$U87*(8*($BS87))*T87)</f>
        <v> </v>
      </c>
      <c r="AE87" s="320" t="str">
        <f aca="false">IF($A87="N/A"," ",SUM(V87:AD87))</f>
        <v> </v>
      </c>
      <c r="AF87" s="321" t="str">
        <f aca="false">IF(A87="N/A"," ",(VLOOKUP(A87,PowerVolTable,(IF(VolBMO4=2,7,IF(VolBMO4=1,6,8))),FALSE())))</f>
        <v> </v>
      </c>
      <c r="AG87" s="321" t="str">
        <f aca="false">IF(A87="N/A"," ",(VLOOKUP(A87,IntraPowerVol,(IF(VolBMO4=2,3,IF(VolBMO4=1,2,4))),FALSE())*VLOOKUP(MONTH($A87),Volscale,2)))</f>
        <v> </v>
      </c>
      <c r="AH87" s="321" t="str">
        <f aca="false">IF($A87="N/A"," ",IF(VolType4=1,AG87,AF87))</f>
        <v> </v>
      </c>
      <c r="AI87" s="321" t="str">
        <f aca="false">IF($A87="N/A"," ",(VLOOKUP($A87,OffPwrVolTable,(IF(VolBMO4=2,7,IF(VolBMO4=1,6,8))),FALSE())))</f>
        <v> </v>
      </c>
      <c r="AJ87" s="321" t="str">
        <f aca="false">IF($A87="N/A"," ",(VLOOKUP($A87,OffPwrVolTable,(IF(VolBMO4=2,3,IF(VolBMO4=1,2,4))),FALSE())*VLOOKUP(MONTH($A87),Volscale,2)))</f>
        <v> </v>
      </c>
      <c r="AK87" s="321" t="str">
        <f aca="false">IF($A87="N/A"," ",IF(VolType4=1,AJ87,AI87))</f>
        <v> </v>
      </c>
      <c r="AL87" s="321" t="str">
        <f aca="false">IF($A87="N/A"," ",IF(PV=1,0,'Pricing Inputs4'!R120))</f>
        <v> </v>
      </c>
      <c r="AM87" s="323" t="str">
        <f aca="false">IF($A87="N/A"," ",(1+AL87/2)^(-2*((EOMONTH(A87,0)+20)-DateToday)/365.25))</f>
        <v> </v>
      </c>
      <c r="BQ87" s="0" t="str">
        <f aca="false">IF($A87="N/A"," ",(VLOOKUP($A87,NumberofDaysTable,2)))</f>
        <v> </v>
      </c>
      <c r="BR87" s="0" t="str">
        <f aca="false">IF($A87="N/A"," ",(VLOOKUP($A87,NumberofDaysTable,3)))</f>
        <v> </v>
      </c>
      <c r="BS87" s="0" t="str">
        <f aca="false">IF($A87="N/A"," ",(VLOOKUP($A87,NumberofDaysTable,4)))</f>
        <v> </v>
      </c>
    </row>
    <row r="88" customFormat="false" ht="12.75" hidden="false" customHeight="false" outlineLevel="0" collapsed="false">
      <c r="A88" s="315" t="str">
        <f aca="false">IF(A87="N/A","N/A",IF(EDATE(A87,1)&gt;Inputs!$R$5,"N/A",EDATE(A87,1)))</f>
        <v>N/A</v>
      </c>
      <c r="B88" s="316" t="str">
        <f aca="false">IF(A88="N/A"," ",YEAR(A88))</f>
        <v> </v>
      </c>
      <c r="C88" s="317" t="str">
        <f aca="false">IF($A88="N/A"," ",IF(Dayrun4=10,0,IF(Scaler4=1,(VLOOKUP(A88,ScaledPrice4,4)),(VLOOKUP(A88,ScaledPrice4,2)))))</f>
        <v> </v>
      </c>
      <c r="D88" s="317" t="str">
        <f aca="false">IF(A88="N/A"," ",IF(Dayrun4&gt;=7,0,IF(Scaler4=2,VLOOKUP(A88,ScaledPrice4,2),(VLOOKUP(A88,ScaledPrice4,2))*(2-(VLOOKUP(A88,ScaledPrice4,3))))))</f>
        <v> </v>
      </c>
      <c r="E88" s="317" t="str">
        <f aca="false">IF($A88="N/A"," ",IF(AND(Dayrun4&gt;=4,Dayrun4&lt;=9),0,VLOOKUP($A88,ScaledPrice4,9)))</f>
        <v> </v>
      </c>
      <c r="F88" s="317" t="str">
        <f aca="false">IF(A88="N/A"," ",IF(OR(Dayrun4=2,Dayrun4=3,Dayrun4=5,Dayrun4=6,Dayrun4=8,Dayrun4=9),VLOOKUP(A88,ScaledPrice4,IF(Scaler4=1,6,5)),0))</f>
        <v> </v>
      </c>
      <c r="G88" s="317" t="str">
        <f aca="false">IF(A88="N/A"," ",IF(OR(Dayrun4=2,Dayrun4=3,Dayrun4=5,Dayrun4=6),IF(Scaler4=2,F88,(VLOOKUP(A88,ScaledPrice4,5))*(2-(VLOOKUP(A88,ScaledPrice4,3)))),0))</f>
        <v> </v>
      </c>
      <c r="H88" s="317" t="str">
        <f aca="false">IF($A88="N/A"," ",IF(OR(Dayrun4=2,Dayrun4=3,Dayrun4=10),VLOOKUP($A88,ScaledPrice4,9),0))</f>
        <v> </v>
      </c>
      <c r="I88" s="317" t="str">
        <f aca="false">IF(A88="N/A"," ",IF(OR(Dayrun4=3,Dayrun4=6,Dayrun4=9),(VLOOKUP(A88,ScaledPrice4,IF(Scaler4=2,7,8))),0))</f>
        <v> </v>
      </c>
      <c r="J88" s="317" t="str">
        <f aca="false">IF(A88="N/A"," ",IF(OR(Dayrun4=3,Dayrun4=6),IF(Scaler4=2,I88,(VLOOKUP(A88,ScaledPrice4,7))*(2-(VLOOKUP(A88,ScaledPrice4,3)))),0))</f>
        <v> </v>
      </c>
      <c r="K88" s="317" t="str">
        <f aca="false">IF($A88="N/A"," ",IF(OR(Dayrun4=3,Dayrun4=10),VLOOKUP($A88,ScaledPrice4,9),0))</f>
        <v> </v>
      </c>
      <c r="L88" s="318" t="str">
        <f aca="false">IF($A88="N/A"," ",IF(Pricetype4=2,MAX(C88,0),IF(OR(Pricetype4=1,Pricetype4=4),IF(C88=0,0,(EURO(C88,Strikeprice4,0,0,($AH88+IF(Smile=TRUE(),VLOOKUP(MAX(-5,Strikeprice4-C88),Volsmile,2),0)),($A88-DateToday)+15,IF(Pricetype4=1,1,0),0))),C88)))</f>
        <v> </v>
      </c>
      <c r="M88" s="318" t="str">
        <f aca="false">IF($A88="N/A"," ",IF(Pricetype4=2,MAX(D88,0),IF(OR(Pricetype4=1,Pricetype4=4),IF(D88=0,0,(EURO(D88,Strikeprice4,0,0,($AH88+IF(Smile=TRUE(),VLOOKUP(MAX(-5,Strikeprice4-D88),Volsmile,2),0)),($A88-DateToday)+15,IF(Pricetype4=1,1,0),0))),D88)))</f>
        <v> </v>
      </c>
      <c r="N88" s="318" t="str">
        <f aca="false">IF($A88="N/A"," ",IF(Pricetype4=2,MAX(E88,0),IF(OR(Pricetype4=1,Pricetype4=4),IF(E88=0,0,(EURO(E88,Strikeprice4,0,0,($AK88+IF(Smile=TRUE(),VLOOKUP(MAX(-5,Strikeprice4-E88),Volsmile,2),0)),($A88-DateToday)+15,IF(Pricetype4=1,1,0),0))),E88)))</f>
        <v> </v>
      </c>
      <c r="O88" s="318" t="str">
        <f aca="false">IF($A88="N/A"," ",IF(Pricetype4=2,MAX(F88,0),IF(OR(Pricetype4=1,Pricetype4=4),IF(F88=0,0,(EURO(F88,Strikeprice4,0,0,($AK88+IF(Smile=TRUE(),VLOOKUP(MAX(-5,Strikeprice4-F88),Volsmile,2),0)),($A88-DateToday)+15,IF(Pricetype4=1,1,0),0))),F88)))</f>
        <v> </v>
      </c>
      <c r="P88" s="318" t="str">
        <f aca="false">IF($A88="N/A"," ",IF(Pricetype4=2,MAX(G88,0),IF(OR(Pricetype4=1,Pricetype4=4),IF(G88=0,0,(EURO(G88,Strikeprice4,0,0,($AK88+IF(Smile=TRUE(),VLOOKUP(MAX(-5,Strikeprice4-G88),Volsmile,2),0)),($A88-DateToday)+15,IF(Pricetype4=1,1,0),0))),G88)))</f>
        <v> </v>
      </c>
      <c r="Q88" s="318" t="str">
        <f aca="false">IF($A88="N/A"," ",IF(Pricetype4=2,MAX(H88,0),IF(OR(Pricetype4=1,Pricetype4=4),IF(H88=0,0,(EURO(H88,Strikeprice4,0,0,($AK88+IF(Smile=TRUE(),VLOOKUP(MAX(-5,Strikeprice4-H88),Volsmile,2),0)),($A88-DateToday)+15,IF(Pricetype4=1,1,0),0))),H88)))</f>
        <v> </v>
      </c>
      <c r="R88" s="318" t="str">
        <f aca="false">IF($A88="N/A"," ",IF(Pricetype4=2,MAX(I88,0),IF(OR(Pricetype4=1,Pricetype4=4),IF(I88=0,0,(EURO(I88,Strikeprice4,0,0,($AK88+IF(Smile=TRUE(),VLOOKUP(MAX(-5,Strikeprice4-I88),Volsmile,2),0)),($A88-DateToday)+15,IF(Pricetype4=1,1,0),0))),I88)))</f>
        <v> </v>
      </c>
      <c r="S88" s="318" t="str">
        <f aca="false">IF($A88="N/A"," ",IF(Pricetype4=2,MAX(J88,0),IF(OR(Pricetype4=1,Pricetype4=4),IF(J88=0,0,(EURO(J88,Strikeprice4,0,0,($AK88+IF(Smile=TRUE(),VLOOKUP(MAX(-5,Strikeprice4-J88),Volsmile,2),0)),($A88-DateToday)+15,IF(Pricetype4=1,1,0),0))),J88)))</f>
        <v> </v>
      </c>
      <c r="T88" s="318" t="str">
        <f aca="false">IF($A88="N/A"," ",IF(Pricetype4=2,MAX(K88,0),IF(OR(Pricetype4=1,Pricetype4=4),IF(K88=0,0,(EURO(K88,Strikeprice4,0,0,($AK88+IF(Smile=TRUE(),VLOOKUP(MAX(-5,Strikeprice4-K88),Volsmile,2),0)),($A88-DateToday)+15,IF(Pricetype4=1,1,0),0))),K88)))</f>
        <v> </v>
      </c>
      <c r="U88" s="319" t="str">
        <f aca="false">IF($A88="N/A"," ",Volume4*$AM88)</f>
        <v> </v>
      </c>
      <c r="V88" s="320" t="str">
        <f aca="false">IF($A88="N/A"," ",$U88*(8*($BQ88))*L88)</f>
        <v> </v>
      </c>
      <c r="W88" s="320" t="str">
        <f aca="false">IF($A88="N/A"," ",$U88*(8*($BQ88))*M88)</f>
        <v> </v>
      </c>
      <c r="X88" s="320" t="str">
        <f aca="false">IF($A88="N/A"," ",$U88*(8*($BQ88))*N88)</f>
        <v> </v>
      </c>
      <c r="Y88" s="320" t="str">
        <f aca="false">IF($A88="N/A"," ",$U88*(8*($BR88))*O88)</f>
        <v> </v>
      </c>
      <c r="Z88" s="320" t="str">
        <f aca="false">IF($A88="N/A"," ",$U88*(8*($BR88))*P88)</f>
        <v> </v>
      </c>
      <c r="AA88" s="320" t="str">
        <f aca="false">IF($A88="N/A"," ",$U88*(8*($BR88))*Q88)</f>
        <v> </v>
      </c>
      <c r="AB88" s="320" t="str">
        <f aca="false">IF($A88="N/A"," ",$U88*(8*($BS88))*R88)</f>
        <v> </v>
      </c>
      <c r="AC88" s="320" t="str">
        <f aca="false">IF($A88="N/A"," ",$U88*(8*($BS88))*S88)</f>
        <v> </v>
      </c>
      <c r="AD88" s="320" t="str">
        <f aca="false">IF($A88="N/A"," ",$U88*(8*($BS88))*T88)</f>
        <v> </v>
      </c>
      <c r="AE88" s="320" t="str">
        <f aca="false">IF($A88="N/A"," ",SUM(V88:AD88))</f>
        <v> </v>
      </c>
      <c r="AF88" s="321" t="str">
        <f aca="false">IF(A88="N/A"," ",(VLOOKUP(A88,PowerVolTable,(IF(VolBMO4=2,7,IF(VolBMO4=1,6,8))),FALSE())))</f>
        <v> </v>
      </c>
      <c r="AG88" s="321" t="str">
        <f aca="false">IF(A88="N/A"," ",(VLOOKUP(A88,IntraPowerVol,(IF(VolBMO4=2,3,IF(VolBMO4=1,2,4))),FALSE())*VLOOKUP(MONTH($A88),Volscale,2)))</f>
        <v> </v>
      </c>
      <c r="AH88" s="321" t="str">
        <f aca="false">IF($A88="N/A"," ",IF(VolType4=1,AG88,AF88))</f>
        <v> </v>
      </c>
      <c r="AI88" s="321" t="str">
        <f aca="false">IF($A88="N/A"," ",(VLOOKUP($A88,OffPwrVolTable,(IF(VolBMO4=2,7,IF(VolBMO4=1,6,8))),FALSE())))</f>
        <v> </v>
      </c>
      <c r="AJ88" s="321" t="str">
        <f aca="false">IF($A88="N/A"," ",(VLOOKUP($A88,OffPwrVolTable,(IF(VolBMO4=2,3,IF(VolBMO4=1,2,4))),FALSE())*VLOOKUP(MONTH($A88),Volscale,2)))</f>
        <v> </v>
      </c>
      <c r="AK88" s="321" t="str">
        <f aca="false">IF($A88="N/A"," ",IF(VolType4=1,AJ88,AI88))</f>
        <v> </v>
      </c>
      <c r="AL88" s="321" t="str">
        <f aca="false">IF($A88="N/A"," ",IF(PV=1,0,'Pricing Inputs4'!R121))</f>
        <v> </v>
      </c>
      <c r="AM88" s="323" t="str">
        <f aca="false">IF($A88="N/A"," ",(1+AL88/2)^(-2*((EOMONTH(A88,0)+20)-DateToday)/365.25))</f>
        <v> </v>
      </c>
      <c r="BQ88" s="0" t="str">
        <f aca="false">IF($A88="N/A"," ",(VLOOKUP($A88,NumberofDaysTable,2)))</f>
        <v> </v>
      </c>
      <c r="BR88" s="0" t="str">
        <f aca="false">IF($A88="N/A"," ",(VLOOKUP($A88,NumberofDaysTable,3)))</f>
        <v> </v>
      </c>
      <c r="BS88" s="0" t="str">
        <f aca="false">IF($A88="N/A"," ",(VLOOKUP($A88,NumberofDaysTable,4)))</f>
        <v> </v>
      </c>
    </row>
    <row r="89" customFormat="false" ht="12.75" hidden="false" customHeight="false" outlineLevel="0" collapsed="false">
      <c r="A89" s="315" t="str">
        <f aca="false">IF(A88="N/A","N/A",IF(EDATE(A88,1)&gt;Inputs!$R$5,"N/A",EDATE(A88,1)))</f>
        <v>N/A</v>
      </c>
      <c r="B89" s="316" t="str">
        <f aca="false">IF(A89="N/A"," ",YEAR(A89))</f>
        <v> </v>
      </c>
      <c r="C89" s="317" t="str">
        <f aca="false">IF($A89="N/A"," ",IF(Dayrun4=10,0,IF(Scaler4=1,(VLOOKUP(A89,ScaledPrice4,4)),(VLOOKUP(A89,ScaledPrice4,2)))))</f>
        <v> </v>
      </c>
      <c r="D89" s="317" t="str">
        <f aca="false">IF(A89="N/A"," ",IF(Dayrun4&gt;=7,0,IF(Scaler4=2,VLOOKUP(A89,ScaledPrice4,2),(VLOOKUP(A89,ScaledPrice4,2))*(2-(VLOOKUP(A89,ScaledPrice4,3))))))</f>
        <v> </v>
      </c>
      <c r="E89" s="317" t="str">
        <f aca="false">IF($A89="N/A"," ",IF(AND(Dayrun4&gt;=4,Dayrun4&lt;=9),0,VLOOKUP($A89,ScaledPrice4,9)))</f>
        <v> </v>
      </c>
      <c r="F89" s="317" t="str">
        <f aca="false">IF(A89="N/A"," ",IF(OR(Dayrun4=2,Dayrun4=3,Dayrun4=5,Dayrun4=6,Dayrun4=8,Dayrun4=9),VLOOKUP(A89,ScaledPrice4,IF(Scaler4=1,6,5)),0))</f>
        <v> </v>
      </c>
      <c r="G89" s="317" t="str">
        <f aca="false">IF(A89="N/A"," ",IF(OR(Dayrun4=2,Dayrun4=3,Dayrun4=5,Dayrun4=6),IF(Scaler4=2,F89,(VLOOKUP(A89,ScaledPrice4,5))*(2-(VLOOKUP(A89,ScaledPrice4,3)))),0))</f>
        <v> </v>
      </c>
      <c r="H89" s="317" t="str">
        <f aca="false">IF($A89="N/A"," ",IF(OR(Dayrun4=2,Dayrun4=3,Dayrun4=10),VLOOKUP($A89,ScaledPrice4,9),0))</f>
        <v> </v>
      </c>
      <c r="I89" s="317" t="str">
        <f aca="false">IF(A89="N/A"," ",IF(OR(Dayrun4=3,Dayrun4=6,Dayrun4=9),(VLOOKUP(A89,ScaledPrice4,IF(Scaler4=2,7,8))),0))</f>
        <v> </v>
      </c>
      <c r="J89" s="317" t="str">
        <f aca="false">IF(A89="N/A"," ",IF(OR(Dayrun4=3,Dayrun4=6),IF(Scaler4=2,I89,(VLOOKUP(A89,ScaledPrice4,7))*(2-(VLOOKUP(A89,ScaledPrice4,3)))),0))</f>
        <v> </v>
      </c>
      <c r="K89" s="317" t="str">
        <f aca="false">IF($A89="N/A"," ",IF(OR(Dayrun4=3,Dayrun4=10),VLOOKUP($A89,ScaledPrice4,9),0))</f>
        <v> </v>
      </c>
      <c r="L89" s="318" t="str">
        <f aca="false">IF($A89="N/A"," ",IF(Pricetype4=2,MAX(C89,0),IF(OR(Pricetype4=1,Pricetype4=4),IF(C89=0,0,(EURO(C89,Strikeprice4,0,0,($AH89+IF(Smile=TRUE(),VLOOKUP(MAX(-5,Strikeprice4-C89),Volsmile,2),0)),($A89-DateToday)+15,IF(Pricetype4=1,1,0),0))),C89)))</f>
        <v> </v>
      </c>
      <c r="M89" s="318" t="str">
        <f aca="false">IF($A89="N/A"," ",IF(Pricetype4=2,MAX(D89,0),IF(OR(Pricetype4=1,Pricetype4=4),IF(D89=0,0,(EURO(D89,Strikeprice4,0,0,($AH89+IF(Smile=TRUE(),VLOOKUP(MAX(-5,Strikeprice4-D89),Volsmile,2),0)),($A89-DateToday)+15,IF(Pricetype4=1,1,0),0))),D89)))</f>
        <v> </v>
      </c>
      <c r="N89" s="318" t="str">
        <f aca="false">IF($A89="N/A"," ",IF(Pricetype4=2,MAX(E89,0),IF(OR(Pricetype4=1,Pricetype4=4),IF(E89=0,0,(EURO(E89,Strikeprice4,0,0,($AK89+IF(Smile=TRUE(),VLOOKUP(MAX(-5,Strikeprice4-E89),Volsmile,2),0)),($A89-DateToday)+15,IF(Pricetype4=1,1,0),0))),E89)))</f>
        <v> </v>
      </c>
      <c r="O89" s="318" t="str">
        <f aca="false">IF($A89="N/A"," ",IF(Pricetype4=2,MAX(F89,0),IF(OR(Pricetype4=1,Pricetype4=4),IF(F89=0,0,(EURO(F89,Strikeprice4,0,0,($AK89+IF(Smile=TRUE(),VLOOKUP(MAX(-5,Strikeprice4-F89),Volsmile,2),0)),($A89-DateToday)+15,IF(Pricetype4=1,1,0),0))),F89)))</f>
        <v> </v>
      </c>
      <c r="P89" s="318" t="str">
        <f aca="false">IF($A89="N/A"," ",IF(Pricetype4=2,MAX(G89,0),IF(OR(Pricetype4=1,Pricetype4=4),IF(G89=0,0,(EURO(G89,Strikeprice4,0,0,($AK89+IF(Smile=TRUE(),VLOOKUP(MAX(-5,Strikeprice4-G89),Volsmile,2),0)),($A89-DateToday)+15,IF(Pricetype4=1,1,0),0))),G89)))</f>
        <v> </v>
      </c>
      <c r="Q89" s="318" t="str">
        <f aca="false">IF($A89="N/A"," ",IF(Pricetype4=2,MAX(H89,0),IF(OR(Pricetype4=1,Pricetype4=4),IF(H89=0,0,(EURO(H89,Strikeprice4,0,0,($AK89+IF(Smile=TRUE(),VLOOKUP(MAX(-5,Strikeprice4-H89),Volsmile,2),0)),($A89-DateToday)+15,IF(Pricetype4=1,1,0),0))),H89)))</f>
        <v> </v>
      </c>
      <c r="R89" s="318" t="str">
        <f aca="false">IF($A89="N/A"," ",IF(Pricetype4=2,MAX(I89,0),IF(OR(Pricetype4=1,Pricetype4=4),IF(I89=0,0,(EURO(I89,Strikeprice4,0,0,($AK89+IF(Smile=TRUE(),VLOOKUP(MAX(-5,Strikeprice4-I89),Volsmile,2),0)),($A89-DateToday)+15,IF(Pricetype4=1,1,0),0))),I89)))</f>
        <v> </v>
      </c>
      <c r="S89" s="318" t="str">
        <f aca="false">IF($A89="N/A"," ",IF(Pricetype4=2,MAX(J89,0),IF(OR(Pricetype4=1,Pricetype4=4),IF(J89=0,0,(EURO(J89,Strikeprice4,0,0,($AK89+IF(Smile=TRUE(),VLOOKUP(MAX(-5,Strikeprice4-J89),Volsmile,2),0)),($A89-DateToday)+15,IF(Pricetype4=1,1,0),0))),J89)))</f>
        <v> </v>
      </c>
      <c r="T89" s="318" t="str">
        <f aca="false">IF($A89="N/A"," ",IF(Pricetype4=2,MAX(K89,0),IF(OR(Pricetype4=1,Pricetype4=4),IF(K89=0,0,(EURO(K89,Strikeprice4,0,0,($AK89+IF(Smile=TRUE(),VLOOKUP(MAX(-5,Strikeprice4-K89),Volsmile,2),0)),($A89-DateToday)+15,IF(Pricetype4=1,1,0),0))),K89)))</f>
        <v> </v>
      </c>
      <c r="U89" s="319" t="str">
        <f aca="false">IF($A89="N/A"," ",Volume4*$AM89)</f>
        <v> </v>
      </c>
      <c r="V89" s="320" t="str">
        <f aca="false">IF($A89="N/A"," ",$U89*(8*($BQ89))*L89)</f>
        <v> </v>
      </c>
      <c r="W89" s="320" t="str">
        <f aca="false">IF($A89="N/A"," ",$U89*(8*($BQ89))*M89)</f>
        <v> </v>
      </c>
      <c r="X89" s="320" t="str">
        <f aca="false">IF($A89="N/A"," ",$U89*(8*($BQ89))*N89)</f>
        <v> </v>
      </c>
      <c r="Y89" s="320" t="str">
        <f aca="false">IF($A89="N/A"," ",$U89*(8*($BR89))*O89)</f>
        <v> </v>
      </c>
      <c r="Z89" s="320" t="str">
        <f aca="false">IF($A89="N/A"," ",$U89*(8*($BR89))*P89)</f>
        <v> </v>
      </c>
      <c r="AA89" s="320" t="str">
        <f aca="false">IF($A89="N/A"," ",$U89*(8*($BR89))*Q89)</f>
        <v> </v>
      </c>
      <c r="AB89" s="320" t="str">
        <f aca="false">IF($A89="N/A"," ",$U89*(8*($BS89))*R89)</f>
        <v> </v>
      </c>
      <c r="AC89" s="320" t="str">
        <f aca="false">IF($A89="N/A"," ",$U89*(8*($BS89))*S89)</f>
        <v> </v>
      </c>
      <c r="AD89" s="320" t="str">
        <f aca="false">IF($A89="N/A"," ",$U89*(8*($BS89))*T89)</f>
        <v> </v>
      </c>
      <c r="AE89" s="320" t="str">
        <f aca="false">IF($A89="N/A"," ",SUM(V89:AD89))</f>
        <v> </v>
      </c>
      <c r="AF89" s="321" t="str">
        <f aca="false">IF(A89="N/A"," ",(VLOOKUP(A89,PowerVolTable,(IF(VolBMO4=2,7,IF(VolBMO4=1,6,8))),FALSE())))</f>
        <v> </v>
      </c>
      <c r="AG89" s="321" t="str">
        <f aca="false">IF(A89="N/A"," ",(VLOOKUP(A89,IntraPowerVol,(IF(VolBMO4=2,3,IF(VolBMO4=1,2,4))),FALSE())*VLOOKUP(MONTH($A89),Volscale,2)))</f>
        <v> </v>
      </c>
      <c r="AH89" s="321" t="str">
        <f aca="false">IF($A89="N/A"," ",IF(VolType4=1,AG89,AF89))</f>
        <v> </v>
      </c>
      <c r="AI89" s="321" t="str">
        <f aca="false">IF($A89="N/A"," ",(VLOOKUP($A89,OffPwrVolTable,(IF(VolBMO4=2,7,IF(VolBMO4=1,6,8))),FALSE())))</f>
        <v> </v>
      </c>
      <c r="AJ89" s="321" t="str">
        <f aca="false">IF($A89="N/A"," ",(VLOOKUP($A89,OffPwrVolTable,(IF(VolBMO4=2,3,IF(VolBMO4=1,2,4))),FALSE())*VLOOKUP(MONTH($A89),Volscale,2)))</f>
        <v> </v>
      </c>
      <c r="AK89" s="321" t="str">
        <f aca="false">IF($A89="N/A"," ",IF(VolType4=1,AJ89,AI89))</f>
        <v> </v>
      </c>
      <c r="AL89" s="321" t="str">
        <f aca="false">IF($A89="N/A"," ",IF(PV=1,0,'Pricing Inputs4'!R122))</f>
        <v> </v>
      </c>
      <c r="AM89" s="323" t="str">
        <f aca="false">IF($A89="N/A"," ",(1+AL89/2)^(-2*((EOMONTH(A89,0)+20)-DateToday)/365.25))</f>
        <v> </v>
      </c>
      <c r="BQ89" s="0" t="str">
        <f aca="false">IF($A89="N/A"," ",(VLOOKUP($A89,NumberofDaysTable,2)))</f>
        <v> </v>
      </c>
      <c r="BR89" s="0" t="str">
        <f aca="false">IF($A89="N/A"," ",(VLOOKUP($A89,NumberofDaysTable,3)))</f>
        <v> </v>
      </c>
      <c r="BS89" s="0" t="str">
        <f aca="false">IF($A89="N/A"," ",(VLOOKUP($A89,NumberofDaysTable,4)))</f>
        <v> </v>
      </c>
    </row>
    <row r="90" customFormat="false" ht="12.75" hidden="false" customHeight="false" outlineLevel="0" collapsed="false">
      <c r="A90" s="315" t="str">
        <f aca="false">IF(A89="N/A","N/A",IF(EDATE(A89,1)&gt;Inputs!$R$5,"N/A",EDATE(A89,1)))</f>
        <v>N/A</v>
      </c>
      <c r="B90" s="316" t="str">
        <f aca="false">IF(A90="N/A"," ",YEAR(A90))</f>
        <v> </v>
      </c>
      <c r="C90" s="317" t="str">
        <f aca="false">IF($A90="N/A"," ",IF(Dayrun4=10,0,IF(Scaler4=1,(VLOOKUP(A90,ScaledPrice4,4)),(VLOOKUP(A90,ScaledPrice4,2)))))</f>
        <v> </v>
      </c>
      <c r="D90" s="317" t="str">
        <f aca="false">IF(A90="N/A"," ",IF(Dayrun4&gt;=7,0,IF(Scaler4=2,VLOOKUP(A90,ScaledPrice4,2),(VLOOKUP(A90,ScaledPrice4,2))*(2-(VLOOKUP(A90,ScaledPrice4,3))))))</f>
        <v> </v>
      </c>
      <c r="E90" s="317" t="str">
        <f aca="false">IF($A90="N/A"," ",IF(AND(Dayrun4&gt;=4,Dayrun4&lt;=9),0,VLOOKUP($A90,ScaledPrice4,9)))</f>
        <v> </v>
      </c>
      <c r="F90" s="317" t="str">
        <f aca="false">IF(A90="N/A"," ",IF(OR(Dayrun4=2,Dayrun4=3,Dayrun4=5,Dayrun4=6,Dayrun4=8,Dayrun4=9),VLOOKUP(A90,ScaledPrice4,IF(Scaler4=1,6,5)),0))</f>
        <v> </v>
      </c>
      <c r="G90" s="317" t="str">
        <f aca="false">IF(A90="N/A"," ",IF(OR(Dayrun4=2,Dayrun4=3,Dayrun4=5,Dayrun4=6),IF(Scaler4=2,F90,(VLOOKUP(A90,ScaledPrice4,5))*(2-(VLOOKUP(A90,ScaledPrice4,3)))),0))</f>
        <v> </v>
      </c>
      <c r="H90" s="317" t="str">
        <f aca="false">IF($A90="N/A"," ",IF(OR(Dayrun4=2,Dayrun4=3,Dayrun4=10),VLOOKUP($A90,ScaledPrice4,9),0))</f>
        <v> </v>
      </c>
      <c r="I90" s="317" t="str">
        <f aca="false">IF(A90="N/A"," ",IF(OR(Dayrun4=3,Dayrun4=6,Dayrun4=9),(VLOOKUP(A90,ScaledPrice4,IF(Scaler4=2,7,8))),0))</f>
        <v> </v>
      </c>
      <c r="J90" s="317" t="str">
        <f aca="false">IF(A90="N/A"," ",IF(OR(Dayrun4=3,Dayrun4=6),IF(Scaler4=2,I90,(VLOOKUP(A90,ScaledPrice4,7))*(2-(VLOOKUP(A90,ScaledPrice4,3)))),0))</f>
        <v> </v>
      </c>
      <c r="K90" s="317" t="str">
        <f aca="false">IF($A90="N/A"," ",IF(OR(Dayrun4=3,Dayrun4=10),VLOOKUP($A90,ScaledPrice4,9),0))</f>
        <v> </v>
      </c>
      <c r="L90" s="318" t="str">
        <f aca="false">IF($A90="N/A"," ",IF(Pricetype4=2,MAX(C90,0),IF(OR(Pricetype4=1,Pricetype4=4),IF(C90=0,0,(EURO(C90,Strikeprice4,0,0,($AH90+IF(Smile=TRUE(),VLOOKUP(MAX(-5,Strikeprice4-C90),Volsmile,2),0)),($A90-DateToday)+15,IF(Pricetype4=1,1,0),0))),C90)))</f>
        <v> </v>
      </c>
      <c r="M90" s="318" t="str">
        <f aca="false">IF($A90="N/A"," ",IF(Pricetype4=2,MAX(D90,0),IF(OR(Pricetype4=1,Pricetype4=4),IF(D90=0,0,(EURO(D90,Strikeprice4,0,0,($AH90+IF(Smile=TRUE(),VLOOKUP(MAX(-5,Strikeprice4-D90),Volsmile,2),0)),($A90-DateToday)+15,IF(Pricetype4=1,1,0),0))),D90)))</f>
        <v> </v>
      </c>
      <c r="N90" s="318" t="str">
        <f aca="false">IF($A90="N/A"," ",IF(Pricetype4=2,MAX(E90,0),IF(OR(Pricetype4=1,Pricetype4=4),IF(E90=0,0,(EURO(E90,Strikeprice4,0,0,($AK90+IF(Smile=TRUE(),VLOOKUP(MAX(-5,Strikeprice4-E90),Volsmile,2),0)),($A90-DateToday)+15,IF(Pricetype4=1,1,0),0))),E90)))</f>
        <v> </v>
      </c>
      <c r="O90" s="318" t="str">
        <f aca="false">IF($A90="N/A"," ",IF(Pricetype4=2,MAX(F90,0),IF(OR(Pricetype4=1,Pricetype4=4),IF(F90=0,0,(EURO(F90,Strikeprice4,0,0,($AK90+IF(Smile=TRUE(),VLOOKUP(MAX(-5,Strikeprice4-F90),Volsmile,2),0)),($A90-DateToday)+15,IF(Pricetype4=1,1,0),0))),F90)))</f>
        <v> </v>
      </c>
      <c r="P90" s="318" t="str">
        <f aca="false">IF($A90="N/A"," ",IF(Pricetype4=2,MAX(G90,0),IF(OR(Pricetype4=1,Pricetype4=4),IF(G90=0,0,(EURO(G90,Strikeprice4,0,0,($AK90+IF(Smile=TRUE(),VLOOKUP(MAX(-5,Strikeprice4-G90),Volsmile,2),0)),($A90-DateToday)+15,IF(Pricetype4=1,1,0),0))),G90)))</f>
        <v> </v>
      </c>
      <c r="Q90" s="318" t="str">
        <f aca="false">IF($A90="N/A"," ",IF(Pricetype4=2,MAX(H90,0),IF(OR(Pricetype4=1,Pricetype4=4),IF(H90=0,0,(EURO(H90,Strikeprice4,0,0,($AK90+IF(Smile=TRUE(),VLOOKUP(MAX(-5,Strikeprice4-H90),Volsmile,2),0)),($A90-DateToday)+15,IF(Pricetype4=1,1,0),0))),H90)))</f>
        <v> </v>
      </c>
      <c r="R90" s="318" t="str">
        <f aca="false">IF($A90="N/A"," ",IF(Pricetype4=2,MAX(I90,0),IF(OR(Pricetype4=1,Pricetype4=4),IF(I90=0,0,(EURO(I90,Strikeprice4,0,0,($AK90+IF(Smile=TRUE(),VLOOKUP(MAX(-5,Strikeprice4-I90),Volsmile,2),0)),($A90-DateToday)+15,IF(Pricetype4=1,1,0),0))),I90)))</f>
        <v> </v>
      </c>
      <c r="S90" s="318" t="str">
        <f aca="false">IF($A90="N/A"," ",IF(Pricetype4=2,MAX(J90,0),IF(OR(Pricetype4=1,Pricetype4=4),IF(J90=0,0,(EURO(J90,Strikeprice4,0,0,($AK90+IF(Smile=TRUE(),VLOOKUP(MAX(-5,Strikeprice4-J90),Volsmile,2),0)),($A90-DateToday)+15,IF(Pricetype4=1,1,0),0))),J90)))</f>
        <v> </v>
      </c>
      <c r="T90" s="318" t="str">
        <f aca="false">IF($A90="N/A"," ",IF(Pricetype4=2,MAX(K90,0),IF(OR(Pricetype4=1,Pricetype4=4),IF(K90=0,0,(EURO(K90,Strikeprice4,0,0,($AK90+IF(Smile=TRUE(),VLOOKUP(MAX(-5,Strikeprice4-K90),Volsmile,2),0)),($A90-DateToday)+15,IF(Pricetype4=1,1,0),0))),K90)))</f>
        <v> </v>
      </c>
      <c r="U90" s="319" t="str">
        <f aca="false">IF($A90="N/A"," ",Volume4*$AM90)</f>
        <v> </v>
      </c>
      <c r="V90" s="320" t="str">
        <f aca="false">IF($A90="N/A"," ",$U90*(8*($BQ90))*L90)</f>
        <v> </v>
      </c>
      <c r="W90" s="320" t="str">
        <f aca="false">IF($A90="N/A"," ",$U90*(8*($BQ90))*M90)</f>
        <v> </v>
      </c>
      <c r="X90" s="320" t="str">
        <f aca="false">IF($A90="N/A"," ",$U90*(8*($BQ90))*N90)</f>
        <v> </v>
      </c>
      <c r="Y90" s="320" t="str">
        <f aca="false">IF($A90="N/A"," ",$U90*(8*($BR90))*O90)</f>
        <v> </v>
      </c>
      <c r="Z90" s="320" t="str">
        <f aca="false">IF($A90="N/A"," ",$U90*(8*($BR90))*P90)</f>
        <v> </v>
      </c>
      <c r="AA90" s="320" t="str">
        <f aca="false">IF($A90="N/A"," ",$U90*(8*($BR90))*Q90)</f>
        <v> </v>
      </c>
      <c r="AB90" s="320" t="str">
        <f aca="false">IF($A90="N/A"," ",$U90*(8*($BS90))*R90)</f>
        <v> </v>
      </c>
      <c r="AC90" s="320" t="str">
        <f aca="false">IF($A90="N/A"," ",$U90*(8*($BS90))*S90)</f>
        <v> </v>
      </c>
      <c r="AD90" s="320" t="str">
        <f aca="false">IF($A90="N/A"," ",$U90*(8*($BS90))*T90)</f>
        <v> </v>
      </c>
      <c r="AE90" s="320" t="str">
        <f aca="false">IF($A90="N/A"," ",SUM(V90:AD90))</f>
        <v> </v>
      </c>
      <c r="AF90" s="321" t="str">
        <f aca="false">IF(A90="N/A"," ",(VLOOKUP(A90,PowerVolTable,(IF(VolBMO4=2,7,IF(VolBMO4=1,6,8))),FALSE())))</f>
        <v> </v>
      </c>
      <c r="AG90" s="321" t="str">
        <f aca="false">IF(A90="N/A"," ",(VLOOKUP(A90,IntraPowerVol,(IF(VolBMO4=2,3,IF(VolBMO4=1,2,4))),FALSE())*VLOOKUP(MONTH($A90),Volscale,2)))</f>
        <v> </v>
      </c>
      <c r="AH90" s="321" t="str">
        <f aca="false">IF($A90="N/A"," ",IF(VolType4=1,AG90,AF90))</f>
        <v> </v>
      </c>
      <c r="AI90" s="321" t="str">
        <f aca="false">IF($A90="N/A"," ",(VLOOKUP($A90,OffPwrVolTable,(IF(VolBMO4=2,7,IF(VolBMO4=1,6,8))),FALSE())))</f>
        <v> </v>
      </c>
      <c r="AJ90" s="321" t="str">
        <f aca="false">IF($A90="N/A"," ",(VLOOKUP($A90,OffPwrVolTable,(IF(VolBMO4=2,3,IF(VolBMO4=1,2,4))),FALSE())*VLOOKUP(MONTH($A90),Volscale,2)))</f>
        <v> </v>
      </c>
      <c r="AK90" s="321" t="str">
        <f aca="false">IF($A90="N/A"," ",IF(VolType4=1,AJ90,AI90))</f>
        <v> </v>
      </c>
      <c r="AL90" s="321" t="str">
        <f aca="false">IF($A90="N/A"," ",IF(PV=1,0,'Pricing Inputs4'!R123))</f>
        <v> </v>
      </c>
      <c r="AM90" s="323" t="str">
        <f aca="false">IF($A90="N/A"," ",(1+AL90/2)^(-2*((EOMONTH(A90,0)+20)-DateToday)/365.25))</f>
        <v> </v>
      </c>
      <c r="BQ90" s="0" t="str">
        <f aca="false">IF($A90="N/A"," ",(VLOOKUP($A90,NumberofDaysTable,2)))</f>
        <v> </v>
      </c>
      <c r="BR90" s="0" t="str">
        <f aca="false">IF($A90="N/A"," ",(VLOOKUP($A90,NumberofDaysTable,3)))</f>
        <v> </v>
      </c>
      <c r="BS90" s="0" t="str">
        <f aca="false">IF($A90="N/A"," ",(VLOOKUP($A90,NumberofDaysTable,4)))</f>
        <v> </v>
      </c>
    </row>
    <row r="91" customFormat="false" ht="12.75" hidden="false" customHeight="false" outlineLevel="0" collapsed="false">
      <c r="A91" s="315" t="str">
        <f aca="false">IF(A90="N/A","N/A",IF(EDATE(A90,1)&gt;Inputs!$R$5,"N/A",EDATE(A90,1)))</f>
        <v>N/A</v>
      </c>
      <c r="B91" s="316" t="str">
        <f aca="false">IF(A91="N/A"," ",YEAR(A91))</f>
        <v> </v>
      </c>
      <c r="C91" s="317" t="str">
        <f aca="false">IF($A91="N/A"," ",IF(Dayrun4=10,0,IF(Scaler4=1,(VLOOKUP(A91,ScaledPrice4,4)),(VLOOKUP(A91,ScaledPrice4,2)))))</f>
        <v> </v>
      </c>
      <c r="D91" s="317" t="str">
        <f aca="false">IF(A91="N/A"," ",IF(Dayrun4&gt;=7,0,IF(Scaler4=2,VLOOKUP(A91,ScaledPrice4,2),(VLOOKUP(A91,ScaledPrice4,2))*(2-(VLOOKUP(A91,ScaledPrice4,3))))))</f>
        <v> </v>
      </c>
      <c r="E91" s="317" t="str">
        <f aca="false">IF($A91="N/A"," ",IF(AND(Dayrun4&gt;=4,Dayrun4&lt;=9),0,VLOOKUP($A91,ScaledPrice4,9)))</f>
        <v> </v>
      </c>
      <c r="F91" s="317" t="str">
        <f aca="false">IF(A91="N/A"," ",IF(OR(Dayrun4=2,Dayrun4=3,Dayrun4=5,Dayrun4=6,Dayrun4=8,Dayrun4=9),VLOOKUP(A91,ScaledPrice4,IF(Scaler4=1,6,5)),0))</f>
        <v> </v>
      </c>
      <c r="G91" s="317" t="str">
        <f aca="false">IF(A91="N/A"," ",IF(OR(Dayrun4=2,Dayrun4=3,Dayrun4=5,Dayrun4=6),IF(Scaler4=2,F91,(VLOOKUP(A91,ScaledPrice4,5))*(2-(VLOOKUP(A91,ScaledPrice4,3)))),0))</f>
        <v> </v>
      </c>
      <c r="H91" s="317" t="str">
        <f aca="false">IF($A91="N/A"," ",IF(OR(Dayrun4=2,Dayrun4=3,Dayrun4=10),VLOOKUP($A91,ScaledPrice4,9),0))</f>
        <v> </v>
      </c>
      <c r="I91" s="317" t="str">
        <f aca="false">IF(A91="N/A"," ",IF(OR(Dayrun4=3,Dayrun4=6,Dayrun4=9),(VLOOKUP(A91,ScaledPrice4,IF(Scaler4=2,7,8))),0))</f>
        <v> </v>
      </c>
      <c r="J91" s="317" t="str">
        <f aca="false">IF(A91="N/A"," ",IF(OR(Dayrun4=3,Dayrun4=6),IF(Scaler4=2,I91,(VLOOKUP(A91,ScaledPrice4,7))*(2-(VLOOKUP(A91,ScaledPrice4,3)))),0))</f>
        <v> </v>
      </c>
      <c r="K91" s="317" t="str">
        <f aca="false">IF($A91="N/A"," ",IF(OR(Dayrun4=3,Dayrun4=10),VLOOKUP($A91,ScaledPrice4,9),0))</f>
        <v> </v>
      </c>
      <c r="L91" s="318" t="str">
        <f aca="false">IF($A91="N/A"," ",IF(Pricetype4=2,MAX(C91,0),IF(OR(Pricetype4=1,Pricetype4=4),IF(C91=0,0,(EURO(C91,Strikeprice4,0,0,($AH91+IF(Smile=TRUE(),VLOOKUP(MAX(-5,Strikeprice4-C91),Volsmile,2),0)),($A91-DateToday)+15,IF(Pricetype4=1,1,0),0))),C91)))</f>
        <v> </v>
      </c>
      <c r="M91" s="318" t="str">
        <f aca="false">IF($A91="N/A"," ",IF(Pricetype4=2,MAX(D91,0),IF(OR(Pricetype4=1,Pricetype4=4),IF(D91=0,0,(EURO(D91,Strikeprice4,0,0,($AH91+IF(Smile=TRUE(),VLOOKUP(MAX(-5,Strikeprice4-D91),Volsmile,2),0)),($A91-DateToday)+15,IF(Pricetype4=1,1,0),0))),D91)))</f>
        <v> </v>
      </c>
      <c r="N91" s="318" t="str">
        <f aca="false">IF($A91="N/A"," ",IF(Pricetype4=2,MAX(E91,0),IF(OR(Pricetype4=1,Pricetype4=4),IF(E91=0,0,(EURO(E91,Strikeprice4,0,0,($AK91+IF(Smile=TRUE(),VLOOKUP(MAX(-5,Strikeprice4-E91),Volsmile,2),0)),($A91-DateToday)+15,IF(Pricetype4=1,1,0),0))),E91)))</f>
        <v> </v>
      </c>
      <c r="O91" s="318" t="str">
        <f aca="false">IF($A91="N/A"," ",IF(Pricetype4=2,MAX(F91,0),IF(OR(Pricetype4=1,Pricetype4=4),IF(F91=0,0,(EURO(F91,Strikeprice4,0,0,($AK91+IF(Smile=TRUE(),VLOOKUP(MAX(-5,Strikeprice4-F91),Volsmile,2),0)),($A91-DateToday)+15,IF(Pricetype4=1,1,0),0))),F91)))</f>
        <v> </v>
      </c>
      <c r="P91" s="318" t="str">
        <f aca="false">IF($A91="N/A"," ",IF(Pricetype4=2,MAX(G91,0),IF(OR(Pricetype4=1,Pricetype4=4),IF(G91=0,0,(EURO(G91,Strikeprice4,0,0,($AK91+IF(Smile=TRUE(),VLOOKUP(MAX(-5,Strikeprice4-G91),Volsmile,2),0)),($A91-DateToday)+15,IF(Pricetype4=1,1,0),0))),G91)))</f>
        <v> </v>
      </c>
      <c r="Q91" s="318" t="str">
        <f aca="false">IF($A91="N/A"," ",IF(Pricetype4=2,MAX(H91,0),IF(OR(Pricetype4=1,Pricetype4=4),IF(H91=0,0,(EURO(H91,Strikeprice4,0,0,($AK91+IF(Smile=TRUE(),VLOOKUP(MAX(-5,Strikeprice4-H91),Volsmile,2),0)),($A91-DateToday)+15,IF(Pricetype4=1,1,0),0))),H91)))</f>
        <v> </v>
      </c>
      <c r="R91" s="318" t="str">
        <f aca="false">IF($A91="N/A"," ",IF(Pricetype4=2,MAX(I91,0),IF(OR(Pricetype4=1,Pricetype4=4),IF(I91=0,0,(EURO(I91,Strikeprice4,0,0,($AK91+IF(Smile=TRUE(),VLOOKUP(MAX(-5,Strikeprice4-I91),Volsmile,2),0)),($A91-DateToday)+15,IF(Pricetype4=1,1,0),0))),I91)))</f>
        <v> </v>
      </c>
      <c r="S91" s="318" t="str">
        <f aca="false">IF($A91="N/A"," ",IF(Pricetype4=2,MAX(J91,0),IF(OR(Pricetype4=1,Pricetype4=4),IF(J91=0,0,(EURO(J91,Strikeprice4,0,0,($AK91+IF(Smile=TRUE(),VLOOKUP(MAX(-5,Strikeprice4-J91),Volsmile,2),0)),($A91-DateToday)+15,IF(Pricetype4=1,1,0),0))),J91)))</f>
        <v> </v>
      </c>
      <c r="T91" s="318" t="str">
        <f aca="false">IF($A91="N/A"," ",IF(Pricetype4=2,MAX(K91,0),IF(OR(Pricetype4=1,Pricetype4=4),IF(K91=0,0,(EURO(K91,Strikeprice4,0,0,($AK91+IF(Smile=TRUE(),VLOOKUP(MAX(-5,Strikeprice4-K91),Volsmile,2),0)),($A91-DateToday)+15,IF(Pricetype4=1,1,0),0))),K91)))</f>
        <v> </v>
      </c>
      <c r="U91" s="319" t="str">
        <f aca="false">IF($A91="N/A"," ",Volume4*$AM91)</f>
        <v> </v>
      </c>
      <c r="V91" s="320" t="str">
        <f aca="false">IF($A91="N/A"," ",$U91*(8*($BQ91))*L91)</f>
        <v> </v>
      </c>
      <c r="W91" s="320" t="str">
        <f aca="false">IF($A91="N/A"," ",$U91*(8*($BQ91))*M91)</f>
        <v> </v>
      </c>
      <c r="X91" s="320" t="str">
        <f aca="false">IF($A91="N/A"," ",$U91*(8*($BQ91))*N91)</f>
        <v> </v>
      </c>
      <c r="Y91" s="320" t="str">
        <f aca="false">IF($A91="N/A"," ",$U91*(8*($BR91))*O91)</f>
        <v> </v>
      </c>
      <c r="Z91" s="320" t="str">
        <f aca="false">IF($A91="N/A"," ",$U91*(8*($BR91))*P91)</f>
        <v> </v>
      </c>
      <c r="AA91" s="320" t="str">
        <f aca="false">IF($A91="N/A"," ",$U91*(8*($BR91))*Q91)</f>
        <v> </v>
      </c>
      <c r="AB91" s="320" t="str">
        <f aca="false">IF($A91="N/A"," ",$U91*(8*($BS91))*R91)</f>
        <v> </v>
      </c>
      <c r="AC91" s="320" t="str">
        <f aca="false">IF($A91="N/A"," ",$U91*(8*($BS91))*S91)</f>
        <v> </v>
      </c>
      <c r="AD91" s="320" t="str">
        <f aca="false">IF($A91="N/A"," ",$U91*(8*($BS91))*T91)</f>
        <v> </v>
      </c>
      <c r="AE91" s="320" t="str">
        <f aca="false">IF($A91="N/A"," ",SUM(V91:AD91))</f>
        <v> </v>
      </c>
      <c r="AF91" s="321" t="str">
        <f aca="false">IF(A91="N/A"," ",(VLOOKUP(A91,PowerVolTable,(IF(VolBMO4=2,7,IF(VolBMO4=1,6,8))),FALSE())))</f>
        <v> </v>
      </c>
      <c r="AG91" s="321" t="str">
        <f aca="false">IF(A91="N/A"," ",(VLOOKUP(A91,IntraPowerVol,(IF(VolBMO4=2,3,IF(VolBMO4=1,2,4))),FALSE())*VLOOKUP(MONTH($A91),Volscale,2)))</f>
        <v> </v>
      </c>
      <c r="AH91" s="321" t="str">
        <f aca="false">IF($A91="N/A"," ",IF(VolType4=1,AG91,AF91))</f>
        <v> </v>
      </c>
      <c r="AI91" s="321" t="str">
        <f aca="false">IF($A91="N/A"," ",(VLOOKUP($A91,OffPwrVolTable,(IF(VolBMO4=2,7,IF(VolBMO4=1,6,8))),FALSE())))</f>
        <v> </v>
      </c>
      <c r="AJ91" s="321" t="str">
        <f aca="false">IF($A91="N/A"," ",(VLOOKUP($A91,OffPwrVolTable,(IF(VolBMO4=2,3,IF(VolBMO4=1,2,4))),FALSE())*VLOOKUP(MONTH($A91),Volscale,2)))</f>
        <v> </v>
      </c>
      <c r="AK91" s="321" t="str">
        <f aca="false">IF($A91="N/A"," ",IF(VolType4=1,AJ91,AI91))</f>
        <v> </v>
      </c>
      <c r="AL91" s="321" t="str">
        <f aca="false">IF($A91="N/A"," ",IF(PV=1,0,'Pricing Inputs4'!R124))</f>
        <v> </v>
      </c>
      <c r="AM91" s="323" t="str">
        <f aca="false">IF($A91="N/A"," ",(1+AL91/2)^(-2*((EOMONTH(A91,0)+20)-DateToday)/365.25))</f>
        <v> </v>
      </c>
      <c r="BQ91" s="0" t="str">
        <f aca="false">IF($A91="N/A"," ",(VLOOKUP($A91,NumberofDaysTable,2)))</f>
        <v> </v>
      </c>
      <c r="BR91" s="0" t="str">
        <f aca="false">IF($A91="N/A"," ",(VLOOKUP($A91,NumberofDaysTable,3)))</f>
        <v> </v>
      </c>
      <c r="BS91" s="0" t="str">
        <f aca="false">IF($A91="N/A"," ",(VLOOKUP($A91,NumberofDaysTable,4)))</f>
        <v> </v>
      </c>
    </row>
    <row r="92" customFormat="false" ht="12.75" hidden="false" customHeight="false" outlineLevel="0" collapsed="false">
      <c r="A92" s="315" t="str">
        <f aca="false">IF(A91="N/A","N/A",IF(EDATE(A91,1)&gt;Inputs!$R$5,"N/A",EDATE(A91,1)))</f>
        <v>N/A</v>
      </c>
      <c r="B92" s="316" t="str">
        <f aca="false">IF(A92="N/A"," ",YEAR(A92))</f>
        <v> </v>
      </c>
      <c r="C92" s="317" t="str">
        <f aca="false">IF($A92="N/A"," ",IF(Dayrun4=10,0,IF(Scaler4=1,(VLOOKUP(A92,ScaledPrice4,4)),(VLOOKUP(A92,ScaledPrice4,2)))))</f>
        <v> </v>
      </c>
      <c r="D92" s="317" t="str">
        <f aca="false">IF(A92="N/A"," ",IF(Dayrun4&gt;=7,0,IF(Scaler4=2,VLOOKUP(A92,ScaledPrice4,2),(VLOOKUP(A92,ScaledPrice4,2))*(2-(VLOOKUP(A92,ScaledPrice4,3))))))</f>
        <v> </v>
      </c>
      <c r="E92" s="317" t="str">
        <f aca="false">IF($A92="N/A"," ",IF(AND(Dayrun4&gt;=4,Dayrun4&lt;=9),0,VLOOKUP($A92,ScaledPrice4,9)))</f>
        <v> </v>
      </c>
      <c r="F92" s="317" t="str">
        <f aca="false">IF(A92="N/A"," ",IF(OR(Dayrun4=2,Dayrun4=3,Dayrun4=5,Dayrun4=6,Dayrun4=8,Dayrun4=9),VLOOKUP(A92,ScaledPrice4,IF(Scaler4=1,6,5)),0))</f>
        <v> </v>
      </c>
      <c r="G92" s="317" t="str">
        <f aca="false">IF(A92="N/A"," ",IF(OR(Dayrun4=2,Dayrun4=3,Dayrun4=5,Dayrun4=6),IF(Scaler4=2,F92,(VLOOKUP(A92,ScaledPrice4,5))*(2-(VLOOKUP(A92,ScaledPrice4,3)))),0))</f>
        <v> </v>
      </c>
      <c r="H92" s="317" t="str">
        <f aca="false">IF($A92="N/A"," ",IF(OR(Dayrun4=2,Dayrun4=3,Dayrun4=10),VLOOKUP($A92,ScaledPrice4,9),0))</f>
        <v> </v>
      </c>
      <c r="I92" s="317" t="str">
        <f aca="false">IF(A92="N/A"," ",IF(OR(Dayrun4=3,Dayrun4=6,Dayrun4=9),(VLOOKUP(A92,ScaledPrice4,IF(Scaler4=2,7,8))),0))</f>
        <v> </v>
      </c>
      <c r="J92" s="317" t="str">
        <f aca="false">IF(A92="N/A"," ",IF(OR(Dayrun4=3,Dayrun4=6),IF(Scaler4=2,I92,(VLOOKUP(A92,ScaledPrice4,7))*(2-(VLOOKUP(A92,ScaledPrice4,3)))),0))</f>
        <v> </v>
      </c>
      <c r="K92" s="317" t="str">
        <f aca="false">IF($A92="N/A"," ",IF(OR(Dayrun4=3,Dayrun4=10),VLOOKUP($A92,ScaledPrice4,9),0))</f>
        <v> </v>
      </c>
      <c r="L92" s="318" t="str">
        <f aca="false">IF($A92="N/A"," ",IF(Pricetype4=2,MAX(C92,0),IF(OR(Pricetype4=1,Pricetype4=4),IF(C92=0,0,(EURO(C92,Strikeprice4,0,0,($AH92+IF(Smile=TRUE(),VLOOKUP(MAX(-5,Strikeprice4-C92),Volsmile,2),0)),($A92-DateToday)+15,IF(Pricetype4=1,1,0),0))),C92)))</f>
        <v> </v>
      </c>
      <c r="M92" s="318" t="str">
        <f aca="false">IF($A92="N/A"," ",IF(Pricetype4=2,MAX(D92,0),IF(OR(Pricetype4=1,Pricetype4=4),IF(D92=0,0,(EURO(D92,Strikeprice4,0,0,($AH92+IF(Smile=TRUE(),VLOOKUP(MAX(-5,Strikeprice4-D92),Volsmile,2),0)),($A92-DateToday)+15,IF(Pricetype4=1,1,0),0))),D92)))</f>
        <v> </v>
      </c>
      <c r="N92" s="318" t="str">
        <f aca="false">IF($A92="N/A"," ",IF(Pricetype4=2,MAX(E92,0),IF(OR(Pricetype4=1,Pricetype4=4),IF(E92=0,0,(EURO(E92,Strikeprice4,0,0,($AK92+IF(Smile=TRUE(),VLOOKUP(MAX(-5,Strikeprice4-E92),Volsmile,2),0)),($A92-DateToday)+15,IF(Pricetype4=1,1,0),0))),E92)))</f>
        <v> </v>
      </c>
      <c r="O92" s="318" t="str">
        <f aca="false">IF($A92="N/A"," ",IF(Pricetype4=2,MAX(F92,0),IF(OR(Pricetype4=1,Pricetype4=4),IF(F92=0,0,(EURO(F92,Strikeprice4,0,0,($AK92+IF(Smile=TRUE(),VLOOKUP(MAX(-5,Strikeprice4-F92),Volsmile,2),0)),($A92-DateToday)+15,IF(Pricetype4=1,1,0),0))),F92)))</f>
        <v> </v>
      </c>
      <c r="P92" s="318" t="str">
        <f aca="false">IF($A92="N/A"," ",IF(Pricetype4=2,MAX(G92,0),IF(OR(Pricetype4=1,Pricetype4=4),IF(G92=0,0,(EURO(G92,Strikeprice4,0,0,($AK92+IF(Smile=TRUE(),VLOOKUP(MAX(-5,Strikeprice4-G92),Volsmile,2),0)),($A92-DateToday)+15,IF(Pricetype4=1,1,0),0))),G92)))</f>
        <v> </v>
      </c>
      <c r="Q92" s="318" t="str">
        <f aca="false">IF($A92="N/A"," ",IF(Pricetype4=2,MAX(H92,0),IF(OR(Pricetype4=1,Pricetype4=4),IF(H92=0,0,(EURO(H92,Strikeprice4,0,0,($AK92+IF(Smile=TRUE(),VLOOKUP(MAX(-5,Strikeprice4-H92),Volsmile,2),0)),($A92-DateToday)+15,IF(Pricetype4=1,1,0),0))),H92)))</f>
        <v> </v>
      </c>
      <c r="R92" s="318" t="str">
        <f aca="false">IF($A92="N/A"," ",IF(Pricetype4=2,MAX(I92,0),IF(OR(Pricetype4=1,Pricetype4=4),IF(I92=0,0,(EURO(I92,Strikeprice4,0,0,($AK92+IF(Smile=TRUE(),VLOOKUP(MAX(-5,Strikeprice4-I92),Volsmile,2),0)),($A92-DateToday)+15,IF(Pricetype4=1,1,0),0))),I92)))</f>
        <v> </v>
      </c>
      <c r="S92" s="318" t="str">
        <f aca="false">IF($A92="N/A"," ",IF(Pricetype4=2,MAX(J92,0),IF(OR(Pricetype4=1,Pricetype4=4),IF(J92=0,0,(EURO(J92,Strikeprice4,0,0,($AK92+IF(Smile=TRUE(),VLOOKUP(MAX(-5,Strikeprice4-J92),Volsmile,2),0)),($A92-DateToday)+15,IF(Pricetype4=1,1,0),0))),J92)))</f>
        <v> </v>
      </c>
      <c r="T92" s="318" t="str">
        <f aca="false">IF($A92="N/A"," ",IF(Pricetype4=2,MAX(K92,0),IF(OR(Pricetype4=1,Pricetype4=4),IF(K92=0,0,(EURO(K92,Strikeprice4,0,0,($AK92+IF(Smile=TRUE(),VLOOKUP(MAX(-5,Strikeprice4-K92),Volsmile,2),0)),($A92-DateToday)+15,IF(Pricetype4=1,1,0),0))),K92)))</f>
        <v> </v>
      </c>
      <c r="U92" s="319" t="str">
        <f aca="false">IF($A92="N/A"," ",Volume4*$AM92)</f>
        <v> </v>
      </c>
      <c r="V92" s="320" t="str">
        <f aca="false">IF($A92="N/A"," ",$U92*(8*($BQ92))*L92)</f>
        <v> </v>
      </c>
      <c r="W92" s="320" t="str">
        <f aca="false">IF($A92="N/A"," ",$U92*(8*($BQ92))*M92)</f>
        <v> </v>
      </c>
      <c r="X92" s="320" t="str">
        <f aca="false">IF($A92="N/A"," ",$U92*(8*($BQ92))*N92)</f>
        <v> </v>
      </c>
      <c r="Y92" s="320" t="str">
        <f aca="false">IF($A92="N/A"," ",$U92*(8*($BR92))*O92)</f>
        <v> </v>
      </c>
      <c r="Z92" s="320" t="str">
        <f aca="false">IF($A92="N/A"," ",$U92*(8*($BR92))*P92)</f>
        <v> </v>
      </c>
      <c r="AA92" s="320" t="str">
        <f aca="false">IF($A92="N/A"," ",$U92*(8*($BR92))*Q92)</f>
        <v> </v>
      </c>
      <c r="AB92" s="320" t="str">
        <f aca="false">IF($A92="N/A"," ",$U92*(8*($BS92))*R92)</f>
        <v> </v>
      </c>
      <c r="AC92" s="320" t="str">
        <f aca="false">IF($A92="N/A"," ",$U92*(8*($BS92))*S92)</f>
        <v> </v>
      </c>
      <c r="AD92" s="320" t="str">
        <f aca="false">IF($A92="N/A"," ",$U92*(8*($BS92))*T92)</f>
        <v> </v>
      </c>
      <c r="AE92" s="320" t="str">
        <f aca="false">IF($A92="N/A"," ",SUM(V92:AD92))</f>
        <v> </v>
      </c>
      <c r="AF92" s="321" t="str">
        <f aca="false">IF(A92="N/A"," ",(VLOOKUP(A92,PowerVolTable,(IF(VolBMO4=2,7,IF(VolBMO4=1,6,8))),FALSE())))</f>
        <v> </v>
      </c>
      <c r="AG92" s="321" t="str">
        <f aca="false">IF(A92="N/A"," ",(VLOOKUP(A92,IntraPowerVol,(IF(VolBMO4=2,3,IF(VolBMO4=1,2,4))),FALSE())*VLOOKUP(MONTH($A92),Volscale,2)))</f>
        <v> </v>
      </c>
      <c r="AH92" s="321" t="str">
        <f aca="false">IF($A92="N/A"," ",IF(VolType4=1,AG92,AF92))</f>
        <v> </v>
      </c>
      <c r="AI92" s="321" t="str">
        <f aca="false">IF($A92="N/A"," ",(VLOOKUP($A92,OffPwrVolTable,(IF(VolBMO4=2,7,IF(VolBMO4=1,6,8))),FALSE())))</f>
        <v> </v>
      </c>
      <c r="AJ92" s="321" t="str">
        <f aca="false">IF($A92="N/A"," ",(VLOOKUP($A92,OffPwrVolTable,(IF(VolBMO4=2,3,IF(VolBMO4=1,2,4))),FALSE())*VLOOKUP(MONTH($A92),Volscale,2)))</f>
        <v> </v>
      </c>
      <c r="AK92" s="321" t="str">
        <f aca="false">IF($A92="N/A"," ",IF(VolType4=1,AJ92,AI92))</f>
        <v> </v>
      </c>
      <c r="AL92" s="321" t="str">
        <f aca="false">IF($A92="N/A"," ",IF(PV=1,0,'Pricing Inputs4'!R125))</f>
        <v> </v>
      </c>
      <c r="AM92" s="323" t="str">
        <f aca="false">IF($A92="N/A"," ",(1+AL92/2)^(-2*((EOMONTH(A92,0)+20)-DateToday)/365.25))</f>
        <v> </v>
      </c>
      <c r="BQ92" s="0" t="str">
        <f aca="false">IF($A92="N/A"," ",(VLOOKUP($A92,NumberofDaysTable,2)))</f>
        <v> </v>
      </c>
      <c r="BR92" s="0" t="str">
        <f aca="false">IF($A92="N/A"," ",(VLOOKUP($A92,NumberofDaysTable,3)))</f>
        <v> </v>
      </c>
      <c r="BS92" s="0" t="str">
        <f aca="false">IF($A92="N/A"," ",(VLOOKUP($A92,NumberofDaysTable,4)))</f>
        <v> </v>
      </c>
    </row>
    <row r="93" customFormat="false" ht="12.75" hidden="false" customHeight="false" outlineLevel="0" collapsed="false">
      <c r="A93" s="315" t="str">
        <f aca="false">IF(A92="N/A","N/A",IF(EDATE(A92,1)&gt;Inputs!$R$5,"N/A",EDATE(A92,1)))</f>
        <v>N/A</v>
      </c>
      <c r="B93" s="316" t="str">
        <f aca="false">IF(A93="N/A"," ",YEAR(A93))</f>
        <v> </v>
      </c>
      <c r="C93" s="317" t="str">
        <f aca="false">IF($A93="N/A"," ",IF(Dayrun4=10,0,IF(Scaler4=1,(VLOOKUP(A93,ScaledPrice4,4)),(VLOOKUP(A93,ScaledPrice4,2)))))</f>
        <v> </v>
      </c>
      <c r="D93" s="317" t="str">
        <f aca="false">IF(A93="N/A"," ",IF(Dayrun4&gt;=7,0,IF(Scaler4=2,VLOOKUP(A93,ScaledPrice4,2),(VLOOKUP(A93,ScaledPrice4,2))*(2-(VLOOKUP(A93,ScaledPrice4,3))))))</f>
        <v> </v>
      </c>
      <c r="E93" s="317" t="str">
        <f aca="false">IF($A93="N/A"," ",IF(AND(Dayrun4&gt;=4,Dayrun4&lt;=9),0,VLOOKUP($A93,ScaledPrice4,9)))</f>
        <v> </v>
      </c>
      <c r="F93" s="317" t="str">
        <f aca="false">IF(A93="N/A"," ",IF(OR(Dayrun4=2,Dayrun4=3,Dayrun4=5,Dayrun4=6,Dayrun4=8,Dayrun4=9),VLOOKUP(A93,ScaledPrice4,IF(Scaler4=1,6,5)),0))</f>
        <v> </v>
      </c>
      <c r="G93" s="317" t="str">
        <f aca="false">IF(A93="N/A"," ",IF(OR(Dayrun4=2,Dayrun4=3,Dayrun4=5,Dayrun4=6),IF(Scaler4=2,F93,(VLOOKUP(A93,ScaledPrice4,5))*(2-(VLOOKUP(A93,ScaledPrice4,3)))),0))</f>
        <v> </v>
      </c>
      <c r="H93" s="317" t="str">
        <f aca="false">IF($A93="N/A"," ",IF(OR(Dayrun4=2,Dayrun4=3,Dayrun4=10),VLOOKUP($A93,ScaledPrice4,9),0))</f>
        <v> </v>
      </c>
      <c r="I93" s="317" t="str">
        <f aca="false">IF(A93="N/A"," ",IF(OR(Dayrun4=3,Dayrun4=6,Dayrun4=9),(VLOOKUP(A93,ScaledPrice4,IF(Scaler4=2,7,8))),0))</f>
        <v> </v>
      </c>
      <c r="J93" s="317" t="str">
        <f aca="false">IF(A93="N/A"," ",IF(OR(Dayrun4=3,Dayrun4=6),IF(Scaler4=2,I93,(VLOOKUP(A93,ScaledPrice4,7))*(2-(VLOOKUP(A93,ScaledPrice4,3)))),0))</f>
        <v> </v>
      </c>
      <c r="K93" s="317" t="str">
        <f aca="false">IF($A93="N/A"," ",IF(OR(Dayrun4=3,Dayrun4=10),VLOOKUP($A93,ScaledPrice4,9),0))</f>
        <v> </v>
      </c>
      <c r="L93" s="318" t="str">
        <f aca="false">IF($A93="N/A"," ",IF(Pricetype4=2,MAX(C93,0),IF(OR(Pricetype4=1,Pricetype4=4),IF(C93=0,0,(EURO(C93,Strikeprice4,0,0,($AH93+IF(Smile=TRUE(),VLOOKUP(MAX(-5,Strikeprice4-C93),Volsmile,2),0)),($A93-DateToday)+15,IF(Pricetype4=1,1,0),0))),C93)))</f>
        <v> </v>
      </c>
      <c r="M93" s="318" t="str">
        <f aca="false">IF($A93="N/A"," ",IF(Pricetype4=2,MAX(D93,0),IF(OR(Pricetype4=1,Pricetype4=4),IF(D93=0,0,(EURO(D93,Strikeprice4,0,0,($AH93+IF(Smile=TRUE(),VLOOKUP(MAX(-5,Strikeprice4-D93),Volsmile,2),0)),($A93-DateToday)+15,IF(Pricetype4=1,1,0),0))),D93)))</f>
        <v> </v>
      </c>
      <c r="N93" s="318" t="str">
        <f aca="false">IF($A93="N/A"," ",IF(Pricetype4=2,MAX(E93,0),IF(OR(Pricetype4=1,Pricetype4=4),IF(E93=0,0,(EURO(E93,Strikeprice4,0,0,($AK93+IF(Smile=TRUE(),VLOOKUP(MAX(-5,Strikeprice4-E93),Volsmile,2),0)),($A93-DateToday)+15,IF(Pricetype4=1,1,0),0))),E93)))</f>
        <v> </v>
      </c>
      <c r="O93" s="318" t="str">
        <f aca="false">IF($A93="N/A"," ",IF(Pricetype4=2,MAX(F93,0),IF(OR(Pricetype4=1,Pricetype4=4),IF(F93=0,0,(EURO(F93,Strikeprice4,0,0,($AK93+IF(Smile=TRUE(),VLOOKUP(MAX(-5,Strikeprice4-F93),Volsmile,2),0)),($A93-DateToday)+15,IF(Pricetype4=1,1,0),0))),F93)))</f>
        <v> </v>
      </c>
      <c r="P93" s="318" t="str">
        <f aca="false">IF($A93="N/A"," ",IF(Pricetype4=2,MAX(G93,0),IF(OR(Pricetype4=1,Pricetype4=4),IF(G93=0,0,(EURO(G93,Strikeprice4,0,0,($AK93+IF(Smile=TRUE(),VLOOKUP(MAX(-5,Strikeprice4-G93),Volsmile,2),0)),($A93-DateToday)+15,IF(Pricetype4=1,1,0),0))),G93)))</f>
        <v> </v>
      </c>
      <c r="Q93" s="318" t="str">
        <f aca="false">IF($A93="N/A"," ",IF(Pricetype4=2,MAX(H93,0),IF(OR(Pricetype4=1,Pricetype4=4),IF(H93=0,0,(EURO(H93,Strikeprice4,0,0,($AK93+IF(Smile=TRUE(),VLOOKUP(MAX(-5,Strikeprice4-H93),Volsmile,2),0)),($A93-DateToday)+15,IF(Pricetype4=1,1,0),0))),H93)))</f>
        <v> </v>
      </c>
      <c r="R93" s="318" t="str">
        <f aca="false">IF($A93="N/A"," ",IF(Pricetype4=2,MAX(I93,0),IF(OR(Pricetype4=1,Pricetype4=4),IF(I93=0,0,(EURO(I93,Strikeprice4,0,0,($AK93+IF(Smile=TRUE(),VLOOKUP(MAX(-5,Strikeprice4-I93),Volsmile,2),0)),($A93-DateToday)+15,IF(Pricetype4=1,1,0),0))),I93)))</f>
        <v> </v>
      </c>
      <c r="S93" s="318" t="str">
        <f aca="false">IF($A93="N/A"," ",IF(Pricetype4=2,MAX(J93,0),IF(OR(Pricetype4=1,Pricetype4=4),IF(J93=0,0,(EURO(J93,Strikeprice4,0,0,($AK93+IF(Smile=TRUE(),VLOOKUP(MAX(-5,Strikeprice4-J93),Volsmile,2),0)),($A93-DateToday)+15,IF(Pricetype4=1,1,0),0))),J93)))</f>
        <v> </v>
      </c>
      <c r="T93" s="318" t="str">
        <f aca="false">IF($A93="N/A"," ",IF(Pricetype4=2,MAX(K93,0),IF(OR(Pricetype4=1,Pricetype4=4),IF(K93=0,0,(EURO(K93,Strikeprice4,0,0,($AK93+IF(Smile=TRUE(),VLOOKUP(MAX(-5,Strikeprice4-K93),Volsmile,2),0)),($A93-DateToday)+15,IF(Pricetype4=1,1,0),0))),K93)))</f>
        <v> </v>
      </c>
      <c r="U93" s="319" t="str">
        <f aca="false">IF($A93="N/A"," ",Volume4*$AM93)</f>
        <v> </v>
      </c>
      <c r="V93" s="320" t="str">
        <f aca="false">IF($A93="N/A"," ",$U93*(8*($BQ93))*L93)</f>
        <v> </v>
      </c>
      <c r="W93" s="320" t="str">
        <f aca="false">IF($A93="N/A"," ",$U93*(8*($BQ93))*M93)</f>
        <v> </v>
      </c>
      <c r="X93" s="320" t="str">
        <f aca="false">IF($A93="N/A"," ",$U93*(8*($BQ93))*N93)</f>
        <v> </v>
      </c>
      <c r="Y93" s="320" t="str">
        <f aca="false">IF($A93="N/A"," ",$U93*(8*($BR93))*O93)</f>
        <v> </v>
      </c>
      <c r="Z93" s="320" t="str">
        <f aca="false">IF($A93="N/A"," ",$U93*(8*($BR93))*P93)</f>
        <v> </v>
      </c>
      <c r="AA93" s="320" t="str">
        <f aca="false">IF($A93="N/A"," ",$U93*(8*($BR93))*Q93)</f>
        <v> </v>
      </c>
      <c r="AB93" s="320" t="str">
        <f aca="false">IF($A93="N/A"," ",$U93*(8*($BS93))*R93)</f>
        <v> </v>
      </c>
      <c r="AC93" s="320" t="str">
        <f aca="false">IF($A93="N/A"," ",$U93*(8*($BS93))*S93)</f>
        <v> </v>
      </c>
      <c r="AD93" s="320" t="str">
        <f aca="false">IF($A93="N/A"," ",$U93*(8*($BS93))*T93)</f>
        <v> </v>
      </c>
      <c r="AE93" s="320" t="str">
        <f aca="false">IF($A93="N/A"," ",SUM(V93:AD93))</f>
        <v> </v>
      </c>
      <c r="AF93" s="321" t="str">
        <f aca="false">IF(A93="N/A"," ",(VLOOKUP(A93,PowerVolTable,(IF(VolBMO4=2,7,IF(VolBMO4=1,6,8))),FALSE())))</f>
        <v> </v>
      </c>
      <c r="AG93" s="321" t="str">
        <f aca="false">IF(A93="N/A"," ",(VLOOKUP(A93,IntraPowerVol,(IF(VolBMO4=2,3,IF(VolBMO4=1,2,4))),FALSE())*VLOOKUP(MONTH($A93),Volscale,2)))</f>
        <v> </v>
      </c>
      <c r="AH93" s="321" t="str">
        <f aca="false">IF($A93="N/A"," ",IF(VolType4=1,AG93,AF93))</f>
        <v> </v>
      </c>
      <c r="AI93" s="321" t="str">
        <f aca="false">IF($A93="N/A"," ",(VLOOKUP($A93,OffPwrVolTable,(IF(VolBMO4=2,7,IF(VolBMO4=1,6,8))),FALSE())))</f>
        <v> </v>
      </c>
      <c r="AJ93" s="321" t="str">
        <f aca="false">IF($A93="N/A"," ",(VLOOKUP($A93,OffPwrVolTable,(IF(VolBMO4=2,3,IF(VolBMO4=1,2,4))),FALSE())*VLOOKUP(MONTH($A93),Volscale,2)))</f>
        <v> </v>
      </c>
      <c r="AK93" s="321" t="str">
        <f aca="false">IF($A93="N/A"," ",IF(VolType4=1,AJ93,AI93))</f>
        <v> </v>
      </c>
      <c r="AL93" s="321" t="str">
        <f aca="false">IF($A93="N/A"," ",IF(PV=1,0,'Pricing Inputs4'!R126))</f>
        <v> </v>
      </c>
      <c r="AM93" s="323" t="str">
        <f aca="false">IF($A93="N/A"," ",(1+AL93/2)^(-2*((EOMONTH(A93,0)+20)-DateToday)/365.25))</f>
        <v> </v>
      </c>
      <c r="BQ93" s="0" t="str">
        <f aca="false">IF($A93="N/A"," ",(VLOOKUP($A93,NumberofDaysTable,2)))</f>
        <v> </v>
      </c>
      <c r="BR93" s="0" t="str">
        <f aca="false">IF($A93="N/A"," ",(VLOOKUP($A93,NumberofDaysTable,3)))</f>
        <v> </v>
      </c>
      <c r="BS93" s="0" t="str">
        <f aca="false">IF($A93="N/A"," ",(VLOOKUP($A93,NumberofDaysTable,4)))</f>
        <v> </v>
      </c>
    </row>
    <row r="94" customFormat="false" ht="12.75" hidden="false" customHeight="false" outlineLevel="0" collapsed="false">
      <c r="A94" s="315" t="str">
        <f aca="false">IF(A93="N/A","N/A",IF(EDATE(A93,1)&gt;Inputs!$R$5,"N/A",EDATE(A93,1)))</f>
        <v>N/A</v>
      </c>
      <c r="B94" s="316" t="str">
        <f aca="false">IF(A94="N/A"," ",YEAR(A94))</f>
        <v> </v>
      </c>
      <c r="C94" s="317" t="str">
        <f aca="false">IF($A94="N/A"," ",IF(Dayrun4=10,0,IF(Scaler4=1,(VLOOKUP(A94,ScaledPrice4,4)),(VLOOKUP(A94,ScaledPrice4,2)))))</f>
        <v> </v>
      </c>
      <c r="D94" s="317" t="str">
        <f aca="false">IF(A94="N/A"," ",IF(Dayrun4&gt;=7,0,IF(Scaler4=2,VLOOKUP(A94,ScaledPrice4,2),(VLOOKUP(A94,ScaledPrice4,2))*(2-(VLOOKUP(A94,ScaledPrice4,3))))))</f>
        <v> </v>
      </c>
      <c r="E94" s="317" t="str">
        <f aca="false">IF($A94="N/A"," ",IF(AND(Dayrun4&gt;=4,Dayrun4&lt;=9),0,VLOOKUP($A94,ScaledPrice4,9)))</f>
        <v> </v>
      </c>
      <c r="F94" s="317" t="str">
        <f aca="false">IF(A94="N/A"," ",IF(OR(Dayrun4=2,Dayrun4=3,Dayrun4=5,Dayrun4=6,Dayrun4=8,Dayrun4=9),VLOOKUP(A94,ScaledPrice4,IF(Scaler4=1,6,5)),0))</f>
        <v> </v>
      </c>
      <c r="G94" s="317" t="str">
        <f aca="false">IF(A94="N/A"," ",IF(OR(Dayrun4=2,Dayrun4=3,Dayrun4=5,Dayrun4=6),IF(Scaler4=2,F94,(VLOOKUP(A94,ScaledPrice4,5))*(2-(VLOOKUP(A94,ScaledPrice4,3)))),0))</f>
        <v> </v>
      </c>
      <c r="H94" s="317" t="str">
        <f aca="false">IF($A94="N/A"," ",IF(OR(Dayrun4=2,Dayrun4=3,Dayrun4=10),VLOOKUP($A94,ScaledPrice4,9),0))</f>
        <v> </v>
      </c>
      <c r="I94" s="317" t="str">
        <f aca="false">IF(A94="N/A"," ",IF(OR(Dayrun4=3,Dayrun4=6,Dayrun4=9),(VLOOKUP(A94,ScaledPrice4,IF(Scaler4=2,7,8))),0))</f>
        <v> </v>
      </c>
      <c r="J94" s="317" t="str">
        <f aca="false">IF(A94="N/A"," ",IF(OR(Dayrun4=3,Dayrun4=6),IF(Scaler4=2,I94,(VLOOKUP(A94,ScaledPrice4,7))*(2-(VLOOKUP(A94,ScaledPrice4,3)))),0))</f>
        <v> </v>
      </c>
      <c r="K94" s="317" t="str">
        <f aca="false">IF($A94="N/A"," ",IF(OR(Dayrun4=3,Dayrun4=10),VLOOKUP($A94,ScaledPrice4,9),0))</f>
        <v> </v>
      </c>
      <c r="L94" s="318" t="str">
        <f aca="false">IF($A94="N/A"," ",IF(Pricetype4=2,MAX(C94,0),IF(OR(Pricetype4=1,Pricetype4=4),IF(C94=0,0,(EURO(C94,Strikeprice4,0,0,($AH94+IF(Smile=TRUE(),VLOOKUP(MAX(-5,Strikeprice4-C94),Volsmile,2),0)),($A94-DateToday)+15,IF(Pricetype4=1,1,0),0))),C94)))</f>
        <v> </v>
      </c>
      <c r="M94" s="318" t="str">
        <f aca="false">IF($A94="N/A"," ",IF(Pricetype4=2,MAX(D94,0),IF(OR(Pricetype4=1,Pricetype4=4),IF(D94=0,0,(EURO(D94,Strikeprice4,0,0,($AH94+IF(Smile=TRUE(),VLOOKUP(MAX(-5,Strikeprice4-D94),Volsmile,2),0)),($A94-DateToday)+15,IF(Pricetype4=1,1,0),0))),D94)))</f>
        <v> </v>
      </c>
      <c r="N94" s="318" t="str">
        <f aca="false">IF($A94="N/A"," ",IF(Pricetype4=2,MAX(E94,0),IF(OR(Pricetype4=1,Pricetype4=4),IF(E94=0,0,(EURO(E94,Strikeprice4,0,0,($AK94+IF(Smile=TRUE(),VLOOKUP(MAX(-5,Strikeprice4-E94),Volsmile,2),0)),($A94-DateToday)+15,IF(Pricetype4=1,1,0),0))),E94)))</f>
        <v> </v>
      </c>
      <c r="O94" s="318" t="str">
        <f aca="false">IF($A94="N/A"," ",IF(Pricetype4=2,MAX(F94,0),IF(OR(Pricetype4=1,Pricetype4=4),IF(F94=0,0,(EURO(F94,Strikeprice4,0,0,($AK94+IF(Smile=TRUE(),VLOOKUP(MAX(-5,Strikeprice4-F94),Volsmile,2),0)),($A94-DateToday)+15,IF(Pricetype4=1,1,0),0))),F94)))</f>
        <v> </v>
      </c>
      <c r="P94" s="318" t="str">
        <f aca="false">IF($A94="N/A"," ",IF(Pricetype4=2,MAX(G94,0),IF(OR(Pricetype4=1,Pricetype4=4),IF(G94=0,0,(EURO(G94,Strikeprice4,0,0,($AK94+IF(Smile=TRUE(),VLOOKUP(MAX(-5,Strikeprice4-G94),Volsmile,2),0)),($A94-DateToday)+15,IF(Pricetype4=1,1,0),0))),G94)))</f>
        <v> </v>
      </c>
      <c r="Q94" s="318" t="str">
        <f aca="false">IF($A94="N/A"," ",IF(Pricetype4=2,MAX(H94,0),IF(OR(Pricetype4=1,Pricetype4=4),IF(H94=0,0,(EURO(H94,Strikeprice4,0,0,($AK94+IF(Smile=TRUE(),VLOOKUP(MAX(-5,Strikeprice4-H94),Volsmile,2),0)),($A94-DateToday)+15,IF(Pricetype4=1,1,0),0))),H94)))</f>
        <v> </v>
      </c>
      <c r="R94" s="318" t="str">
        <f aca="false">IF($A94="N/A"," ",IF(Pricetype4=2,MAX(I94,0),IF(OR(Pricetype4=1,Pricetype4=4),IF(I94=0,0,(EURO(I94,Strikeprice4,0,0,($AK94+IF(Smile=TRUE(),VLOOKUP(MAX(-5,Strikeprice4-I94),Volsmile,2),0)),($A94-DateToday)+15,IF(Pricetype4=1,1,0),0))),I94)))</f>
        <v> </v>
      </c>
      <c r="S94" s="318" t="str">
        <f aca="false">IF($A94="N/A"," ",IF(Pricetype4=2,MAX(J94,0),IF(OR(Pricetype4=1,Pricetype4=4),IF(J94=0,0,(EURO(J94,Strikeprice4,0,0,($AK94+IF(Smile=TRUE(),VLOOKUP(MAX(-5,Strikeprice4-J94),Volsmile,2),0)),($A94-DateToday)+15,IF(Pricetype4=1,1,0),0))),J94)))</f>
        <v> </v>
      </c>
      <c r="T94" s="318" t="str">
        <f aca="false">IF($A94="N/A"," ",IF(Pricetype4=2,MAX(K94,0),IF(OR(Pricetype4=1,Pricetype4=4),IF(K94=0,0,(EURO(K94,Strikeprice4,0,0,($AK94+IF(Smile=TRUE(),VLOOKUP(MAX(-5,Strikeprice4-K94),Volsmile,2),0)),($A94-DateToday)+15,IF(Pricetype4=1,1,0),0))),K94)))</f>
        <v> </v>
      </c>
      <c r="U94" s="319" t="str">
        <f aca="false">IF($A94="N/A"," ",Volume4*$AM94)</f>
        <v> </v>
      </c>
      <c r="V94" s="320" t="str">
        <f aca="false">IF($A94="N/A"," ",$U94*(8*($BQ94))*L94)</f>
        <v> </v>
      </c>
      <c r="W94" s="320" t="str">
        <f aca="false">IF($A94="N/A"," ",$U94*(8*($BQ94))*M94)</f>
        <v> </v>
      </c>
      <c r="X94" s="320" t="str">
        <f aca="false">IF($A94="N/A"," ",$U94*(8*($BQ94))*N94)</f>
        <v> </v>
      </c>
      <c r="Y94" s="320" t="str">
        <f aca="false">IF($A94="N/A"," ",$U94*(8*($BR94))*O94)</f>
        <v> </v>
      </c>
      <c r="Z94" s="320" t="str">
        <f aca="false">IF($A94="N/A"," ",$U94*(8*($BR94))*P94)</f>
        <v> </v>
      </c>
      <c r="AA94" s="320" t="str">
        <f aca="false">IF($A94="N/A"," ",$U94*(8*($BR94))*Q94)</f>
        <v> </v>
      </c>
      <c r="AB94" s="320" t="str">
        <f aca="false">IF($A94="N/A"," ",$U94*(8*($BS94))*R94)</f>
        <v> </v>
      </c>
      <c r="AC94" s="320" t="str">
        <f aca="false">IF($A94="N/A"," ",$U94*(8*($BS94))*S94)</f>
        <v> </v>
      </c>
      <c r="AD94" s="320" t="str">
        <f aca="false">IF($A94="N/A"," ",$U94*(8*($BS94))*T94)</f>
        <v> </v>
      </c>
      <c r="AE94" s="320" t="str">
        <f aca="false">IF($A94="N/A"," ",SUM(V94:AD94))</f>
        <v> </v>
      </c>
      <c r="AF94" s="321" t="str">
        <f aca="false">IF(A94="N/A"," ",(VLOOKUP(A94,PowerVolTable,(IF(VolBMO4=2,7,IF(VolBMO4=1,6,8))),FALSE())))</f>
        <v> </v>
      </c>
      <c r="AG94" s="321" t="str">
        <f aca="false">IF(A94="N/A"," ",(VLOOKUP(A94,IntraPowerVol,(IF(VolBMO4=2,3,IF(VolBMO4=1,2,4))),FALSE())*VLOOKUP(MONTH($A94),Volscale,2)))</f>
        <v> </v>
      </c>
      <c r="AH94" s="321" t="str">
        <f aca="false">IF($A94="N/A"," ",IF(VolType4=1,AG94,AF94))</f>
        <v> </v>
      </c>
      <c r="AI94" s="321" t="str">
        <f aca="false">IF($A94="N/A"," ",(VLOOKUP($A94,OffPwrVolTable,(IF(VolBMO4=2,7,IF(VolBMO4=1,6,8))),FALSE())))</f>
        <v> </v>
      </c>
      <c r="AJ94" s="321" t="str">
        <f aca="false">IF($A94="N/A"," ",(VLOOKUP($A94,OffPwrVolTable,(IF(VolBMO4=2,3,IF(VolBMO4=1,2,4))),FALSE())*VLOOKUP(MONTH($A94),Volscale,2)))</f>
        <v> </v>
      </c>
      <c r="AK94" s="321" t="str">
        <f aca="false">IF($A94="N/A"," ",IF(VolType4=1,AJ94,AI94))</f>
        <v> </v>
      </c>
      <c r="AL94" s="321" t="str">
        <f aca="false">IF($A94="N/A"," ",IF(PV=1,0,'Pricing Inputs4'!R127))</f>
        <v> </v>
      </c>
      <c r="AM94" s="323" t="str">
        <f aca="false">IF($A94="N/A"," ",(1+AL94/2)^(-2*((EOMONTH(A94,0)+20)-DateToday)/365.25))</f>
        <v> </v>
      </c>
      <c r="BQ94" s="0" t="str">
        <f aca="false">IF($A94="N/A"," ",(VLOOKUP($A94,NumberofDaysTable,2)))</f>
        <v> </v>
      </c>
      <c r="BR94" s="0" t="str">
        <f aca="false">IF($A94="N/A"," ",(VLOOKUP($A94,NumberofDaysTable,3)))</f>
        <v> </v>
      </c>
      <c r="BS94" s="0" t="str">
        <f aca="false">IF($A94="N/A"," ",(VLOOKUP($A94,NumberofDaysTable,4)))</f>
        <v> </v>
      </c>
    </row>
    <row r="95" customFormat="false" ht="12.75" hidden="false" customHeight="false" outlineLevel="0" collapsed="false">
      <c r="A95" s="315" t="str">
        <f aca="false">IF(A94="N/A","N/A",IF(EDATE(A94,1)&gt;Inputs!$R$5,"N/A",EDATE(A94,1)))</f>
        <v>N/A</v>
      </c>
      <c r="B95" s="316" t="str">
        <f aca="false">IF(A95="N/A"," ",YEAR(A95))</f>
        <v> </v>
      </c>
      <c r="C95" s="317" t="str">
        <f aca="false">IF($A95="N/A"," ",IF(Dayrun4=10,0,IF(Scaler4=1,(VLOOKUP(A95,ScaledPrice4,4)),(VLOOKUP(A95,ScaledPrice4,2)))))</f>
        <v> </v>
      </c>
      <c r="D95" s="317" t="str">
        <f aca="false">IF(A95="N/A"," ",IF(Dayrun4&gt;=7,0,IF(Scaler4=2,VLOOKUP(A95,ScaledPrice4,2),(VLOOKUP(A95,ScaledPrice4,2))*(2-(VLOOKUP(A95,ScaledPrice4,3))))))</f>
        <v> </v>
      </c>
      <c r="E95" s="317" t="str">
        <f aca="false">IF($A95="N/A"," ",IF(AND(Dayrun4&gt;=4,Dayrun4&lt;=9),0,VLOOKUP($A95,ScaledPrice4,9)))</f>
        <v> </v>
      </c>
      <c r="F95" s="317" t="str">
        <f aca="false">IF(A95="N/A"," ",IF(OR(Dayrun4=2,Dayrun4=3,Dayrun4=5,Dayrun4=6,Dayrun4=8,Dayrun4=9),VLOOKUP(A95,ScaledPrice4,IF(Scaler4=1,6,5)),0))</f>
        <v> </v>
      </c>
      <c r="G95" s="317" t="str">
        <f aca="false">IF(A95="N/A"," ",IF(OR(Dayrun4=2,Dayrun4=3,Dayrun4=5,Dayrun4=6),IF(Scaler4=2,F95,(VLOOKUP(A95,ScaledPrice4,5))*(2-(VLOOKUP(A95,ScaledPrice4,3)))),0))</f>
        <v> </v>
      </c>
      <c r="H95" s="317" t="str">
        <f aca="false">IF($A95="N/A"," ",IF(OR(Dayrun4=2,Dayrun4=3,Dayrun4=10),VLOOKUP($A95,ScaledPrice4,9),0))</f>
        <v> </v>
      </c>
      <c r="I95" s="317" t="str">
        <f aca="false">IF(A95="N/A"," ",IF(OR(Dayrun4=3,Dayrun4=6,Dayrun4=9),(VLOOKUP(A95,ScaledPrice4,IF(Scaler4=2,7,8))),0))</f>
        <v> </v>
      </c>
      <c r="J95" s="317" t="str">
        <f aca="false">IF(A95="N/A"," ",IF(OR(Dayrun4=3,Dayrun4=6),IF(Scaler4=2,I95,(VLOOKUP(A95,ScaledPrice4,7))*(2-(VLOOKUP(A95,ScaledPrice4,3)))),0))</f>
        <v> </v>
      </c>
      <c r="K95" s="317" t="str">
        <f aca="false">IF($A95="N/A"," ",IF(OR(Dayrun4=3,Dayrun4=10),VLOOKUP($A95,ScaledPrice4,9),0))</f>
        <v> </v>
      </c>
      <c r="L95" s="318" t="str">
        <f aca="false">IF($A95="N/A"," ",IF(Pricetype4=2,MAX(C95,0),IF(OR(Pricetype4=1,Pricetype4=4),IF(C95=0,0,(EURO(C95,Strikeprice4,0,0,($AH95+IF(Smile=TRUE(),VLOOKUP(MAX(-5,Strikeprice4-C95),Volsmile,2),0)),($A95-DateToday)+15,IF(Pricetype4=1,1,0),0))),C95)))</f>
        <v> </v>
      </c>
      <c r="M95" s="318" t="str">
        <f aca="false">IF($A95="N/A"," ",IF(Pricetype4=2,MAX(D95,0),IF(OR(Pricetype4=1,Pricetype4=4),IF(D95=0,0,(EURO(D95,Strikeprice4,0,0,($AH95+IF(Smile=TRUE(),VLOOKUP(MAX(-5,Strikeprice4-D95),Volsmile,2),0)),($A95-DateToday)+15,IF(Pricetype4=1,1,0),0))),D95)))</f>
        <v> </v>
      </c>
      <c r="N95" s="318" t="str">
        <f aca="false">IF($A95="N/A"," ",IF(Pricetype4=2,MAX(E95,0),IF(OR(Pricetype4=1,Pricetype4=4),IF(E95=0,0,(EURO(E95,Strikeprice4,0,0,($AK95+IF(Smile=TRUE(),VLOOKUP(MAX(-5,Strikeprice4-E95),Volsmile,2),0)),($A95-DateToday)+15,IF(Pricetype4=1,1,0),0))),E95)))</f>
        <v> </v>
      </c>
      <c r="O95" s="318" t="str">
        <f aca="false">IF($A95="N/A"," ",IF(Pricetype4=2,MAX(F95,0),IF(OR(Pricetype4=1,Pricetype4=4),IF(F95=0,0,(EURO(F95,Strikeprice4,0,0,($AK95+IF(Smile=TRUE(),VLOOKUP(MAX(-5,Strikeprice4-F95),Volsmile,2),0)),($A95-DateToday)+15,IF(Pricetype4=1,1,0),0))),F95)))</f>
        <v> </v>
      </c>
      <c r="P95" s="318" t="str">
        <f aca="false">IF($A95="N/A"," ",IF(Pricetype4=2,MAX(G95,0),IF(OR(Pricetype4=1,Pricetype4=4),IF(G95=0,0,(EURO(G95,Strikeprice4,0,0,($AK95+IF(Smile=TRUE(),VLOOKUP(MAX(-5,Strikeprice4-G95),Volsmile,2),0)),($A95-DateToday)+15,IF(Pricetype4=1,1,0),0))),G95)))</f>
        <v> </v>
      </c>
      <c r="Q95" s="318" t="str">
        <f aca="false">IF($A95="N/A"," ",IF(Pricetype4=2,MAX(H95,0),IF(OR(Pricetype4=1,Pricetype4=4),IF(H95=0,0,(EURO(H95,Strikeprice4,0,0,($AK95+IF(Smile=TRUE(),VLOOKUP(MAX(-5,Strikeprice4-H95),Volsmile,2),0)),($A95-DateToday)+15,IF(Pricetype4=1,1,0),0))),H95)))</f>
        <v> </v>
      </c>
      <c r="R95" s="318" t="str">
        <f aca="false">IF($A95="N/A"," ",IF(Pricetype4=2,MAX(I95,0),IF(OR(Pricetype4=1,Pricetype4=4),IF(I95=0,0,(EURO(I95,Strikeprice4,0,0,($AK95+IF(Smile=TRUE(),VLOOKUP(MAX(-5,Strikeprice4-I95),Volsmile,2),0)),($A95-DateToday)+15,IF(Pricetype4=1,1,0),0))),I95)))</f>
        <v> </v>
      </c>
      <c r="S95" s="318" t="str">
        <f aca="false">IF($A95="N/A"," ",IF(Pricetype4=2,MAX(J95,0),IF(OR(Pricetype4=1,Pricetype4=4),IF(J95=0,0,(EURO(J95,Strikeprice4,0,0,($AK95+IF(Smile=TRUE(),VLOOKUP(MAX(-5,Strikeprice4-J95),Volsmile,2),0)),($A95-DateToday)+15,IF(Pricetype4=1,1,0),0))),J95)))</f>
        <v> </v>
      </c>
      <c r="T95" s="318" t="str">
        <f aca="false">IF($A95="N/A"," ",IF(Pricetype4=2,MAX(K95,0),IF(OR(Pricetype4=1,Pricetype4=4),IF(K95=0,0,(EURO(K95,Strikeprice4,0,0,($AK95+IF(Smile=TRUE(),VLOOKUP(MAX(-5,Strikeprice4-K95),Volsmile,2),0)),($A95-DateToday)+15,IF(Pricetype4=1,1,0),0))),K95)))</f>
        <v> </v>
      </c>
      <c r="U95" s="319" t="str">
        <f aca="false">IF($A95="N/A"," ",Volume4*$AM95)</f>
        <v> </v>
      </c>
      <c r="V95" s="320" t="str">
        <f aca="false">IF($A95="N/A"," ",$U95*(8*($BQ95))*L95)</f>
        <v> </v>
      </c>
      <c r="W95" s="320" t="str">
        <f aca="false">IF($A95="N/A"," ",$U95*(8*($BQ95))*M95)</f>
        <v> </v>
      </c>
      <c r="X95" s="320" t="str">
        <f aca="false">IF($A95="N/A"," ",$U95*(8*($BQ95))*N95)</f>
        <v> </v>
      </c>
      <c r="Y95" s="320" t="str">
        <f aca="false">IF($A95="N/A"," ",$U95*(8*($BR95))*O95)</f>
        <v> </v>
      </c>
      <c r="Z95" s="320" t="str">
        <f aca="false">IF($A95="N/A"," ",$U95*(8*($BR95))*P95)</f>
        <v> </v>
      </c>
      <c r="AA95" s="320" t="str">
        <f aca="false">IF($A95="N/A"," ",$U95*(8*($BR95))*Q95)</f>
        <v> </v>
      </c>
      <c r="AB95" s="320" t="str">
        <f aca="false">IF($A95="N/A"," ",$U95*(8*($BS95))*R95)</f>
        <v> </v>
      </c>
      <c r="AC95" s="320" t="str">
        <f aca="false">IF($A95="N/A"," ",$U95*(8*($BS95))*S95)</f>
        <v> </v>
      </c>
      <c r="AD95" s="320" t="str">
        <f aca="false">IF($A95="N/A"," ",$U95*(8*($BS95))*T95)</f>
        <v> </v>
      </c>
      <c r="AE95" s="320" t="str">
        <f aca="false">IF($A95="N/A"," ",SUM(V95:AD95))</f>
        <v> </v>
      </c>
      <c r="AF95" s="321" t="str">
        <f aca="false">IF(A95="N/A"," ",(VLOOKUP(A95,PowerVolTable,(IF(VolBMO4=2,7,IF(VolBMO4=1,6,8))),FALSE())))</f>
        <v> </v>
      </c>
      <c r="AG95" s="321" t="str">
        <f aca="false">IF(A95="N/A"," ",(VLOOKUP(A95,IntraPowerVol,(IF(VolBMO4=2,3,IF(VolBMO4=1,2,4))),FALSE())*VLOOKUP(MONTH($A95),Volscale,2)))</f>
        <v> </v>
      </c>
      <c r="AH95" s="321" t="str">
        <f aca="false">IF($A95="N/A"," ",IF(VolType4=1,AG95,AF95))</f>
        <v> </v>
      </c>
      <c r="AI95" s="321" t="str">
        <f aca="false">IF($A95="N/A"," ",(VLOOKUP($A95,OffPwrVolTable,(IF(VolBMO4=2,7,IF(VolBMO4=1,6,8))),FALSE())))</f>
        <v> </v>
      </c>
      <c r="AJ95" s="321" t="str">
        <f aca="false">IF($A95="N/A"," ",(VLOOKUP($A95,OffPwrVolTable,(IF(VolBMO4=2,3,IF(VolBMO4=1,2,4))),FALSE())*VLOOKUP(MONTH($A95),Volscale,2)))</f>
        <v> </v>
      </c>
      <c r="AK95" s="321" t="str">
        <f aca="false">IF($A95="N/A"," ",IF(VolType4=1,AJ95,AI95))</f>
        <v> </v>
      </c>
      <c r="AL95" s="321" t="str">
        <f aca="false">IF($A95="N/A"," ",IF(PV=1,0,'Pricing Inputs4'!R128))</f>
        <v> </v>
      </c>
      <c r="AM95" s="323" t="str">
        <f aca="false">IF($A95="N/A"," ",(1+AL95/2)^(-2*((EOMONTH(A95,0)+20)-DateToday)/365.25))</f>
        <v> </v>
      </c>
      <c r="BQ95" s="0" t="str">
        <f aca="false">IF($A95="N/A"," ",(VLOOKUP($A95,NumberofDaysTable,2)))</f>
        <v> </v>
      </c>
      <c r="BR95" s="0" t="str">
        <f aca="false">IF($A95="N/A"," ",(VLOOKUP($A95,NumberofDaysTable,3)))</f>
        <v> </v>
      </c>
      <c r="BS95" s="0" t="str">
        <f aca="false">IF($A95="N/A"," ",(VLOOKUP($A95,NumberofDaysTable,4)))</f>
        <v> </v>
      </c>
    </row>
    <row r="96" customFormat="false" ht="12.75" hidden="false" customHeight="false" outlineLevel="0" collapsed="false">
      <c r="A96" s="315" t="str">
        <f aca="false">IF(A95="N/A","N/A",IF(EDATE(A95,1)&gt;Inputs!$R$5,"N/A",EDATE(A95,1)))</f>
        <v>N/A</v>
      </c>
      <c r="B96" s="316" t="str">
        <f aca="false">IF(A96="N/A"," ",YEAR(A96))</f>
        <v> </v>
      </c>
      <c r="C96" s="317" t="str">
        <f aca="false">IF($A96="N/A"," ",IF(Dayrun4=10,0,IF(Scaler4=1,(VLOOKUP(A96,ScaledPrice4,4)),(VLOOKUP(A96,ScaledPrice4,2)))))</f>
        <v> </v>
      </c>
      <c r="D96" s="317" t="str">
        <f aca="false">IF(A96="N/A"," ",IF(Dayrun4&gt;=7,0,IF(Scaler4=2,VLOOKUP(A96,ScaledPrice4,2),(VLOOKUP(A96,ScaledPrice4,2))*(2-(VLOOKUP(A96,ScaledPrice4,3))))))</f>
        <v> </v>
      </c>
      <c r="E96" s="317" t="str">
        <f aca="false">IF($A96="N/A"," ",IF(AND(Dayrun4&gt;=4,Dayrun4&lt;=9),0,VLOOKUP($A96,ScaledPrice4,9)))</f>
        <v> </v>
      </c>
      <c r="F96" s="317" t="str">
        <f aca="false">IF(A96="N/A"," ",IF(OR(Dayrun4=2,Dayrun4=3,Dayrun4=5,Dayrun4=6,Dayrun4=8,Dayrun4=9),VLOOKUP(A96,ScaledPrice4,IF(Scaler4=1,6,5)),0))</f>
        <v> </v>
      </c>
      <c r="G96" s="317" t="str">
        <f aca="false">IF(A96="N/A"," ",IF(OR(Dayrun4=2,Dayrun4=3,Dayrun4=5,Dayrun4=6),IF(Scaler4=2,F96,(VLOOKUP(A96,ScaledPrice4,5))*(2-(VLOOKUP(A96,ScaledPrice4,3)))),0))</f>
        <v> </v>
      </c>
      <c r="H96" s="317" t="str">
        <f aca="false">IF($A96="N/A"," ",IF(OR(Dayrun4=2,Dayrun4=3,Dayrun4=10),VLOOKUP($A96,ScaledPrice4,9),0))</f>
        <v> </v>
      </c>
      <c r="I96" s="317" t="str">
        <f aca="false">IF(A96="N/A"," ",IF(OR(Dayrun4=3,Dayrun4=6,Dayrun4=9),(VLOOKUP(A96,ScaledPrice4,IF(Scaler4=2,7,8))),0))</f>
        <v> </v>
      </c>
      <c r="J96" s="317" t="str">
        <f aca="false">IF(A96="N/A"," ",IF(OR(Dayrun4=3,Dayrun4=6),IF(Scaler4=2,I96,(VLOOKUP(A96,ScaledPrice4,7))*(2-(VLOOKUP(A96,ScaledPrice4,3)))),0))</f>
        <v> </v>
      </c>
      <c r="K96" s="317" t="str">
        <f aca="false">IF($A96="N/A"," ",IF(OR(Dayrun4=3,Dayrun4=10),VLOOKUP($A96,ScaledPrice4,9),0))</f>
        <v> </v>
      </c>
      <c r="L96" s="318" t="str">
        <f aca="false">IF($A96="N/A"," ",IF(Pricetype4=2,MAX(C96,0),IF(OR(Pricetype4=1,Pricetype4=4),IF(C96=0,0,(EURO(C96,Strikeprice4,0,0,($AH96+IF(Smile=TRUE(),VLOOKUP(MAX(-5,Strikeprice4-C96),Volsmile,2),0)),($A96-DateToday)+15,IF(Pricetype4=1,1,0),0))),C96)))</f>
        <v> </v>
      </c>
      <c r="M96" s="318" t="str">
        <f aca="false">IF($A96="N/A"," ",IF(Pricetype4=2,MAX(D96,0),IF(OR(Pricetype4=1,Pricetype4=4),IF(D96=0,0,(EURO(D96,Strikeprice4,0,0,($AH96+IF(Smile=TRUE(),VLOOKUP(MAX(-5,Strikeprice4-D96),Volsmile,2),0)),($A96-DateToday)+15,IF(Pricetype4=1,1,0),0))),D96)))</f>
        <v> </v>
      </c>
      <c r="N96" s="318" t="str">
        <f aca="false">IF($A96="N/A"," ",IF(Pricetype4=2,MAX(E96,0),IF(OR(Pricetype4=1,Pricetype4=4),IF(E96=0,0,(EURO(E96,Strikeprice4,0,0,($AK96+IF(Smile=TRUE(),VLOOKUP(MAX(-5,Strikeprice4-E96),Volsmile,2),0)),($A96-DateToday)+15,IF(Pricetype4=1,1,0),0))),E96)))</f>
        <v> </v>
      </c>
      <c r="O96" s="318" t="str">
        <f aca="false">IF($A96="N/A"," ",IF(Pricetype4=2,MAX(F96,0),IF(OR(Pricetype4=1,Pricetype4=4),IF(F96=0,0,(EURO(F96,Strikeprice4,0,0,($AK96+IF(Smile=TRUE(),VLOOKUP(MAX(-5,Strikeprice4-F96),Volsmile,2),0)),($A96-DateToday)+15,IF(Pricetype4=1,1,0),0))),F96)))</f>
        <v> </v>
      </c>
      <c r="P96" s="318" t="str">
        <f aca="false">IF($A96="N/A"," ",IF(Pricetype4=2,MAX(G96,0),IF(OR(Pricetype4=1,Pricetype4=4),IF(G96=0,0,(EURO(G96,Strikeprice4,0,0,($AK96+IF(Smile=TRUE(),VLOOKUP(MAX(-5,Strikeprice4-G96),Volsmile,2),0)),($A96-DateToday)+15,IF(Pricetype4=1,1,0),0))),G96)))</f>
        <v> </v>
      </c>
      <c r="Q96" s="318" t="str">
        <f aca="false">IF($A96="N/A"," ",IF(Pricetype4=2,MAX(H96,0),IF(OR(Pricetype4=1,Pricetype4=4),IF(H96=0,0,(EURO(H96,Strikeprice4,0,0,($AK96+IF(Smile=TRUE(),VLOOKUP(MAX(-5,Strikeprice4-H96),Volsmile,2),0)),($A96-DateToday)+15,IF(Pricetype4=1,1,0),0))),H96)))</f>
        <v> </v>
      </c>
      <c r="R96" s="318" t="str">
        <f aca="false">IF($A96="N/A"," ",IF(Pricetype4=2,MAX(I96,0),IF(OR(Pricetype4=1,Pricetype4=4),IF(I96=0,0,(EURO(I96,Strikeprice4,0,0,($AK96+IF(Smile=TRUE(),VLOOKUP(MAX(-5,Strikeprice4-I96),Volsmile,2),0)),($A96-DateToday)+15,IF(Pricetype4=1,1,0),0))),I96)))</f>
        <v> </v>
      </c>
      <c r="S96" s="318" t="str">
        <f aca="false">IF($A96="N/A"," ",IF(Pricetype4=2,MAX(J96,0),IF(OR(Pricetype4=1,Pricetype4=4),IF(J96=0,0,(EURO(J96,Strikeprice4,0,0,($AK96+IF(Smile=TRUE(),VLOOKUP(MAX(-5,Strikeprice4-J96),Volsmile,2),0)),($A96-DateToday)+15,IF(Pricetype4=1,1,0),0))),J96)))</f>
        <v> </v>
      </c>
      <c r="T96" s="318" t="str">
        <f aca="false">IF($A96="N/A"," ",IF(Pricetype4=2,MAX(K96,0),IF(OR(Pricetype4=1,Pricetype4=4),IF(K96=0,0,(EURO(K96,Strikeprice4,0,0,($AK96+IF(Smile=TRUE(),VLOOKUP(MAX(-5,Strikeprice4-K96),Volsmile,2),0)),($A96-DateToday)+15,IF(Pricetype4=1,1,0),0))),K96)))</f>
        <v> </v>
      </c>
      <c r="U96" s="319" t="str">
        <f aca="false">IF($A96="N/A"," ",Volume4*$AM96)</f>
        <v> </v>
      </c>
      <c r="V96" s="320" t="str">
        <f aca="false">IF($A96="N/A"," ",$U96*(8*($BQ96))*L96)</f>
        <v> </v>
      </c>
      <c r="W96" s="320" t="str">
        <f aca="false">IF($A96="N/A"," ",$U96*(8*($BQ96))*M96)</f>
        <v> </v>
      </c>
      <c r="X96" s="320" t="str">
        <f aca="false">IF($A96="N/A"," ",$U96*(8*($BQ96))*N96)</f>
        <v> </v>
      </c>
      <c r="Y96" s="320" t="str">
        <f aca="false">IF($A96="N/A"," ",$U96*(8*($BR96))*O96)</f>
        <v> </v>
      </c>
      <c r="Z96" s="320" t="str">
        <f aca="false">IF($A96="N/A"," ",$U96*(8*($BR96))*P96)</f>
        <v> </v>
      </c>
      <c r="AA96" s="320" t="str">
        <f aca="false">IF($A96="N/A"," ",$U96*(8*($BR96))*Q96)</f>
        <v> </v>
      </c>
      <c r="AB96" s="320" t="str">
        <f aca="false">IF($A96="N/A"," ",$U96*(8*($BS96))*R96)</f>
        <v> </v>
      </c>
      <c r="AC96" s="320" t="str">
        <f aca="false">IF($A96="N/A"," ",$U96*(8*($BS96))*S96)</f>
        <v> </v>
      </c>
      <c r="AD96" s="320" t="str">
        <f aca="false">IF($A96="N/A"," ",$U96*(8*($BS96))*T96)</f>
        <v> </v>
      </c>
      <c r="AE96" s="320" t="str">
        <f aca="false">IF($A96="N/A"," ",SUM(V96:AD96))</f>
        <v> </v>
      </c>
      <c r="AF96" s="321" t="str">
        <f aca="false">IF(A96="N/A"," ",(VLOOKUP(A96,PowerVolTable,(IF(VolBMO4=2,7,IF(VolBMO4=1,6,8))),FALSE())))</f>
        <v> </v>
      </c>
      <c r="AG96" s="321" t="str">
        <f aca="false">IF(A96="N/A"," ",(VLOOKUP(A96,IntraPowerVol,(IF(VolBMO4=2,3,IF(VolBMO4=1,2,4))),FALSE())*VLOOKUP(MONTH($A96),Volscale,2)))</f>
        <v> </v>
      </c>
      <c r="AH96" s="321" t="str">
        <f aca="false">IF($A96="N/A"," ",IF(VolType4=1,AG96,AF96))</f>
        <v> </v>
      </c>
      <c r="AI96" s="321" t="str">
        <f aca="false">IF($A96="N/A"," ",(VLOOKUP($A96,OffPwrVolTable,(IF(VolBMO4=2,7,IF(VolBMO4=1,6,8))),FALSE())))</f>
        <v> </v>
      </c>
      <c r="AJ96" s="321" t="str">
        <f aca="false">IF($A96="N/A"," ",(VLOOKUP($A96,OffPwrVolTable,(IF(VolBMO4=2,3,IF(VolBMO4=1,2,4))),FALSE())*VLOOKUP(MONTH($A96),Volscale,2)))</f>
        <v> </v>
      </c>
      <c r="AK96" s="321" t="str">
        <f aca="false">IF($A96="N/A"," ",IF(VolType4=1,AJ96,AI96))</f>
        <v> </v>
      </c>
      <c r="AL96" s="321" t="str">
        <f aca="false">IF($A96="N/A"," ",IF(PV=1,0,'Pricing Inputs4'!R129))</f>
        <v> </v>
      </c>
      <c r="AM96" s="323" t="str">
        <f aca="false">IF($A96="N/A"," ",(1+AL96/2)^(-2*((EOMONTH(A96,0)+20)-DateToday)/365.25))</f>
        <v> </v>
      </c>
      <c r="BQ96" s="0" t="str">
        <f aca="false">IF($A96="N/A"," ",(VLOOKUP($A96,NumberofDaysTable,2)))</f>
        <v> </v>
      </c>
      <c r="BR96" s="0" t="str">
        <f aca="false">IF($A96="N/A"," ",(VLOOKUP($A96,NumberofDaysTable,3)))</f>
        <v> </v>
      </c>
      <c r="BS96" s="0" t="str">
        <f aca="false">IF($A96="N/A"," ",(VLOOKUP($A96,NumberofDaysTable,4)))</f>
        <v> </v>
      </c>
    </row>
    <row r="97" customFormat="false" ht="12.75" hidden="false" customHeight="false" outlineLevel="0" collapsed="false">
      <c r="A97" s="315" t="str">
        <f aca="false">IF(A96="N/A","N/A",IF(EDATE(A96,1)&gt;Inputs!$R$5,"N/A",EDATE(A96,1)))</f>
        <v>N/A</v>
      </c>
      <c r="B97" s="316" t="str">
        <f aca="false">IF(A97="N/A"," ",YEAR(A97))</f>
        <v> </v>
      </c>
      <c r="C97" s="317" t="str">
        <f aca="false">IF($A97="N/A"," ",IF(Dayrun4=10,0,IF(Scaler4=1,(VLOOKUP(A97,ScaledPrice4,4)),(VLOOKUP(A97,ScaledPrice4,2)))))</f>
        <v> </v>
      </c>
      <c r="D97" s="317" t="str">
        <f aca="false">IF(A97="N/A"," ",IF(Dayrun4&gt;=7,0,IF(Scaler4=2,VLOOKUP(A97,ScaledPrice4,2),(VLOOKUP(A97,ScaledPrice4,2))*(2-(VLOOKUP(A97,ScaledPrice4,3))))))</f>
        <v> </v>
      </c>
      <c r="E97" s="317" t="str">
        <f aca="false">IF($A97="N/A"," ",IF(AND(Dayrun4&gt;=4,Dayrun4&lt;=9),0,VLOOKUP($A97,ScaledPrice4,9)))</f>
        <v> </v>
      </c>
      <c r="F97" s="317" t="str">
        <f aca="false">IF(A97="N/A"," ",IF(OR(Dayrun4=2,Dayrun4=3,Dayrun4=5,Dayrun4=6,Dayrun4=8,Dayrun4=9),VLOOKUP(A97,ScaledPrice4,IF(Scaler4=1,6,5)),0))</f>
        <v> </v>
      </c>
      <c r="G97" s="317" t="str">
        <f aca="false">IF(A97="N/A"," ",IF(OR(Dayrun4=2,Dayrun4=3,Dayrun4=5,Dayrun4=6),IF(Scaler4=2,F97,(VLOOKUP(A97,ScaledPrice4,5))*(2-(VLOOKUP(A97,ScaledPrice4,3)))),0))</f>
        <v> </v>
      </c>
      <c r="H97" s="317" t="str">
        <f aca="false">IF($A97="N/A"," ",IF(OR(Dayrun4=2,Dayrun4=3,Dayrun4=10),VLOOKUP($A97,ScaledPrice4,9),0))</f>
        <v> </v>
      </c>
      <c r="I97" s="317" t="str">
        <f aca="false">IF(A97="N/A"," ",IF(OR(Dayrun4=3,Dayrun4=6,Dayrun4=9),(VLOOKUP(A97,ScaledPrice4,IF(Scaler4=2,7,8))),0))</f>
        <v> </v>
      </c>
      <c r="J97" s="317" t="str">
        <f aca="false">IF(A97="N/A"," ",IF(OR(Dayrun4=3,Dayrun4=6),IF(Scaler4=2,I97,(VLOOKUP(A97,ScaledPrice4,7))*(2-(VLOOKUP(A97,ScaledPrice4,3)))),0))</f>
        <v> </v>
      </c>
      <c r="K97" s="317" t="str">
        <f aca="false">IF($A97="N/A"," ",IF(OR(Dayrun4=3,Dayrun4=10),VLOOKUP($A97,ScaledPrice4,9),0))</f>
        <v> </v>
      </c>
      <c r="L97" s="318" t="str">
        <f aca="false">IF($A97="N/A"," ",IF(Pricetype4=2,MAX(C97,0),IF(OR(Pricetype4=1,Pricetype4=4),IF(C97=0,0,(EURO(C97,Strikeprice4,0,0,($AH97+IF(Smile=TRUE(),VLOOKUP(MAX(-5,Strikeprice4-C97),Volsmile,2),0)),($A97-DateToday)+15,IF(Pricetype4=1,1,0),0))),C97)))</f>
        <v> </v>
      </c>
      <c r="M97" s="318" t="str">
        <f aca="false">IF($A97="N/A"," ",IF(Pricetype4=2,MAX(D97,0),IF(OR(Pricetype4=1,Pricetype4=4),IF(D97=0,0,(EURO(D97,Strikeprice4,0,0,($AH97+IF(Smile=TRUE(),VLOOKUP(MAX(-5,Strikeprice4-D97),Volsmile,2),0)),($A97-DateToday)+15,IF(Pricetype4=1,1,0),0))),D97)))</f>
        <v> </v>
      </c>
      <c r="N97" s="318" t="str">
        <f aca="false">IF($A97="N/A"," ",IF(Pricetype4=2,MAX(E97,0),IF(OR(Pricetype4=1,Pricetype4=4),IF(E97=0,0,(EURO(E97,Strikeprice4,0,0,($AK97+IF(Smile=TRUE(),VLOOKUP(MAX(-5,Strikeprice4-E97),Volsmile,2),0)),($A97-DateToday)+15,IF(Pricetype4=1,1,0),0))),E97)))</f>
        <v> </v>
      </c>
      <c r="O97" s="318" t="str">
        <f aca="false">IF($A97="N/A"," ",IF(Pricetype4=2,MAX(F97,0),IF(OR(Pricetype4=1,Pricetype4=4),IF(F97=0,0,(EURO(F97,Strikeprice4,0,0,($AK97+IF(Smile=TRUE(),VLOOKUP(MAX(-5,Strikeprice4-F97),Volsmile,2),0)),($A97-DateToday)+15,IF(Pricetype4=1,1,0),0))),F97)))</f>
        <v> </v>
      </c>
      <c r="P97" s="318" t="str">
        <f aca="false">IF($A97="N/A"," ",IF(Pricetype4=2,MAX(G97,0),IF(OR(Pricetype4=1,Pricetype4=4),IF(G97=0,0,(EURO(G97,Strikeprice4,0,0,($AK97+IF(Smile=TRUE(),VLOOKUP(MAX(-5,Strikeprice4-G97),Volsmile,2),0)),($A97-DateToday)+15,IF(Pricetype4=1,1,0),0))),G97)))</f>
        <v> </v>
      </c>
      <c r="Q97" s="318" t="str">
        <f aca="false">IF($A97="N/A"," ",IF(Pricetype4=2,MAX(H97,0),IF(OR(Pricetype4=1,Pricetype4=4),IF(H97=0,0,(EURO(H97,Strikeprice4,0,0,($AK97+IF(Smile=TRUE(),VLOOKUP(MAX(-5,Strikeprice4-H97),Volsmile,2),0)),($A97-DateToday)+15,IF(Pricetype4=1,1,0),0))),H97)))</f>
        <v> </v>
      </c>
      <c r="R97" s="318" t="str">
        <f aca="false">IF($A97="N/A"," ",IF(Pricetype4=2,MAX(I97,0),IF(OR(Pricetype4=1,Pricetype4=4),IF(I97=0,0,(EURO(I97,Strikeprice4,0,0,($AK97+IF(Smile=TRUE(),VLOOKUP(MAX(-5,Strikeprice4-I97),Volsmile,2),0)),($A97-DateToday)+15,IF(Pricetype4=1,1,0),0))),I97)))</f>
        <v> </v>
      </c>
      <c r="S97" s="318" t="str">
        <f aca="false">IF($A97="N/A"," ",IF(Pricetype4=2,MAX(J97,0),IF(OR(Pricetype4=1,Pricetype4=4),IF(J97=0,0,(EURO(J97,Strikeprice4,0,0,($AK97+IF(Smile=TRUE(),VLOOKUP(MAX(-5,Strikeprice4-J97),Volsmile,2),0)),($A97-DateToday)+15,IF(Pricetype4=1,1,0),0))),J97)))</f>
        <v> </v>
      </c>
      <c r="T97" s="318" t="str">
        <f aca="false">IF($A97="N/A"," ",IF(Pricetype4=2,MAX(K97,0),IF(OR(Pricetype4=1,Pricetype4=4),IF(K97=0,0,(EURO(K97,Strikeprice4,0,0,($AK97+IF(Smile=TRUE(),VLOOKUP(MAX(-5,Strikeprice4-K97),Volsmile,2),0)),($A97-DateToday)+15,IF(Pricetype4=1,1,0),0))),K97)))</f>
        <v> </v>
      </c>
      <c r="U97" s="319" t="str">
        <f aca="false">IF($A97="N/A"," ",Volume4*$AM97)</f>
        <v> </v>
      </c>
      <c r="V97" s="320" t="str">
        <f aca="false">IF($A97="N/A"," ",$U97*(8*($BQ97))*L97)</f>
        <v> </v>
      </c>
      <c r="W97" s="320" t="str">
        <f aca="false">IF($A97="N/A"," ",$U97*(8*($BQ97))*M97)</f>
        <v> </v>
      </c>
      <c r="X97" s="320" t="str">
        <f aca="false">IF($A97="N/A"," ",$U97*(8*($BQ97))*N97)</f>
        <v> </v>
      </c>
      <c r="Y97" s="320" t="str">
        <f aca="false">IF($A97="N/A"," ",$U97*(8*($BR97))*O97)</f>
        <v> </v>
      </c>
      <c r="Z97" s="320" t="str">
        <f aca="false">IF($A97="N/A"," ",$U97*(8*($BR97))*P97)</f>
        <v> </v>
      </c>
      <c r="AA97" s="320" t="str">
        <f aca="false">IF($A97="N/A"," ",$U97*(8*($BR97))*Q97)</f>
        <v> </v>
      </c>
      <c r="AB97" s="320" t="str">
        <f aca="false">IF($A97="N/A"," ",$U97*(8*($BS97))*R97)</f>
        <v> </v>
      </c>
      <c r="AC97" s="320" t="str">
        <f aca="false">IF($A97="N/A"," ",$U97*(8*($BS97))*S97)</f>
        <v> </v>
      </c>
      <c r="AD97" s="320" t="str">
        <f aca="false">IF($A97="N/A"," ",$U97*(8*($BS97))*T97)</f>
        <v> </v>
      </c>
      <c r="AE97" s="320" t="str">
        <f aca="false">IF($A97="N/A"," ",SUM(V97:AD97))</f>
        <v> </v>
      </c>
      <c r="AF97" s="321" t="str">
        <f aca="false">IF(A97="N/A"," ",(VLOOKUP(A97,PowerVolTable,(IF(VolBMO4=2,7,IF(VolBMO4=1,6,8))),FALSE())))</f>
        <v> </v>
      </c>
      <c r="AG97" s="321" t="str">
        <f aca="false">IF(A97="N/A"," ",(VLOOKUP(A97,IntraPowerVol,(IF(VolBMO4=2,3,IF(VolBMO4=1,2,4))),FALSE())*VLOOKUP(MONTH($A97),Volscale,2)))</f>
        <v> </v>
      </c>
      <c r="AH97" s="321" t="str">
        <f aca="false">IF($A97="N/A"," ",IF(VolType4=1,AG97,AF97))</f>
        <v> </v>
      </c>
      <c r="AI97" s="321" t="str">
        <f aca="false">IF($A97="N/A"," ",(VLOOKUP($A97,OffPwrVolTable,(IF(VolBMO4=2,7,IF(VolBMO4=1,6,8))),FALSE())))</f>
        <v> </v>
      </c>
      <c r="AJ97" s="321" t="str">
        <f aca="false">IF($A97="N/A"," ",(VLOOKUP($A97,OffPwrVolTable,(IF(VolBMO4=2,3,IF(VolBMO4=1,2,4))),FALSE())*VLOOKUP(MONTH($A97),Volscale,2)))</f>
        <v> </v>
      </c>
      <c r="AK97" s="321" t="str">
        <f aca="false">IF($A97="N/A"," ",IF(VolType4=1,AJ97,AI97))</f>
        <v> </v>
      </c>
      <c r="AL97" s="321" t="str">
        <f aca="false">IF($A97="N/A"," ",IF(PV=1,0,'Pricing Inputs4'!R130))</f>
        <v> </v>
      </c>
      <c r="AM97" s="323" t="str">
        <f aca="false">IF($A97="N/A"," ",(1+AL97/2)^(-2*((EOMONTH(A97,0)+20)-DateToday)/365.25))</f>
        <v> </v>
      </c>
      <c r="BQ97" s="0" t="str">
        <f aca="false">IF($A97="N/A"," ",(VLOOKUP($A97,NumberofDaysTable,2)))</f>
        <v> </v>
      </c>
      <c r="BR97" s="0" t="str">
        <f aca="false">IF($A97="N/A"," ",(VLOOKUP($A97,NumberofDaysTable,3)))</f>
        <v> </v>
      </c>
      <c r="BS97" s="0" t="str">
        <f aca="false">IF($A97="N/A"," ",(VLOOKUP($A97,NumberofDaysTable,4)))</f>
        <v> </v>
      </c>
    </row>
    <row r="98" customFormat="false" ht="12.75" hidden="false" customHeight="false" outlineLevel="0" collapsed="false">
      <c r="A98" s="315" t="str">
        <f aca="false">IF(A97="N/A","N/A",IF(EDATE(A97,1)&gt;Inputs!$R$5,"N/A",EDATE(A97,1)))</f>
        <v>N/A</v>
      </c>
      <c r="B98" s="316" t="str">
        <f aca="false">IF(A98="N/A"," ",YEAR(A98))</f>
        <v> </v>
      </c>
      <c r="C98" s="317" t="str">
        <f aca="false">IF($A98="N/A"," ",IF(Dayrun4=10,0,IF(Scaler4=1,(VLOOKUP(A98,ScaledPrice4,4)),(VLOOKUP(A98,ScaledPrice4,2)))))</f>
        <v> </v>
      </c>
      <c r="D98" s="317" t="str">
        <f aca="false">IF(A98="N/A"," ",IF(Dayrun4&gt;=7,0,IF(Scaler4=2,VLOOKUP(A98,ScaledPrice4,2),(VLOOKUP(A98,ScaledPrice4,2))*(2-(VLOOKUP(A98,ScaledPrice4,3))))))</f>
        <v> </v>
      </c>
      <c r="E98" s="317" t="str">
        <f aca="false">IF($A98="N/A"," ",IF(AND(Dayrun4&gt;=4,Dayrun4&lt;=9),0,VLOOKUP($A98,ScaledPrice4,9)))</f>
        <v> </v>
      </c>
      <c r="F98" s="317" t="str">
        <f aca="false">IF(A98="N/A"," ",IF(OR(Dayrun4=2,Dayrun4=3,Dayrun4=5,Dayrun4=6,Dayrun4=8,Dayrun4=9),VLOOKUP(A98,ScaledPrice4,IF(Scaler4=1,6,5)),0))</f>
        <v> </v>
      </c>
      <c r="G98" s="317" t="str">
        <f aca="false">IF(A98="N/A"," ",IF(OR(Dayrun4=2,Dayrun4=3,Dayrun4=5,Dayrun4=6),IF(Scaler4=2,F98,(VLOOKUP(A98,ScaledPrice4,5))*(2-(VLOOKUP(A98,ScaledPrice4,3)))),0))</f>
        <v> </v>
      </c>
      <c r="H98" s="317" t="str">
        <f aca="false">IF($A98="N/A"," ",IF(OR(Dayrun4=2,Dayrun4=3,Dayrun4=10),VLOOKUP($A98,ScaledPrice4,9),0))</f>
        <v> </v>
      </c>
      <c r="I98" s="317" t="str">
        <f aca="false">IF(A98="N/A"," ",IF(OR(Dayrun4=3,Dayrun4=6,Dayrun4=9),(VLOOKUP(A98,ScaledPrice4,IF(Scaler4=2,7,8))),0))</f>
        <v> </v>
      </c>
      <c r="J98" s="317" t="str">
        <f aca="false">IF(A98="N/A"," ",IF(OR(Dayrun4=3,Dayrun4=6),IF(Scaler4=2,I98,(VLOOKUP(A98,ScaledPrice4,7))*(2-(VLOOKUP(A98,ScaledPrice4,3)))),0))</f>
        <v> </v>
      </c>
      <c r="K98" s="317" t="str">
        <f aca="false">IF($A98="N/A"," ",IF(OR(Dayrun4=3,Dayrun4=10),VLOOKUP($A98,ScaledPrice4,9),0))</f>
        <v> </v>
      </c>
      <c r="L98" s="318" t="str">
        <f aca="false">IF($A98="N/A"," ",IF(Pricetype4=2,MAX(C98,0),IF(OR(Pricetype4=1,Pricetype4=4),IF(C98=0,0,(EURO(C98,Strikeprice4,0,0,($AH98+IF(Smile=TRUE(),VLOOKUP(MAX(-5,Strikeprice4-C98),Volsmile,2),0)),($A98-DateToday)+15,IF(Pricetype4=1,1,0),0))),C98)))</f>
        <v> </v>
      </c>
      <c r="M98" s="318" t="str">
        <f aca="false">IF($A98="N/A"," ",IF(Pricetype4=2,MAX(D98,0),IF(OR(Pricetype4=1,Pricetype4=4),IF(D98=0,0,(EURO(D98,Strikeprice4,0,0,($AH98+IF(Smile=TRUE(),VLOOKUP(MAX(-5,Strikeprice4-D98),Volsmile,2),0)),($A98-DateToday)+15,IF(Pricetype4=1,1,0),0))),D98)))</f>
        <v> </v>
      </c>
      <c r="N98" s="318" t="str">
        <f aca="false">IF($A98="N/A"," ",IF(Pricetype4=2,MAX(E98,0),IF(OR(Pricetype4=1,Pricetype4=4),IF(E98=0,0,(EURO(E98,Strikeprice4,0,0,($AK98+IF(Smile=TRUE(),VLOOKUP(MAX(-5,Strikeprice4-E98),Volsmile,2),0)),($A98-DateToday)+15,IF(Pricetype4=1,1,0),0))),E98)))</f>
        <v> </v>
      </c>
      <c r="O98" s="318" t="str">
        <f aca="false">IF($A98="N/A"," ",IF(Pricetype4=2,MAX(F98,0),IF(OR(Pricetype4=1,Pricetype4=4),IF(F98=0,0,(EURO(F98,Strikeprice4,0,0,($AK98+IF(Smile=TRUE(),VLOOKUP(MAX(-5,Strikeprice4-F98),Volsmile,2),0)),($A98-DateToday)+15,IF(Pricetype4=1,1,0),0))),F98)))</f>
        <v> </v>
      </c>
      <c r="P98" s="318" t="str">
        <f aca="false">IF($A98="N/A"," ",IF(Pricetype4=2,MAX(G98,0),IF(OR(Pricetype4=1,Pricetype4=4),IF(G98=0,0,(EURO(G98,Strikeprice4,0,0,($AK98+IF(Smile=TRUE(),VLOOKUP(MAX(-5,Strikeprice4-G98),Volsmile,2),0)),($A98-DateToday)+15,IF(Pricetype4=1,1,0),0))),G98)))</f>
        <v> </v>
      </c>
      <c r="Q98" s="318" t="str">
        <f aca="false">IF($A98="N/A"," ",IF(Pricetype4=2,MAX(H98,0),IF(OR(Pricetype4=1,Pricetype4=4),IF(H98=0,0,(EURO(H98,Strikeprice4,0,0,($AK98+IF(Smile=TRUE(),VLOOKUP(MAX(-5,Strikeprice4-H98),Volsmile,2),0)),($A98-DateToday)+15,IF(Pricetype4=1,1,0),0))),H98)))</f>
        <v> </v>
      </c>
      <c r="R98" s="318" t="str">
        <f aca="false">IF($A98="N/A"," ",IF(Pricetype4=2,MAX(I98,0),IF(OR(Pricetype4=1,Pricetype4=4),IF(I98=0,0,(EURO(I98,Strikeprice4,0,0,($AK98+IF(Smile=TRUE(),VLOOKUP(MAX(-5,Strikeprice4-I98),Volsmile,2),0)),($A98-DateToday)+15,IF(Pricetype4=1,1,0),0))),I98)))</f>
        <v> </v>
      </c>
      <c r="S98" s="318" t="str">
        <f aca="false">IF($A98="N/A"," ",IF(Pricetype4=2,MAX(J98,0),IF(OR(Pricetype4=1,Pricetype4=4),IF(J98=0,0,(EURO(J98,Strikeprice4,0,0,($AK98+IF(Smile=TRUE(),VLOOKUP(MAX(-5,Strikeprice4-J98),Volsmile,2),0)),($A98-DateToday)+15,IF(Pricetype4=1,1,0),0))),J98)))</f>
        <v> </v>
      </c>
      <c r="T98" s="318" t="str">
        <f aca="false">IF($A98="N/A"," ",IF(Pricetype4=2,MAX(K98,0),IF(OR(Pricetype4=1,Pricetype4=4),IF(K98=0,0,(EURO(K98,Strikeprice4,0,0,($AK98+IF(Smile=TRUE(),VLOOKUP(MAX(-5,Strikeprice4-K98),Volsmile,2),0)),($A98-DateToday)+15,IF(Pricetype4=1,1,0),0))),K98)))</f>
        <v> </v>
      </c>
      <c r="U98" s="319" t="str">
        <f aca="false">IF($A98="N/A"," ",Volume4*$AM98)</f>
        <v> </v>
      </c>
      <c r="V98" s="320" t="str">
        <f aca="false">IF($A98="N/A"," ",$U98*(8*($BQ98))*L98)</f>
        <v> </v>
      </c>
      <c r="W98" s="320" t="str">
        <f aca="false">IF($A98="N/A"," ",$U98*(8*($BQ98))*M98)</f>
        <v> </v>
      </c>
      <c r="X98" s="320" t="str">
        <f aca="false">IF($A98="N/A"," ",$U98*(8*($BQ98))*N98)</f>
        <v> </v>
      </c>
      <c r="Y98" s="320" t="str">
        <f aca="false">IF($A98="N/A"," ",$U98*(8*($BR98))*O98)</f>
        <v> </v>
      </c>
      <c r="Z98" s="320" t="str">
        <f aca="false">IF($A98="N/A"," ",$U98*(8*($BR98))*P98)</f>
        <v> </v>
      </c>
      <c r="AA98" s="320" t="str">
        <f aca="false">IF($A98="N/A"," ",$U98*(8*($BR98))*Q98)</f>
        <v> </v>
      </c>
      <c r="AB98" s="320" t="str">
        <f aca="false">IF($A98="N/A"," ",$U98*(8*($BS98))*R98)</f>
        <v> </v>
      </c>
      <c r="AC98" s="320" t="str">
        <f aca="false">IF($A98="N/A"," ",$U98*(8*($BS98))*S98)</f>
        <v> </v>
      </c>
      <c r="AD98" s="320" t="str">
        <f aca="false">IF($A98="N/A"," ",$U98*(8*($BS98))*T98)</f>
        <v> </v>
      </c>
      <c r="AE98" s="320" t="str">
        <f aca="false">IF($A98="N/A"," ",SUM(V98:AD98))</f>
        <v> </v>
      </c>
      <c r="AF98" s="321" t="str">
        <f aca="false">IF(A98="N/A"," ",(VLOOKUP(A98,PowerVolTable,(IF(VolBMO4=2,7,IF(VolBMO4=1,6,8))),FALSE())))</f>
        <v> </v>
      </c>
      <c r="AG98" s="321" t="str">
        <f aca="false">IF(A98="N/A"," ",(VLOOKUP(A98,IntraPowerVol,(IF(VolBMO4=2,3,IF(VolBMO4=1,2,4))),FALSE())*VLOOKUP(MONTH($A98),Volscale,2)))</f>
        <v> </v>
      </c>
      <c r="AH98" s="321" t="str">
        <f aca="false">IF($A98="N/A"," ",IF(VolType4=1,AG98,AF98))</f>
        <v> </v>
      </c>
      <c r="AI98" s="321" t="str">
        <f aca="false">IF($A98="N/A"," ",(VLOOKUP($A98,OffPwrVolTable,(IF(VolBMO4=2,7,IF(VolBMO4=1,6,8))),FALSE())))</f>
        <v> </v>
      </c>
      <c r="AJ98" s="321" t="str">
        <f aca="false">IF($A98="N/A"," ",(VLOOKUP($A98,OffPwrVolTable,(IF(VolBMO4=2,3,IF(VolBMO4=1,2,4))),FALSE())*VLOOKUP(MONTH($A98),Volscale,2)))</f>
        <v> </v>
      </c>
      <c r="AK98" s="321" t="str">
        <f aca="false">IF($A98="N/A"," ",IF(VolType4=1,AJ98,AI98))</f>
        <v> </v>
      </c>
      <c r="AL98" s="321" t="str">
        <f aca="false">IF($A98="N/A"," ",IF(PV=1,0,'Pricing Inputs4'!R131))</f>
        <v> </v>
      </c>
      <c r="AM98" s="323" t="str">
        <f aca="false">IF($A98="N/A"," ",(1+AL98/2)^(-2*((EOMONTH(A98,0)+20)-DateToday)/365.25))</f>
        <v> </v>
      </c>
      <c r="BQ98" s="0" t="str">
        <f aca="false">IF($A98="N/A"," ",(VLOOKUP($A98,NumberofDaysTable,2)))</f>
        <v> </v>
      </c>
      <c r="BR98" s="0" t="str">
        <f aca="false">IF($A98="N/A"," ",(VLOOKUP($A98,NumberofDaysTable,3)))</f>
        <v> </v>
      </c>
      <c r="BS98" s="0" t="str">
        <f aca="false">IF($A98="N/A"," ",(VLOOKUP($A98,NumberofDaysTable,4)))</f>
        <v> </v>
      </c>
    </row>
    <row r="99" customFormat="false" ht="12.75" hidden="false" customHeight="false" outlineLevel="0" collapsed="false">
      <c r="A99" s="315" t="str">
        <f aca="false">IF(A98="N/A","N/A",IF(EDATE(A98,1)&gt;Inputs!$R$5,"N/A",EDATE(A98,1)))</f>
        <v>N/A</v>
      </c>
      <c r="B99" s="316" t="str">
        <f aca="false">IF(A99="N/A"," ",YEAR(A99))</f>
        <v> </v>
      </c>
      <c r="C99" s="317" t="str">
        <f aca="false">IF($A99="N/A"," ",IF(Dayrun4=10,0,IF(Scaler4=1,(VLOOKUP(A99,ScaledPrice4,4)),(VLOOKUP(A99,ScaledPrice4,2)))))</f>
        <v> </v>
      </c>
      <c r="D99" s="317" t="str">
        <f aca="false">IF(A99="N/A"," ",IF(Dayrun4&gt;=7,0,IF(Scaler4=2,VLOOKUP(A99,ScaledPrice4,2),(VLOOKUP(A99,ScaledPrice4,2))*(2-(VLOOKUP(A99,ScaledPrice4,3))))))</f>
        <v> </v>
      </c>
      <c r="E99" s="317" t="str">
        <f aca="false">IF($A99="N/A"," ",IF(AND(Dayrun4&gt;=4,Dayrun4&lt;=9),0,VLOOKUP($A99,ScaledPrice4,9)))</f>
        <v> </v>
      </c>
      <c r="F99" s="317" t="str">
        <f aca="false">IF(A99="N/A"," ",IF(OR(Dayrun4=2,Dayrun4=3,Dayrun4=5,Dayrun4=6,Dayrun4=8,Dayrun4=9),VLOOKUP(A99,ScaledPrice4,IF(Scaler4=1,6,5)),0))</f>
        <v> </v>
      </c>
      <c r="G99" s="317" t="str">
        <f aca="false">IF(A99="N/A"," ",IF(OR(Dayrun4=2,Dayrun4=3,Dayrun4=5,Dayrun4=6),IF(Scaler4=2,F99,(VLOOKUP(A99,ScaledPrice4,5))*(2-(VLOOKUP(A99,ScaledPrice4,3)))),0))</f>
        <v> </v>
      </c>
      <c r="H99" s="317" t="str">
        <f aca="false">IF($A99="N/A"," ",IF(OR(Dayrun4=2,Dayrun4=3,Dayrun4=10),VLOOKUP($A99,ScaledPrice4,9),0))</f>
        <v> </v>
      </c>
      <c r="I99" s="317" t="str">
        <f aca="false">IF(A99="N/A"," ",IF(OR(Dayrun4=3,Dayrun4=6,Dayrun4=9),(VLOOKUP(A99,ScaledPrice4,IF(Scaler4=2,7,8))),0))</f>
        <v> </v>
      </c>
      <c r="J99" s="317" t="str">
        <f aca="false">IF(A99="N/A"," ",IF(OR(Dayrun4=3,Dayrun4=6),IF(Scaler4=2,I99,(VLOOKUP(A99,ScaledPrice4,7))*(2-(VLOOKUP(A99,ScaledPrice4,3)))),0))</f>
        <v> </v>
      </c>
      <c r="K99" s="317" t="str">
        <f aca="false">IF($A99="N/A"," ",IF(OR(Dayrun4=3,Dayrun4=10),VLOOKUP($A99,ScaledPrice4,9),0))</f>
        <v> </v>
      </c>
      <c r="L99" s="318" t="str">
        <f aca="false">IF($A99="N/A"," ",IF(Pricetype4=2,MAX(C99,0),IF(OR(Pricetype4=1,Pricetype4=4),IF(C99=0,0,(EURO(C99,Strikeprice4,0,0,($AH99+IF(Smile=TRUE(),VLOOKUP(MAX(-5,Strikeprice4-C99),Volsmile,2),0)),($A99-DateToday)+15,IF(Pricetype4=1,1,0),0))),C99)))</f>
        <v> </v>
      </c>
      <c r="M99" s="318" t="str">
        <f aca="false">IF($A99="N/A"," ",IF(Pricetype4=2,MAX(D99,0),IF(OR(Pricetype4=1,Pricetype4=4),IF(D99=0,0,(EURO(D99,Strikeprice4,0,0,($AH99+IF(Smile=TRUE(),VLOOKUP(MAX(-5,Strikeprice4-D99),Volsmile,2),0)),($A99-DateToday)+15,IF(Pricetype4=1,1,0),0))),D99)))</f>
        <v> </v>
      </c>
      <c r="N99" s="318" t="str">
        <f aca="false">IF($A99="N/A"," ",IF(Pricetype4=2,MAX(E99,0),IF(OR(Pricetype4=1,Pricetype4=4),IF(E99=0,0,(EURO(E99,Strikeprice4,0,0,($AK99+IF(Smile=TRUE(),VLOOKUP(MAX(-5,Strikeprice4-E99),Volsmile,2),0)),($A99-DateToday)+15,IF(Pricetype4=1,1,0),0))),E99)))</f>
        <v> </v>
      </c>
      <c r="O99" s="318" t="str">
        <f aca="false">IF($A99="N/A"," ",IF(Pricetype4=2,MAX(F99,0),IF(OR(Pricetype4=1,Pricetype4=4),IF(F99=0,0,(EURO(F99,Strikeprice4,0,0,($AK99+IF(Smile=TRUE(),VLOOKUP(MAX(-5,Strikeprice4-F99),Volsmile,2),0)),($A99-DateToday)+15,IF(Pricetype4=1,1,0),0))),F99)))</f>
        <v> </v>
      </c>
      <c r="P99" s="318" t="str">
        <f aca="false">IF($A99="N/A"," ",IF(Pricetype4=2,MAX(G99,0),IF(OR(Pricetype4=1,Pricetype4=4),IF(G99=0,0,(EURO(G99,Strikeprice4,0,0,($AK99+IF(Smile=TRUE(),VLOOKUP(MAX(-5,Strikeprice4-G99),Volsmile,2),0)),($A99-DateToday)+15,IF(Pricetype4=1,1,0),0))),G99)))</f>
        <v> </v>
      </c>
      <c r="Q99" s="318" t="str">
        <f aca="false">IF($A99="N/A"," ",IF(Pricetype4=2,MAX(H99,0),IF(OR(Pricetype4=1,Pricetype4=4),IF(H99=0,0,(EURO(H99,Strikeprice4,0,0,($AK99+IF(Smile=TRUE(),VLOOKUP(MAX(-5,Strikeprice4-H99),Volsmile,2),0)),($A99-DateToday)+15,IF(Pricetype4=1,1,0),0))),H99)))</f>
        <v> </v>
      </c>
      <c r="R99" s="318" t="str">
        <f aca="false">IF($A99="N/A"," ",IF(Pricetype4=2,MAX(I99,0),IF(OR(Pricetype4=1,Pricetype4=4),IF(I99=0,0,(EURO(I99,Strikeprice4,0,0,($AK99+IF(Smile=TRUE(),VLOOKUP(MAX(-5,Strikeprice4-I99),Volsmile,2),0)),($A99-DateToday)+15,IF(Pricetype4=1,1,0),0))),I99)))</f>
        <v> </v>
      </c>
      <c r="S99" s="318" t="str">
        <f aca="false">IF($A99="N/A"," ",IF(Pricetype4=2,MAX(J99,0),IF(OR(Pricetype4=1,Pricetype4=4),IF(J99=0,0,(EURO(J99,Strikeprice4,0,0,($AK99+IF(Smile=TRUE(),VLOOKUP(MAX(-5,Strikeprice4-J99),Volsmile,2),0)),($A99-DateToday)+15,IF(Pricetype4=1,1,0),0))),J99)))</f>
        <v> </v>
      </c>
      <c r="T99" s="318" t="str">
        <f aca="false">IF($A99="N/A"," ",IF(Pricetype4=2,MAX(K99,0),IF(OR(Pricetype4=1,Pricetype4=4),IF(K99=0,0,(EURO(K99,Strikeprice4,0,0,($AK99+IF(Smile=TRUE(),VLOOKUP(MAX(-5,Strikeprice4-K99),Volsmile,2),0)),($A99-DateToday)+15,IF(Pricetype4=1,1,0),0))),K99)))</f>
        <v> </v>
      </c>
      <c r="U99" s="319" t="str">
        <f aca="false">IF($A99="N/A"," ",Volume4*$AM99)</f>
        <v> </v>
      </c>
      <c r="V99" s="320" t="str">
        <f aca="false">IF($A99="N/A"," ",$U99*(8*($BQ99))*L99)</f>
        <v> </v>
      </c>
      <c r="W99" s="320" t="str">
        <f aca="false">IF($A99="N/A"," ",$U99*(8*($BQ99))*M99)</f>
        <v> </v>
      </c>
      <c r="X99" s="320" t="str">
        <f aca="false">IF($A99="N/A"," ",$U99*(8*($BQ99))*N99)</f>
        <v> </v>
      </c>
      <c r="Y99" s="320" t="str">
        <f aca="false">IF($A99="N/A"," ",$U99*(8*($BR99))*O99)</f>
        <v> </v>
      </c>
      <c r="Z99" s="320" t="str">
        <f aca="false">IF($A99="N/A"," ",$U99*(8*($BR99))*P99)</f>
        <v> </v>
      </c>
      <c r="AA99" s="320" t="str">
        <f aca="false">IF($A99="N/A"," ",$U99*(8*($BR99))*Q99)</f>
        <v> </v>
      </c>
      <c r="AB99" s="320" t="str">
        <f aca="false">IF($A99="N/A"," ",$U99*(8*($BS99))*R99)</f>
        <v> </v>
      </c>
      <c r="AC99" s="320" t="str">
        <f aca="false">IF($A99="N/A"," ",$U99*(8*($BS99))*S99)</f>
        <v> </v>
      </c>
      <c r="AD99" s="320" t="str">
        <f aca="false">IF($A99="N/A"," ",$U99*(8*($BS99))*T99)</f>
        <v> </v>
      </c>
      <c r="AE99" s="320" t="str">
        <f aca="false">IF($A99="N/A"," ",SUM(V99:AD99))</f>
        <v> </v>
      </c>
      <c r="AF99" s="321" t="str">
        <f aca="false">IF(A99="N/A"," ",(VLOOKUP(A99,PowerVolTable,(IF(VolBMO4=2,7,IF(VolBMO4=1,6,8))),FALSE())))</f>
        <v> </v>
      </c>
      <c r="AG99" s="321" t="str">
        <f aca="false">IF(A99="N/A"," ",(VLOOKUP(A99,IntraPowerVol,(IF(VolBMO4=2,3,IF(VolBMO4=1,2,4))),FALSE())*VLOOKUP(MONTH($A99),Volscale,2)))</f>
        <v> </v>
      </c>
      <c r="AH99" s="321" t="str">
        <f aca="false">IF($A99="N/A"," ",IF(VolType4=1,AG99,AF99))</f>
        <v> </v>
      </c>
      <c r="AI99" s="321" t="str">
        <f aca="false">IF($A99="N/A"," ",(VLOOKUP($A99,OffPwrVolTable,(IF(VolBMO4=2,7,IF(VolBMO4=1,6,8))),FALSE())))</f>
        <v> </v>
      </c>
      <c r="AJ99" s="321" t="str">
        <f aca="false">IF($A99="N/A"," ",(VLOOKUP($A99,OffPwrVolTable,(IF(VolBMO4=2,3,IF(VolBMO4=1,2,4))),FALSE())*VLOOKUP(MONTH($A99),Volscale,2)))</f>
        <v> </v>
      </c>
      <c r="AK99" s="321" t="str">
        <f aca="false">IF($A99="N/A"," ",IF(VolType4=1,AJ99,AI99))</f>
        <v> </v>
      </c>
      <c r="AL99" s="321" t="str">
        <f aca="false">IF($A99="N/A"," ",IF(PV=1,0,'Pricing Inputs4'!R132))</f>
        <v> </v>
      </c>
      <c r="AM99" s="323" t="str">
        <f aca="false">IF($A99="N/A"," ",(1+AL99/2)^(-2*((EOMONTH(A99,0)+20)-DateToday)/365.25))</f>
        <v> </v>
      </c>
      <c r="BQ99" s="0" t="str">
        <f aca="false">IF($A99="N/A"," ",(VLOOKUP($A99,NumberofDaysTable,2)))</f>
        <v> </v>
      </c>
      <c r="BR99" s="0" t="str">
        <f aca="false">IF($A99="N/A"," ",(VLOOKUP($A99,NumberofDaysTable,3)))</f>
        <v> </v>
      </c>
      <c r="BS99" s="0" t="str">
        <f aca="false">IF($A99="N/A"," ",(VLOOKUP($A99,NumberofDaysTable,4)))</f>
        <v> </v>
      </c>
    </row>
    <row r="100" customFormat="false" ht="12.75" hidden="false" customHeight="false" outlineLevel="0" collapsed="false">
      <c r="A100" s="315" t="str">
        <f aca="false">IF(A99="N/A","N/A",IF(EDATE(A99,1)&gt;Inputs!$R$5,"N/A",EDATE(A99,1)))</f>
        <v>N/A</v>
      </c>
      <c r="B100" s="316" t="str">
        <f aca="false">IF(A100="N/A"," ",YEAR(A100))</f>
        <v> </v>
      </c>
      <c r="C100" s="317" t="str">
        <f aca="false">IF($A100="N/A"," ",IF(Dayrun4=10,0,IF(Scaler4=1,(VLOOKUP(A100,ScaledPrice4,4)),(VLOOKUP(A100,ScaledPrice4,2)))))</f>
        <v> </v>
      </c>
      <c r="D100" s="317" t="str">
        <f aca="false">IF(A100="N/A"," ",IF(Dayrun4&gt;=7,0,IF(Scaler4=2,VLOOKUP(A100,ScaledPrice4,2),(VLOOKUP(A100,ScaledPrice4,2))*(2-(VLOOKUP(A100,ScaledPrice4,3))))))</f>
        <v> </v>
      </c>
      <c r="E100" s="317" t="str">
        <f aca="false">IF($A100="N/A"," ",IF(AND(Dayrun4&gt;=4,Dayrun4&lt;=9),0,VLOOKUP($A100,ScaledPrice4,9)))</f>
        <v> </v>
      </c>
      <c r="F100" s="317" t="str">
        <f aca="false">IF(A100="N/A"," ",IF(OR(Dayrun4=2,Dayrun4=3,Dayrun4=5,Dayrun4=6,Dayrun4=8,Dayrun4=9),VLOOKUP(A100,ScaledPrice4,IF(Scaler4=1,6,5)),0))</f>
        <v> </v>
      </c>
      <c r="G100" s="317" t="str">
        <f aca="false">IF(A100="N/A"," ",IF(OR(Dayrun4=2,Dayrun4=3,Dayrun4=5,Dayrun4=6),IF(Scaler4=2,F100,(VLOOKUP(A100,ScaledPrice4,5))*(2-(VLOOKUP(A100,ScaledPrice4,3)))),0))</f>
        <v> </v>
      </c>
      <c r="H100" s="317" t="str">
        <f aca="false">IF($A100="N/A"," ",IF(OR(Dayrun4=2,Dayrun4=3,Dayrun4=10),VLOOKUP($A100,ScaledPrice4,9),0))</f>
        <v> </v>
      </c>
      <c r="I100" s="317" t="str">
        <f aca="false">IF(A100="N/A"," ",IF(OR(Dayrun4=3,Dayrun4=6,Dayrun4=9),(VLOOKUP(A100,ScaledPrice4,IF(Scaler4=2,7,8))),0))</f>
        <v> </v>
      </c>
      <c r="J100" s="317" t="str">
        <f aca="false">IF(A100="N/A"," ",IF(OR(Dayrun4=3,Dayrun4=6),IF(Scaler4=2,I100,(VLOOKUP(A100,ScaledPrice4,7))*(2-(VLOOKUP(A100,ScaledPrice4,3)))),0))</f>
        <v> </v>
      </c>
      <c r="K100" s="317" t="str">
        <f aca="false">IF($A100="N/A"," ",IF(OR(Dayrun4=3,Dayrun4=10),VLOOKUP($A100,ScaledPrice4,9),0))</f>
        <v> </v>
      </c>
      <c r="L100" s="318" t="str">
        <f aca="false">IF($A100="N/A"," ",IF(Pricetype4=2,MAX(C100,0),IF(OR(Pricetype4=1,Pricetype4=4),IF(C100=0,0,(EURO(C100,Strikeprice4,0,0,($AH100+IF(Smile=TRUE(),VLOOKUP(MAX(-5,Strikeprice4-C100),Volsmile,2),0)),($A100-DateToday)+15,IF(Pricetype4=1,1,0),0))),C100)))</f>
        <v> </v>
      </c>
      <c r="M100" s="318" t="str">
        <f aca="false">IF($A100="N/A"," ",IF(Pricetype4=2,MAX(D100,0),IF(OR(Pricetype4=1,Pricetype4=4),IF(D100=0,0,(EURO(D100,Strikeprice4,0,0,($AH100+IF(Smile=TRUE(),VLOOKUP(MAX(-5,Strikeprice4-D100),Volsmile,2),0)),($A100-DateToday)+15,IF(Pricetype4=1,1,0),0))),D100)))</f>
        <v> </v>
      </c>
      <c r="N100" s="318" t="str">
        <f aca="false">IF($A100="N/A"," ",IF(Pricetype4=2,MAX(E100,0),IF(OR(Pricetype4=1,Pricetype4=4),IF(E100=0,0,(EURO(E100,Strikeprice4,0,0,($AK100+IF(Smile=TRUE(),VLOOKUP(MAX(-5,Strikeprice4-E100),Volsmile,2),0)),($A100-DateToday)+15,IF(Pricetype4=1,1,0),0))),E100)))</f>
        <v> </v>
      </c>
      <c r="O100" s="318" t="str">
        <f aca="false">IF($A100="N/A"," ",IF(Pricetype4=2,MAX(F100,0),IF(OR(Pricetype4=1,Pricetype4=4),IF(F100=0,0,(EURO(F100,Strikeprice4,0,0,($AK100+IF(Smile=TRUE(),VLOOKUP(MAX(-5,Strikeprice4-F100),Volsmile,2),0)),($A100-DateToday)+15,IF(Pricetype4=1,1,0),0))),F100)))</f>
        <v> </v>
      </c>
      <c r="P100" s="318" t="str">
        <f aca="false">IF($A100="N/A"," ",IF(Pricetype4=2,MAX(G100,0),IF(OR(Pricetype4=1,Pricetype4=4),IF(G100=0,0,(EURO(G100,Strikeprice4,0,0,($AK100+IF(Smile=TRUE(),VLOOKUP(MAX(-5,Strikeprice4-G100),Volsmile,2),0)),($A100-DateToday)+15,IF(Pricetype4=1,1,0),0))),G100)))</f>
        <v> </v>
      </c>
      <c r="Q100" s="318" t="str">
        <f aca="false">IF($A100="N/A"," ",IF(Pricetype4=2,MAX(H100,0),IF(OR(Pricetype4=1,Pricetype4=4),IF(H100=0,0,(EURO(H100,Strikeprice4,0,0,($AK100+IF(Smile=TRUE(),VLOOKUP(MAX(-5,Strikeprice4-H100),Volsmile,2),0)),($A100-DateToday)+15,IF(Pricetype4=1,1,0),0))),H100)))</f>
        <v> </v>
      </c>
      <c r="R100" s="318" t="str">
        <f aca="false">IF($A100="N/A"," ",IF(Pricetype4=2,MAX(I100,0),IF(OR(Pricetype4=1,Pricetype4=4),IF(I100=0,0,(EURO(I100,Strikeprice4,0,0,($AK100+IF(Smile=TRUE(),VLOOKUP(MAX(-5,Strikeprice4-I100),Volsmile,2),0)),($A100-DateToday)+15,IF(Pricetype4=1,1,0),0))),I100)))</f>
        <v> </v>
      </c>
      <c r="S100" s="318" t="str">
        <f aca="false">IF($A100="N/A"," ",IF(Pricetype4=2,MAX(J100,0),IF(OR(Pricetype4=1,Pricetype4=4),IF(J100=0,0,(EURO(J100,Strikeprice4,0,0,($AK100+IF(Smile=TRUE(),VLOOKUP(MAX(-5,Strikeprice4-J100),Volsmile,2),0)),($A100-DateToday)+15,IF(Pricetype4=1,1,0),0))),J100)))</f>
        <v> </v>
      </c>
      <c r="T100" s="318" t="str">
        <f aca="false">IF($A100="N/A"," ",IF(Pricetype4=2,MAX(K100,0),IF(OR(Pricetype4=1,Pricetype4=4),IF(K100=0,0,(EURO(K100,Strikeprice4,0,0,($AK100+IF(Smile=TRUE(),VLOOKUP(MAX(-5,Strikeprice4-K100),Volsmile,2),0)),($A100-DateToday)+15,IF(Pricetype4=1,1,0),0))),K100)))</f>
        <v> </v>
      </c>
      <c r="U100" s="319" t="str">
        <f aca="false">IF($A100="N/A"," ",Volume4*$AM100)</f>
        <v> </v>
      </c>
      <c r="V100" s="320" t="str">
        <f aca="false">IF($A100="N/A"," ",$U100*(8*($BQ100))*L100)</f>
        <v> </v>
      </c>
      <c r="W100" s="320" t="str">
        <f aca="false">IF($A100="N/A"," ",$U100*(8*($BQ100))*M100)</f>
        <v> </v>
      </c>
      <c r="X100" s="320" t="str">
        <f aca="false">IF($A100="N/A"," ",$U100*(8*($BQ100))*N100)</f>
        <v> </v>
      </c>
      <c r="Y100" s="320" t="str">
        <f aca="false">IF($A100="N/A"," ",$U100*(8*($BR100))*O100)</f>
        <v> </v>
      </c>
      <c r="Z100" s="320" t="str">
        <f aca="false">IF($A100="N/A"," ",$U100*(8*($BR100))*P100)</f>
        <v> </v>
      </c>
      <c r="AA100" s="320" t="str">
        <f aca="false">IF($A100="N/A"," ",$U100*(8*($BR100))*Q100)</f>
        <v> </v>
      </c>
      <c r="AB100" s="320" t="str">
        <f aca="false">IF($A100="N/A"," ",$U100*(8*($BS100))*R100)</f>
        <v> </v>
      </c>
      <c r="AC100" s="320" t="str">
        <f aca="false">IF($A100="N/A"," ",$U100*(8*($BS100))*S100)</f>
        <v> </v>
      </c>
      <c r="AD100" s="320" t="str">
        <f aca="false">IF($A100="N/A"," ",$U100*(8*($BS100))*T100)</f>
        <v> </v>
      </c>
      <c r="AE100" s="320" t="str">
        <f aca="false">IF($A100="N/A"," ",SUM(V100:AD100))</f>
        <v> </v>
      </c>
      <c r="AF100" s="321" t="str">
        <f aca="false">IF(A100="N/A"," ",(VLOOKUP(A100,PowerVolTable,(IF(VolBMO4=2,7,IF(VolBMO4=1,6,8))),FALSE())))</f>
        <v> </v>
      </c>
      <c r="AG100" s="321" t="str">
        <f aca="false">IF(A100="N/A"," ",(VLOOKUP(A100,IntraPowerVol,(IF(VolBMO4=2,3,IF(VolBMO4=1,2,4))),FALSE())*VLOOKUP(MONTH($A100),Volscale,2)))</f>
        <v> </v>
      </c>
      <c r="AH100" s="321" t="str">
        <f aca="false">IF($A100="N/A"," ",IF(VolType4=1,AG100,AF100))</f>
        <v> </v>
      </c>
      <c r="AI100" s="321" t="str">
        <f aca="false">IF($A100="N/A"," ",(VLOOKUP($A100,OffPwrVolTable,(IF(VolBMO4=2,7,IF(VolBMO4=1,6,8))),FALSE())))</f>
        <v> </v>
      </c>
      <c r="AJ100" s="321" t="str">
        <f aca="false">IF($A100="N/A"," ",(VLOOKUP($A100,OffPwrVolTable,(IF(VolBMO4=2,3,IF(VolBMO4=1,2,4))),FALSE())*VLOOKUP(MONTH($A100),Volscale,2)))</f>
        <v> </v>
      </c>
      <c r="AK100" s="321" t="str">
        <f aca="false">IF($A100="N/A"," ",IF(VolType4=1,AJ100,AI100))</f>
        <v> </v>
      </c>
      <c r="AL100" s="321" t="str">
        <f aca="false">IF($A100="N/A"," ",IF(PV=1,0,'Pricing Inputs4'!R133))</f>
        <v> </v>
      </c>
      <c r="AM100" s="323" t="str">
        <f aca="false">IF($A100="N/A"," ",(1+AL100/2)^(-2*((EOMONTH(A100,0)+20)-DateToday)/365.25))</f>
        <v> </v>
      </c>
      <c r="BQ100" s="0" t="str">
        <f aca="false">IF($A100="N/A"," ",(VLOOKUP($A100,NumberofDaysTable,2)))</f>
        <v> </v>
      </c>
      <c r="BR100" s="0" t="str">
        <f aca="false">IF($A100="N/A"," ",(VLOOKUP($A100,NumberofDaysTable,3)))</f>
        <v> </v>
      </c>
      <c r="BS100" s="0" t="str">
        <f aca="false">IF($A100="N/A"," ",(VLOOKUP($A100,NumberofDaysTable,4)))</f>
        <v> </v>
      </c>
    </row>
    <row r="101" customFormat="false" ht="12.75" hidden="false" customHeight="false" outlineLevel="0" collapsed="false">
      <c r="A101" s="315" t="str">
        <f aca="false">IF(A100="N/A","N/A",IF(EDATE(A100,1)&gt;Inputs!$R$5,"N/A",EDATE(A100,1)))</f>
        <v>N/A</v>
      </c>
      <c r="B101" s="316" t="str">
        <f aca="false">IF(A101="N/A"," ",YEAR(A101))</f>
        <v> </v>
      </c>
      <c r="C101" s="317" t="str">
        <f aca="false">IF($A101="N/A"," ",IF(Dayrun4=10,0,IF(Scaler4=1,(VLOOKUP(A101,ScaledPrice4,4)),(VLOOKUP(A101,ScaledPrice4,2)))))</f>
        <v> </v>
      </c>
      <c r="D101" s="317" t="str">
        <f aca="false">IF(A101="N/A"," ",IF(Dayrun4&gt;=7,0,IF(Scaler4=2,VLOOKUP(A101,ScaledPrice4,2),(VLOOKUP(A101,ScaledPrice4,2))*(2-(VLOOKUP(A101,ScaledPrice4,3))))))</f>
        <v> </v>
      </c>
      <c r="E101" s="317" t="str">
        <f aca="false">IF($A101="N/A"," ",IF(AND(Dayrun4&gt;=4,Dayrun4&lt;=9),0,VLOOKUP($A101,ScaledPrice4,9)))</f>
        <v> </v>
      </c>
      <c r="F101" s="317" t="str">
        <f aca="false">IF(A101="N/A"," ",IF(OR(Dayrun4=2,Dayrun4=3,Dayrun4=5,Dayrun4=6,Dayrun4=8,Dayrun4=9),VLOOKUP(A101,ScaledPrice4,IF(Scaler4=1,6,5)),0))</f>
        <v> </v>
      </c>
      <c r="G101" s="317" t="str">
        <f aca="false">IF(A101="N/A"," ",IF(OR(Dayrun4=2,Dayrun4=3,Dayrun4=5,Dayrun4=6),IF(Scaler4=2,F101,(VLOOKUP(A101,ScaledPrice4,5))*(2-(VLOOKUP(A101,ScaledPrice4,3)))),0))</f>
        <v> </v>
      </c>
      <c r="H101" s="317" t="str">
        <f aca="false">IF($A101="N/A"," ",IF(OR(Dayrun4=2,Dayrun4=3,Dayrun4=10),VLOOKUP($A101,ScaledPrice4,9),0))</f>
        <v> </v>
      </c>
      <c r="I101" s="317" t="str">
        <f aca="false">IF(A101="N/A"," ",IF(OR(Dayrun4=3,Dayrun4=6,Dayrun4=9),(VLOOKUP(A101,ScaledPrice4,IF(Scaler4=2,7,8))),0))</f>
        <v> </v>
      </c>
      <c r="J101" s="317" t="str">
        <f aca="false">IF(A101="N/A"," ",IF(OR(Dayrun4=3,Dayrun4=6),IF(Scaler4=2,I101,(VLOOKUP(A101,ScaledPrice4,7))*(2-(VLOOKUP(A101,ScaledPrice4,3)))),0))</f>
        <v> </v>
      </c>
      <c r="K101" s="317" t="str">
        <f aca="false">IF($A101="N/A"," ",IF(OR(Dayrun4=3,Dayrun4=10),VLOOKUP($A101,ScaledPrice4,9),0))</f>
        <v> </v>
      </c>
      <c r="L101" s="318" t="str">
        <f aca="false">IF($A101="N/A"," ",IF(Pricetype4=2,MAX(C101,0),IF(OR(Pricetype4=1,Pricetype4=4),IF(C101=0,0,(EURO(C101,Strikeprice4,0,0,($AH101+IF(Smile=TRUE(),VLOOKUP(MAX(-5,Strikeprice4-C101),Volsmile,2),0)),($A101-DateToday)+15,IF(Pricetype4=1,1,0),0))),C101)))</f>
        <v> </v>
      </c>
      <c r="M101" s="318" t="str">
        <f aca="false">IF($A101="N/A"," ",IF(Pricetype4=2,MAX(D101,0),IF(OR(Pricetype4=1,Pricetype4=4),IF(D101=0,0,(EURO(D101,Strikeprice4,0,0,($AH101+IF(Smile=TRUE(),VLOOKUP(MAX(-5,Strikeprice4-D101),Volsmile,2),0)),($A101-DateToday)+15,IF(Pricetype4=1,1,0),0))),D101)))</f>
        <v> </v>
      </c>
      <c r="N101" s="318" t="str">
        <f aca="false">IF($A101="N/A"," ",IF(Pricetype4=2,MAX(E101,0),IF(OR(Pricetype4=1,Pricetype4=4),IF(E101=0,0,(EURO(E101,Strikeprice4,0,0,($AK101+IF(Smile=TRUE(),VLOOKUP(MAX(-5,Strikeprice4-E101),Volsmile,2),0)),($A101-DateToday)+15,IF(Pricetype4=1,1,0),0))),E101)))</f>
        <v> </v>
      </c>
      <c r="O101" s="318" t="str">
        <f aca="false">IF($A101="N/A"," ",IF(Pricetype4=2,MAX(F101,0),IF(OR(Pricetype4=1,Pricetype4=4),IF(F101=0,0,(EURO(F101,Strikeprice4,0,0,($AK101+IF(Smile=TRUE(),VLOOKUP(MAX(-5,Strikeprice4-F101),Volsmile,2),0)),($A101-DateToday)+15,IF(Pricetype4=1,1,0),0))),F101)))</f>
        <v> </v>
      </c>
      <c r="P101" s="318" t="str">
        <f aca="false">IF($A101="N/A"," ",IF(Pricetype4=2,MAX(G101,0),IF(OR(Pricetype4=1,Pricetype4=4),IF(G101=0,0,(EURO(G101,Strikeprice4,0,0,($AK101+IF(Smile=TRUE(),VLOOKUP(MAX(-5,Strikeprice4-G101),Volsmile,2),0)),($A101-DateToday)+15,IF(Pricetype4=1,1,0),0))),G101)))</f>
        <v> </v>
      </c>
      <c r="Q101" s="318" t="str">
        <f aca="false">IF($A101="N/A"," ",IF(Pricetype4=2,MAX(H101,0),IF(OR(Pricetype4=1,Pricetype4=4),IF(H101=0,0,(EURO(H101,Strikeprice4,0,0,($AK101+IF(Smile=TRUE(),VLOOKUP(MAX(-5,Strikeprice4-H101),Volsmile,2),0)),($A101-DateToday)+15,IF(Pricetype4=1,1,0),0))),H101)))</f>
        <v> </v>
      </c>
      <c r="R101" s="318" t="str">
        <f aca="false">IF($A101="N/A"," ",IF(Pricetype4=2,MAX(I101,0),IF(OR(Pricetype4=1,Pricetype4=4),IF(I101=0,0,(EURO(I101,Strikeprice4,0,0,($AK101+IF(Smile=TRUE(),VLOOKUP(MAX(-5,Strikeprice4-I101),Volsmile,2),0)),($A101-DateToday)+15,IF(Pricetype4=1,1,0),0))),I101)))</f>
        <v> </v>
      </c>
      <c r="S101" s="318" t="str">
        <f aca="false">IF($A101="N/A"," ",IF(Pricetype4=2,MAX(J101,0),IF(OR(Pricetype4=1,Pricetype4=4),IF(J101=0,0,(EURO(J101,Strikeprice4,0,0,($AK101+IF(Smile=TRUE(),VLOOKUP(MAX(-5,Strikeprice4-J101),Volsmile,2),0)),($A101-DateToday)+15,IF(Pricetype4=1,1,0),0))),J101)))</f>
        <v> </v>
      </c>
      <c r="T101" s="318" t="str">
        <f aca="false">IF($A101="N/A"," ",IF(Pricetype4=2,MAX(K101,0),IF(OR(Pricetype4=1,Pricetype4=4),IF(K101=0,0,(EURO(K101,Strikeprice4,0,0,($AK101+IF(Smile=TRUE(),VLOOKUP(MAX(-5,Strikeprice4-K101),Volsmile,2),0)),($A101-DateToday)+15,IF(Pricetype4=1,1,0),0))),K101)))</f>
        <v> </v>
      </c>
      <c r="U101" s="319" t="str">
        <f aca="false">IF($A101="N/A"," ",Volume4*$AM101)</f>
        <v> </v>
      </c>
      <c r="V101" s="320" t="str">
        <f aca="false">IF($A101="N/A"," ",$U101*(8*($BQ101))*L101)</f>
        <v> </v>
      </c>
      <c r="W101" s="320" t="str">
        <f aca="false">IF($A101="N/A"," ",$U101*(8*($BQ101))*M101)</f>
        <v> </v>
      </c>
      <c r="X101" s="320" t="str">
        <f aca="false">IF($A101="N/A"," ",$U101*(8*($BQ101))*N101)</f>
        <v> </v>
      </c>
      <c r="Y101" s="320" t="str">
        <f aca="false">IF($A101="N/A"," ",$U101*(8*($BR101))*O101)</f>
        <v> </v>
      </c>
      <c r="Z101" s="320" t="str">
        <f aca="false">IF($A101="N/A"," ",$U101*(8*($BR101))*P101)</f>
        <v> </v>
      </c>
      <c r="AA101" s="320" t="str">
        <f aca="false">IF($A101="N/A"," ",$U101*(8*($BR101))*Q101)</f>
        <v> </v>
      </c>
      <c r="AB101" s="320" t="str">
        <f aca="false">IF($A101="N/A"," ",$U101*(8*($BS101))*R101)</f>
        <v> </v>
      </c>
      <c r="AC101" s="320" t="str">
        <f aca="false">IF($A101="N/A"," ",$U101*(8*($BS101))*S101)</f>
        <v> </v>
      </c>
      <c r="AD101" s="320" t="str">
        <f aca="false">IF($A101="N/A"," ",$U101*(8*($BS101))*T101)</f>
        <v> </v>
      </c>
      <c r="AE101" s="320" t="str">
        <f aca="false">IF($A101="N/A"," ",SUM(V101:AD101))</f>
        <v> </v>
      </c>
      <c r="AF101" s="321" t="str">
        <f aca="false">IF(A101="N/A"," ",(VLOOKUP(A101,PowerVolTable,(IF(VolBMO4=2,7,IF(VolBMO4=1,6,8))),FALSE())))</f>
        <v> </v>
      </c>
      <c r="AG101" s="321" t="str">
        <f aca="false">IF(A101="N/A"," ",(VLOOKUP(A101,IntraPowerVol,(IF(VolBMO4=2,3,IF(VolBMO4=1,2,4))),FALSE())*VLOOKUP(MONTH($A101),Volscale,2)))</f>
        <v> </v>
      </c>
      <c r="AH101" s="321" t="str">
        <f aca="false">IF($A101="N/A"," ",IF(VolType4=1,AG101,AF101))</f>
        <v> </v>
      </c>
      <c r="AI101" s="321" t="str">
        <f aca="false">IF($A101="N/A"," ",(VLOOKUP($A101,OffPwrVolTable,(IF(VolBMO4=2,7,IF(VolBMO4=1,6,8))),FALSE())))</f>
        <v> </v>
      </c>
      <c r="AJ101" s="321" t="str">
        <f aca="false">IF($A101="N/A"," ",(VLOOKUP($A101,OffPwrVolTable,(IF(VolBMO4=2,3,IF(VolBMO4=1,2,4))),FALSE())*VLOOKUP(MONTH($A101),Volscale,2)))</f>
        <v> </v>
      </c>
      <c r="AK101" s="321" t="str">
        <f aca="false">IF($A101="N/A"," ",IF(VolType4=1,AJ101,AI101))</f>
        <v> </v>
      </c>
      <c r="AL101" s="321" t="str">
        <f aca="false">IF($A101="N/A"," ",IF(PV=1,0,'Pricing Inputs4'!R134))</f>
        <v> </v>
      </c>
      <c r="AM101" s="323" t="str">
        <f aca="false">IF($A101="N/A"," ",(1+AL101/2)^(-2*((EOMONTH(A101,0)+20)-DateToday)/365.25))</f>
        <v> </v>
      </c>
      <c r="BQ101" s="0" t="str">
        <f aca="false">IF($A101="N/A"," ",(VLOOKUP($A101,NumberofDaysTable,2)))</f>
        <v> </v>
      </c>
      <c r="BR101" s="0" t="str">
        <f aca="false">IF($A101="N/A"," ",(VLOOKUP($A101,NumberofDaysTable,3)))</f>
        <v> </v>
      </c>
      <c r="BS101" s="0" t="str">
        <f aca="false">IF($A101="N/A"," ",(VLOOKUP($A101,NumberofDaysTable,4)))</f>
        <v> </v>
      </c>
    </row>
    <row r="102" customFormat="false" ht="12.75" hidden="false" customHeight="false" outlineLevel="0" collapsed="false">
      <c r="A102" s="315" t="str">
        <f aca="false">IF(A101="N/A","N/A",IF(EDATE(A101,1)&gt;Inputs!$R$5,"N/A",EDATE(A101,1)))</f>
        <v>N/A</v>
      </c>
      <c r="B102" s="316" t="str">
        <f aca="false">IF(A102="N/A"," ",YEAR(A102))</f>
        <v> </v>
      </c>
      <c r="C102" s="317" t="str">
        <f aca="false">IF($A102="N/A"," ",IF(Dayrun4=10,0,IF(Scaler4=1,(VLOOKUP(A102,ScaledPrice4,4)),(VLOOKUP(A102,ScaledPrice4,2)))))</f>
        <v> </v>
      </c>
      <c r="D102" s="317" t="str">
        <f aca="false">IF(A102="N/A"," ",IF(Dayrun4&gt;=7,0,IF(Scaler4=2,VLOOKUP(A102,ScaledPrice4,2),(VLOOKUP(A102,ScaledPrice4,2))*(2-(VLOOKUP(A102,ScaledPrice4,3))))))</f>
        <v> </v>
      </c>
      <c r="E102" s="317" t="str">
        <f aca="false">IF($A102="N/A"," ",IF(AND(Dayrun4&gt;=4,Dayrun4&lt;=9),0,VLOOKUP($A102,ScaledPrice4,9)))</f>
        <v> </v>
      </c>
      <c r="F102" s="317" t="str">
        <f aca="false">IF(A102="N/A"," ",IF(OR(Dayrun4=2,Dayrun4=3,Dayrun4=5,Dayrun4=6,Dayrun4=8,Dayrun4=9),VLOOKUP(A102,ScaledPrice4,IF(Scaler4=1,6,5)),0))</f>
        <v> </v>
      </c>
      <c r="G102" s="317" t="str">
        <f aca="false">IF(A102="N/A"," ",IF(OR(Dayrun4=2,Dayrun4=3,Dayrun4=5,Dayrun4=6),IF(Scaler4=2,F102,(VLOOKUP(A102,ScaledPrice4,5))*(2-(VLOOKUP(A102,ScaledPrice4,3)))),0))</f>
        <v> </v>
      </c>
      <c r="H102" s="317" t="str">
        <f aca="false">IF($A102="N/A"," ",IF(OR(Dayrun4=2,Dayrun4=3,Dayrun4=10),VLOOKUP($A102,ScaledPrice4,9),0))</f>
        <v> </v>
      </c>
      <c r="I102" s="317" t="str">
        <f aca="false">IF(A102="N/A"," ",IF(OR(Dayrun4=3,Dayrun4=6,Dayrun4=9),(VLOOKUP(A102,ScaledPrice4,IF(Scaler4=2,7,8))),0))</f>
        <v> </v>
      </c>
      <c r="J102" s="317" t="str">
        <f aca="false">IF(A102="N/A"," ",IF(OR(Dayrun4=3,Dayrun4=6),IF(Scaler4=2,I102,(VLOOKUP(A102,ScaledPrice4,7))*(2-(VLOOKUP(A102,ScaledPrice4,3)))),0))</f>
        <v> </v>
      </c>
      <c r="K102" s="317" t="str">
        <f aca="false">IF($A102="N/A"," ",IF(OR(Dayrun4=3,Dayrun4=10),VLOOKUP($A102,ScaledPrice4,9),0))</f>
        <v> </v>
      </c>
      <c r="L102" s="318" t="str">
        <f aca="false">IF($A102="N/A"," ",IF(Pricetype4=2,MAX(C102,0),IF(OR(Pricetype4=1,Pricetype4=4),IF(C102=0,0,(EURO(C102,Strikeprice4,0,0,($AH102+IF(Smile=TRUE(),VLOOKUP(MAX(-5,Strikeprice4-C102),Volsmile,2),0)),($A102-DateToday)+15,IF(Pricetype4=1,1,0),0))),C102)))</f>
        <v> </v>
      </c>
      <c r="M102" s="318" t="str">
        <f aca="false">IF($A102="N/A"," ",IF(Pricetype4=2,MAX(D102,0),IF(OR(Pricetype4=1,Pricetype4=4),IF(D102=0,0,(EURO(D102,Strikeprice4,0,0,($AH102+IF(Smile=TRUE(),VLOOKUP(MAX(-5,Strikeprice4-D102),Volsmile,2),0)),($A102-DateToday)+15,IF(Pricetype4=1,1,0),0))),D102)))</f>
        <v> </v>
      </c>
      <c r="N102" s="318" t="str">
        <f aca="false">IF($A102="N/A"," ",IF(Pricetype4=2,MAX(E102,0),IF(OR(Pricetype4=1,Pricetype4=4),IF(E102=0,0,(EURO(E102,Strikeprice4,0,0,($AK102+IF(Smile=TRUE(),VLOOKUP(MAX(-5,Strikeprice4-E102),Volsmile,2),0)),($A102-DateToday)+15,IF(Pricetype4=1,1,0),0))),E102)))</f>
        <v> </v>
      </c>
      <c r="O102" s="318" t="str">
        <f aca="false">IF($A102="N/A"," ",IF(Pricetype4=2,MAX(F102,0),IF(OR(Pricetype4=1,Pricetype4=4),IF(F102=0,0,(EURO(F102,Strikeprice4,0,0,($AK102+IF(Smile=TRUE(),VLOOKUP(MAX(-5,Strikeprice4-F102),Volsmile,2),0)),($A102-DateToday)+15,IF(Pricetype4=1,1,0),0))),F102)))</f>
        <v> </v>
      </c>
      <c r="P102" s="318" t="str">
        <f aca="false">IF($A102="N/A"," ",IF(Pricetype4=2,MAX(G102,0),IF(OR(Pricetype4=1,Pricetype4=4),IF(G102=0,0,(EURO(G102,Strikeprice4,0,0,($AK102+IF(Smile=TRUE(),VLOOKUP(MAX(-5,Strikeprice4-G102),Volsmile,2),0)),($A102-DateToday)+15,IF(Pricetype4=1,1,0),0))),G102)))</f>
        <v> </v>
      </c>
      <c r="Q102" s="318" t="str">
        <f aca="false">IF($A102="N/A"," ",IF(Pricetype4=2,MAX(H102,0),IF(OR(Pricetype4=1,Pricetype4=4),IF(H102=0,0,(EURO(H102,Strikeprice4,0,0,($AK102+IF(Smile=TRUE(),VLOOKUP(MAX(-5,Strikeprice4-H102),Volsmile,2),0)),($A102-DateToday)+15,IF(Pricetype4=1,1,0),0))),H102)))</f>
        <v> </v>
      </c>
      <c r="R102" s="318" t="str">
        <f aca="false">IF($A102="N/A"," ",IF(Pricetype4=2,MAX(I102,0),IF(OR(Pricetype4=1,Pricetype4=4),IF(I102=0,0,(EURO(I102,Strikeprice4,0,0,($AK102+IF(Smile=TRUE(),VLOOKUP(MAX(-5,Strikeprice4-I102),Volsmile,2),0)),($A102-DateToday)+15,IF(Pricetype4=1,1,0),0))),I102)))</f>
        <v> </v>
      </c>
      <c r="S102" s="318" t="str">
        <f aca="false">IF($A102="N/A"," ",IF(Pricetype4=2,MAX(J102,0),IF(OR(Pricetype4=1,Pricetype4=4),IF(J102=0,0,(EURO(J102,Strikeprice4,0,0,($AK102+IF(Smile=TRUE(),VLOOKUP(MAX(-5,Strikeprice4-J102),Volsmile,2),0)),($A102-DateToday)+15,IF(Pricetype4=1,1,0),0))),J102)))</f>
        <v> </v>
      </c>
      <c r="T102" s="318" t="str">
        <f aca="false">IF($A102="N/A"," ",IF(Pricetype4=2,MAX(K102,0),IF(OR(Pricetype4=1,Pricetype4=4),IF(K102=0,0,(EURO(K102,Strikeprice4,0,0,($AK102+IF(Smile=TRUE(),VLOOKUP(MAX(-5,Strikeprice4-K102),Volsmile,2),0)),($A102-DateToday)+15,IF(Pricetype4=1,1,0),0))),K102)))</f>
        <v> </v>
      </c>
      <c r="U102" s="319" t="str">
        <f aca="false">IF($A102="N/A"," ",Volume4*$AM102)</f>
        <v> </v>
      </c>
      <c r="V102" s="320" t="str">
        <f aca="false">IF($A102="N/A"," ",$U102*(8*($BQ102))*L102)</f>
        <v> </v>
      </c>
      <c r="W102" s="320" t="str">
        <f aca="false">IF($A102="N/A"," ",$U102*(8*($BQ102))*M102)</f>
        <v> </v>
      </c>
      <c r="X102" s="320" t="str">
        <f aca="false">IF($A102="N/A"," ",$U102*(8*($BQ102))*N102)</f>
        <v> </v>
      </c>
      <c r="Y102" s="320" t="str">
        <f aca="false">IF($A102="N/A"," ",$U102*(8*($BR102))*O102)</f>
        <v> </v>
      </c>
      <c r="Z102" s="320" t="str">
        <f aca="false">IF($A102="N/A"," ",$U102*(8*($BR102))*P102)</f>
        <v> </v>
      </c>
      <c r="AA102" s="320" t="str">
        <f aca="false">IF($A102="N/A"," ",$U102*(8*($BR102))*Q102)</f>
        <v> </v>
      </c>
      <c r="AB102" s="320" t="str">
        <f aca="false">IF($A102="N/A"," ",$U102*(8*($BS102))*R102)</f>
        <v> </v>
      </c>
      <c r="AC102" s="320" t="str">
        <f aca="false">IF($A102="N/A"," ",$U102*(8*($BS102))*S102)</f>
        <v> </v>
      </c>
      <c r="AD102" s="320" t="str">
        <f aca="false">IF($A102="N/A"," ",$U102*(8*($BS102))*T102)</f>
        <v> </v>
      </c>
      <c r="AE102" s="320" t="str">
        <f aca="false">IF($A102="N/A"," ",SUM(V102:AD102))</f>
        <v> </v>
      </c>
      <c r="AF102" s="321" t="str">
        <f aca="false">IF(A102="N/A"," ",(VLOOKUP(A102,PowerVolTable,(IF(VolBMO4=2,7,IF(VolBMO4=1,6,8))),FALSE())))</f>
        <v> </v>
      </c>
      <c r="AG102" s="321" t="str">
        <f aca="false">IF(A102="N/A"," ",(VLOOKUP(A102,IntraPowerVol,(IF(VolBMO4=2,3,IF(VolBMO4=1,2,4))),FALSE())*VLOOKUP(MONTH($A102),Volscale,2)))</f>
        <v> </v>
      </c>
      <c r="AH102" s="321" t="str">
        <f aca="false">IF($A102="N/A"," ",IF(VolType4=1,AG102,AF102))</f>
        <v> </v>
      </c>
      <c r="AI102" s="321" t="str">
        <f aca="false">IF($A102="N/A"," ",(VLOOKUP($A102,OffPwrVolTable,(IF(VolBMO4=2,7,IF(VolBMO4=1,6,8))),FALSE())))</f>
        <v> </v>
      </c>
      <c r="AJ102" s="321" t="str">
        <f aca="false">IF($A102="N/A"," ",(VLOOKUP($A102,OffPwrVolTable,(IF(VolBMO4=2,3,IF(VolBMO4=1,2,4))),FALSE())*VLOOKUP(MONTH($A102),Volscale,2)))</f>
        <v> </v>
      </c>
      <c r="AK102" s="321" t="str">
        <f aca="false">IF($A102="N/A"," ",IF(VolType4=1,AJ102,AI102))</f>
        <v> </v>
      </c>
      <c r="AL102" s="321" t="str">
        <f aca="false">IF($A102="N/A"," ",IF(PV=1,0,'Pricing Inputs4'!R135))</f>
        <v> </v>
      </c>
      <c r="AM102" s="323" t="str">
        <f aca="false">IF($A102="N/A"," ",(1+AL102/2)^(-2*((EOMONTH(A102,0)+20)-DateToday)/365.25))</f>
        <v> </v>
      </c>
      <c r="BQ102" s="0" t="str">
        <f aca="false">IF($A102="N/A"," ",(VLOOKUP($A102,NumberofDaysTable,2)))</f>
        <v> </v>
      </c>
      <c r="BR102" s="0" t="str">
        <f aca="false">IF($A102="N/A"," ",(VLOOKUP($A102,NumberofDaysTable,3)))</f>
        <v> </v>
      </c>
      <c r="BS102" s="0" t="str">
        <f aca="false">IF($A102="N/A"," ",(VLOOKUP($A102,NumberofDaysTable,4)))</f>
        <v> </v>
      </c>
    </row>
    <row r="103" customFormat="false" ht="12.75" hidden="false" customHeight="false" outlineLevel="0" collapsed="false">
      <c r="A103" s="315" t="str">
        <f aca="false">IF(A102="N/A","N/A",IF(EDATE(A102,1)&gt;Inputs!$R$5,"N/A",EDATE(A102,1)))</f>
        <v>N/A</v>
      </c>
      <c r="B103" s="316" t="str">
        <f aca="false">IF(A103="N/A"," ",YEAR(A103))</f>
        <v> </v>
      </c>
      <c r="C103" s="317" t="str">
        <f aca="false">IF($A103="N/A"," ",IF(Dayrun4=10,0,IF(Scaler4=1,(VLOOKUP(A103,ScaledPrice4,4)),(VLOOKUP(A103,ScaledPrice4,2)))))</f>
        <v> </v>
      </c>
      <c r="D103" s="317" t="str">
        <f aca="false">IF(A103="N/A"," ",IF(Dayrun4&gt;=7,0,IF(Scaler4=2,VLOOKUP(A103,ScaledPrice4,2),(VLOOKUP(A103,ScaledPrice4,2))*(2-(VLOOKUP(A103,ScaledPrice4,3))))))</f>
        <v> </v>
      </c>
      <c r="E103" s="317" t="str">
        <f aca="false">IF($A103="N/A"," ",IF(AND(Dayrun4&gt;=4,Dayrun4&lt;=9),0,VLOOKUP($A103,ScaledPrice4,9)))</f>
        <v> </v>
      </c>
      <c r="F103" s="317" t="str">
        <f aca="false">IF(A103="N/A"," ",IF(OR(Dayrun4=2,Dayrun4=3,Dayrun4=5,Dayrun4=6,Dayrun4=8,Dayrun4=9),VLOOKUP(A103,ScaledPrice4,IF(Scaler4=1,6,5)),0))</f>
        <v> </v>
      </c>
      <c r="G103" s="317" t="str">
        <f aca="false">IF(A103="N/A"," ",IF(OR(Dayrun4=2,Dayrun4=3,Dayrun4=5,Dayrun4=6),IF(Scaler4=2,F103,(VLOOKUP(A103,ScaledPrice4,5))*(2-(VLOOKUP(A103,ScaledPrice4,3)))),0))</f>
        <v> </v>
      </c>
      <c r="H103" s="317" t="str">
        <f aca="false">IF($A103="N/A"," ",IF(OR(Dayrun4=2,Dayrun4=3,Dayrun4=10),VLOOKUP($A103,ScaledPrice4,9),0))</f>
        <v> </v>
      </c>
      <c r="I103" s="317" t="str">
        <f aca="false">IF(A103="N/A"," ",IF(OR(Dayrun4=3,Dayrun4=6,Dayrun4=9),(VLOOKUP(A103,ScaledPrice4,IF(Scaler4=2,7,8))),0))</f>
        <v> </v>
      </c>
      <c r="J103" s="317" t="str">
        <f aca="false">IF(A103="N/A"," ",IF(OR(Dayrun4=3,Dayrun4=6),IF(Scaler4=2,I103,(VLOOKUP(A103,ScaledPrice4,7))*(2-(VLOOKUP(A103,ScaledPrice4,3)))),0))</f>
        <v> </v>
      </c>
      <c r="K103" s="317" t="str">
        <f aca="false">IF($A103="N/A"," ",IF(OR(Dayrun4=3,Dayrun4=10),VLOOKUP($A103,ScaledPrice4,9),0))</f>
        <v> </v>
      </c>
      <c r="L103" s="318" t="str">
        <f aca="false">IF($A103="N/A"," ",IF(Pricetype4=2,MAX(C103,0),IF(OR(Pricetype4=1,Pricetype4=4),IF(C103=0,0,(EURO(C103,Strikeprice4,0,0,($AH103+IF(Smile=TRUE(),VLOOKUP(MAX(-5,Strikeprice4-C103),Volsmile,2),0)),($A103-DateToday)+15,IF(Pricetype4=1,1,0),0))),C103)))</f>
        <v> </v>
      </c>
      <c r="M103" s="318" t="str">
        <f aca="false">IF($A103="N/A"," ",IF(Pricetype4=2,MAX(D103,0),IF(OR(Pricetype4=1,Pricetype4=4),IF(D103=0,0,(EURO(D103,Strikeprice4,0,0,($AH103+IF(Smile=TRUE(),VLOOKUP(MAX(-5,Strikeprice4-D103),Volsmile,2),0)),($A103-DateToday)+15,IF(Pricetype4=1,1,0),0))),D103)))</f>
        <v> </v>
      </c>
      <c r="N103" s="318" t="str">
        <f aca="false">IF($A103="N/A"," ",IF(Pricetype4=2,MAX(E103,0),IF(OR(Pricetype4=1,Pricetype4=4),IF(E103=0,0,(EURO(E103,Strikeprice4,0,0,($AK103+IF(Smile=TRUE(),VLOOKUP(MAX(-5,Strikeprice4-E103),Volsmile,2),0)),($A103-DateToday)+15,IF(Pricetype4=1,1,0),0))),E103)))</f>
        <v> </v>
      </c>
      <c r="O103" s="318" t="str">
        <f aca="false">IF($A103="N/A"," ",IF(Pricetype4=2,MAX(F103,0),IF(OR(Pricetype4=1,Pricetype4=4),IF(F103=0,0,(EURO(F103,Strikeprice4,0,0,($AK103+IF(Smile=TRUE(),VLOOKUP(MAX(-5,Strikeprice4-F103),Volsmile,2),0)),($A103-DateToday)+15,IF(Pricetype4=1,1,0),0))),F103)))</f>
        <v> </v>
      </c>
      <c r="P103" s="318" t="str">
        <f aca="false">IF($A103="N/A"," ",IF(Pricetype4=2,MAX(G103,0),IF(OR(Pricetype4=1,Pricetype4=4),IF(G103=0,0,(EURO(G103,Strikeprice4,0,0,($AK103+IF(Smile=TRUE(),VLOOKUP(MAX(-5,Strikeprice4-G103),Volsmile,2),0)),($A103-DateToday)+15,IF(Pricetype4=1,1,0),0))),G103)))</f>
        <v> </v>
      </c>
      <c r="Q103" s="318" t="str">
        <f aca="false">IF($A103="N/A"," ",IF(Pricetype4=2,MAX(H103,0),IF(OR(Pricetype4=1,Pricetype4=4),IF(H103=0,0,(EURO(H103,Strikeprice4,0,0,($AK103+IF(Smile=TRUE(),VLOOKUP(MAX(-5,Strikeprice4-H103),Volsmile,2),0)),($A103-DateToday)+15,IF(Pricetype4=1,1,0),0))),H103)))</f>
        <v> </v>
      </c>
      <c r="R103" s="318" t="str">
        <f aca="false">IF($A103="N/A"," ",IF(Pricetype4=2,MAX(I103,0),IF(OR(Pricetype4=1,Pricetype4=4),IF(I103=0,0,(EURO(I103,Strikeprice4,0,0,($AK103+IF(Smile=TRUE(),VLOOKUP(MAX(-5,Strikeprice4-I103),Volsmile,2),0)),($A103-DateToday)+15,IF(Pricetype4=1,1,0),0))),I103)))</f>
        <v> </v>
      </c>
      <c r="S103" s="318" t="str">
        <f aca="false">IF($A103="N/A"," ",IF(Pricetype4=2,MAX(J103,0),IF(OR(Pricetype4=1,Pricetype4=4),IF(J103=0,0,(EURO(J103,Strikeprice4,0,0,($AK103+IF(Smile=TRUE(),VLOOKUP(MAX(-5,Strikeprice4-J103),Volsmile,2),0)),($A103-DateToday)+15,IF(Pricetype4=1,1,0),0))),J103)))</f>
        <v> </v>
      </c>
      <c r="T103" s="318" t="str">
        <f aca="false">IF($A103="N/A"," ",IF(Pricetype4=2,MAX(K103,0),IF(OR(Pricetype4=1,Pricetype4=4),IF(K103=0,0,(EURO(K103,Strikeprice4,0,0,($AK103+IF(Smile=TRUE(),VLOOKUP(MAX(-5,Strikeprice4-K103),Volsmile,2),0)),($A103-DateToday)+15,IF(Pricetype4=1,1,0),0))),K103)))</f>
        <v> </v>
      </c>
      <c r="U103" s="319" t="str">
        <f aca="false">IF($A103="N/A"," ",Volume4*$AM103)</f>
        <v> </v>
      </c>
      <c r="V103" s="320" t="str">
        <f aca="false">IF($A103="N/A"," ",$U103*(8*($BQ103))*L103)</f>
        <v> </v>
      </c>
      <c r="W103" s="320" t="str">
        <f aca="false">IF($A103="N/A"," ",$U103*(8*($BQ103))*M103)</f>
        <v> </v>
      </c>
      <c r="X103" s="320" t="str">
        <f aca="false">IF($A103="N/A"," ",$U103*(8*($BQ103))*N103)</f>
        <v> </v>
      </c>
      <c r="Y103" s="320" t="str">
        <f aca="false">IF($A103="N/A"," ",$U103*(8*($BR103))*O103)</f>
        <v> </v>
      </c>
      <c r="Z103" s="320" t="str">
        <f aca="false">IF($A103="N/A"," ",$U103*(8*($BR103))*P103)</f>
        <v> </v>
      </c>
      <c r="AA103" s="320" t="str">
        <f aca="false">IF($A103="N/A"," ",$U103*(8*($BR103))*Q103)</f>
        <v> </v>
      </c>
      <c r="AB103" s="320" t="str">
        <f aca="false">IF($A103="N/A"," ",$U103*(8*($BS103))*R103)</f>
        <v> </v>
      </c>
      <c r="AC103" s="320" t="str">
        <f aca="false">IF($A103="N/A"," ",$U103*(8*($BS103))*S103)</f>
        <v> </v>
      </c>
      <c r="AD103" s="320" t="str">
        <f aca="false">IF($A103="N/A"," ",$U103*(8*($BS103))*T103)</f>
        <v> </v>
      </c>
      <c r="AE103" s="320" t="str">
        <f aca="false">IF($A103="N/A"," ",SUM(V103:AD103))</f>
        <v> </v>
      </c>
      <c r="AF103" s="321" t="str">
        <f aca="false">IF(A103="N/A"," ",(VLOOKUP(A103,PowerVolTable,(IF(VolBMO4=2,7,IF(VolBMO4=1,6,8))),FALSE())))</f>
        <v> </v>
      </c>
      <c r="AG103" s="321" t="str">
        <f aca="false">IF(A103="N/A"," ",(VLOOKUP(A103,IntraPowerVol,(IF(VolBMO4=2,3,IF(VolBMO4=1,2,4))),FALSE())*VLOOKUP(MONTH($A103),Volscale,2)))</f>
        <v> </v>
      </c>
      <c r="AH103" s="321" t="str">
        <f aca="false">IF($A103="N/A"," ",IF(VolType4=1,AG103,AF103))</f>
        <v> </v>
      </c>
      <c r="AI103" s="321" t="str">
        <f aca="false">IF($A103="N/A"," ",(VLOOKUP($A103,OffPwrVolTable,(IF(VolBMO4=2,7,IF(VolBMO4=1,6,8))),FALSE())))</f>
        <v> </v>
      </c>
      <c r="AJ103" s="321" t="str">
        <f aca="false">IF($A103="N/A"," ",(VLOOKUP($A103,OffPwrVolTable,(IF(VolBMO4=2,3,IF(VolBMO4=1,2,4))),FALSE())*VLOOKUP(MONTH($A103),Volscale,2)))</f>
        <v> </v>
      </c>
      <c r="AK103" s="321" t="str">
        <f aca="false">IF($A103="N/A"," ",IF(VolType4=1,AJ103,AI103))</f>
        <v> </v>
      </c>
      <c r="AL103" s="321" t="str">
        <f aca="false">IF($A103="N/A"," ",IF(PV=1,0,'Pricing Inputs4'!R136))</f>
        <v> </v>
      </c>
      <c r="AM103" s="323" t="str">
        <f aca="false">IF($A103="N/A"," ",(1+AL103/2)^(-2*((EOMONTH(A103,0)+20)-DateToday)/365.25))</f>
        <v> </v>
      </c>
      <c r="BQ103" s="0" t="str">
        <f aca="false">IF($A103="N/A"," ",(VLOOKUP($A103,NumberofDaysTable,2)))</f>
        <v> </v>
      </c>
      <c r="BR103" s="0" t="str">
        <f aca="false">IF($A103="N/A"," ",(VLOOKUP($A103,NumberofDaysTable,3)))</f>
        <v> </v>
      </c>
      <c r="BS103" s="0" t="str">
        <f aca="false">IF($A103="N/A"," ",(VLOOKUP($A103,NumberofDaysTable,4)))</f>
        <v> </v>
      </c>
    </row>
    <row r="104" customFormat="false" ht="12.75" hidden="false" customHeight="false" outlineLevel="0" collapsed="false">
      <c r="A104" s="315" t="str">
        <f aca="false">IF(A103="N/A","N/A",IF(EDATE(A103,1)&gt;Inputs!$R$5,"N/A",EDATE(A103,1)))</f>
        <v>N/A</v>
      </c>
      <c r="B104" s="316" t="str">
        <f aca="false">IF(A104="N/A"," ",YEAR(A104))</f>
        <v> </v>
      </c>
      <c r="C104" s="317" t="str">
        <f aca="false">IF($A104="N/A"," ",IF(Dayrun4=10,0,IF(Scaler4=1,(VLOOKUP(A104,ScaledPrice4,4)),(VLOOKUP(A104,ScaledPrice4,2)))))</f>
        <v> </v>
      </c>
      <c r="D104" s="317" t="str">
        <f aca="false">IF(A104="N/A"," ",IF(Dayrun4&gt;=7,0,IF(Scaler4=2,VLOOKUP(A104,ScaledPrice4,2),(VLOOKUP(A104,ScaledPrice4,2))*(2-(VLOOKUP(A104,ScaledPrice4,3))))))</f>
        <v> </v>
      </c>
      <c r="E104" s="317" t="str">
        <f aca="false">IF($A104="N/A"," ",IF(AND(Dayrun4&gt;=4,Dayrun4&lt;=9),0,VLOOKUP($A104,ScaledPrice4,9)))</f>
        <v> </v>
      </c>
      <c r="F104" s="317" t="str">
        <f aca="false">IF(A104="N/A"," ",IF(OR(Dayrun4=2,Dayrun4=3,Dayrun4=5,Dayrun4=6,Dayrun4=8,Dayrun4=9),VLOOKUP(A104,ScaledPrice4,IF(Scaler4=1,6,5)),0))</f>
        <v> </v>
      </c>
      <c r="G104" s="317" t="str">
        <f aca="false">IF(A104="N/A"," ",IF(OR(Dayrun4=2,Dayrun4=3,Dayrun4=5,Dayrun4=6),IF(Scaler4=2,F104,(VLOOKUP(A104,ScaledPrice4,5))*(2-(VLOOKUP(A104,ScaledPrice4,3)))),0))</f>
        <v> </v>
      </c>
      <c r="H104" s="317" t="str">
        <f aca="false">IF($A104="N/A"," ",IF(OR(Dayrun4=2,Dayrun4=3,Dayrun4=10),VLOOKUP($A104,ScaledPrice4,9),0))</f>
        <v> </v>
      </c>
      <c r="I104" s="317" t="str">
        <f aca="false">IF(A104="N/A"," ",IF(OR(Dayrun4=3,Dayrun4=6,Dayrun4=9),(VLOOKUP(A104,ScaledPrice4,IF(Scaler4=2,7,8))),0))</f>
        <v> </v>
      </c>
      <c r="J104" s="317" t="str">
        <f aca="false">IF(A104="N/A"," ",IF(OR(Dayrun4=3,Dayrun4=6),IF(Scaler4=2,I104,(VLOOKUP(A104,ScaledPrice4,7))*(2-(VLOOKUP(A104,ScaledPrice4,3)))),0))</f>
        <v> </v>
      </c>
      <c r="K104" s="317" t="str">
        <f aca="false">IF($A104="N/A"," ",IF(OR(Dayrun4=3,Dayrun4=10),VLOOKUP($A104,ScaledPrice4,9),0))</f>
        <v> </v>
      </c>
      <c r="L104" s="318" t="str">
        <f aca="false">IF($A104="N/A"," ",IF(Pricetype4=2,MAX(C104,0),IF(OR(Pricetype4=1,Pricetype4=4),IF(C104=0,0,(EURO(C104,Strikeprice4,0,0,($AH104+IF(Smile=TRUE(),VLOOKUP(MAX(-5,Strikeprice4-C104),Volsmile,2),0)),($A104-DateToday)+15,IF(Pricetype4=1,1,0),0))),C104)))</f>
        <v> </v>
      </c>
      <c r="M104" s="318" t="str">
        <f aca="false">IF($A104="N/A"," ",IF(Pricetype4=2,MAX(D104,0),IF(OR(Pricetype4=1,Pricetype4=4),IF(D104=0,0,(EURO(D104,Strikeprice4,0,0,($AH104+IF(Smile=TRUE(),VLOOKUP(MAX(-5,Strikeprice4-D104),Volsmile,2),0)),($A104-DateToday)+15,IF(Pricetype4=1,1,0),0))),D104)))</f>
        <v> </v>
      </c>
      <c r="N104" s="318" t="str">
        <f aca="false">IF($A104="N/A"," ",IF(Pricetype4=2,MAX(E104,0),IF(OR(Pricetype4=1,Pricetype4=4),IF(E104=0,0,(EURO(E104,Strikeprice4,0,0,($AK104+IF(Smile=TRUE(),VLOOKUP(MAX(-5,Strikeprice4-E104),Volsmile,2),0)),($A104-DateToday)+15,IF(Pricetype4=1,1,0),0))),E104)))</f>
        <v> </v>
      </c>
      <c r="O104" s="318" t="str">
        <f aca="false">IF($A104="N/A"," ",IF(Pricetype4=2,MAX(F104,0),IF(OR(Pricetype4=1,Pricetype4=4),IF(F104=0,0,(EURO(F104,Strikeprice4,0,0,($AK104+IF(Smile=TRUE(),VLOOKUP(MAX(-5,Strikeprice4-F104),Volsmile,2),0)),($A104-DateToday)+15,IF(Pricetype4=1,1,0),0))),F104)))</f>
        <v> </v>
      </c>
      <c r="P104" s="318" t="str">
        <f aca="false">IF($A104="N/A"," ",IF(Pricetype4=2,MAX(G104,0),IF(OR(Pricetype4=1,Pricetype4=4),IF(G104=0,0,(EURO(G104,Strikeprice4,0,0,($AK104+IF(Smile=TRUE(),VLOOKUP(MAX(-5,Strikeprice4-G104),Volsmile,2),0)),($A104-DateToday)+15,IF(Pricetype4=1,1,0),0))),G104)))</f>
        <v> </v>
      </c>
      <c r="Q104" s="318" t="str">
        <f aca="false">IF($A104="N/A"," ",IF(Pricetype4=2,MAX(H104,0),IF(OR(Pricetype4=1,Pricetype4=4),IF(H104=0,0,(EURO(H104,Strikeprice4,0,0,($AK104+IF(Smile=TRUE(),VLOOKUP(MAX(-5,Strikeprice4-H104),Volsmile,2),0)),($A104-DateToday)+15,IF(Pricetype4=1,1,0),0))),H104)))</f>
        <v> </v>
      </c>
      <c r="R104" s="318" t="str">
        <f aca="false">IF($A104="N/A"," ",IF(Pricetype4=2,MAX(I104,0),IF(OR(Pricetype4=1,Pricetype4=4),IF(I104=0,0,(EURO(I104,Strikeprice4,0,0,($AK104+IF(Smile=TRUE(),VLOOKUP(MAX(-5,Strikeprice4-I104),Volsmile,2),0)),($A104-DateToday)+15,IF(Pricetype4=1,1,0),0))),I104)))</f>
        <v> </v>
      </c>
      <c r="S104" s="318" t="str">
        <f aca="false">IF($A104="N/A"," ",IF(Pricetype4=2,MAX(J104,0),IF(OR(Pricetype4=1,Pricetype4=4),IF(J104=0,0,(EURO(J104,Strikeprice4,0,0,($AK104+IF(Smile=TRUE(),VLOOKUP(MAX(-5,Strikeprice4-J104),Volsmile,2),0)),($A104-DateToday)+15,IF(Pricetype4=1,1,0),0))),J104)))</f>
        <v> </v>
      </c>
      <c r="T104" s="318" t="str">
        <f aca="false">IF($A104="N/A"," ",IF(Pricetype4=2,MAX(K104,0),IF(OR(Pricetype4=1,Pricetype4=4),IF(K104=0,0,(EURO(K104,Strikeprice4,0,0,($AK104+IF(Smile=TRUE(),VLOOKUP(MAX(-5,Strikeprice4-K104),Volsmile,2),0)),($A104-DateToday)+15,IF(Pricetype4=1,1,0),0))),K104)))</f>
        <v> </v>
      </c>
      <c r="U104" s="319" t="str">
        <f aca="false">IF($A104="N/A"," ",Volume4*$AM104)</f>
        <v> </v>
      </c>
      <c r="V104" s="320" t="str">
        <f aca="false">IF($A104="N/A"," ",$U104*(8*($BQ104))*L104)</f>
        <v> </v>
      </c>
      <c r="W104" s="320" t="str">
        <f aca="false">IF($A104="N/A"," ",$U104*(8*($BQ104))*M104)</f>
        <v> </v>
      </c>
      <c r="X104" s="320" t="str">
        <f aca="false">IF($A104="N/A"," ",$U104*(8*($BQ104))*N104)</f>
        <v> </v>
      </c>
      <c r="Y104" s="320" t="str">
        <f aca="false">IF($A104="N/A"," ",$U104*(8*($BR104))*O104)</f>
        <v> </v>
      </c>
      <c r="Z104" s="320" t="str">
        <f aca="false">IF($A104="N/A"," ",$U104*(8*($BR104))*P104)</f>
        <v> </v>
      </c>
      <c r="AA104" s="320" t="str">
        <f aca="false">IF($A104="N/A"," ",$U104*(8*($BR104))*Q104)</f>
        <v> </v>
      </c>
      <c r="AB104" s="320" t="str">
        <f aca="false">IF($A104="N/A"," ",$U104*(8*($BS104))*R104)</f>
        <v> </v>
      </c>
      <c r="AC104" s="320" t="str">
        <f aca="false">IF($A104="N/A"," ",$U104*(8*($BS104))*S104)</f>
        <v> </v>
      </c>
      <c r="AD104" s="320" t="str">
        <f aca="false">IF($A104="N/A"," ",$U104*(8*($BS104))*T104)</f>
        <v> </v>
      </c>
      <c r="AE104" s="320" t="str">
        <f aca="false">IF($A104="N/A"," ",SUM(V104:AD104))</f>
        <v> </v>
      </c>
      <c r="AF104" s="321" t="str">
        <f aca="false">IF(A104="N/A"," ",(VLOOKUP(A104,PowerVolTable,(IF(VolBMO4=2,7,IF(VolBMO4=1,6,8))),FALSE())))</f>
        <v> </v>
      </c>
      <c r="AG104" s="321" t="str">
        <f aca="false">IF(A104="N/A"," ",(VLOOKUP(A104,IntraPowerVol,(IF(VolBMO4=2,3,IF(VolBMO4=1,2,4))),FALSE())*VLOOKUP(MONTH($A104),Volscale,2)))</f>
        <v> </v>
      </c>
      <c r="AH104" s="321" t="str">
        <f aca="false">IF($A104="N/A"," ",IF(VolType4=1,AG104,AF104))</f>
        <v> </v>
      </c>
      <c r="AI104" s="321" t="str">
        <f aca="false">IF($A104="N/A"," ",(VLOOKUP($A104,OffPwrVolTable,(IF(VolBMO4=2,7,IF(VolBMO4=1,6,8))),FALSE())))</f>
        <v> </v>
      </c>
      <c r="AJ104" s="321" t="str">
        <f aca="false">IF($A104="N/A"," ",(VLOOKUP($A104,OffPwrVolTable,(IF(VolBMO4=2,3,IF(VolBMO4=1,2,4))),FALSE())*VLOOKUP(MONTH($A104),Volscale,2)))</f>
        <v> </v>
      </c>
      <c r="AK104" s="321" t="str">
        <f aca="false">IF($A104="N/A"," ",IF(VolType4=1,AJ104,AI104))</f>
        <v> </v>
      </c>
      <c r="AL104" s="321" t="str">
        <f aca="false">IF($A104="N/A"," ",IF(PV=1,0,'Pricing Inputs4'!R137))</f>
        <v> </v>
      </c>
      <c r="AM104" s="323" t="str">
        <f aca="false">IF($A104="N/A"," ",(1+AL104/2)^(-2*((EOMONTH(A104,0)+20)-DateToday)/365.25))</f>
        <v> </v>
      </c>
      <c r="BQ104" s="0" t="str">
        <f aca="false">IF($A104="N/A"," ",(VLOOKUP($A104,NumberofDaysTable,2)))</f>
        <v> </v>
      </c>
      <c r="BR104" s="0" t="str">
        <f aca="false">IF($A104="N/A"," ",(VLOOKUP($A104,NumberofDaysTable,3)))</f>
        <v> </v>
      </c>
      <c r="BS104" s="0" t="str">
        <f aca="false">IF($A104="N/A"," ",(VLOOKUP($A104,NumberofDaysTable,4)))</f>
        <v> </v>
      </c>
    </row>
    <row r="105" customFormat="false" ht="12.75" hidden="false" customHeight="false" outlineLevel="0" collapsed="false">
      <c r="A105" s="315" t="str">
        <f aca="false">IF(A104="N/A","N/A",IF(EDATE(A104,1)&gt;Inputs!$R$5,"N/A",EDATE(A104,1)))</f>
        <v>N/A</v>
      </c>
      <c r="B105" s="316" t="str">
        <f aca="false">IF(A105="N/A"," ",YEAR(A105))</f>
        <v> </v>
      </c>
      <c r="C105" s="317" t="str">
        <f aca="false">IF($A105="N/A"," ",IF(Dayrun4=10,0,IF(Scaler4=1,(VLOOKUP(A105,ScaledPrice4,4)),(VLOOKUP(A105,ScaledPrice4,2)))))</f>
        <v> </v>
      </c>
      <c r="D105" s="317" t="str">
        <f aca="false">IF(A105="N/A"," ",IF(Dayrun4&gt;=7,0,IF(Scaler4=2,VLOOKUP(A105,ScaledPrice4,2),(VLOOKUP(A105,ScaledPrice4,2))*(2-(VLOOKUP(A105,ScaledPrice4,3))))))</f>
        <v> </v>
      </c>
      <c r="E105" s="317" t="str">
        <f aca="false">IF($A105="N/A"," ",IF(AND(Dayrun4&gt;=4,Dayrun4&lt;=9),0,VLOOKUP($A105,ScaledPrice4,9)))</f>
        <v> </v>
      </c>
      <c r="F105" s="317" t="str">
        <f aca="false">IF(A105="N/A"," ",IF(OR(Dayrun4=2,Dayrun4=3,Dayrun4=5,Dayrun4=6,Dayrun4=8,Dayrun4=9),VLOOKUP(A105,ScaledPrice4,IF(Scaler4=1,6,5)),0))</f>
        <v> </v>
      </c>
      <c r="G105" s="317" t="str">
        <f aca="false">IF(A105="N/A"," ",IF(OR(Dayrun4=2,Dayrun4=3,Dayrun4=5,Dayrun4=6),IF(Scaler4=2,F105,(VLOOKUP(A105,ScaledPrice4,5))*(2-(VLOOKUP(A105,ScaledPrice4,3)))),0))</f>
        <v> </v>
      </c>
      <c r="H105" s="317" t="str">
        <f aca="false">IF($A105="N/A"," ",IF(OR(Dayrun4=2,Dayrun4=3,Dayrun4=10),VLOOKUP($A105,ScaledPrice4,9),0))</f>
        <v> </v>
      </c>
      <c r="I105" s="317" t="str">
        <f aca="false">IF(A105="N/A"," ",IF(OR(Dayrun4=3,Dayrun4=6,Dayrun4=9),(VLOOKUP(A105,ScaledPrice4,IF(Scaler4=2,7,8))),0))</f>
        <v> </v>
      </c>
      <c r="J105" s="317" t="str">
        <f aca="false">IF(A105="N/A"," ",IF(OR(Dayrun4=3,Dayrun4=6),IF(Scaler4=2,I105,(VLOOKUP(A105,ScaledPrice4,7))*(2-(VLOOKUP(A105,ScaledPrice4,3)))),0))</f>
        <v> </v>
      </c>
      <c r="K105" s="317" t="str">
        <f aca="false">IF($A105="N/A"," ",IF(OR(Dayrun4=3,Dayrun4=10),VLOOKUP($A105,ScaledPrice4,9),0))</f>
        <v> </v>
      </c>
      <c r="L105" s="318" t="str">
        <f aca="false">IF($A105="N/A"," ",IF(Pricetype4=2,MAX(C105,0),IF(OR(Pricetype4=1,Pricetype4=4),IF(C105=0,0,(EURO(C105,Strikeprice4,0,0,($AH105+IF(Smile=TRUE(),VLOOKUP(MAX(-5,Strikeprice4-C105),Volsmile,2),0)),($A105-DateToday)+15,IF(Pricetype4=1,1,0),0))),C105)))</f>
        <v> </v>
      </c>
      <c r="M105" s="318" t="str">
        <f aca="false">IF($A105="N/A"," ",IF(Pricetype4=2,MAX(D105,0),IF(OR(Pricetype4=1,Pricetype4=4),IF(D105=0,0,(EURO(D105,Strikeprice4,0,0,($AH105+IF(Smile=TRUE(),VLOOKUP(MAX(-5,Strikeprice4-D105),Volsmile,2),0)),($A105-DateToday)+15,IF(Pricetype4=1,1,0),0))),D105)))</f>
        <v> </v>
      </c>
      <c r="N105" s="318" t="str">
        <f aca="false">IF($A105="N/A"," ",IF(Pricetype4=2,MAX(E105,0),IF(OR(Pricetype4=1,Pricetype4=4),IF(E105=0,0,(EURO(E105,Strikeprice4,0,0,($AK105+IF(Smile=TRUE(),VLOOKUP(MAX(-5,Strikeprice4-E105),Volsmile,2),0)),($A105-DateToday)+15,IF(Pricetype4=1,1,0),0))),E105)))</f>
        <v> </v>
      </c>
      <c r="O105" s="318" t="str">
        <f aca="false">IF($A105="N/A"," ",IF(Pricetype4=2,MAX(F105,0),IF(OR(Pricetype4=1,Pricetype4=4),IF(F105=0,0,(EURO(F105,Strikeprice4,0,0,($AK105+IF(Smile=TRUE(),VLOOKUP(MAX(-5,Strikeprice4-F105),Volsmile,2),0)),($A105-DateToday)+15,IF(Pricetype4=1,1,0),0))),F105)))</f>
        <v> </v>
      </c>
      <c r="P105" s="318" t="str">
        <f aca="false">IF($A105="N/A"," ",IF(Pricetype4=2,MAX(G105,0),IF(OR(Pricetype4=1,Pricetype4=4),IF(G105=0,0,(EURO(G105,Strikeprice4,0,0,($AK105+IF(Smile=TRUE(),VLOOKUP(MAX(-5,Strikeprice4-G105),Volsmile,2),0)),($A105-DateToday)+15,IF(Pricetype4=1,1,0),0))),G105)))</f>
        <v> </v>
      </c>
      <c r="Q105" s="318" t="str">
        <f aca="false">IF($A105="N/A"," ",IF(Pricetype4=2,MAX(H105,0),IF(OR(Pricetype4=1,Pricetype4=4),IF(H105=0,0,(EURO(H105,Strikeprice4,0,0,($AK105+IF(Smile=TRUE(),VLOOKUP(MAX(-5,Strikeprice4-H105),Volsmile,2),0)),($A105-DateToday)+15,IF(Pricetype4=1,1,0),0))),H105)))</f>
        <v> </v>
      </c>
      <c r="R105" s="318" t="str">
        <f aca="false">IF($A105="N/A"," ",IF(Pricetype4=2,MAX(I105,0),IF(OR(Pricetype4=1,Pricetype4=4),IF(I105=0,0,(EURO(I105,Strikeprice4,0,0,($AK105+IF(Smile=TRUE(),VLOOKUP(MAX(-5,Strikeprice4-I105),Volsmile,2),0)),($A105-DateToday)+15,IF(Pricetype4=1,1,0),0))),I105)))</f>
        <v> </v>
      </c>
      <c r="S105" s="318" t="str">
        <f aca="false">IF($A105="N/A"," ",IF(Pricetype4=2,MAX(J105,0),IF(OR(Pricetype4=1,Pricetype4=4),IF(J105=0,0,(EURO(J105,Strikeprice4,0,0,($AK105+IF(Smile=TRUE(),VLOOKUP(MAX(-5,Strikeprice4-J105),Volsmile,2),0)),($A105-DateToday)+15,IF(Pricetype4=1,1,0),0))),J105)))</f>
        <v> </v>
      </c>
      <c r="T105" s="318" t="str">
        <f aca="false">IF($A105="N/A"," ",IF(Pricetype4=2,MAX(K105,0),IF(OR(Pricetype4=1,Pricetype4=4),IF(K105=0,0,(EURO(K105,Strikeprice4,0,0,($AK105+IF(Smile=TRUE(),VLOOKUP(MAX(-5,Strikeprice4-K105),Volsmile,2),0)),($A105-DateToday)+15,IF(Pricetype4=1,1,0),0))),K105)))</f>
        <v> </v>
      </c>
      <c r="U105" s="319" t="str">
        <f aca="false">IF($A105="N/A"," ",Volume4*$AM105)</f>
        <v> </v>
      </c>
      <c r="V105" s="320" t="str">
        <f aca="false">IF($A105="N/A"," ",$U105*(8*($BQ105))*L105)</f>
        <v> </v>
      </c>
      <c r="W105" s="320" t="str">
        <f aca="false">IF($A105="N/A"," ",$U105*(8*($BQ105))*M105)</f>
        <v> </v>
      </c>
      <c r="X105" s="320" t="str">
        <f aca="false">IF($A105="N/A"," ",$U105*(8*($BQ105))*N105)</f>
        <v> </v>
      </c>
      <c r="Y105" s="320" t="str">
        <f aca="false">IF($A105="N/A"," ",$U105*(8*($BR105))*O105)</f>
        <v> </v>
      </c>
      <c r="Z105" s="320" t="str">
        <f aca="false">IF($A105="N/A"," ",$U105*(8*($BR105))*P105)</f>
        <v> </v>
      </c>
      <c r="AA105" s="320" t="str">
        <f aca="false">IF($A105="N/A"," ",$U105*(8*($BR105))*Q105)</f>
        <v> </v>
      </c>
      <c r="AB105" s="320" t="str">
        <f aca="false">IF($A105="N/A"," ",$U105*(8*($BS105))*R105)</f>
        <v> </v>
      </c>
      <c r="AC105" s="320" t="str">
        <f aca="false">IF($A105="N/A"," ",$U105*(8*($BS105))*S105)</f>
        <v> </v>
      </c>
      <c r="AD105" s="320" t="str">
        <f aca="false">IF($A105="N/A"," ",$U105*(8*($BS105))*T105)</f>
        <v> </v>
      </c>
      <c r="AE105" s="320" t="str">
        <f aca="false">IF($A105="N/A"," ",SUM(V105:AD105))</f>
        <v> </v>
      </c>
      <c r="AF105" s="321" t="str">
        <f aca="false">IF(A105="N/A"," ",(VLOOKUP(A105,PowerVolTable,(IF(VolBMO4=2,7,IF(VolBMO4=1,6,8))),FALSE())))</f>
        <v> </v>
      </c>
      <c r="AG105" s="321" t="str">
        <f aca="false">IF(A105="N/A"," ",(VLOOKUP(A105,IntraPowerVol,(IF(VolBMO4=2,3,IF(VolBMO4=1,2,4))),FALSE())*VLOOKUP(MONTH($A105),Volscale,2)))</f>
        <v> </v>
      </c>
      <c r="AH105" s="321" t="str">
        <f aca="false">IF($A105="N/A"," ",IF(VolType4=1,AG105,AF105))</f>
        <v> </v>
      </c>
      <c r="AI105" s="321" t="str">
        <f aca="false">IF($A105="N/A"," ",(VLOOKUP($A105,OffPwrVolTable,(IF(VolBMO4=2,7,IF(VolBMO4=1,6,8))),FALSE())))</f>
        <v> </v>
      </c>
      <c r="AJ105" s="321" t="str">
        <f aca="false">IF($A105="N/A"," ",(VLOOKUP($A105,OffPwrVolTable,(IF(VolBMO4=2,3,IF(VolBMO4=1,2,4))),FALSE())*VLOOKUP(MONTH($A105),Volscale,2)))</f>
        <v> </v>
      </c>
      <c r="AK105" s="321" t="str">
        <f aca="false">IF($A105="N/A"," ",IF(VolType4=1,AJ105,AI105))</f>
        <v> </v>
      </c>
      <c r="AL105" s="321" t="str">
        <f aca="false">IF($A105="N/A"," ",IF(PV=1,0,'Pricing Inputs4'!R138))</f>
        <v> </v>
      </c>
      <c r="AM105" s="323" t="str">
        <f aca="false">IF($A105="N/A"," ",(1+AL105/2)^(-2*((EOMONTH(A105,0)+20)-DateToday)/365.25))</f>
        <v> </v>
      </c>
      <c r="BQ105" s="0" t="str">
        <f aca="false">IF($A105="N/A"," ",(VLOOKUP($A105,NumberofDaysTable,2)))</f>
        <v> </v>
      </c>
      <c r="BR105" s="0" t="str">
        <f aca="false">IF($A105="N/A"," ",(VLOOKUP($A105,NumberofDaysTable,3)))</f>
        <v> </v>
      </c>
      <c r="BS105" s="0" t="str">
        <f aca="false">IF($A105="N/A"," ",(VLOOKUP($A105,NumberofDaysTable,4)))</f>
        <v> </v>
      </c>
    </row>
    <row r="106" customFormat="false" ht="12.75" hidden="false" customHeight="false" outlineLevel="0" collapsed="false">
      <c r="A106" s="315" t="str">
        <f aca="false">IF(A105="N/A","N/A",IF(EDATE(A105,1)&gt;Inputs!$R$5,"N/A",EDATE(A105,1)))</f>
        <v>N/A</v>
      </c>
      <c r="B106" s="316" t="str">
        <f aca="false">IF(A106="N/A"," ",YEAR(A106))</f>
        <v> </v>
      </c>
      <c r="C106" s="317" t="str">
        <f aca="false">IF($A106="N/A"," ",IF(Dayrun4=10,0,IF(Scaler4=1,(VLOOKUP(A106,ScaledPrice4,4)),(VLOOKUP(A106,ScaledPrice4,2)))))</f>
        <v> </v>
      </c>
      <c r="D106" s="317" t="str">
        <f aca="false">IF(A106="N/A"," ",IF(Dayrun4&gt;=7,0,IF(Scaler4=2,VLOOKUP(A106,ScaledPrice4,2),(VLOOKUP(A106,ScaledPrice4,2))*(2-(VLOOKUP(A106,ScaledPrice4,3))))))</f>
        <v> </v>
      </c>
      <c r="E106" s="317" t="str">
        <f aca="false">IF($A106="N/A"," ",IF(AND(Dayrun4&gt;=4,Dayrun4&lt;=9),0,VLOOKUP($A106,ScaledPrice4,9)))</f>
        <v> </v>
      </c>
      <c r="F106" s="317" t="str">
        <f aca="false">IF(A106="N/A"," ",IF(OR(Dayrun4=2,Dayrun4=3,Dayrun4=5,Dayrun4=6,Dayrun4=8,Dayrun4=9),VLOOKUP(A106,ScaledPrice4,IF(Scaler4=1,6,5)),0))</f>
        <v> </v>
      </c>
      <c r="G106" s="317" t="str">
        <f aca="false">IF(A106="N/A"," ",IF(OR(Dayrun4=2,Dayrun4=3,Dayrun4=5,Dayrun4=6),IF(Scaler4=2,F106,(VLOOKUP(A106,ScaledPrice4,5))*(2-(VLOOKUP(A106,ScaledPrice4,3)))),0))</f>
        <v> </v>
      </c>
      <c r="H106" s="317" t="str">
        <f aca="false">IF($A106="N/A"," ",IF(OR(Dayrun4=2,Dayrun4=3,Dayrun4=10),VLOOKUP($A106,ScaledPrice4,9),0))</f>
        <v> </v>
      </c>
      <c r="I106" s="317" t="str">
        <f aca="false">IF(A106="N/A"," ",IF(OR(Dayrun4=3,Dayrun4=6,Dayrun4=9),(VLOOKUP(A106,ScaledPrice4,IF(Scaler4=2,7,8))),0))</f>
        <v> </v>
      </c>
      <c r="J106" s="317" t="str">
        <f aca="false">IF(A106="N/A"," ",IF(OR(Dayrun4=3,Dayrun4=6),IF(Scaler4=2,I106,(VLOOKUP(A106,ScaledPrice4,7))*(2-(VLOOKUP(A106,ScaledPrice4,3)))),0))</f>
        <v> </v>
      </c>
      <c r="K106" s="317" t="str">
        <f aca="false">IF($A106="N/A"," ",IF(OR(Dayrun4=3,Dayrun4=10),VLOOKUP($A106,ScaledPrice4,9),0))</f>
        <v> </v>
      </c>
      <c r="L106" s="318" t="str">
        <f aca="false">IF($A106="N/A"," ",IF(Pricetype4=2,MAX(C106,0),IF(OR(Pricetype4=1,Pricetype4=4),IF(C106=0,0,(EURO(C106,Strikeprice4,0,0,($AH106+IF(Smile=TRUE(),VLOOKUP(MAX(-5,Strikeprice4-C106),Volsmile,2),0)),($A106-DateToday)+15,IF(Pricetype4=1,1,0),0))),C106)))</f>
        <v> </v>
      </c>
      <c r="M106" s="318" t="str">
        <f aca="false">IF($A106="N/A"," ",IF(Pricetype4=2,MAX(D106,0),IF(OR(Pricetype4=1,Pricetype4=4),IF(D106=0,0,(EURO(D106,Strikeprice4,0,0,($AH106+IF(Smile=TRUE(),VLOOKUP(MAX(-5,Strikeprice4-D106),Volsmile,2),0)),($A106-DateToday)+15,IF(Pricetype4=1,1,0),0))),D106)))</f>
        <v> </v>
      </c>
      <c r="N106" s="318" t="str">
        <f aca="false">IF($A106="N/A"," ",IF(Pricetype4=2,MAX(E106,0),IF(OR(Pricetype4=1,Pricetype4=4),IF(E106=0,0,(EURO(E106,Strikeprice4,0,0,($AK106+IF(Smile=TRUE(),VLOOKUP(MAX(-5,Strikeprice4-E106),Volsmile,2),0)),($A106-DateToday)+15,IF(Pricetype4=1,1,0),0))),E106)))</f>
        <v> </v>
      </c>
      <c r="O106" s="318" t="str">
        <f aca="false">IF($A106="N/A"," ",IF(Pricetype4=2,MAX(F106,0),IF(OR(Pricetype4=1,Pricetype4=4),IF(F106=0,0,(EURO(F106,Strikeprice4,0,0,($AK106+IF(Smile=TRUE(),VLOOKUP(MAX(-5,Strikeprice4-F106),Volsmile,2),0)),($A106-DateToday)+15,IF(Pricetype4=1,1,0),0))),F106)))</f>
        <v> </v>
      </c>
      <c r="P106" s="318" t="str">
        <f aca="false">IF($A106="N/A"," ",IF(Pricetype4=2,MAX(G106,0),IF(OR(Pricetype4=1,Pricetype4=4),IF(G106=0,0,(EURO(G106,Strikeprice4,0,0,($AK106+IF(Smile=TRUE(),VLOOKUP(MAX(-5,Strikeprice4-G106),Volsmile,2),0)),($A106-DateToday)+15,IF(Pricetype4=1,1,0),0))),G106)))</f>
        <v> </v>
      </c>
      <c r="Q106" s="318" t="str">
        <f aca="false">IF($A106="N/A"," ",IF(Pricetype4=2,MAX(H106,0),IF(OR(Pricetype4=1,Pricetype4=4),IF(H106=0,0,(EURO(H106,Strikeprice4,0,0,($AK106+IF(Smile=TRUE(),VLOOKUP(MAX(-5,Strikeprice4-H106),Volsmile,2),0)),($A106-DateToday)+15,IF(Pricetype4=1,1,0),0))),H106)))</f>
        <v> </v>
      </c>
      <c r="R106" s="318" t="str">
        <f aca="false">IF($A106="N/A"," ",IF(Pricetype4=2,MAX(I106,0),IF(OR(Pricetype4=1,Pricetype4=4),IF(I106=0,0,(EURO(I106,Strikeprice4,0,0,($AK106+IF(Smile=TRUE(),VLOOKUP(MAX(-5,Strikeprice4-I106),Volsmile,2),0)),($A106-DateToday)+15,IF(Pricetype4=1,1,0),0))),I106)))</f>
        <v> </v>
      </c>
      <c r="S106" s="318" t="str">
        <f aca="false">IF($A106="N/A"," ",IF(Pricetype4=2,MAX(J106,0),IF(OR(Pricetype4=1,Pricetype4=4),IF(J106=0,0,(EURO(J106,Strikeprice4,0,0,($AK106+IF(Smile=TRUE(),VLOOKUP(MAX(-5,Strikeprice4-J106),Volsmile,2),0)),($A106-DateToday)+15,IF(Pricetype4=1,1,0),0))),J106)))</f>
        <v> </v>
      </c>
      <c r="T106" s="318" t="str">
        <f aca="false">IF($A106="N/A"," ",IF(Pricetype4=2,MAX(K106,0),IF(OR(Pricetype4=1,Pricetype4=4),IF(K106=0,0,(EURO(K106,Strikeprice4,0,0,($AK106+IF(Smile=TRUE(),VLOOKUP(MAX(-5,Strikeprice4-K106),Volsmile,2),0)),($A106-DateToday)+15,IF(Pricetype4=1,1,0),0))),K106)))</f>
        <v> </v>
      </c>
      <c r="U106" s="319" t="str">
        <f aca="false">IF($A106="N/A"," ",Volume4*$AM106)</f>
        <v> </v>
      </c>
      <c r="V106" s="320" t="str">
        <f aca="false">IF($A106="N/A"," ",$U106*(8*($BQ106))*L106)</f>
        <v> </v>
      </c>
      <c r="W106" s="320" t="str">
        <f aca="false">IF($A106="N/A"," ",$U106*(8*($BQ106))*M106)</f>
        <v> </v>
      </c>
      <c r="X106" s="320" t="str">
        <f aca="false">IF($A106="N/A"," ",$U106*(8*($BQ106))*N106)</f>
        <v> </v>
      </c>
      <c r="Y106" s="320" t="str">
        <f aca="false">IF($A106="N/A"," ",$U106*(8*($BR106))*O106)</f>
        <v> </v>
      </c>
      <c r="Z106" s="320" t="str">
        <f aca="false">IF($A106="N/A"," ",$U106*(8*($BR106))*P106)</f>
        <v> </v>
      </c>
      <c r="AA106" s="320" t="str">
        <f aca="false">IF($A106="N/A"," ",$U106*(8*($BR106))*Q106)</f>
        <v> </v>
      </c>
      <c r="AB106" s="320" t="str">
        <f aca="false">IF($A106="N/A"," ",$U106*(8*($BS106))*R106)</f>
        <v> </v>
      </c>
      <c r="AC106" s="320" t="str">
        <f aca="false">IF($A106="N/A"," ",$U106*(8*($BS106))*S106)</f>
        <v> </v>
      </c>
      <c r="AD106" s="320" t="str">
        <f aca="false">IF($A106="N/A"," ",$U106*(8*($BS106))*T106)</f>
        <v> </v>
      </c>
      <c r="AE106" s="320" t="str">
        <f aca="false">IF($A106="N/A"," ",SUM(V106:AD106))</f>
        <v> </v>
      </c>
      <c r="AF106" s="321" t="str">
        <f aca="false">IF(A106="N/A"," ",(VLOOKUP(A106,PowerVolTable,(IF(VolBMO4=2,7,IF(VolBMO4=1,6,8))),FALSE())))</f>
        <v> </v>
      </c>
      <c r="AG106" s="321" t="str">
        <f aca="false">IF(A106="N/A"," ",(VLOOKUP(A106,IntraPowerVol,(IF(VolBMO4=2,3,IF(VolBMO4=1,2,4))),FALSE())*VLOOKUP(MONTH($A106),Volscale,2)))</f>
        <v> </v>
      </c>
      <c r="AH106" s="321" t="str">
        <f aca="false">IF($A106="N/A"," ",IF(VolType4=1,AG106,AF106))</f>
        <v> </v>
      </c>
      <c r="AI106" s="321" t="str">
        <f aca="false">IF($A106="N/A"," ",(VLOOKUP($A106,OffPwrVolTable,(IF(VolBMO4=2,7,IF(VolBMO4=1,6,8))),FALSE())))</f>
        <v> </v>
      </c>
      <c r="AJ106" s="321" t="str">
        <f aca="false">IF($A106="N/A"," ",(VLOOKUP($A106,OffPwrVolTable,(IF(VolBMO4=2,3,IF(VolBMO4=1,2,4))),FALSE())*VLOOKUP(MONTH($A106),Volscale,2)))</f>
        <v> </v>
      </c>
      <c r="AK106" s="321" t="str">
        <f aca="false">IF($A106="N/A"," ",IF(VolType4=1,AJ106,AI106))</f>
        <v> </v>
      </c>
      <c r="AL106" s="321" t="str">
        <f aca="false">IF($A106="N/A"," ",IF(PV=1,0,'Pricing Inputs4'!R139))</f>
        <v> </v>
      </c>
      <c r="AM106" s="323" t="str">
        <f aca="false">IF($A106="N/A"," ",(1+AL106/2)^(-2*((EOMONTH(A106,0)+20)-DateToday)/365.25))</f>
        <v> </v>
      </c>
      <c r="BQ106" s="0" t="str">
        <f aca="false">IF($A106="N/A"," ",(VLOOKUP($A106,NumberofDaysTable,2)))</f>
        <v> </v>
      </c>
      <c r="BR106" s="0" t="str">
        <f aca="false">IF($A106="N/A"," ",(VLOOKUP($A106,NumberofDaysTable,3)))</f>
        <v> </v>
      </c>
      <c r="BS106" s="0" t="str">
        <f aca="false">IF($A106="N/A"," ",(VLOOKUP($A106,NumberofDaysTable,4)))</f>
        <v> </v>
      </c>
    </row>
    <row r="107" customFormat="false" ht="12.75" hidden="false" customHeight="false" outlineLevel="0" collapsed="false">
      <c r="A107" s="315" t="str">
        <f aca="false">IF(A106="N/A","N/A",IF(EDATE(A106,1)&gt;Inputs!$R$5,"N/A",EDATE(A106,1)))</f>
        <v>N/A</v>
      </c>
      <c r="B107" s="316" t="str">
        <f aca="false">IF(A107="N/A"," ",YEAR(A107))</f>
        <v> </v>
      </c>
      <c r="C107" s="317" t="str">
        <f aca="false">IF($A107="N/A"," ",IF(Dayrun4=10,0,IF(Scaler4=1,(VLOOKUP(A107,ScaledPrice4,4)),(VLOOKUP(A107,ScaledPrice4,2)))))</f>
        <v> </v>
      </c>
      <c r="D107" s="317" t="str">
        <f aca="false">IF(A107="N/A"," ",IF(Dayrun4&gt;=7,0,IF(Scaler4=2,VLOOKUP(A107,ScaledPrice4,2),(VLOOKUP(A107,ScaledPrice4,2))*(2-(VLOOKUP(A107,ScaledPrice4,3))))))</f>
        <v> </v>
      </c>
      <c r="E107" s="317" t="str">
        <f aca="false">IF($A107="N/A"," ",IF(AND(Dayrun4&gt;=4,Dayrun4&lt;=9),0,VLOOKUP($A107,ScaledPrice4,9)))</f>
        <v> </v>
      </c>
      <c r="F107" s="317" t="str">
        <f aca="false">IF(A107="N/A"," ",IF(OR(Dayrun4=2,Dayrun4=3,Dayrun4=5,Dayrun4=6,Dayrun4=8,Dayrun4=9),VLOOKUP(A107,ScaledPrice4,IF(Scaler4=1,6,5)),0))</f>
        <v> </v>
      </c>
      <c r="G107" s="317" t="str">
        <f aca="false">IF(A107="N/A"," ",IF(OR(Dayrun4=2,Dayrun4=3,Dayrun4=5,Dayrun4=6),IF(Scaler4=2,F107,(VLOOKUP(A107,ScaledPrice4,5))*(2-(VLOOKUP(A107,ScaledPrice4,3)))),0))</f>
        <v> </v>
      </c>
      <c r="H107" s="317" t="str">
        <f aca="false">IF($A107="N/A"," ",IF(OR(Dayrun4=2,Dayrun4=3,Dayrun4=10),VLOOKUP($A107,ScaledPrice4,9),0))</f>
        <v> </v>
      </c>
      <c r="I107" s="317" t="str">
        <f aca="false">IF(A107="N/A"," ",IF(OR(Dayrun4=3,Dayrun4=6,Dayrun4=9),(VLOOKUP(A107,ScaledPrice4,IF(Scaler4=2,7,8))),0))</f>
        <v> </v>
      </c>
      <c r="J107" s="317" t="str">
        <f aca="false">IF(A107="N/A"," ",IF(OR(Dayrun4=3,Dayrun4=6),IF(Scaler4=2,I107,(VLOOKUP(A107,ScaledPrice4,7))*(2-(VLOOKUP(A107,ScaledPrice4,3)))),0))</f>
        <v> </v>
      </c>
      <c r="K107" s="317" t="str">
        <f aca="false">IF($A107="N/A"," ",IF(OR(Dayrun4=3,Dayrun4=10),VLOOKUP($A107,ScaledPrice4,9),0))</f>
        <v> </v>
      </c>
      <c r="L107" s="318" t="str">
        <f aca="false">IF($A107="N/A"," ",IF(Pricetype4=2,MAX(C107,0),IF(OR(Pricetype4=1,Pricetype4=4),IF(C107=0,0,(EURO(C107,Strikeprice4,0,0,($AH107+IF(Smile=TRUE(),VLOOKUP(MAX(-5,Strikeprice4-C107),Volsmile,2),0)),($A107-DateToday)+15,IF(Pricetype4=1,1,0),0))),C107)))</f>
        <v> </v>
      </c>
      <c r="M107" s="318" t="str">
        <f aca="false">IF($A107="N/A"," ",IF(Pricetype4=2,MAX(D107,0),IF(OR(Pricetype4=1,Pricetype4=4),IF(D107=0,0,(EURO(D107,Strikeprice4,0,0,($AH107+IF(Smile=TRUE(),VLOOKUP(MAX(-5,Strikeprice4-D107),Volsmile,2),0)),($A107-DateToday)+15,IF(Pricetype4=1,1,0),0))),D107)))</f>
        <v> </v>
      </c>
      <c r="N107" s="318" t="str">
        <f aca="false">IF($A107="N/A"," ",IF(Pricetype4=2,MAX(E107,0),IF(OR(Pricetype4=1,Pricetype4=4),IF(E107=0,0,(EURO(E107,Strikeprice4,0,0,($AK107+IF(Smile=TRUE(),VLOOKUP(MAX(-5,Strikeprice4-E107),Volsmile,2),0)),($A107-DateToday)+15,IF(Pricetype4=1,1,0),0))),E107)))</f>
        <v> </v>
      </c>
      <c r="O107" s="318" t="str">
        <f aca="false">IF($A107="N/A"," ",IF(Pricetype4=2,MAX(F107,0),IF(OR(Pricetype4=1,Pricetype4=4),IF(F107=0,0,(EURO(F107,Strikeprice4,0,0,($AK107+IF(Smile=TRUE(),VLOOKUP(MAX(-5,Strikeprice4-F107),Volsmile,2),0)),($A107-DateToday)+15,IF(Pricetype4=1,1,0),0))),F107)))</f>
        <v> </v>
      </c>
      <c r="P107" s="318" t="str">
        <f aca="false">IF($A107="N/A"," ",IF(Pricetype4=2,MAX(G107,0),IF(OR(Pricetype4=1,Pricetype4=4),IF(G107=0,0,(EURO(G107,Strikeprice4,0,0,($AK107+IF(Smile=TRUE(),VLOOKUP(MAX(-5,Strikeprice4-G107),Volsmile,2),0)),($A107-DateToday)+15,IF(Pricetype4=1,1,0),0))),G107)))</f>
        <v> </v>
      </c>
      <c r="Q107" s="318" t="str">
        <f aca="false">IF($A107="N/A"," ",IF(Pricetype4=2,MAX(H107,0),IF(OR(Pricetype4=1,Pricetype4=4),IF(H107=0,0,(EURO(H107,Strikeprice4,0,0,($AK107+IF(Smile=TRUE(),VLOOKUP(MAX(-5,Strikeprice4-H107),Volsmile,2),0)),($A107-DateToday)+15,IF(Pricetype4=1,1,0),0))),H107)))</f>
        <v> </v>
      </c>
      <c r="R107" s="318" t="str">
        <f aca="false">IF($A107="N/A"," ",IF(Pricetype4=2,MAX(I107,0),IF(OR(Pricetype4=1,Pricetype4=4),IF(I107=0,0,(EURO(I107,Strikeprice4,0,0,($AK107+IF(Smile=TRUE(),VLOOKUP(MAX(-5,Strikeprice4-I107),Volsmile,2),0)),($A107-DateToday)+15,IF(Pricetype4=1,1,0),0))),I107)))</f>
        <v> </v>
      </c>
      <c r="S107" s="318" t="str">
        <f aca="false">IF($A107="N/A"," ",IF(Pricetype4=2,MAX(J107,0),IF(OR(Pricetype4=1,Pricetype4=4),IF(J107=0,0,(EURO(J107,Strikeprice4,0,0,($AK107+IF(Smile=TRUE(),VLOOKUP(MAX(-5,Strikeprice4-J107),Volsmile,2),0)),($A107-DateToday)+15,IF(Pricetype4=1,1,0),0))),J107)))</f>
        <v> </v>
      </c>
      <c r="T107" s="318" t="str">
        <f aca="false">IF($A107="N/A"," ",IF(Pricetype4=2,MAX(K107,0),IF(OR(Pricetype4=1,Pricetype4=4),IF(K107=0,0,(EURO(K107,Strikeprice4,0,0,($AK107+IF(Smile=TRUE(),VLOOKUP(MAX(-5,Strikeprice4-K107),Volsmile,2),0)),($A107-DateToday)+15,IF(Pricetype4=1,1,0),0))),K107)))</f>
        <v> </v>
      </c>
      <c r="U107" s="319" t="str">
        <f aca="false">IF($A107="N/A"," ",Volume4*$AM107)</f>
        <v> </v>
      </c>
      <c r="V107" s="320" t="str">
        <f aca="false">IF($A107="N/A"," ",$U107*(8*($BQ107))*L107)</f>
        <v> </v>
      </c>
      <c r="W107" s="320" t="str">
        <f aca="false">IF($A107="N/A"," ",$U107*(8*($BQ107))*M107)</f>
        <v> </v>
      </c>
      <c r="X107" s="320" t="str">
        <f aca="false">IF($A107="N/A"," ",$U107*(8*($BQ107))*N107)</f>
        <v> </v>
      </c>
      <c r="Y107" s="320" t="str">
        <f aca="false">IF($A107="N/A"," ",$U107*(8*($BR107))*O107)</f>
        <v> </v>
      </c>
      <c r="Z107" s="320" t="str">
        <f aca="false">IF($A107="N/A"," ",$U107*(8*($BR107))*P107)</f>
        <v> </v>
      </c>
      <c r="AA107" s="320" t="str">
        <f aca="false">IF($A107="N/A"," ",$U107*(8*($BR107))*Q107)</f>
        <v> </v>
      </c>
      <c r="AB107" s="320" t="str">
        <f aca="false">IF($A107="N/A"," ",$U107*(8*($BS107))*R107)</f>
        <v> </v>
      </c>
      <c r="AC107" s="320" t="str">
        <f aca="false">IF($A107="N/A"," ",$U107*(8*($BS107))*S107)</f>
        <v> </v>
      </c>
      <c r="AD107" s="320" t="str">
        <f aca="false">IF($A107="N/A"," ",$U107*(8*($BS107))*T107)</f>
        <v> </v>
      </c>
      <c r="AE107" s="320" t="str">
        <f aca="false">IF($A107="N/A"," ",SUM(V107:AD107))</f>
        <v> </v>
      </c>
      <c r="AF107" s="321" t="str">
        <f aca="false">IF(A107="N/A"," ",(VLOOKUP(A107,PowerVolTable,(IF(VolBMO4=2,7,IF(VolBMO4=1,6,8))),FALSE())))</f>
        <v> </v>
      </c>
      <c r="AG107" s="321" t="str">
        <f aca="false">IF(A107="N/A"," ",(VLOOKUP(A107,IntraPowerVol,(IF(VolBMO4=2,3,IF(VolBMO4=1,2,4))),FALSE())*VLOOKUP(MONTH($A107),Volscale,2)))</f>
        <v> </v>
      </c>
      <c r="AH107" s="321" t="str">
        <f aca="false">IF($A107="N/A"," ",IF(VolType4=1,AG107,AF107))</f>
        <v> </v>
      </c>
      <c r="AI107" s="321" t="str">
        <f aca="false">IF($A107="N/A"," ",(VLOOKUP($A107,OffPwrVolTable,(IF(VolBMO4=2,7,IF(VolBMO4=1,6,8))),FALSE())))</f>
        <v> </v>
      </c>
      <c r="AJ107" s="321" t="str">
        <f aca="false">IF($A107="N/A"," ",(VLOOKUP($A107,OffPwrVolTable,(IF(VolBMO4=2,3,IF(VolBMO4=1,2,4))),FALSE())*VLOOKUP(MONTH($A107),Volscale,2)))</f>
        <v> </v>
      </c>
      <c r="AK107" s="321" t="str">
        <f aca="false">IF($A107="N/A"," ",IF(VolType4=1,AJ107,AI107))</f>
        <v> </v>
      </c>
      <c r="AL107" s="321" t="str">
        <f aca="false">IF($A107="N/A"," ",IF(PV=1,0,'Pricing Inputs4'!R140))</f>
        <v> </v>
      </c>
      <c r="AM107" s="323" t="str">
        <f aca="false">IF($A107="N/A"," ",(1+AL107/2)^(-2*((EOMONTH(A107,0)+20)-DateToday)/365.25))</f>
        <v> </v>
      </c>
      <c r="BQ107" s="0" t="str">
        <f aca="false">IF($A107="N/A"," ",(VLOOKUP($A107,NumberofDaysTable,2)))</f>
        <v> </v>
      </c>
      <c r="BR107" s="0" t="str">
        <f aca="false">IF($A107="N/A"," ",(VLOOKUP($A107,NumberofDaysTable,3)))</f>
        <v> </v>
      </c>
      <c r="BS107" s="0" t="str">
        <f aca="false">IF($A107="N/A"," ",(VLOOKUP($A107,NumberofDaysTable,4)))</f>
        <v> </v>
      </c>
    </row>
    <row r="108" customFormat="false" ht="12.75" hidden="false" customHeight="false" outlineLevel="0" collapsed="false">
      <c r="A108" s="315" t="str">
        <f aca="false">IF(A107="N/A","N/A",IF(EDATE(A107,1)&gt;Inputs!$R$5,"N/A",EDATE(A107,1)))</f>
        <v>N/A</v>
      </c>
      <c r="B108" s="316" t="str">
        <f aca="false">IF(A108="N/A"," ",YEAR(A108))</f>
        <v> </v>
      </c>
      <c r="C108" s="317" t="str">
        <f aca="false">IF($A108="N/A"," ",IF(Dayrun4=10,0,IF(Scaler4=1,(VLOOKUP(A108,ScaledPrice4,4)),(VLOOKUP(A108,ScaledPrice4,2)))))</f>
        <v> </v>
      </c>
      <c r="D108" s="317" t="str">
        <f aca="false">IF(A108="N/A"," ",IF(Dayrun4&gt;=7,0,IF(Scaler4=2,VLOOKUP(A108,ScaledPrice4,2),(VLOOKUP(A108,ScaledPrice4,2))*(2-(VLOOKUP(A108,ScaledPrice4,3))))))</f>
        <v> </v>
      </c>
      <c r="E108" s="317" t="str">
        <f aca="false">IF($A108="N/A"," ",IF(AND(Dayrun4&gt;=4,Dayrun4&lt;=9),0,VLOOKUP($A108,ScaledPrice4,9)))</f>
        <v> </v>
      </c>
      <c r="F108" s="317" t="str">
        <f aca="false">IF(A108="N/A"," ",IF(OR(Dayrun4=2,Dayrun4=3,Dayrun4=5,Dayrun4=6,Dayrun4=8,Dayrun4=9),VLOOKUP(A108,ScaledPrice4,IF(Scaler4=1,6,5)),0))</f>
        <v> </v>
      </c>
      <c r="G108" s="317" t="str">
        <f aca="false">IF(A108="N/A"," ",IF(OR(Dayrun4=2,Dayrun4=3,Dayrun4=5,Dayrun4=6),IF(Scaler4=2,F108,(VLOOKUP(A108,ScaledPrice4,5))*(2-(VLOOKUP(A108,ScaledPrice4,3)))),0))</f>
        <v> </v>
      </c>
      <c r="H108" s="317" t="str">
        <f aca="false">IF($A108="N/A"," ",IF(OR(Dayrun4=2,Dayrun4=3,Dayrun4=10),VLOOKUP($A108,ScaledPrice4,9),0))</f>
        <v> </v>
      </c>
      <c r="I108" s="317" t="str">
        <f aca="false">IF(A108="N/A"," ",IF(OR(Dayrun4=3,Dayrun4=6,Dayrun4=9),(VLOOKUP(A108,ScaledPrice4,IF(Scaler4=2,7,8))),0))</f>
        <v> </v>
      </c>
      <c r="J108" s="317" t="str">
        <f aca="false">IF(A108="N/A"," ",IF(OR(Dayrun4=3,Dayrun4=6),IF(Scaler4=2,I108,(VLOOKUP(A108,ScaledPrice4,7))*(2-(VLOOKUP(A108,ScaledPrice4,3)))),0))</f>
        <v> </v>
      </c>
      <c r="K108" s="317" t="str">
        <f aca="false">IF($A108="N/A"," ",IF(OR(Dayrun4=3,Dayrun4=10),VLOOKUP($A108,ScaledPrice4,9),0))</f>
        <v> </v>
      </c>
      <c r="L108" s="318" t="str">
        <f aca="false">IF($A108="N/A"," ",IF(Pricetype4=2,MAX(C108,0),IF(OR(Pricetype4=1,Pricetype4=4),IF(C108=0,0,(EURO(C108,Strikeprice4,0,0,($AH108+IF(Smile=TRUE(),VLOOKUP(MAX(-5,Strikeprice4-C108),Volsmile,2),0)),($A108-DateToday)+15,IF(Pricetype4=1,1,0),0))),C108)))</f>
        <v> </v>
      </c>
      <c r="M108" s="318" t="str">
        <f aca="false">IF($A108="N/A"," ",IF(Pricetype4=2,MAX(D108,0),IF(OR(Pricetype4=1,Pricetype4=4),IF(D108=0,0,(EURO(D108,Strikeprice4,0,0,($AH108+IF(Smile=TRUE(),VLOOKUP(MAX(-5,Strikeprice4-D108),Volsmile,2),0)),($A108-DateToday)+15,IF(Pricetype4=1,1,0),0))),D108)))</f>
        <v> </v>
      </c>
      <c r="N108" s="318" t="str">
        <f aca="false">IF($A108="N/A"," ",IF(Pricetype4=2,MAX(E108,0),IF(OR(Pricetype4=1,Pricetype4=4),IF(E108=0,0,(EURO(E108,Strikeprice4,0,0,($AK108+IF(Smile=TRUE(),VLOOKUP(MAX(-5,Strikeprice4-E108),Volsmile,2),0)),($A108-DateToday)+15,IF(Pricetype4=1,1,0),0))),E108)))</f>
        <v> </v>
      </c>
      <c r="O108" s="318" t="str">
        <f aca="false">IF($A108="N/A"," ",IF(Pricetype4=2,MAX(F108,0),IF(OR(Pricetype4=1,Pricetype4=4),IF(F108=0,0,(EURO(F108,Strikeprice4,0,0,($AK108+IF(Smile=TRUE(),VLOOKUP(MAX(-5,Strikeprice4-F108),Volsmile,2),0)),($A108-DateToday)+15,IF(Pricetype4=1,1,0),0))),F108)))</f>
        <v> </v>
      </c>
      <c r="P108" s="318" t="str">
        <f aca="false">IF($A108="N/A"," ",IF(Pricetype4=2,MAX(G108,0),IF(OR(Pricetype4=1,Pricetype4=4),IF(G108=0,0,(EURO(G108,Strikeprice4,0,0,($AK108+IF(Smile=TRUE(),VLOOKUP(MAX(-5,Strikeprice4-G108),Volsmile,2),0)),($A108-DateToday)+15,IF(Pricetype4=1,1,0),0))),G108)))</f>
        <v> </v>
      </c>
      <c r="Q108" s="318" t="str">
        <f aca="false">IF($A108="N/A"," ",IF(Pricetype4=2,MAX(H108,0),IF(OR(Pricetype4=1,Pricetype4=4),IF(H108=0,0,(EURO(H108,Strikeprice4,0,0,($AK108+IF(Smile=TRUE(),VLOOKUP(MAX(-5,Strikeprice4-H108),Volsmile,2),0)),($A108-DateToday)+15,IF(Pricetype4=1,1,0),0))),H108)))</f>
        <v> </v>
      </c>
      <c r="R108" s="318" t="str">
        <f aca="false">IF($A108="N/A"," ",IF(Pricetype4=2,MAX(I108,0),IF(OR(Pricetype4=1,Pricetype4=4),IF(I108=0,0,(EURO(I108,Strikeprice4,0,0,($AK108+IF(Smile=TRUE(),VLOOKUP(MAX(-5,Strikeprice4-I108),Volsmile,2),0)),($A108-DateToday)+15,IF(Pricetype4=1,1,0),0))),I108)))</f>
        <v> </v>
      </c>
      <c r="S108" s="318" t="str">
        <f aca="false">IF($A108="N/A"," ",IF(Pricetype4=2,MAX(J108,0),IF(OR(Pricetype4=1,Pricetype4=4),IF(J108=0,0,(EURO(J108,Strikeprice4,0,0,($AK108+IF(Smile=TRUE(),VLOOKUP(MAX(-5,Strikeprice4-J108),Volsmile,2),0)),($A108-DateToday)+15,IF(Pricetype4=1,1,0),0))),J108)))</f>
        <v> </v>
      </c>
      <c r="T108" s="318" t="str">
        <f aca="false">IF($A108="N/A"," ",IF(Pricetype4=2,MAX(K108,0),IF(OR(Pricetype4=1,Pricetype4=4),IF(K108=0,0,(EURO(K108,Strikeprice4,0,0,($AK108+IF(Smile=TRUE(),VLOOKUP(MAX(-5,Strikeprice4-K108),Volsmile,2),0)),($A108-DateToday)+15,IF(Pricetype4=1,1,0),0))),K108)))</f>
        <v> </v>
      </c>
      <c r="U108" s="319" t="str">
        <f aca="false">IF($A108="N/A"," ",Volume4*$AM108)</f>
        <v> </v>
      </c>
      <c r="V108" s="320" t="str">
        <f aca="false">IF($A108="N/A"," ",$U108*(8*($BQ108))*L108)</f>
        <v> </v>
      </c>
      <c r="W108" s="320" t="str">
        <f aca="false">IF($A108="N/A"," ",$U108*(8*($BQ108))*M108)</f>
        <v> </v>
      </c>
      <c r="X108" s="320" t="str">
        <f aca="false">IF($A108="N/A"," ",$U108*(8*($BQ108))*N108)</f>
        <v> </v>
      </c>
      <c r="Y108" s="320" t="str">
        <f aca="false">IF($A108="N/A"," ",$U108*(8*($BR108))*O108)</f>
        <v> </v>
      </c>
      <c r="Z108" s="320" t="str">
        <f aca="false">IF($A108="N/A"," ",$U108*(8*($BR108))*P108)</f>
        <v> </v>
      </c>
      <c r="AA108" s="320" t="str">
        <f aca="false">IF($A108="N/A"," ",$U108*(8*($BR108))*Q108)</f>
        <v> </v>
      </c>
      <c r="AB108" s="320" t="str">
        <f aca="false">IF($A108="N/A"," ",$U108*(8*($BS108))*R108)</f>
        <v> </v>
      </c>
      <c r="AC108" s="320" t="str">
        <f aca="false">IF($A108="N/A"," ",$U108*(8*($BS108))*S108)</f>
        <v> </v>
      </c>
      <c r="AD108" s="320" t="str">
        <f aca="false">IF($A108="N/A"," ",$U108*(8*($BS108))*T108)</f>
        <v> </v>
      </c>
      <c r="AE108" s="320" t="str">
        <f aca="false">IF($A108="N/A"," ",SUM(V108:AD108))</f>
        <v> </v>
      </c>
      <c r="AF108" s="321" t="str">
        <f aca="false">IF(A108="N/A"," ",(VLOOKUP(A108,PowerVolTable,(IF(VolBMO4=2,7,IF(VolBMO4=1,6,8))),FALSE())))</f>
        <v> </v>
      </c>
      <c r="AG108" s="321" t="str">
        <f aca="false">IF(A108="N/A"," ",(VLOOKUP(A108,IntraPowerVol,(IF(VolBMO4=2,3,IF(VolBMO4=1,2,4))),FALSE())*VLOOKUP(MONTH($A108),Volscale,2)))</f>
        <v> </v>
      </c>
      <c r="AH108" s="321" t="str">
        <f aca="false">IF($A108="N/A"," ",IF(VolType4=1,AG108,AF108))</f>
        <v> </v>
      </c>
      <c r="AI108" s="321" t="str">
        <f aca="false">IF($A108="N/A"," ",(VLOOKUP($A108,OffPwrVolTable,(IF(VolBMO4=2,7,IF(VolBMO4=1,6,8))),FALSE())))</f>
        <v> </v>
      </c>
      <c r="AJ108" s="321" t="str">
        <f aca="false">IF($A108="N/A"," ",(VLOOKUP($A108,OffPwrVolTable,(IF(VolBMO4=2,3,IF(VolBMO4=1,2,4))),FALSE())*VLOOKUP(MONTH($A108),Volscale,2)))</f>
        <v> </v>
      </c>
      <c r="AK108" s="321" t="str">
        <f aca="false">IF($A108="N/A"," ",IF(VolType4=1,AJ108,AI108))</f>
        <v> </v>
      </c>
      <c r="AL108" s="321" t="str">
        <f aca="false">IF($A108="N/A"," ",IF(PV=1,0,'Pricing Inputs4'!R141))</f>
        <v> </v>
      </c>
      <c r="AM108" s="323" t="str">
        <f aca="false">IF($A108="N/A"," ",(1+AL108/2)^(-2*((EOMONTH(A108,0)+20)-DateToday)/365.25))</f>
        <v> </v>
      </c>
      <c r="BQ108" s="0" t="str">
        <f aca="false">IF($A108="N/A"," ",(VLOOKUP($A108,NumberofDaysTable,2)))</f>
        <v> </v>
      </c>
      <c r="BR108" s="0" t="str">
        <f aca="false">IF($A108="N/A"," ",(VLOOKUP($A108,NumberofDaysTable,3)))</f>
        <v> </v>
      </c>
      <c r="BS108" s="0" t="str">
        <f aca="false">IF($A108="N/A"," ",(VLOOKUP($A108,NumberofDaysTable,4)))</f>
        <v> </v>
      </c>
    </row>
    <row r="109" customFormat="false" ht="12.75" hidden="false" customHeight="false" outlineLevel="0" collapsed="false">
      <c r="A109" s="315" t="str">
        <f aca="false">IF(A108="N/A","N/A",IF(EDATE(A108,1)&gt;Inputs!$R$5,"N/A",EDATE(A108,1)))</f>
        <v>N/A</v>
      </c>
      <c r="B109" s="316" t="str">
        <f aca="false">IF(A109="N/A"," ",YEAR(A109))</f>
        <v> </v>
      </c>
      <c r="C109" s="317" t="str">
        <f aca="false">IF($A109="N/A"," ",IF(Dayrun4=10,0,IF(Scaler4=1,(VLOOKUP(A109,ScaledPrice4,4)),(VLOOKUP(A109,ScaledPrice4,2)))))</f>
        <v> </v>
      </c>
      <c r="D109" s="317" t="str">
        <f aca="false">IF(A109="N/A"," ",IF(Dayrun4&gt;=7,0,IF(Scaler4=2,VLOOKUP(A109,ScaledPrice4,2),(VLOOKUP(A109,ScaledPrice4,2))*(2-(VLOOKUP(A109,ScaledPrice4,3))))))</f>
        <v> </v>
      </c>
      <c r="E109" s="317" t="str">
        <f aca="false">IF($A109="N/A"," ",IF(AND(Dayrun4&gt;=4,Dayrun4&lt;=9),0,VLOOKUP($A109,ScaledPrice4,9)))</f>
        <v> </v>
      </c>
      <c r="F109" s="317" t="str">
        <f aca="false">IF(A109="N/A"," ",IF(OR(Dayrun4=2,Dayrun4=3,Dayrun4=5,Dayrun4=6,Dayrun4=8,Dayrun4=9),VLOOKUP(A109,ScaledPrice4,IF(Scaler4=1,6,5)),0))</f>
        <v> </v>
      </c>
      <c r="G109" s="317" t="str">
        <f aca="false">IF(A109="N/A"," ",IF(OR(Dayrun4=2,Dayrun4=3,Dayrun4=5,Dayrun4=6),IF(Scaler4=2,F109,(VLOOKUP(A109,ScaledPrice4,5))*(2-(VLOOKUP(A109,ScaledPrice4,3)))),0))</f>
        <v> </v>
      </c>
      <c r="H109" s="317" t="str">
        <f aca="false">IF($A109="N/A"," ",IF(OR(Dayrun4=2,Dayrun4=3,Dayrun4=10),VLOOKUP($A109,ScaledPrice4,9),0))</f>
        <v> </v>
      </c>
      <c r="I109" s="317" t="str">
        <f aca="false">IF(A109="N/A"," ",IF(OR(Dayrun4=3,Dayrun4=6,Dayrun4=9),(VLOOKUP(A109,ScaledPrice4,IF(Scaler4=2,7,8))),0))</f>
        <v> </v>
      </c>
      <c r="J109" s="317" t="str">
        <f aca="false">IF(A109="N/A"," ",IF(OR(Dayrun4=3,Dayrun4=6),IF(Scaler4=2,I109,(VLOOKUP(A109,ScaledPrice4,7))*(2-(VLOOKUP(A109,ScaledPrice4,3)))),0))</f>
        <v> </v>
      </c>
      <c r="K109" s="317" t="str">
        <f aca="false">IF($A109="N/A"," ",IF(OR(Dayrun4=3,Dayrun4=10),VLOOKUP($A109,ScaledPrice4,9),0))</f>
        <v> </v>
      </c>
      <c r="L109" s="318" t="str">
        <f aca="false">IF($A109="N/A"," ",IF(Pricetype4=2,MAX(C109,0),IF(OR(Pricetype4=1,Pricetype4=4),IF(C109=0,0,(EURO(C109,Strikeprice4,0,0,($AH109+IF(Smile=TRUE(),VLOOKUP(MAX(-5,Strikeprice4-C109),Volsmile,2),0)),($A109-DateToday)+15,IF(Pricetype4=1,1,0),0))),C109)))</f>
        <v> </v>
      </c>
      <c r="M109" s="318" t="str">
        <f aca="false">IF($A109="N/A"," ",IF(Pricetype4=2,MAX(D109,0),IF(OR(Pricetype4=1,Pricetype4=4),IF(D109=0,0,(EURO(D109,Strikeprice4,0,0,($AH109+IF(Smile=TRUE(),VLOOKUP(MAX(-5,Strikeprice4-D109),Volsmile,2),0)),($A109-DateToday)+15,IF(Pricetype4=1,1,0),0))),D109)))</f>
        <v> </v>
      </c>
      <c r="N109" s="318" t="str">
        <f aca="false">IF($A109="N/A"," ",IF(Pricetype4=2,MAX(E109,0),IF(OR(Pricetype4=1,Pricetype4=4),IF(E109=0,0,(EURO(E109,Strikeprice4,0,0,($AK109+IF(Smile=TRUE(),VLOOKUP(MAX(-5,Strikeprice4-E109),Volsmile,2),0)),($A109-DateToday)+15,IF(Pricetype4=1,1,0),0))),E109)))</f>
        <v> </v>
      </c>
      <c r="O109" s="318" t="str">
        <f aca="false">IF($A109="N/A"," ",IF(Pricetype4=2,MAX(F109,0),IF(OR(Pricetype4=1,Pricetype4=4),IF(F109=0,0,(EURO(F109,Strikeprice4,0,0,($AK109+IF(Smile=TRUE(),VLOOKUP(MAX(-5,Strikeprice4-F109),Volsmile,2),0)),($A109-DateToday)+15,IF(Pricetype4=1,1,0),0))),F109)))</f>
        <v> </v>
      </c>
      <c r="P109" s="318" t="str">
        <f aca="false">IF($A109="N/A"," ",IF(Pricetype4=2,MAX(G109,0),IF(OR(Pricetype4=1,Pricetype4=4),IF(G109=0,0,(EURO(G109,Strikeprice4,0,0,($AK109+IF(Smile=TRUE(),VLOOKUP(MAX(-5,Strikeprice4-G109),Volsmile,2),0)),($A109-DateToday)+15,IF(Pricetype4=1,1,0),0))),G109)))</f>
        <v> </v>
      </c>
      <c r="Q109" s="318" t="str">
        <f aca="false">IF($A109="N/A"," ",IF(Pricetype4=2,MAX(H109,0),IF(OR(Pricetype4=1,Pricetype4=4),IF(H109=0,0,(EURO(H109,Strikeprice4,0,0,($AK109+IF(Smile=TRUE(),VLOOKUP(MAX(-5,Strikeprice4-H109),Volsmile,2),0)),($A109-DateToday)+15,IF(Pricetype4=1,1,0),0))),H109)))</f>
        <v> </v>
      </c>
      <c r="R109" s="318" t="str">
        <f aca="false">IF($A109="N/A"," ",IF(Pricetype4=2,MAX(I109,0),IF(OR(Pricetype4=1,Pricetype4=4),IF(I109=0,0,(EURO(I109,Strikeprice4,0,0,($AK109+IF(Smile=TRUE(),VLOOKUP(MAX(-5,Strikeprice4-I109),Volsmile,2),0)),($A109-DateToday)+15,IF(Pricetype4=1,1,0),0))),I109)))</f>
        <v> </v>
      </c>
      <c r="S109" s="318" t="str">
        <f aca="false">IF($A109="N/A"," ",IF(Pricetype4=2,MAX(J109,0),IF(OR(Pricetype4=1,Pricetype4=4),IF(J109=0,0,(EURO(J109,Strikeprice4,0,0,($AK109+IF(Smile=TRUE(),VLOOKUP(MAX(-5,Strikeprice4-J109),Volsmile,2),0)),($A109-DateToday)+15,IF(Pricetype4=1,1,0),0))),J109)))</f>
        <v> </v>
      </c>
      <c r="T109" s="318" t="str">
        <f aca="false">IF($A109="N/A"," ",IF(Pricetype4=2,MAX(K109,0),IF(OR(Pricetype4=1,Pricetype4=4),IF(K109=0,0,(EURO(K109,Strikeprice4,0,0,($AK109+IF(Smile=TRUE(),VLOOKUP(MAX(-5,Strikeprice4-K109),Volsmile,2),0)),($A109-DateToday)+15,IF(Pricetype4=1,1,0),0))),K109)))</f>
        <v> </v>
      </c>
      <c r="U109" s="319" t="str">
        <f aca="false">IF($A109="N/A"," ",Volume4*$AM109)</f>
        <v> </v>
      </c>
      <c r="V109" s="320" t="str">
        <f aca="false">IF($A109="N/A"," ",$U109*(8*($BQ109))*L109)</f>
        <v> </v>
      </c>
      <c r="W109" s="320" t="str">
        <f aca="false">IF($A109="N/A"," ",$U109*(8*($BQ109))*M109)</f>
        <v> </v>
      </c>
      <c r="X109" s="320" t="str">
        <f aca="false">IF($A109="N/A"," ",$U109*(8*($BQ109))*N109)</f>
        <v> </v>
      </c>
      <c r="Y109" s="320" t="str">
        <f aca="false">IF($A109="N/A"," ",$U109*(8*($BR109))*O109)</f>
        <v> </v>
      </c>
      <c r="Z109" s="320" t="str">
        <f aca="false">IF($A109="N/A"," ",$U109*(8*($BR109))*P109)</f>
        <v> </v>
      </c>
      <c r="AA109" s="320" t="str">
        <f aca="false">IF($A109="N/A"," ",$U109*(8*($BR109))*Q109)</f>
        <v> </v>
      </c>
      <c r="AB109" s="320" t="str">
        <f aca="false">IF($A109="N/A"," ",$U109*(8*($BS109))*R109)</f>
        <v> </v>
      </c>
      <c r="AC109" s="320" t="str">
        <f aca="false">IF($A109="N/A"," ",$U109*(8*($BS109))*S109)</f>
        <v> </v>
      </c>
      <c r="AD109" s="320" t="str">
        <f aca="false">IF($A109="N/A"," ",$U109*(8*($BS109))*T109)</f>
        <v> </v>
      </c>
      <c r="AE109" s="320" t="str">
        <f aca="false">IF($A109="N/A"," ",SUM(V109:AD109))</f>
        <v> </v>
      </c>
      <c r="AF109" s="321" t="str">
        <f aca="false">IF(A109="N/A"," ",(VLOOKUP(A109,PowerVolTable,(IF(VolBMO4=2,7,IF(VolBMO4=1,6,8))),FALSE())))</f>
        <v> </v>
      </c>
      <c r="AG109" s="321" t="str">
        <f aca="false">IF(A109="N/A"," ",(VLOOKUP(A109,IntraPowerVol,(IF(VolBMO4=2,3,IF(VolBMO4=1,2,4))),FALSE())*VLOOKUP(MONTH($A109),Volscale,2)))</f>
        <v> </v>
      </c>
      <c r="AH109" s="321" t="str">
        <f aca="false">IF($A109="N/A"," ",IF(VolType4=1,AG109,AF109))</f>
        <v> </v>
      </c>
      <c r="AI109" s="321" t="str">
        <f aca="false">IF($A109="N/A"," ",(VLOOKUP($A109,OffPwrVolTable,(IF(VolBMO4=2,7,IF(VolBMO4=1,6,8))),FALSE())))</f>
        <v> </v>
      </c>
      <c r="AJ109" s="321" t="str">
        <f aca="false">IF($A109="N/A"," ",(VLOOKUP($A109,OffPwrVolTable,(IF(VolBMO4=2,3,IF(VolBMO4=1,2,4))),FALSE())*VLOOKUP(MONTH($A109),Volscale,2)))</f>
        <v> </v>
      </c>
      <c r="AK109" s="321" t="str">
        <f aca="false">IF($A109="N/A"," ",IF(VolType4=1,AJ109,AI109))</f>
        <v> </v>
      </c>
      <c r="AL109" s="321" t="str">
        <f aca="false">IF($A109="N/A"," ",IF(PV=1,0,'Pricing Inputs4'!R142))</f>
        <v> </v>
      </c>
      <c r="AM109" s="323" t="str">
        <f aca="false">IF($A109="N/A"," ",(1+AL109/2)^(-2*((EOMONTH(A109,0)+20)-DateToday)/365.25))</f>
        <v> </v>
      </c>
      <c r="BQ109" s="0" t="str">
        <f aca="false">IF($A109="N/A"," ",(VLOOKUP($A109,NumberofDaysTable,2)))</f>
        <v> </v>
      </c>
      <c r="BR109" s="0" t="str">
        <f aca="false">IF($A109="N/A"," ",(VLOOKUP($A109,NumberofDaysTable,3)))</f>
        <v> </v>
      </c>
      <c r="BS109" s="0" t="str">
        <f aca="false">IF($A109="N/A"," ",(VLOOKUP($A109,NumberofDaysTable,4)))</f>
        <v> </v>
      </c>
    </row>
    <row r="110" customFormat="false" ht="12.75" hidden="false" customHeight="false" outlineLevel="0" collapsed="false">
      <c r="A110" s="315" t="str">
        <f aca="false">IF(A109="N/A","N/A",IF(EDATE(A109,1)&gt;Inputs!$R$5,"N/A",EDATE(A109,1)))</f>
        <v>N/A</v>
      </c>
      <c r="B110" s="316" t="str">
        <f aca="false">IF(A110="N/A"," ",YEAR(A110))</f>
        <v> </v>
      </c>
      <c r="C110" s="317" t="str">
        <f aca="false">IF($A110="N/A"," ",IF(Dayrun4=10,0,IF(Scaler4=1,(VLOOKUP(A110,ScaledPrice4,4)),(VLOOKUP(A110,ScaledPrice4,2)))))</f>
        <v> </v>
      </c>
      <c r="D110" s="317" t="str">
        <f aca="false">IF(A110="N/A"," ",IF(Dayrun4&gt;=7,0,IF(Scaler4=2,VLOOKUP(A110,ScaledPrice4,2),(VLOOKUP(A110,ScaledPrice4,2))*(2-(VLOOKUP(A110,ScaledPrice4,3))))))</f>
        <v> </v>
      </c>
      <c r="E110" s="317" t="str">
        <f aca="false">IF($A110="N/A"," ",IF(AND(Dayrun4&gt;=4,Dayrun4&lt;=9),0,VLOOKUP($A110,ScaledPrice4,9)))</f>
        <v> </v>
      </c>
      <c r="F110" s="317" t="str">
        <f aca="false">IF(A110="N/A"," ",IF(OR(Dayrun4=2,Dayrun4=3,Dayrun4=5,Dayrun4=6,Dayrun4=8,Dayrun4=9),VLOOKUP(A110,ScaledPrice4,IF(Scaler4=1,6,5)),0))</f>
        <v> </v>
      </c>
      <c r="G110" s="317" t="str">
        <f aca="false">IF(A110="N/A"," ",IF(OR(Dayrun4=2,Dayrun4=3,Dayrun4=5,Dayrun4=6),IF(Scaler4=2,F110,(VLOOKUP(A110,ScaledPrice4,5))*(2-(VLOOKUP(A110,ScaledPrice4,3)))),0))</f>
        <v> </v>
      </c>
      <c r="H110" s="317" t="str">
        <f aca="false">IF($A110="N/A"," ",IF(OR(Dayrun4=2,Dayrun4=3,Dayrun4=10),VLOOKUP($A110,ScaledPrice4,9),0))</f>
        <v> </v>
      </c>
      <c r="I110" s="317" t="str">
        <f aca="false">IF(A110="N/A"," ",IF(OR(Dayrun4=3,Dayrun4=6,Dayrun4=9),(VLOOKUP(A110,ScaledPrice4,IF(Scaler4=2,7,8))),0))</f>
        <v> </v>
      </c>
      <c r="J110" s="317" t="str">
        <f aca="false">IF(A110="N/A"," ",IF(OR(Dayrun4=3,Dayrun4=6),IF(Scaler4=2,I110,(VLOOKUP(A110,ScaledPrice4,7))*(2-(VLOOKUP(A110,ScaledPrice4,3)))),0))</f>
        <v> </v>
      </c>
      <c r="K110" s="317" t="str">
        <f aca="false">IF($A110="N/A"," ",IF(OR(Dayrun4=3,Dayrun4=10),VLOOKUP($A110,ScaledPrice4,9),0))</f>
        <v> </v>
      </c>
      <c r="L110" s="318" t="str">
        <f aca="false">IF($A110="N/A"," ",IF(Pricetype4=2,MAX(C110,0),IF(OR(Pricetype4=1,Pricetype4=4),IF(C110=0,0,(EURO(C110,Strikeprice4,0,0,($AH110+IF(Smile=TRUE(),VLOOKUP(MAX(-5,Strikeprice4-C110),Volsmile,2),0)),($A110-DateToday)+15,IF(Pricetype4=1,1,0),0))),C110)))</f>
        <v> </v>
      </c>
      <c r="M110" s="318" t="str">
        <f aca="false">IF($A110="N/A"," ",IF(Pricetype4=2,MAX(D110,0),IF(OR(Pricetype4=1,Pricetype4=4),IF(D110=0,0,(EURO(D110,Strikeprice4,0,0,($AH110+IF(Smile=TRUE(),VLOOKUP(MAX(-5,Strikeprice4-D110),Volsmile,2),0)),($A110-DateToday)+15,IF(Pricetype4=1,1,0),0))),D110)))</f>
        <v> </v>
      </c>
      <c r="N110" s="318" t="str">
        <f aca="false">IF($A110="N/A"," ",IF(Pricetype4=2,MAX(E110,0),IF(OR(Pricetype4=1,Pricetype4=4),IF(E110=0,0,(EURO(E110,Strikeprice4,0,0,($AK110+IF(Smile=TRUE(),VLOOKUP(MAX(-5,Strikeprice4-E110),Volsmile,2),0)),($A110-DateToday)+15,IF(Pricetype4=1,1,0),0))),E110)))</f>
        <v> </v>
      </c>
      <c r="O110" s="318" t="str">
        <f aca="false">IF($A110="N/A"," ",IF(Pricetype4=2,MAX(F110,0),IF(OR(Pricetype4=1,Pricetype4=4),IF(F110=0,0,(EURO(F110,Strikeprice4,0,0,($AK110+IF(Smile=TRUE(),VLOOKUP(MAX(-5,Strikeprice4-F110),Volsmile,2),0)),($A110-DateToday)+15,IF(Pricetype4=1,1,0),0))),F110)))</f>
        <v> </v>
      </c>
      <c r="P110" s="318" t="str">
        <f aca="false">IF($A110="N/A"," ",IF(Pricetype4=2,MAX(G110,0),IF(OR(Pricetype4=1,Pricetype4=4),IF(G110=0,0,(EURO(G110,Strikeprice4,0,0,($AK110+IF(Smile=TRUE(),VLOOKUP(MAX(-5,Strikeprice4-G110),Volsmile,2),0)),($A110-DateToday)+15,IF(Pricetype4=1,1,0),0))),G110)))</f>
        <v> </v>
      </c>
      <c r="Q110" s="318" t="str">
        <f aca="false">IF($A110="N/A"," ",IF(Pricetype4=2,MAX(H110,0),IF(OR(Pricetype4=1,Pricetype4=4),IF(H110=0,0,(EURO(H110,Strikeprice4,0,0,($AK110+IF(Smile=TRUE(),VLOOKUP(MAX(-5,Strikeprice4-H110),Volsmile,2),0)),($A110-DateToday)+15,IF(Pricetype4=1,1,0),0))),H110)))</f>
        <v> </v>
      </c>
      <c r="R110" s="318" t="str">
        <f aca="false">IF($A110="N/A"," ",IF(Pricetype4=2,MAX(I110,0),IF(OR(Pricetype4=1,Pricetype4=4),IF(I110=0,0,(EURO(I110,Strikeprice4,0,0,($AK110+IF(Smile=TRUE(),VLOOKUP(MAX(-5,Strikeprice4-I110),Volsmile,2),0)),($A110-DateToday)+15,IF(Pricetype4=1,1,0),0))),I110)))</f>
        <v> </v>
      </c>
      <c r="S110" s="318" t="str">
        <f aca="false">IF($A110="N/A"," ",IF(Pricetype4=2,MAX(J110,0),IF(OR(Pricetype4=1,Pricetype4=4),IF(J110=0,0,(EURO(J110,Strikeprice4,0,0,($AK110+IF(Smile=TRUE(),VLOOKUP(MAX(-5,Strikeprice4-J110),Volsmile,2),0)),($A110-DateToday)+15,IF(Pricetype4=1,1,0),0))),J110)))</f>
        <v> </v>
      </c>
      <c r="T110" s="318" t="str">
        <f aca="false">IF($A110="N/A"," ",IF(Pricetype4=2,MAX(K110,0),IF(OR(Pricetype4=1,Pricetype4=4),IF(K110=0,0,(EURO(K110,Strikeprice4,0,0,($AK110+IF(Smile=TRUE(),VLOOKUP(MAX(-5,Strikeprice4-K110),Volsmile,2),0)),($A110-DateToday)+15,IF(Pricetype4=1,1,0),0))),K110)))</f>
        <v> </v>
      </c>
      <c r="U110" s="319" t="str">
        <f aca="false">IF($A110="N/A"," ",Volume4*$AM110)</f>
        <v> </v>
      </c>
      <c r="V110" s="320" t="str">
        <f aca="false">IF($A110="N/A"," ",$U110*(8*($BQ110))*L110)</f>
        <v> </v>
      </c>
      <c r="W110" s="320" t="str">
        <f aca="false">IF($A110="N/A"," ",$U110*(8*($BQ110))*M110)</f>
        <v> </v>
      </c>
      <c r="X110" s="320" t="str">
        <f aca="false">IF($A110="N/A"," ",$U110*(8*($BQ110))*N110)</f>
        <v> </v>
      </c>
      <c r="Y110" s="320" t="str">
        <f aca="false">IF($A110="N/A"," ",$U110*(8*($BR110))*O110)</f>
        <v> </v>
      </c>
      <c r="Z110" s="320" t="str">
        <f aca="false">IF($A110="N/A"," ",$U110*(8*($BR110))*P110)</f>
        <v> </v>
      </c>
      <c r="AA110" s="320" t="str">
        <f aca="false">IF($A110="N/A"," ",$U110*(8*($BR110))*Q110)</f>
        <v> </v>
      </c>
      <c r="AB110" s="320" t="str">
        <f aca="false">IF($A110="N/A"," ",$U110*(8*($BS110))*R110)</f>
        <v> </v>
      </c>
      <c r="AC110" s="320" t="str">
        <f aca="false">IF($A110="N/A"," ",$U110*(8*($BS110))*S110)</f>
        <v> </v>
      </c>
      <c r="AD110" s="320" t="str">
        <f aca="false">IF($A110="N/A"," ",$U110*(8*($BS110))*T110)</f>
        <v> </v>
      </c>
      <c r="AE110" s="320" t="str">
        <f aca="false">IF($A110="N/A"," ",SUM(V110:AD110))</f>
        <v> </v>
      </c>
      <c r="AF110" s="321" t="str">
        <f aca="false">IF(A110="N/A"," ",(VLOOKUP(A110,PowerVolTable,(IF(VolBMO4=2,7,IF(VolBMO4=1,6,8))),FALSE())))</f>
        <v> </v>
      </c>
      <c r="AG110" s="321" t="str">
        <f aca="false">IF(A110="N/A"," ",(VLOOKUP(A110,IntraPowerVol,(IF(VolBMO4=2,3,IF(VolBMO4=1,2,4))),FALSE())*VLOOKUP(MONTH($A110),Volscale,2)))</f>
        <v> </v>
      </c>
      <c r="AH110" s="321" t="str">
        <f aca="false">IF($A110="N/A"," ",IF(VolType4=1,AG110,AF110))</f>
        <v> </v>
      </c>
      <c r="AI110" s="321" t="str">
        <f aca="false">IF($A110="N/A"," ",(VLOOKUP($A110,OffPwrVolTable,(IF(VolBMO4=2,7,IF(VolBMO4=1,6,8))),FALSE())))</f>
        <v> </v>
      </c>
      <c r="AJ110" s="321" t="str">
        <f aca="false">IF($A110="N/A"," ",(VLOOKUP($A110,OffPwrVolTable,(IF(VolBMO4=2,3,IF(VolBMO4=1,2,4))),FALSE())*VLOOKUP(MONTH($A110),Volscale,2)))</f>
        <v> </v>
      </c>
      <c r="AK110" s="321" t="str">
        <f aca="false">IF($A110="N/A"," ",IF(VolType4=1,AJ110,AI110))</f>
        <v> </v>
      </c>
      <c r="AL110" s="321" t="str">
        <f aca="false">IF($A110="N/A"," ",IF(PV=1,0,'Pricing Inputs4'!R143))</f>
        <v> </v>
      </c>
      <c r="AM110" s="323" t="str">
        <f aca="false">IF($A110="N/A"," ",(1+AL110/2)^(-2*((EOMONTH(A110,0)+20)-DateToday)/365.25))</f>
        <v> </v>
      </c>
      <c r="BQ110" s="0" t="str">
        <f aca="false">IF($A110="N/A"," ",(VLOOKUP($A110,NumberofDaysTable,2)))</f>
        <v> </v>
      </c>
      <c r="BR110" s="0" t="str">
        <f aca="false">IF($A110="N/A"," ",(VLOOKUP($A110,NumberofDaysTable,3)))</f>
        <v> </v>
      </c>
      <c r="BS110" s="0" t="str">
        <f aca="false">IF($A110="N/A"," ",(VLOOKUP($A110,NumberofDaysTable,4)))</f>
        <v> </v>
      </c>
    </row>
    <row r="111" customFormat="false" ht="12.75" hidden="false" customHeight="false" outlineLevel="0" collapsed="false">
      <c r="A111" s="315" t="str">
        <f aca="false">IF(A110="N/A","N/A",IF(EDATE(A110,1)&gt;Inputs!$R$5,"N/A",EDATE(A110,1)))</f>
        <v>N/A</v>
      </c>
      <c r="B111" s="316" t="str">
        <f aca="false">IF(A111="N/A"," ",YEAR(A111))</f>
        <v> </v>
      </c>
      <c r="C111" s="317" t="str">
        <f aca="false">IF($A111="N/A"," ",IF(Dayrun4=10,0,IF(Scaler4=1,(VLOOKUP(A111,ScaledPrice4,4)),(VLOOKUP(A111,ScaledPrice4,2)))))</f>
        <v> </v>
      </c>
      <c r="D111" s="317" t="str">
        <f aca="false">IF(A111="N/A"," ",IF(Dayrun4&gt;=7,0,IF(Scaler4=2,VLOOKUP(A111,ScaledPrice4,2),(VLOOKUP(A111,ScaledPrice4,2))*(2-(VLOOKUP(A111,ScaledPrice4,3))))))</f>
        <v> </v>
      </c>
      <c r="E111" s="317" t="str">
        <f aca="false">IF($A111="N/A"," ",IF(AND(Dayrun4&gt;=4,Dayrun4&lt;=9),0,VLOOKUP($A111,ScaledPrice4,9)))</f>
        <v> </v>
      </c>
      <c r="F111" s="317" t="str">
        <f aca="false">IF(A111="N/A"," ",IF(OR(Dayrun4=2,Dayrun4=3,Dayrun4=5,Dayrun4=6,Dayrun4=8,Dayrun4=9),VLOOKUP(A111,ScaledPrice4,IF(Scaler4=1,6,5)),0))</f>
        <v> </v>
      </c>
      <c r="G111" s="317" t="str">
        <f aca="false">IF(A111="N/A"," ",IF(OR(Dayrun4=2,Dayrun4=3,Dayrun4=5,Dayrun4=6),IF(Scaler4=2,F111,(VLOOKUP(A111,ScaledPrice4,5))*(2-(VLOOKUP(A111,ScaledPrice4,3)))),0))</f>
        <v> </v>
      </c>
      <c r="H111" s="317" t="str">
        <f aca="false">IF($A111="N/A"," ",IF(OR(Dayrun4=2,Dayrun4=3,Dayrun4=10),VLOOKUP($A111,ScaledPrice4,9),0))</f>
        <v> </v>
      </c>
      <c r="I111" s="317" t="str">
        <f aca="false">IF(A111="N/A"," ",IF(OR(Dayrun4=3,Dayrun4=6,Dayrun4=9),(VLOOKUP(A111,ScaledPrice4,IF(Scaler4=2,7,8))),0))</f>
        <v> </v>
      </c>
      <c r="J111" s="317" t="str">
        <f aca="false">IF(A111="N/A"," ",IF(OR(Dayrun4=3,Dayrun4=6),IF(Scaler4=2,I111,(VLOOKUP(A111,ScaledPrice4,7))*(2-(VLOOKUP(A111,ScaledPrice4,3)))),0))</f>
        <v> </v>
      </c>
      <c r="K111" s="317" t="str">
        <f aca="false">IF($A111="N/A"," ",IF(OR(Dayrun4=3,Dayrun4=10),VLOOKUP($A111,ScaledPrice4,9),0))</f>
        <v> </v>
      </c>
      <c r="L111" s="318" t="str">
        <f aca="false">IF($A111="N/A"," ",IF(Pricetype4=2,MAX(C111,0),IF(OR(Pricetype4=1,Pricetype4=4),IF(C111=0,0,(EURO(C111,Strikeprice4,0,0,($AH111+IF(Smile=TRUE(),VLOOKUP(MAX(-5,Strikeprice4-C111),Volsmile,2),0)),($A111-DateToday)+15,IF(Pricetype4=1,1,0),0))),C111)))</f>
        <v> </v>
      </c>
      <c r="M111" s="318" t="str">
        <f aca="false">IF($A111="N/A"," ",IF(Pricetype4=2,MAX(D111,0),IF(OR(Pricetype4=1,Pricetype4=4),IF(D111=0,0,(EURO(D111,Strikeprice4,0,0,($AH111+IF(Smile=TRUE(),VLOOKUP(MAX(-5,Strikeprice4-D111),Volsmile,2),0)),($A111-DateToday)+15,IF(Pricetype4=1,1,0),0))),D111)))</f>
        <v> </v>
      </c>
      <c r="N111" s="318" t="str">
        <f aca="false">IF($A111="N/A"," ",IF(Pricetype4=2,MAX(E111,0),IF(OR(Pricetype4=1,Pricetype4=4),IF(E111=0,0,(EURO(E111,Strikeprice4,0,0,($AK111+IF(Smile=TRUE(),VLOOKUP(MAX(-5,Strikeprice4-E111),Volsmile,2),0)),($A111-DateToday)+15,IF(Pricetype4=1,1,0),0))),E111)))</f>
        <v> </v>
      </c>
      <c r="O111" s="318" t="str">
        <f aca="false">IF($A111="N/A"," ",IF(Pricetype4=2,MAX(F111,0),IF(OR(Pricetype4=1,Pricetype4=4),IF(F111=0,0,(EURO(F111,Strikeprice4,0,0,($AK111+IF(Smile=TRUE(),VLOOKUP(MAX(-5,Strikeprice4-F111),Volsmile,2),0)),($A111-DateToday)+15,IF(Pricetype4=1,1,0),0))),F111)))</f>
        <v> </v>
      </c>
      <c r="P111" s="318" t="str">
        <f aca="false">IF($A111="N/A"," ",IF(Pricetype4=2,MAX(G111,0),IF(OR(Pricetype4=1,Pricetype4=4),IF(G111=0,0,(EURO(G111,Strikeprice4,0,0,($AK111+IF(Smile=TRUE(),VLOOKUP(MAX(-5,Strikeprice4-G111),Volsmile,2),0)),($A111-DateToday)+15,IF(Pricetype4=1,1,0),0))),G111)))</f>
        <v> </v>
      </c>
      <c r="Q111" s="318" t="str">
        <f aca="false">IF($A111="N/A"," ",IF(Pricetype4=2,MAX(H111,0),IF(OR(Pricetype4=1,Pricetype4=4),IF(H111=0,0,(EURO(H111,Strikeprice4,0,0,($AK111+IF(Smile=TRUE(),VLOOKUP(MAX(-5,Strikeprice4-H111),Volsmile,2),0)),($A111-DateToday)+15,IF(Pricetype4=1,1,0),0))),H111)))</f>
        <v> </v>
      </c>
      <c r="R111" s="318" t="str">
        <f aca="false">IF($A111="N/A"," ",IF(Pricetype4=2,MAX(I111,0),IF(OR(Pricetype4=1,Pricetype4=4),IF(I111=0,0,(EURO(I111,Strikeprice4,0,0,($AK111+IF(Smile=TRUE(),VLOOKUP(MAX(-5,Strikeprice4-I111),Volsmile,2),0)),($A111-DateToday)+15,IF(Pricetype4=1,1,0),0))),I111)))</f>
        <v> </v>
      </c>
      <c r="S111" s="318" t="str">
        <f aca="false">IF($A111="N/A"," ",IF(Pricetype4=2,MAX(J111,0),IF(OR(Pricetype4=1,Pricetype4=4),IF(J111=0,0,(EURO(J111,Strikeprice4,0,0,($AK111+IF(Smile=TRUE(),VLOOKUP(MAX(-5,Strikeprice4-J111),Volsmile,2),0)),($A111-DateToday)+15,IF(Pricetype4=1,1,0),0))),J111)))</f>
        <v> </v>
      </c>
      <c r="T111" s="318" t="str">
        <f aca="false">IF($A111="N/A"," ",IF(Pricetype4=2,MAX(K111,0),IF(OR(Pricetype4=1,Pricetype4=4),IF(K111=0,0,(EURO(K111,Strikeprice4,0,0,($AK111+IF(Smile=TRUE(),VLOOKUP(MAX(-5,Strikeprice4-K111),Volsmile,2),0)),($A111-DateToday)+15,IF(Pricetype4=1,1,0),0))),K111)))</f>
        <v> </v>
      </c>
      <c r="U111" s="319" t="str">
        <f aca="false">IF($A111="N/A"," ",Volume4*$AM111)</f>
        <v> </v>
      </c>
      <c r="V111" s="320" t="str">
        <f aca="false">IF($A111="N/A"," ",$U111*(8*($BQ111))*L111)</f>
        <v> </v>
      </c>
      <c r="W111" s="320" t="str">
        <f aca="false">IF($A111="N/A"," ",$U111*(8*($BQ111))*M111)</f>
        <v> </v>
      </c>
      <c r="X111" s="320" t="str">
        <f aca="false">IF($A111="N/A"," ",$U111*(8*($BQ111))*N111)</f>
        <v> </v>
      </c>
      <c r="Y111" s="320" t="str">
        <f aca="false">IF($A111="N/A"," ",$U111*(8*($BR111))*O111)</f>
        <v> </v>
      </c>
      <c r="Z111" s="320" t="str">
        <f aca="false">IF($A111="N/A"," ",$U111*(8*($BR111))*P111)</f>
        <v> </v>
      </c>
      <c r="AA111" s="320" t="str">
        <f aca="false">IF($A111="N/A"," ",$U111*(8*($BR111))*Q111)</f>
        <v> </v>
      </c>
      <c r="AB111" s="320" t="str">
        <f aca="false">IF($A111="N/A"," ",$U111*(8*($BS111))*R111)</f>
        <v> </v>
      </c>
      <c r="AC111" s="320" t="str">
        <f aca="false">IF($A111="N/A"," ",$U111*(8*($BS111))*S111)</f>
        <v> </v>
      </c>
      <c r="AD111" s="320" t="str">
        <f aca="false">IF($A111="N/A"," ",$U111*(8*($BS111))*T111)</f>
        <v> </v>
      </c>
      <c r="AE111" s="320" t="str">
        <f aca="false">IF($A111="N/A"," ",SUM(V111:AD111))</f>
        <v> </v>
      </c>
      <c r="AF111" s="321" t="str">
        <f aca="false">IF(A111="N/A"," ",(VLOOKUP(A111,PowerVolTable,(IF(VolBMO4=2,7,IF(VolBMO4=1,6,8))),FALSE())))</f>
        <v> </v>
      </c>
      <c r="AG111" s="321" t="str">
        <f aca="false">IF(A111="N/A"," ",(VLOOKUP(A111,IntraPowerVol,(IF(VolBMO4=2,3,IF(VolBMO4=1,2,4))),FALSE())*VLOOKUP(MONTH($A111),Volscale,2)))</f>
        <v> </v>
      </c>
      <c r="AH111" s="321" t="str">
        <f aca="false">IF($A111="N/A"," ",IF(VolType4=1,AG111,AF111))</f>
        <v> </v>
      </c>
      <c r="AI111" s="321" t="str">
        <f aca="false">IF($A111="N/A"," ",(VLOOKUP($A111,OffPwrVolTable,(IF(VolBMO4=2,7,IF(VolBMO4=1,6,8))),FALSE())))</f>
        <v> </v>
      </c>
      <c r="AJ111" s="321" t="str">
        <f aca="false">IF($A111="N/A"," ",(VLOOKUP($A111,OffPwrVolTable,(IF(VolBMO4=2,3,IF(VolBMO4=1,2,4))),FALSE())*VLOOKUP(MONTH($A111),Volscale,2)))</f>
        <v> </v>
      </c>
      <c r="AK111" s="321" t="str">
        <f aca="false">IF($A111="N/A"," ",IF(VolType4=1,AJ111,AI111))</f>
        <v> </v>
      </c>
      <c r="AL111" s="321" t="str">
        <f aca="false">IF($A111="N/A"," ",IF(PV=1,0,'Pricing Inputs4'!R144))</f>
        <v> </v>
      </c>
      <c r="AM111" s="323" t="str">
        <f aca="false">IF($A111="N/A"," ",(1+AL111/2)^(-2*((EOMONTH(A111,0)+20)-DateToday)/365.25))</f>
        <v> </v>
      </c>
      <c r="BQ111" s="0" t="str">
        <f aca="false">IF($A111="N/A"," ",(VLOOKUP($A111,NumberofDaysTable,2)))</f>
        <v> </v>
      </c>
      <c r="BR111" s="0" t="str">
        <f aca="false">IF($A111="N/A"," ",(VLOOKUP($A111,NumberofDaysTable,3)))</f>
        <v> </v>
      </c>
      <c r="BS111" s="0" t="str">
        <f aca="false">IF($A111="N/A"," ",(VLOOKUP($A111,NumberofDaysTable,4)))</f>
        <v> </v>
      </c>
    </row>
    <row r="112" customFormat="false" ht="12.75" hidden="false" customHeight="false" outlineLevel="0" collapsed="false">
      <c r="A112" s="315" t="str">
        <f aca="false">IF(A111="N/A","N/A",IF(EDATE(A111,1)&gt;Inputs!$R$5,"N/A",EDATE(A111,1)))</f>
        <v>N/A</v>
      </c>
      <c r="B112" s="316" t="str">
        <f aca="false">IF(A112="N/A"," ",YEAR(A112))</f>
        <v> </v>
      </c>
      <c r="C112" s="317" t="str">
        <f aca="false">IF($A112="N/A"," ",IF(Dayrun4=10,0,IF(Scaler4=1,(VLOOKUP(A112,ScaledPrice4,4)),(VLOOKUP(A112,ScaledPrice4,2)))))</f>
        <v> </v>
      </c>
      <c r="D112" s="317" t="str">
        <f aca="false">IF(A112="N/A"," ",IF(Dayrun4&gt;=7,0,IF(Scaler4=2,VLOOKUP(A112,ScaledPrice4,2),(VLOOKUP(A112,ScaledPrice4,2))*(2-(VLOOKUP(A112,ScaledPrice4,3))))))</f>
        <v> </v>
      </c>
      <c r="E112" s="317" t="str">
        <f aca="false">IF($A112="N/A"," ",IF(AND(Dayrun4&gt;=4,Dayrun4&lt;=9),0,VLOOKUP($A112,ScaledPrice4,9)))</f>
        <v> </v>
      </c>
      <c r="F112" s="317" t="str">
        <f aca="false">IF(A112="N/A"," ",IF(OR(Dayrun4=2,Dayrun4=3,Dayrun4=5,Dayrun4=6,Dayrun4=8,Dayrun4=9),VLOOKUP(A112,ScaledPrice4,IF(Scaler4=1,6,5)),0))</f>
        <v> </v>
      </c>
      <c r="G112" s="317" t="str">
        <f aca="false">IF(A112="N/A"," ",IF(OR(Dayrun4=2,Dayrun4=3,Dayrun4=5,Dayrun4=6),IF(Scaler4=2,F112,(VLOOKUP(A112,ScaledPrice4,5))*(2-(VLOOKUP(A112,ScaledPrice4,3)))),0))</f>
        <v> </v>
      </c>
      <c r="H112" s="317" t="str">
        <f aca="false">IF($A112="N/A"," ",IF(OR(Dayrun4=2,Dayrun4=3,Dayrun4=10),VLOOKUP($A112,ScaledPrice4,9),0))</f>
        <v> </v>
      </c>
      <c r="I112" s="317" t="str">
        <f aca="false">IF(A112="N/A"," ",IF(OR(Dayrun4=3,Dayrun4=6,Dayrun4=9),(VLOOKUP(A112,ScaledPrice4,IF(Scaler4=2,7,8))),0))</f>
        <v> </v>
      </c>
      <c r="J112" s="317" t="str">
        <f aca="false">IF(A112="N/A"," ",IF(OR(Dayrun4=3,Dayrun4=6),IF(Scaler4=2,I112,(VLOOKUP(A112,ScaledPrice4,7))*(2-(VLOOKUP(A112,ScaledPrice4,3)))),0))</f>
        <v> </v>
      </c>
      <c r="K112" s="317" t="str">
        <f aca="false">IF($A112="N/A"," ",IF(OR(Dayrun4=3,Dayrun4=10),VLOOKUP($A112,ScaledPrice4,9),0))</f>
        <v> </v>
      </c>
      <c r="L112" s="318" t="str">
        <f aca="false">IF($A112="N/A"," ",IF(Pricetype4=2,MAX(C112,0),IF(OR(Pricetype4=1,Pricetype4=4),IF(C112=0,0,(EURO(C112,Strikeprice4,0,0,($AH112+IF(Smile=TRUE(),VLOOKUP(MAX(-5,Strikeprice4-C112),Volsmile,2),0)),($A112-DateToday)+15,IF(Pricetype4=1,1,0),0))),C112)))</f>
        <v> </v>
      </c>
      <c r="M112" s="318" t="str">
        <f aca="false">IF($A112="N/A"," ",IF(Pricetype4=2,MAX(D112,0),IF(OR(Pricetype4=1,Pricetype4=4),IF(D112=0,0,(EURO(D112,Strikeprice4,0,0,($AH112+IF(Smile=TRUE(),VLOOKUP(MAX(-5,Strikeprice4-D112),Volsmile,2),0)),($A112-DateToday)+15,IF(Pricetype4=1,1,0),0))),D112)))</f>
        <v> </v>
      </c>
      <c r="N112" s="318" t="str">
        <f aca="false">IF($A112="N/A"," ",IF(Pricetype4=2,MAX(E112,0),IF(OR(Pricetype4=1,Pricetype4=4),IF(E112=0,0,(EURO(E112,Strikeprice4,0,0,($AK112+IF(Smile=TRUE(),VLOOKUP(MAX(-5,Strikeprice4-E112),Volsmile,2),0)),($A112-DateToday)+15,IF(Pricetype4=1,1,0),0))),E112)))</f>
        <v> </v>
      </c>
      <c r="O112" s="318" t="str">
        <f aca="false">IF($A112="N/A"," ",IF(Pricetype4=2,MAX(F112,0),IF(OR(Pricetype4=1,Pricetype4=4),IF(F112=0,0,(EURO(F112,Strikeprice4,0,0,($AK112+IF(Smile=TRUE(),VLOOKUP(MAX(-5,Strikeprice4-F112),Volsmile,2),0)),($A112-DateToday)+15,IF(Pricetype4=1,1,0),0))),F112)))</f>
        <v> </v>
      </c>
      <c r="P112" s="318" t="str">
        <f aca="false">IF($A112="N/A"," ",IF(Pricetype4=2,MAX(G112,0),IF(OR(Pricetype4=1,Pricetype4=4),IF(G112=0,0,(EURO(G112,Strikeprice4,0,0,($AK112+IF(Smile=TRUE(),VLOOKUP(MAX(-5,Strikeprice4-G112),Volsmile,2),0)),($A112-DateToday)+15,IF(Pricetype4=1,1,0),0))),G112)))</f>
        <v> </v>
      </c>
      <c r="Q112" s="318" t="str">
        <f aca="false">IF($A112="N/A"," ",IF(Pricetype4=2,MAX(H112,0),IF(OR(Pricetype4=1,Pricetype4=4),IF(H112=0,0,(EURO(H112,Strikeprice4,0,0,($AK112+IF(Smile=TRUE(),VLOOKUP(MAX(-5,Strikeprice4-H112),Volsmile,2),0)),($A112-DateToday)+15,IF(Pricetype4=1,1,0),0))),H112)))</f>
        <v> </v>
      </c>
      <c r="R112" s="318" t="str">
        <f aca="false">IF($A112="N/A"," ",IF(Pricetype4=2,MAX(I112,0),IF(OR(Pricetype4=1,Pricetype4=4),IF(I112=0,0,(EURO(I112,Strikeprice4,0,0,($AK112+IF(Smile=TRUE(),VLOOKUP(MAX(-5,Strikeprice4-I112),Volsmile,2),0)),($A112-DateToday)+15,IF(Pricetype4=1,1,0),0))),I112)))</f>
        <v> </v>
      </c>
      <c r="S112" s="318" t="str">
        <f aca="false">IF($A112="N/A"," ",IF(Pricetype4=2,MAX(J112,0),IF(OR(Pricetype4=1,Pricetype4=4),IF(J112=0,0,(EURO(J112,Strikeprice4,0,0,($AK112+IF(Smile=TRUE(),VLOOKUP(MAX(-5,Strikeprice4-J112),Volsmile,2),0)),($A112-DateToday)+15,IF(Pricetype4=1,1,0),0))),J112)))</f>
        <v> </v>
      </c>
      <c r="T112" s="318" t="str">
        <f aca="false">IF($A112="N/A"," ",IF(Pricetype4=2,MAX(K112,0),IF(OR(Pricetype4=1,Pricetype4=4),IF(K112=0,0,(EURO(K112,Strikeprice4,0,0,($AK112+IF(Smile=TRUE(),VLOOKUP(MAX(-5,Strikeprice4-K112),Volsmile,2),0)),($A112-DateToday)+15,IF(Pricetype4=1,1,0),0))),K112)))</f>
        <v> </v>
      </c>
      <c r="U112" s="319" t="str">
        <f aca="false">IF($A112="N/A"," ",Volume4*$AM112)</f>
        <v> </v>
      </c>
      <c r="V112" s="320" t="str">
        <f aca="false">IF($A112="N/A"," ",$U112*(8*($BQ112))*L112)</f>
        <v> </v>
      </c>
      <c r="W112" s="320" t="str">
        <f aca="false">IF($A112="N/A"," ",$U112*(8*($BQ112))*M112)</f>
        <v> </v>
      </c>
      <c r="X112" s="320" t="str">
        <f aca="false">IF($A112="N/A"," ",$U112*(8*($BQ112))*N112)</f>
        <v> </v>
      </c>
      <c r="Y112" s="320" t="str">
        <f aca="false">IF($A112="N/A"," ",$U112*(8*($BR112))*O112)</f>
        <v> </v>
      </c>
      <c r="Z112" s="320" t="str">
        <f aca="false">IF($A112="N/A"," ",$U112*(8*($BR112))*P112)</f>
        <v> </v>
      </c>
      <c r="AA112" s="320" t="str">
        <f aca="false">IF($A112="N/A"," ",$U112*(8*($BR112))*Q112)</f>
        <v> </v>
      </c>
      <c r="AB112" s="320" t="str">
        <f aca="false">IF($A112="N/A"," ",$U112*(8*($BS112))*R112)</f>
        <v> </v>
      </c>
      <c r="AC112" s="320" t="str">
        <f aca="false">IF($A112="N/A"," ",$U112*(8*($BS112))*S112)</f>
        <v> </v>
      </c>
      <c r="AD112" s="320" t="str">
        <f aca="false">IF($A112="N/A"," ",$U112*(8*($BS112))*T112)</f>
        <v> </v>
      </c>
      <c r="AE112" s="320" t="str">
        <f aca="false">IF($A112="N/A"," ",SUM(V112:AD112))</f>
        <v> </v>
      </c>
      <c r="AF112" s="321" t="str">
        <f aca="false">IF(A112="N/A"," ",(VLOOKUP(A112,PowerVolTable,(IF(VolBMO4=2,7,IF(VolBMO4=1,6,8))),FALSE())))</f>
        <v> </v>
      </c>
      <c r="AG112" s="321" t="str">
        <f aca="false">IF(A112="N/A"," ",(VLOOKUP(A112,IntraPowerVol,(IF(VolBMO4=2,3,IF(VolBMO4=1,2,4))),FALSE())*VLOOKUP(MONTH($A112),Volscale,2)))</f>
        <v> </v>
      </c>
      <c r="AH112" s="321" t="str">
        <f aca="false">IF($A112="N/A"," ",IF(VolType4=1,AG112,AF112))</f>
        <v> </v>
      </c>
      <c r="AI112" s="321" t="str">
        <f aca="false">IF($A112="N/A"," ",(VLOOKUP($A112,OffPwrVolTable,(IF(VolBMO4=2,7,IF(VolBMO4=1,6,8))),FALSE())))</f>
        <v> </v>
      </c>
      <c r="AJ112" s="321" t="str">
        <f aca="false">IF($A112="N/A"," ",(VLOOKUP($A112,OffPwrVolTable,(IF(VolBMO4=2,3,IF(VolBMO4=1,2,4))),FALSE())*VLOOKUP(MONTH($A112),Volscale,2)))</f>
        <v> </v>
      </c>
      <c r="AK112" s="321" t="str">
        <f aca="false">IF($A112="N/A"," ",IF(VolType4=1,AJ112,AI112))</f>
        <v> </v>
      </c>
      <c r="AL112" s="321" t="str">
        <f aca="false">IF($A112="N/A"," ",IF(PV=1,0,'Pricing Inputs4'!R145))</f>
        <v> </v>
      </c>
      <c r="AM112" s="323" t="str">
        <f aca="false">IF($A112="N/A"," ",(1+AL112/2)^(-2*((EOMONTH(A112,0)+20)-DateToday)/365.25))</f>
        <v> </v>
      </c>
      <c r="BQ112" s="0" t="str">
        <f aca="false">IF($A112="N/A"," ",(VLOOKUP($A112,NumberofDaysTable,2)))</f>
        <v> </v>
      </c>
      <c r="BR112" s="0" t="str">
        <f aca="false">IF($A112="N/A"," ",(VLOOKUP($A112,NumberofDaysTable,3)))</f>
        <v> </v>
      </c>
      <c r="BS112" s="0" t="str">
        <f aca="false">IF($A112="N/A"," ",(VLOOKUP($A112,NumberofDaysTable,4)))</f>
        <v> </v>
      </c>
    </row>
    <row r="113" customFormat="false" ht="12.75" hidden="false" customHeight="false" outlineLevel="0" collapsed="false">
      <c r="A113" s="315" t="str">
        <f aca="false">IF(A112="N/A","N/A",IF(EDATE(A112,1)&gt;Inputs!$R$5,"N/A",EDATE(A112,1)))</f>
        <v>N/A</v>
      </c>
      <c r="B113" s="316" t="str">
        <f aca="false">IF(A113="N/A"," ",YEAR(A113))</f>
        <v> </v>
      </c>
      <c r="C113" s="317" t="str">
        <f aca="false">IF($A113="N/A"," ",IF(Dayrun4=10,0,IF(Scaler4=1,(VLOOKUP(A113,ScaledPrice4,4)),(VLOOKUP(A113,ScaledPrice4,2)))))</f>
        <v> </v>
      </c>
      <c r="D113" s="317" t="str">
        <f aca="false">IF(A113="N/A"," ",IF(Dayrun4&gt;=7,0,IF(Scaler4=2,VLOOKUP(A113,ScaledPrice4,2),(VLOOKUP(A113,ScaledPrice4,2))*(2-(VLOOKUP(A113,ScaledPrice4,3))))))</f>
        <v> </v>
      </c>
      <c r="E113" s="317" t="str">
        <f aca="false">IF($A113="N/A"," ",IF(AND(Dayrun4&gt;=4,Dayrun4&lt;=9),0,VLOOKUP($A113,ScaledPrice4,9)))</f>
        <v> </v>
      </c>
      <c r="F113" s="317" t="str">
        <f aca="false">IF(A113="N/A"," ",IF(OR(Dayrun4=2,Dayrun4=3,Dayrun4=5,Dayrun4=6,Dayrun4=8,Dayrun4=9),VLOOKUP(A113,ScaledPrice4,IF(Scaler4=1,6,5)),0))</f>
        <v> </v>
      </c>
      <c r="G113" s="317" t="str">
        <f aca="false">IF(A113="N/A"," ",IF(OR(Dayrun4=2,Dayrun4=3,Dayrun4=5,Dayrun4=6),IF(Scaler4=2,F113,(VLOOKUP(A113,ScaledPrice4,5))*(2-(VLOOKUP(A113,ScaledPrice4,3)))),0))</f>
        <v> </v>
      </c>
      <c r="H113" s="317" t="str">
        <f aca="false">IF($A113="N/A"," ",IF(OR(Dayrun4=2,Dayrun4=3,Dayrun4=10),VLOOKUP($A113,ScaledPrice4,9),0))</f>
        <v> </v>
      </c>
      <c r="I113" s="317" t="str">
        <f aca="false">IF(A113="N/A"," ",IF(OR(Dayrun4=3,Dayrun4=6,Dayrun4=9),(VLOOKUP(A113,ScaledPrice4,IF(Scaler4=2,7,8))),0))</f>
        <v> </v>
      </c>
      <c r="J113" s="317" t="str">
        <f aca="false">IF(A113="N/A"," ",IF(OR(Dayrun4=3,Dayrun4=6),IF(Scaler4=2,I113,(VLOOKUP(A113,ScaledPrice4,7))*(2-(VLOOKUP(A113,ScaledPrice4,3)))),0))</f>
        <v> </v>
      </c>
      <c r="K113" s="317" t="str">
        <f aca="false">IF($A113="N/A"," ",IF(OR(Dayrun4=3,Dayrun4=10),VLOOKUP($A113,ScaledPrice4,9),0))</f>
        <v> </v>
      </c>
      <c r="L113" s="318" t="str">
        <f aca="false">IF($A113="N/A"," ",IF(Pricetype4=2,MAX(C113,0),IF(OR(Pricetype4=1,Pricetype4=4),IF(C113=0,0,(EURO(C113,Strikeprice4,0,0,($AH113+IF(Smile=TRUE(),VLOOKUP(MAX(-5,Strikeprice4-C113),Volsmile,2),0)),($A113-DateToday)+15,IF(Pricetype4=1,1,0),0))),C113)))</f>
        <v> </v>
      </c>
      <c r="M113" s="318" t="str">
        <f aca="false">IF($A113="N/A"," ",IF(Pricetype4=2,MAX(D113,0),IF(OR(Pricetype4=1,Pricetype4=4),IF(D113=0,0,(EURO(D113,Strikeprice4,0,0,($AH113+IF(Smile=TRUE(),VLOOKUP(MAX(-5,Strikeprice4-D113),Volsmile,2),0)),($A113-DateToday)+15,IF(Pricetype4=1,1,0),0))),D113)))</f>
        <v> </v>
      </c>
      <c r="N113" s="318" t="str">
        <f aca="false">IF($A113="N/A"," ",IF(Pricetype4=2,MAX(E113,0),IF(OR(Pricetype4=1,Pricetype4=4),IF(E113=0,0,(EURO(E113,Strikeprice4,0,0,($AK113+IF(Smile=TRUE(),VLOOKUP(MAX(-5,Strikeprice4-E113),Volsmile,2),0)),($A113-DateToday)+15,IF(Pricetype4=1,1,0),0))),E113)))</f>
        <v> </v>
      </c>
      <c r="O113" s="318" t="str">
        <f aca="false">IF($A113="N/A"," ",IF(Pricetype4=2,MAX(F113,0),IF(OR(Pricetype4=1,Pricetype4=4),IF(F113=0,0,(EURO(F113,Strikeprice4,0,0,($AK113+IF(Smile=TRUE(),VLOOKUP(MAX(-5,Strikeprice4-F113),Volsmile,2),0)),($A113-DateToday)+15,IF(Pricetype4=1,1,0),0))),F113)))</f>
        <v> </v>
      </c>
      <c r="P113" s="318" t="str">
        <f aca="false">IF($A113="N/A"," ",IF(Pricetype4=2,MAX(G113,0),IF(OR(Pricetype4=1,Pricetype4=4),IF(G113=0,0,(EURO(G113,Strikeprice4,0,0,($AK113+IF(Smile=TRUE(),VLOOKUP(MAX(-5,Strikeprice4-G113),Volsmile,2),0)),($A113-DateToday)+15,IF(Pricetype4=1,1,0),0))),G113)))</f>
        <v> </v>
      </c>
      <c r="Q113" s="318" t="str">
        <f aca="false">IF($A113="N/A"," ",IF(Pricetype4=2,MAX(H113,0),IF(OR(Pricetype4=1,Pricetype4=4),IF(H113=0,0,(EURO(H113,Strikeprice4,0,0,($AK113+IF(Smile=TRUE(),VLOOKUP(MAX(-5,Strikeprice4-H113),Volsmile,2),0)),($A113-DateToday)+15,IF(Pricetype4=1,1,0),0))),H113)))</f>
        <v> </v>
      </c>
      <c r="R113" s="318" t="str">
        <f aca="false">IF($A113="N/A"," ",IF(Pricetype4=2,MAX(I113,0),IF(OR(Pricetype4=1,Pricetype4=4),IF(I113=0,0,(EURO(I113,Strikeprice4,0,0,($AK113+IF(Smile=TRUE(),VLOOKUP(MAX(-5,Strikeprice4-I113),Volsmile,2),0)),($A113-DateToday)+15,IF(Pricetype4=1,1,0),0))),I113)))</f>
        <v> </v>
      </c>
      <c r="S113" s="318" t="str">
        <f aca="false">IF($A113="N/A"," ",IF(Pricetype4=2,MAX(J113,0),IF(OR(Pricetype4=1,Pricetype4=4),IF(J113=0,0,(EURO(J113,Strikeprice4,0,0,($AK113+IF(Smile=TRUE(),VLOOKUP(MAX(-5,Strikeprice4-J113),Volsmile,2),0)),($A113-DateToday)+15,IF(Pricetype4=1,1,0),0))),J113)))</f>
        <v> </v>
      </c>
      <c r="T113" s="318" t="str">
        <f aca="false">IF($A113="N/A"," ",IF(Pricetype4=2,MAX(K113,0),IF(OR(Pricetype4=1,Pricetype4=4),IF(K113=0,0,(EURO(K113,Strikeprice4,0,0,($AK113+IF(Smile=TRUE(),VLOOKUP(MAX(-5,Strikeprice4-K113),Volsmile,2),0)),($A113-DateToday)+15,IF(Pricetype4=1,1,0),0))),K113)))</f>
        <v> </v>
      </c>
      <c r="U113" s="319" t="str">
        <f aca="false">IF($A113="N/A"," ",Volume4*$AM113)</f>
        <v> </v>
      </c>
      <c r="V113" s="320" t="str">
        <f aca="false">IF($A113="N/A"," ",$U113*(8*($BQ113))*L113)</f>
        <v> </v>
      </c>
      <c r="W113" s="320" t="str">
        <f aca="false">IF($A113="N/A"," ",$U113*(8*($BQ113))*M113)</f>
        <v> </v>
      </c>
      <c r="X113" s="320" t="str">
        <f aca="false">IF($A113="N/A"," ",$U113*(8*($BQ113))*N113)</f>
        <v> </v>
      </c>
      <c r="Y113" s="320" t="str">
        <f aca="false">IF($A113="N/A"," ",$U113*(8*($BR113))*O113)</f>
        <v> </v>
      </c>
      <c r="Z113" s="320" t="str">
        <f aca="false">IF($A113="N/A"," ",$U113*(8*($BR113))*P113)</f>
        <v> </v>
      </c>
      <c r="AA113" s="320" t="str">
        <f aca="false">IF($A113="N/A"," ",$U113*(8*($BR113))*Q113)</f>
        <v> </v>
      </c>
      <c r="AB113" s="320" t="str">
        <f aca="false">IF($A113="N/A"," ",$U113*(8*($BS113))*R113)</f>
        <v> </v>
      </c>
      <c r="AC113" s="320" t="str">
        <f aca="false">IF($A113="N/A"," ",$U113*(8*($BS113))*S113)</f>
        <v> </v>
      </c>
      <c r="AD113" s="320" t="str">
        <f aca="false">IF($A113="N/A"," ",$U113*(8*($BS113))*T113)</f>
        <v> </v>
      </c>
      <c r="AE113" s="320" t="str">
        <f aca="false">IF($A113="N/A"," ",SUM(V113:AD113))</f>
        <v> </v>
      </c>
      <c r="AF113" s="321" t="str">
        <f aca="false">IF(A113="N/A"," ",(VLOOKUP(A113,PowerVolTable,(IF(VolBMO4=2,7,IF(VolBMO4=1,6,8))),FALSE())))</f>
        <v> </v>
      </c>
      <c r="AG113" s="321" t="str">
        <f aca="false">IF(A113="N/A"," ",(VLOOKUP(A113,IntraPowerVol,(IF(VolBMO4=2,3,IF(VolBMO4=1,2,4))),FALSE())*VLOOKUP(MONTH($A113),Volscale,2)))</f>
        <v> </v>
      </c>
      <c r="AH113" s="321" t="str">
        <f aca="false">IF($A113="N/A"," ",IF(VolType4=1,AG113,AF113))</f>
        <v> </v>
      </c>
      <c r="AI113" s="321" t="str">
        <f aca="false">IF($A113="N/A"," ",(VLOOKUP($A113,OffPwrVolTable,(IF(VolBMO4=2,7,IF(VolBMO4=1,6,8))),FALSE())))</f>
        <v> </v>
      </c>
      <c r="AJ113" s="321" t="str">
        <f aca="false">IF($A113="N/A"," ",(VLOOKUP($A113,OffPwrVolTable,(IF(VolBMO4=2,3,IF(VolBMO4=1,2,4))),FALSE())*VLOOKUP(MONTH($A113),Volscale,2)))</f>
        <v> </v>
      </c>
      <c r="AK113" s="321" t="str">
        <f aca="false">IF($A113="N/A"," ",IF(VolType4=1,AJ113,AI113))</f>
        <v> </v>
      </c>
      <c r="AL113" s="321" t="str">
        <f aca="false">IF($A113="N/A"," ",IF(PV=1,0,'Pricing Inputs4'!R146))</f>
        <v> </v>
      </c>
      <c r="AM113" s="323" t="str">
        <f aca="false">IF($A113="N/A"," ",(1+AL113/2)^(-2*((EOMONTH(A113,0)+20)-DateToday)/365.25))</f>
        <v> </v>
      </c>
      <c r="BQ113" s="0" t="str">
        <f aca="false">IF($A113="N/A"," ",(VLOOKUP($A113,NumberofDaysTable,2)))</f>
        <v> </v>
      </c>
      <c r="BR113" s="0" t="str">
        <f aca="false">IF($A113="N/A"," ",(VLOOKUP($A113,NumberofDaysTable,3)))</f>
        <v> </v>
      </c>
      <c r="BS113" s="0" t="str">
        <f aca="false">IF($A113="N/A"," ",(VLOOKUP($A113,NumberofDaysTable,4)))</f>
        <v> </v>
      </c>
    </row>
    <row r="114" customFormat="false" ht="12.75" hidden="false" customHeight="false" outlineLevel="0" collapsed="false">
      <c r="A114" s="315" t="str">
        <f aca="false">IF(A113="N/A","N/A",IF(EDATE(A113,1)&gt;Inputs!$R$5,"N/A",EDATE(A113,1)))</f>
        <v>N/A</v>
      </c>
      <c r="B114" s="316" t="str">
        <f aca="false">IF(A114="N/A"," ",YEAR(A114))</f>
        <v> </v>
      </c>
      <c r="C114" s="317" t="str">
        <f aca="false">IF($A114="N/A"," ",IF(Dayrun4=10,0,IF(Scaler4=1,(VLOOKUP(A114,ScaledPrice4,4)),(VLOOKUP(A114,ScaledPrice4,2)))))</f>
        <v> </v>
      </c>
      <c r="D114" s="317" t="str">
        <f aca="false">IF(A114="N/A"," ",IF(Dayrun4&gt;=7,0,IF(Scaler4=2,VLOOKUP(A114,ScaledPrice4,2),(VLOOKUP(A114,ScaledPrice4,2))*(2-(VLOOKUP(A114,ScaledPrice4,3))))))</f>
        <v> </v>
      </c>
      <c r="E114" s="317" t="str">
        <f aca="false">IF($A114="N/A"," ",IF(AND(Dayrun4&gt;=4,Dayrun4&lt;=9),0,VLOOKUP($A114,ScaledPrice4,9)))</f>
        <v> </v>
      </c>
      <c r="F114" s="317" t="str">
        <f aca="false">IF(A114="N/A"," ",IF(OR(Dayrun4=2,Dayrun4=3,Dayrun4=5,Dayrun4=6,Dayrun4=8,Dayrun4=9),VLOOKUP(A114,ScaledPrice4,IF(Scaler4=1,6,5)),0))</f>
        <v> </v>
      </c>
      <c r="G114" s="317" t="str">
        <f aca="false">IF(A114="N/A"," ",IF(OR(Dayrun4=2,Dayrun4=3,Dayrun4=5,Dayrun4=6),IF(Scaler4=2,F114,(VLOOKUP(A114,ScaledPrice4,5))*(2-(VLOOKUP(A114,ScaledPrice4,3)))),0))</f>
        <v> </v>
      </c>
      <c r="H114" s="317" t="str">
        <f aca="false">IF($A114="N/A"," ",IF(OR(Dayrun4=2,Dayrun4=3,Dayrun4=10),VLOOKUP($A114,ScaledPrice4,9),0))</f>
        <v> </v>
      </c>
      <c r="I114" s="317" t="str">
        <f aca="false">IF(A114="N/A"," ",IF(OR(Dayrun4=3,Dayrun4=6,Dayrun4=9),(VLOOKUP(A114,ScaledPrice4,IF(Scaler4=2,7,8))),0))</f>
        <v> </v>
      </c>
      <c r="J114" s="317" t="str">
        <f aca="false">IF(A114="N/A"," ",IF(OR(Dayrun4=3,Dayrun4=6),IF(Scaler4=2,I114,(VLOOKUP(A114,ScaledPrice4,7))*(2-(VLOOKUP(A114,ScaledPrice4,3)))),0))</f>
        <v> </v>
      </c>
      <c r="K114" s="317" t="str">
        <f aca="false">IF($A114="N/A"," ",IF(OR(Dayrun4=3,Dayrun4=10),VLOOKUP($A114,ScaledPrice4,9),0))</f>
        <v> </v>
      </c>
      <c r="L114" s="318" t="str">
        <f aca="false">IF($A114="N/A"," ",IF(Pricetype4=2,MAX(C114,0),IF(OR(Pricetype4=1,Pricetype4=4),IF(C114=0,0,(EURO(C114,Strikeprice4,0,0,($AH114+IF(Smile=TRUE(),VLOOKUP(MAX(-5,Strikeprice4-C114),Volsmile,2),0)),($A114-DateToday)+15,IF(Pricetype4=1,1,0),0))),C114)))</f>
        <v> </v>
      </c>
      <c r="M114" s="318" t="str">
        <f aca="false">IF($A114="N/A"," ",IF(Pricetype4=2,MAX(D114,0),IF(OR(Pricetype4=1,Pricetype4=4),IF(D114=0,0,(EURO(D114,Strikeprice4,0,0,($AH114+IF(Smile=TRUE(),VLOOKUP(MAX(-5,Strikeprice4-D114),Volsmile,2),0)),($A114-DateToday)+15,IF(Pricetype4=1,1,0),0))),D114)))</f>
        <v> </v>
      </c>
      <c r="N114" s="318" t="str">
        <f aca="false">IF($A114="N/A"," ",IF(Pricetype4=2,MAX(E114,0),IF(OR(Pricetype4=1,Pricetype4=4),IF(E114=0,0,(EURO(E114,Strikeprice4,0,0,($AK114+IF(Smile=TRUE(),VLOOKUP(MAX(-5,Strikeprice4-E114),Volsmile,2),0)),($A114-DateToday)+15,IF(Pricetype4=1,1,0),0))),E114)))</f>
        <v> </v>
      </c>
      <c r="O114" s="318" t="str">
        <f aca="false">IF($A114="N/A"," ",IF(Pricetype4=2,MAX(F114,0),IF(OR(Pricetype4=1,Pricetype4=4),IF(F114=0,0,(EURO(F114,Strikeprice4,0,0,($AK114+IF(Smile=TRUE(),VLOOKUP(MAX(-5,Strikeprice4-F114),Volsmile,2),0)),($A114-DateToday)+15,IF(Pricetype4=1,1,0),0))),F114)))</f>
        <v> </v>
      </c>
      <c r="P114" s="318" t="str">
        <f aca="false">IF($A114="N/A"," ",IF(Pricetype4=2,MAX(G114,0),IF(OR(Pricetype4=1,Pricetype4=4),IF(G114=0,0,(EURO(G114,Strikeprice4,0,0,($AK114+IF(Smile=TRUE(),VLOOKUP(MAX(-5,Strikeprice4-G114),Volsmile,2),0)),($A114-DateToday)+15,IF(Pricetype4=1,1,0),0))),G114)))</f>
        <v> </v>
      </c>
      <c r="Q114" s="318" t="str">
        <f aca="false">IF($A114="N/A"," ",IF(Pricetype4=2,MAX(H114,0),IF(OR(Pricetype4=1,Pricetype4=4),IF(H114=0,0,(EURO(H114,Strikeprice4,0,0,($AK114+IF(Smile=TRUE(),VLOOKUP(MAX(-5,Strikeprice4-H114),Volsmile,2),0)),($A114-DateToday)+15,IF(Pricetype4=1,1,0),0))),H114)))</f>
        <v> </v>
      </c>
      <c r="R114" s="318" t="str">
        <f aca="false">IF($A114="N/A"," ",IF(Pricetype4=2,MAX(I114,0),IF(OR(Pricetype4=1,Pricetype4=4),IF(I114=0,0,(EURO(I114,Strikeprice4,0,0,($AK114+IF(Smile=TRUE(),VLOOKUP(MAX(-5,Strikeprice4-I114),Volsmile,2),0)),($A114-DateToday)+15,IF(Pricetype4=1,1,0),0))),I114)))</f>
        <v> </v>
      </c>
      <c r="S114" s="318" t="str">
        <f aca="false">IF($A114="N/A"," ",IF(Pricetype4=2,MAX(J114,0),IF(OR(Pricetype4=1,Pricetype4=4),IF(J114=0,0,(EURO(J114,Strikeprice4,0,0,($AK114+IF(Smile=TRUE(),VLOOKUP(MAX(-5,Strikeprice4-J114),Volsmile,2),0)),($A114-DateToday)+15,IF(Pricetype4=1,1,0),0))),J114)))</f>
        <v> </v>
      </c>
      <c r="T114" s="318" t="str">
        <f aca="false">IF($A114="N/A"," ",IF(Pricetype4=2,MAX(K114,0),IF(OR(Pricetype4=1,Pricetype4=4),IF(K114=0,0,(EURO(K114,Strikeprice4,0,0,($AK114+IF(Smile=TRUE(),VLOOKUP(MAX(-5,Strikeprice4-K114),Volsmile,2),0)),($A114-DateToday)+15,IF(Pricetype4=1,1,0),0))),K114)))</f>
        <v> </v>
      </c>
      <c r="U114" s="319" t="str">
        <f aca="false">IF($A114="N/A"," ",Volume4*$AM114)</f>
        <v> </v>
      </c>
      <c r="V114" s="320" t="str">
        <f aca="false">IF($A114="N/A"," ",$U114*(8*($BQ114))*L114)</f>
        <v> </v>
      </c>
      <c r="W114" s="320" t="str">
        <f aca="false">IF($A114="N/A"," ",$U114*(8*($BQ114))*M114)</f>
        <v> </v>
      </c>
      <c r="X114" s="320" t="str">
        <f aca="false">IF($A114="N/A"," ",$U114*(8*($BQ114))*N114)</f>
        <v> </v>
      </c>
      <c r="Y114" s="320" t="str">
        <f aca="false">IF($A114="N/A"," ",$U114*(8*($BR114))*O114)</f>
        <v> </v>
      </c>
      <c r="Z114" s="320" t="str">
        <f aca="false">IF($A114="N/A"," ",$U114*(8*($BR114))*P114)</f>
        <v> </v>
      </c>
      <c r="AA114" s="320" t="str">
        <f aca="false">IF($A114="N/A"," ",$U114*(8*($BR114))*Q114)</f>
        <v> </v>
      </c>
      <c r="AB114" s="320" t="str">
        <f aca="false">IF($A114="N/A"," ",$U114*(8*($BS114))*R114)</f>
        <v> </v>
      </c>
      <c r="AC114" s="320" t="str">
        <f aca="false">IF($A114="N/A"," ",$U114*(8*($BS114))*S114)</f>
        <v> </v>
      </c>
      <c r="AD114" s="320" t="str">
        <f aca="false">IF($A114="N/A"," ",$U114*(8*($BS114))*T114)</f>
        <v> </v>
      </c>
      <c r="AE114" s="320" t="str">
        <f aca="false">IF($A114="N/A"," ",SUM(V114:AD114))</f>
        <v> </v>
      </c>
      <c r="AF114" s="321" t="str">
        <f aca="false">IF(A114="N/A"," ",(VLOOKUP(A114,PowerVolTable,(IF(VolBMO4=2,7,IF(VolBMO4=1,6,8))),FALSE())))</f>
        <v> </v>
      </c>
      <c r="AG114" s="321" t="str">
        <f aca="false">IF(A114="N/A"," ",(VLOOKUP(A114,IntraPowerVol,(IF(VolBMO4=2,3,IF(VolBMO4=1,2,4))),FALSE())*VLOOKUP(MONTH($A114),Volscale,2)))</f>
        <v> </v>
      </c>
      <c r="AH114" s="321" t="str">
        <f aca="false">IF($A114="N/A"," ",IF(VolType4=1,AG114,AF114))</f>
        <v> </v>
      </c>
      <c r="AI114" s="321" t="str">
        <f aca="false">IF($A114="N/A"," ",(VLOOKUP($A114,OffPwrVolTable,(IF(VolBMO4=2,7,IF(VolBMO4=1,6,8))),FALSE())))</f>
        <v> </v>
      </c>
      <c r="AJ114" s="321" t="str">
        <f aca="false">IF($A114="N/A"," ",(VLOOKUP($A114,OffPwrVolTable,(IF(VolBMO4=2,3,IF(VolBMO4=1,2,4))),FALSE())*VLOOKUP(MONTH($A114),Volscale,2)))</f>
        <v> </v>
      </c>
      <c r="AK114" s="321" t="str">
        <f aca="false">IF($A114="N/A"," ",IF(VolType4=1,AJ114,AI114))</f>
        <v> </v>
      </c>
      <c r="AL114" s="321" t="str">
        <f aca="false">IF($A114="N/A"," ",IF(PV=1,0,'Pricing Inputs4'!R147))</f>
        <v> </v>
      </c>
      <c r="AM114" s="323" t="str">
        <f aca="false">IF($A114="N/A"," ",(1+AL114/2)^(-2*((EOMONTH(A114,0)+20)-DateToday)/365.25))</f>
        <v> </v>
      </c>
      <c r="BQ114" s="0" t="str">
        <f aca="false">IF($A114="N/A"," ",(VLOOKUP($A114,NumberofDaysTable,2)))</f>
        <v> </v>
      </c>
      <c r="BR114" s="0" t="str">
        <f aca="false">IF($A114="N/A"," ",(VLOOKUP($A114,NumberofDaysTable,3)))</f>
        <v> </v>
      </c>
      <c r="BS114" s="0" t="str">
        <f aca="false">IF($A114="N/A"," ",(VLOOKUP($A114,NumberofDaysTable,4)))</f>
        <v> </v>
      </c>
    </row>
    <row r="115" customFormat="false" ht="12.75" hidden="false" customHeight="false" outlineLevel="0" collapsed="false">
      <c r="A115" s="315" t="str">
        <f aca="false">IF(A114="N/A","N/A",IF(EDATE(A114,1)&gt;Inputs!$R$5,"N/A",EDATE(A114,1)))</f>
        <v>N/A</v>
      </c>
      <c r="B115" s="316" t="str">
        <f aca="false">IF(A115="N/A"," ",YEAR(A115))</f>
        <v> </v>
      </c>
      <c r="C115" s="317" t="str">
        <f aca="false">IF($A115="N/A"," ",IF(Dayrun4=10,0,IF(Scaler4=1,(VLOOKUP(A115,ScaledPrice4,4)),(VLOOKUP(A115,ScaledPrice4,2)))))</f>
        <v> </v>
      </c>
      <c r="D115" s="317" t="str">
        <f aca="false">IF(A115="N/A"," ",IF(Dayrun4&gt;=7,0,IF(Scaler4=2,VLOOKUP(A115,ScaledPrice4,2),(VLOOKUP(A115,ScaledPrice4,2))*(2-(VLOOKUP(A115,ScaledPrice4,3))))))</f>
        <v> </v>
      </c>
      <c r="E115" s="317" t="str">
        <f aca="false">IF($A115="N/A"," ",IF(AND(Dayrun4&gt;=4,Dayrun4&lt;=9),0,VLOOKUP($A115,ScaledPrice4,9)))</f>
        <v> </v>
      </c>
      <c r="F115" s="317" t="str">
        <f aca="false">IF(A115="N/A"," ",IF(OR(Dayrun4=2,Dayrun4=3,Dayrun4=5,Dayrun4=6,Dayrun4=8,Dayrun4=9),VLOOKUP(A115,ScaledPrice4,IF(Scaler4=1,6,5)),0))</f>
        <v> </v>
      </c>
      <c r="G115" s="317" t="str">
        <f aca="false">IF(A115="N/A"," ",IF(OR(Dayrun4=2,Dayrun4=3,Dayrun4=5,Dayrun4=6),IF(Scaler4=2,F115,(VLOOKUP(A115,ScaledPrice4,5))*(2-(VLOOKUP(A115,ScaledPrice4,3)))),0))</f>
        <v> </v>
      </c>
      <c r="H115" s="317" t="str">
        <f aca="false">IF($A115="N/A"," ",IF(OR(Dayrun4=2,Dayrun4=3,Dayrun4=10),VLOOKUP($A115,ScaledPrice4,9),0))</f>
        <v> </v>
      </c>
      <c r="I115" s="317" t="str">
        <f aca="false">IF(A115="N/A"," ",IF(OR(Dayrun4=3,Dayrun4=6,Dayrun4=9),(VLOOKUP(A115,ScaledPrice4,IF(Scaler4=2,7,8))),0))</f>
        <v> </v>
      </c>
      <c r="J115" s="317" t="str">
        <f aca="false">IF(A115="N/A"," ",IF(OR(Dayrun4=3,Dayrun4=6),IF(Scaler4=2,I115,(VLOOKUP(A115,ScaledPrice4,7))*(2-(VLOOKUP(A115,ScaledPrice4,3)))),0))</f>
        <v> </v>
      </c>
      <c r="K115" s="317" t="str">
        <f aca="false">IF($A115="N/A"," ",IF(OR(Dayrun4=3,Dayrun4=10),VLOOKUP($A115,ScaledPrice4,9),0))</f>
        <v> </v>
      </c>
      <c r="L115" s="318" t="str">
        <f aca="false">IF($A115="N/A"," ",IF(Pricetype4=2,MAX(C115,0),IF(OR(Pricetype4=1,Pricetype4=4),IF(C115=0,0,(EURO(C115,Strikeprice4,0,0,($AH115+IF(Smile=TRUE(),VLOOKUP(MAX(-5,Strikeprice4-C115),Volsmile,2),0)),($A115-DateToday)+15,IF(Pricetype4=1,1,0),0))),C115)))</f>
        <v> </v>
      </c>
      <c r="M115" s="318" t="str">
        <f aca="false">IF($A115="N/A"," ",IF(Pricetype4=2,MAX(D115,0),IF(OR(Pricetype4=1,Pricetype4=4),IF(D115=0,0,(EURO(D115,Strikeprice4,0,0,($AH115+IF(Smile=TRUE(),VLOOKUP(MAX(-5,Strikeprice4-D115),Volsmile,2),0)),($A115-DateToday)+15,IF(Pricetype4=1,1,0),0))),D115)))</f>
        <v> </v>
      </c>
      <c r="N115" s="318" t="str">
        <f aca="false">IF($A115="N/A"," ",IF(Pricetype4=2,MAX(E115,0),IF(OR(Pricetype4=1,Pricetype4=4),IF(E115=0,0,(EURO(E115,Strikeprice4,0,0,($AK115+IF(Smile=TRUE(),VLOOKUP(MAX(-5,Strikeprice4-E115),Volsmile,2),0)),($A115-DateToday)+15,IF(Pricetype4=1,1,0),0))),E115)))</f>
        <v> </v>
      </c>
      <c r="O115" s="318" t="str">
        <f aca="false">IF($A115="N/A"," ",IF(Pricetype4=2,MAX(F115,0),IF(OR(Pricetype4=1,Pricetype4=4),IF(F115=0,0,(EURO(F115,Strikeprice4,0,0,($AK115+IF(Smile=TRUE(),VLOOKUP(MAX(-5,Strikeprice4-F115),Volsmile,2),0)),($A115-DateToday)+15,IF(Pricetype4=1,1,0),0))),F115)))</f>
        <v> </v>
      </c>
      <c r="P115" s="318" t="str">
        <f aca="false">IF($A115="N/A"," ",IF(Pricetype4=2,MAX(G115,0),IF(OR(Pricetype4=1,Pricetype4=4),IF(G115=0,0,(EURO(G115,Strikeprice4,0,0,($AK115+IF(Smile=TRUE(),VLOOKUP(MAX(-5,Strikeprice4-G115),Volsmile,2),0)),($A115-DateToday)+15,IF(Pricetype4=1,1,0),0))),G115)))</f>
        <v> </v>
      </c>
      <c r="Q115" s="318" t="str">
        <f aca="false">IF($A115="N/A"," ",IF(Pricetype4=2,MAX(H115,0),IF(OR(Pricetype4=1,Pricetype4=4),IF(H115=0,0,(EURO(H115,Strikeprice4,0,0,($AK115+IF(Smile=TRUE(),VLOOKUP(MAX(-5,Strikeprice4-H115),Volsmile,2),0)),($A115-DateToday)+15,IF(Pricetype4=1,1,0),0))),H115)))</f>
        <v> </v>
      </c>
      <c r="R115" s="318" t="str">
        <f aca="false">IF($A115="N/A"," ",IF(Pricetype4=2,MAX(I115,0),IF(OR(Pricetype4=1,Pricetype4=4),IF(I115=0,0,(EURO(I115,Strikeprice4,0,0,($AK115+IF(Smile=TRUE(),VLOOKUP(MAX(-5,Strikeprice4-I115),Volsmile,2),0)),($A115-DateToday)+15,IF(Pricetype4=1,1,0),0))),I115)))</f>
        <v> </v>
      </c>
      <c r="S115" s="318" t="str">
        <f aca="false">IF($A115="N/A"," ",IF(Pricetype4=2,MAX(J115,0),IF(OR(Pricetype4=1,Pricetype4=4),IF(J115=0,0,(EURO(J115,Strikeprice4,0,0,($AK115+IF(Smile=TRUE(),VLOOKUP(MAX(-5,Strikeprice4-J115),Volsmile,2),0)),($A115-DateToday)+15,IF(Pricetype4=1,1,0),0))),J115)))</f>
        <v> </v>
      </c>
      <c r="T115" s="318" t="str">
        <f aca="false">IF($A115="N/A"," ",IF(Pricetype4=2,MAX(K115,0),IF(OR(Pricetype4=1,Pricetype4=4),IF(K115=0,0,(EURO(K115,Strikeprice4,0,0,($AK115+IF(Smile=TRUE(),VLOOKUP(MAX(-5,Strikeprice4-K115),Volsmile,2),0)),($A115-DateToday)+15,IF(Pricetype4=1,1,0),0))),K115)))</f>
        <v> </v>
      </c>
      <c r="U115" s="319" t="str">
        <f aca="false">IF($A115="N/A"," ",Volume4*$AM115)</f>
        <v> </v>
      </c>
      <c r="V115" s="320" t="str">
        <f aca="false">IF($A115="N/A"," ",$U115*(8*($BQ115))*L115)</f>
        <v> </v>
      </c>
      <c r="W115" s="320" t="str">
        <f aca="false">IF($A115="N/A"," ",$U115*(8*($BQ115))*M115)</f>
        <v> </v>
      </c>
      <c r="X115" s="320" t="str">
        <f aca="false">IF($A115="N/A"," ",$U115*(8*($BQ115))*N115)</f>
        <v> </v>
      </c>
      <c r="Y115" s="320" t="str">
        <f aca="false">IF($A115="N/A"," ",$U115*(8*($BR115))*O115)</f>
        <v> </v>
      </c>
      <c r="Z115" s="320" t="str">
        <f aca="false">IF($A115="N/A"," ",$U115*(8*($BR115))*P115)</f>
        <v> </v>
      </c>
      <c r="AA115" s="320" t="str">
        <f aca="false">IF($A115="N/A"," ",$U115*(8*($BR115))*Q115)</f>
        <v> </v>
      </c>
      <c r="AB115" s="320" t="str">
        <f aca="false">IF($A115="N/A"," ",$U115*(8*($BS115))*R115)</f>
        <v> </v>
      </c>
      <c r="AC115" s="320" t="str">
        <f aca="false">IF($A115="N/A"," ",$U115*(8*($BS115))*S115)</f>
        <v> </v>
      </c>
      <c r="AD115" s="320" t="str">
        <f aca="false">IF($A115="N/A"," ",$U115*(8*($BS115))*T115)</f>
        <v> </v>
      </c>
      <c r="AE115" s="320" t="str">
        <f aca="false">IF($A115="N/A"," ",SUM(V115:AD115))</f>
        <v> </v>
      </c>
      <c r="AF115" s="321" t="str">
        <f aca="false">IF(A115="N/A"," ",(VLOOKUP(A115,PowerVolTable,(IF(VolBMO4=2,7,IF(VolBMO4=1,6,8))),FALSE())))</f>
        <v> </v>
      </c>
      <c r="AG115" s="321" t="str">
        <f aca="false">IF(A115="N/A"," ",(VLOOKUP(A115,IntraPowerVol,(IF(VolBMO4=2,3,IF(VolBMO4=1,2,4))),FALSE())*VLOOKUP(MONTH($A115),Volscale,2)))</f>
        <v> </v>
      </c>
      <c r="AH115" s="321" t="str">
        <f aca="false">IF($A115="N/A"," ",IF(VolType4=1,AG115,AF115))</f>
        <v> </v>
      </c>
      <c r="AI115" s="321" t="str">
        <f aca="false">IF($A115="N/A"," ",(VLOOKUP($A115,OffPwrVolTable,(IF(VolBMO4=2,7,IF(VolBMO4=1,6,8))),FALSE())))</f>
        <v> </v>
      </c>
      <c r="AJ115" s="321" t="str">
        <f aca="false">IF($A115="N/A"," ",(VLOOKUP($A115,OffPwrVolTable,(IF(VolBMO4=2,3,IF(VolBMO4=1,2,4))),FALSE())*VLOOKUP(MONTH($A115),Volscale,2)))</f>
        <v> </v>
      </c>
      <c r="AK115" s="321" t="str">
        <f aca="false">IF($A115="N/A"," ",IF(VolType4=1,AJ115,AI115))</f>
        <v> </v>
      </c>
      <c r="AL115" s="321" t="str">
        <f aca="false">IF($A115="N/A"," ",IF(PV=1,0,'Pricing Inputs4'!R148))</f>
        <v> </v>
      </c>
      <c r="AM115" s="323" t="str">
        <f aca="false">IF($A115="N/A"," ",(1+AL115/2)^(-2*((EOMONTH(A115,0)+20)-DateToday)/365.25))</f>
        <v> </v>
      </c>
      <c r="BQ115" s="0" t="str">
        <f aca="false">IF($A115="N/A"," ",(VLOOKUP($A115,NumberofDaysTable,2)))</f>
        <v> </v>
      </c>
      <c r="BR115" s="0" t="str">
        <f aca="false">IF($A115="N/A"," ",(VLOOKUP($A115,NumberofDaysTable,3)))</f>
        <v> </v>
      </c>
      <c r="BS115" s="0" t="str">
        <f aca="false">IF($A115="N/A"," ",(VLOOKUP($A115,NumberofDaysTable,4)))</f>
        <v> </v>
      </c>
    </row>
    <row r="116" customFormat="false" ht="12.75" hidden="false" customHeight="false" outlineLevel="0" collapsed="false">
      <c r="A116" s="315" t="str">
        <f aca="false">IF(A115="N/A","N/A",IF(EDATE(A115,1)&gt;Inputs!$R$5,"N/A",EDATE(A115,1)))</f>
        <v>N/A</v>
      </c>
      <c r="B116" s="316" t="str">
        <f aca="false">IF(A116="N/A"," ",YEAR(A116))</f>
        <v> </v>
      </c>
      <c r="C116" s="317" t="str">
        <f aca="false">IF($A116="N/A"," ",IF(Dayrun4=10,0,IF(Scaler4=1,(VLOOKUP(A116,ScaledPrice4,4)),(VLOOKUP(A116,ScaledPrice4,2)))))</f>
        <v> </v>
      </c>
      <c r="D116" s="317" t="str">
        <f aca="false">IF(A116="N/A"," ",IF(Dayrun4&gt;=7,0,IF(Scaler4=2,VLOOKUP(A116,ScaledPrice4,2),(VLOOKUP(A116,ScaledPrice4,2))*(2-(VLOOKUP(A116,ScaledPrice4,3))))))</f>
        <v> </v>
      </c>
      <c r="E116" s="317" t="str">
        <f aca="false">IF($A116="N/A"," ",IF(AND(Dayrun4&gt;=4,Dayrun4&lt;=9),0,VLOOKUP($A116,ScaledPrice4,9)))</f>
        <v> </v>
      </c>
      <c r="F116" s="317" t="str">
        <f aca="false">IF(A116="N/A"," ",IF(OR(Dayrun4=2,Dayrun4=3,Dayrun4=5,Dayrun4=6,Dayrun4=8,Dayrun4=9),VLOOKUP(A116,ScaledPrice4,IF(Scaler4=1,6,5)),0))</f>
        <v> </v>
      </c>
      <c r="G116" s="317" t="str">
        <f aca="false">IF(A116="N/A"," ",IF(OR(Dayrun4=2,Dayrun4=3,Dayrun4=5,Dayrun4=6),IF(Scaler4=2,F116,(VLOOKUP(A116,ScaledPrice4,5))*(2-(VLOOKUP(A116,ScaledPrice4,3)))),0))</f>
        <v> </v>
      </c>
      <c r="H116" s="317" t="str">
        <f aca="false">IF($A116="N/A"," ",IF(OR(Dayrun4=2,Dayrun4=3,Dayrun4=10),VLOOKUP($A116,ScaledPrice4,9),0))</f>
        <v> </v>
      </c>
      <c r="I116" s="317" t="str">
        <f aca="false">IF(A116="N/A"," ",IF(OR(Dayrun4=3,Dayrun4=6,Dayrun4=9),(VLOOKUP(A116,ScaledPrice4,IF(Scaler4=2,7,8))),0))</f>
        <v> </v>
      </c>
      <c r="J116" s="317" t="str">
        <f aca="false">IF(A116="N/A"," ",IF(OR(Dayrun4=3,Dayrun4=6),IF(Scaler4=2,I116,(VLOOKUP(A116,ScaledPrice4,7))*(2-(VLOOKUP(A116,ScaledPrice4,3)))),0))</f>
        <v> </v>
      </c>
      <c r="K116" s="317" t="str">
        <f aca="false">IF($A116="N/A"," ",IF(OR(Dayrun4=3,Dayrun4=10),VLOOKUP($A116,ScaledPrice4,9),0))</f>
        <v> </v>
      </c>
      <c r="L116" s="318" t="str">
        <f aca="false">IF($A116="N/A"," ",IF(Pricetype4=2,MAX(C116,0),IF(OR(Pricetype4=1,Pricetype4=4),IF(C116=0,0,(EURO(C116,Strikeprice4,0,0,($AH116+IF(Smile=TRUE(),VLOOKUP(MAX(-5,Strikeprice4-C116),Volsmile,2),0)),($A116-DateToday)+15,IF(Pricetype4=1,1,0),0))),C116)))</f>
        <v> </v>
      </c>
      <c r="M116" s="318" t="str">
        <f aca="false">IF($A116="N/A"," ",IF(Pricetype4=2,MAX(D116,0),IF(OR(Pricetype4=1,Pricetype4=4),IF(D116=0,0,(EURO(D116,Strikeprice4,0,0,($AH116+IF(Smile=TRUE(),VLOOKUP(MAX(-5,Strikeprice4-D116),Volsmile,2),0)),($A116-DateToday)+15,IF(Pricetype4=1,1,0),0))),D116)))</f>
        <v> </v>
      </c>
      <c r="N116" s="318" t="str">
        <f aca="false">IF($A116="N/A"," ",IF(Pricetype4=2,MAX(E116,0),IF(OR(Pricetype4=1,Pricetype4=4),IF(E116=0,0,(EURO(E116,Strikeprice4,0,0,($AK116+IF(Smile=TRUE(),VLOOKUP(MAX(-5,Strikeprice4-E116),Volsmile,2),0)),($A116-DateToday)+15,IF(Pricetype4=1,1,0),0))),E116)))</f>
        <v> </v>
      </c>
      <c r="O116" s="318" t="str">
        <f aca="false">IF($A116="N/A"," ",IF(Pricetype4=2,MAX(F116,0),IF(OR(Pricetype4=1,Pricetype4=4),IF(F116=0,0,(EURO(F116,Strikeprice4,0,0,($AK116+IF(Smile=TRUE(),VLOOKUP(MAX(-5,Strikeprice4-F116),Volsmile,2),0)),($A116-DateToday)+15,IF(Pricetype4=1,1,0),0))),F116)))</f>
        <v> </v>
      </c>
      <c r="P116" s="318" t="str">
        <f aca="false">IF($A116="N/A"," ",IF(Pricetype4=2,MAX(G116,0),IF(OR(Pricetype4=1,Pricetype4=4),IF(G116=0,0,(EURO(G116,Strikeprice4,0,0,($AK116+IF(Smile=TRUE(),VLOOKUP(MAX(-5,Strikeprice4-G116),Volsmile,2),0)),($A116-DateToday)+15,IF(Pricetype4=1,1,0),0))),G116)))</f>
        <v> </v>
      </c>
      <c r="Q116" s="318" t="str">
        <f aca="false">IF($A116="N/A"," ",IF(Pricetype4=2,MAX(H116,0),IF(OR(Pricetype4=1,Pricetype4=4),IF(H116=0,0,(EURO(H116,Strikeprice4,0,0,($AK116+IF(Smile=TRUE(),VLOOKUP(MAX(-5,Strikeprice4-H116),Volsmile,2),0)),($A116-DateToday)+15,IF(Pricetype4=1,1,0),0))),H116)))</f>
        <v> </v>
      </c>
      <c r="R116" s="318" t="str">
        <f aca="false">IF($A116="N/A"," ",IF(Pricetype4=2,MAX(I116,0),IF(OR(Pricetype4=1,Pricetype4=4),IF(I116=0,0,(EURO(I116,Strikeprice4,0,0,($AK116+IF(Smile=TRUE(),VLOOKUP(MAX(-5,Strikeprice4-I116),Volsmile,2),0)),($A116-DateToday)+15,IF(Pricetype4=1,1,0),0))),I116)))</f>
        <v> </v>
      </c>
      <c r="S116" s="318" t="str">
        <f aca="false">IF($A116="N/A"," ",IF(Pricetype4=2,MAX(J116,0),IF(OR(Pricetype4=1,Pricetype4=4),IF(J116=0,0,(EURO(J116,Strikeprice4,0,0,($AK116+IF(Smile=TRUE(),VLOOKUP(MAX(-5,Strikeprice4-J116),Volsmile,2),0)),($A116-DateToday)+15,IF(Pricetype4=1,1,0),0))),J116)))</f>
        <v> </v>
      </c>
      <c r="T116" s="318" t="str">
        <f aca="false">IF($A116="N/A"," ",IF(Pricetype4=2,MAX(K116,0),IF(OR(Pricetype4=1,Pricetype4=4),IF(K116=0,0,(EURO(K116,Strikeprice4,0,0,($AK116+IF(Smile=TRUE(),VLOOKUP(MAX(-5,Strikeprice4-K116),Volsmile,2),0)),($A116-DateToday)+15,IF(Pricetype4=1,1,0),0))),K116)))</f>
        <v> </v>
      </c>
      <c r="U116" s="319" t="str">
        <f aca="false">IF($A116="N/A"," ",Volume4*$AM116)</f>
        <v> </v>
      </c>
      <c r="V116" s="320" t="str">
        <f aca="false">IF($A116="N/A"," ",$U116*(8*($BQ116))*L116)</f>
        <v> </v>
      </c>
      <c r="W116" s="320" t="str">
        <f aca="false">IF($A116="N/A"," ",$U116*(8*($BQ116))*M116)</f>
        <v> </v>
      </c>
      <c r="X116" s="320" t="str">
        <f aca="false">IF($A116="N/A"," ",$U116*(8*($BQ116))*N116)</f>
        <v> </v>
      </c>
      <c r="Y116" s="320" t="str">
        <f aca="false">IF($A116="N/A"," ",$U116*(8*($BR116))*O116)</f>
        <v> </v>
      </c>
      <c r="Z116" s="320" t="str">
        <f aca="false">IF($A116="N/A"," ",$U116*(8*($BR116))*P116)</f>
        <v> </v>
      </c>
      <c r="AA116" s="320" t="str">
        <f aca="false">IF($A116="N/A"," ",$U116*(8*($BR116))*Q116)</f>
        <v> </v>
      </c>
      <c r="AB116" s="320" t="str">
        <f aca="false">IF($A116="N/A"," ",$U116*(8*($BS116))*R116)</f>
        <v> </v>
      </c>
      <c r="AC116" s="320" t="str">
        <f aca="false">IF($A116="N/A"," ",$U116*(8*($BS116))*S116)</f>
        <v> </v>
      </c>
      <c r="AD116" s="320" t="str">
        <f aca="false">IF($A116="N/A"," ",$U116*(8*($BS116))*T116)</f>
        <v> </v>
      </c>
      <c r="AE116" s="320" t="str">
        <f aca="false">IF($A116="N/A"," ",SUM(V116:AD116))</f>
        <v> </v>
      </c>
      <c r="AF116" s="321" t="str">
        <f aca="false">IF(A116="N/A"," ",(VLOOKUP(A116,PowerVolTable,(IF(VolBMO4=2,7,IF(VolBMO4=1,6,8))),FALSE())))</f>
        <v> </v>
      </c>
      <c r="AG116" s="321" t="str">
        <f aca="false">IF(A116="N/A"," ",(VLOOKUP(A116,IntraPowerVol,(IF(VolBMO4=2,3,IF(VolBMO4=1,2,4))),FALSE())*VLOOKUP(MONTH($A116),Volscale,2)))</f>
        <v> </v>
      </c>
      <c r="AH116" s="321" t="str">
        <f aca="false">IF($A116="N/A"," ",IF(VolType4=1,AG116,AF116))</f>
        <v> </v>
      </c>
      <c r="AI116" s="321" t="str">
        <f aca="false">IF($A116="N/A"," ",(VLOOKUP($A116,OffPwrVolTable,(IF(VolBMO4=2,7,IF(VolBMO4=1,6,8))),FALSE())))</f>
        <v> </v>
      </c>
      <c r="AJ116" s="321" t="str">
        <f aca="false">IF($A116="N/A"," ",(VLOOKUP($A116,OffPwrVolTable,(IF(VolBMO4=2,3,IF(VolBMO4=1,2,4))),FALSE())*VLOOKUP(MONTH($A116),Volscale,2)))</f>
        <v> </v>
      </c>
      <c r="AK116" s="321" t="str">
        <f aca="false">IF($A116="N/A"," ",IF(VolType4=1,AJ116,AI116))</f>
        <v> </v>
      </c>
      <c r="AL116" s="321" t="str">
        <f aca="false">IF($A116="N/A"," ",IF(PV=1,0,'Pricing Inputs4'!R149))</f>
        <v> </v>
      </c>
      <c r="AM116" s="323" t="str">
        <f aca="false">IF($A116="N/A"," ",(1+AL116/2)^(-2*((EOMONTH(A116,0)+20)-DateToday)/365.25))</f>
        <v> </v>
      </c>
      <c r="BQ116" s="0" t="str">
        <f aca="false">IF($A116="N/A"," ",(VLOOKUP($A116,NumberofDaysTable,2)))</f>
        <v> </v>
      </c>
      <c r="BR116" s="0" t="str">
        <f aca="false">IF($A116="N/A"," ",(VLOOKUP($A116,NumberofDaysTable,3)))</f>
        <v> </v>
      </c>
      <c r="BS116" s="0" t="str">
        <f aca="false">IF($A116="N/A"," ",(VLOOKUP($A116,NumberofDaysTable,4)))</f>
        <v> </v>
      </c>
    </row>
    <row r="117" customFormat="false" ht="12.75" hidden="false" customHeight="false" outlineLevel="0" collapsed="false">
      <c r="A117" s="315" t="str">
        <f aca="false">IF(A116="N/A","N/A",IF(EDATE(A116,1)&gt;Inputs!$R$5,"N/A",EDATE(A116,1)))</f>
        <v>N/A</v>
      </c>
      <c r="B117" s="316" t="str">
        <f aca="false">IF(A117="N/A"," ",YEAR(A117))</f>
        <v> </v>
      </c>
      <c r="C117" s="317" t="str">
        <f aca="false">IF($A117="N/A"," ",IF(Dayrun4=10,0,IF(Scaler4=1,(VLOOKUP(A117,ScaledPrice4,4)),(VLOOKUP(A117,ScaledPrice4,2)))))</f>
        <v> </v>
      </c>
      <c r="D117" s="317" t="str">
        <f aca="false">IF(A117="N/A"," ",IF(Dayrun4&gt;=7,0,IF(Scaler4=2,VLOOKUP(A117,ScaledPrice4,2),(VLOOKUP(A117,ScaledPrice4,2))*(2-(VLOOKUP(A117,ScaledPrice4,3))))))</f>
        <v> </v>
      </c>
      <c r="E117" s="317" t="str">
        <f aca="false">IF($A117="N/A"," ",IF(AND(Dayrun4&gt;=4,Dayrun4&lt;=9),0,VLOOKUP($A117,ScaledPrice4,9)))</f>
        <v> </v>
      </c>
      <c r="F117" s="317" t="str">
        <f aca="false">IF(A117="N/A"," ",IF(OR(Dayrun4=2,Dayrun4=3,Dayrun4=5,Dayrun4=6,Dayrun4=8,Dayrun4=9),VLOOKUP(A117,ScaledPrice4,IF(Scaler4=1,6,5)),0))</f>
        <v> </v>
      </c>
      <c r="G117" s="317" t="str">
        <f aca="false">IF(A117="N/A"," ",IF(OR(Dayrun4=2,Dayrun4=3,Dayrun4=5,Dayrun4=6),IF(Scaler4=2,F117,(VLOOKUP(A117,ScaledPrice4,5))*(2-(VLOOKUP(A117,ScaledPrice4,3)))),0))</f>
        <v> </v>
      </c>
      <c r="H117" s="317" t="str">
        <f aca="false">IF($A117="N/A"," ",IF(OR(Dayrun4=2,Dayrun4=3,Dayrun4=10),VLOOKUP($A117,ScaledPrice4,9),0))</f>
        <v> </v>
      </c>
      <c r="I117" s="317" t="str">
        <f aca="false">IF(A117="N/A"," ",IF(OR(Dayrun4=3,Dayrun4=6,Dayrun4=9),(VLOOKUP(A117,ScaledPrice4,IF(Scaler4=2,7,8))),0))</f>
        <v> </v>
      </c>
      <c r="J117" s="317" t="str">
        <f aca="false">IF(A117="N/A"," ",IF(OR(Dayrun4=3,Dayrun4=6),IF(Scaler4=2,I117,(VLOOKUP(A117,ScaledPrice4,7))*(2-(VLOOKUP(A117,ScaledPrice4,3)))),0))</f>
        <v> </v>
      </c>
      <c r="K117" s="317" t="str">
        <f aca="false">IF($A117="N/A"," ",IF(OR(Dayrun4=3,Dayrun4=10),VLOOKUP($A117,ScaledPrice4,9),0))</f>
        <v> </v>
      </c>
      <c r="L117" s="318" t="str">
        <f aca="false">IF($A117="N/A"," ",IF(Pricetype4=2,MAX(C117,0),IF(OR(Pricetype4=1,Pricetype4=4),IF(C117=0,0,(EURO(C117,Strikeprice4,0,0,($AH117+IF(Smile=TRUE(),VLOOKUP(MAX(-5,Strikeprice4-C117),Volsmile,2),0)),($A117-DateToday)+15,IF(Pricetype4=1,1,0),0))),C117)))</f>
        <v> </v>
      </c>
      <c r="M117" s="318" t="str">
        <f aca="false">IF($A117="N/A"," ",IF(Pricetype4=2,MAX(D117,0),IF(OR(Pricetype4=1,Pricetype4=4),IF(D117=0,0,(EURO(D117,Strikeprice4,0,0,($AH117+IF(Smile=TRUE(),VLOOKUP(MAX(-5,Strikeprice4-D117),Volsmile,2),0)),($A117-DateToday)+15,IF(Pricetype4=1,1,0),0))),D117)))</f>
        <v> </v>
      </c>
      <c r="N117" s="318" t="str">
        <f aca="false">IF($A117="N/A"," ",IF(Pricetype4=2,MAX(E117,0),IF(OR(Pricetype4=1,Pricetype4=4),IF(E117=0,0,(EURO(E117,Strikeprice4,0,0,($AK117+IF(Smile=TRUE(),VLOOKUP(MAX(-5,Strikeprice4-E117),Volsmile,2),0)),($A117-DateToday)+15,IF(Pricetype4=1,1,0),0))),E117)))</f>
        <v> </v>
      </c>
      <c r="O117" s="318" t="str">
        <f aca="false">IF($A117="N/A"," ",IF(Pricetype4=2,MAX(F117,0),IF(OR(Pricetype4=1,Pricetype4=4),IF(F117=0,0,(EURO(F117,Strikeprice4,0,0,($AK117+IF(Smile=TRUE(),VLOOKUP(MAX(-5,Strikeprice4-F117),Volsmile,2),0)),($A117-DateToday)+15,IF(Pricetype4=1,1,0),0))),F117)))</f>
        <v> </v>
      </c>
      <c r="P117" s="318" t="str">
        <f aca="false">IF($A117="N/A"," ",IF(Pricetype4=2,MAX(G117,0),IF(OR(Pricetype4=1,Pricetype4=4),IF(G117=0,0,(EURO(G117,Strikeprice4,0,0,($AK117+IF(Smile=TRUE(),VLOOKUP(MAX(-5,Strikeprice4-G117),Volsmile,2),0)),($A117-DateToday)+15,IF(Pricetype4=1,1,0),0))),G117)))</f>
        <v> </v>
      </c>
      <c r="Q117" s="318" t="str">
        <f aca="false">IF($A117="N/A"," ",IF(Pricetype4=2,MAX(H117,0),IF(OR(Pricetype4=1,Pricetype4=4),IF(H117=0,0,(EURO(H117,Strikeprice4,0,0,($AK117+IF(Smile=TRUE(),VLOOKUP(MAX(-5,Strikeprice4-H117),Volsmile,2),0)),($A117-DateToday)+15,IF(Pricetype4=1,1,0),0))),H117)))</f>
        <v> </v>
      </c>
      <c r="R117" s="318" t="str">
        <f aca="false">IF($A117="N/A"," ",IF(Pricetype4=2,MAX(I117,0),IF(OR(Pricetype4=1,Pricetype4=4),IF(I117=0,0,(EURO(I117,Strikeprice4,0,0,($AK117+IF(Smile=TRUE(),VLOOKUP(MAX(-5,Strikeprice4-I117),Volsmile,2),0)),($A117-DateToday)+15,IF(Pricetype4=1,1,0),0))),I117)))</f>
        <v> </v>
      </c>
      <c r="S117" s="318" t="str">
        <f aca="false">IF($A117="N/A"," ",IF(Pricetype4=2,MAX(J117,0),IF(OR(Pricetype4=1,Pricetype4=4),IF(J117=0,0,(EURO(J117,Strikeprice4,0,0,($AK117+IF(Smile=TRUE(),VLOOKUP(MAX(-5,Strikeprice4-J117),Volsmile,2),0)),($A117-DateToday)+15,IF(Pricetype4=1,1,0),0))),J117)))</f>
        <v> </v>
      </c>
      <c r="T117" s="318" t="str">
        <f aca="false">IF($A117="N/A"," ",IF(Pricetype4=2,MAX(K117,0),IF(OR(Pricetype4=1,Pricetype4=4),IF(K117=0,0,(EURO(K117,Strikeprice4,0,0,($AK117+IF(Smile=TRUE(),VLOOKUP(MAX(-5,Strikeprice4-K117),Volsmile,2),0)),($A117-DateToday)+15,IF(Pricetype4=1,1,0),0))),K117)))</f>
        <v> </v>
      </c>
      <c r="U117" s="319" t="str">
        <f aca="false">IF($A117="N/A"," ",Volume4*$AM117)</f>
        <v> </v>
      </c>
      <c r="V117" s="320" t="str">
        <f aca="false">IF($A117="N/A"," ",$U117*(8*($BQ117))*L117)</f>
        <v> </v>
      </c>
      <c r="W117" s="320" t="str">
        <f aca="false">IF($A117="N/A"," ",$U117*(8*($BQ117))*M117)</f>
        <v> </v>
      </c>
      <c r="X117" s="320" t="str">
        <f aca="false">IF($A117="N/A"," ",$U117*(8*($BQ117))*N117)</f>
        <v> </v>
      </c>
      <c r="Y117" s="320" t="str">
        <f aca="false">IF($A117="N/A"," ",$U117*(8*($BR117))*O117)</f>
        <v> </v>
      </c>
      <c r="Z117" s="320" t="str">
        <f aca="false">IF($A117="N/A"," ",$U117*(8*($BR117))*P117)</f>
        <v> </v>
      </c>
      <c r="AA117" s="320" t="str">
        <f aca="false">IF($A117="N/A"," ",$U117*(8*($BR117))*Q117)</f>
        <v> </v>
      </c>
      <c r="AB117" s="320" t="str">
        <f aca="false">IF($A117="N/A"," ",$U117*(8*($BS117))*R117)</f>
        <v> </v>
      </c>
      <c r="AC117" s="320" t="str">
        <f aca="false">IF($A117="N/A"," ",$U117*(8*($BS117))*S117)</f>
        <v> </v>
      </c>
      <c r="AD117" s="320" t="str">
        <f aca="false">IF($A117="N/A"," ",$U117*(8*($BS117))*T117)</f>
        <v> </v>
      </c>
      <c r="AE117" s="320" t="str">
        <f aca="false">IF($A117="N/A"," ",SUM(V117:AD117))</f>
        <v> </v>
      </c>
      <c r="AF117" s="321" t="str">
        <f aca="false">IF(A117="N/A"," ",(VLOOKUP(A117,PowerVolTable,(IF(VolBMO4=2,7,IF(VolBMO4=1,6,8))),FALSE())))</f>
        <v> </v>
      </c>
      <c r="AG117" s="321" t="str">
        <f aca="false">IF(A117="N/A"," ",(VLOOKUP(A117,IntraPowerVol,(IF(VolBMO4=2,3,IF(VolBMO4=1,2,4))),FALSE())*VLOOKUP(MONTH($A117),Volscale,2)))</f>
        <v> </v>
      </c>
      <c r="AH117" s="321" t="str">
        <f aca="false">IF($A117="N/A"," ",IF(VolType4=1,AG117,AF117))</f>
        <v> </v>
      </c>
      <c r="AI117" s="321" t="str">
        <f aca="false">IF($A117="N/A"," ",(VLOOKUP($A117,OffPwrVolTable,(IF(VolBMO4=2,7,IF(VolBMO4=1,6,8))),FALSE())))</f>
        <v> </v>
      </c>
      <c r="AJ117" s="321" t="str">
        <f aca="false">IF($A117="N/A"," ",(VLOOKUP($A117,OffPwrVolTable,(IF(VolBMO4=2,3,IF(VolBMO4=1,2,4))),FALSE())*VLOOKUP(MONTH($A117),Volscale,2)))</f>
        <v> </v>
      </c>
      <c r="AK117" s="321" t="str">
        <f aca="false">IF($A117="N/A"," ",IF(VolType4=1,AJ117,AI117))</f>
        <v> </v>
      </c>
      <c r="AL117" s="321" t="str">
        <f aca="false">IF($A117="N/A"," ",IF(PV=1,0,'Pricing Inputs4'!R150))</f>
        <v> </v>
      </c>
      <c r="AM117" s="323" t="str">
        <f aca="false">IF($A117="N/A"," ",(1+AL117/2)^(-2*((EOMONTH(A117,0)+20)-DateToday)/365.25))</f>
        <v> </v>
      </c>
      <c r="BQ117" s="0" t="str">
        <f aca="false">IF($A117="N/A"," ",(VLOOKUP($A117,NumberofDaysTable,2)))</f>
        <v> </v>
      </c>
      <c r="BR117" s="0" t="str">
        <f aca="false">IF($A117="N/A"," ",(VLOOKUP($A117,NumberofDaysTable,3)))</f>
        <v> </v>
      </c>
      <c r="BS117" s="0" t="str">
        <f aca="false">IF($A117="N/A"," ",(VLOOKUP($A117,NumberofDaysTable,4)))</f>
        <v> </v>
      </c>
    </row>
    <row r="118" customFormat="false" ht="12.75" hidden="false" customHeight="false" outlineLevel="0" collapsed="false">
      <c r="A118" s="315" t="str">
        <f aca="false">IF(A117="N/A","N/A",IF(EDATE(A117,1)&gt;Inputs!$R$5,"N/A",EDATE(A117,1)))</f>
        <v>N/A</v>
      </c>
      <c r="B118" s="316" t="str">
        <f aca="false">IF(A118="N/A"," ",YEAR(A118))</f>
        <v> </v>
      </c>
      <c r="C118" s="317" t="str">
        <f aca="false">IF($A118="N/A"," ",IF(Dayrun4=10,0,IF(Scaler4=1,(VLOOKUP(A118,ScaledPrice4,4)),(VLOOKUP(A118,ScaledPrice4,2)))))</f>
        <v> </v>
      </c>
      <c r="D118" s="317" t="str">
        <f aca="false">IF(A118="N/A"," ",IF(Dayrun4&gt;=7,0,IF(Scaler4=2,VLOOKUP(A118,ScaledPrice4,2),(VLOOKUP(A118,ScaledPrice4,2))*(2-(VLOOKUP(A118,ScaledPrice4,3))))))</f>
        <v> </v>
      </c>
      <c r="E118" s="317" t="str">
        <f aca="false">IF($A118="N/A"," ",IF(AND(Dayrun4&gt;=4,Dayrun4&lt;=9),0,VLOOKUP($A118,ScaledPrice4,9)))</f>
        <v> </v>
      </c>
      <c r="F118" s="317" t="str">
        <f aca="false">IF(A118="N/A"," ",IF(OR(Dayrun4=2,Dayrun4=3,Dayrun4=5,Dayrun4=6,Dayrun4=8,Dayrun4=9),VLOOKUP(A118,ScaledPrice4,IF(Scaler4=1,6,5)),0))</f>
        <v> </v>
      </c>
      <c r="G118" s="317" t="str">
        <f aca="false">IF(A118="N/A"," ",IF(OR(Dayrun4=2,Dayrun4=3,Dayrun4=5,Dayrun4=6),IF(Scaler4=2,F118,(VLOOKUP(A118,ScaledPrice4,5))*(2-(VLOOKUP(A118,ScaledPrice4,3)))),0))</f>
        <v> </v>
      </c>
      <c r="H118" s="317" t="str">
        <f aca="false">IF($A118="N/A"," ",IF(OR(Dayrun4=2,Dayrun4=3,Dayrun4=10),VLOOKUP($A118,ScaledPrice4,9),0))</f>
        <v> </v>
      </c>
      <c r="I118" s="317" t="str">
        <f aca="false">IF(A118="N/A"," ",IF(OR(Dayrun4=3,Dayrun4=6,Dayrun4=9),(VLOOKUP(A118,ScaledPrice4,IF(Scaler4=2,7,8))),0))</f>
        <v> </v>
      </c>
      <c r="J118" s="317" t="str">
        <f aca="false">IF(A118="N/A"," ",IF(OR(Dayrun4=3,Dayrun4=6),IF(Scaler4=2,I118,(VLOOKUP(A118,ScaledPrice4,7))*(2-(VLOOKUP(A118,ScaledPrice4,3)))),0))</f>
        <v> </v>
      </c>
      <c r="K118" s="317" t="str">
        <f aca="false">IF($A118="N/A"," ",IF(OR(Dayrun4=3,Dayrun4=10),VLOOKUP($A118,ScaledPrice4,9),0))</f>
        <v> </v>
      </c>
      <c r="L118" s="318" t="str">
        <f aca="false">IF($A118="N/A"," ",IF(Pricetype4=2,MAX(C118,0),IF(OR(Pricetype4=1,Pricetype4=4),IF(C118=0,0,(EURO(C118,Strikeprice4,0,0,($AH118+IF(Smile=TRUE(),VLOOKUP(MAX(-5,Strikeprice4-C118),Volsmile,2),0)),($A118-DateToday)+15,IF(Pricetype4=1,1,0),0))),C118)))</f>
        <v> </v>
      </c>
      <c r="M118" s="318" t="str">
        <f aca="false">IF($A118="N/A"," ",IF(Pricetype4=2,MAX(D118,0),IF(OR(Pricetype4=1,Pricetype4=4),IF(D118=0,0,(EURO(D118,Strikeprice4,0,0,($AH118+IF(Smile=TRUE(),VLOOKUP(MAX(-5,Strikeprice4-D118),Volsmile,2),0)),($A118-DateToday)+15,IF(Pricetype4=1,1,0),0))),D118)))</f>
        <v> </v>
      </c>
      <c r="N118" s="318" t="str">
        <f aca="false">IF($A118="N/A"," ",IF(Pricetype4=2,MAX(E118,0),IF(OR(Pricetype4=1,Pricetype4=4),IF(E118=0,0,(EURO(E118,Strikeprice4,0,0,($AK118+IF(Smile=TRUE(),VLOOKUP(MAX(-5,Strikeprice4-E118),Volsmile,2),0)),($A118-DateToday)+15,IF(Pricetype4=1,1,0),0))),E118)))</f>
        <v> </v>
      </c>
      <c r="O118" s="318" t="str">
        <f aca="false">IF($A118="N/A"," ",IF(Pricetype4=2,MAX(F118,0),IF(OR(Pricetype4=1,Pricetype4=4),IF(F118=0,0,(EURO(F118,Strikeprice4,0,0,($AK118+IF(Smile=TRUE(),VLOOKUP(MAX(-5,Strikeprice4-F118),Volsmile,2),0)),($A118-DateToday)+15,IF(Pricetype4=1,1,0),0))),F118)))</f>
        <v> </v>
      </c>
      <c r="P118" s="318" t="str">
        <f aca="false">IF($A118="N/A"," ",IF(Pricetype4=2,MAX(G118,0),IF(OR(Pricetype4=1,Pricetype4=4),IF(G118=0,0,(EURO(G118,Strikeprice4,0,0,($AK118+IF(Smile=TRUE(),VLOOKUP(MAX(-5,Strikeprice4-G118),Volsmile,2),0)),($A118-DateToday)+15,IF(Pricetype4=1,1,0),0))),G118)))</f>
        <v> </v>
      </c>
      <c r="Q118" s="318" t="str">
        <f aca="false">IF($A118="N/A"," ",IF(Pricetype4=2,MAX(H118,0),IF(OR(Pricetype4=1,Pricetype4=4),IF(H118=0,0,(EURO(H118,Strikeprice4,0,0,($AK118+IF(Smile=TRUE(),VLOOKUP(MAX(-5,Strikeprice4-H118),Volsmile,2),0)),($A118-DateToday)+15,IF(Pricetype4=1,1,0),0))),H118)))</f>
        <v> </v>
      </c>
      <c r="R118" s="318" t="str">
        <f aca="false">IF($A118="N/A"," ",IF(Pricetype4=2,MAX(I118,0),IF(OR(Pricetype4=1,Pricetype4=4),IF(I118=0,0,(EURO(I118,Strikeprice4,0,0,($AK118+IF(Smile=TRUE(),VLOOKUP(MAX(-5,Strikeprice4-I118),Volsmile,2),0)),($A118-DateToday)+15,IF(Pricetype4=1,1,0),0))),I118)))</f>
        <v> </v>
      </c>
      <c r="S118" s="318" t="str">
        <f aca="false">IF($A118="N/A"," ",IF(Pricetype4=2,MAX(J118,0),IF(OR(Pricetype4=1,Pricetype4=4),IF(J118=0,0,(EURO(J118,Strikeprice4,0,0,($AK118+IF(Smile=TRUE(),VLOOKUP(MAX(-5,Strikeprice4-J118),Volsmile,2),0)),($A118-DateToday)+15,IF(Pricetype4=1,1,0),0))),J118)))</f>
        <v> </v>
      </c>
      <c r="T118" s="318" t="str">
        <f aca="false">IF($A118="N/A"," ",IF(Pricetype4=2,MAX(K118,0),IF(OR(Pricetype4=1,Pricetype4=4),IF(K118=0,0,(EURO(K118,Strikeprice4,0,0,($AK118+IF(Smile=TRUE(),VLOOKUP(MAX(-5,Strikeprice4-K118),Volsmile,2),0)),($A118-DateToday)+15,IF(Pricetype4=1,1,0),0))),K118)))</f>
        <v> </v>
      </c>
      <c r="U118" s="319" t="str">
        <f aca="false">IF($A118="N/A"," ",Volume4*$AM118)</f>
        <v> </v>
      </c>
      <c r="V118" s="320" t="str">
        <f aca="false">IF($A118="N/A"," ",$U118*(8*($BQ118))*L118)</f>
        <v> </v>
      </c>
      <c r="W118" s="320" t="str">
        <f aca="false">IF($A118="N/A"," ",$U118*(8*($BQ118))*M118)</f>
        <v> </v>
      </c>
      <c r="X118" s="320" t="str">
        <f aca="false">IF($A118="N/A"," ",$U118*(8*($BQ118))*N118)</f>
        <v> </v>
      </c>
      <c r="Y118" s="320" t="str">
        <f aca="false">IF($A118="N/A"," ",$U118*(8*($BR118))*O118)</f>
        <v> </v>
      </c>
      <c r="Z118" s="320" t="str">
        <f aca="false">IF($A118="N/A"," ",$U118*(8*($BR118))*P118)</f>
        <v> </v>
      </c>
      <c r="AA118" s="320" t="str">
        <f aca="false">IF($A118="N/A"," ",$U118*(8*($BR118))*Q118)</f>
        <v> </v>
      </c>
      <c r="AB118" s="320" t="str">
        <f aca="false">IF($A118="N/A"," ",$U118*(8*($BS118))*R118)</f>
        <v> </v>
      </c>
      <c r="AC118" s="320" t="str">
        <f aca="false">IF($A118="N/A"," ",$U118*(8*($BS118))*S118)</f>
        <v> </v>
      </c>
      <c r="AD118" s="320" t="str">
        <f aca="false">IF($A118="N/A"," ",$U118*(8*($BS118))*T118)</f>
        <v> </v>
      </c>
      <c r="AE118" s="320" t="str">
        <f aca="false">IF($A118="N/A"," ",SUM(V118:AD118))</f>
        <v> </v>
      </c>
      <c r="AF118" s="321" t="str">
        <f aca="false">IF(A118="N/A"," ",(VLOOKUP(A118,PowerVolTable,(IF(VolBMO4=2,7,IF(VolBMO4=1,6,8))),FALSE())))</f>
        <v> </v>
      </c>
      <c r="AG118" s="321" t="str">
        <f aca="false">IF(A118="N/A"," ",(VLOOKUP(A118,IntraPowerVol,(IF(VolBMO4=2,3,IF(VolBMO4=1,2,4))),FALSE())*VLOOKUP(MONTH($A118),Volscale,2)))</f>
        <v> </v>
      </c>
      <c r="AH118" s="321" t="str">
        <f aca="false">IF($A118="N/A"," ",IF(VolType4=1,AG118,AF118))</f>
        <v> </v>
      </c>
      <c r="AI118" s="321" t="str">
        <f aca="false">IF($A118="N/A"," ",(VLOOKUP($A118,OffPwrVolTable,(IF(VolBMO4=2,7,IF(VolBMO4=1,6,8))),FALSE())))</f>
        <v> </v>
      </c>
      <c r="AJ118" s="321" t="str">
        <f aca="false">IF($A118="N/A"," ",(VLOOKUP($A118,OffPwrVolTable,(IF(VolBMO4=2,3,IF(VolBMO4=1,2,4))),FALSE())*VLOOKUP(MONTH($A118),Volscale,2)))</f>
        <v> </v>
      </c>
      <c r="AK118" s="321" t="str">
        <f aca="false">IF($A118="N/A"," ",IF(VolType4=1,AJ118,AI118))</f>
        <v> </v>
      </c>
      <c r="AL118" s="321" t="str">
        <f aca="false">IF($A118="N/A"," ",IF(PV=1,0,'Pricing Inputs4'!R151))</f>
        <v> </v>
      </c>
      <c r="AM118" s="323" t="str">
        <f aca="false">IF($A118="N/A"," ",(1+AL118/2)^(-2*((EOMONTH(A118,0)+20)-DateToday)/365.25))</f>
        <v> </v>
      </c>
      <c r="BQ118" s="0" t="str">
        <f aca="false">IF($A118="N/A"," ",(VLOOKUP($A118,NumberofDaysTable,2)))</f>
        <v> </v>
      </c>
      <c r="BR118" s="0" t="str">
        <f aca="false">IF($A118="N/A"," ",(VLOOKUP($A118,NumberofDaysTable,3)))</f>
        <v> </v>
      </c>
      <c r="BS118" s="0" t="str">
        <f aca="false">IF($A118="N/A"," ",(VLOOKUP($A118,NumberofDaysTable,4)))</f>
        <v> </v>
      </c>
    </row>
    <row r="119" customFormat="false" ht="12.75" hidden="false" customHeight="false" outlineLevel="0" collapsed="false">
      <c r="A119" s="315" t="str">
        <f aca="false">IF(A118="N/A","N/A",IF(EDATE(A118,1)&gt;Inputs!$R$5,"N/A",EDATE(A118,1)))</f>
        <v>N/A</v>
      </c>
      <c r="B119" s="316" t="str">
        <f aca="false">IF(A119="N/A"," ",YEAR(A119))</f>
        <v> </v>
      </c>
      <c r="C119" s="317" t="str">
        <f aca="false">IF($A119="N/A"," ",IF(Dayrun4=10,0,IF(Scaler4=1,(VLOOKUP(A119,ScaledPrice4,4)),(VLOOKUP(A119,ScaledPrice4,2)))))</f>
        <v> </v>
      </c>
      <c r="D119" s="317" t="str">
        <f aca="false">IF(A119="N/A"," ",IF(Dayrun4&gt;=7,0,IF(Scaler4=2,VLOOKUP(A119,ScaledPrice4,2),(VLOOKUP(A119,ScaledPrice4,2))*(2-(VLOOKUP(A119,ScaledPrice4,3))))))</f>
        <v> </v>
      </c>
      <c r="E119" s="317" t="str">
        <f aca="false">IF($A119="N/A"," ",IF(AND(Dayrun4&gt;=4,Dayrun4&lt;=9),0,VLOOKUP($A119,ScaledPrice4,9)))</f>
        <v> </v>
      </c>
      <c r="F119" s="317" t="str">
        <f aca="false">IF(A119="N/A"," ",IF(OR(Dayrun4=2,Dayrun4=3,Dayrun4=5,Dayrun4=6,Dayrun4=8,Dayrun4=9),VLOOKUP(A119,ScaledPrice4,IF(Scaler4=1,6,5)),0))</f>
        <v> </v>
      </c>
      <c r="G119" s="317" t="str">
        <f aca="false">IF(A119="N/A"," ",IF(OR(Dayrun4=2,Dayrun4=3,Dayrun4=5,Dayrun4=6),IF(Scaler4=2,F119,(VLOOKUP(A119,ScaledPrice4,5))*(2-(VLOOKUP(A119,ScaledPrice4,3)))),0))</f>
        <v> </v>
      </c>
      <c r="H119" s="317" t="str">
        <f aca="false">IF($A119="N/A"," ",IF(OR(Dayrun4=2,Dayrun4=3,Dayrun4=10),VLOOKUP($A119,ScaledPrice4,9),0))</f>
        <v> </v>
      </c>
      <c r="I119" s="317" t="str">
        <f aca="false">IF(A119="N/A"," ",IF(OR(Dayrun4=3,Dayrun4=6,Dayrun4=9),(VLOOKUP(A119,ScaledPrice4,IF(Scaler4=2,7,8))),0))</f>
        <v> </v>
      </c>
      <c r="J119" s="317" t="str">
        <f aca="false">IF(A119="N/A"," ",IF(OR(Dayrun4=3,Dayrun4=6),IF(Scaler4=2,I119,(VLOOKUP(A119,ScaledPrice4,7))*(2-(VLOOKUP(A119,ScaledPrice4,3)))),0))</f>
        <v> </v>
      </c>
      <c r="K119" s="317" t="str">
        <f aca="false">IF($A119="N/A"," ",IF(OR(Dayrun4=3,Dayrun4=10),VLOOKUP($A119,ScaledPrice4,9),0))</f>
        <v> </v>
      </c>
      <c r="L119" s="318" t="str">
        <f aca="false">IF($A119="N/A"," ",IF(Pricetype4=2,MAX(C119,0),IF(OR(Pricetype4=1,Pricetype4=4),IF(C119=0,0,(EURO(C119,Strikeprice4,0,0,($AH119+IF(Smile=TRUE(),VLOOKUP(MAX(-5,Strikeprice4-C119),Volsmile,2),0)),($A119-DateToday)+15,IF(Pricetype4=1,1,0),0))),C119)))</f>
        <v> </v>
      </c>
      <c r="M119" s="318" t="str">
        <f aca="false">IF($A119="N/A"," ",IF(Pricetype4=2,MAX(D119,0),IF(OR(Pricetype4=1,Pricetype4=4),IF(D119=0,0,(EURO(D119,Strikeprice4,0,0,($AH119+IF(Smile=TRUE(),VLOOKUP(MAX(-5,Strikeprice4-D119),Volsmile,2),0)),($A119-DateToday)+15,IF(Pricetype4=1,1,0),0))),D119)))</f>
        <v> </v>
      </c>
      <c r="N119" s="318" t="str">
        <f aca="false">IF($A119="N/A"," ",IF(Pricetype4=2,MAX(E119,0),IF(OR(Pricetype4=1,Pricetype4=4),IF(E119=0,0,(EURO(E119,Strikeprice4,0,0,($AK119+IF(Smile=TRUE(),VLOOKUP(MAX(-5,Strikeprice4-E119),Volsmile,2),0)),($A119-DateToday)+15,IF(Pricetype4=1,1,0),0))),E119)))</f>
        <v> </v>
      </c>
      <c r="O119" s="318" t="str">
        <f aca="false">IF($A119="N/A"," ",IF(Pricetype4=2,MAX(F119,0),IF(OR(Pricetype4=1,Pricetype4=4),IF(F119=0,0,(EURO(F119,Strikeprice4,0,0,($AK119+IF(Smile=TRUE(),VLOOKUP(MAX(-5,Strikeprice4-F119),Volsmile,2),0)),($A119-DateToday)+15,IF(Pricetype4=1,1,0),0))),F119)))</f>
        <v> </v>
      </c>
      <c r="P119" s="318" t="str">
        <f aca="false">IF($A119="N/A"," ",IF(Pricetype4=2,MAX(G119,0),IF(OR(Pricetype4=1,Pricetype4=4),IF(G119=0,0,(EURO(G119,Strikeprice4,0,0,($AK119+IF(Smile=TRUE(),VLOOKUP(MAX(-5,Strikeprice4-G119),Volsmile,2),0)),($A119-DateToday)+15,IF(Pricetype4=1,1,0),0))),G119)))</f>
        <v> </v>
      </c>
      <c r="Q119" s="318" t="str">
        <f aca="false">IF($A119="N/A"," ",IF(Pricetype4=2,MAX(H119,0),IF(OR(Pricetype4=1,Pricetype4=4),IF(H119=0,0,(EURO(H119,Strikeprice4,0,0,($AK119+IF(Smile=TRUE(),VLOOKUP(MAX(-5,Strikeprice4-H119),Volsmile,2),0)),($A119-DateToday)+15,IF(Pricetype4=1,1,0),0))),H119)))</f>
        <v> </v>
      </c>
      <c r="R119" s="318" t="str">
        <f aca="false">IF($A119="N/A"," ",IF(Pricetype4=2,MAX(I119,0),IF(OR(Pricetype4=1,Pricetype4=4),IF(I119=0,0,(EURO(I119,Strikeprice4,0,0,($AK119+IF(Smile=TRUE(),VLOOKUP(MAX(-5,Strikeprice4-I119),Volsmile,2),0)),($A119-DateToday)+15,IF(Pricetype4=1,1,0),0))),I119)))</f>
        <v> </v>
      </c>
      <c r="S119" s="318" t="str">
        <f aca="false">IF($A119="N/A"," ",IF(Pricetype4=2,MAX(J119,0),IF(OR(Pricetype4=1,Pricetype4=4),IF(J119=0,0,(EURO(J119,Strikeprice4,0,0,($AK119+IF(Smile=TRUE(),VLOOKUP(MAX(-5,Strikeprice4-J119),Volsmile,2),0)),($A119-DateToday)+15,IF(Pricetype4=1,1,0),0))),J119)))</f>
        <v> </v>
      </c>
      <c r="T119" s="318" t="str">
        <f aca="false">IF($A119="N/A"," ",IF(Pricetype4=2,MAX(K119,0),IF(OR(Pricetype4=1,Pricetype4=4),IF(K119=0,0,(EURO(K119,Strikeprice4,0,0,($AK119+IF(Smile=TRUE(),VLOOKUP(MAX(-5,Strikeprice4-K119),Volsmile,2),0)),($A119-DateToday)+15,IF(Pricetype4=1,1,0),0))),K119)))</f>
        <v> </v>
      </c>
      <c r="U119" s="319" t="str">
        <f aca="false">IF($A119="N/A"," ",Volume4*$AM119)</f>
        <v> </v>
      </c>
      <c r="V119" s="320" t="str">
        <f aca="false">IF($A119="N/A"," ",$U119*(8*($BQ119))*L119)</f>
        <v> </v>
      </c>
      <c r="W119" s="320" t="str">
        <f aca="false">IF($A119="N/A"," ",$U119*(8*($BQ119))*M119)</f>
        <v> </v>
      </c>
      <c r="X119" s="320" t="str">
        <f aca="false">IF($A119="N/A"," ",$U119*(8*($BQ119))*N119)</f>
        <v> </v>
      </c>
      <c r="Y119" s="320" t="str">
        <f aca="false">IF($A119="N/A"," ",$U119*(8*($BR119))*O119)</f>
        <v> </v>
      </c>
      <c r="Z119" s="320" t="str">
        <f aca="false">IF($A119="N/A"," ",$U119*(8*($BR119))*P119)</f>
        <v> </v>
      </c>
      <c r="AA119" s="320" t="str">
        <f aca="false">IF($A119="N/A"," ",$U119*(8*($BR119))*Q119)</f>
        <v> </v>
      </c>
      <c r="AB119" s="320" t="str">
        <f aca="false">IF($A119="N/A"," ",$U119*(8*($BS119))*R119)</f>
        <v> </v>
      </c>
      <c r="AC119" s="320" t="str">
        <f aca="false">IF($A119="N/A"," ",$U119*(8*($BS119))*S119)</f>
        <v> </v>
      </c>
      <c r="AD119" s="320" t="str">
        <f aca="false">IF($A119="N/A"," ",$U119*(8*($BS119))*T119)</f>
        <v> </v>
      </c>
      <c r="AE119" s="320" t="str">
        <f aca="false">IF($A119="N/A"," ",SUM(V119:AD119))</f>
        <v> </v>
      </c>
      <c r="AF119" s="321" t="str">
        <f aca="false">IF(A119="N/A"," ",(VLOOKUP(A119,PowerVolTable,(IF(VolBMO4=2,7,IF(VolBMO4=1,6,8))),FALSE())))</f>
        <v> </v>
      </c>
      <c r="AG119" s="321" t="str">
        <f aca="false">IF(A119="N/A"," ",(VLOOKUP(A119,IntraPowerVol,(IF(VolBMO4=2,3,IF(VolBMO4=1,2,4))),FALSE())*VLOOKUP(MONTH($A119),Volscale,2)))</f>
        <v> </v>
      </c>
      <c r="AH119" s="321" t="str">
        <f aca="false">IF($A119="N/A"," ",IF(VolType4=1,AG119,AF119))</f>
        <v> </v>
      </c>
      <c r="AI119" s="321" t="str">
        <f aca="false">IF($A119="N/A"," ",(VLOOKUP($A119,OffPwrVolTable,(IF(VolBMO4=2,7,IF(VolBMO4=1,6,8))),FALSE())))</f>
        <v> </v>
      </c>
      <c r="AJ119" s="321" t="str">
        <f aca="false">IF($A119="N/A"," ",(VLOOKUP($A119,OffPwrVolTable,(IF(VolBMO4=2,3,IF(VolBMO4=1,2,4))),FALSE())*VLOOKUP(MONTH($A119),Volscale,2)))</f>
        <v> </v>
      </c>
      <c r="AK119" s="321" t="str">
        <f aca="false">IF($A119="N/A"," ",IF(VolType4=1,AJ119,AI119))</f>
        <v> </v>
      </c>
      <c r="AL119" s="321" t="str">
        <f aca="false">IF($A119="N/A"," ",IF(PV=1,0,'Pricing Inputs4'!R152))</f>
        <v> </v>
      </c>
      <c r="AM119" s="323" t="str">
        <f aca="false">IF($A119="N/A"," ",(1+AL119/2)^(-2*((EOMONTH(A119,0)+20)-DateToday)/365.25))</f>
        <v> </v>
      </c>
      <c r="BQ119" s="0" t="str">
        <f aca="false">IF($A119="N/A"," ",(VLOOKUP($A119,NumberofDaysTable,2)))</f>
        <v> </v>
      </c>
      <c r="BR119" s="0" t="str">
        <f aca="false">IF($A119="N/A"," ",(VLOOKUP($A119,NumberofDaysTable,3)))</f>
        <v> </v>
      </c>
      <c r="BS119" s="0" t="str">
        <f aca="false">IF($A119="N/A"," ",(VLOOKUP($A119,NumberofDaysTable,4)))</f>
        <v> </v>
      </c>
    </row>
    <row r="120" customFormat="false" ht="12.75" hidden="false" customHeight="false" outlineLevel="0" collapsed="false">
      <c r="A120" s="315" t="str">
        <f aca="false">IF(A119="N/A","N/A",IF(EDATE(A119,1)&gt;Inputs!$R$5,"N/A",EDATE(A119,1)))</f>
        <v>N/A</v>
      </c>
      <c r="B120" s="316" t="str">
        <f aca="false">IF(A120="N/A"," ",YEAR(A120))</f>
        <v> </v>
      </c>
      <c r="C120" s="317" t="str">
        <f aca="false">IF($A120="N/A"," ",IF(Dayrun4=10,0,IF(Scaler4=1,(VLOOKUP(A120,ScaledPrice4,4)),(VLOOKUP(A120,ScaledPrice4,2)))))</f>
        <v> </v>
      </c>
      <c r="D120" s="317" t="str">
        <f aca="false">IF(A120="N/A"," ",IF(Dayrun4&gt;=7,0,IF(Scaler4=2,VLOOKUP(A120,ScaledPrice4,2),(VLOOKUP(A120,ScaledPrice4,2))*(2-(VLOOKUP(A120,ScaledPrice4,3))))))</f>
        <v> </v>
      </c>
      <c r="E120" s="317" t="str">
        <f aca="false">IF($A120="N/A"," ",IF(AND(Dayrun4&gt;=4,Dayrun4&lt;=9),0,VLOOKUP($A120,ScaledPrice4,9)))</f>
        <v> </v>
      </c>
      <c r="F120" s="317" t="str">
        <f aca="false">IF(A120="N/A"," ",IF(OR(Dayrun4=2,Dayrun4=3,Dayrun4=5,Dayrun4=6,Dayrun4=8,Dayrun4=9),VLOOKUP(A120,ScaledPrice4,IF(Scaler4=1,6,5)),0))</f>
        <v> </v>
      </c>
      <c r="G120" s="317" t="str">
        <f aca="false">IF(A120="N/A"," ",IF(OR(Dayrun4=2,Dayrun4=3,Dayrun4=5,Dayrun4=6),IF(Scaler4=2,F120,(VLOOKUP(A120,ScaledPrice4,5))*(2-(VLOOKUP(A120,ScaledPrice4,3)))),0))</f>
        <v> </v>
      </c>
      <c r="H120" s="317" t="str">
        <f aca="false">IF($A120="N/A"," ",IF(OR(Dayrun4=2,Dayrun4=3,Dayrun4=10),VLOOKUP($A120,ScaledPrice4,9),0))</f>
        <v> </v>
      </c>
      <c r="I120" s="317" t="str">
        <f aca="false">IF(A120="N/A"," ",IF(OR(Dayrun4=3,Dayrun4=6,Dayrun4=9),(VLOOKUP(A120,ScaledPrice4,IF(Scaler4=2,7,8))),0))</f>
        <v> </v>
      </c>
      <c r="J120" s="317" t="str">
        <f aca="false">IF(A120="N/A"," ",IF(OR(Dayrun4=3,Dayrun4=6),IF(Scaler4=2,I120,(VLOOKUP(A120,ScaledPrice4,7))*(2-(VLOOKUP(A120,ScaledPrice4,3)))),0))</f>
        <v> </v>
      </c>
      <c r="K120" s="317" t="str">
        <f aca="false">IF($A120="N/A"," ",IF(OR(Dayrun4=3,Dayrun4=10),VLOOKUP($A120,ScaledPrice4,9),0))</f>
        <v> </v>
      </c>
      <c r="L120" s="318" t="str">
        <f aca="false">IF($A120="N/A"," ",IF(Pricetype4=2,MAX(C120,0),IF(OR(Pricetype4=1,Pricetype4=4),IF(C120=0,0,(EURO(C120,Strikeprice4,0,0,($AH120+IF(Smile=TRUE(),VLOOKUP(MAX(-5,Strikeprice4-C120),Volsmile,2),0)),($A120-DateToday)+15,IF(Pricetype4=1,1,0),0))),C120)))</f>
        <v> </v>
      </c>
      <c r="M120" s="318" t="str">
        <f aca="false">IF($A120="N/A"," ",IF(Pricetype4=2,MAX(D120,0),IF(OR(Pricetype4=1,Pricetype4=4),IF(D120=0,0,(EURO(D120,Strikeprice4,0,0,($AH120+IF(Smile=TRUE(),VLOOKUP(MAX(-5,Strikeprice4-D120),Volsmile,2),0)),($A120-DateToday)+15,IF(Pricetype4=1,1,0),0))),D120)))</f>
        <v> </v>
      </c>
      <c r="N120" s="318" t="str">
        <f aca="false">IF($A120="N/A"," ",IF(Pricetype4=2,MAX(E120,0),IF(OR(Pricetype4=1,Pricetype4=4),IF(E120=0,0,(EURO(E120,Strikeprice4,0,0,($AK120+IF(Smile=TRUE(),VLOOKUP(MAX(-5,Strikeprice4-E120),Volsmile,2),0)),($A120-DateToday)+15,IF(Pricetype4=1,1,0),0))),E120)))</f>
        <v> </v>
      </c>
      <c r="O120" s="318" t="str">
        <f aca="false">IF($A120="N/A"," ",IF(Pricetype4=2,MAX(F120,0),IF(OR(Pricetype4=1,Pricetype4=4),IF(F120=0,0,(EURO(F120,Strikeprice4,0,0,($AK120+IF(Smile=TRUE(),VLOOKUP(MAX(-5,Strikeprice4-F120),Volsmile,2),0)),($A120-DateToday)+15,IF(Pricetype4=1,1,0),0))),F120)))</f>
        <v> </v>
      </c>
      <c r="P120" s="318" t="str">
        <f aca="false">IF($A120="N/A"," ",IF(Pricetype4=2,MAX(G120,0),IF(OR(Pricetype4=1,Pricetype4=4),IF(G120=0,0,(EURO(G120,Strikeprice4,0,0,($AK120+IF(Smile=TRUE(),VLOOKUP(MAX(-5,Strikeprice4-G120),Volsmile,2),0)),($A120-DateToday)+15,IF(Pricetype4=1,1,0),0))),G120)))</f>
        <v> </v>
      </c>
      <c r="Q120" s="318" t="str">
        <f aca="false">IF($A120="N/A"," ",IF(Pricetype4=2,MAX(H120,0),IF(OR(Pricetype4=1,Pricetype4=4),IF(H120=0,0,(EURO(H120,Strikeprice4,0,0,($AK120+IF(Smile=TRUE(),VLOOKUP(MAX(-5,Strikeprice4-H120),Volsmile,2),0)),($A120-DateToday)+15,IF(Pricetype4=1,1,0),0))),H120)))</f>
        <v> </v>
      </c>
      <c r="R120" s="318" t="str">
        <f aca="false">IF($A120="N/A"," ",IF(Pricetype4=2,MAX(I120,0),IF(OR(Pricetype4=1,Pricetype4=4),IF(I120=0,0,(EURO(I120,Strikeprice4,0,0,($AK120+IF(Smile=TRUE(),VLOOKUP(MAX(-5,Strikeprice4-I120),Volsmile,2),0)),($A120-DateToday)+15,IF(Pricetype4=1,1,0),0))),I120)))</f>
        <v> </v>
      </c>
      <c r="S120" s="318" t="str">
        <f aca="false">IF($A120="N/A"," ",IF(Pricetype4=2,MAX(J120,0),IF(OR(Pricetype4=1,Pricetype4=4),IF(J120=0,0,(EURO(J120,Strikeprice4,0,0,($AK120+IF(Smile=TRUE(),VLOOKUP(MAX(-5,Strikeprice4-J120),Volsmile,2),0)),($A120-DateToday)+15,IF(Pricetype4=1,1,0),0))),J120)))</f>
        <v> </v>
      </c>
      <c r="T120" s="318" t="str">
        <f aca="false">IF($A120="N/A"," ",IF(Pricetype4=2,MAX(K120,0),IF(OR(Pricetype4=1,Pricetype4=4),IF(K120=0,0,(EURO(K120,Strikeprice4,0,0,($AK120+IF(Smile=TRUE(),VLOOKUP(MAX(-5,Strikeprice4-K120),Volsmile,2),0)),($A120-DateToday)+15,IF(Pricetype4=1,1,0),0))),K120)))</f>
        <v> </v>
      </c>
      <c r="U120" s="319" t="str">
        <f aca="false">IF($A120="N/A"," ",Volume4*$AM120)</f>
        <v> </v>
      </c>
      <c r="V120" s="320" t="str">
        <f aca="false">IF($A120="N/A"," ",$U120*(8*($BQ120))*L120)</f>
        <v> </v>
      </c>
      <c r="W120" s="320" t="str">
        <f aca="false">IF($A120="N/A"," ",$U120*(8*($BQ120))*M120)</f>
        <v> </v>
      </c>
      <c r="X120" s="320" t="str">
        <f aca="false">IF($A120="N/A"," ",$U120*(8*($BQ120))*N120)</f>
        <v> </v>
      </c>
      <c r="Y120" s="320" t="str">
        <f aca="false">IF($A120="N/A"," ",$U120*(8*($BR120))*O120)</f>
        <v> </v>
      </c>
      <c r="Z120" s="320" t="str">
        <f aca="false">IF($A120="N/A"," ",$U120*(8*($BR120))*P120)</f>
        <v> </v>
      </c>
      <c r="AA120" s="320" t="str">
        <f aca="false">IF($A120="N/A"," ",$U120*(8*($BR120))*Q120)</f>
        <v> </v>
      </c>
      <c r="AB120" s="320" t="str">
        <f aca="false">IF($A120="N/A"," ",$U120*(8*($BS120))*R120)</f>
        <v> </v>
      </c>
      <c r="AC120" s="320" t="str">
        <f aca="false">IF($A120="N/A"," ",$U120*(8*($BS120))*S120)</f>
        <v> </v>
      </c>
      <c r="AD120" s="320" t="str">
        <f aca="false">IF($A120="N/A"," ",$U120*(8*($BS120))*T120)</f>
        <v> </v>
      </c>
      <c r="AE120" s="320" t="str">
        <f aca="false">IF($A120="N/A"," ",SUM(V120:AD120))</f>
        <v> </v>
      </c>
      <c r="AF120" s="321" t="str">
        <f aca="false">IF(A120="N/A"," ",(VLOOKUP(A120,PowerVolTable,(IF(VolBMO4=2,7,IF(VolBMO4=1,6,8))),FALSE())))</f>
        <v> </v>
      </c>
      <c r="AG120" s="321" t="str">
        <f aca="false">IF(A120="N/A"," ",(VLOOKUP(A120,IntraPowerVol,(IF(VolBMO4=2,3,IF(VolBMO4=1,2,4))),FALSE())*VLOOKUP(MONTH($A120),Volscale,2)))</f>
        <v> </v>
      </c>
      <c r="AH120" s="321" t="str">
        <f aca="false">IF($A120="N/A"," ",IF(VolType4=1,AG120,AF120))</f>
        <v> </v>
      </c>
      <c r="AI120" s="321" t="str">
        <f aca="false">IF($A120="N/A"," ",(VLOOKUP($A120,OffPwrVolTable,(IF(VolBMO4=2,7,IF(VolBMO4=1,6,8))),FALSE())))</f>
        <v> </v>
      </c>
      <c r="AJ120" s="321" t="str">
        <f aca="false">IF($A120="N/A"," ",(VLOOKUP($A120,OffPwrVolTable,(IF(VolBMO4=2,3,IF(VolBMO4=1,2,4))),FALSE())*VLOOKUP(MONTH($A120),Volscale,2)))</f>
        <v> </v>
      </c>
      <c r="AK120" s="321" t="str">
        <f aca="false">IF($A120="N/A"," ",IF(VolType4=1,AJ120,AI120))</f>
        <v> </v>
      </c>
      <c r="AL120" s="321" t="str">
        <f aca="false">IF($A120="N/A"," ",IF(PV=1,0,'Pricing Inputs4'!R153))</f>
        <v> </v>
      </c>
      <c r="AM120" s="323" t="str">
        <f aca="false">IF($A120="N/A"," ",(1+AL120/2)^(-2*((EOMONTH(A120,0)+20)-DateToday)/365.25))</f>
        <v> </v>
      </c>
      <c r="BQ120" s="0" t="str">
        <f aca="false">IF($A120="N/A"," ",(VLOOKUP($A120,NumberofDaysTable,2)))</f>
        <v> </v>
      </c>
      <c r="BR120" s="0" t="str">
        <f aca="false">IF($A120="N/A"," ",(VLOOKUP($A120,NumberofDaysTable,3)))</f>
        <v> </v>
      </c>
      <c r="BS120" s="0" t="str">
        <f aca="false">IF($A120="N/A"," ",(VLOOKUP($A120,NumberofDaysTable,4)))</f>
        <v> </v>
      </c>
    </row>
    <row r="121" customFormat="false" ht="12.75" hidden="false" customHeight="false" outlineLevel="0" collapsed="false">
      <c r="A121" s="315" t="str">
        <f aca="false">IF(A120="N/A","N/A",IF(EDATE(A120,1)&gt;Inputs!$R$5,"N/A",EDATE(A120,1)))</f>
        <v>N/A</v>
      </c>
      <c r="B121" s="316" t="str">
        <f aca="false">IF(A121="N/A"," ",YEAR(A121))</f>
        <v> </v>
      </c>
      <c r="C121" s="317" t="str">
        <f aca="false">IF($A121="N/A"," ",IF(Dayrun4=10,0,IF(Scaler4=1,(VLOOKUP(A121,ScaledPrice4,4)),(VLOOKUP(A121,ScaledPrice4,2)))))</f>
        <v> </v>
      </c>
      <c r="D121" s="317" t="str">
        <f aca="false">IF(A121="N/A"," ",IF(Dayrun4&gt;=7,0,IF(Scaler4=2,VLOOKUP(A121,ScaledPrice4,2),(VLOOKUP(A121,ScaledPrice4,2))*(2-(VLOOKUP(A121,ScaledPrice4,3))))))</f>
        <v> </v>
      </c>
      <c r="E121" s="317" t="str">
        <f aca="false">IF($A121="N/A"," ",IF(AND(Dayrun4&gt;=4,Dayrun4&lt;=9),0,VLOOKUP($A121,ScaledPrice4,9)))</f>
        <v> </v>
      </c>
      <c r="F121" s="317" t="str">
        <f aca="false">IF(A121="N/A"," ",IF(OR(Dayrun4=2,Dayrun4=3,Dayrun4=5,Dayrun4=6,Dayrun4=8,Dayrun4=9),VLOOKUP(A121,ScaledPrice4,IF(Scaler4=1,6,5)),0))</f>
        <v> </v>
      </c>
      <c r="G121" s="317" t="str">
        <f aca="false">IF(A121="N/A"," ",IF(OR(Dayrun4=2,Dayrun4=3,Dayrun4=5,Dayrun4=6),IF(Scaler4=2,F121,(VLOOKUP(A121,ScaledPrice4,5))*(2-(VLOOKUP(A121,ScaledPrice4,3)))),0))</f>
        <v> </v>
      </c>
      <c r="H121" s="317" t="str">
        <f aca="false">IF($A121="N/A"," ",IF(OR(Dayrun4=2,Dayrun4=3,Dayrun4=10),VLOOKUP($A121,ScaledPrice4,9),0))</f>
        <v> </v>
      </c>
      <c r="I121" s="317" t="str">
        <f aca="false">IF(A121="N/A"," ",IF(OR(Dayrun4=3,Dayrun4=6,Dayrun4=9),(VLOOKUP(A121,ScaledPrice4,IF(Scaler4=2,7,8))),0))</f>
        <v> </v>
      </c>
      <c r="J121" s="317" t="str">
        <f aca="false">IF(A121="N/A"," ",IF(OR(Dayrun4=3,Dayrun4=6),IF(Scaler4=2,I121,(VLOOKUP(A121,ScaledPrice4,7))*(2-(VLOOKUP(A121,ScaledPrice4,3)))),0))</f>
        <v> </v>
      </c>
      <c r="K121" s="317" t="str">
        <f aca="false">IF($A121="N/A"," ",IF(OR(Dayrun4=3,Dayrun4=10),VLOOKUP($A121,ScaledPrice4,9),0))</f>
        <v> </v>
      </c>
      <c r="L121" s="318" t="str">
        <f aca="false">IF($A121="N/A"," ",IF(Pricetype4=2,MAX(C121,0),IF(OR(Pricetype4=1,Pricetype4=4),IF(C121=0,0,(EURO(C121,Strikeprice4,0,0,($AH121+IF(Smile=TRUE(),VLOOKUP(MAX(-5,Strikeprice4-C121),Volsmile,2),0)),($A121-DateToday)+15,IF(Pricetype4=1,1,0),0))),C121)))</f>
        <v> </v>
      </c>
      <c r="M121" s="318" t="str">
        <f aca="false">IF($A121="N/A"," ",IF(Pricetype4=2,MAX(D121,0),IF(OR(Pricetype4=1,Pricetype4=4),IF(D121=0,0,(EURO(D121,Strikeprice4,0,0,($AH121+IF(Smile=TRUE(),VLOOKUP(MAX(-5,Strikeprice4-D121),Volsmile,2),0)),($A121-DateToday)+15,IF(Pricetype4=1,1,0),0))),D121)))</f>
        <v> </v>
      </c>
      <c r="N121" s="318" t="str">
        <f aca="false">IF($A121="N/A"," ",IF(Pricetype4=2,MAX(E121,0),IF(OR(Pricetype4=1,Pricetype4=4),IF(E121=0,0,(EURO(E121,Strikeprice4,0,0,($AK121+IF(Smile=TRUE(),VLOOKUP(MAX(-5,Strikeprice4-E121),Volsmile,2),0)),($A121-DateToday)+15,IF(Pricetype4=1,1,0),0))),E121)))</f>
        <v> </v>
      </c>
      <c r="O121" s="318" t="str">
        <f aca="false">IF($A121="N/A"," ",IF(Pricetype4=2,MAX(F121,0),IF(OR(Pricetype4=1,Pricetype4=4),IF(F121=0,0,(EURO(F121,Strikeprice4,0,0,($AK121+IF(Smile=TRUE(),VLOOKUP(MAX(-5,Strikeprice4-F121),Volsmile,2),0)),($A121-DateToday)+15,IF(Pricetype4=1,1,0),0))),F121)))</f>
        <v> </v>
      </c>
      <c r="P121" s="318" t="str">
        <f aca="false">IF($A121="N/A"," ",IF(Pricetype4=2,MAX(G121,0),IF(OR(Pricetype4=1,Pricetype4=4),IF(G121=0,0,(EURO(G121,Strikeprice4,0,0,($AK121+IF(Smile=TRUE(),VLOOKUP(MAX(-5,Strikeprice4-G121),Volsmile,2),0)),($A121-DateToday)+15,IF(Pricetype4=1,1,0),0))),G121)))</f>
        <v> </v>
      </c>
      <c r="Q121" s="318" t="str">
        <f aca="false">IF($A121="N/A"," ",IF(Pricetype4=2,MAX(H121,0),IF(OR(Pricetype4=1,Pricetype4=4),IF(H121=0,0,(EURO(H121,Strikeprice4,0,0,($AK121+IF(Smile=TRUE(),VLOOKUP(MAX(-5,Strikeprice4-H121),Volsmile,2),0)),($A121-DateToday)+15,IF(Pricetype4=1,1,0),0))),H121)))</f>
        <v> </v>
      </c>
      <c r="R121" s="318" t="str">
        <f aca="false">IF($A121="N/A"," ",IF(Pricetype4=2,MAX(I121,0),IF(OR(Pricetype4=1,Pricetype4=4),IF(I121=0,0,(EURO(I121,Strikeprice4,0,0,($AK121+IF(Smile=TRUE(),VLOOKUP(MAX(-5,Strikeprice4-I121),Volsmile,2),0)),($A121-DateToday)+15,IF(Pricetype4=1,1,0),0))),I121)))</f>
        <v> </v>
      </c>
      <c r="S121" s="318" t="str">
        <f aca="false">IF($A121="N/A"," ",IF(Pricetype4=2,MAX(J121,0),IF(OR(Pricetype4=1,Pricetype4=4),IF(J121=0,0,(EURO(J121,Strikeprice4,0,0,($AK121+IF(Smile=TRUE(),VLOOKUP(MAX(-5,Strikeprice4-J121),Volsmile,2),0)),($A121-DateToday)+15,IF(Pricetype4=1,1,0),0))),J121)))</f>
        <v> </v>
      </c>
      <c r="T121" s="318" t="str">
        <f aca="false">IF($A121="N/A"," ",IF(Pricetype4=2,MAX(K121,0),IF(OR(Pricetype4=1,Pricetype4=4),IF(K121=0,0,(EURO(K121,Strikeprice4,0,0,($AK121+IF(Smile=TRUE(),VLOOKUP(MAX(-5,Strikeprice4-K121),Volsmile,2),0)),($A121-DateToday)+15,IF(Pricetype4=1,1,0),0))),K121)))</f>
        <v> </v>
      </c>
      <c r="U121" s="319" t="str">
        <f aca="false">IF($A121="N/A"," ",Volume4*$AM121)</f>
        <v> </v>
      </c>
      <c r="V121" s="320" t="str">
        <f aca="false">IF($A121="N/A"," ",$U121*(8*($BQ121))*L121)</f>
        <v> </v>
      </c>
      <c r="W121" s="320" t="str">
        <f aca="false">IF($A121="N/A"," ",$U121*(8*($BQ121))*M121)</f>
        <v> </v>
      </c>
      <c r="X121" s="320" t="str">
        <f aca="false">IF($A121="N/A"," ",$U121*(8*($BQ121))*N121)</f>
        <v> </v>
      </c>
      <c r="Y121" s="320" t="str">
        <f aca="false">IF($A121="N/A"," ",$U121*(8*($BR121))*O121)</f>
        <v> </v>
      </c>
      <c r="Z121" s="320" t="str">
        <f aca="false">IF($A121="N/A"," ",$U121*(8*($BR121))*P121)</f>
        <v> </v>
      </c>
      <c r="AA121" s="320" t="str">
        <f aca="false">IF($A121="N/A"," ",$U121*(8*($BR121))*Q121)</f>
        <v> </v>
      </c>
      <c r="AB121" s="320" t="str">
        <f aca="false">IF($A121="N/A"," ",$U121*(8*($BS121))*R121)</f>
        <v> </v>
      </c>
      <c r="AC121" s="320" t="str">
        <f aca="false">IF($A121="N/A"," ",$U121*(8*($BS121))*S121)</f>
        <v> </v>
      </c>
      <c r="AD121" s="320" t="str">
        <f aca="false">IF($A121="N/A"," ",$U121*(8*($BS121))*T121)</f>
        <v> </v>
      </c>
      <c r="AE121" s="320" t="str">
        <f aca="false">IF($A121="N/A"," ",SUM(V121:AD121))</f>
        <v> </v>
      </c>
      <c r="AF121" s="321" t="str">
        <f aca="false">IF(A121="N/A"," ",(VLOOKUP(A121,PowerVolTable,(IF(VolBMO4=2,7,IF(VolBMO4=1,6,8))),FALSE())))</f>
        <v> </v>
      </c>
      <c r="AG121" s="321" t="str">
        <f aca="false">IF(A121="N/A"," ",(VLOOKUP(A121,IntraPowerVol,(IF(VolBMO4=2,3,IF(VolBMO4=1,2,4))),FALSE())*VLOOKUP(MONTH($A121),Volscale,2)))</f>
        <v> </v>
      </c>
      <c r="AH121" s="321" t="str">
        <f aca="false">IF($A121="N/A"," ",IF(VolType4=1,AG121,AF121))</f>
        <v> </v>
      </c>
      <c r="AI121" s="321" t="str">
        <f aca="false">IF($A121="N/A"," ",(VLOOKUP($A121,OffPwrVolTable,(IF(VolBMO4=2,7,IF(VolBMO4=1,6,8))),FALSE())))</f>
        <v> </v>
      </c>
      <c r="AJ121" s="321" t="str">
        <f aca="false">IF($A121="N/A"," ",(VLOOKUP($A121,OffPwrVolTable,(IF(VolBMO4=2,3,IF(VolBMO4=1,2,4))),FALSE())*VLOOKUP(MONTH($A121),Volscale,2)))</f>
        <v> </v>
      </c>
      <c r="AK121" s="321" t="str">
        <f aca="false">IF($A121="N/A"," ",IF(VolType4=1,AJ121,AI121))</f>
        <v> </v>
      </c>
      <c r="AL121" s="321" t="str">
        <f aca="false">IF($A121="N/A"," ",IF(PV=1,0,'Pricing Inputs4'!R154))</f>
        <v> </v>
      </c>
      <c r="AM121" s="323" t="str">
        <f aca="false">IF($A121="N/A"," ",(1+AL121/2)^(-2*((EOMONTH(A121,0)+20)-DateToday)/365.25))</f>
        <v> </v>
      </c>
      <c r="BQ121" s="0" t="str">
        <f aca="false">IF($A121="N/A"," ",(VLOOKUP($A121,NumberofDaysTable,2)))</f>
        <v> </v>
      </c>
      <c r="BR121" s="0" t="str">
        <f aca="false">IF($A121="N/A"," ",(VLOOKUP($A121,NumberofDaysTable,3)))</f>
        <v> </v>
      </c>
      <c r="BS121" s="0" t="str">
        <f aca="false">IF($A121="N/A"," ",(VLOOKUP($A121,NumberofDaysTable,4)))</f>
        <v> </v>
      </c>
    </row>
    <row r="122" customFormat="false" ht="12.75" hidden="false" customHeight="false" outlineLevel="0" collapsed="false">
      <c r="A122" s="315" t="str">
        <f aca="false">IF(A121="N/A","N/A",IF(EDATE(A121,1)&gt;Inputs!$R$5,"N/A",EDATE(A121,1)))</f>
        <v>N/A</v>
      </c>
      <c r="B122" s="316" t="str">
        <f aca="false">IF(A122="N/A"," ",YEAR(A122))</f>
        <v> </v>
      </c>
      <c r="C122" s="317" t="str">
        <f aca="false">IF($A122="N/A"," ",IF(Dayrun4=10,0,IF(Scaler4=1,(VLOOKUP(A122,ScaledPrice4,4)),(VLOOKUP(A122,ScaledPrice4,2)))))</f>
        <v> </v>
      </c>
      <c r="D122" s="317" t="str">
        <f aca="false">IF(A122="N/A"," ",IF(Dayrun4&gt;=7,0,IF(Scaler4=2,VLOOKUP(A122,ScaledPrice4,2),(VLOOKUP(A122,ScaledPrice4,2))*(2-(VLOOKUP(A122,ScaledPrice4,3))))))</f>
        <v> </v>
      </c>
      <c r="E122" s="317" t="str">
        <f aca="false">IF($A122="N/A"," ",IF(AND(Dayrun4&gt;=4,Dayrun4&lt;=9),0,VLOOKUP($A122,ScaledPrice4,9)))</f>
        <v> </v>
      </c>
      <c r="F122" s="317" t="str">
        <f aca="false">IF(A122="N/A"," ",IF(OR(Dayrun4=2,Dayrun4=3,Dayrun4=5,Dayrun4=6,Dayrun4=8,Dayrun4=9),VLOOKUP(A122,ScaledPrice4,IF(Scaler4=1,6,5)),0))</f>
        <v> </v>
      </c>
      <c r="G122" s="317" t="str">
        <f aca="false">IF(A122="N/A"," ",IF(OR(Dayrun4=2,Dayrun4=3,Dayrun4=5,Dayrun4=6),IF(Scaler4=2,F122,(VLOOKUP(A122,ScaledPrice4,5))*(2-(VLOOKUP(A122,ScaledPrice4,3)))),0))</f>
        <v> </v>
      </c>
      <c r="H122" s="317" t="str">
        <f aca="false">IF($A122="N/A"," ",IF(OR(Dayrun4=2,Dayrun4=3,Dayrun4=10),VLOOKUP($A122,ScaledPrice4,9),0))</f>
        <v> </v>
      </c>
      <c r="I122" s="317" t="str">
        <f aca="false">IF(A122="N/A"," ",IF(OR(Dayrun4=3,Dayrun4=6,Dayrun4=9),(VLOOKUP(A122,ScaledPrice4,IF(Scaler4=2,7,8))),0))</f>
        <v> </v>
      </c>
      <c r="J122" s="317" t="str">
        <f aca="false">IF(A122="N/A"," ",IF(OR(Dayrun4=3,Dayrun4=6),IF(Scaler4=2,I122,(VLOOKUP(A122,ScaledPrice4,7))*(2-(VLOOKUP(A122,ScaledPrice4,3)))),0))</f>
        <v> </v>
      </c>
      <c r="K122" s="317" t="str">
        <f aca="false">IF($A122="N/A"," ",IF(OR(Dayrun4=3,Dayrun4=10),VLOOKUP($A122,ScaledPrice4,9),0))</f>
        <v> </v>
      </c>
      <c r="L122" s="318" t="str">
        <f aca="false">IF($A122="N/A"," ",IF(Pricetype4=2,MAX(C122,0),IF(OR(Pricetype4=1,Pricetype4=4),IF(C122=0,0,(EURO(C122,Strikeprice4,0,0,($AH122+IF(Smile=TRUE(),VLOOKUP(MAX(-5,Strikeprice4-C122),Volsmile,2),0)),($A122-DateToday)+15,IF(Pricetype4=1,1,0),0))),C122)))</f>
        <v> </v>
      </c>
      <c r="M122" s="318" t="str">
        <f aca="false">IF($A122="N/A"," ",IF(Pricetype4=2,MAX(D122,0),IF(OR(Pricetype4=1,Pricetype4=4),IF(D122=0,0,(EURO(D122,Strikeprice4,0,0,($AH122+IF(Smile=TRUE(),VLOOKUP(MAX(-5,Strikeprice4-D122),Volsmile,2),0)),($A122-DateToday)+15,IF(Pricetype4=1,1,0),0))),D122)))</f>
        <v> </v>
      </c>
      <c r="N122" s="318" t="str">
        <f aca="false">IF($A122="N/A"," ",IF(Pricetype4=2,MAX(E122,0),IF(OR(Pricetype4=1,Pricetype4=4),IF(E122=0,0,(EURO(E122,Strikeprice4,0,0,($AK122+IF(Smile=TRUE(),VLOOKUP(MAX(-5,Strikeprice4-E122),Volsmile,2),0)),($A122-DateToday)+15,IF(Pricetype4=1,1,0),0))),E122)))</f>
        <v> </v>
      </c>
      <c r="O122" s="318" t="str">
        <f aca="false">IF($A122="N/A"," ",IF(Pricetype4=2,MAX(F122,0),IF(OR(Pricetype4=1,Pricetype4=4),IF(F122=0,0,(EURO(F122,Strikeprice4,0,0,($AK122+IF(Smile=TRUE(),VLOOKUP(MAX(-5,Strikeprice4-F122),Volsmile,2),0)),($A122-DateToday)+15,IF(Pricetype4=1,1,0),0))),F122)))</f>
        <v> </v>
      </c>
      <c r="P122" s="318" t="str">
        <f aca="false">IF($A122="N/A"," ",IF(Pricetype4=2,MAX(G122,0),IF(OR(Pricetype4=1,Pricetype4=4),IF(G122=0,0,(EURO(G122,Strikeprice4,0,0,($AK122+IF(Smile=TRUE(),VLOOKUP(MAX(-5,Strikeprice4-G122),Volsmile,2),0)),($A122-DateToday)+15,IF(Pricetype4=1,1,0),0))),G122)))</f>
        <v> </v>
      </c>
      <c r="Q122" s="318" t="str">
        <f aca="false">IF($A122="N/A"," ",IF(Pricetype4=2,MAX(H122,0),IF(OR(Pricetype4=1,Pricetype4=4),IF(H122=0,0,(EURO(H122,Strikeprice4,0,0,($AK122+IF(Smile=TRUE(),VLOOKUP(MAX(-5,Strikeprice4-H122),Volsmile,2),0)),($A122-DateToday)+15,IF(Pricetype4=1,1,0),0))),H122)))</f>
        <v> </v>
      </c>
      <c r="R122" s="318" t="str">
        <f aca="false">IF($A122="N/A"," ",IF(Pricetype4=2,MAX(I122,0),IF(OR(Pricetype4=1,Pricetype4=4),IF(I122=0,0,(EURO(I122,Strikeprice4,0,0,($AK122+IF(Smile=TRUE(),VLOOKUP(MAX(-5,Strikeprice4-I122),Volsmile,2),0)),($A122-DateToday)+15,IF(Pricetype4=1,1,0),0))),I122)))</f>
        <v> </v>
      </c>
      <c r="S122" s="318" t="str">
        <f aca="false">IF($A122="N/A"," ",IF(Pricetype4=2,MAX(J122,0),IF(OR(Pricetype4=1,Pricetype4=4),IF(J122=0,0,(EURO(J122,Strikeprice4,0,0,($AK122+IF(Smile=TRUE(),VLOOKUP(MAX(-5,Strikeprice4-J122),Volsmile,2),0)),($A122-DateToday)+15,IF(Pricetype4=1,1,0),0))),J122)))</f>
        <v> </v>
      </c>
      <c r="T122" s="318" t="str">
        <f aca="false">IF($A122="N/A"," ",IF(Pricetype4=2,MAX(K122,0),IF(OR(Pricetype4=1,Pricetype4=4),IF(K122=0,0,(EURO(K122,Strikeprice4,0,0,($AK122+IF(Smile=TRUE(),VLOOKUP(MAX(-5,Strikeprice4-K122),Volsmile,2),0)),($A122-DateToday)+15,IF(Pricetype4=1,1,0),0))),K122)))</f>
        <v> </v>
      </c>
      <c r="U122" s="319" t="str">
        <f aca="false">IF($A122="N/A"," ",Volume4*$AM122)</f>
        <v> </v>
      </c>
      <c r="V122" s="320" t="str">
        <f aca="false">IF($A122="N/A"," ",$U122*(8*($BQ122))*L122)</f>
        <v> </v>
      </c>
      <c r="W122" s="320" t="str">
        <f aca="false">IF($A122="N/A"," ",$U122*(8*($BQ122))*M122)</f>
        <v> </v>
      </c>
      <c r="X122" s="320" t="str">
        <f aca="false">IF($A122="N/A"," ",$U122*(8*($BQ122))*N122)</f>
        <v> </v>
      </c>
      <c r="Y122" s="320" t="str">
        <f aca="false">IF($A122="N/A"," ",$U122*(8*($BR122))*O122)</f>
        <v> </v>
      </c>
      <c r="Z122" s="320" t="str">
        <f aca="false">IF($A122="N/A"," ",$U122*(8*($BR122))*P122)</f>
        <v> </v>
      </c>
      <c r="AA122" s="320" t="str">
        <f aca="false">IF($A122="N/A"," ",$U122*(8*($BR122))*Q122)</f>
        <v> </v>
      </c>
      <c r="AB122" s="320" t="str">
        <f aca="false">IF($A122="N/A"," ",$U122*(8*($BS122))*R122)</f>
        <v> </v>
      </c>
      <c r="AC122" s="320" t="str">
        <f aca="false">IF($A122="N/A"," ",$U122*(8*($BS122))*S122)</f>
        <v> </v>
      </c>
      <c r="AD122" s="320" t="str">
        <f aca="false">IF($A122="N/A"," ",$U122*(8*($BS122))*T122)</f>
        <v> </v>
      </c>
      <c r="AE122" s="320" t="str">
        <f aca="false">IF($A122="N/A"," ",SUM(V122:AD122))</f>
        <v> </v>
      </c>
      <c r="AF122" s="321" t="str">
        <f aca="false">IF(A122="N/A"," ",(VLOOKUP(A122,PowerVolTable,(IF(VolBMO4=2,7,IF(VolBMO4=1,6,8))),FALSE())))</f>
        <v> </v>
      </c>
      <c r="AG122" s="321" t="str">
        <f aca="false">IF(A122="N/A"," ",(VLOOKUP(A122,IntraPowerVol,(IF(VolBMO4=2,3,IF(VolBMO4=1,2,4))),FALSE())*VLOOKUP(MONTH($A122),Volscale,2)))</f>
        <v> </v>
      </c>
      <c r="AH122" s="321" t="str">
        <f aca="false">IF($A122="N/A"," ",IF(VolType4=1,AG122,AF122))</f>
        <v> </v>
      </c>
      <c r="AI122" s="321" t="str">
        <f aca="false">IF($A122="N/A"," ",(VLOOKUP($A122,OffPwrVolTable,(IF(VolBMO4=2,7,IF(VolBMO4=1,6,8))),FALSE())))</f>
        <v> </v>
      </c>
      <c r="AJ122" s="321" t="str">
        <f aca="false">IF($A122="N/A"," ",(VLOOKUP($A122,OffPwrVolTable,(IF(VolBMO4=2,3,IF(VolBMO4=1,2,4))),FALSE())*VLOOKUP(MONTH($A122),Volscale,2)))</f>
        <v> </v>
      </c>
      <c r="AK122" s="321" t="str">
        <f aca="false">IF($A122="N/A"," ",IF(VolType4=1,AJ122,AI122))</f>
        <v> </v>
      </c>
      <c r="AL122" s="321" t="str">
        <f aca="false">IF($A122="N/A"," ",IF(PV=1,0,'Pricing Inputs4'!R155))</f>
        <v> </v>
      </c>
      <c r="AM122" s="323" t="str">
        <f aca="false">IF($A122="N/A"," ",(1+AL122/2)^(-2*((EOMONTH(A122,0)+20)-DateToday)/365.25))</f>
        <v> </v>
      </c>
      <c r="BQ122" s="0" t="str">
        <f aca="false">IF($A122="N/A"," ",(VLOOKUP($A122,NumberofDaysTable,2)))</f>
        <v> </v>
      </c>
      <c r="BR122" s="0" t="str">
        <f aca="false">IF($A122="N/A"," ",(VLOOKUP($A122,NumberofDaysTable,3)))</f>
        <v> </v>
      </c>
      <c r="BS122" s="0" t="str">
        <f aca="false">IF($A122="N/A"," ",(VLOOKUP($A122,NumberofDaysTable,4)))</f>
        <v> </v>
      </c>
    </row>
    <row r="123" customFormat="false" ht="12.75" hidden="false" customHeight="false" outlineLevel="0" collapsed="false">
      <c r="A123" s="315" t="str">
        <f aca="false">IF(A122="N/A","N/A",IF(EDATE(A122,1)&gt;Inputs!$R$5,"N/A",EDATE(A122,1)))</f>
        <v>N/A</v>
      </c>
      <c r="B123" s="316" t="str">
        <f aca="false">IF(A123="N/A"," ",YEAR(A123))</f>
        <v> </v>
      </c>
      <c r="C123" s="317" t="str">
        <f aca="false">IF($A123="N/A"," ",IF(Dayrun4=10,0,IF(Scaler4=1,(VLOOKUP(A123,ScaledPrice4,4)),(VLOOKUP(A123,ScaledPrice4,2)))))</f>
        <v> </v>
      </c>
      <c r="D123" s="317" t="str">
        <f aca="false">IF(A123="N/A"," ",IF(Dayrun4&gt;=7,0,IF(Scaler4=2,VLOOKUP(A123,ScaledPrice4,2),(VLOOKUP(A123,ScaledPrice4,2))*(2-(VLOOKUP(A123,ScaledPrice4,3))))))</f>
        <v> </v>
      </c>
      <c r="E123" s="317" t="str">
        <f aca="false">IF($A123="N/A"," ",IF(AND(Dayrun4&gt;=4,Dayrun4&lt;=9),0,VLOOKUP($A123,ScaledPrice4,9)))</f>
        <v> </v>
      </c>
      <c r="F123" s="317" t="str">
        <f aca="false">IF(A123="N/A"," ",IF(OR(Dayrun4=2,Dayrun4=3,Dayrun4=5,Dayrun4=6,Dayrun4=8,Dayrun4=9),VLOOKUP(A123,ScaledPrice4,IF(Scaler4=1,6,5)),0))</f>
        <v> </v>
      </c>
      <c r="G123" s="317" t="str">
        <f aca="false">IF(A123="N/A"," ",IF(OR(Dayrun4=2,Dayrun4=3,Dayrun4=5,Dayrun4=6),IF(Scaler4=2,F123,(VLOOKUP(A123,ScaledPrice4,5))*(2-(VLOOKUP(A123,ScaledPrice4,3)))),0))</f>
        <v> </v>
      </c>
      <c r="H123" s="317" t="str">
        <f aca="false">IF($A123="N/A"," ",IF(OR(Dayrun4=2,Dayrun4=3,Dayrun4=10),VLOOKUP($A123,ScaledPrice4,9),0))</f>
        <v> </v>
      </c>
      <c r="I123" s="317" t="str">
        <f aca="false">IF(A123="N/A"," ",IF(OR(Dayrun4=3,Dayrun4=6,Dayrun4=9),(VLOOKUP(A123,ScaledPrice4,IF(Scaler4=2,7,8))),0))</f>
        <v> </v>
      </c>
      <c r="J123" s="317" t="str">
        <f aca="false">IF(A123="N/A"," ",IF(OR(Dayrun4=3,Dayrun4=6),IF(Scaler4=2,I123,(VLOOKUP(A123,ScaledPrice4,7))*(2-(VLOOKUP(A123,ScaledPrice4,3)))),0))</f>
        <v> </v>
      </c>
      <c r="K123" s="317" t="str">
        <f aca="false">IF($A123="N/A"," ",IF(OR(Dayrun4=3,Dayrun4=10),VLOOKUP($A123,ScaledPrice4,9),0))</f>
        <v> </v>
      </c>
      <c r="L123" s="318" t="str">
        <f aca="false">IF($A123="N/A"," ",IF(Pricetype4=2,MAX(C123,0),IF(OR(Pricetype4=1,Pricetype4=4),IF(C123=0,0,(EURO(C123,Strikeprice4,0,0,($AH123+IF(Smile=TRUE(),VLOOKUP(MAX(-5,Strikeprice4-C123),Volsmile,2),0)),($A123-DateToday)+15,IF(Pricetype4=1,1,0),0))),C123)))</f>
        <v> </v>
      </c>
      <c r="M123" s="318" t="str">
        <f aca="false">IF($A123="N/A"," ",IF(Pricetype4=2,MAX(D123,0),IF(OR(Pricetype4=1,Pricetype4=4),IF(D123=0,0,(EURO(D123,Strikeprice4,0,0,($AH123+IF(Smile=TRUE(),VLOOKUP(MAX(-5,Strikeprice4-D123),Volsmile,2),0)),($A123-DateToday)+15,IF(Pricetype4=1,1,0),0))),D123)))</f>
        <v> </v>
      </c>
      <c r="N123" s="318" t="str">
        <f aca="false">IF($A123="N/A"," ",IF(Pricetype4=2,MAX(E123,0),IF(OR(Pricetype4=1,Pricetype4=4),IF(E123=0,0,(EURO(E123,Strikeprice4,0,0,($AK123+IF(Smile=TRUE(),VLOOKUP(MAX(-5,Strikeprice4-E123),Volsmile,2),0)),($A123-DateToday)+15,IF(Pricetype4=1,1,0),0))),E123)))</f>
        <v> </v>
      </c>
      <c r="O123" s="318" t="str">
        <f aca="false">IF($A123="N/A"," ",IF(Pricetype4=2,MAX(F123,0),IF(OR(Pricetype4=1,Pricetype4=4),IF(F123=0,0,(EURO(F123,Strikeprice4,0,0,($AK123+IF(Smile=TRUE(),VLOOKUP(MAX(-5,Strikeprice4-F123),Volsmile,2),0)),($A123-DateToday)+15,IF(Pricetype4=1,1,0),0))),F123)))</f>
        <v> </v>
      </c>
      <c r="P123" s="318" t="str">
        <f aca="false">IF($A123="N/A"," ",IF(Pricetype4=2,MAX(G123,0),IF(OR(Pricetype4=1,Pricetype4=4),IF(G123=0,0,(EURO(G123,Strikeprice4,0,0,($AK123+IF(Smile=TRUE(),VLOOKUP(MAX(-5,Strikeprice4-G123),Volsmile,2),0)),($A123-DateToday)+15,IF(Pricetype4=1,1,0),0))),G123)))</f>
        <v> </v>
      </c>
      <c r="Q123" s="318" t="str">
        <f aca="false">IF($A123="N/A"," ",IF(Pricetype4=2,MAX(H123,0),IF(OR(Pricetype4=1,Pricetype4=4),IF(H123=0,0,(EURO(H123,Strikeprice4,0,0,($AK123+IF(Smile=TRUE(),VLOOKUP(MAX(-5,Strikeprice4-H123),Volsmile,2),0)),($A123-DateToday)+15,IF(Pricetype4=1,1,0),0))),H123)))</f>
        <v> </v>
      </c>
      <c r="R123" s="318" t="str">
        <f aca="false">IF($A123="N/A"," ",IF(Pricetype4=2,MAX(I123,0),IF(OR(Pricetype4=1,Pricetype4=4),IF(I123=0,0,(EURO(I123,Strikeprice4,0,0,($AK123+IF(Smile=TRUE(),VLOOKUP(MAX(-5,Strikeprice4-I123),Volsmile,2),0)),($A123-DateToday)+15,IF(Pricetype4=1,1,0),0))),I123)))</f>
        <v> </v>
      </c>
      <c r="S123" s="318" t="str">
        <f aca="false">IF($A123="N/A"," ",IF(Pricetype4=2,MAX(J123,0),IF(OR(Pricetype4=1,Pricetype4=4),IF(J123=0,0,(EURO(J123,Strikeprice4,0,0,($AK123+IF(Smile=TRUE(),VLOOKUP(MAX(-5,Strikeprice4-J123),Volsmile,2),0)),($A123-DateToday)+15,IF(Pricetype4=1,1,0),0))),J123)))</f>
        <v> </v>
      </c>
      <c r="T123" s="318" t="str">
        <f aca="false">IF($A123="N/A"," ",IF(Pricetype4=2,MAX(K123,0),IF(OR(Pricetype4=1,Pricetype4=4),IF(K123=0,0,(EURO(K123,Strikeprice4,0,0,($AK123+IF(Smile=TRUE(),VLOOKUP(MAX(-5,Strikeprice4-K123),Volsmile,2),0)),($A123-DateToday)+15,IF(Pricetype4=1,1,0),0))),K123)))</f>
        <v> </v>
      </c>
      <c r="U123" s="319" t="str">
        <f aca="false">IF($A123="N/A"," ",Volume4*$AM123)</f>
        <v> </v>
      </c>
      <c r="V123" s="320" t="str">
        <f aca="false">IF($A123="N/A"," ",$U123*(8*($BQ123))*L123)</f>
        <v> </v>
      </c>
      <c r="W123" s="320" t="str">
        <f aca="false">IF($A123="N/A"," ",$U123*(8*($BQ123))*M123)</f>
        <v> </v>
      </c>
      <c r="X123" s="320" t="str">
        <f aca="false">IF($A123="N/A"," ",$U123*(8*($BQ123))*N123)</f>
        <v> </v>
      </c>
      <c r="Y123" s="320" t="str">
        <f aca="false">IF($A123="N/A"," ",$U123*(8*($BR123))*O123)</f>
        <v> </v>
      </c>
      <c r="Z123" s="320" t="str">
        <f aca="false">IF($A123="N/A"," ",$U123*(8*($BR123))*P123)</f>
        <v> </v>
      </c>
      <c r="AA123" s="320" t="str">
        <f aca="false">IF($A123="N/A"," ",$U123*(8*($BR123))*Q123)</f>
        <v> </v>
      </c>
      <c r="AB123" s="320" t="str">
        <f aca="false">IF($A123="N/A"," ",$U123*(8*($BS123))*R123)</f>
        <v> </v>
      </c>
      <c r="AC123" s="320" t="str">
        <f aca="false">IF($A123="N/A"," ",$U123*(8*($BS123))*S123)</f>
        <v> </v>
      </c>
      <c r="AD123" s="320" t="str">
        <f aca="false">IF($A123="N/A"," ",$U123*(8*($BS123))*T123)</f>
        <v> </v>
      </c>
      <c r="AE123" s="320" t="str">
        <f aca="false">IF($A123="N/A"," ",SUM(V123:AD123))</f>
        <v> </v>
      </c>
      <c r="AF123" s="321" t="str">
        <f aca="false">IF(A123="N/A"," ",(VLOOKUP(A123,PowerVolTable,(IF(VolBMO4=2,7,IF(VolBMO4=1,6,8))),FALSE())))</f>
        <v> </v>
      </c>
      <c r="AG123" s="321" t="str">
        <f aca="false">IF(A123="N/A"," ",(VLOOKUP(A123,IntraPowerVol,(IF(VolBMO4=2,3,IF(VolBMO4=1,2,4))),FALSE())*VLOOKUP(MONTH($A123),Volscale,2)))</f>
        <v> </v>
      </c>
      <c r="AH123" s="321" t="str">
        <f aca="false">IF($A123="N/A"," ",IF(VolType4=1,AG123,AF123))</f>
        <v> </v>
      </c>
      <c r="AI123" s="321" t="str">
        <f aca="false">IF($A123="N/A"," ",(VLOOKUP($A123,OffPwrVolTable,(IF(VolBMO4=2,7,IF(VolBMO4=1,6,8))),FALSE())))</f>
        <v> </v>
      </c>
      <c r="AJ123" s="321" t="str">
        <f aca="false">IF($A123="N/A"," ",(VLOOKUP($A123,OffPwrVolTable,(IF(VolBMO4=2,3,IF(VolBMO4=1,2,4))),FALSE())*VLOOKUP(MONTH($A123),Volscale,2)))</f>
        <v> </v>
      </c>
      <c r="AK123" s="321" t="str">
        <f aca="false">IF($A123="N/A"," ",IF(VolType4=1,AJ123,AI123))</f>
        <v> </v>
      </c>
      <c r="AL123" s="321" t="str">
        <f aca="false">IF($A123="N/A"," ",IF(PV=1,0,'Pricing Inputs4'!R156))</f>
        <v> </v>
      </c>
      <c r="AM123" s="323" t="str">
        <f aca="false">IF($A123="N/A"," ",(1+AL123/2)^(-2*((EOMONTH(A123,0)+20)-DateToday)/365.25))</f>
        <v> </v>
      </c>
      <c r="BQ123" s="0" t="str">
        <f aca="false">IF($A123="N/A"," ",(VLOOKUP($A123,NumberofDaysTable,2)))</f>
        <v> </v>
      </c>
      <c r="BR123" s="0" t="str">
        <f aca="false">IF($A123="N/A"," ",(VLOOKUP($A123,NumberofDaysTable,3)))</f>
        <v> </v>
      </c>
      <c r="BS123" s="0" t="str">
        <f aca="false">IF($A123="N/A"," ",(VLOOKUP($A123,NumberofDaysTable,4)))</f>
        <v> </v>
      </c>
    </row>
    <row r="124" customFormat="false" ht="12.75" hidden="false" customHeight="false" outlineLevel="0" collapsed="false">
      <c r="A124" s="315" t="str">
        <f aca="false">IF(A123="N/A","N/A",IF(EDATE(A123,1)&gt;Inputs!$R$5,"N/A",EDATE(A123,1)))</f>
        <v>N/A</v>
      </c>
      <c r="B124" s="316" t="str">
        <f aca="false">IF(A124="N/A"," ",YEAR(A124))</f>
        <v> </v>
      </c>
      <c r="C124" s="317" t="str">
        <f aca="false">IF($A124="N/A"," ",IF(Dayrun4=10,0,IF(Scaler4=1,(VLOOKUP(A124,ScaledPrice4,4)),(VLOOKUP(A124,ScaledPrice4,2)))))</f>
        <v> </v>
      </c>
      <c r="D124" s="317" t="str">
        <f aca="false">IF(A124="N/A"," ",IF(Dayrun4&gt;=7,0,IF(Scaler4=2,VLOOKUP(A124,ScaledPrice4,2),(VLOOKUP(A124,ScaledPrice4,2))*(2-(VLOOKUP(A124,ScaledPrice4,3))))))</f>
        <v> </v>
      </c>
      <c r="E124" s="317" t="str">
        <f aca="false">IF($A124="N/A"," ",IF(AND(Dayrun4&gt;=4,Dayrun4&lt;=9),0,VLOOKUP($A124,ScaledPrice4,9)))</f>
        <v> </v>
      </c>
      <c r="F124" s="317" t="str">
        <f aca="false">IF(A124="N/A"," ",IF(OR(Dayrun4=2,Dayrun4=3,Dayrun4=5,Dayrun4=6,Dayrun4=8,Dayrun4=9),VLOOKUP(A124,ScaledPrice4,IF(Scaler4=1,6,5)),0))</f>
        <v> </v>
      </c>
      <c r="G124" s="317" t="str">
        <f aca="false">IF(A124="N/A"," ",IF(OR(Dayrun4=2,Dayrun4=3,Dayrun4=5,Dayrun4=6),IF(Scaler4=2,F124,(VLOOKUP(A124,ScaledPrice4,5))*(2-(VLOOKUP(A124,ScaledPrice4,3)))),0))</f>
        <v> </v>
      </c>
      <c r="H124" s="317" t="str">
        <f aca="false">IF($A124="N/A"," ",IF(OR(Dayrun4=2,Dayrun4=3,Dayrun4=10),VLOOKUP($A124,ScaledPrice4,9),0))</f>
        <v> </v>
      </c>
      <c r="I124" s="317" t="str">
        <f aca="false">IF(A124="N/A"," ",IF(OR(Dayrun4=3,Dayrun4=6,Dayrun4=9),(VLOOKUP(A124,ScaledPrice4,IF(Scaler4=2,7,8))),0))</f>
        <v> </v>
      </c>
      <c r="J124" s="317" t="str">
        <f aca="false">IF(A124="N/A"," ",IF(OR(Dayrun4=3,Dayrun4=6),IF(Scaler4=2,I124,(VLOOKUP(A124,ScaledPrice4,7))*(2-(VLOOKUP(A124,ScaledPrice4,3)))),0))</f>
        <v> </v>
      </c>
      <c r="K124" s="317" t="str">
        <f aca="false">IF($A124="N/A"," ",IF(OR(Dayrun4=3,Dayrun4=10),VLOOKUP($A124,ScaledPrice4,9),0))</f>
        <v> </v>
      </c>
      <c r="L124" s="318" t="str">
        <f aca="false">IF($A124="N/A"," ",IF(Pricetype4=2,MAX(C124,0),IF(OR(Pricetype4=1,Pricetype4=4),IF(C124=0,0,(EURO(C124,Strikeprice4,0,0,($AH124+IF(Smile=TRUE(),VLOOKUP(MAX(-5,Strikeprice4-C124),Volsmile,2),0)),($A124-DateToday)+15,IF(Pricetype4=1,1,0),0))),C124)))</f>
        <v> </v>
      </c>
      <c r="M124" s="318" t="str">
        <f aca="false">IF($A124="N/A"," ",IF(Pricetype4=2,MAX(D124,0),IF(OR(Pricetype4=1,Pricetype4=4),IF(D124=0,0,(EURO(D124,Strikeprice4,0,0,($AH124+IF(Smile=TRUE(),VLOOKUP(MAX(-5,Strikeprice4-D124),Volsmile,2),0)),($A124-DateToday)+15,IF(Pricetype4=1,1,0),0))),D124)))</f>
        <v> </v>
      </c>
      <c r="N124" s="318" t="str">
        <f aca="false">IF($A124="N/A"," ",IF(Pricetype4=2,MAX(E124,0),IF(OR(Pricetype4=1,Pricetype4=4),IF(E124=0,0,(EURO(E124,Strikeprice4,0,0,($AK124+IF(Smile=TRUE(),VLOOKUP(MAX(-5,Strikeprice4-E124),Volsmile,2),0)),($A124-DateToday)+15,IF(Pricetype4=1,1,0),0))),E124)))</f>
        <v> </v>
      </c>
      <c r="O124" s="318" t="str">
        <f aca="false">IF($A124="N/A"," ",IF(Pricetype4=2,MAX(F124,0),IF(OR(Pricetype4=1,Pricetype4=4),IF(F124=0,0,(EURO(F124,Strikeprice4,0,0,($AK124+IF(Smile=TRUE(),VLOOKUP(MAX(-5,Strikeprice4-F124),Volsmile,2),0)),($A124-DateToday)+15,IF(Pricetype4=1,1,0),0))),F124)))</f>
        <v> </v>
      </c>
      <c r="P124" s="318" t="str">
        <f aca="false">IF($A124="N/A"," ",IF(Pricetype4=2,MAX(G124,0),IF(OR(Pricetype4=1,Pricetype4=4),IF(G124=0,0,(EURO(G124,Strikeprice4,0,0,($AK124+IF(Smile=TRUE(),VLOOKUP(MAX(-5,Strikeprice4-G124),Volsmile,2),0)),($A124-DateToday)+15,IF(Pricetype4=1,1,0),0))),G124)))</f>
        <v> </v>
      </c>
      <c r="Q124" s="318" t="str">
        <f aca="false">IF($A124="N/A"," ",IF(Pricetype4=2,MAX(H124,0),IF(OR(Pricetype4=1,Pricetype4=4),IF(H124=0,0,(EURO(H124,Strikeprice4,0,0,($AK124+IF(Smile=TRUE(),VLOOKUP(MAX(-5,Strikeprice4-H124),Volsmile,2),0)),($A124-DateToday)+15,IF(Pricetype4=1,1,0),0))),H124)))</f>
        <v> </v>
      </c>
      <c r="R124" s="318" t="str">
        <f aca="false">IF($A124="N/A"," ",IF(Pricetype4=2,MAX(I124,0),IF(OR(Pricetype4=1,Pricetype4=4),IF(I124=0,0,(EURO(I124,Strikeprice4,0,0,($AK124+IF(Smile=TRUE(),VLOOKUP(MAX(-5,Strikeprice4-I124),Volsmile,2),0)),($A124-DateToday)+15,IF(Pricetype4=1,1,0),0))),I124)))</f>
        <v> </v>
      </c>
      <c r="S124" s="318" t="str">
        <f aca="false">IF($A124="N/A"," ",IF(Pricetype4=2,MAX(J124,0),IF(OR(Pricetype4=1,Pricetype4=4),IF(J124=0,0,(EURO(J124,Strikeprice4,0,0,($AK124+IF(Smile=TRUE(),VLOOKUP(MAX(-5,Strikeprice4-J124),Volsmile,2),0)),($A124-DateToday)+15,IF(Pricetype4=1,1,0),0))),J124)))</f>
        <v> </v>
      </c>
      <c r="T124" s="318" t="str">
        <f aca="false">IF($A124="N/A"," ",IF(Pricetype4=2,MAX(K124,0),IF(OR(Pricetype4=1,Pricetype4=4),IF(K124=0,0,(EURO(K124,Strikeprice4,0,0,($AK124+IF(Smile=TRUE(),VLOOKUP(MAX(-5,Strikeprice4-K124),Volsmile,2),0)),($A124-DateToday)+15,IF(Pricetype4=1,1,0),0))),K124)))</f>
        <v> </v>
      </c>
      <c r="U124" s="319" t="str">
        <f aca="false">IF($A124="N/A"," ",Volume4*$AM124)</f>
        <v> </v>
      </c>
      <c r="V124" s="320" t="str">
        <f aca="false">IF($A124="N/A"," ",$U124*(8*($BQ124))*L124)</f>
        <v> </v>
      </c>
      <c r="W124" s="320" t="str">
        <f aca="false">IF($A124="N/A"," ",$U124*(8*($BQ124))*M124)</f>
        <v> </v>
      </c>
      <c r="X124" s="320" t="str">
        <f aca="false">IF($A124="N/A"," ",$U124*(8*($BQ124))*N124)</f>
        <v> </v>
      </c>
      <c r="Y124" s="320" t="str">
        <f aca="false">IF($A124="N/A"," ",$U124*(8*($BR124))*O124)</f>
        <v> </v>
      </c>
      <c r="Z124" s="320" t="str">
        <f aca="false">IF($A124="N/A"," ",$U124*(8*($BR124))*P124)</f>
        <v> </v>
      </c>
      <c r="AA124" s="320" t="str">
        <f aca="false">IF($A124="N/A"," ",$U124*(8*($BR124))*Q124)</f>
        <v> </v>
      </c>
      <c r="AB124" s="320" t="str">
        <f aca="false">IF($A124="N/A"," ",$U124*(8*($BS124))*R124)</f>
        <v> </v>
      </c>
      <c r="AC124" s="320" t="str">
        <f aca="false">IF($A124="N/A"," ",$U124*(8*($BS124))*S124)</f>
        <v> </v>
      </c>
      <c r="AD124" s="320" t="str">
        <f aca="false">IF($A124="N/A"," ",$U124*(8*($BS124))*T124)</f>
        <v> </v>
      </c>
      <c r="AE124" s="320" t="str">
        <f aca="false">IF($A124="N/A"," ",SUM(V124:AD124))</f>
        <v> </v>
      </c>
      <c r="AF124" s="321" t="str">
        <f aca="false">IF(A124="N/A"," ",(VLOOKUP(A124,PowerVolTable,(IF(VolBMO4=2,7,IF(VolBMO4=1,6,8))),FALSE())))</f>
        <v> </v>
      </c>
      <c r="AG124" s="321" t="str">
        <f aca="false">IF(A124="N/A"," ",(VLOOKUP(A124,IntraPowerVol,(IF(VolBMO4=2,3,IF(VolBMO4=1,2,4))),FALSE())*VLOOKUP(MONTH($A124),Volscale,2)))</f>
        <v> </v>
      </c>
      <c r="AH124" s="321" t="str">
        <f aca="false">IF($A124="N/A"," ",IF(VolType4=1,AG124,AF124))</f>
        <v> </v>
      </c>
      <c r="AI124" s="321" t="str">
        <f aca="false">IF($A124="N/A"," ",(VLOOKUP($A124,OffPwrVolTable,(IF(VolBMO4=2,7,IF(VolBMO4=1,6,8))),FALSE())))</f>
        <v> </v>
      </c>
      <c r="AJ124" s="321" t="str">
        <f aca="false">IF($A124="N/A"," ",(VLOOKUP($A124,OffPwrVolTable,(IF(VolBMO4=2,3,IF(VolBMO4=1,2,4))),FALSE())*VLOOKUP(MONTH($A124),Volscale,2)))</f>
        <v> </v>
      </c>
      <c r="AK124" s="321" t="str">
        <f aca="false">IF($A124="N/A"," ",IF(VolType4=1,AJ124,AI124))</f>
        <v> </v>
      </c>
      <c r="AL124" s="321" t="str">
        <f aca="false">IF($A124="N/A"," ",IF(PV=1,0,'Pricing Inputs4'!R157))</f>
        <v> </v>
      </c>
      <c r="AM124" s="323" t="str">
        <f aca="false">IF($A124="N/A"," ",(1+AL124/2)^(-2*((EOMONTH(A124,0)+20)-DateToday)/365.25))</f>
        <v> </v>
      </c>
      <c r="BQ124" s="0" t="str">
        <f aca="false">IF($A124="N/A"," ",(VLOOKUP($A124,NumberofDaysTable,2)))</f>
        <v> </v>
      </c>
      <c r="BR124" s="0" t="str">
        <f aca="false">IF($A124="N/A"," ",(VLOOKUP($A124,NumberofDaysTable,3)))</f>
        <v> </v>
      </c>
      <c r="BS124" s="0" t="str">
        <f aca="false">IF($A124="N/A"," ",(VLOOKUP($A124,NumberofDaysTable,4)))</f>
        <v> </v>
      </c>
    </row>
    <row r="125" customFormat="false" ht="12.75" hidden="false" customHeight="false" outlineLevel="0" collapsed="false">
      <c r="A125" s="315" t="str">
        <f aca="false">IF(A124="N/A","N/A",IF(EDATE(A124,1)&gt;Inputs!$R$5,"N/A",EDATE(A124,1)))</f>
        <v>N/A</v>
      </c>
      <c r="B125" s="316" t="str">
        <f aca="false">IF(A125="N/A"," ",YEAR(A125))</f>
        <v> </v>
      </c>
      <c r="C125" s="317" t="str">
        <f aca="false">IF($A125="N/A"," ",IF(Dayrun4=10,0,IF(Scaler4=1,(VLOOKUP(A125,ScaledPrice4,4)),(VLOOKUP(A125,ScaledPrice4,2)))))</f>
        <v> </v>
      </c>
      <c r="D125" s="317" t="str">
        <f aca="false">IF(A125="N/A"," ",IF(Dayrun4&gt;=7,0,IF(Scaler4=2,VLOOKUP(A125,ScaledPrice4,2),(VLOOKUP(A125,ScaledPrice4,2))*(2-(VLOOKUP(A125,ScaledPrice4,3))))))</f>
        <v> </v>
      </c>
      <c r="E125" s="317" t="str">
        <f aca="false">IF($A125="N/A"," ",IF(AND(Dayrun4&gt;=4,Dayrun4&lt;=9),0,VLOOKUP($A125,ScaledPrice4,9)))</f>
        <v> </v>
      </c>
      <c r="F125" s="317" t="str">
        <f aca="false">IF(A125="N/A"," ",IF(OR(Dayrun4=2,Dayrun4=3,Dayrun4=5,Dayrun4=6,Dayrun4=8,Dayrun4=9),VLOOKUP(A125,ScaledPrice4,IF(Scaler4=1,6,5)),0))</f>
        <v> </v>
      </c>
      <c r="G125" s="317" t="str">
        <f aca="false">IF(A125="N/A"," ",IF(OR(Dayrun4=2,Dayrun4=3,Dayrun4=5,Dayrun4=6),IF(Scaler4=2,F125,(VLOOKUP(A125,ScaledPrice4,5))*(2-(VLOOKUP(A125,ScaledPrice4,3)))),0))</f>
        <v> </v>
      </c>
      <c r="H125" s="317" t="str">
        <f aca="false">IF($A125="N/A"," ",IF(OR(Dayrun4=2,Dayrun4=3,Dayrun4=10),VLOOKUP($A125,ScaledPrice4,9),0))</f>
        <v> </v>
      </c>
      <c r="I125" s="317" t="str">
        <f aca="false">IF(A125="N/A"," ",IF(OR(Dayrun4=3,Dayrun4=6,Dayrun4=9),(VLOOKUP(A125,ScaledPrice4,IF(Scaler4=2,7,8))),0))</f>
        <v> </v>
      </c>
      <c r="J125" s="317" t="str">
        <f aca="false">IF(A125="N/A"," ",IF(OR(Dayrun4=3,Dayrun4=6),IF(Scaler4=2,I125,(VLOOKUP(A125,ScaledPrice4,7))*(2-(VLOOKUP(A125,ScaledPrice4,3)))),0))</f>
        <v> </v>
      </c>
      <c r="K125" s="317" t="str">
        <f aca="false">IF($A125="N/A"," ",IF(OR(Dayrun4=3,Dayrun4=10),VLOOKUP($A125,ScaledPrice4,9),0))</f>
        <v> </v>
      </c>
      <c r="L125" s="318" t="str">
        <f aca="false">IF($A125="N/A"," ",IF(Pricetype4=2,MAX(C125,0),IF(OR(Pricetype4=1,Pricetype4=4),IF(C125=0,0,(EURO(C125,Strikeprice4,0,0,($AH125+IF(Smile=TRUE(),VLOOKUP(MAX(-5,Strikeprice4-C125),Volsmile,2),0)),($A125-DateToday)+15,IF(Pricetype4=1,1,0),0))),C125)))</f>
        <v> </v>
      </c>
      <c r="M125" s="318" t="str">
        <f aca="false">IF($A125="N/A"," ",IF(Pricetype4=2,MAX(D125,0),IF(OR(Pricetype4=1,Pricetype4=4),IF(D125=0,0,(EURO(D125,Strikeprice4,0,0,($AH125+IF(Smile=TRUE(),VLOOKUP(MAX(-5,Strikeprice4-D125),Volsmile,2),0)),($A125-DateToday)+15,IF(Pricetype4=1,1,0),0))),D125)))</f>
        <v> </v>
      </c>
      <c r="N125" s="318" t="str">
        <f aca="false">IF($A125="N/A"," ",IF(Pricetype4=2,MAX(E125,0),IF(OR(Pricetype4=1,Pricetype4=4),IF(E125=0,0,(EURO(E125,Strikeprice4,0,0,($AK125+IF(Smile=TRUE(),VLOOKUP(MAX(-5,Strikeprice4-E125),Volsmile,2),0)),($A125-DateToday)+15,IF(Pricetype4=1,1,0),0))),E125)))</f>
        <v> </v>
      </c>
      <c r="O125" s="318" t="str">
        <f aca="false">IF($A125="N/A"," ",IF(Pricetype4=2,MAX(F125,0),IF(OR(Pricetype4=1,Pricetype4=4),IF(F125=0,0,(EURO(F125,Strikeprice4,0,0,($AK125+IF(Smile=TRUE(),VLOOKUP(MAX(-5,Strikeprice4-F125),Volsmile,2),0)),($A125-DateToday)+15,IF(Pricetype4=1,1,0),0))),F125)))</f>
        <v> </v>
      </c>
      <c r="P125" s="318" t="str">
        <f aca="false">IF($A125="N/A"," ",IF(Pricetype4=2,MAX(G125,0),IF(OR(Pricetype4=1,Pricetype4=4),IF(G125=0,0,(EURO(G125,Strikeprice4,0,0,($AK125+IF(Smile=TRUE(),VLOOKUP(MAX(-5,Strikeprice4-G125),Volsmile,2),0)),($A125-DateToday)+15,IF(Pricetype4=1,1,0),0))),G125)))</f>
        <v> </v>
      </c>
      <c r="Q125" s="318" t="str">
        <f aca="false">IF($A125="N/A"," ",IF(Pricetype4=2,MAX(H125,0),IF(OR(Pricetype4=1,Pricetype4=4),IF(H125=0,0,(EURO(H125,Strikeprice4,0,0,($AK125+IF(Smile=TRUE(),VLOOKUP(MAX(-5,Strikeprice4-H125),Volsmile,2),0)),($A125-DateToday)+15,IF(Pricetype4=1,1,0),0))),H125)))</f>
        <v> </v>
      </c>
      <c r="R125" s="318" t="str">
        <f aca="false">IF($A125="N/A"," ",IF(Pricetype4=2,MAX(I125,0),IF(OR(Pricetype4=1,Pricetype4=4),IF(I125=0,0,(EURO(I125,Strikeprice4,0,0,($AK125+IF(Smile=TRUE(),VLOOKUP(MAX(-5,Strikeprice4-I125),Volsmile,2),0)),($A125-DateToday)+15,IF(Pricetype4=1,1,0),0))),I125)))</f>
        <v> </v>
      </c>
      <c r="S125" s="318" t="str">
        <f aca="false">IF($A125="N/A"," ",IF(Pricetype4=2,MAX(J125,0),IF(OR(Pricetype4=1,Pricetype4=4),IF(J125=0,0,(EURO(J125,Strikeprice4,0,0,($AK125+IF(Smile=TRUE(),VLOOKUP(MAX(-5,Strikeprice4-J125),Volsmile,2),0)),($A125-DateToday)+15,IF(Pricetype4=1,1,0),0))),J125)))</f>
        <v> </v>
      </c>
      <c r="T125" s="318" t="str">
        <f aca="false">IF($A125="N/A"," ",IF(Pricetype4=2,MAX(K125,0),IF(OR(Pricetype4=1,Pricetype4=4),IF(K125=0,0,(EURO(K125,Strikeprice4,0,0,($AK125+IF(Smile=TRUE(),VLOOKUP(MAX(-5,Strikeprice4-K125),Volsmile,2),0)),($A125-DateToday)+15,IF(Pricetype4=1,1,0),0))),K125)))</f>
        <v> </v>
      </c>
      <c r="U125" s="319" t="str">
        <f aca="false">IF($A125="N/A"," ",Volume4*$AM125)</f>
        <v> </v>
      </c>
      <c r="V125" s="320" t="str">
        <f aca="false">IF($A125="N/A"," ",$U125*(8*($BQ125))*L125)</f>
        <v> </v>
      </c>
      <c r="W125" s="320" t="str">
        <f aca="false">IF($A125="N/A"," ",$U125*(8*($BQ125))*M125)</f>
        <v> </v>
      </c>
      <c r="X125" s="320" t="str">
        <f aca="false">IF($A125="N/A"," ",$U125*(8*($BQ125))*N125)</f>
        <v> </v>
      </c>
      <c r="Y125" s="320" t="str">
        <f aca="false">IF($A125="N/A"," ",$U125*(8*($BR125))*O125)</f>
        <v> </v>
      </c>
      <c r="Z125" s="320" t="str">
        <f aca="false">IF($A125="N/A"," ",$U125*(8*($BR125))*P125)</f>
        <v> </v>
      </c>
      <c r="AA125" s="320" t="str">
        <f aca="false">IF($A125="N/A"," ",$U125*(8*($BR125))*Q125)</f>
        <v> </v>
      </c>
      <c r="AB125" s="320" t="str">
        <f aca="false">IF($A125="N/A"," ",$U125*(8*($BS125))*R125)</f>
        <v> </v>
      </c>
      <c r="AC125" s="320" t="str">
        <f aca="false">IF($A125="N/A"," ",$U125*(8*($BS125))*S125)</f>
        <v> </v>
      </c>
      <c r="AD125" s="320" t="str">
        <f aca="false">IF($A125="N/A"," ",$U125*(8*($BS125))*T125)</f>
        <v> </v>
      </c>
      <c r="AE125" s="320" t="str">
        <f aca="false">IF($A125="N/A"," ",SUM(V125:AD125))</f>
        <v> </v>
      </c>
      <c r="AF125" s="321" t="str">
        <f aca="false">IF(A125="N/A"," ",(VLOOKUP(A125,PowerVolTable,(IF(VolBMO4=2,7,IF(VolBMO4=1,6,8))),FALSE())))</f>
        <v> </v>
      </c>
      <c r="AG125" s="321" t="str">
        <f aca="false">IF(A125="N/A"," ",(VLOOKUP(A125,IntraPowerVol,(IF(VolBMO4=2,3,IF(VolBMO4=1,2,4))),FALSE())*VLOOKUP(MONTH($A125),Volscale,2)))</f>
        <v> </v>
      </c>
      <c r="AH125" s="321" t="str">
        <f aca="false">IF($A125="N/A"," ",IF(VolType4=1,AG125,AF125))</f>
        <v> </v>
      </c>
      <c r="AI125" s="321" t="str">
        <f aca="false">IF($A125="N/A"," ",(VLOOKUP($A125,OffPwrVolTable,(IF(VolBMO4=2,7,IF(VolBMO4=1,6,8))),FALSE())))</f>
        <v> </v>
      </c>
      <c r="AJ125" s="321" t="str">
        <f aca="false">IF($A125="N/A"," ",(VLOOKUP($A125,OffPwrVolTable,(IF(VolBMO4=2,3,IF(VolBMO4=1,2,4))),FALSE())*VLOOKUP(MONTH($A125),Volscale,2)))</f>
        <v> </v>
      </c>
      <c r="AK125" s="321" t="str">
        <f aca="false">IF($A125="N/A"," ",IF(VolType4=1,AJ125,AI125))</f>
        <v> </v>
      </c>
      <c r="AL125" s="321" t="str">
        <f aca="false">IF($A125="N/A"," ",IF(PV=1,0,'Pricing Inputs4'!R158))</f>
        <v> </v>
      </c>
      <c r="AM125" s="323" t="str">
        <f aca="false">IF($A125="N/A"," ",(1+AL125/2)^(-2*((EOMONTH(A125,0)+20)-DateToday)/365.25))</f>
        <v> </v>
      </c>
      <c r="BQ125" s="0" t="str">
        <f aca="false">IF($A125="N/A"," ",(VLOOKUP($A125,NumberofDaysTable,2)))</f>
        <v> </v>
      </c>
      <c r="BR125" s="0" t="str">
        <f aca="false">IF($A125="N/A"," ",(VLOOKUP($A125,NumberofDaysTable,3)))</f>
        <v> </v>
      </c>
      <c r="BS125" s="0" t="str">
        <f aca="false">IF($A125="N/A"," ",(VLOOKUP($A125,NumberofDaysTable,4)))</f>
        <v> </v>
      </c>
    </row>
    <row r="126" customFormat="false" ht="12.75" hidden="false" customHeight="false" outlineLevel="0" collapsed="false">
      <c r="A126" s="315" t="str">
        <f aca="false">IF(A125="N/A","N/A",IF(EDATE(A125,1)&gt;Inputs!$R$5,"N/A",EDATE(A125,1)))</f>
        <v>N/A</v>
      </c>
      <c r="B126" s="316" t="str">
        <f aca="false">IF(A126="N/A"," ",YEAR(A126))</f>
        <v> </v>
      </c>
      <c r="C126" s="317" t="str">
        <f aca="false">IF($A126="N/A"," ",IF(Dayrun4=10,0,IF(Scaler4=1,(VLOOKUP(A126,ScaledPrice4,4)),(VLOOKUP(A126,ScaledPrice4,2)))))</f>
        <v> </v>
      </c>
      <c r="D126" s="317" t="str">
        <f aca="false">IF(A126="N/A"," ",IF(Dayrun4&gt;=7,0,IF(Scaler4=2,VLOOKUP(A126,ScaledPrice4,2),(VLOOKUP(A126,ScaledPrice4,2))*(2-(VLOOKUP(A126,ScaledPrice4,3))))))</f>
        <v> </v>
      </c>
      <c r="E126" s="317" t="str">
        <f aca="false">IF($A126="N/A"," ",IF(AND(Dayrun4&gt;=4,Dayrun4&lt;=9),0,VLOOKUP($A126,ScaledPrice4,9)))</f>
        <v> </v>
      </c>
      <c r="F126" s="317" t="str">
        <f aca="false">IF(A126="N/A"," ",IF(OR(Dayrun4=2,Dayrun4=3,Dayrun4=5,Dayrun4=6,Dayrun4=8,Dayrun4=9),VLOOKUP(A126,ScaledPrice4,IF(Scaler4=1,6,5)),0))</f>
        <v> </v>
      </c>
      <c r="G126" s="317" t="str">
        <f aca="false">IF(A126="N/A"," ",IF(OR(Dayrun4=2,Dayrun4=3,Dayrun4=5,Dayrun4=6),IF(Scaler4=2,F126,(VLOOKUP(A126,ScaledPrice4,5))*(2-(VLOOKUP(A126,ScaledPrice4,3)))),0))</f>
        <v> </v>
      </c>
      <c r="H126" s="317" t="str">
        <f aca="false">IF($A126="N/A"," ",IF(OR(Dayrun4=2,Dayrun4=3,Dayrun4=10),VLOOKUP($A126,ScaledPrice4,9),0))</f>
        <v> </v>
      </c>
      <c r="I126" s="317" t="str">
        <f aca="false">IF(A126="N/A"," ",IF(OR(Dayrun4=3,Dayrun4=6,Dayrun4=9),(VLOOKUP(A126,ScaledPrice4,IF(Scaler4=2,7,8))),0))</f>
        <v> </v>
      </c>
      <c r="J126" s="317" t="str">
        <f aca="false">IF(A126="N/A"," ",IF(OR(Dayrun4=3,Dayrun4=6),IF(Scaler4=2,I126,(VLOOKUP(A126,ScaledPrice4,7))*(2-(VLOOKUP(A126,ScaledPrice4,3)))),0))</f>
        <v> </v>
      </c>
      <c r="K126" s="317" t="str">
        <f aca="false">IF($A126="N/A"," ",IF(OR(Dayrun4=3,Dayrun4=10),VLOOKUP($A126,ScaledPrice4,9),0))</f>
        <v> </v>
      </c>
      <c r="L126" s="318" t="str">
        <f aca="false">IF($A126="N/A"," ",IF(Pricetype4=2,MAX(C126,0),IF(OR(Pricetype4=1,Pricetype4=4),IF(C126=0,0,(EURO(C126,Strikeprice4,0,0,($AH126+IF(Smile=TRUE(),VLOOKUP(MAX(-5,Strikeprice4-C126),Volsmile,2),0)),($A126-DateToday)+15,IF(Pricetype4=1,1,0),0))),C126)))</f>
        <v> </v>
      </c>
      <c r="M126" s="318" t="str">
        <f aca="false">IF($A126="N/A"," ",IF(Pricetype4=2,MAX(D126,0),IF(OR(Pricetype4=1,Pricetype4=4),IF(D126=0,0,(EURO(D126,Strikeprice4,0,0,($AH126+IF(Smile=TRUE(),VLOOKUP(MAX(-5,Strikeprice4-D126),Volsmile,2),0)),($A126-DateToday)+15,IF(Pricetype4=1,1,0),0))),D126)))</f>
        <v> </v>
      </c>
      <c r="N126" s="318" t="str">
        <f aca="false">IF($A126="N/A"," ",IF(Pricetype4=2,MAX(E126,0),IF(OR(Pricetype4=1,Pricetype4=4),IF(E126=0,0,(EURO(E126,Strikeprice4,0,0,($AK126+IF(Smile=TRUE(),VLOOKUP(MAX(-5,Strikeprice4-E126),Volsmile,2),0)),($A126-DateToday)+15,IF(Pricetype4=1,1,0),0))),E126)))</f>
        <v> </v>
      </c>
      <c r="O126" s="318" t="str">
        <f aca="false">IF($A126="N/A"," ",IF(Pricetype4=2,MAX(F126,0),IF(OR(Pricetype4=1,Pricetype4=4),IF(F126=0,0,(EURO(F126,Strikeprice4,0,0,($AK126+IF(Smile=TRUE(),VLOOKUP(MAX(-5,Strikeprice4-F126),Volsmile,2),0)),($A126-DateToday)+15,IF(Pricetype4=1,1,0),0))),F126)))</f>
        <v> </v>
      </c>
      <c r="P126" s="318" t="str">
        <f aca="false">IF($A126="N/A"," ",IF(Pricetype4=2,MAX(G126,0),IF(OR(Pricetype4=1,Pricetype4=4),IF(G126=0,0,(EURO(G126,Strikeprice4,0,0,($AK126+IF(Smile=TRUE(),VLOOKUP(MAX(-5,Strikeprice4-G126),Volsmile,2),0)),($A126-DateToday)+15,IF(Pricetype4=1,1,0),0))),G126)))</f>
        <v> </v>
      </c>
      <c r="Q126" s="318" t="str">
        <f aca="false">IF($A126="N/A"," ",IF(Pricetype4=2,MAX(H126,0),IF(OR(Pricetype4=1,Pricetype4=4),IF(H126=0,0,(EURO(H126,Strikeprice4,0,0,($AK126+IF(Smile=TRUE(),VLOOKUP(MAX(-5,Strikeprice4-H126),Volsmile,2),0)),($A126-DateToday)+15,IF(Pricetype4=1,1,0),0))),H126)))</f>
        <v> </v>
      </c>
      <c r="R126" s="318" t="str">
        <f aca="false">IF($A126="N/A"," ",IF(Pricetype4=2,MAX(I126,0),IF(OR(Pricetype4=1,Pricetype4=4),IF(I126=0,0,(EURO(I126,Strikeprice4,0,0,($AK126+IF(Smile=TRUE(),VLOOKUP(MAX(-5,Strikeprice4-I126),Volsmile,2),0)),($A126-DateToday)+15,IF(Pricetype4=1,1,0),0))),I126)))</f>
        <v> </v>
      </c>
      <c r="S126" s="318" t="str">
        <f aca="false">IF($A126="N/A"," ",IF(Pricetype4=2,MAX(J126,0),IF(OR(Pricetype4=1,Pricetype4=4),IF(J126=0,0,(EURO(J126,Strikeprice4,0,0,($AK126+IF(Smile=TRUE(),VLOOKUP(MAX(-5,Strikeprice4-J126),Volsmile,2),0)),($A126-DateToday)+15,IF(Pricetype4=1,1,0),0))),J126)))</f>
        <v> </v>
      </c>
      <c r="T126" s="318" t="str">
        <f aca="false">IF($A126="N/A"," ",IF(Pricetype4=2,MAX(K126,0),IF(OR(Pricetype4=1,Pricetype4=4),IF(K126=0,0,(EURO(K126,Strikeprice4,0,0,($AK126+IF(Smile=TRUE(),VLOOKUP(MAX(-5,Strikeprice4-K126),Volsmile,2),0)),($A126-DateToday)+15,IF(Pricetype4=1,1,0),0))),K126)))</f>
        <v> </v>
      </c>
      <c r="U126" s="319" t="str">
        <f aca="false">IF($A126="N/A"," ",Volume4*$AM126)</f>
        <v> </v>
      </c>
      <c r="V126" s="320" t="str">
        <f aca="false">IF($A126="N/A"," ",$U126*(8*($BQ126))*L126)</f>
        <v> </v>
      </c>
      <c r="W126" s="320" t="str">
        <f aca="false">IF($A126="N/A"," ",$U126*(8*($BQ126))*M126)</f>
        <v> </v>
      </c>
      <c r="X126" s="320" t="str">
        <f aca="false">IF($A126="N/A"," ",$U126*(8*($BQ126))*N126)</f>
        <v> </v>
      </c>
      <c r="Y126" s="320" t="str">
        <f aca="false">IF($A126="N/A"," ",$U126*(8*($BR126))*O126)</f>
        <v> </v>
      </c>
      <c r="Z126" s="320" t="str">
        <f aca="false">IF($A126="N/A"," ",$U126*(8*($BR126))*P126)</f>
        <v> </v>
      </c>
      <c r="AA126" s="320" t="str">
        <f aca="false">IF($A126="N/A"," ",$U126*(8*($BR126))*Q126)</f>
        <v> </v>
      </c>
      <c r="AB126" s="320" t="str">
        <f aca="false">IF($A126="N/A"," ",$U126*(8*($BS126))*R126)</f>
        <v> </v>
      </c>
      <c r="AC126" s="320" t="str">
        <f aca="false">IF($A126="N/A"," ",$U126*(8*($BS126))*S126)</f>
        <v> </v>
      </c>
      <c r="AD126" s="320" t="str">
        <f aca="false">IF($A126="N/A"," ",$U126*(8*($BS126))*T126)</f>
        <v> </v>
      </c>
      <c r="AE126" s="320" t="str">
        <f aca="false">IF($A126="N/A"," ",SUM(V126:AD126))</f>
        <v> </v>
      </c>
      <c r="AF126" s="321" t="str">
        <f aca="false">IF(A126="N/A"," ",(VLOOKUP(A126,PowerVolTable,(IF(VolBMO4=2,7,IF(VolBMO4=1,6,8))),FALSE())))</f>
        <v> </v>
      </c>
      <c r="AG126" s="321" t="str">
        <f aca="false">IF(A126="N/A"," ",(VLOOKUP(A126,IntraPowerVol,(IF(VolBMO4=2,3,IF(VolBMO4=1,2,4))),FALSE())*VLOOKUP(MONTH($A126),Volscale,2)))</f>
        <v> </v>
      </c>
      <c r="AH126" s="321" t="str">
        <f aca="false">IF($A126="N/A"," ",IF(VolType4=1,AG126,AF126))</f>
        <v> </v>
      </c>
      <c r="AI126" s="321" t="str">
        <f aca="false">IF($A126="N/A"," ",(VLOOKUP($A126,OffPwrVolTable,(IF(VolBMO4=2,7,IF(VolBMO4=1,6,8))),FALSE())))</f>
        <v> </v>
      </c>
      <c r="AJ126" s="321" t="str">
        <f aca="false">IF($A126="N/A"," ",(VLOOKUP($A126,OffPwrVolTable,(IF(VolBMO4=2,3,IF(VolBMO4=1,2,4))),FALSE())*VLOOKUP(MONTH($A126),Volscale,2)))</f>
        <v> </v>
      </c>
      <c r="AK126" s="321" t="str">
        <f aca="false">IF($A126="N/A"," ",IF(VolType4=1,AJ126,AI126))</f>
        <v> </v>
      </c>
      <c r="AL126" s="321" t="str">
        <f aca="false">IF($A126="N/A"," ",IF(PV=1,0,'Pricing Inputs4'!R159))</f>
        <v> </v>
      </c>
      <c r="AM126" s="323" t="str">
        <f aca="false">IF($A126="N/A"," ",(1+AL126/2)^(-2*((EOMONTH(A126,0)+20)-DateToday)/365.25))</f>
        <v> </v>
      </c>
      <c r="BQ126" s="0" t="str">
        <f aca="false">IF($A126="N/A"," ",(VLOOKUP($A126,NumberofDaysTable,2)))</f>
        <v> </v>
      </c>
      <c r="BR126" s="0" t="str">
        <f aca="false">IF($A126="N/A"," ",(VLOOKUP($A126,NumberofDaysTable,3)))</f>
        <v> </v>
      </c>
      <c r="BS126" s="0" t="str">
        <f aca="false">IF($A126="N/A"," ",(VLOOKUP($A126,NumberofDaysTable,4)))</f>
        <v> </v>
      </c>
    </row>
    <row r="127" customFormat="false" ht="12.75" hidden="false" customHeight="false" outlineLevel="0" collapsed="false">
      <c r="A127" s="315" t="str">
        <f aca="false">IF(A126="N/A","N/A",IF(EDATE(A126,1)&gt;Inputs!$R$5,"N/A",EDATE(A126,1)))</f>
        <v>N/A</v>
      </c>
      <c r="B127" s="316" t="str">
        <f aca="false">IF(A127="N/A"," ",YEAR(A127))</f>
        <v> </v>
      </c>
      <c r="C127" s="317" t="str">
        <f aca="false">IF($A127="N/A"," ",IF(Dayrun4=10,0,IF(Scaler4=1,(VLOOKUP(A127,ScaledPrice4,4)),(VLOOKUP(A127,ScaledPrice4,2)))))</f>
        <v> </v>
      </c>
      <c r="D127" s="317" t="str">
        <f aca="false">IF(A127="N/A"," ",IF(Dayrun4&gt;=7,0,IF(Scaler4=2,VLOOKUP(A127,ScaledPrice4,2),(VLOOKUP(A127,ScaledPrice4,2))*(2-(VLOOKUP(A127,ScaledPrice4,3))))))</f>
        <v> </v>
      </c>
      <c r="E127" s="317" t="str">
        <f aca="false">IF($A127="N/A"," ",IF(AND(Dayrun4&gt;=4,Dayrun4&lt;=9),0,VLOOKUP($A127,ScaledPrice4,9)))</f>
        <v> </v>
      </c>
      <c r="F127" s="317" t="str">
        <f aca="false">IF(A127="N/A"," ",IF(OR(Dayrun4=2,Dayrun4=3,Dayrun4=5,Dayrun4=6,Dayrun4=8,Dayrun4=9),VLOOKUP(A127,ScaledPrice4,IF(Scaler4=1,6,5)),0))</f>
        <v> </v>
      </c>
      <c r="G127" s="317" t="str">
        <f aca="false">IF(A127="N/A"," ",IF(OR(Dayrun4=2,Dayrun4=3,Dayrun4=5,Dayrun4=6),IF(Scaler4=2,F127,(VLOOKUP(A127,ScaledPrice4,5))*(2-(VLOOKUP(A127,ScaledPrice4,3)))),0))</f>
        <v> </v>
      </c>
      <c r="H127" s="317" t="str">
        <f aca="false">IF($A127="N/A"," ",IF(OR(Dayrun4=2,Dayrun4=3,Dayrun4=10),VLOOKUP($A127,ScaledPrice4,9),0))</f>
        <v> </v>
      </c>
      <c r="I127" s="317" t="str">
        <f aca="false">IF(A127="N/A"," ",IF(OR(Dayrun4=3,Dayrun4=6,Dayrun4=9),(VLOOKUP(A127,ScaledPrice4,IF(Scaler4=2,7,8))),0))</f>
        <v> </v>
      </c>
      <c r="J127" s="317" t="str">
        <f aca="false">IF(A127="N/A"," ",IF(OR(Dayrun4=3,Dayrun4=6),IF(Scaler4=2,I127,(VLOOKUP(A127,ScaledPrice4,7))*(2-(VLOOKUP(A127,ScaledPrice4,3)))),0))</f>
        <v> </v>
      </c>
      <c r="K127" s="317" t="str">
        <f aca="false">IF($A127="N/A"," ",IF(OR(Dayrun4=3,Dayrun4=10),VLOOKUP($A127,ScaledPrice4,9),0))</f>
        <v> </v>
      </c>
      <c r="L127" s="318" t="str">
        <f aca="false">IF($A127="N/A"," ",IF(Pricetype4=2,MAX(C127,0),IF(OR(Pricetype4=1,Pricetype4=4),IF(C127=0,0,(EURO(C127,Strikeprice4,0,0,($AH127+IF(Smile=TRUE(),VLOOKUP(MAX(-5,Strikeprice4-C127),Volsmile,2),0)),($A127-DateToday)+15,IF(Pricetype4=1,1,0),0))),C127)))</f>
        <v> </v>
      </c>
      <c r="M127" s="318" t="str">
        <f aca="false">IF($A127="N/A"," ",IF(Pricetype4=2,MAX(D127,0),IF(OR(Pricetype4=1,Pricetype4=4),IF(D127=0,0,(EURO(D127,Strikeprice4,0,0,($AH127+IF(Smile=TRUE(),VLOOKUP(MAX(-5,Strikeprice4-D127),Volsmile,2),0)),($A127-DateToday)+15,IF(Pricetype4=1,1,0),0))),D127)))</f>
        <v> </v>
      </c>
      <c r="N127" s="318" t="str">
        <f aca="false">IF($A127="N/A"," ",IF(Pricetype4=2,MAX(E127,0),IF(OR(Pricetype4=1,Pricetype4=4),IF(E127=0,0,(EURO(E127,Strikeprice4,0,0,($AK127+IF(Smile=TRUE(),VLOOKUP(MAX(-5,Strikeprice4-E127),Volsmile,2),0)),($A127-DateToday)+15,IF(Pricetype4=1,1,0),0))),E127)))</f>
        <v> </v>
      </c>
      <c r="O127" s="318" t="str">
        <f aca="false">IF($A127="N/A"," ",IF(Pricetype4=2,MAX(F127,0),IF(OR(Pricetype4=1,Pricetype4=4),IF(F127=0,0,(EURO(F127,Strikeprice4,0,0,($AK127+IF(Smile=TRUE(),VLOOKUP(MAX(-5,Strikeprice4-F127),Volsmile,2),0)),($A127-DateToday)+15,IF(Pricetype4=1,1,0),0))),F127)))</f>
        <v> </v>
      </c>
      <c r="P127" s="318" t="str">
        <f aca="false">IF($A127="N/A"," ",IF(Pricetype4=2,MAX(G127,0),IF(OR(Pricetype4=1,Pricetype4=4),IF(G127=0,0,(EURO(G127,Strikeprice4,0,0,($AK127+IF(Smile=TRUE(),VLOOKUP(MAX(-5,Strikeprice4-G127),Volsmile,2),0)),($A127-DateToday)+15,IF(Pricetype4=1,1,0),0))),G127)))</f>
        <v> </v>
      </c>
      <c r="Q127" s="318" t="str">
        <f aca="false">IF($A127="N/A"," ",IF(Pricetype4=2,MAX(H127,0),IF(OR(Pricetype4=1,Pricetype4=4),IF(H127=0,0,(EURO(H127,Strikeprice4,0,0,($AK127+IF(Smile=TRUE(),VLOOKUP(MAX(-5,Strikeprice4-H127),Volsmile,2),0)),($A127-DateToday)+15,IF(Pricetype4=1,1,0),0))),H127)))</f>
        <v> </v>
      </c>
      <c r="R127" s="318" t="str">
        <f aca="false">IF($A127="N/A"," ",IF(Pricetype4=2,MAX(I127,0),IF(OR(Pricetype4=1,Pricetype4=4),IF(I127=0,0,(EURO(I127,Strikeprice4,0,0,($AK127+IF(Smile=TRUE(),VLOOKUP(MAX(-5,Strikeprice4-I127),Volsmile,2),0)),($A127-DateToday)+15,IF(Pricetype4=1,1,0),0))),I127)))</f>
        <v> </v>
      </c>
      <c r="S127" s="318" t="str">
        <f aca="false">IF($A127="N/A"," ",IF(Pricetype4=2,MAX(J127,0),IF(OR(Pricetype4=1,Pricetype4=4),IF(J127=0,0,(EURO(J127,Strikeprice4,0,0,($AK127+IF(Smile=TRUE(),VLOOKUP(MAX(-5,Strikeprice4-J127),Volsmile,2),0)),($A127-DateToday)+15,IF(Pricetype4=1,1,0),0))),J127)))</f>
        <v> </v>
      </c>
      <c r="T127" s="318" t="str">
        <f aca="false">IF($A127="N/A"," ",IF(Pricetype4=2,MAX(K127,0),IF(OR(Pricetype4=1,Pricetype4=4),IF(K127=0,0,(EURO(K127,Strikeprice4,0,0,($AK127+IF(Smile=TRUE(),VLOOKUP(MAX(-5,Strikeprice4-K127),Volsmile,2),0)),($A127-DateToday)+15,IF(Pricetype4=1,1,0),0))),K127)))</f>
        <v> </v>
      </c>
      <c r="U127" s="319" t="str">
        <f aca="false">IF($A127="N/A"," ",Volume4*$AM127)</f>
        <v> </v>
      </c>
      <c r="V127" s="320" t="str">
        <f aca="false">IF($A127="N/A"," ",$U127*(8*($BQ127))*L127)</f>
        <v> </v>
      </c>
      <c r="W127" s="320" t="str">
        <f aca="false">IF($A127="N/A"," ",$U127*(8*($BQ127))*M127)</f>
        <v> </v>
      </c>
      <c r="X127" s="320" t="str">
        <f aca="false">IF($A127="N/A"," ",$U127*(8*($BQ127))*N127)</f>
        <v> </v>
      </c>
      <c r="Y127" s="320" t="str">
        <f aca="false">IF($A127="N/A"," ",$U127*(8*($BR127))*O127)</f>
        <v> </v>
      </c>
      <c r="Z127" s="320" t="str">
        <f aca="false">IF($A127="N/A"," ",$U127*(8*($BR127))*P127)</f>
        <v> </v>
      </c>
      <c r="AA127" s="320" t="str">
        <f aca="false">IF($A127="N/A"," ",$U127*(8*($BR127))*Q127)</f>
        <v> </v>
      </c>
      <c r="AB127" s="320" t="str">
        <f aca="false">IF($A127="N/A"," ",$U127*(8*($BS127))*R127)</f>
        <v> </v>
      </c>
      <c r="AC127" s="320" t="str">
        <f aca="false">IF($A127="N/A"," ",$U127*(8*($BS127))*S127)</f>
        <v> </v>
      </c>
      <c r="AD127" s="320" t="str">
        <f aca="false">IF($A127="N/A"," ",$U127*(8*($BS127))*T127)</f>
        <v> </v>
      </c>
      <c r="AE127" s="320" t="str">
        <f aca="false">IF($A127="N/A"," ",SUM(V127:AD127))</f>
        <v> </v>
      </c>
      <c r="AF127" s="321" t="str">
        <f aca="false">IF(A127="N/A"," ",(VLOOKUP(A127,PowerVolTable,(IF(VolBMO4=2,7,IF(VolBMO4=1,6,8))),FALSE())))</f>
        <v> </v>
      </c>
      <c r="AG127" s="321" t="str">
        <f aca="false">IF(A127="N/A"," ",(VLOOKUP(A127,IntraPowerVol,(IF(VolBMO4=2,3,IF(VolBMO4=1,2,4))),FALSE())*VLOOKUP(MONTH($A127),Volscale,2)))</f>
        <v> </v>
      </c>
      <c r="AH127" s="321" t="str">
        <f aca="false">IF($A127="N/A"," ",IF(VolType4=1,AG127,AF127))</f>
        <v> </v>
      </c>
      <c r="AI127" s="321" t="str">
        <f aca="false">IF($A127="N/A"," ",(VLOOKUP($A127,OffPwrVolTable,(IF(VolBMO4=2,7,IF(VolBMO4=1,6,8))),FALSE())))</f>
        <v> </v>
      </c>
      <c r="AJ127" s="321" t="str">
        <f aca="false">IF($A127="N/A"," ",(VLOOKUP($A127,OffPwrVolTable,(IF(VolBMO4=2,3,IF(VolBMO4=1,2,4))),FALSE())*VLOOKUP(MONTH($A127),Volscale,2)))</f>
        <v> </v>
      </c>
      <c r="AK127" s="321" t="str">
        <f aca="false">IF($A127="N/A"," ",IF(VolType4=1,AJ127,AI127))</f>
        <v> </v>
      </c>
      <c r="AL127" s="321" t="str">
        <f aca="false">IF($A127="N/A"," ",IF(PV=1,0,'Pricing Inputs4'!R160))</f>
        <v> </v>
      </c>
      <c r="AM127" s="323" t="str">
        <f aca="false">IF($A127="N/A"," ",(1+AL127/2)^(-2*((EOMONTH(A127,0)+20)-DateToday)/365.25))</f>
        <v> </v>
      </c>
      <c r="BQ127" s="0" t="str">
        <f aca="false">IF($A127="N/A"," ",(VLOOKUP($A127,NumberofDaysTable,2)))</f>
        <v> </v>
      </c>
      <c r="BR127" s="0" t="str">
        <f aca="false">IF($A127="N/A"," ",(VLOOKUP($A127,NumberofDaysTable,3)))</f>
        <v> </v>
      </c>
      <c r="BS127" s="0" t="str">
        <f aca="false">IF($A127="N/A"," ",(VLOOKUP($A127,NumberofDaysTable,4)))</f>
        <v> </v>
      </c>
    </row>
    <row r="128" customFormat="false" ht="12.75" hidden="false" customHeight="false" outlineLevel="0" collapsed="false">
      <c r="A128" s="315" t="str">
        <f aca="false">IF(A127="N/A","N/A",IF(EDATE(A127,1)&gt;Inputs!$R$5,"N/A",EDATE(A127,1)))</f>
        <v>N/A</v>
      </c>
      <c r="B128" s="316" t="str">
        <f aca="false">IF(A128="N/A"," ",YEAR(A128))</f>
        <v> </v>
      </c>
      <c r="C128" s="317" t="str">
        <f aca="false">IF($A128="N/A"," ",IF(Dayrun4=10,0,IF(Scaler4=1,(VLOOKUP(A128,ScaledPrice4,4)),(VLOOKUP(A128,ScaledPrice4,2)))))</f>
        <v> </v>
      </c>
      <c r="D128" s="317" t="str">
        <f aca="false">IF(A128="N/A"," ",IF(Dayrun4&gt;=7,0,IF(Scaler4=2,VLOOKUP(A128,ScaledPrice4,2),(VLOOKUP(A128,ScaledPrice4,2))*(2-(VLOOKUP(A128,ScaledPrice4,3))))))</f>
        <v> </v>
      </c>
      <c r="E128" s="317" t="str">
        <f aca="false">IF($A128="N/A"," ",IF(AND(Dayrun4&gt;=4,Dayrun4&lt;=9),0,VLOOKUP($A128,ScaledPrice4,9)))</f>
        <v> </v>
      </c>
      <c r="F128" s="317" t="str">
        <f aca="false">IF(A128="N/A"," ",IF(OR(Dayrun4=2,Dayrun4=3,Dayrun4=5,Dayrun4=6,Dayrun4=8,Dayrun4=9),VLOOKUP(A128,ScaledPrice4,IF(Scaler4=1,6,5)),0))</f>
        <v> </v>
      </c>
      <c r="G128" s="317" t="str">
        <f aca="false">IF(A128="N/A"," ",IF(OR(Dayrun4=2,Dayrun4=3,Dayrun4=5,Dayrun4=6),IF(Scaler4=2,F128,(VLOOKUP(A128,ScaledPrice4,5))*(2-(VLOOKUP(A128,ScaledPrice4,3)))),0))</f>
        <v> </v>
      </c>
      <c r="H128" s="317" t="str">
        <f aca="false">IF($A128="N/A"," ",IF(OR(Dayrun4=2,Dayrun4=3,Dayrun4=10),VLOOKUP($A128,ScaledPrice4,9),0))</f>
        <v> </v>
      </c>
      <c r="I128" s="317" t="str">
        <f aca="false">IF(A128="N/A"," ",IF(OR(Dayrun4=3,Dayrun4=6,Dayrun4=9),(VLOOKUP(A128,ScaledPrice4,IF(Scaler4=2,7,8))),0))</f>
        <v> </v>
      </c>
      <c r="J128" s="317" t="str">
        <f aca="false">IF(A128="N/A"," ",IF(OR(Dayrun4=3,Dayrun4=6),IF(Scaler4=2,I128,(VLOOKUP(A128,ScaledPrice4,7))*(2-(VLOOKUP(A128,ScaledPrice4,3)))),0))</f>
        <v> </v>
      </c>
      <c r="K128" s="317" t="str">
        <f aca="false">IF($A128="N/A"," ",IF(OR(Dayrun4=3,Dayrun4=10),VLOOKUP($A128,ScaledPrice4,9),0))</f>
        <v> </v>
      </c>
      <c r="L128" s="318" t="str">
        <f aca="false">IF($A128="N/A"," ",IF(Pricetype4=2,MAX(C128,0),IF(OR(Pricetype4=1,Pricetype4=4),IF(C128=0,0,(EURO(C128,Strikeprice4,0,0,($AH128+IF(Smile=TRUE(),VLOOKUP(MAX(-5,Strikeprice4-C128),Volsmile,2),0)),($A128-DateToday)+15,IF(Pricetype4=1,1,0),0))),C128)))</f>
        <v> </v>
      </c>
      <c r="M128" s="318" t="str">
        <f aca="false">IF($A128="N/A"," ",IF(Pricetype4=2,MAX(D128,0),IF(OR(Pricetype4=1,Pricetype4=4),IF(D128=0,0,(EURO(D128,Strikeprice4,0,0,($AH128+IF(Smile=TRUE(),VLOOKUP(MAX(-5,Strikeprice4-D128),Volsmile,2),0)),($A128-DateToday)+15,IF(Pricetype4=1,1,0),0))),D128)))</f>
        <v> </v>
      </c>
      <c r="N128" s="318" t="str">
        <f aca="false">IF($A128="N/A"," ",IF(Pricetype4=2,MAX(E128,0),IF(OR(Pricetype4=1,Pricetype4=4),IF(E128=0,0,(EURO(E128,Strikeprice4,0,0,($AK128+IF(Smile=TRUE(),VLOOKUP(MAX(-5,Strikeprice4-E128),Volsmile,2),0)),($A128-DateToday)+15,IF(Pricetype4=1,1,0),0))),E128)))</f>
        <v> </v>
      </c>
      <c r="O128" s="318" t="str">
        <f aca="false">IF($A128="N/A"," ",IF(Pricetype4=2,MAX(F128,0),IF(OR(Pricetype4=1,Pricetype4=4),IF(F128=0,0,(EURO(F128,Strikeprice4,0,0,($AK128+IF(Smile=TRUE(),VLOOKUP(MAX(-5,Strikeprice4-F128),Volsmile,2),0)),($A128-DateToday)+15,IF(Pricetype4=1,1,0),0))),F128)))</f>
        <v> </v>
      </c>
      <c r="P128" s="318" t="str">
        <f aca="false">IF($A128="N/A"," ",IF(Pricetype4=2,MAX(G128,0),IF(OR(Pricetype4=1,Pricetype4=4),IF(G128=0,0,(EURO(G128,Strikeprice4,0,0,($AK128+IF(Smile=TRUE(),VLOOKUP(MAX(-5,Strikeprice4-G128),Volsmile,2),0)),($A128-DateToday)+15,IF(Pricetype4=1,1,0),0))),G128)))</f>
        <v> </v>
      </c>
      <c r="Q128" s="318" t="str">
        <f aca="false">IF($A128="N/A"," ",IF(Pricetype4=2,MAX(H128,0),IF(OR(Pricetype4=1,Pricetype4=4),IF(H128=0,0,(EURO(H128,Strikeprice4,0,0,($AK128+IF(Smile=TRUE(),VLOOKUP(MAX(-5,Strikeprice4-H128),Volsmile,2),0)),($A128-DateToday)+15,IF(Pricetype4=1,1,0),0))),H128)))</f>
        <v> </v>
      </c>
      <c r="R128" s="318" t="str">
        <f aca="false">IF($A128="N/A"," ",IF(Pricetype4=2,MAX(I128,0),IF(OR(Pricetype4=1,Pricetype4=4),IF(I128=0,0,(EURO(I128,Strikeprice4,0,0,($AK128+IF(Smile=TRUE(),VLOOKUP(MAX(-5,Strikeprice4-I128),Volsmile,2),0)),($A128-DateToday)+15,IF(Pricetype4=1,1,0),0))),I128)))</f>
        <v> </v>
      </c>
      <c r="S128" s="318" t="str">
        <f aca="false">IF($A128="N/A"," ",IF(Pricetype4=2,MAX(J128,0),IF(OR(Pricetype4=1,Pricetype4=4),IF(J128=0,0,(EURO(J128,Strikeprice4,0,0,($AK128+IF(Smile=TRUE(),VLOOKUP(MAX(-5,Strikeprice4-J128),Volsmile,2),0)),($A128-DateToday)+15,IF(Pricetype4=1,1,0),0))),J128)))</f>
        <v> </v>
      </c>
      <c r="T128" s="318" t="str">
        <f aca="false">IF($A128="N/A"," ",IF(Pricetype4=2,MAX(K128,0),IF(OR(Pricetype4=1,Pricetype4=4),IF(K128=0,0,(EURO(K128,Strikeprice4,0,0,($AK128+IF(Smile=TRUE(),VLOOKUP(MAX(-5,Strikeprice4-K128),Volsmile,2),0)),($A128-DateToday)+15,IF(Pricetype4=1,1,0),0))),K128)))</f>
        <v> </v>
      </c>
      <c r="U128" s="319" t="str">
        <f aca="false">IF($A128="N/A"," ",Volume4*$AM128)</f>
        <v> </v>
      </c>
      <c r="V128" s="320" t="str">
        <f aca="false">IF($A128="N/A"," ",$U128*(8*($BQ128))*L128)</f>
        <v> </v>
      </c>
      <c r="W128" s="320" t="str">
        <f aca="false">IF($A128="N/A"," ",$U128*(8*($BQ128))*M128)</f>
        <v> </v>
      </c>
      <c r="X128" s="320" t="str">
        <f aca="false">IF($A128="N/A"," ",$U128*(8*($BQ128))*N128)</f>
        <v> </v>
      </c>
      <c r="Y128" s="320" t="str">
        <f aca="false">IF($A128="N/A"," ",$U128*(8*($BR128))*O128)</f>
        <v> </v>
      </c>
      <c r="Z128" s="320" t="str">
        <f aca="false">IF($A128="N/A"," ",$U128*(8*($BR128))*P128)</f>
        <v> </v>
      </c>
      <c r="AA128" s="320" t="str">
        <f aca="false">IF($A128="N/A"," ",$U128*(8*($BR128))*Q128)</f>
        <v> </v>
      </c>
      <c r="AB128" s="320" t="str">
        <f aca="false">IF($A128="N/A"," ",$U128*(8*($BS128))*R128)</f>
        <v> </v>
      </c>
      <c r="AC128" s="320" t="str">
        <f aca="false">IF($A128="N/A"," ",$U128*(8*($BS128))*S128)</f>
        <v> </v>
      </c>
      <c r="AD128" s="320" t="str">
        <f aca="false">IF($A128="N/A"," ",$U128*(8*($BS128))*T128)</f>
        <v> </v>
      </c>
      <c r="AE128" s="320" t="str">
        <f aca="false">IF($A128="N/A"," ",SUM(V128:AD128))</f>
        <v> </v>
      </c>
      <c r="AF128" s="321" t="str">
        <f aca="false">IF(A128="N/A"," ",(VLOOKUP(A128,PowerVolTable,(IF(VolBMO4=2,7,IF(VolBMO4=1,6,8))),FALSE())))</f>
        <v> </v>
      </c>
      <c r="AG128" s="321" t="str">
        <f aca="false">IF(A128="N/A"," ",(VLOOKUP(A128,IntraPowerVol,(IF(VolBMO4=2,3,IF(VolBMO4=1,2,4))),FALSE())*VLOOKUP(MONTH($A128),Volscale,2)))</f>
        <v> </v>
      </c>
      <c r="AH128" s="321" t="str">
        <f aca="false">IF($A128="N/A"," ",IF(VolType4=1,AG128,AF128))</f>
        <v> </v>
      </c>
      <c r="AI128" s="321" t="str">
        <f aca="false">IF($A128="N/A"," ",(VLOOKUP($A128,OffPwrVolTable,(IF(VolBMO4=2,7,IF(VolBMO4=1,6,8))),FALSE())))</f>
        <v> </v>
      </c>
      <c r="AJ128" s="321" t="str">
        <f aca="false">IF($A128="N/A"," ",(VLOOKUP($A128,OffPwrVolTable,(IF(VolBMO4=2,3,IF(VolBMO4=1,2,4))),FALSE())*VLOOKUP(MONTH($A128),Volscale,2)))</f>
        <v> </v>
      </c>
      <c r="AK128" s="321" t="str">
        <f aca="false">IF($A128="N/A"," ",IF(VolType4=1,AJ128,AI128))</f>
        <v> </v>
      </c>
      <c r="AL128" s="321" t="str">
        <f aca="false">IF($A128="N/A"," ",IF(PV=1,0,'Pricing Inputs4'!R161))</f>
        <v> </v>
      </c>
      <c r="AM128" s="323" t="str">
        <f aca="false">IF($A128="N/A"," ",(1+AL128/2)^(-2*((EOMONTH(A128,0)+20)-DateToday)/365.25))</f>
        <v> </v>
      </c>
      <c r="BQ128" s="0" t="str">
        <f aca="false">IF($A128="N/A"," ",(VLOOKUP($A128,NumberofDaysTable,2)))</f>
        <v> </v>
      </c>
      <c r="BR128" s="0" t="str">
        <f aca="false">IF($A128="N/A"," ",(VLOOKUP($A128,NumberofDaysTable,3)))</f>
        <v> </v>
      </c>
      <c r="BS128" s="0" t="str">
        <f aca="false">IF($A128="N/A"," ",(VLOOKUP($A128,NumberofDaysTable,4)))</f>
        <v> </v>
      </c>
    </row>
    <row r="129" customFormat="false" ht="12.75" hidden="false" customHeight="false" outlineLevel="0" collapsed="false">
      <c r="A129" s="315" t="str">
        <f aca="false">IF(A128="N/A","N/A",IF(EDATE(A128,1)&gt;Inputs!$R$5,"N/A",EDATE(A128,1)))</f>
        <v>N/A</v>
      </c>
      <c r="B129" s="316" t="str">
        <f aca="false">IF(A129="N/A"," ",YEAR(A129))</f>
        <v> </v>
      </c>
      <c r="C129" s="317" t="str">
        <f aca="false">IF($A129="N/A"," ",IF(Dayrun4=10,0,IF(Scaler4=1,(VLOOKUP(A129,ScaledPrice4,4)),(VLOOKUP(A129,ScaledPrice4,2)))))</f>
        <v> </v>
      </c>
      <c r="D129" s="317" t="str">
        <f aca="false">IF(A129="N/A"," ",IF(Dayrun4&gt;=7,0,IF(Scaler4=2,VLOOKUP(A129,ScaledPrice4,2),(VLOOKUP(A129,ScaledPrice4,2))*(2-(VLOOKUP(A129,ScaledPrice4,3))))))</f>
        <v> </v>
      </c>
      <c r="E129" s="317" t="str">
        <f aca="false">IF($A129="N/A"," ",IF(AND(Dayrun4&gt;=4,Dayrun4&lt;=9),0,VLOOKUP($A129,ScaledPrice4,9)))</f>
        <v> </v>
      </c>
      <c r="F129" s="317" t="str">
        <f aca="false">IF(A129="N/A"," ",IF(OR(Dayrun4=2,Dayrun4=3,Dayrun4=5,Dayrun4=6,Dayrun4=8,Dayrun4=9),VLOOKUP(A129,ScaledPrice4,IF(Scaler4=1,6,5)),0))</f>
        <v> </v>
      </c>
      <c r="G129" s="317" t="str">
        <f aca="false">IF(A129="N/A"," ",IF(OR(Dayrun4=2,Dayrun4=3,Dayrun4=5,Dayrun4=6),IF(Scaler4=2,F129,(VLOOKUP(A129,ScaledPrice4,5))*(2-(VLOOKUP(A129,ScaledPrice4,3)))),0))</f>
        <v> </v>
      </c>
      <c r="H129" s="317" t="str">
        <f aca="false">IF($A129="N/A"," ",IF(OR(Dayrun4=2,Dayrun4=3,Dayrun4=10),VLOOKUP($A129,ScaledPrice4,9),0))</f>
        <v> </v>
      </c>
      <c r="I129" s="317" t="str">
        <f aca="false">IF(A129="N/A"," ",IF(OR(Dayrun4=3,Dayrun4=6,Dayrun4=9),(VLOOKUP(A129,ScaledPrice4,IF(Scaler4=2,7,8))),0))</f>
        <v> </v>
      </c>
      <c r="J129" s="317" t="str">
        <f aca="false">IF(A129="N/A"," ",IF(OR(Dayrun4=3,Dayrun4=6),IF(Scaler4=2,I129,(VLOOKUP(A129,ScaledPrice4,7))*(2-(VLOOKUP(A129,ScaledPrice4,3)))),0))</f>
        <v> </v>
      </c>
      <c r="K129" s="317" t="str">
        <f aca="false">IF($A129="N/A"," ",IF(OR(Dayrun4=3,Dayrun4=10),VLOOKUP($A129,ScaledPrice4,9),0))</f>
        <v> </v>
      </c>
      <c r="L129" s="318" t="str">
        <f aca="false">IF($A129="N/A"," ",IF(Pricetype4=2,MAX(C129,0),IF(OR(Pricetype4=1,Pricetype4=4),IF(C129=0,0,(EURO(C129,Strikeprice4,0,0,($AH129+IF(Smile=TRUE(),VLOOKUP(MAX(-5,Strikeprice4-C129),Volsmile,2),0)),($A129-DateToday)+15,IF(Pricetype4=1,1,0),0))),C129)))</f>
        <v> </v>
      </c>
      <c r="M129" s="318" t="str">
        <f aca="false">IF($A129="N/A"," ",IF(Pricetype4=2,MAX(D129,0),IF(OR(Pricetype4=1,Pricetype4=4),IF(D129=0,0,(EURO(D129,Strikeprice4,0,0,($AH129+IF(Smile=TRUE(),VLOOKUP(MAX(-5,Strikeprice4-D129),Volsmile,2),0)),($A129-DateToday)+15,IF(Pricetype4=1,1,0),0))),D129)))</f>
        <v> </v>
      </c>
      <c r="N129" s="318" t="str">
        <f aca="false">IF($A129="N/A"," ",IF(Pricetype4=2,MAX(E129,0),IF(OR(Pricetype4=1,Pricetype4=4),IF(E129=0,0,(EURO(E129,Strikeprice4,0,0,($AK129+IF(Smile=TRUE(),VLOOKUP(MAX(-5,Strikeprice4-E129),Volsmile,2),0)),($A129-DateToday)+15,IF(Pricetype4=1,1,0),0))),E129)))</f>
        <v> </v>
      </c>
      <c r="O129" s="318" t="str">
        <f aca="false">IF($A129="N/A"," ",IF(Pricetype4=2,MAX(F129,0),IF(OR(Pricetype4=1,Pricetype4=4),IF(F129=0,0,(EURO(F129,Strikeprice4,0,0,($AK129+IF(Smile=TRUE(),VLOOKUP(MAX(-5,Strikeprice4-F129),Volsmile,2),0)),($A129-DateToday)+15,IF(Pricetype4=1,1,0),0))),F129)))</f>
        <v> </v>
      </c>
      <c r="P129" s="318" t="str">
        <f aca="false">IF($A129="N/A"," ",IF(Pricetype4=2,MAX(G129,0),IF(OR(Pricetype4=1,Pricetype4=4),IF(G129=0,0,(EURO(G129,Strikeprice4,0,0,($AK129+IF(Smile=TRUE(),VLOOKUP(MAX(-5,Strikeprice4-G129),Volsmile,2),0)),($A129-DateToday)+15,IF(Pricetype4=1,1,0),0))),G129)))</f>
        <v> </v>
      </c>
      <c r="Q129" s="318" t="str">
        <f aca="false">IF($A129="N/A"," ",IF(Pricetype4=2,MAX(H129,0),IF(OR(Pricetype4=1,Pricetype4=4),IF(H129=0,0,(EURO(H129,Strikeprice4,0,0,($AK129+IF(Smile=TRUE(),VLOOKUP(MAX(-5,Strikeprice4-H129),Volsmile,2),0)),($A129-DateToday)+15,IF(Pricetype4=1,1,0),0))),H129)))</f>
        <v> </v>
      </c>
      <c r="R129" s="318" t="str">
        <f aca="false">IF($A129="N/A"," ",IF(Pricetype4=2,MAX(I129,0),IF(OR(Pricetype4=1,Pricetype4=4),IF(I129=0,0,(EURO(I129,Strikeprice4,0,0,($AK129+IF(Smile=TRUE(),VLOOKUP(MAX(-5,Strikeprice4-I129),Volsmile,2),0)),($A129-DateToday)+15,IF(Pricetype4=1,1,0),0))),I129)))</f>
        <v> </v>
      </c>
      <c r="S129" s="318" t="str">
        <f aca="false">IF($A129="N/A"," ",IF(Pricetype4=2,MAX(J129,0),IF(OR(Pricetype4=1,Pricetype4=4),IF(J129=0,0,(EURO(J129,Strikeprice4,0,0,($AK129+IF(Smile=TRUE(),VLOOKUP(MAX(-5,Strikeprice4-J129),Volsmile,2),0)),($A129-DateToday)+15,IF(Pricetype4=1,1,0),0))),J129)))</f>
        <v> </v>
      </c>
      <c r="T129" s="318" t="str">
        <f aca="false">IF($A129="N/A"," ",IF(Pricetype4=2,MAX(K129,0),IF(OR(Pricetype4=1,Pricetype4=4),IF(K129=0,0,(EURO(K129,Strikeprice4,0,0,($AK129+IF(Smile=TRUE(),VLOOKUP(MAX(-5,Strikeprice4-K129),Volsmile,2),0)),($A129-DateToday)+15,IF(Pricetype4=1,1,0),0))),K129)))</f>
        <v> </v>
      </c>
      <c r="U129" s="319" t="str">
        <f aca="false">IF($A129="N/A"," ",Volume4*$AM129)</f>
        <v> </v>
      </c>
      <c r="V129" s="320" t="str">
        <f aca="false">IF($A129="N/A"," ",$U129*(8*($BQ129))*L129)</f>
        <v> </v>
      </c>
      <c r="W129" s="320" t="str">
        <f aca="false">IF($A129="N/A"," ",$U129*(8*($BQ129))*M129)</f>
        <v> </v>
      </c>
      <c r="X129" s="320" t="str">
        <f aca="false">IF($A129="N/A"," ",$U129*(8*($BQ129))*N129)</f>
        <v> </v>
      </c>
      <c r="Y129" s="320" t="str">
        <f aca="false">IF($A129="N/A"," ",$U129*(8*($BR129))*O129)</f>
        <v> </v>
      </c>
      <c r="Z129" s="320" t="str">
        <f aca="false">IF($A129="N/A"," ",$U129*(8*($BR129))*P129)</f>
        <v> </v>
      </c>
      <c r="AA129" s="320" t="str">
        <f aca="false">IF($A129="N/A"," ",$U129*(8*($BR129))*Q129)</f>
        <v> </v>
      </c>
      <c r="AB129" s="320" t="str">
        <f aca="false">IF($A129="N/A"," ",$U129*(8*($BS129))*R129)</f>
        <v> </v>
      </c>
      <c r="AC129" s="320" t="str">
        <f aca="false">IF($A129="N/A"," ",$U129*(8*($BS129))*S129)</f>
        <v> </v>
      </c>
      <c r="AD129" s="320" t="str">
        <f aca="false">IF($A129="N/A"," ",$U129*(8*($BS129))*T129)</f>
        <v> </v>
      </c>
      <c r="AE129" s="320" t="str">
        <f aca="false">IF($A129="N/A"," ",SUM(V129:AD129))</f>
        <v> </v>
      </c>
      <c r="AF129" s="321" t="str">
        <f aca="false">IF(A129="N/A"," ",(VLOOKUP(A129,PowerVolTable,(IF(VolBMO4=2,7,IF(VolBMO4=1,6,8))),FALSE())))</f>
        <v> </v>
      </c>
      <c r="AG129" s="321" t="str">
        <f aca="false">IF(A129="N/A"," ",(VLOOKUP(A129,IntraPowerVol,(IF(VolBMO4=2,3,IF(VolBMO4=1,2,4))),FALSE())*VLOOKUP(MONTH($A129),Volscale,2)))</f>
        <v> </v>
      </c>
      <c r="AH129" s="321" t="str">
        <f aca="false">IF($A129="N/A"," ",IF(VolType4=1,AG129,AF129))</f>
        <v> </v>
      </c>
      <c r="AI129" s="321" t="str">
        <f aca="false">IF($A129="N/A"," ",(VLOOKUP($A129,OffPwrVolTable,(IF(VolBMO4=2,7,IF(VolBMO4=1,6,8))),FALSE())))</f>
        <v> </v>
      </c>
      <c r="AJ129" s="321" t="str">
        <f aca="false">IF($A129="N/A"," ",(VLOOKUP($A129,OffPwrVolTable,(IF(VolBMO4=2,3,IF(VolBMO4=1,2,4))),FALSE())*VLOOKUP(MONTH($A129),Volscale,2)))</f>
        <v> </v>
      </c>
      <c r="AK129" s="321" t="str">
        <f aca="false">IF($A129="N/A"," ",IF(VolType4=1,AJ129,AI129))</f>
        <v> </v>
      </c>
      <c r="AL129" s="321" t="str">
        <f aca="false">IF($A129="N/A"," ",IF(PV=1,0,'Pricing Inputs4'!R162))</f>
        <v> </v>
      </c>
      <c r="AM129" s="323" t="str">
        <f aca="false">IF($A129="N/A"," ",(1+AL129/2)^(-2*((EOMONTH(A129,0)+20)-DateToday)/365.25))</f>
        <v> </v>
      </c>
      <c r="BQ129" s="0" t="str">
        <f aca="false">IF($A129="N/A"," ",(VLOOKUP($A129,NumberofDaysTable,2)))</f>
        <v> </v>
      </c>
      <c r="BR129" s="0" t="str">
        <f aca="false">IF($A129="N/A"," ",(VLOOKUP($A129,NumberofDaysTable,3)))</f>
        <v> </v>
      </c>
      <c r="BS129" s="0" t="str">
        <f aca="false">IF($A129="N/A"," ",(VLOOKUP($A129,NumberofDaysTable,4)))</f>
        <v> </v>
      </c>
    </row>
    <row r="130" customFormat="false" ht="12.75" hidden="false" customHeight="false" outlineLevel="0" collapsed="false">
      <c r="A130" s="315" t="str">
        <f aca="false">IF(A129="N/A","N/A",IF(EDATE(A129,1)&gt;Inputs!$R$5,"N/A",EDATE(A129,1)))</f>
        <v>N/A</v>
      </c>
      <c r="B130" s="316" t="str">
        <f aca="false">IF(A130="N/A"," ",YEAR(A130))</f>
        <v> </v>
      </c>
      <c r="C130" s="317" t="str">
        <f aca="false">IF($A130="N/A"," ",IF(Dayrun4=10,0,IF(Scaler4=1,(VLOOKUP(A130,ScaledPrice4,4)),(VLOOKUP(A130,ScaledPrice4,2)))))</f>
        <v> </v>
      </c>
      <c r="D130" s="317" t="str">
        <f aca="false">IF(A130="N/A"," ",IF(Dayrun4&gt;=7,0,IF(Scaler4=2,VLOOKUP(A130,ScaledPrice4,2),(VLOOKUP(A130,ScaledPrice4,2))*(2-(VLOOKUP(A130,ScaledPrice4,3))))))</f>
        <v> </v>
      </c>
      <c r="E130" s="317" t="str">
        <f aca="false">IF($A130="N/A"," ",IF(AND(Dayrun4&gt;=4,Dayrun4&lt;=9),0,VLOOKUP($A130,ScaledPrice4,9)))</f>
        <v> </v>
      </c>
      <c r="F130" s="317" t="str">
        <f aca="false">IF(A130="N/A"," ",IF(OR(Dayrun4=2,Dayrun4=3,Dayrun4=5,Dayrun4=6,Dayrun4=8,Dayrun4=9),VLOOKUP(A130,ScaledPrice4,IF(Scaler4=1,6,5)),0))</f>
        <v> </v>
      </c>
      <c r="G130" s="317" t="str">
        <f aca="false">IF(A130="N/A"," ",IF(OR(Dayrun4=2,Dayrun4=3,Dayrun4=5,Dayrun4=6),IF(Scaler4=2,F130,(VLOOKUP(A130,ScaledPrice4,5))*(2-(VLOOKUP(A130,ScaledPrice4,3)))),0))</f>
        <v> </v>
      </c>
      <c r="H130" s="317" t="str">
        <f aca="false">IF($A130="N/A"," ",IF(OR(Dayrun4=2,Dayrun4=3,Dayrun4=10),VLOOKUP($A130,ScaledPrice4,9),0))</f>
        <v> </v>
      </c>
      <c r="I130" s="317" t="str">
        <f aca="false">IF(A130="N/A"," ",IF(OR(Dayrun4=3,Dayrun4=6,Dayrun4=9),(VLOOKUP(A130,ScaledPrice4,IF(Scaler4=2,7,8))),0))</f>
        <v> </v>
      </c>
      <c r="J130" s="317" t="str">
        <f aca="false">IF(A130="N/A"," ",IF(OR(Dayrun4=3,Dayrun4=6),IF(Scaler4=2,I130,(VLOOKUP(A130,ScaledPrice4,7))*(2-(VLOOKUP(A130,ScaledPrice4,3)))),0))</f>
        <v> </v>
      </c>
      <c r="K130" s="317" t="str">
        <f aca="false">IF($A130="N/A"," ",IF(OR(Dayrun4=3,Dayrun4=10),VLOOKUP($A130,ScaledPrice4,9),0))</f>
        <v> </v>
      </c>
      <c r="L130" s="318" t="str">
        <f aca="false">IF($A130="N/A"," ",IF(Pricetype4=2,MAX(C130,0),IF(OR(Pricetype4=1,Pricetype4=4),IF(C130=0,0,(EURO(C130,Strikeprice4,0,0,($AH130+IF(Smile=TRUE(),VLOOKUP(MAX(-5,Strikeprice4-C130),Volsmile,2),0)),($A130-DateToday)+15,IF(Pricetype4=1,1,0),0))),C130)))</f>
        <v> </v>
      </c>
      <c r="M130" s="318" t="str">
        <f aca="false">IF($A130="N/A"," ",IF(Pricetype4=2,MAX(D130,0),IF(OR(Pricetype4=1,Pricetype4=4),IF(D130=0,0,(EURO(D130,Strikeprice4,0,0,($AH130+IF(Smile=TRUE(),VLOOKUP(MAX(-5,Strikeprice4-D130),Volsmile,2),0)),($A130-DateToday)+15,IF(Pricetype4=1,1,0),0))),D130)))</f>
        <v> </v>
      </c>
      <c r="N130" s="318" t="str">
        <f aca="false">IF($A130="N/A"," ",IF(Pricetype4=2,MAX(E130,0),IF(OR(Pricetype4=1,Pricetype4=4),IF(E130=0,0,(EURO(E130,Strikeprice4,0,0,($AK130+IF(Smile=TRUE(),VLOOKUP(MAX(-5,Strikeprice4-E130),Volsmile,2),0)),($A130-DateToday)+15,IF(Pricetype4=1,1,0),0))),E130)))</f>
        <v> </v>
      </c>
      <c r="O130" s="318" t="str">
        <f aca="false">IF($A130="N/A"," ",IF(Pricetype4=2,MAX(F130,0),IF(OR(Pricetype4=1,Pricetype4=4),IF(F130=0,0,(EURO(F130,Strikeprice4,0,0,($AK130+IF(Smile=TRUE(),VLOOKUP(MAX(-5,Strikeprice4-F130),Volsmile,2),0)),($A130-DateToday)+15,IF(Pricetype4=1,1,0),0))),F130)))</f>
        <v> </v>
      </c>
      <c r="P130" s="318" t="str">
        <f aca="false">IF($A130="N/A"," ",IF(Pricetype4=2,MAX(G130,0),IF(OR(Pricetype4=1,Pricetype4=4),IF(G130=0,0,(EURO(G130,Strikeprice4,0,0,($AK130+IF(Smile=TRUE(),VLOOKUP(MAX(-5,Strikeprice4-G130),Volsmile,2),0)),($A130-DateToday)+15,IF(Pricetype4=1,1,0),0))),G130)))</f>
        <v> </v>
      </c>
      <c r="Q130" s="318" t="str">
        <f aca="false">IF($A130="N/A"," ",IF(Pricetype4=2,MAX(H130,0),IF(OR(Pricetype4=1,Pricetype4=4),IF(H130=0,0,(EURO(H130,Strikeprice4,0,0,($AK130+IF(Smile=TRUE(),VLOOKUP(MAX(-5,Strikeprice4-H130),Volsmile,2),0)),($A130-DateToday)+15,IF(Pricetype4=1,1,0),0))),H130)))</f>
        <v> </v>
      </c>
      <c r="R130" s="318" t="str">
        <f aca="false">IF($A130="N/A"," ",IF(Pricetype4=2,MAX(I130,0),IF(OR(Pricetype4=1,Pricetype4=4),IF(I130=0,0,(EURO(I130,Strikeprice4,0,0,($AK130+IF(Smile=TRUE(),VLOOKUP(MAX(-5,Strikeprice4-I130),Volsmile,2),0)),($A130-DateToday)+15,IF(Pricetype4=1,1,0),0))),I130)))</f>
        <v> </v>
      </c>
      <c r="S130" s="318" t="str">
        <f aca="false">IF($A130="N/A"," ",IF(Pricetype4=2,MAX(J130,0),IF(OR(Pricetype4=1,Pricetype4=4),IF(J130=0,0,(EURO(J130,Strikeprice4,0,0,($AK130+IF(Smile=TRUE(),VLOOKUP(MAX(-5,Strikeprice4-J130),Volsmile,2),0)),($A130-DateToday)+15,IF(Pricetype4=1,1,0),0))),J130)))</f>
        <v> </v>
      </c>
      <c r="T130" s="318" t="str">
        <f aca="false">IF($A130="N/A"," ",IF(Pricetype4=2,MAX(K130,0),IF(OR(Pricetype4=1,Pricetype4=4),IF(K130=0,0,(EURO(K130,Strikeprice4,0,0,($AK130+IF(Smile=TRUE(),VLOOKUP(MAX(-5,Strikeprice4-K130),Volsmile,2),0)),($A130-DateToday)+15,IF(Pricetype4=1,1,0),0))),K130)))</f>
        <v> </v>
      </c>
      <c r="U130" s="319" t="str">
        <f aca="false">IF($A130="N/A"," ",Volume4*$AM130)</f>
        <v> </v>
      </c>
      <c r="V130" s="320" t="str">
        <f aca="false">IF($A130="N/A"," ",$U130*(8*($BQ130))*L130)</f>
        <v> </v>
      </c>
      <c r="W130" s="320" t="str">
        <f aca="false">IF($A130="N/A"," ",$U130*(8*($BQ130))*M130)</f>
        <v> </v>
      </c>
      <c r="X130" s="320" t="str">
        <f aca="false">IF($A130="N/A"," ",$U130*(8*($BQ130))*N130)</f>
        <v> </v>
      </c>
      <c r="Y130" s="320" t="str">
        <f aca="false">IF($A130="N/A"," ",$U130*(8*($BR130))*O130)</f>
        <v> </v>
      </c>
      <c r="Z130" s="320" t="str">
        <f aca="false">IF($A130="N/A"," ",$U130*(8*($BR130))*P130)</f>
        <v> </v>
      </c>
      <c r="AA130" s="320" t="str">
        <f aca="false">IF($A130="N/A"," ",$U130*(8*($BR130))*Q130)</f>
        <v> </v>
      </c>
      <c r="AB130" s="320" t="str">
        <f aca="false">IF($A130="N/A"," ",$U130*(8*($BS130))*R130)</f>
        <v> </v>
      </c>
      <c r="AC130" s="320" t="str">
        <f aca="false">IF($A130="N/A"," ",$U130*(8*($BS130))*S130)</f>
        <v> </v>
      </c>
      <c r="AD130" s="320" t="str">
        <f aca="false">IF($A130="N/A"," ",$U130*(8*($BS130))*T130)</f>
        <v> </v>
      </c>
      <c r="AE130" s="320" t="str">
        <f aca="false">IF($A130="N/A"," ",SUM(V130:AD130))</f>
        <v> </v>
      </c>
      <c r="AF130" s="321" t="str">
        <f aca="false">IF(A130="N/A"," ",(VLOOKUP(A130,PowerVolTable,(IF(VolBMO4=2,7,IF(VolBMO4=1,6,8))),FALSE())))</f>
        <v> </v>
      </c>
      <c r="AG130" s="321" t="str">
        <f aca="false">IF(A130="N/A"," ",(VLOOKUP(A130,IntraPowerVol,(IF(VolBMO4=2,3,IF(VolBMO4=1,2,4))),FALSE())*VLOOKUP(MONTH($A130),Volscale,2)))</f>
        <v> </v>
      </c>
      <c r="AH130" s="321" t="str">
        <f aca="false">IF($A130="N/A"," ",IF(VolType4=1,AG130,AF130))</f>
        <v> </v>
      </c>
      <c r="AI130" s="321" t="str">
        <f aca="false">IF($A130="N/A"," ",(VLOOKUP($A130,OffPwrVolTable,(IF(VolBMO4=2,7,IF(VolBMO4=1,6,8))),FALSE())))</f>
        <v> </v>
      </c>
      <c r="AJ130" s="321" t="str">
        <f aca="false">IF($A130="N/A"," ",(VLOOKUP($A130,OffPwrVolTable,(IF(VolBMO4=2,3,IF(VolBMO4=1,2,4))),FALSE())*VLOOKUP(MONTH($A130),Volscale,2)))</f>
        <v> </v>
      </c>
      <c r="AK130" s="321" t="str">
        <f aca="false">IF($A130="N/A"," ",IF(VolType4=1,AJ130,AI130))</f>
        <v> </v>
      </c>
      <c r="AL130" s="321" t="str">
        <f aca="false">IF($A130="N/A"," ",IF(PV=1,0,'Pricing Inputs4'!R163))</f>
        <v> </v>
      </c>
      <c r="AM130" s="323" t="str">
        <f aca="false">IF($A130="N/A"," ",(1+AL130/2)^(-2*((EOMONTH(A130,0)+20)-DateToday)/365.25))</f>
        <v> </v>
      </c>
      <c r="BQ130" s="0" t="str">
        <f aca="false">IF($A130="N/A"," ",(VLOOKUP($A130,NumberofDaysTable,2)))</f>
        <v> </v>
      </c>
      <c r="BR130" s="0" t="str">
        <f aca="false">IF($A130="N/A"," ",(VLOOKUP($A130,NumberofDaysTable,3)))</f>
        <v> </v>
      </c>
      <c r="BS130" s="0" t="str">
        <f aca="false">IF($A130="N/A"," ",(VLOOKUP($A130,NumberofDaysTable,4)))</f>
        <v> </v>
      </c>
    </row>
    <row r="131" customFormat="false" ht="12.75" hidden="false" customHeight="false" outlineLevel="0" collapsed="false">
      <c r="A131" s="315" t="str">
        <f aca="false">IF(A130="N/A","N/A",IF(EDATE(A130,1)&gt;Inputs!$R$5,"N/A",EDATE(A130,1)))</f>
        <v>N/A</v>
      </c>
      <c r="B131" s="316" t="str">
        <f aca="false">IF(A131="N/A"," ",YEAR(A131))</f>
        <v> </v>
      </c>
      <c r="C131" s="317" t="str">
        <f aca="false">IF($A131="N/A"," ",IF(Dayrun4=10,0,IF(Scaler4=1,(VLOOKUP(A131,ScaledPrice4,4)),(VLOOKUP(A131,ScaledPrice4,2)))))</f>
        <v> </v>
      </c>
      <c r="D131" s="317" t="str">
        <f aca="false">IF(A131="N/A"," ",IF(Dayrun4&gt;=7,0,IF(Scaler4=2,VLOOKUP(A131,ScaledPrice4,2),(VLOOKUP(A131,ScaledPrice4,2))*(2-(VLOOKUP(A131,ScaledPrice4,3))))))</f>
        <v> </v>
      </c>
      <c r="E131" s="317" t="str">
        <f aca="false">IF($A131="N/A"," ",IF(AND(Dayrun4&gt;=4,Dayrun4&lt;=9),0,VLOOKUP($A131,ScaledPrice4,9)))</f>
        <v> </v>
      </c>
      <c r="F131" s="317" t="str">
        <f aca="false">IF(A131="N/A"," ",IF(OR(Dayrun4=2,Dayrun4=3,Dayrun4=5,Dayrun4=6,Dayrun4=8,Dayrun4=9),VLOOKUP(A131,ScaledPrice4,IF(Scaler4=1,6,5)),0))</f>
        <v> </v>
      </c>
      <c r="G131" s="317" t="str">
        <f aca="false">IF(A131="N/A"," ",IF(OR(Dayrun4=2,Dayrun4=3,Dayrun4=5,Dayrun4=6),IF(Scaler4=2,F131,(VLOOKUP(A131,ScaledPrice4,5))*(2-(VLOOKUP(A131,ScaledPrice4,3)))),0))</f>
        <v> </v>
      </c>
      <c r="H131" s="317" t="str">
        <f aca="false">IF($A131="N/A"," ",IF(OR(Dayrun4=2,Dayrun4=3,Dayrun4=10),VLOOKUP($A131,ScaledPrice4,9),0))</f>
        <v> </v>
      </c>
      <c r="I131" s="317" t="str">
        <f aca="false">IF(A131="N/A"," ",IF(OR(Dayrun4=3,Dayrun4=6,Dayrun4=9),(VLOOKUP(A131,ScaledPrice4,IF(Scaler4=2,7,8))),0))</f>
        <v> </v>
      </c>
      <c r="J131" s="317" t="str">
        <f aca="false">IF(A131="N/A"," ",IF(OR(Dayrun4=3,Dayrun4=6),IF(Scaler4=2,I131,(VLOOKUP(A131,ScaledPrice4,7))*(2-(VLOOKUP(A131,ScaledPrice4,3)))),0))</f>
        <v> </v>
      </c>
      <c r="K131" s="317" t="str">
        <f aca="false">IF($A131="N/A"," ",IF(OR(Dayrun4=3,Dayrun4=10),VLOOKUP($A131,ScaledPrice4,9),0))</f>
        <v> </v>
      </c>
      <c r="L131" s="318" t="str">
        <f aca="false">IF($A131="N/A"," ",IF(Pricetype4=2,MAX(C131,0),IF(OR(Pricetype4=1,Pricetype4=4),IF(C131=0,0,(EURO(C131,Strikeprice4,0,0,($AH131+IF(Smile=TRUE(),VLOOKUP(MAX(-5,Strikeprice4-C131),Volsmile,2),0)),($A131-DateToday)+15,IF(Pricetype4=1,1,0),0))),C131)))</f>
        <v> </v>
      </c>
      <c r="M131" s="318" t="str">
        <f aca="false">IF($A131="N/A"," ",IF(Pricetype4=2,MAX(D131,0),IF(OR(Pricetype4=1,Pricetype4=4),IF(D131=0,0,(EURO(D131,Strikeprice4,0,0,($AH131+IF(Smile=TRUE(),VLOOKUP(MAX(-5,Strikeprice4-D131),Volsmile,2),0)),($A131-DateToday)+15,IF(Pricetype4=1,1,0),0))),D131)))</f>
        <v> </v>
      </c>
      <c r="N131" s="318" t="str">
        <f aca="false">IF($A131="N/A"," ",IF(Pricetype4=2,MAX(E131,0),IF(OR(Pricetype4=1,Pricetype4=4),IF(E131=0,0,(EURO(E131,Strikeprice4,0,0,($AK131+IF(Smile=TRUE(),VLOOKUP(MAX(-5,Strikeprice4-E131),Volsmile,2),0)),($A131-DateToday)+15,IF(Pricetype4=1,1,0),0))),E131)))</f>
        <v> </v>
      </c>
      <c r="O131" s="318" t="str">
        <f aca="false">IF($A131="N/A"," ",IF(Pricetype4=2,MAX(F131,0),IF(OR(Pricetype4=1,Pricetype4=4),IF(F131=0,0,(EURO(F131,Strikeprice4,0,0,($AK131+IF(Smile=TRUE(),VLOOKUP(MAX(-5,Strikeprice4-F131),Volsmile,2),0)),($A131-DateToday)+15,IF(Pricetype4=1,1,0),0))),F131)))</f>
        <v> </v>
      </c>
      <c r="P131" s="318" t="str">
        <f aca="false">IF($A131="N/A"," ",IF(Pricetype4=2,MAX(G131,0),IF(OR(Pricetype4=1,Pricetype4=4),IF(G131=0,0,(EURO(G131,Strikeprice4,0,0,($AK131+IF(Smile=TRUE(),VLOOKUP(MAX(-5,Strikeprice4-G131),Volsmile,2),0)),($A131-DateToday)+15,IF(Pricetype4=1,1,0),0))),G131)))</f>
        <v> </v>
      </c>
      <c r="Q131" s="318" t="str">
        <f aca="false">IF($A131="N/A"," ",IF(Pricetype4=2,MAX(H131,0),IF(OR(Pricetype4=1,Pricetype4=4),IF(H131=0,0,(EURO(H131,Strikeprice4,0,0,($AK131+IF(Smile=TRUE(),VLOOKUP(MAX(-5,Strikeprice4-H131),Volsmile,2),0)),($A131-DateToday)+15,IF(Pricetype4=1,1,0),0))),H131)))</f>
        <v> </v>
      </c>
      <c r="R131" s="318" t="str">
        <f aca="false">IF($A131="N/A"," ",IF(Pricetype4=2,MAX(I131,0),IF(OR(Pricetype4=1,Pricetype4=4),IF(I131=0,0,(EURO(I131,Strikeprice4,0,0,($AK131+IF(Smile=TRUE(),VLOOKUP(MAX(-5,Strikeprice4-I131),Volsmile,2),0)),($A131-DateToday)+15,IF(Pricetype4=1,1,0),0))),I131)))</f>
        <v> </v>
      </c>
      <c r="S131" s="318" t="str">
        <f aca="false">IF($A131="N/A"," ",IF(Pricetype4=2,MAX(J131,0),IF(OR(Pricetype4=1,Pricetype4=4),IF(J131=0,0,(EURO(J131,Strikeprice4,0,0,($AK131+IF(Smile=TRUE(),VLOOKUP(MAX(-5,Strikeprice4-J131),Volsmile,2),0)),($A131-DateToday)+15,IF(Pricetype4=1,1,0),0))),J131)))</f>
        <v> </v>
      </c>
      <c r="T131" s="318" t="str">
        <f aca="false">IF($A131="N/A"," ",IF(Pricetype4=2,MAX(K131,0),IF(OR(Pricetype4=1,Pricetype4=4),IF(K131=0,0,(EURO(K131,Strikeprice4,0,0,($AK131+IF(Smile=TRUE(),VLOOKUP(MAX(-5,Strikeprice4-K131),Volsmile,2),0)),($A131-DateToday)+15,IF(Pricetype4=1,1,0),0))),K131)))</f>
        <v> </v>
      </c>
      <c r="U131" s="319" t="str">
        <f aca="false">IF($A131="N/A"," ",Volume4*$AM131)</f>
        <v> </v>
      </c>
      <c r="V131" s="320" t="str">
        <f aca="false">IF($A131="N/A"," ",$U131*(8*($BQ131))*L131)</f>
        <v> </v>
      </c>
      <c r="W131" s="320" t="str">
        <f aca="false">IF($A131="N/A"," ",$U131*(8*($BQ131))*M131)</f>
        <v> </v>
      </c>
      <c r="X131" s="320" t="str">
        <f aca="false">IF($A131="N/A"," ",$U131*(8*($BQ131))*N131)</f>
        <v> </v>
      </c>
      <c r="Y131" s="320" t="str">
        <f aca="false">IF($A131="N/A"," ",$U131*(8*($BR131))*O131)</f>
        <v> </v>
      </c>
      <c r="Z131" s="320" t="str">
        <f aca="false">IF($A131="N/A"," ",$U131*(8*($BR131))*P131)</f>
        <v> </v>
      </c>
      <c r="AA131" s="320" t="str">
        <f aca="false">IF($A131="N/A"," ",$U131*(8*($BR131))*Q131)</f>
        <v> </v>
      </c>
      <c r="AB131" s="320" t="str">
        <f aca="false">IF($A131="N/A"," ",$U131*(8*($BS131))*R131)</f>
        <v> </v>
      </c>
      <c r="AC131" s="320" t="str">
        <f aca="false">IF($A131="N/A"," ",$U131*(8*($BS131))*S131)</f>
        <v> </v>
      </c>
      <c r="AD131" s="320" t="str">
        <f aca="false">IF($A131="N/A"," ",$U131*(8*($BS131))*T131)</f>
        <v> </v>
      </c>
      <c r="AE131" s="320" t="str">
        <f aca="false">IF($A131="N/A"," ",SUM(V131:AD131))</f>
        <v> </v>
      </c>
      <c r="AF131" s="321" t="str">
        <f aca="false">IF(A131="N/A"," ",(VLOOKUP(A131,PowerVolTable,(IF(VolBMO4=2,7,IF(VolBMO4=1,6,8))),FALSE())))</f>
        <v> </v>
      </c>
      <c r="AG131" s="321" t="str">
        <f aca="false">IF(A131="N/A"," ",(VLOOKUP(A131,IntraPowerVol,(IF(VolBMO4=2,3,IF(VolBMO4=1,2,4))),FALSE())*VLOOKUP(MONTH($A131),Volscale,2)))</f>
        <v> </v>
      </c>
      <c r="AH131" s="321" t="str">
        <f aca="false">IF($A131="N/A"," ",IF(VolType4=1,AG131,AF131))</f>
        <v> </v>
      </c>
      <c r="AI131" s="321" t="str">
        <f aca="false">IF($A131="N/A"," ",(VLOOKUP($A131,OffPwrVolTable,(IF(VolBMO4=2,7,IF(VolBMO4=1,6,8))),FALSE())))</f>
        <v> </v>
      </c>
      <c r="AJ131" s="321" t="str">
        <f aca="false">IF($A131="N/A"," ",(VLOOKUP($A131,OffPwrVolTable,(IF(VolBMO4=2,3,IF(VolBMO4=1,2,4))),FALSE())*VLOOKUP(MONTH($A131),Volscale,2)))</f>
        <v> </v>
      </c>
      <c r="AK131" s="321" t="str">
        <f aca="false">IF($A131="N/A"," ",IF(VolType4=1,AJ131,AI131))</f>
        <v> </v>
      </c>
      <c r="AL131" s="321" t="str">
        <f aca="false">IF($A131="N/A"," ",IF(PV=1,0,'Pricing Inputs4'!R164))</f>
        <v> </v>
      </c>
      <c r="AM131" s="323" t="str">
        <f aca="false">IF($A131="N/A"," ",(1+AL131/2)^(-2*((EOMONTH(A131,0)+20)-DateToday)/365.25))</f>
        <v> </v>
      </c>
      <c r="BQ131" s="0" t="str">
        <f aca="false">IF($A131="N/A"," ",(VLOOKUP($A131,NumberofDaysTable,2)))</f>
        <v> </v>
      </c>
      <c r="BR131" s="0" t="str">
        <f aca="false">IF($A131="N/A"," ",(VLOOKUP($A131,NumberofDaysTable,3)))</f>
        <v> </v>
      </c>
      <c r="BS131" s="0" t="str">
        <f aca="false">IF($A131="N/A"," ",(VLOOKUP($A131,NumberofDaysTable,4)))</f>
        <v> </v>
      </c>
    </row>
    <row r="132" customFormat="false" ht="12.75" hidden="false" customHeight="false" outlineLevel="0" collapsed="false">
      <c r="A132" s="315" t="str">
        <f aca="false">IF(A131="N/A","N/A",IF(EDATE(A131,1)&gt;Inputs!$R$5,"N/A",EDATE(A131,1)))</f>
        <v>N/A</v>
      </c>
      <c r="B132" s="316" t="str">
        <f aca="false">IF(A132="N/A"," ",YEAR(A132))</f>
        <v> </v>
      </c>
      <c r="C132" s="317" t="str">
        <f aca="false">IF($A132="N/A"," ",IF(Dayrun4=10,0,IF(Scaler4=1,(VLOOKUP(A132,ScaledPrice4,4)),(VLOOKUP(A132,ScaledPrice4,2)))))</f>
        <v> </v>
      </c>
      <c r="D132" s="317" t="str">
        <f aca="false">IF(A132="N/A"," ",IF(Dayrun4&gt;=7,0,IF(Scaler4=2,VLOOKUP(A132,ScaledPrice4,2),(VLOOKUP(A132,ScaledPrice4,2))*(2-(VLOOKUP(A132,ScaledPrice4,3))))))</f>
        <v> </v>
      </c>
      <c r="E132" s="317" t="str">
        <f aca="false">IF($A132="N/A"," ",IF(AND(Dayrun4&gt;=4,Dayrun4&lt;=9),0,VLOOKUP($A132,ScaledPrice4,9)))</f>
        <v> </v>
      </c>
      <c r="F132" s="317" t="str">
        <f aca="false">IF(A132="N/A"," ",IF(OR(Dayrun4=2,Dayrun4=3,Dayrun4=5,Dayrun4=6,Dayrun4=8,Dayrun4=9),VLOOKUP(A132,ScaledPrice4,IF(Scaler4=1,6,5)),0))</f>
        <v> </v>
      </c>
      <c r="G132" s="317" t="str">
        <f aca="false">IF(A132="N/A"," ",IF(OR(Dayrun4=2,Dayrun4=3,Dayrun4=5,Dayrun4=6),IF(Scaler4=2,F132,(VLOOKUP(A132,ScaledPrice4,5))*(2-(VLOOKUP(A132,ScaledPrice4,3)))),0))</f>
        <v> </v>
      </c>
      <c r="H132" s="317" t="str">
        <f aca="false">IF($A132="N/A"," ",IF(OR(Dayrun4=2,Dayrun4=3,Dayrun4=10),VLOOKUP($A132,ScaledPrice4,9),0))</f>
        <v> </v>
      </c>
      <c r="I132" s="317" t="str">
        <f aca="false">IF(A132="N/A"," ",IF(OR(Dayrun4=3,Dayrun4=6,Dayrun4=9),(VLOOKUP(A132,ScaledPrice4,IF(Scaler4=2,7,8))),0))</f>
        <v> </v>
      </c>
      <c r="J132" s="317" t="str">
        <f aca="false">IF(A132="N/A"," ",IF(OR(Dayrun4=3,Dayrun4=6),IF(Scaler4=2,I132,(VLOOKUP(A132,ScaledPrice4,7))*(2-(VLOOKUP(A132,ScaledPrice4,3)))),0))</f>
        <v> </v>
      </c>
      <c r="K132" s="317" t="str">
        <f aca="false">IF($A132="N/A"," ",IF(OR(Dayrun4=3,Dayrun4=10),VLOOKUP($A132,ScaledPrice4,9),0))</f>
        <v> </v>
      </c>
      <c r="L132" s="318" t="str">
        <f aca="false">IF($A132="N/A"," ",IF(Pricetype4=2,MAX(C132,0),IF(OR(Pricetype4=1,Pricetype4=4),IF(C132=0,0,(EURO(C132,Strikeprice4,0,0,($AH132+IF(Smile=TRUE(),VLOOKUP(MAX(-5,Strikeprice4-C132),Volsmile,2),0)),($A132-DateToday)+15,IF(Pricetype4=1,1,0),0))),C132)))</f>
        <v> </v>
      </c>
      <c r="M132" s="318" t="str">
        <f aca="false">IF($A132="N/A"," ",IF(Pricetype4=2,MAX(D132,0),IF(OR(Pricetype4=1,Pricetype4=4),IF(D132=0,0,(EURO(D132,Strikeprice4,0,0,($AH132+IF(Smile=TRUE(),VLOOKUP(MAX(-5,Strikeprice4-D132),Volsmile,2),0)),($A132-DateToday)+15,IF(Pricetype4=1,1,0),0))),D132)))</f>
        <v> </v>
      </c>
      <c r="N132" s="318" t="str">
        <f aca="false">IF($A132="N/A"," ",IF(Pricetype4=2,MAX(E132,0),IF(OR(Pricetype4=1,Pricetype4=4),IF(E132=0,0,(EURO(E132,Strikeprice4,0,0,($AK132+IF(Smile=TRUE(),VLOOKUP(MAX(-5,Strikeprice4-E132),Volsmile,2),0)),($A132-DateToday)+15,IF(Pricetype4=1,1,0),0))),E132)))</f>
        <v> </v>
      </c>
      <c r="O132" s="318" t="str">
        <f aca="false">IF($A132="N/A"," ",IF(Pricetype4=2,MAX(F132,0),IF(OR(Pricetype4=1,Pricetype4=4),IF(F132=0,0,(EURO(F132,Strikeprice4,0,0,($AK132+IF(Smile=TRUE(),VLOOKUP(MAX(-5,Strikeprice4-F132),Volsmile,2),0)),($A132-DateToday)+15,IF(Pricetype4=1,1,0),0))),F132)))</f>
        <v> </v>
      </c>
      <c r="P132" s="318" t="str">
        <f aca="false">IF($A132="N/A"," ",IF(Pricetype4=2,MAX(G132,0),IF(OR(Pricetype4=1,Pricetype4=4),IF(G132=0,0,(EURO(G132,Strikeprice4,0,0,($AK132+IF(Smile=TRUE(),VLOOKUP(MAX(-5,Strikeprice4-G132),Volsmile,2),0)),($A132-DateToday)+15,IF(Pricetype4=1,1,0),0))),G132)))</f>
        <v> </v>
      </c>
      <c r="Q132" s="318" t="str">
        <f aca="false">IF($A132="N/A"," ",IF(Pricetype4=2,MAX(H132,0),IF(OR(Pricetype4=1,Pricetype4=4),IF(H132=0,0,(EURO(H132,Strikeprice4,0,0,($AK132+IF(Smile=TRUE(),VLOOKUP(MAX(-5,Strikeprice4-H132),Volsmile,2),0)),($A132-DateToday)+15,IF(Pricetype4=1,1,0),0))),H132)))</f>
        <v> </v>
      </c>
      <c r="R132" s="318" t="str">
        <f aca="false">IF($A132="N/A"," ",IF(Pricetype4=2,MAX(I132,0),IF(OR(Pricetype4=1,Pricetype4=4),IF(I132=0,0,(EURO(I132,Strikeprice4,0,0,($AK132+IF(Smile=TRUE(),VLOOKUP(MAX(-5,Strikeprice4-I132),Volsmile,2),0)),($A132-DateToday)+15,IF(Pricetype4=1,1,0),0))),I132)))</f>
        <v> </v>
      </c>
      <c r="S132" s="318" t="str">
        <f aca="false">IF($A132="N/A"," ",IF(Pricetype4=2,MAX(J132,0),IF(OR(Pricetype4=1,Pricetype4=4),IF(J132=0,0,(EURO(J132,Strikeprice4,0,0,($AK132+IF(Smile=TRUE(),VLOOKUP(MAX(-5,Strikeprice4-J132),Volsmile,2),0)),($A132-DateToday)+15,IF(Pricetype4=1,1,0),0))),J132)))</f>
        <v> </v>
      </c>
      <c r="T132" s="318" t="str">
        <f aca="false">IF($A132="N/A"," ",IF(Pricetype4=2,MAX(K132,0),IF(OR(Pricetype4=1,Pricetype4=4),IF(K132=0,0,(EURO(K132,Strikeprice4,0,0,($AK132+IF(Smile=TRUE(),VLOOKUP(MAX(-5,Strikeprice4-K132),Volsmile,2),0)),($A132-DateToday)+15,IF(Pricetype4=1,1,0),0))),K132)))</f>
        <v> </v>
      </c>
      <c r="U132" s="319" t="str">
        <f aca="false">IF($A132="N/A"," ",Volume4*$AM132)</f>
        <v> </v>
      </c>
      <c r="V132" s="320" t="str">
        <f aca="false">IF($A132="N/A"," ",$U132*(8*($BQ132))*L132)</f>
        <v> </v>
      </c>
      <c r="W132" s="320" t="str">
        <f aca="false">IF($A132="N/A"," ",$U132*(8*($BQ132))*M132)</f>
        <v> </v>
      </c>
      <c r="X132" s="320" t="str">
        <f aca="false">IF($A132="N/A"," ",$U132*(8*($BQ132))*N132)</f>
        <v> </v>
      </c>
      <c r="Y132" s="320" t="str">
        <f aca="false">IF($A132="N/A"," ",$U132*(8*($BR132))*O132)</f>
        <v> </v>
      </c>
      <c r="Z132" s="320" t="str">
        <f aca="false">IF($A132="N/A"," ",$U132*(8*($BR132))*P132)</f>
        <v> </v>
      </c>
      <c r="AA132" s="320" t="str">
        <f aca="false">IF($A132="N/A"," ",$U132*(8*($BR132))*Q132)</f>
        <v> </v>
      </c>
      <c r="AB132" s="320" t="str">
        <f aca="false">IF($A132="N/A"," ",$U132*(8*($BS132))*R132)</f>
        <v> </v>
      </c>
      <c r="AC132" s="320" t="str">
        <f aca="false">IF($A132="N/A"," ",$U132*(8*($BS132))*S132)</f>
        <v> </v>
      </c>
      <c r="AD132" s="320" t="str">
        <f aca="false">IF($A132="N/A"," ",$U132*(8*($BS132))*T132)</f>
        <v> </v>
      </c>
      <c r="AE132" s="320" t="str">
        <f aca="false">IF($A132="N/A"," ",SUM(V132:AD132))</f>
        <v> </v>
      </c>
      <c r="AF132" s="321" t="str">
        <f aca="false">IF(A132="N/A"," ",(VLOOKUP(A132,PowerVolTable,(IF(VolBMO4=2,7,IF(VolBMO4=1,6,8))),FALSE())))</f>
        <v> </v>
      </c>
      <c r="AG132" s="321" t="str">
        <f aca="false">IF(A132="N/A"," ",(VLOOKUP(A132,IntraPowerVol,(IF(VolBMO4=2,3,IF(VolBMO4=1,2,4))),FALSE())*VLOOKUP(MONTH($A132),Volscale,2)))</f>
        <v> </v>
      </c>
      <c r="AH132" s="321" t="str">
        <f aca="false">IF($A132="N/A"," ",IF(VolType4=1,AG132,AF132))</f>
        <v> </v>
      </c>
      <c r="AI132" s="321" t="str">
        <f aca="false">IF($A132="N/A"," ",(VLOOKUP($A132,OffPwrVolTable,(IF(VolBMO4=2,7,IF(VolBMO4=1,6,8))),FALSE())))</f>
        <v> </v>
      </c>
      <c r="AJ132" s="321" t="str">
        <f aca="false">IF($A132="N/A"," ",(VLOOKUP($A132,OffPwrVolTable,(IF(VolBMO4=2,3,IF(VolBMO4=1,2,4))),FALSE())*VLOOKUP(MONTH($A132),Volscale,2)))</f>
        <v> </v>
      </c>
      <c r="AK132" s="321" t="str">
        <f aca="false">IF($A132="N/A"," ",IF(VolType4=1,AJ132,AI132))</f>
        <v> </v>
      </c>
      <c r="AL132" s="321" t="str">
        <f aca="false">IF($A132="N/A"," ",IF(PV=1,0,'Pricing Inputs4'!R165))</f>
        <v> </v>
      </c>
      <c r="AM132" s="323" t="str">
        <f aca="false">IF($A132="N/A"," ",(1+AL132/2)^(-2*((EOMONTH(A132,0)+20)-DateToday)/365.25))</f>
        <v> </v>
      </c>
      <c r="BQ132" s="0" t="str">
        <f aca="false">IF($A132="N/A"," ",(VLOOKUP($A132,NumberofDaysTable,2)))</f>
        <v> </v>
      </c>
      <c r="BR132" s="0" t="str">
        <f aca="false">IF($A132="N/A"," ",(VLOOKUP($A132,NumberofDaysTable,3)))</f>
        <v> </v>
      </c>
      <c r="BS132" s="0" t="str">
        <f aca="false">IF($A132="N/A"," ",(VLOOKUP($A132,NumberofDaysTable,4)))</f>
        <v> </v>
      </c>
    </row>
    <row r="133" customFormat="false" ht="12.75" hidden="false" customHeight="false" outlineLevel="0" collapsed="false">
      <c r="A133" s="315" t="str">
        <f aca="false">IF(A132="N/A","N/A",IF(EDATE(A132,1)&gt;Inputs!$R$5,"N/A",EDATE(A132,1)))</f>
        <v>N/A</v>
      </c>
      <c r="B133" s="316" t="str">
        <f aca="false">IF(A133="N/A"," ",YEAR(A133))</f>
        <v> </v>
      </c>
      <c r="C133" s="317" t="str">
        <f aca="false">IF($A133="N/A"," ",IF(Dayrun4=10,0,IF(Scaler4=1,(VLOOKUP(A133,ScaledPrice4,4)),(VLOOKUP(A133,ScaledPrice4,2)))))</f>
        <v> </v>
      </c>
      <c r="D133" s="317" t="str">
        <f aca="false">IF(A133="N/A"," ",IF(Dayrun4&gt;=7,0,IF(Scaler4=2,VLOOKUP(A133,ScaledPrice4,2),(VLOOKUP(A133,ScaledPrice4,2))*(2-(VLOOKUP(A133,ScaledPrice4,3))))))</f>
        <v> </v>
      </c>
      <c r="E133" s="317" t="str">
        <f aca="false">IF($A133="N/A"," ",IF(AND(Dayrun4&gt;=4,Dayrun4&lt;=9),0,VLOOKUP($A133,ScaledPrice4,9)))</f>
        <v> </v>
      </c>
      <c r="F133" s="317" t="str">
        <f aca="false">IF(A133="N/A"," ",IF(OR(Dayrun4=2,Dayrun4=3,Dayrun4=5,Dayrun4=6,Dayrun4=8,Dayrun4=9),VLOOKUP(A133,ScaledPrice4,IF(Scaler4=1,6,5)),0))</f>
        <v> </v>
      </c>
      <c r="G133" s="317" t="str">
        <f aca="false">IF(A133="N/A"," ",IF(OR(Dayrun4=2,Dayrun4=3,Dayrun4=5,Dayrun4=6),IF(Scaler4=2,F133,(VLOOKUP(A133,ScaledPrice4,5))*(2-(VLOOKUP(A133,ScaledPrice4,3)))),0))</f>
        <v> </v>
      </c>
      <c r="H133" s="317" t="str">
        <f aca="false">IF($A133="N/A"," ",IF(OR(Dayrun4=2,Dayrun4=3,Dayrun4=10),VLOOKUP($A133,ScaledPrice4,9),0))</f>
        <v> </v>
      </c>
      <c r="I133" s="317" t="str">
        <f aca="false">IF(A133="N/A"," ",IF(OR(Dayrun4=3,Dayrun4=6,Dayrun4=9),(VLOOKUP(A133,ScaledPrice4,IF(Scaler4=2,7,8))),0))</f>
        <v> </v>
      </c>
      <c r="J133" s="317" t="str">
        <f aca="false">IF(A133="N/A"," ",IF(OR(Dayrun4=3,Dayrun4=6),IF(Scaler4=2,I133,(VLOOKUP(A133,ScaledPrice4,7))*(2-(VLOOKUP(A133,ScaledPrice4,3)))),0))</f>
        <v> </v>
      </c>
      <c r="K133" s="317" t="str">
        <f aca="false">IF($A133="N/A"," ",IF(OR(Dayrun4=3,Dayrun4=10),VLOOKUP($A133,ScaledPrice4,9),0))</f>
        <v> </v>
      </c>
      <c r="L133" s="318" t="str">
        <f aca="false">IF($A133="N/A"," ",IF(Pricetype4=2,MAX(C133,0),IF(OR(Pricetype4=1,Pricetype4=4),IF(C133=0,0,(EURO(C133,Strikeprice4,0,0,($AH133+IF(Smile=TRUE(),VLOOKUP(MAX(-5,Strikeprice4-C133),Volsmile,2),0)),($A133-DateToday)+15,IF(Pricetype4=1,1,0),0))),C133)))</f>
        <v> </v>
      </c>
      <c r="M133" s="318" t="str">
        <f aca="false">IF($A133="N/A"," ",IF(Pricetype4=2,MAX(D133,0),IF(OR(Pricetype4=1,Pricetype4=4),IF(D133=0,0,(EURO(D133,Strikeprice4,0,0,($AH133+IF(Smile=TRUE(),VLOOKUP(MAX(-5,Strikeprice4-D133),Volsmile,2),0)),($A133-DateToday)+15,IF(Pricetype4=1,1,0),0))),D133)))</f>
        <v> </v>
      </c>
      <c r="N133" s="318" t="str">
        <f aca="false">IF($A133="N/A"," ",IF(Pricetype4=2,MAX(E133,0),IF(OR(Pricetype4=1,Pricetype4=4),IF(E133=0,0,(EURO(E133,Strikeprice4,0,0,($AK133+IF(Smile=TRUE(),VLOOKUP(MAX(-5,Strikeprice4-E133),Volsmile,2),0)),($A133-DateToday)+15,IF(Pricetype4=1,1,0),0))),E133)))</f>
        <v> </v>
      </c>
      <c r="O133" s="318" t="str">
        <f aca="false">IF($A133="N/A"," ",IF(Pricetype4=2,MAX(F133,0),IF(OR(Pricetype4=1,Pricetype4=4),IF(F133=0,0,(EURO(F133,Strikeprice4,0,0,($AK133+IF(Smile=TRUE(),VLOOKUP(MAX(-5,Strikeprice4-F133),Volsmile,2),0)),($A133-DateToday)+15,IF(Pricetype4=1,1,0),0))),F133)))</f>
        <v> </v>
      </c>
      <c r="P133" s="318" t="str">
        <f aca="false">IF($A133="N/A"," ",IF(Pricetype4=2,MAX(G133,0),IF(OR(Pricetype4=1,Pricetype4=4),IF(G133=0,0,(EURO(G133,Strikeprice4,0,0,($AK133+IF(Smile=TRUE(),VLOOKUP(MAX(-5,Strikeprice4-G133),Volsmile,2),0)),($A133-DateToday)+15,IF(Pricetype4=1,1,0),0))),G133)))</f>
        <v> </v>
      </c>
      <c r="Q133" s="318" t="str">
        <f aca="false">IF($A133="N/A"," ",IF(Pricetype4=2,MAX(H133,0),IF(OR(Pricetype4=1,Pricetype4=4),IF(H133=0,0,(EURO(H133,Strikeprice4,0,0,($AK133+IF(Smile=TRUE(),VLOOKUP(MAX(-5,Strikeprice4-H133),Volsmile,2),0)),($A133-DateToday)+15,IF(Pricetype4=1,1,0),0))),H133)))</f>
        <v> </v>
      </c>
      <c r="R133" s="318" t="str">
        <f aca="false">IF($A133="N/A"," ",IF(Pricetype4=2,MAX(I133,0),IF(OR(Pricetype4=1,Pricetype4=4),IF(I133=0,0,(EURO(I133,Strikeprice4,0,0,($AK133+IF(Smile=TRUE(),VLOOKUP(MAX(-5,Strikeprice4-I133),Volsmile,2),0)),($A133-DateToday)+15,IF(Pricetype4=1,1,0),0))),I133)))</f>
        <v> </v>
      </c>
      <c r="S133" s="318" t="str">
        <f aca="false">IF($A133="N/A"," ",IF(Pricetype4=2,MAX(J133,0),IF(OR(Pricetype4=1,Pricetype4=4),IF(J133=0,0,(EURO(J133,Strikeprice4,0,0,($AK133+IF(Smile=TRUE(),VLOOKUP(MAX(-5,Strikeprice4-J133),Volsmile,2),0)),($A133-DateToday)+15,IF(Pricetype4=1,1,0),0))),J133)))</f>
        <v> </v>
      </c>
      <c r="T133" s="318" t="str">
        <f aca="false">IF($A133="N/A"," ",IF(Pricetype4=2,MAX(K133,0),IF(OR(Pricetype4=1,Pricetype4=4),IF(K133=0,0,(EURO(K133,Strikeprice4,0,0,($AK133+IF(Smile=TRUE(),VLOOKUP(MAX(-5,Strikeprice4-K133),Volsmile,2),0)),($A133-DateToday)+15,IF(Pricetype4=1,1,0),0))),K133)))</f>
        <v> </v>
      </c>
      <c r="U133" s="319" t="str">
        <f aca="false">IF($A133="N/A"," ",Volume4*$AM133)</f>
        <v> </v>
      </c>
      <c r="V133" s="320" t="str">
        <f aca="false">IF($A133="N/A"," ",$U133*(8*($BQ133))*L133)</f>
        <v> </v>
      </c>
      <c r="W133" s="320" t="str">
        <f aca="false">IF($A133="N/A"," ",$U133*(8*($BQ133))*M133)</f>
        <v> </v>
      </c>
      <c r="X133" s="320" t="str">
        <f aca="false">IF($A133="N/A"," ",$U133*(8*($BQ133))*N133)</f>
        <v> </v>
      </c>
      <c r="Y133" s="320" t="str">
        <f aca="false">IF($A133="N/A"," ",$U133*(8*($BR133))*O133)</f>
        <v> </v>
      </c>
      <c r="Z133" s="320" t="str">
        <f aca="false">IF($A133="N/A"," ",$U133*(8*($BR133))*P133)</f>
        <v> </v>
      </c>
      <c r="AA133" s="320" t="str">
        <f aca="false">IF($A133="N/A"," ",$U133*(8*($BR133))*Q133)</f>
        <v> </v>
      </c>
      <c r="AB133" s="320" t="str">
        <f aca="false">IF($A133="N/A"," ",$U133*(8*($BS133))*R133)</f>
        <v> </v>
      </c>
      <c r="AC133" s="320" t="str">
        <f aca="false">IF($A133="N/A"," ",$U133*(8*($BS133))*S133)</f>
        <v> </v>
      </c>
      <c r="AD133" s="320" t="str">
        <f aca="false">IF($A133="N/A"," ",$U133*(8*($BS133))*T133)</f>
        <v> </v>
      </c>
      <c r="AE133" s="320" t="str">
        <f aca="false">IF($A133="N/A"," ",SUM(V133:AD133))</f>
        <v> </v>
      </c>
      <c r="AF133" s="321" t="str">
        <f aca="false">IF(A133="N/A"," ",(VLOOKUP(A133,PowerVolTable,(IF(VolBMO4=2,7,IF(VolBMO4=1,6,8))),FALSE())))</f>
        <v> </v>
      </c>
      <c r="AG133" s="321" t="str">
        <f aca="false">IF(A133="N/A"," ",(VLOOKUP(A133,IntraPowerVol,(IF(VolBMO4=2,3,IF(VolBMO4=1,2,4))),FALSE())*VLOOKUP(MONTH($A133),Volscale,2)))</f>
        <v> </v>
      </c>
      <c r="AH133" s="321" t="str">
        <f aca="false">IF($A133="N/A"," ",IF(VolType4=1,AG133,AF133))</f>
        <v> </v>
      </c>
      <c r="AI133" s="321" t="str">
        <f aca="false">IF($A133="N/A"," ",(VLOOKUP($A133,OffPwrVolTable,(IF(VolBMO4=2,7,IF(VolBMO4=1,6,8))),FALSE())))</f>
        <v> </v>
      </c>
      <c r="AJ133" s="321" t="str">
        <f aca="false">IF($A133="N/A"," ",(VLOOKUP($A133,OffPwrVolTable,(IF(VolBMO4=2,3,IF(VolBMO4=1,2,4))),FALSE())*VLOOKUP(MONTH($A133),Volscale,2)))</f>
        <v> </v>
      </c>
      <c r="AK133" s="321" t="str">
        <f aca="false">IF($A133="N/A"," ",IF(VolType4=1,AJ133,AI133))</f>
        <v> </v>
      </c>
      <c r="AL133" s="321" t="str">
        <f aca="false">IF($A133="N/A"," ",IF(PV=1,0,'Pricing Inputs4'!R166))</f>
        <v> </v>
      </c>
      <c r="AM133" s="323" t="str">
        <f aca="false">IF($A133="N/A"," ",(1+AL133/2)^(-2*((EOMONTH(A133,0)+20)-DateToday)/365.25))</f>
        <v> </v>
      </c>
      <c r="BQ133" s="0" t="str">
        <f aca="false">IF($A133="N/A"," ",(VLOOKUP($A133,NumberofDaysTable,2)))</f>
        <v> </v>
      </c>
      <c r="BR133" s="0" t="str">
        <f aca="false">IF($A133="N/A"," ",(VLOOKUP($A133,NumberofDaysTable,3)))</f>
        <v> </v>
      </c>
      <c r="BS133" s="0" t="str">
        <f aca="false">IF($A133="N/A"," ",(VLOOKUP($A133,NumberofDaysTable,4)))</f>
        <v> </v>
      </c>
    </row>
    <row r="134" customFormat="false" ht="12.75" hidden="false" customHeight="false" outlineLevel="0" collapsed="false">
      <c r="A134" s="315" t="str">
        <f aca="false">IF(A133="N/A","N/A",IF(EDATE(A133,1)&gt;Inputs!$R$5,"N/A",EDATE(A133,1)))</f>
        <v>N/A</v>
      </c>
      <c r="B134" s="316" t="str">
        <f aca="false">IF(A134="N/A"," ",YEAR(A134))</f>
        <v> </v>
      </c>
      <c r="C134" s="317" t="str">
        <f aca="false">IF($A134="N/A"," ",IF(Dayrun4=10,0,IF(Scaler4=1,(VLOOKUP(A134,ScaledPrice4,4)),(VLOOKUP(A134,ScaledPrice4,2)))))</f>
        <v> </v>
      </c>
      <c r="D134" s="317" t="str">
        <f aca="false">IF(A134="N/A"," ",IF(Dayrun4&gt;=7,0,IF(Scaler4=2,VLOOKUP(A134,ScaledPrice4,2),(VLOOKUP(A134,ScaledPrice4,2))*(2-(VLOOKUP(A134,ScaledPrice4,3))))))</f>
        <v> </v>
      </c>
      <c r="E134" s="317" t="str">
        <f aca="false">IF($A134="N/A"," ",IF(AND(Dayrun4&gt;=4,Dayrun4&lt;=9),0,VLOOKUP($A134,ScaledPrice4,9)))</f>
        <v> </v>
      </c>
      <c r="F134" s="317" t="str">
        <f aca="false">IF(A134="N/A"," ",IF(OR(Dayrun4=2,Dayrun4=3,Dayrun4=5,Dayrun4=6,Dayrun4=8,Dayrun4=9),VLOOKUP(A134,ScaledPrice4,IF(Scaler4=1,6,5)),0))</f>
        <v> </v>
      </c>
      <c r="G134" s="317" t="str">
        <f aca="false">IF(A134="N/A"," ",IF(OR(Dayrun4=2,Dayrun4=3,Dayrun4=5,Dayrun4=6),IF(Scaler4=2,F134,(VLOOKUP(A134,ScaledPrice4,5))*(2-(VLOOKUP(A134,ScaledPrice4,3)))),0))</f>
        <v> </v>
      </c>
      <c r="H134" s="317" t="str">
        <f aca="false">IF($A134="N/A"," ",IF(OR(Dayrun4=2,Dayrun4=3,Dayrun4=10),VLOOKUP($A134,ScaledPrice4,9),0))</f>
        <v> </v>
      </c>
      <c r="I134" s="317" t="str">
        <f aca="false">IF(A134="N/A"," ",IF(OR(Dayrun4=3,Dayrun4=6,Dayrun4=9),(VLOOKUP(A134,ScaledPrice4,IF(Scaler4=2,7,8))),0))</f>
        <v> </v>
      </c>
      <c r="J134" s="317" t="str">
        <f aca="false">IF(A134="N/A"," ",IF(OR(Dayrun4=3,Dayrun4=6),IF(Scaler4=2,I134,(VLOOKUP(A134,ScaledPrice4,7))*(2-(VLOOKUP(A134,ScaledPrice4,3)))),0))</f>
        <v> </v>
      </c>
      <c r="K134" s="317" t="str">
        <f aca="false">IF($A134="N/A"," ",IF(OR(Dayrun4=3,Dayrun4=10),VLOOKUP($A134,ScaledPrice4,9),0))</f>
        <v> </v>
      </c>
      <c r="L134" s="318" t="str">
        <f aca="false">IF($A134="N/A"," ",IF(Pricetype4=2,MAX(C134,0),IF(OR(Pricetype4=1,Pricetype4=4),IF(C134=0,0,(EURO(C134,Strikeprice4,0,0,($AH134+IF(Smile=TRUE(),VLOOKUP(MAX(-5,Strikeprice4-C134),Volsmile,2),0)),($A134-DateToday)+15,IF(Pricetype4=1,1,0),0))),C134)))</f>
        <v> </v>
      </c>
      <c r="M134" s="318" t="str">
        <f aca="false">IF($A134="N/A"," ",IF(Pricetype4=2,MAX(D134,0),IF(OR(Pricetype4=1,Pricetype4=4),IF(D134=0,0,(EURO(D134,Strikeprice4,0,0,($AH134+IF(Smile=TRUE(),VLOOKUP(MAX(-5,Strikeprice4-D134),Volsmile,2),0)),($A134-DateToday)+15,IF(Pricetype4=1,1,0),0))),D134)))</f>
        <v> </v>
      </c>
      <c r="N134" s="318" t="str">
        <f aca="false">IF($A134="N/A"," ",IF(Pricetype4=2,MAX(E134,0),IF(OR(Pricetype4=1,Pricetype4=4),IF(E134=0,0,(EURO(E134,Strikeprice4,0,0,($AK134+IF(Smile=TRUE(),VLOOKUP(MAX(-5,Strikeprice4-E134),Volsmile,2),0)),($A134-DateToday)+15,IF(Pricetype4=1,1,0),0))),E134)))</f>
        <v> </v>
      </c>
      <c r="O134" s="318" t="str">
        <f aca="false">IF($A134="N/A"," ",IF(Pricetype4=2,MAX(F134,0),IF(OR(Pricetype4=1,Pricetype4=4),IF(F134=0,0,(EURO(F134,Strikeprice4,0,0,($AK134+IF(Smile=TRUE(),VLOOKUP(MAX(-5,Strikeprice4-F134),Volsmile,2),0)),($A134-DateToday)+15,IF(Pricetype4=1,1,0),0))),F134)))</f>
        <v> </v>
      </c>
      <c r="P134" s="318" t="str">
        <f aca="false">IF($A134="N/A"," ",IF(Pricetype4=2,MAX(G134,0),IF(OR(Pricetype4=1,Pricetype4=4),IF(G134=0,0,(EURO(G134,Strikeprice4,0,0,($AK134+IF(Smile=TRUE(),VLOOKUP(MAX(-5,Strikeprice4-G134),Volsmile,2),0)),($A134-DateToday)+15,IF(Pricetype4=1,1,0),0))),G134)))</f>
        <v> </v>
      </c>
      <c r="Q134" s="318" t="str">
        <f aca="false">IF($A134="N/A"," ",IF(Pricetype4=2,MAX(H134,0),IF(OR(Pricetype4=1,Pricetype4=4),IF(H134=0,0,(EURO(H134,Strikeprice4,0,0,($AK134+IF(Smile=TRUE(),VLOOKUP(MAX(-5,Strikeprice4-H134),Volsmile,2),0)),($A134-DateToday)+15,IF(Pricetype4=1,1,0),0))),H134)))</f>
        <v> </v>
      </c>
      <c r="R134" s="318" t="str">
        <f aca="false">IF($A134="N/A"," ",IF(Pricetype4=2,MAX(I134,0),IF(OR(Pricetype4=1,Pricetype4=4),IF(I134=0,0,(EURO(I134,Strikeprice4,0,0,($AK134+IF(Smile=TRUE(),VLOOKUP(MAX(-5,Strikeprice4-I134),Volsmile,2),0)),($A134-DateToday)+15,IF(Pricetype4=1,1,0),0))),I134)))</f>
        <v> </v>
      </c>
      <c r="S134" s="318" t="str">
        <f aca="false">IF($A134="N/A"," ",IF(Pricetype4=2,MAX(J134,0),IF(OR(Pricetype4=1,Pricetype4=4),IF(J134=0,0,(EURO(J134,Strikeprice4,0,0,($AK134+IF(Smile=TRUE(),VLOOKUP(MAX(-5,Strikeprice4-J134),Volsmile,2),0)),($A134-DateToday)+15,IF(Pricetype4=1,1,0),0))),J134)))</f>
        <v> </v>
      </c>
      <c r="T134" s="318" t="str">
        <f aca="false">IF($A134="N/A"," ",IF(Pricetype4=2,MAX(K134,0),IF(OR(Pricetype4=1,Pricetype4=4),IF(K134=0,0,(EURO(K134,Strikeprice4,0,0,($AK134+IF(Smile=TRUE(),VLOOKUP(MAX(-5,Strikeprice4-K134),Volsmile,2),0)),($A134-DateToday)+15,IF(Pricetype4=1,1,0),0))),K134)))</f>
        <v> </v>
      </c>
      <c r="U134" s="319" t="str">
        <f aca="false">IF($A134="N/A"," ",Volume4*$AM134)</f>
        <v> </v>
      </c>
      <c r="V134" s="320" t="str">
        <f aca="false">IF($A134="N/A"," ",$U134*(8*($BQ134))*L134)</f>
        <v> </v>
      </c>
      <c r="W134" s="320" t="str">
        <f aca="false">IF($A134="N/A"," ",$U134*(8*($BQ134))*M134)</f>
        <v> </v>
      </c>
      <c r="X134" s="320" t="str">
        <f aca="false">IF($A134="N/A"," ",$U134*(8*($BQ134))*N134)</f>
        <v> </v>
      </c>
      <c r="Y134" s="320" t="str">
        <f aca="false">IF($A134="N/A"," ",$U134*(8*($BR134))*O134)</f>
        <v> </v>
      </c>
      <c r="Z134" s="320" t="str">
        <f aca="false">IF($A134="N/A"," ",$U134*(8*($BR134))*P134)</f>
        <v> </v>
      </c>
      <c r="AA134" s="320" t="str">
        <f aca="false">IF($A134="N/A"," ",$U134*(8*($BR134))*Q134)</f>
        <v> </v>
      </c>
      <c r="AB134" s="320" t="str">
        <f aca="false">IF($A134="N/A"," ",$U134*(8*($BS134))*R134)</f>
        <v> </v>
      </c>
      <c r="AC134" s="320" t="str">
        <f aca="false">IF($A134="N/A"," ",$U134*(8*($BS134))*S134)</f>
        <v> </v>
      </c>
      <c r="AD134" s="320" t="str">
        <f aca="false">IF($A134="N/A"," ",$U134*(8*($BS134))*T134)</f>
        <v> </v>
      </c>
      <c r="AE134" s="320" t="str">
        <f aca="false">IF($A134="N/A"," ",SUM(V134:AD134))</f>
        <v> </v>
      </c>
      <c r="AF134" s="321" t="str">
        <f aca="false">IF(A134="N/A"," ",(VLOOKUP(A134,PowerVolTable,(IF(VolBMO4=2,7,IF(VolBMO4=1,6,8))),FALSE())))</f>
        <v> </v>
      </c>
      <c r="AG134" s="321" t="str">
        <f aca="false">IF(A134="N/A"," ",(VLOOKUP(A134,IntraPowerVol,(IF(VolBMO4=2,3,IF(VolBMO4=1,2,4))),FALSE())*VLOOKUP(MONTH($A134),Volscale,2)))</f>
        <v> </v>
      </c>
      <c r="AH134" s="321" t="str">
        <f aca="false">IF($A134="N/A"," ",IF(VolType4=1,AG134,AF134))</f>
        <v> </v>
      </c>
      <c r="AI134" s="321" t="str">
        <f aca="false">IF($A134="N/A"," ",(VLOOKUP($A134,OffPwrVolTable,(IF(VolBMO4=2,7,IF(VolBMO4=1,6,8))),FALSE())))</f>
        <v> </v>
      </c>
      <c r="AJ134" s="321" t="str">
        <f aca="false">IF($A134="N/A"," ",(VLOOKUP($A134,OffPwrVolTable,(IF(VolBMO4=2,3,IF(VolBMO4=1,2,4))),FALSE())*VLOOKUP(MONTH($A134),Volscale,2)))</f>
        <v> </v>
      </c>
      <c r="AK134" s="321" t="str">
        <f aca="false">IF($A134="N/A"," ",IF(VolType4=1,AJ134,AI134))</f>
        <v> </v>
      </c>
      <c r="AL134" s="321" t="str">
        <f aca="false">IF($A134="N/A"," ",IF(PV=1,0,'Pricing Inputs4'!R167))</f>
        <v> </v>
      </c>
      <c r="AM134" s="323" t="str">
        <f aca="false">IF($A134="N/A"," ",(1+AL134/2)^(-2*((EOMONTH(A134,0)+20)-DateToday)/365.25))</f>
        <v> </v>
      </c>
      <c r="BQ134" s="0" t="str">
        <f aca="false">IF($A134="N/A"," ",(VLOOKUP($A134,NumberofDaysTable,2)))</f>
        <v> </v>
      </c>
      <c r="BR134" s="0" t="str">
        <f aca="false">IF($A134="N/A"," ",(VLOOKUP($A134,NumberofDaysTable,3)))</f>
        <v> </v>
      </c>
      <c r="BS134" s="0" t="str">
        <f aca="false">IF($A134="N/A"," ",(VLOOKUP($A134,NumberofDaysTable,4)))</f>
        <v> </v>
      </c>
    </row>
    <row r="135" customFormat="false" ht="12.75" hidden="false" customHeight="false" outlineLevel="0" collapsed="false">
      <c r="A135" s="315" t="str">
        <f aca="false">IF(A134="N/A","N/A",IF(EDATE(A134,1)&gt;Inputs!$R$5,"N/A",EDATE(A134,1)))</f>
        <v>N/A</v>
      </c>
      <c r="B135" s="316" t="str">
        <f aca="false">IF(A135="N/A"," ",YEAR(A135))</f>
        <v> </v>
      </c>
      <c r="C135" s="317" t="str">
        <f aca="false">IF($A135="N/A"," ",IF(Dayrun4=10,0,IF(Scaler4=1,(VLOOKUP(A135,ScaledPrice4,4)),(VLOOKUP(A135,ScaledPrice4,2)))))</f>
        <v> </v>
      </c>
      <c r="D135" s="317" t="str">
        <f aca="false">IF(A135="N/A"," ",IF(Dayrun4&gt;=7,0,IF(Scaler4=2,VLOOKUP(A135,ScaledPrice4,2),(VLOOKUP(A135,ScaledPrice4,2))*(2-(VLOOKUP(A135,ScaledPrice4,3))))))</f>
        <v> </v>
      </c>
      <c r="E135" s="317" t="str">
        <f aca="false">IF($A135="N/A"," ",IF(AND(Dayrun4&gt;=4,Dayrun4&lt;=9),0,VLOOKUP($A135,ScaledPrice4,9)))</f>
        <v> </v>
      </c>
      <c r="F135" s="317" t="str">
        <f aca="false">IF(A135="N/A"," ",IF(OR(Dayrun4=2,Dayrun4=3,Dayrun4=5,Dayrun4=6,Dayrun4=8,Dayrun4=9),VLOOKUP(A135,ScaledPrice4,IF(Scaler4=1,6,5)),0))</f>
        <v> </v>
      </c>
      <c r="G135" s="317" t="str">
        <f aca="false">IF(A135="N/A"," ",IF(OR(Dayrun4=2,Dayrun4=3,Dayrun4=5,Dayrun4=6),IF(Scaler4=2,F135,(VLOOKUP(A135,ScaledPrice4,5))*(2-(VLOOKUP(A135,ScaledPrice4,3)))),0))</f>
        <v> </v>
      </c>
      <c r="H135" s="317" t="str">
        <f aca="false">IF($A135="N/A"," ",IF(OR(Dayrun4=2,Dayrun4=3,Dayrun4=10),VLOOKUP($A135,ScaledPrice4,9),0))</f>
        <v> </v>
      </c>
      <c r="I135" s="317" t="str">
        <f aca="false">IF(A135="N/A"," ",IF(OR(Dayrun4=3,Dayrun4=6,Dayrun4=9),(VLOOKUP(A135,ScaledPrice4,IF(Scaler4=2,7,8))),0))</f>
        <v> </v>
      </c>
      <c r="J135" s="317" t="str">
        <f aca="false">IF(A135="N/A"," ",IF(OR(Dayrun4=3,Dayrun4=6),IF(Scaler4=2,I135,(VLOOKUP(A135,ScaledPrice4,7))*(2-(VLOOKUP(A135,ScaledPrice4,3)))),0))</f>
        <v> </v>
      </c>
      <c r="K135" s="317" t="str">
        <f aca="false">IF($A135="N/A"," ",IF(OR(Dayrun4=3,Dayrun4=10),VLOOKUP($A135,ScaledPrice4,9),0))</f>
        <v> </v>
      </c>
      <c r="L135" s="318" t="str">
        <f aca="false">IF($A135="N/A"," ",IF(Pricetype4=2,MAX(C135,0),IF(OR(Pricetype4=1,Pricetype4=4),IF(C135=0,0,(EURO(C135,Strikeprice4,0,0,($AH135+IF(Smile=TRUE(),VLOOKUP(MAX(-5,Strikeprice4-C135),Volsmile,2),0)),($A135-DateToday)+15,IF(Pricetype4=1,1,0),0))),C135)))</f>
        <v> </v>
      </c>
      <c r="M135" s="318" t="str">
        <f aca="false">IF($A135="N/A"," ",IF(Pricetype4=2,MAX(D135,0),IF(OR(Pricetype4=1,Pricetype4=4),IF(D135=0,0,(EURO(D135,Strikeprice4,0,0,($AH135+IF(Smile=TRUE(),VLOOKUP(MAX(-5,Strikeprice4-D135),Volsmile,2),0)),($A135-DateToday)+15,IF(Pricetype4=1,1,0),0))),D135)))</f>
        <v> </v>
      </c>
      <c r="N135" s="318" t="str">
        <f aca="false">IF($A135="N/A"," ",IF(Pricetype4=2,MAX(E135,0),IF(OR(Pricetype4=1,Pricetype4=4),IF(E135=0,0,(EURO(E135,Strikeprice4,0,0,($AK135+IF(Smile=TRUE(),VLOOKUP(MAX(-5,Strikeprice4-E135),Volsmile,2),0)),($A135-DateToday)+15,IF(Pricetype4=1,1,0),0))),E135)))</f>
        <v> </v>
      </c>
      <c r="O135" s="318" t="str">
        <f aca="false">IF($A135="N/A"," ",IF(Pricetype4=2,MAX(F135,0),IF(OR(Pricetype4=1,Pricetype4=4),IF(F135=0,0,(EURO(F135,Strikeprice4,0,0,($AK135+IF(Smile=TRUE(),VLOOKUP(MAX(-5,Strikeprice4-F135),Volsmile,2),0)),($A135-DateToday)+15,IF(Pricetype4=1,1,0),0))),F135)))</f>
        <v> </v>
      </c>
      <c r="P135" s="318" t="str">
        <f aca="false">IF($A135="N/A"," ",IF(Pricetype4=2,MAX(G135,0),IF(OR(Pricetype4=1,Pricetype4=4),IF(G135=0,0,(EURO(G135,Strikeprice4,0,0,($AK135+IF(Smile=TRUE(),VLOOKUP(MAX(-5,Strikeprice4-G135),Volsmile,2),0)),($A135-DateToday)+15,IF(Pricetype4=1,1,0),0))),G135)))</f>
        <v> </v>
      </c>
      <c r="Q135" s="318" t="str">
        <f aca="false">IF($A135="N/A"," ",IF(Pricetype4=2,MAX(H135,0),IF(OR(Pricetype4=1,Pricetype4=4),IF(H135=0,0,(EURO(H135,Strikeprice4,0,0,($AK135+IF(Smile=TRUE(),VLOOKUP(MAX(-5,Strikeprice4-H135),Volsmile,2),0)),($A135-DateToday)+15,IF(Pricetype4=1,1,0),0))),H135)))</f>
        <v> </v>
      </c>
      <c r="R135" s="318" t="str">
        <f aca="false">IF($A135="N/A"," ",IF(Pricetype4=2,MAX(I135,0),IF(OR(Pricetype4=1,Pricetype4=4),IF(I135=0,0,(EURO(I135,Strikeprice4,0,0,($AK135+IF(Smile=TRUE(),VLOOKUP(MAX(-5,Strikeprice4-I135),Volsmile,2),0)),($A135-DateToday)+15,IF(Pricetype4=1,1,0),0))),I135)))</f>
        <v> </v>
      </c>
      <c r="S135" s="318" t="str">
        <f aca="false">IF($A135="N/A"," ",IF(Pricetype4=2,MAX(J135,0),IF(OR(Pricetype4=1,Pricetype4=4),IF(J135=0,0,(EURO(J135,Strikeprice4,0,0,($AK135+IF(Smile=TRUE(),VLOOKUP(MAX(-5,Strikeprice4-J135),Volsmile,2),0)),($A135-DateToday)+15,IF(Pricetype4=1,1,0),0))),J135)))</f>
        <v> </v>
      </c>
      <c r="T135" s="318" t="str">
        <f aca="false">IF($A135="N/A"," ",IF(Pricetype4=2,MAX(K135,0),IF(OR(Pricetype4=1,Pricetype4=4),IF(K135=0,0,(EURO(K135,Strikeprice4,0,0,($AK135+IF(Smile=TRUE(),VLOOKUP(MAX(-5,Strikeprice4-K135),Volsmile,2),0)),($A135-DateToday)+15,IF(Pricetype4=1,1,0),0))),K135)))</f>
        <v> </v>
      </c>
      <c r="U135" s="319" t="str">
        <f aca="false">IF($A135="N/A"," ",Volume4*$AM135)</f>
        <v> </v>
      </c>
      <c r="V135" s="320" t="str">
        <f aca="false">IF($A135="N/A"," ",$U135*(8*($BQ135))*L135)</f>
        <v> </v>
      </c>
      <c r="W135" s="320" t="str">
        <f aca="false">IF($A135="N/A"," ",$U135*(8*($BQ135))*M135)</f>
        <v> </v>
      </c>
      <c r="X135" s="320" t="str">
        <f aca="false">IF($A135="N/A"," ",$U135*(8*($BQ135))*N135)</f>
        <v> </v>
      </c>
      <c r="Y135" s="320" t="str">
        <f aca="false">IF($A135="N/A"," ",$U135*(8*($BR135))*O135)</f>
        <v> </v>
      </c>
      <c r="Z135" s="320" t="str">
        <f aca="false">IF($A135="N/A"," ",$U135*(8*($BR135))*P135)</f>
        <v> </v>
      </c>
      <c r="AA135" s="320" t="str">
        <f aca="false">IF($A135="N/A"," ",$U135*(8*($BR135))*Q135)</f>
        <v> </v>
      </c>
      <c r="AB135" s="320" t="str">
        <f aca="false">IF($A135="N/A"," ",$U135*(8*($BS135))*R135)</f>
        <v> </v>
      </c>
      <c r="AC135" s="320" t="str">
        <f aca="false">IF($A135="N/A"," ",$U135*(8*($BS135))*S135)</f>
        <v> </v>
      </c>
      <c r="AD135" s="320" t="str">
        <f aca="false">IF($A135="N/A"," ",$U135*(8*($BS135))*T135)</f>
        <v> </v>
      </c>
      <c r="AE135" s="320" t="str">
        <f aca="false">IF($A135="N/A"," ",SUM(V135:AD135))</f>
        <v> </v>
      </c>
      <c r="AF135" s="321" t="str">
        <f aca="false">IF(A135="N/A"," ",(VLOOKUP(A135,PowerVolTable,(IF(VolBMO4=2,7,IF(VolBMO4=1,6,8))),FALSE())))</f>
        <v> </v>
      </c>
      <c r="AG135" s="321" t="str">
        <f aca="false">IF(A135="N/A"," ",(VLOOKUP(A135,IntraPowerVol,(IF(VolBMO4=2,3,IF(VolBMO4=1,2,4))),FALSE())*VLOOKUP(MONTH($A135),Volscale,2)))</f>
        <v> </v>
      </c>
      <c r="AH135" s="321" t="str">
        <f aca="false">IF($A135="N/A"," ",IF(VolType4=1,AG135,AF135))</f>
        <v> </v>
      </c>
      <c r="AI135" s="321" t="str">
        <f aca="false">IF($A135="N/A"," ",(VLOOKUP($A135,OffPwrVolTable,(IF(VolBMO4=2,7,IF(VolBMO4=1,6,8))),FALSE())))</f>
        <v> </v>
      </c>
      <c r="AJ135" s="321" t="str">
        <f aca="false">IF($A135="N/A"," ",(VLOOKUP($A135,OffPwrVolTable,(IF(VolBMO4=2,3,IF(VolBMO4=1,2,4))),FALSE())*VLOOKUP(MONTH($A135),Volscale,2)))</f>
        <v> </v>
      </c>
      <c r="AK135" s="321" t="str">
        <f aca="false">IF($A135="N/A"," ",IF(VolType4=1,AJ135,AI135))</f>
        <v> </v>
      </c>
      <c r="AL135" s="321" t="str">
        <f aca="false">IF($A135="N/A"," ",IF(PV=1,0,'Pricing Inputs4'!R168))</f>
        <v> </v>
      </c>
      <c r="AM135" s="323" t="str">
        <f aca="false">IF($A135="N/A"," ",(1+AL135/2)^(-2*((EOMONTH(A135,0)+20)-DateToday)/365.25))</f>
        <v> </v>
      </c>
      <c r="BQ135" s="0" t="str">
        <f aca="false">IF($A135="N/A"," ",(VLOOKUP($A135,NumberofDaysTable,2)))</f>
        <v> </v>
      </c>
      <c r="BR135" s="0" t="str">
        <f aca="false">IF($A135="N/A"," ",(VLOOKUP($A135,NumberofDaysTable,3)))</f>
        <v> </v>
      </c>
      <c r="BS135" s="0" t="str">
        <f aca="false">IF($A135="N/A"," ",(VLOOKUP($A135,NumberofDaysTable,4)))</f>
        <v> </v>
      </c>
    </row>
    <row r="136" customFormat="false" ht="12.75" hidden="false" customHeight="false" outlineLevel="0" collapsed="false">
      <c r="A136" s="315" t="str">
        <f aca="false">IF(A135="N/A","N/A",IF(EDATE(A135,1)&gt;Inputs!$R$5,"N/A",EDATE(A135,1)))</f>
        <v>N/A</v>
      </c>
      <c r="B136" s="316" t="str">
        <f aca="false">IF(A136="N/A"," ",YEAR(A136))</f>
        <v> </v>
      </c>
      <c r="C136" s="317" t="str">
        <f aca="false">IF($A136="N/A"," ",IF(Dayrun4=10,0,IF(Scaler4=1,(VLOOKUP(A136,ScaledPrice4,4)),(VLOOKUP(A136,ScaledPrice4,2)))))</f>
        <v> </v>
      </c>
      <c r="D136" s="317" t="str">
        <f aca="false">IF(A136="N/A"," ",IF(Dayrun4&gt;=7,0,IF(Scaler4=2,VLOOKUP(A136,ScaledPrice4,2),(VLOOKUP(A136,ScaledPrice4,2))*(2-(VLOOKUP(A136,ScaledPrice4,3))))))</f>
        <v> </v>
      </c>
      <c r="E136" s="317" t="str">
        <f aca="false">IF($A136="N/A"," ",IF(AND(Dayrun4&gt;=4,Dayrun4&lt;=9),0,VLOOKUP($A136,ScaledPrice4,9)))</f>
        <v> </v>
      </c>
      <c r="F136" s="317" t="str">
        <f aca="false">IF(A136="N/A"," ",IF(OR(Dayrun4=2,Dayrun4=3,Dayrun4=5,Dayrun4=6,Dayrun4=8,Dayrun4=9),VLOOKUP(A136,ScaledPrice4,IF(Scaler4=1,6,5)),0))</f>
        <v> </v>
      </c>
      <c r="G136" s="317" t="str">
        <f aca="false">IF(A136="N/A"," ",IF(OR(Dayrun4=2,Dayrun4=3,Dayrun4=5,Dayrun4=6),IF(Scaler4=2,F136,(VLOOKUP(A136,ScaledPrice4,5))*(2-(VLOOKUP(A136,ScaledPrice4,3)))),0))</f>
        <v> </v>
      </c>
      <c r="H136" s="317" t="str">
        <f aca="false">IF($A136="N/A"," ",IF(OR(Dayrun4=2,Dayrun4=3,Dayrun4=10),VLOOKUP($A136,ScaledPrice4,9),0))</f>
        <v> </v>
      </c>
      <c r="I136" s="317" t="str">
        <f aca="false">IF(A136="N/A"," ",IF(OR(Dayrun4=3,Dayrun4=6,Dayrun4=9),(VLOOKUP(A136,ScaledPrice4,IF(Scaler4=2,7,8))),0))</f>
        <v> </v>
      </c>
      <c r="J136" s="317" t="str">
        <f aca="false">IF(A136="N/A"," ",IF(OR(Dayrun4=3,Dayrun4=6),IF(Scaler4=2,I136,(VLOOKUP(A136,ScaledPrice4,7))*(2-(VLOOKUP(A136,ScaledPrice4,3)))),0))</f>
        <v> </v>
      </c>
      <c r="K136" s="317" t="str">
        <f aca="false">IF($A136="N/A"," ",IF(OR(Dayrun4=3,Dayrun4=10),VLOOKUP($A136,ScaledPrice4,9),0))</f>
        <v> </v>
      </c>
      <c r="L136" s="318" t="str">
        <f aca="false">IF($A136="N/A"," ",IF(Pricetype4=2,MAX(C136,0),IF(OR(Pricetype4=1,Pricetype4=4),IF(C136=0,0,(EURO(C136,Strikeprice4,0,0,($AH136+IF(Smile=TRUE(),VLOOKUP(MAX(-5,Strikeprice4-C136),Volsmile,2),0)),($A136-DateToday)+15,IF(Pricetype4=1,1,0),0))),C136)))</f>
        <v> </v>
      </c>
      <c r="M136" s="318" t="str">
        <f aca="false">IF($A136="N/A"," ",IF(Pricetype4=2,MAX(D136,0),IF(OR(Pricetype4=1,Pricetype4=4),IF(D136=0,0,(EURO(D136,Strikeprice4,0,0,($AH136+IF(Smile=TRUE(),VLOOKUP(MAX(-5,Strikeprice4-D136),Volsmile,2),0)),($A136-DateToday)+15,IF(Pricetype4=1,1,0),0))),D136)))</f>
        <v> </v>
      </c>
      <c r="N136" s="318" t="str">
        <f aca="false">IF($A136="N/A"," ",IF(Pricetype4=2,MAX(E136,0),IF(OR(Pricetype4=1,Pricetype4=4),IF(E136=0,0,(EURO(E136,Strikeprice4,0,0,($AK136+IF(Smile=TRUE(),VLOOKUP(MAX(-5,Strikeprice4-E136),Volsmile,2),0)),($A136-DateToday)+15,IF(Pricetype4=1,1,0),0))),E136)))</f>
        <v> </v>
      </c>
      <c r="O136" s="318" t="str">
        <f aca="false">IF($A136="N/A"," ",IF(Pricetype4=2,MAX(F136,0),IF(OR(Pricetype4=1,Pricetype4=4),IF(F136=0,0,(EURO(F136,Strikeprice4,0,0,($AK136+IF(Smile=TRUE(),VLOOKUP(MAX(-5,Strikeprice4-F136),Volsmile,2),0)),($A136-DateToday)+15,IF(Pricetype4=1,1,0),0))),F136)))</f>
        <v> </v>
      </c>
      <c r="P136" s="318" t="str">
        <f aca="false">IF($A136="N/A"," ",IF(Pricetype4=2,MAX(G136,0),IF(OR(Pricetype4=1,Pricetype4=4),IF(G136=0,0,(EURO(G136,Strikeprice4,0,0,($AK136+IF(Smile=TRUE(),VLOOKUP(MAX(-5,Strikeprice4-G136),Volsmile,2),0)),($A136-DateToday)+15,IF(Pricetype4=1,1,0),0))),G136)))</f>
        <v> </v>
      </c>
      <c r="Q136" s="318" t="str">
        <f aca="false">IF($A136="N/A"," ",IF(Pricetype4=2,MAX(H136,0),IF(OR(Pricetype4=1,Pricetype4=4),IF(H136=0,0,(EURO(H136,Strikeprice4,0,0,($AK136+IF(Smile=TRUE(),VLOOKUP(MAX(-5,Strikeprice4-H136),Volsmile,2),0)),($A136-DateToday)+15,IF(Pricetype4=1,1,0),0))),H136)))</f>
        <v> </v>
      </c>
      <c r="R136" s="318" t="str">
        <f aca="false">IF($A136="N/A"," ",IF(Pricetype4=2,MAX(I136,0),IF(OR(Pricetype4=1,Pricetype4=4),IF(I136=0,0,(EURO(I136,Strikeprice4,0,0,($AK136+IF(Smile=TRUE(),VLOOKUP(MAX(-5,Strikeprice4-I136),Volsmile,2),0)),($A136-DateToday)+15,IF(Pricetype4=1,1,0),0))),I136)))</f>
        <v> </v>
      </c>
      <c r="S136" s="318" t="str">
        <f aca="false">IF($A136="N/A"," ",IF(Pricetype4=2,MAX(J136,0),IF(OR(Pricetype4=1,Pricetype4=4),IF(J136=0,0,(EURO(J136,Strikeprice4,0,0,($AK136+IF(Smile=TRUE(),VLOOKUP(MAX(-5,Strikeprice4-J136),Volsmile,2),0)),($A136-DateToday)+15,IF(Pricetype4=1,1,0),0))),J136)))</f>
        <v> </v>
      </c>
      <c r="T136" s="318" t="str">
        <f aca="false">IF($A136="N/A"," ",IF(Pricetype4=2,MAX(K136,0),IF(OR(Pricetype4=1,Pricetype4=4),IF(K136=0,0,(EURO(K136,Strikeprice4,0,0,($AK136+IF(Smile=TRUE(),VLOOKUP(MAX(-5,Strikeprice4-K136),Volsmile,2),0)),($A136-DateToday)+15,IF(Pricetype4=1,1,0),0))),K136)))</f>
        <v> </v>
      </c>
      <c r="U136" s="319" t="str">
        <f aca="false">IF($A136="N/A"," ",Volume4*$AM136)</f>
        <v> </v>
      </c>
      <c r="V136" s="320" t="str">
        <f aca="false">IF($A136="N/A"," ",$U136*(8*($BQ136))*L136)</f>
        <v> </v>
      </c>
      <c r="W136" s="320" t="str">
        <f aca="false">IF($A136="N/A"," ",$U136*(8*($BQ136))*M136)</f>
        <v> </v>
      </c>
      <c r="X136" s="320" t="str">
        <f aca="false">IF($A136="N/A"," ",$U136*(8*($BQ136))*N136)</f>
        <v> </v>
      </c>
      <c r="Y136" s="320" t="str">
        <f aca="false">IF($A136="N/A"," ",$U136*(8*($BR136))*O136)</f>
        <v> </v>
      </c>
      <c r="Z136" s="320" t="str">
        <f aca="false">IF($A136="N/A"," ",$U136*(8*($BR136))*P136)</f>
        <v> </v>
      </c>
      <c r="AA136" s="320" t="str">
        <f aca="false">IF($A136="N/A"," ",$U136*(8*($BR136))*Q136)</f>
        <v> </v>
      </c>
      <c r="AB136" s="320" t="str">
        <f aca="false">IF($A136="N/A"," ",$U136*(8*($BS136))*R136)</f>
        <v> </v>
      </c>
      <c r="AC136" s="320" t="str">
        <f aca="false">IF($A136="N/A"," ",$U136*(8*($BS136))*S136)</f>
        <v> </v>
      </c>
      <c r="AD136" s="320" t="str">
        <f aca="false">IF($A136="N/A"," ",$U136*(8*($BS136))*T136)</f>
        <v> </v>
      </c>
      <c r="AE136" s="320" t="str">
        <f aca="false">IF($A136="N/A"," ",SUM(V136:AD136))</f>
        <v> </v>
      </c>
      <c r="AF136" s="321" t="str">
        <f aca="false">IF(A136="N/A"," ",(VLOOKUP(A136,PowerVolTable,(IF(VolBMO4=2,7,IF(VolBMO4=1,6,8))),FALSE())))</f>
        <v> </v>
      </c>
      <c r="AG136" s="321" t="str">
        <f aca="false">IF(A136="N/A"," ",(VLOOKUP(A136,IntraPowerVol,(IF(VolBMO4=2,3,IF(VolBMO4=1,2,4))),FALSE())*VLOOKUP(MONTH($A136),Volscale,2)))</f>
        <v> </v>
      </c>
      <c r="AH136" s="321" t="str">
        <f aca="false">IF($A136="N/A"," ",IF(VolType4=1,AG136,AF136))</f>
        <v> </v>
      </c>
      <c r="AI136" s="321" t="str">
        <f aca="false">IF($A136="N/A"," ",(VLOOKUP($A136,OffPwrVolTable,(IF(VolBMO4=2,7,IF(VolBMO4=1,6,8))),FALSE())))</f>
        <v> </v>
      </c>
      <c r="AJ136" s="321" t="str">
        <f aca="false">IF($A136="N/A"," ",(VLOOKUP($A136,OffPwrVolTable,(IF(VolBMO4=2,3,IF(VolBMO4=1,2,4))),FALSE())*VLOOKUP(MONTH($A136),Volscale,2)))</f>
        <v> </v>
      </c>
      <c r="AK136" s="321" t="str">
        <f aca="false">IF($A136="N/A"," ",IF(VolType4=1,AJ136,AI136))</f>
        <v> </v>
      </c>
      <c r="AL136" s="321" t="str">
        <f aca="false">IF($A136="N/A"," ",IF(PV=1,0,'Pricing Inputs4'!R169))</f>
        <v> </v>
      </c>
      <c r="AM136" s="323" t="str">
        <f aca="false">IF($A136="N/A"," ",(1+AL136/2)^(-2*((EOMONTH(A136,0)+20)-DateToday)/365.25))</f>
        <v> </v>
      </c>
      <c r="BQ136" s="0" t="str">
        <f aca="false">IF($A136="N/A"," ",(VLOOKUP($A136,NumberofDaysTable,2)))</f>
        <v> </v>
      </c>
      <c r="BR136" s="0" t="str">
        <f aca="false">IF($A136="N/A"," ",(VLOOKUP($A136,NumberofDaysTable,3)))</f>
        <v> </v>
      </c>
      <c r="BS136" s="0" t="str">
        <f aca="false">IF($A136="N/A"," ",(VLOOKUP($A136,NumberofDaysTable,4)))</f>
        <v> </v>
      </c>
    </row>
    <row r="137" customFormat="false" ht="12.75" hidden="false" customHeight="false" outlineLevel="0" collapsed="false">
      <c r="A137" s="315" t="str">
        <f aca="false">IF(A136="N/A","N/A",IF(EDATE(A136,1)&gt;Inputs!$R$5,"N/A",EDATE(A136,1)))</f>
        <v>N/A</v>
      </c>
      <c r="B137" s="316" t="str">
        <f aca="false">IF(A137="N/A"," ",YEAR(A137))</f>
        <v> </v>
      </c>
      <c r="C137" s="317" t="str">
        <f aca="false">IF($A137="N/A"," ",IF(Dayrun4=10,0,IF(Scaler4=1,(VLOOKUP(A137,ScaledPrice4,4)),(VLOOKUP(A137,ScaledPrice4,2)))))</f>
        <v> </v>
      </c>
      <c r="D137" s="317" t="str">
        <f aca="false">IF(A137="N/A"," ",IF(Dayrun4&gt;=7,0,IF(Scaler4=2,VLOOKUP(A137,ScaledPrice4,2),(VLOOKUP(A137,ScaledPrice4,2))*(2-(VLOOKUP(A137,ScaledPrice4,3))))))</f>
        <v> </v>
      </c>
      <c r="E137" s="317" t="str">
        <f aca="false">IF($A137="N/A"," ",IF(AND(Dayrun4&gt;=4,Dayrun4&lt;=9),0,VLOOKUP($A137,ScaledPrice4,9)))</f>
        <v> </v>
      </c>
      <c r="F137" s="317" t="str">
        <f aca="false">IF(A137="N/A"," ",IF(OR(Dayrun4=2,Dayrun4=3,Dayrun4=5,Dayrun4=6,Dayrun4=8,Dayrun4=9),VLOOKUP(A137,ScaledPrice4,IF(Scaler4=1,6,5)),0))</f>
        <v> </v>
      </c>
      <c r="G137" s="317" t="str">
        <f aca="false">IF(A137="N/A"," ",IF(OR(Dayrun4=2,Dayrun4=3,Dayrun4=5,Dayrun4=6),IF(Scaler4=2,F137,(VLOOKUP(A137,ScaledPrice4,5))*(2-(VLOOKUP(A137,ScaledPrice4,3)))),0))</f>
        <v> </v>
      </c>
      <c r="H137" s="317" t="str">
        <f aca="false">IF($A137="N/A"," ",IF(OR(Dayrun4=2,Dayrun4=3,Dayrun4=10),VLOOKUP($A137,ScaledPrice4,9),0))</f>
        <v> </v>
      </c>
      <c r="I137" s="317" t="str">
        <f aca="false">IF(A137="N/A"," ",IF(OR(Dayrun4=3,Dayrun4=6,Dayrun4=9),(VLOOKUP(A137,ScaledPrice4,IF(Scaler4=2,7,8))),0))</f>
        <v> </v>
      </c>
      <c r="J137" s="317" t="str">
        <f aca="false">IF(A137="N/A"," ",IF(OR(Dayrun4=3,Dayrun4=6),IF(Scaler4=2,I137,(VLOOKUP(A137,ScaledPrice4,7))*(2-(VLOOKUP(A137,ScaledPrice4,3)))),0))</f>
        <v> </v>
      </c>
      <c r="K137" s="317" t="str">
        <f aca="false">IF($A137="N/A"," ",IF(OR(Dayrun4=3,Dayrun4=10),VLOOKUP($A137,ScaledPrice4,9),0))</f>
        <v> </v>
      </c>
      <c r="L137" s="318" t="str">
        <f aca="false">IF($A137="N/A"," ",IF(Pricetype4=2,MAX(C137,0),IF(OR(Pricetype4=1,Pricetype4=4),IF(C137=0,0,(EURO(C137,Strikeprice4,0,0,($AH137+IF(Smile=TRUE(),VLOOKUP(MAX(-5,Strikeprice4-C137),Volsmile,2),0)),($A137-DateToday)+15,IF(Pricetype4=1,1,0),0))),C137)))</f>
        <v> </v>
      </c>
      <c r="M137" s="318" t="str">
        <f aca="false">IF($A137="N/A"," ",IF(Pricetype4=2,MAX(D137,0),IF(OR(Pricetype4=1,Pricetype4=4),IF(D137=0,0,(EURO(D137,Strikeprice4,0,0,($AH137+IF(Smile=TRUE(),VLOOKUP(MAX(-5,Strikeprice4-D137),Volsmile,2),0)),($A137-DateToday)+15,IF(Pricetype4=1,1,0),0))),D137)))</f>
        <v> </v>
      </c>
      <c r="N137" s="318" t="str">
        <f aca="false">IF($A137="N/A"," ",IF(Pricetype4=2,MAX(E137,0),IF(OR(Pricetype4=1,Pricetype4=4),IF(E137=0,0,(EURO(E137,Strikeprice4,0,0,($AK137+IF(Smile=TRUE(),VLOOKUP(MAX(-5,Strikeprice4-E137),Volsmile,2),0)),($A137-DateToday)+15,IF(Pricetype4=1,1,0),0))),E137)))</f>
        <v> </v>
      </c>
      <c r="O137" s="318" t="str">
        <f aca="false">IF($A137="N/A"," ",IF(Pricetype4=2,MAX(F137,0),IF(OR(Pricetype4=1,Pricetype4=4),IF(F137=0,0,(EURO(F137,Strikeprice4,0,0,($AK137+IF(Smile=TRUE(),VLOOKUP(MAX(-5,Strikeprice4-F137),Volsmile,2),0)),($A137-DateToday)+15,IF(Pricetype4=1,1,0),0))),F137)))</f>
        <v> </v>
      </c>
      <c r="P137" s="318" t="str">
        <f aca="false">IF($A137="N/A"," ",IF(Pricetype4=2,MAX(G137,0),IF(OR(Pricetype4=1,Pricetype4=4),IF(G137=0,0,(EURO(G137,Strikeprice4,0,0,($AK137+IF(Smile=TRUE(),VLOOKUP(MAX(-5,Strikeprice4-G137),Volsmile,2),0)),($A137-DateToday)+15,IF(Pricetype4=1,1,0),0))),G137)))</f>
        <v> </v>
      </c>
      <c r="Q137" s="318" t="str">
        <f aca="false">IF($A137="N/A"," ",IF(Pricetype4=2,MAX(H137,0),IF(OR(Pricetype4=1,Pricetype4=4),IF(H137=0,0,(EURO(H137,Strikeprice4,0,0,($AK137+IF(Smile=TRUE(),VLOOKUP(MAX(-5,Strikeprice4-H137),Volsmile,2),0)),($A137-DateToday)+15,IF(Pricetype4=1,1,0),0))),H137)))</f>
        <v> </v>
      </c>
      <c r="R137" s="318" t="str">
        <f aca="false">IF($A137="N/A"," ",IF(Pricetype4=2,MAX(I137,0),IF(OR(Pricetype4=1,Pricetype4=4),IF(I137=0,0,(EURO(I137,Strikeprice4,0,0,($AK137+IF(Smile=TRUE(),VLOOKUP(MAX(-5,Strikeprice4-I137),Volsmile,2),0)),($A137-DateToday)+15,IF(Pricetype4=1,1,0),0))),I137)))</f>
        <v> </v>
      </c>
      <c r="S137" s="318" t="str">
        <f aca="false">IF($A137="N/A"," ",IF(Pricetype4=2,MAX(J137,0),IF(OR(Pricetype4=1,Pricetype4=4),IF(J137=0,0,(EURO(J137,Strikeprice4,0,0,($AK137+IF(Smile=TRUE(),VLOOKUP(MAX(-5,Strikeprice4-J137),Volsmile,2),0)),($A137-DateToday)+15,IF(Pricetype4=1,1,0),0))),J137)))</f>
        <v> </v>
      </c>
      <c r="T137" s="318" t="str">
        <f aca="false">IF($A137="N/A"," ",IF(Pricetype4=2,MAX(K137,0),IF(OR(Pricetype4=1,Pricetype4=4),IF(K137=0,0,(EURO(K137,Strikeprice4,0,0,($AK137+IF(Smile=TRUE(),VLOOKUP(MAX(-5,Strikeprice4-K137),Volsmile,2),0)),($A137-DateToday)+15,IF(Pricetype4=1,1,0),0))),K137)))</f>
        <v> </v>
      </c>
      <c r="U137" s="319" t="str">
        <f aca="false">IF($A137="N/A"," ",Volume4*$AM137)</f>
        <v> </v>
      </c>
      <c r="V137" s="320" t="str">
        <f aca="false">IF($A137="N/A"," ",$U137*(8*($BQ137))*L137)</f>
        <v> </v>
      </c>
      <c r="W137" s="320" t="str">
        <f aca="false">IF($A137="N/A"," ",$U137*(8*($BQ137))*M137)</f>
        <v> </v>
      </c>
      <c r="X137" s="320" t="str">
        <f aca="false">IF($A137="N/A"," ",$U137*(8*($BQ137))*N137)</f>
        <v> </v>
      </c>
      <c r="Y137" s="320" t="str">
        <f aca="false">IF($A137="N/A"," ",$U137*(8*($BR137))*O137)</f>
        <v> </v>
      </c>
      <c r="Z137" s="320" t="str">
        <f aca="false">IF($A137="N/A"," ",$U137*(8*($BR137))*P137)</f>
        <v> </v>
      </c>
      <c r="AA137" s="320" t="str">
        <f aca="false">IF($A137="N/A"," ",$U137*(8*($BR137))*Q137)</f>
        <v> </v>
      </c>
      <c r="AB137" s="320" t="str">
        <f aca="false">IF($A137="N/A"," ",$U137*(8*($BS137))*R137)</f>
        <v> </v>
      </c>
      <c r="AC137" s="320" t="str">
        <f aca="false">IF($A137="N/A"," ",$U137*(8*($BS137))*S137)</f>
        <v> </v>
      </c>
      <c r="AD137" s="320" t="str">
        <f aca="false">IF($A137="N/A"," ",$U137*(8*($BS137))*T137)</f>
        <v> </v>
      </c>
      <c r="AE137" s="320" t="str">
        <f aca="false">IF($A137="N/A"," ",SUM(V137:AD137))</f>
        <v> </v>
      </c>
      <c r="AF137" s="321" t="str">
        <f aca="false">IF(A137="N/A"," ",(VLOOKUP(A137,PowerVolTable,(IF(VolBMO4=2,7,IF(VolBMO4=1,6,8))),FALSE())))</f>
        <v> </v>
      </c>
      <c r="AG137" s="321" t="str">
        <f aca="false">IF(A137="N/A"," ",(VLOOKUP(A137,IntraPowerVol,(IF(VolBMO4=2,3,IF(VolBMO4=1,2,4))),FALSE())*VLOOKUP(MONTH($A137),Volscale,2)))</f>
        <v> </v>
      </c>
      <c r="AH137" s="321" t="str">
        <f aca="false">IF($A137="N/A"," ",IF(VolType4=1,AG137,AF137))</f>
        <v> </v>
      </c>
      <c r="AI137" s="321" t="str">
        <f aca="false">IF($A137="N/A"," ",(VLOOKUP($A137,OffPwrVolTable,(IF(VolBMO4=2,7,IF(VolBMO4=1,6,8))),FALSE())))</f>
        <v> </v>
      </c>
      <c r="AJ137" s="321" t="str">
        <f aca="false">IF($A137="N/A"," ",(VLOOKUP($A137,OffPwrVolTable,(IF(VolBMO4=2,3,IF(VolBMO4=1,2,4))),FALSE())*VLOOKUP(MONTH($A137),Volscale,2)))</f>
        <v> </v>
      </c>
      <c r="AK137" s="321" t="str">
        <f aca="false">IF($A137="N/A"," ",IF(VolType4=1,AJ137,AI137))</f>
        <v> </v>
      </c>
      <c r="AL137" s="321" t="str">
        <f aca="false">IF($A137="N/A"," ",IF(PV=1,0,'Pricing Inputs4'!R170))</f>
        <v> </v>
      </c>
      <c r="AM137" s="323" t="str">
        <f aca="false">IF($A137="N/A"," ",(1+AL137/2)^(-2*((EOMONTH(A137,0)+20)-DateToday)/365.25))</f>
        <v> </v>
      </c>
      <c r="BQ137" s="0" t="str">
        <f aca="false">IF($A137="N/A"," ",(VLOOKUP($A137,NumberofDaysTable,2)))</f>
        <v> </v>
      </c>
      <c r="BR137" s="0" t="str">
        <f aca="false">IF($A137="N/A"," ",(VLOOKUP($A137,NumberofDaysTable,3)))</f>
        <v> </v>
      </c>
      <c r="BS137" s="0" t="str">
        <f aca="false">IF($A137="N/A"," ",(VLOOKUP($A137,NumberofDaysTable,4)))</f>
        <v> </v>
      </c>
    </row>
    <row r="138" customFormat="false" ht="12.75" hidden="false" customHeight="false" outlineLevel="0" collapsed="false">
      <c r="A138" s="315" t="str">
        <f aca="false">IF(A137="N/A","N/A",IF(EDATE(A137,1)&gt;Inputs!$R$5,"N/A",EDATE(A137,1)))</f>
        <v>N/A</v>
      </c>
      <c r="B138" s="316" t="str">
        <f aca="false">IF(A138="N/A"," ",YEAR(A138))</f>
        <v> </v>
      </c>
      <c r="C138" s="317" t="str">
        <f aca="false">IF($A138="N/A"," ",IF(Dayrun4=10,0,IF(Scaler4=1,(VLOOKUP(A138,ScaledPrice4,4)),(VLOOKUP(A138,ScaledPrice4,2)))))</f>
        <v> </v>
      </c>
      <c r="D138" s="317" t="str">
        <f aca="false">IF(A138="N/A"," ",IF(Dayrun4&gt;=7,0,IF(Scaler4=2,VLOOKUP(A138,ScaledPrice4,2),(VLOOKUP(A138,ScaledPrice4,2))*(2-(VLOOKUP(A138,ScaledPrice4,3))))))</f>
        <v> </v>
      </c>
      <c r="E138" s="317" t="str">
        <f aca="false">IF($A138="N/A"," ",IF(AND(Dayrun4&gt;=4,Dayrun4&lt;=9),0,VLOOKUP($A138,ScaledPrice4,9)))</f>
        <v> </v>
      </c>
      <c r="F138" s="317" t="str">
        <f aca="false">IF(A138="N/A"," ",IF(OR(Dayrun4=2,Dayrun4=3,Dayrun4=5,Dayrun4=6,Dayrun4=8,Dayrun4=9),VLOOKUP(A138,ScaledPrice4,IF(Scaler4=1,6,5)),0))</f>
        <v> </v>
      </c>
      <c r="G138" s="317" t="str">
        <f aca="false">IF(A138="N/A"," ",IF(OR(Dayrun4=2,Dayrun4=3,Dayrun4=5,Dayrun4=6),IF(Scaler4=2,F138,(VLOOKUP(A138,ScaledPrice4,5))*(2-(VLOOKUP(A138,ScaledPrice4,3)))),0))</f>
        <v> </v>
      </c>
      <c r="H138" s="317" t="str">
        <f aca="false">IF($A138="N/A"," ",IF(OR(Dayrun4=2,Dayrun4=3,Dayrun4=10),VLOOKUP($A138,ScaledPrice4,9),0))</f>
        <v> </v>
      </c>
      <c r="I138" s="317" t="str">
        <f aca="false">IF(A138="N/A"," ",IF(OR(Dayrun4=3,Dayrun4=6,Dayrun4=9),(VLOOKUP(A138,ScaledPrice4,IF(Scaler4=2,7,8))),0))</f>
        <v> </v>
      </c>
      <c r="J138" s="317" t="str">
        <f aca="false">IF(A138="N/A"," ",IF(OR(Dayrun4=3,Dayrun4=6),IF(Scaler4=2,I138,(VLOOKUP(A138,ScaledPrice4,7))*(2-(VLOOKUP(A138,ScaledPrice4,3)))),0))</f>
        <v> </v>
      </c>
      <c r="K138" s="317" t="str">
        <f aca="false">IF($A138="N/A"," ",IF(OR(Dayrun4=3,Dayrun4=10),VLOOKUP($A138,ScaledPrice4,9),0))</f>
        <v> </v>
      </c>
      <c r="L138" s="318" t="str">
        <f aca="false">IF($A138="N/A"," ",IF(Pricetype4=2,MAX(C138,0),IF(OR(Pricetype4=1,Pricetype4=4),IF(C138=0,0,(EURO(C138,Strikeprice4,0,0,($AH138+IF(Smile=TRUE(),VLOOKUP(MAX(-5,Strikeprice4-C138),Volsmile,2),0)),($A138-DateToday)+15,IF(Pricetype4=1,1,0),0))),C138)))</f>
        <v> </v>
      </c>
      <c r="M138" s="318" t="str">
        <f aca="false">IF($A138="N/A"," ",IF(Pricetype4=2,MAX(D138,0),IF(OR(Pricetype4=1,Pricetype4=4),IF(D138=0,0,(EURO(D138,Strikeprice4,0,0,($AH138+IF(Smile=TRUE(),VLOOKUP(MAX(-5,Strikeprice4-D138),Volsmile,2),0)),($A138-DateToday)+15,IF(Pricetype4=1,1,0),0))),D138)))</f>
        <v> </v>
      </c>
      <c r="N138" s="318" t="str">
        <f aca="false">IF($A138="N/A"," ",IF(Pricetype4=2,MAX(E138,0),IF(OR(Pricetype4=1,Pricetype4=4),IF(E138=0,0,(EURO(E138,Strikeprice4,0,0,($AK138+IF(Smile=TRUE(),VLOOKUP(MAX(-5,Strikeprice4-E138),Volsmile,2),0)),($A138-DateToday)+15,IF(Pricetype4=1,1,0),0))),E138)))</f>
        <v> </v>
      </c>
      <c r="O138" s="318" t="str">
        <f aca="false">IF($A138="N/A"," ",IF(Pricetype4=2,MAX(F138,0),IF(OR(Pricetype4=1,Pricetype4=4),IF(F138=0,0,(EURO(F138,Strikeprice4,0,0,($AK138+IF(Smile=TRUE(),VLOOKUP(MAX(-5,Strikeprice4-F138),Volsmile,2),0)),($A138-DateToday)+15,IF(Pricetype4=1,1,0),0))),F138)))</f>
        <v> </v>
      </c>
      <c r="P138" s="318" t="str">
        <f aca="false">IF($A138="N/A"," ",IF(Pricetype4=2,MAX(G138,0),IF(OR(Pricetype4=1,Pricetype4=4),IF(G138=0,0,(EURO(G138,Strikeprice4,0,0,($AK138+IF(Smile=TRUE(),VLOOKUP(MAX(-5,Strikeprice4-G138),Volsmile,2),0)),($A138-DateToday)+15,IF(Pricetype4=1,1,0),0))),G138)))</f>
        <v> </v>
      </c>
      <c r="Q138" s="318" t="str">
        <f aca="false">IF($A138="N/A"," ",IF(Pricetype4=2,MAX(H138,0),IF(OR(Pricetype4=1,Pricetype4=4),IF(H138=0,0,(EURO(H138,Strikeprice4,0,0,($AK138+IF(Smile=TRUE(),VLOOKUP(MAX(-5,Strikeprice4-H138),Volsmile,2),0)),($A138-DateToday)+15,IF(Pricetype4=1,1,0),0))),H138)))</f>
        <v> </v>
      </c>
      <c r="R138" s="318" t="str">
        <f aca="false">IF($A138="N/A"," ",IF(Pricetype4=2,MAX(I138,0),IF(OR(Pricetype4=1,Pricetype4=4),IF(I138=0,0,(EURO(I138,Strikeprice4,0,0,($AK138+IF(Smile=TRUE(),VLOOKUP(MAX(-5,Strikeprice4-I138),Volsmile,2),0)),($A138-DateToday)+15,IF(Pricetype4=1,1,0),0))),I138)))</f>
        <v> </v>
      </c>
      <c r="S138" s="318" t="str">
        <f aca="false">IF($A138="N/A"," ",IF(Pricetype4=2,MAX(J138,0),IF(OR(Pricetype4=1,Pricetype4=4),IF(J138=0,0,(EURO(J138,Strikeprice4,0,0,($AK138+IF(Smile=TRUE(),VLOOKUP(MAX(-5,Strikeprice4-J138),Volsmile,2),0)),($A138-DateToday)+15,IF(Pricetype4=1,1,0),0))),J138)))</f>
        <v> </v>
      </c>
      <c r="T138" s="318" t="str">
        <f aca="false">IF($A138="N/A"," ",IF(Pricetype4=2,MAX(K138,0),IF(OR(Pricetype4=1,Pricetype4=4),IF(K138=0,0,(EURO(K138,Strikeprice4,0,0,($AK138+IF(Smile=TRUE(),VLOOKUP(MAX(-5,Strikeprice4-K138),Volsmile,2),0)),($A138-DateToday)+15,IF(Pricetype4=1,1,0),0))),K138)))</f>
        <v> </v>
      </c>
      <c r="U138" s="319" t="str">
        <f aca="false">IF($A138="N/A"," ",Volume4*$AM138)</f>
        <v> </v>
      </c>
      <c r="V138" s="320" t="str">
        <f aca="false">IF($A138="N/A"," ",$U138*(8*($BQ138))*L138)</f>
        <v> </v>
      </c>
      <c r="W138" s="320" t="str">
        <f aca="false">IF($A138="N/A"," ",$U138*(8*($BQ138))*M138)</f>
        <v> </v>
      </c>
      <c r="X138" s="320" t="str">
        <f aca="false">IF($A138="N/A"," ",$U138*(8*($BQ138))*N138)</f>
        <v> </v>
      </c>
      <c r="Y138" s="320" t="str">
        <f aca="false">IF($A138="N/A"," ",$U138*(8*($BR138))*O138)</f>
        <v> </v>
      </c>
      <c r="Z138" s="320" t="str">
        <f aca="false">IF($A138="N/A"," ",$U138*(8*($BR138))*P138)</f>
        <v> </v>
      </c>
      <c r="AA138" s="320" t="str">
        <f aca="false">IF($A138="N/A"," ",$U138*(8*($BR138))*Q138)</f>
        <v> </v>
      </c>
      <c r="AB138" s="320" t="str">
        <f aca="false">IF($A138="N/A"," ",$U138*(8*($BS138))*R138)</f>
        <v> </v>
      </c>
      <c r="AC138" s="320" t="str">
        <f aca="false">IF($A138="N/A"," ",$U138*(8*($BS138))*S138)</f>
        <v> </v>
      </c>
      <c r="AD138" s="320" t="str">
        <f aca="false">IF($A138="N/A"," ",$U138*(8*($BS138))*T138)</f>
        <v> </v>
      </c>
      <c r="AE138" s="320" t="str">
        <f aca="false">IF($A138="N/A"," ",SUM(V138:AD138))</f>
        <v> </v>
      </c>
      <c r="AF138" s="321" t="str">
        <f aca="false">IF(A138="N/A"," ",(VLOOKUP(A138,PowerVolTable,(IF(VolBMO4=2,7,IF(VolBMO4=1,6,8))),FALSE())))</f>
        <v> </v>
      </c>
      <c r="AG138" s="321" t="str">
        <f aca="false">IF(A138="N/A"," ",(VLOOKUP(A138,IntraPowerVol,(IF(VolBMO4=2,3,IF(VolBMO4=1,2,4))),FALSE())*VLOOKUP(MONTH($A138),Volscale,2)))</f>
        <v> </v>
      </c>
      <c r="AH138" s="321" t="str">
        <f aca="false">IF($A138="N/A"," ",IF(VolType4=1,AG138,AF138))</f>
        <v> </v>
      </c>
      <c r="AI138" s="321" t="str">
        <f aca="false">IF($A138="N/A"," ",(VLOOKUP($A138,OffPwrVolTable,(IF(VolBMO4=2,7,IF(VolBMO4=1,6,8))),FALSE())))</f>
        <v> </v>
      </c>
      <c r="AJ138" s="321" t="str">
        <f aca="false">IF($A138="N/A"," ",(VLOOKUP($A138,OffPwrVolTable,(IF(VolBMO4=2,3,IF(VolBMO4=1,2,4))),FALSE())*VLOOKUP(MONTH($A138),Volscale,2)))</f>
        <v> </v>
      </c>
      <c r="AK138" s="321" t="str">
        <f aca="false">IF($A138="N/A"," ",IF(VolType4=1,AJ138,AI138))</f>
        <v> </v>
      </c>
      <c r="AL138" s="321" t="str">
        <f aca="false">IF($A138="N/A"," ",IF(PV=1,0,'Pricing Inputs4'!R171))</f>
        <v> </v>
      </c>
      <c r="AM138" s="323" t="str">
        <f aca="false">IF($A138="N/A"," ",(1+AL138/2)^(-2*((EOMONTH(A138,0)+20)-DateToday)/365.25))</f>
        <v> </v>
      </c>
      <c r="BQ138" s="0" t="str">
        <f aca="false">IF($A138="N/A"," ",(VLOOKUP($A138,NumberofDaysTable,2)))</f>
        <v> </v>
      </c>
      <c r="BR138" s="0" t="str">
        <f aca="false">IF($A138="N/A"," ",(VLOOKUP($A138,NumberofDaysTable,3)))</f>
        <v> </v>
      </c>
      <c r="BS138" s="0" t="str">
        <f aca="false">IF($A138="N/A"," ",(VLOOKUP($A138,NumberofDaysTable,4)))</f>
        <v> </v>
      </c>
    </row>
    <row r="139" customFormat="false" ht="12.75" hidden="false" customHeight="false" outlineLevel="0" collapsed="false">
      <c r="A139" s="315" t="str">
        <f aca="false">IF(A138="N/A","N/A",IF(EDATE(A138,1)&gt;Inputs!$R$5,"N/A",EDATE(A138,1)))</f>
        <v>N/A</v>
      </c>
      <c r="B139" s="316" t="str">
        <f aca="false">IF(A139="N/A"," ",YEAR(A139))</f>
        <v> </v>
      </c>
      <c r="C139" s="317" t="str">
        <f aca="false">IF($A139="N/A"," ",IF(Dayrun4=10,0,IF(Scaler4=1,(VLOOKUP(A139,ScaledPrice4,4)),(VLOOKUP(A139,ScaledPrice4,2)))))</f>
        <v> </v>
      </c>
      <c r="D139" s="317" t="str">
        <f aca="false">IF(A139="N/A"," ",IF(Dayrun4&gt;=7,0,IF(Scaler4=2,VLOOKUP(A139,ScaledPrice4,2),(VLOOKUP(A139,ScaledPrice4,2))*(2-(VLOOKUP(A139,ScaledPrice4,3))))))</f>
        <v> </v>
      </c>
      <c r="E139" s="317" t="str">
        <f aca="false">IF($A139="N/A"," ",IF(AND(Dayrun4&gt;=4,Dayrun4&lt;=9),0,VLOOKUP($A139,ScaledPrice4,9)))</f>
        <v> </v>
      </c>
      <c r="F139" s="317" t="str">
        <f aca="false">IF(A139="N/A"," ",IF(OR(Dayrun4=2,Dayrun4=3,Dayrun4=5,Dayrun4=6,Dayrun4=8,Dayrun4=9),VLOOKUP(A139,ScaledPrice4,IF(Scaler4=1,6,5)),0))</f>
        <v> </v>
      </c>
      <c r="G139" s="317" t="str">
        <f aca="false">IF(A139="N/A"," ",IF(OR(Dayrun4=2,Dayrun4=3,Dayrun4=5,Dayrun4=6),IF(Scaler4=2,F139,(VLOOKUP(A139,ScaledPrice4,5))*(2-(VLOOKUP(A139,ScaledPrice4,3)))),0))</f>
        <v> </v>
      </c>
      <c r="H139" s="317" t="str">
        <f aca="false">IF($A139="N/A"," ",IF(OR(Dayrun4=2,Dayrun4=3,Dayrun4=10),VLOOKUP($A139,ScaledPrice4,9),0))</f>
        <v> </v>
      </c>
      <c r="I139" s="317" t="str">
        <f aca="false">IF(A139="N/A"," ",IF(OR(Dayrun4=3,Dayrun4=6,Dayrun4=9),(VLOOKUP(A139,ScaledPrice4,IF(Scaler4=2,7,8))),0))</f>
        <v> </v>
      </c>
      <c r="J139" s="317" t="str">
        <f aca="false">IF(A139="N/A"," ",IF(OR(Dayrun4=3,Dayrun4=6),IF(Scaler4=2,I139,(VLOOKUP(A139,ScaledPrice4,7))*(2-(VLOOKUP(A139,ScaledPrice4,3)))),0))</f>
        <v> </v>
      </c>
      <c r="K139" s="317" t="str">
        <f aca="false">IF($A139="N/A"," ",IF(OR(Dayrun4=3,Dayrun4=10),VLOOKUP($A139,ScaledPrice4,9),0))</f>
        <v> </v>
      </c>
      <c r="L139" s="318" t="str">
        <f aca="false">IF($A139="N/A"," ",IF(Pricetype4=2,MAX(C139,0),IF(OR(Pricetype4=1,Pricetype4=4),IF(C139=0,0,(EURO(C139,Strikeprice4,0,0,($AH139+IF(Smile=TRUE(),VLOOKUP(MAX(-5,Strikeprice4-C139),Volsmile,2),0)),($A139-DateToday)+15,IF(Pricetype4=1,1,0),0))),C139)))</f>
        <v> </v>
      </c>
      <c r="M139" s="318" t="str">
        <f aca="false">IF($A139="N/A"," ",IF(Pricetype4=2,MAX(D139,0),IF(OR(Pricetype4=1,Pricetype4=4),IF(D139=0,0,(EURO(D139,Strikeprice4,0,0,($AH139+IF(Smile=TRUE(),VLOOKUP(MAX(-5,Strikeprice4-D139),Volsmile,2),0)),($A139-DateToday)+15,IF(Pricetype4=1,1,0),0))),D139)))</f>
        <v> </v>
      </c>
      <c r="N139" s="318" t="str">
        <f aca="false">IF($A139="N/A"," ",IF(Pricetype4=2,MAX(E139,0),IF(OR(Pricetype4=1,Pricetype4=4),IF(E139=0,0,(EURO(E139,Strikeprice4,0,0,($AK139+IF(Smile=TRUE(),VLOOKUP(MAX(-5,Strikeprice4-E139),Volsmile,2),0)),($A139-DateToday)+15,IF(Pricetype4=1,1,0),0))),E139)))</f>
        <v> </v>
      </c>
      <c r="O139" s="318" t="str">
        <f aca="false">IF($A139="N/A"," ",IF(Pricetype4=2,MAX(F139,0),IF(OR(Pricetype4=1,Pricetype4=4),IF(F139=0,0,(EURO(F139,Strikeprice4,0,0,($AK139+IF(Smile=TRUE(),VLOOKUP(MAX(-5,Strikeprice4-F139),Volsmile,2),0)),($A139-DateToday)+15,IF(Pricetype4=1,1,0),0))),F139)))</f>
        <v> </v>
      </c>
      <c r="P139" s="318" t="str">
        <f aca="false">IF($A139="N/A"," ",IF(Pricetype4=2,MAX(G139,0),IF(OR(Pricetype4=1,Pricetype4=4),IF(G139=0,0,(EURO(G139,Strikeprice4,0,0,($AK139+IF(Smile=TRUE(),VLOOKUP(MAX(-5,Strikeprice4-G139),Volsmile,2),0)),($A139-DateToday)+15,IF(Pricetype4=1,1,0),0))),G139)))</f>
        <v> </v>
      </c>
      <c r="Q139" s="318" t="str">
        <f aca="false">IF($A139="N/A"," ",IF(Pricetype4=2,MAX(H139,0),IF(OR(Pricetype4=1,Pricetype4=4),IF(H139=0,0,(EURO(H139,Strikeprice4,0,0,($AK139+IF(Smile=TRUE(),VLOOKUP(MAX(-5,Strikeprice4-H139),Volsmile,2),0)),($A139-DateToday)+15,IF(Pricetype4=1,1,0),0))),H139)))</f>
        <v> </v>
      </c>
      <c r="R139" s="318" t="str">
        <f aca="false">IF($A139="N/A"," ",IF(Pricetype4=2,MAX(I139,0),IF(OR(Pricetype4=1,Pricetype4=4),IF(I139=0,0,(EURO(I139,Strikeprice4,0,0,($AK139+IF(Smile=TRUE(),VLOOKUP(MAX(-5,Strikeprice4-I139),Volsmile,2),0)),($A139-DateToday)+15,IF(Pricetype4=1,1,0),0))),I139)))</f>
        <v> </v>
      </c>
      <c r="S139" s="318" t="str">
        <f aca="false">IF($A139="N/A"," ",IF(Pricetype4=2,MAX(J139,0),IF(OR(Pricetype4=1,Pricetype4=4),IF(J139=0,0,(EURO(J139,Strikeprice4,0,0,($AK139+IF(Smile=TRUE(),VLOOKUP(MAX(-5,Strikeprice4-J139),Volsmile,2),0)),($A139-DateToday)+15,IF(Pricetype4=1,1,0),0))),J139)))</f>
        <v> </v>
      </c>
      <c r="T139" s="318" t="str">
        <f aca="false">IF($A139="N/A"," ",IF(Pricetype4=2,MAX(K139,0),IF(OR(Pricetype4=1,Pricetype4=4),IF(K139=0,0,(EURO(K139,Strikeprice4,0,0,($AK139+IF(Smile=TRUE(),VLOOKUP(MAX(-5,Strikeprice4-K139),Volsmile,2),0)),($A139-DateToday)+15,IF(Pricetype4=1,1,0),0))),K139)))</f>
        <v> </v>
      </c>
      <c r="U139" s="319" t="str">
        <f aca="false">IF($A139="N/A"," ",Volume4*$AM139)</f>
        <v> </v>
      </c>
      <c r="V139" s="320" t="str">
        <f aca="false">IF($A139="N/A"," ",$U139*(8*($BQ139))*L139)</f>
        <v> </v>
      </c>
      <c r="W139" s="320" t="str">
        <f aca="false">IF($A139="N/A"," ",$U139*(8*($BQ139))*M139)</f>
        <v> </v>
      </c>
      <c r="X139" s="320" t="str">
        <f aca="false">IF($A139="N/A"," ",$U139*(8*($BQ139))*N139)</f>
        <v> </v>
      </c>
      <c r="Y139" s="320" t="str">
        <f aca="false">IF($A139="N/A"," ",$U139*(8*($BR139))*O139)</f>
        <v> </v>
      </c>
      <c r="Z139" s="320" t="str">
        <f aca="false">IF($A139="N/A"," ",$U139*(8*($BR139))*P139)</f>
        <v> </v>
      </c>
      <c r="AA139" s="320" t="str">
        <f aca="false">IF($A139="N/A"," ",$U139*(8*($BR139))*Q139)</f>
        <v> </v>
      </c>
      <c r="AB139" s="320" t="str">
        <f aca="false">IF($A139="N/A"," ",$U139*(8*($BS139))*R139)</f>
        <v> </v>
      </c>
      <c r="AC139" s="320" t="str">
        <f aca="false">IF($A139="N/A"," ",$U139*(8*($BS139))*S139)</f>
        <v> </v>
      </c>
      <c r="AD139" s="320" t="str">
        <f aca="false">IF($A139="N/A"," ",$U139*(8*($BS139))*T139)</f>
        <v> </v>
      </c>
      <c r="AE139" s="320" t="str">
        <f aca="false">IF($A139="N/A"," ",SUM(V139:AD139))</f>
        <v> </v>
      </c>
      <c r="AF139" s="321" t="str">
        <f aca="false">IF(A139="N/A"," ",(VLOOKUP(A139,PowerVolTable,(IF(VolBMO4=2,7,IF(VolBMO4=1,6,8))),FALSE())))</f>
        <v> </v>
      </c>
      <c r="AG139" s="321" t="str">
        <f aca="false">IF(A139="N/A"," ",(VLOOKUP(A139,IntraPowerVol,(IF(VolBMO4=2,3,IF(VolBMO4=1,2,4))),FALSE())*VLOOKUP(MONTH($A139),Volscale,2)))</f>
        <v> </v>
      </c>
      <c r="AH139" s="321" t="str">
        <f aca="false">IF($A139="N/A"," ",IF(VolType4=1,AG139,AF139))</f>
        <v> </v>
      </c>
      <c r="AI139" s="321" t="str">
        <f aca="false">IF($A139="N/A"," ",(VLOOKUP($A139,OffPwrVolTable,(IF(VolBMO4=2,7,IF(VolBMO4=1,6,8))),FALSE())))</f>
        <v> </v>
      </c>
      <c r="AJ139" s="321" t="str">
        <f aca="false">IF($A139="N/A"," ",(VLOOKUP($A139,OffPwrVolTable,(IF(VolBMO4=2,3,IF(VolBMO4=1,2,4))),FALSE())*VLOOKUP(MONTH($A139),Volscale,2)))</f>
        <v> </v>
      </c>
      <c r="AK139" s="321" t="str">
        <f aca="false">IF($A139="N/A"," ",IF(VolType4=1,AJ139,AI139))</f>
        <v> </v>
      </c>
      <c r="AL139" s="321" t="str">
        <f aca="false">IF($A139="N/A"," ",IF(PV=1,0,'Pricing Inputs4'!R172))</f>
        <v> </v>
      </c>
      <c r="AM139" s="323" t="str">
        <f aca="false">IF($A139="N/A"," ",(1+AL139/2)^(-2*((EOMONTH(A139,0)+20)-DateToday)/365.25))</f>
        <v> </v>
      </c>
      <c r="BQ139" s="0" t="str">
        <f aca="false">IF($A139="N/A"," ",(VLOOKUP($A139,NumberofDaysTable,2)))</f>
        <v> </v>
      </c>
      <c r="BR139" s="0" t="str">
        <f aca="false">IF($A139="N/A"," ",(VLOOKUP($A139,NumberofDaysTable,3)))</f>
        <v> </v>
      </c>
      <c r="BS139" s="0" t="str">
        <f aca="false">IF($A139="N/A"," ",(VLOOKUP($A139,NumberofDaysTable,4)))</f>
        <v> </v>
      </c>
    </row>
    <row r="140" customFormat="false" ht="12.75" hidden="false" customHeight="false" outlineLevel="0" collapsed="false">
      <c r="A140" s="315" t="str">
        <f aca="false">IF(A139="N/A","N/A",IF(EDATE(A139,1)&gt;Inputs!$R$5,"N/A",EDATE(A139,1)))</f>
        <v>N/A</v>
      </c>
      <c r="B140" s="316" t="str">
        <f aca="false">IF(A140="N/A"," ",YEAR(A140))</f>
        <v> </v>
      </c>
      <c r="C140" s="317" t="str">
        <f aca="false">IF($A140="N/A"," ",IF(Dayrun4=10,0,IF(Scaler4=1,(VLOOKUP(A140,ScaledPrice4,4)),(VLOOKUP(A140,ScaledPrice4,2)))))</f>
        <v> </v>
      </c>
      <c r="D140" s="317" t="str">
        <f aca="false">IF(A140="N/A"," ",IF(Dayrun4&gt;=7,0,IF(Scaler4=2,VLOOKUP(A140,ScaledPrice4,2),(VLOOKUP(A140,ScaledPrice4,2))*(2-(VLOOKUP(A140,ScaledPrice4,3))))))</f>
        <v> </v>
      </c>
      <c r="E140" s="317" t="str">
        <f aca="false">IF($A140="N/A"," ",IF(AND(Dayrun4&gt;=4,Dayrun4&lt;=9),0,VLOOKUP($A140,ScaledPrice4,9)))</f>
        <v> </v>
      </c>
      <c r="F140" s="317" t="str">
        <f aca="false">IF(A140="N/A"," ",IF(OR(Dayrun4=2,Dayrun4=3,Dayrun4=5,Dayrun4=6,Dayrun4=8,Dayrun4=9),VLOOKUP(A140,ScaledPrice4,IF(Scaler4=1,6,5)),0))</f>
        <v> </v>
      </c>
      <c r="G140" s="317" t="str">
        <f aca="false">IF(A140="N/A"," ",IF(OR(Dayrun4=2,Dayrun4=3,Dayrun4=5,Dayrun4=6),IF(Scaler4=2,F140,(VLOOKUP(A140,ScaledPrice4,5))*(2-(VLOOKUP(A140,ScaledPrice4,3)))),0))</f>
        <v> </v>
      </c>
      <c r="H140" s="317" t="str">
        <f aca="false">IF($A140="N/A"," ",IF(OR(Dayrun4=2,Dayrun4=3,Dayrun4=10),VLOOKUP($A140,ScaledPrice4,9),0))</f>
        <v> </v>
      </c>
      <c r="I140" s="317" t="str">
        <f aca="false">IF(A140="N/A"," ",IF(OR(Dayrun4=3,Dayrun4=6,Dayrun4=9),(VLOOKUP(A140,ScaledPrice4,IF(Scaler4=2,7,8))),0))</f>
        <v> </v>
      </c>
      <c r="J140" s="317" t="str">
        <f aca="false">IF(A140="N/A"," ",IF(OR(Dayrun4=3,Dayrun4=6),IF(Scaler4=2,I140,(VLOOKUP(A140,ScaledPrice4,7))*(2-(VLOOKUP(A140,ScaledPrice4,3)))),0))</f>
        <v> </v>
      </c>
      <c r="K140" s="317" t="str">
        <f aca="false">IF($A140="N/A"," ",IF(OR(Dayrun4=3,Dayrun4=10),VLOOKUP($A140,ScaledPrice4,9),0))</f>
        <v> </v>
      </c>
      <c r="L140" s="318" t="str">
        <f aca="false">IF($A140="N/A"," ",IF(Pricetype4=2,MAX(C140,0),IF(OR(Pricetype4=1,Pricetype4=4),IF(C140=0,0,(EURO(C140,Strikeprice4,0,0,($AH140+IF(Smile=TRUE(),VLOOKUP(MAX(-5,Strikeprice4-C140),Volsmile,2),0)),($A140-DateToday)+15,IF(Pricetype4=1,1,0),0))),C140)))</f>
        <v> </v>
      </c>
      <c r="M140" s="318" t="str">
        <f aca="false">IF($A140="N/A"," ",IF(Pricetype4=2,MAX(D140,0),IF(OR(Pricetype4=1,Pricetype4=4),IF(D140=0,0,(EURO(D140,Strikeprice4,0,0,($AH140+IF(Smile=TRUE(),VLOOKUP(MAX(-5,Strikeprice4-D140),Volsmile,2),0)),($A140-DateToday)+15,IF(Pricetype4=1,1,0),0))),D140)))</f>
        <v> </v>
      </c>
      <c r="N140" s="318" t="str">
        <f aca="false">IF($A140="N/A"," ",IF(Pricetype4=2,MAX(E140,0),IF(OR(Pricetype4=1,Pricetype4=4),IF(E140=0,0,(EURO(E140,Strikeprice4,0,0,($AK140+IF(Smile=TRUE(),VLOOKUP(MAX(-5,Strikeprice4-E140),Volsmile,2),0)),($A140-DateToday)+15,IF(Pricetype4=1,1,0),0))),E140)))</f>
        <v> </v>
      </c>
      <c r="O140" s="318" t="str">
        <f aca="false">IF($A140="N/A"," ",IF(Pricetype4=2,MAX(F140,0),IF(OR(Pricetype4=1,Pricetype4=4),IF(F140=0,0,(EURO(F140,Strikeprice4,0,0,($AK140+IF(Smile=TRUE(),VLOOKUP(MAX(-5,Strikeprice4-F140),Volsmile,2),0)),($A140-DateToday)+15,IF(Pricetype4=1,1,0),0))),F140)))</f>
        <v> </v>
      </c>
      <c r="P140" s="318" t="str">
        <f aca="false">IF($A140="N/A"," ",IF(Pricetype4=2,MAX(G140,0),IF(OR(Pricetype4=1,Pricetype4=4),IF(G140=0,0,(EURO(G140,Strikeprice4,0,0,($AK140+IF(Smile=TRUE(),VLOOKUP(MAX(-5,Strikeprice4-G140),Volsmile,2),0)),($A140-DateToday)+15,IF(Pricetype4=1,1,0),0))),G140)))</f>
        <v> </v>
      </c>
      <c r="Q140" s="318" t="str">
        <f aca="false">IF($A140="N/A"," ",IF(Pricetype4=2,MAX(H140,0),IF(OR(Pricetype4=1,Pricetype4=4),IF(H140=0,0,(EURO(H140,Strikeprice4,0,0,($AK140+IF(Smile=TRUE(),VLOOKUP(MAX(-5,Strikeprice4-H140),Volsmile,2),0)),($A140-DateToday)+15,IF(Pricetype4=1,1,0),0))),H140)))</f>
        <v> </v>
      </c>
      <c r="R140" s="318" t="str">
        <f aca="false">IF($A140="N/A"," ",IF(Pricetype4=2,MAX(I140,0),IF(OR(Pricetype4=1,Pricetype4=4),IF(I140=0,0,(EURO(I140,Strikeprice4,0,0,($AK140+IF(Smile=TRUE(),VLOOKUP(MAX(-5,Strikeprice4-I140),Volsmile,2),0)),($A140-DateToday)+15,IF(Pricetype4=1,1,0),0))),I140)))</f>
        <v> </v>
      </c>
      <c r="S140" s="318" t="str">
        <f aca="false">IF($A140="N/A"," ",IF(Pricetype4=2,MAX(J140,0),IF(OR(Pricetype4=1,Pricetype4=4),IF(J140=0,0,(EURO(J140,Strikeprice4,0,0,($AK140+IF(Smile=TRUE(),VLOOKUP(MAX(-5,Strikeprice4-J140),Volsmile,2),0)),($A140-DateToday)+15,IF(Pricetype4=1,1,0),0))),J140)))</f>
        <v> </v>
      </c>
      <c r="T140" s="318" t="str">
        <f aca="false">IF($A140="N/A"," ",IF(Pricetype4=2,MAX(K140,0),IF(OR(Pricetype4=1,Pricetype4=4),IF(K140=0,0,(EURO(K140,Strikeprice4,0,0,($AK140+IF(Smile=TRUE(),VLOOKUP(MAX(-5,Strikeprice4-K140),Volsmile,2),0)),($A140-DateToday)+15,IF(Pricetype4=1,1,0),0))),K140)))</f>
        <v> </v>
      </c>
      <c r="U140" s="319" t="str">
        <f aca="false">IF($A140="N/A"," ",Volume4*$AM140)</f>
        <v> </v>
      </c>
      <c r="V140" s="320" t="str">
        <f aca="false">IF($A140="N/A"," ",$U140*(8*($BQ140))*L140)</f>
        <v> </v>
      </c>
      <c r="W140" s="320" t="str">
        <f aca="false">IF($A140="N/A"," ",$U140*(8*($BQ140))*M140)</f>
        <v> </v>
      </c>
      <c r="X140" s="320" t="str">
        <f aca="false">IF($A140="N/A"," ",$U140*(8*($BQ140))*N140)</f>
        <v> </v>
      </c>
      <c r="Y140" s="320" t="str">
        <f aca="false">IF($A140="N/A"," ",$U140*(8*($BR140))*O140)</f>
        <v> </v>
      </c>
      <c r="Z140" s="320" t="str">
        <f aca="false">IF($A140="N/A"," ",$U140*(8*($BR140))*P140)</f>
        <v> </v>
      </c>
      <c r="AA140" s="320" t="str">
        <f aca="false">IF($A140="N/A"," ",$U140*(8*($BR140))*Q140)</f>
        <v> </v>
      </c>
      <c r="AB140" s="320" t="str">
        <f aca="false">IF($A140="N/A"," ",$U140*(8*($BS140))*R140)</f>
        <v> </v>
      </c>
      <c r="AC140" s="320" t="str">
        <f aca="false">IF($A140="N/A"," ",$U140*(8*($BS140))*S140)</f>
        <v> </v>
      </c>
      <c r="AD140" s="320" t="str">
        <f aca="false">IF($A140="N/A"," ",$U140*(8*($BS140))*T140)</f>
        <v> </v>
      </c>
      <c r="AE140" s="320" t="str">
        <f aca="false">IF($A140="N/A"," ",SUM(V140:AD140))</f>
        <v> </v>
      </c>
      <c r="AF140" s="321" t="str">
        <f aca="false">IF(A140="N/A"," ",(VLOOKUP(A140,PowerVolTable,(IF(VolBMO4=2,7,IF(VolBMO4=1,6,8))),FALSE())))</f>
        <v> </v>
      </c>
      <c r="AG140" s="321" t="str">
        <f aca="false">IF(A140="N/A"," ",(VLOOKUP(A140,IntraPowerVol,(IF(VolBMO4=2,3,IF(VolBMO4=1,2,4))),FALSE())*VLOOKUP(MONTH($A140),Volscale,2)))</f>
        <v> </v>
      </c>
      <c r="AH140" s="321" t="str">
        <f aca="false">IF($A140="N/A"," ",IF(VolType4=1,AG140,AF140))</f>
        <v> </v>
      </c>
      <c r="AI140" s="321" t="str">
        <f aca="false">IF($A140="N/A"," ",(VLOOKUP($A140,OffPwrVolTable,(IF(VolBMO4=2,7,IF(VolBMO4=1,6,8))),FALSE())))</f>
        <v> </v>
      </c>
      <c r="AJ140" s="321" t="str">
        <f aca="false">IF($A140="N/A"," ",(VLOOKUP($A140,OffPwrVolTable,(IF(VolBMO4=2,3,IF(VolBMO4=1,2,4))),FALSE())*VLOOKUP(MONTH($A140),Volscale,2)))</f>
        <v> </v>
      </c>
      <c r="AK140" s="321" t="str">
        <f aca="false">IF($A140="N/A"," ",IF(VolType4=1,AJ140,AI140))</f>
        <v> </v>
      </c>
      <c r="AL140" s="321" t="str">
        <f aca="false">IF($A140="N/A"," ",IF(PV=1,0,'Pricing Inputs4'!R173))</f>
        <v> </v>
      </c>
      <c r="AM140" s="323" t="str">
        <f aca="false">IF($A140="N/A"," ",(1+AL140/2)^(-2*((EOMONTH(A140,0)+20)-DateToday)/365.25))</f>
        <v> </v>
      </c>
      <c r="BQ140" s="0" t="str">
        <f aca="false">IF($A140="N/A"," ",(VLOOKUP($A140,NumberofDaysTable,2)))</f>
        <v> </v>
      </c>
      <c r="BR140" s="0" t="str">
        <f aca="false">IF($A140="N/A"," ",(VLOOKUP($A140,NumberofDaysTable,3)))</f>
        <v> </v>
      </c>
      <c r="BS140" s="0" t="str">
        <f aca="false">IF($A140="N/A"," ",(VLOOKUP($A140,NumberofDaysTable,4)))</f>
        <v> </v>
      </c>
    </row>
    <row r="141" customFormat="false" ht="12.75" hidden="false" customHeight="false" outlineLevel="0" collapsed="false">
      <c r="A141" s="315" t="str">
        <f aca="false">IF(A140="N/A","N/A",IF(EDATE(A140,1)&gt;Inputs!$R$5,"N/A",EDATE(A140,1)))</f>
        <v>N/A</v>
      </c>
      <c r="B141" s="316" t="str">
        <f aca="false">IF(A141="N/A"," ",YEAR(A141))</f>
        <v> </v>
      </c>
      <c r="C141" s="317" t="str">
        <f aca="false">IF($A141="N/A"," ",IF(Dayrun4=10,0,IF(Scaler4=1,(VLOOKUP(A141,ScaledPrice4,4)),(VLOOKUP(A141,ScaledPrice4,2)))))</f>
        <v> </v>
      </c>
      <c r="D141" s="317" t="str">
        <f aca="false">IF(A141="N/A"," ",IF(Dayrun4&gt;=7,0,IF(Scaler4=2,VLOOKUP(A141,ScaledPrice4,2),(VLOOKUP(A141,ScaledPrice4,2))*(2-(VLOOKUP(A141,ScaledPrice4,3))))))</f>
        <v> </v>
      </c>
      <c r="E141" s="317" t="str">
        <f aca="false">IF($A141="N/A"," ",IF(AND(Dayrun4&gt;=4,Dayrun4&lt;=9),0,VLOOKUP($A141,ScaledPrice4,9)))</f>
        <v> </v>
      </c>
      <c r="F141" s="317" t="str">
        <f aca="false">IF(A141="N/A"," ",IF(OR(Dayrun4=2,Dayrun4=3,Dayrun4=5,Dayrun4=6,Dayrun4=8,Dayrun4=9),VLOOKUP(A141,ScaledPrice4,IF(Scaler4=1,6,5)),0))</f>
        <v> </v>
      </c>
      <c r="G141" s="317" t="str">
        <f aca="false">IF(A141="N/A"," ",IF(OR(Dayrun4=2,Dayrun4=3,Dayrun4=5,Dayrun4=6),IF(Scaler4=2,F141,(VLOOKUP(A141,ScaledPrice4,5))*(2-(VLOOKUP(A141,ScaledPrice4,3)))),0))</f>
        <v> </v>
      </c>
      <c r="H141" s="317" t="str">
        <f aca="false">IF($A141="N/A"," ",IF(OR(Dayrun4=2,Dayrun4=3,Dayrun4=10),VLOOKUP($A141,ScaledPrice4,9),0))</f>
        <v> </v>
      </c>
      <c r="I141" s="317" t="str">
        <f aca="false">IF(A141="N/A"," ",IF(OR(Dayrun4=3,Dayrun4=6,Dayrun4=9),(VLOOKUP(A141,ScaledPrice4,IF(Scaler4=2,7,8))),0))</f>
        <v> </v>
      </c>
      <c r="J141" s="317" t="str">
        <f aca="false">IF(A141="N/A"," ",IF(OR(Dayrun4=3,Dayrun4=6),IF(Scaler4=2,I141,(VLOOKUP(A141,ScaledPrice4,7))*(2-(VLOOKUP(A141,ScaledPrice4,3)))),0))</f>
        <v> </v>
      </c>
      <c r="K141" s="317" t="str">
        <f aca="false">IF($A141="N/A"," ",IF(OR(Dayrun4=3,Dayrun4=10),VLOOKUP($A141,ScaledPrice4,9),0))</f>
        <v> </v>
      </c>
      <c r="L141" s="318" t="str">
        <f aca="false">IF($A141="N/A"," ",IF(Pricetype4=2,MAX(C141,0),IF(OR(Pricetype4=1,Pricetype4=4),IF(C141=0,0,(EURO(C141,Strikeprice4,0,0,($AH141+IF(Smile=TRUE(),VLOOKUP(MAX(-5,Strikeprice4-C141),Volsmile,2),0)),($A141-DateToday)+15,IF(Pricetype4=1,1,0),0))),C141)))</f>
        <v> </v>
      </c>
      <c r="M141" s="318" t="str">
        <f aca="false">IF($A141="N/A"," ",IF(Pricetype4=2,MAX(D141,0),IF(OR(Pricetype4=1,Pricetype4=4),IF(D141=0,0,(EURO(D141,Strikeprice4,0,0,($AH141+IF(Smile=TRUE(),VLOOKUP(MAX(-5,Strikeprice4-D141),Volsmile,2),0)),($A141-DateToday)+15,IF(Pricetype4=1,1,0),0))),D141)))</f>
        <v> </v>
      </c>
      <c r="N141" s="318" t="str">
        <f aca="false">IF($A141="N/A"," ",IF(Pricetype4=2,MAX(E141,0),IF(OR(Pricetype4=1,Pricetype4=4),IF(E141=0,0,(EURO(E141,Strikeprice4,0,0,($AK141+IF(Smile=TRUE(),VLOOKUP(MAX(-5,Strikeprice4-E141),Volsmile,2),0)),($A141-DateToday)+15,IF(Pricetype4=1,1,0),0))),E141)))</f>
        <v> </v>
      </c>
      <c r="O141" s="318" t="str">
        <f aca="false">IF($A141="N/A"," ",IF(Pricetype4=2,MAX(F141,0),IF(OR(Pricetype4=1,Pricetype4=4),IF(F141=0,0,(EURO(F141,Strikeprice4,0,0,($AK141+IF(Smile=TRUE(),VLOOKUP(MAX(-5,Strikeprice4-F141),Volsmile,2),0)),($A141-DateToday)+15,IF(Pricetype4=1,1,0),0))),F141)))</f>
        <v> </v>
      </c>
      <c r="P141" s="318" t="str">
        <f aca="false">IF($A141="N/A"," ",IF(Pricetype4=2,MAX(G141,0),IF(OR(Pricetype4=1,Pricetype4=4),IF(G141=0,0,(EURO(G141,Strikeprice4,0,0,($AK141+IF(Smile=TRUE(),VLOOKUP(MAX(-5,Strikeprice4-G141),Volsmile,2),0)),($A141-DateToday)+15,IF(Pricetype4=1,1,0),0))),G141)))</f>
        <v> </v>
      </c>
      <c r="Q141" s="318" t="str">
        <f aca="false">IF($A141="N/A"," ",IF(Pricetype4=2,MAX(H141,0),IF(OR(Pricetype4=1,Pricetype4=4),IF(H141=0,0,(EURO(H141,Strikeprice4,0,0,($AK141+IF(Smile=TRUE(),VLOOKUP(MAX(-5,Strikeprice4-H141),Volsmile,2),0)),($A141-DateToday)+15,IF(Pricetype4=1,1,0),0))),H141)))</f>
        <v> </v>
      </c>
      <c r="R141" s="318" t="str">
        <f aca="false">IF($A141="N/A"," ",IF(Pricetype4=2,MAX(I141,0),IF(OR(Pricetype4=1,Pricetype4=4),IF(I141=0,0,(EURO(I141,Strikeprice4,0,0,($AK141+IF(Smile=TRUE(),VLOOKUP(MAX(-5,Strikeprice4-I141),Volsmile,2),0)),($A141-DateToday)+15,IF(Pricetype4=1,1,0),0))),I141)))</f>
        <v> </v>
      </c>
      <c r="S141" s="318" t="str">
        <f aca="false">IF($A141="N/A"," ",IF(Pricetype4=2,MAX(J141,0),IF(OR(Pricetype4=1,Pricetype4=4),IF(J141=0,0,(EURO(J141,Strikeprice4,0,0,($AK141+IF(Smile=TRUE(),VLOOKUP(MAX(-5,Strikeprice4-J141),Volsmile,2),0)),($A141-DateToday)+15,IF(Pricetype4=1,1,0),0))),J141)))</f>
        <v> </v>
      </c>
      <c r="T141" s="318" t="str">
        <f aca="false">IF($A141="N/A"," ",IF(Pricetype4=2,MAX(K141,0),IF(OR(Pricetype4=1,Pricetype4=4),IF(K141=0,0,(EURO(K141,Strikeprice4,0,0,($AK141+IF(Smile=TRUE(),VLOOKUP(MAX(-5,Strikeprice4-K141),Volsmile,2),0)),($A141-DateToday)+15,IF(Pricetype4=1,1,0),0))),K141)))</f>
        <v> </v>
      </c>
      <c r="U141" s="319" t="str">
        <f aca="false">IF($A141="N/A"," ",Volume4*$AM141)</f>
        <v> </v>
      </c>
      <c r="V141" s="320" t="str">
        <f aca="false">IF($A141="N/A"," ",$U141*(8*($BQ141))*L141)</f>
        <v> </v>
      </c>
      <c r="W141" s="320" t="str">
        <f aca="false">IF($A141="N/A"," ",$U141*(8*($BQ141))*M141)</f>
        <v> </v>
      </c>
      <c r="X141" s="320" t="str">
        <f aca="false">IF($A141="N/A"," ",$U141*(8*($BQ141))*N141)</f>
        <v> </v>
      </c>
      <c r="Y141" s="320" t="str">
        <f aca="false">IF($A141="N/A"," ",$U141*(8*($BR141))*O141)</f>
        <v> </v>
      </c>
      <c r="Z141" s="320" t="str">
        <f aca="false">IF($A141="N/A"," ",$U141*(8*($BR141))*P141)</f>
        <v> </v>
      </c>
      <c r="AA141" s="320" t="str">
        <f aca="false">IF($A141="N/A"," ",$U141*(8*($BR141))*Q141)</f>
        <v> </v>
      </c>
      <c r="AB141" s="320" t="str">
        <f aca="false">IF($A141="N/A"," ",$U141*(8*($BS141))*R141)</f>
        <v> </v>
      </c>
      <c r="AC141" s="320" t="str">
        <f aca="false">IF($A141="N/A"," ",$U141*(8*($BS141))*S141)</f>
        <v> </v>
      </c>
      <c r="AD141" s="320" t="str">
        <f aca="false">IF($A141="N/A"," ",$U141*(8*($BS141))*T141)</f>
        <v> </v>
      </c>
      <c r="AE141" s="320" t="str">
        <f aca="false">IF($A141="N/A"," ",SUM(V141:AD141))</f>
        <v> </v>
      </c>
      <c r="AF141" s="321" t="str">
        <f aca="false">IF(A141="N/A"," ",(VLOOKUP(A141,PowerVolTable,(IF(VolBMO4=2,7,IF(VolBMO4=1,6,8))),FALSE())))</f>
        <v> </v>
      </c>
      <c r="AG141" s="321" t="str">
        <f aca="false">IF(A141="N/A"," ",(VLOOKUP(A141,IntraPowerVol,(IF(VolBMO4=2,3,IF(VolBMO4=1,2,4))),FALSE())*VLOOKUP(MONTH($A141),Volscale,2)))</f>
        <v> </v>
      </c>
      <c r="AH141" s="321" t="str">
        <f aca="false">IF($A141="N/A"," ",IF(VolType4=1,AG141,AF141))</f>
        <v> </v>
      </c>
      <c r="AI141" s="321" t="str">
        <f aca="false">IF($A141="N/A"," ",(VLOOKUP($A141,OffPwrVolTable,(IF(VolBMO4=2,7,IF(VolBMO4=1,6,8))),FALSE())))</f>
        <v> </v>
      </c>
      <c r="AJ141" s="321" t="str">
        <f aca="false">IF($A141="N/A"," ",(VLOOKUP($A141,OffPwrVolTable,(IF(VolBMO4=2,3,IF(VolBMO4=1,2,4))),FALSE())*VLOOKUP(MONTH($A141),Volscale,2)))</f>
        <v> </v>
      </c>
      <c r="AK141" s="321" t="str">
        <f aca="false">IF($A141="N/A"," ",IF(VolType4=1,AJ141,AI141))</f>
        <v> </v>
      </c>
      <c r="AL141" s="321" t="str">
        <f aca="false">IF($A141="N/A"," ",IF(PV=1,0,'Pricing Inputs4'!R174))</f>
        <v> </v>
      </c>
      <c r="AM141" s="323" t="str">
        <f aca="false">IF($A141="N/A"," ",(1+AL141/2)^(-2*((EOMONTH(A141,0)+20)-DateToday)/365.25))</f>
        <v> </v>
      </c>
      <c r="BQ141" s="0" t="str">
        <f aca="false">IF($A141="N/A"," ",(VLOOKUP($A141,NumberofDaysTable,2)))</f>
        <v> </v>
      </c>
      <c r="BR141" s="0" t="str">
        <f aca="false">IF($A141="N/A"," ",(VLOOKUP($A141,NumberofDaysTable,3)))</f>
        <v> </v>
      </c>
      <c r="BS141" s="0" t="str">
        <f aca="false">IF($A141="N/A"," ",(VLOOKUP($A141,NumberofDaysTable,4)))</f>
        <v> </v>
      </c>
    </row>
    <row r="142" customFormat="false" ht="12.75" hidden="false" customHeight="false" outlineLevel="0" collapsed="false">
      <c r="A142" s="315" t="str">
        <f aca="false">IF(A141="N/A","N/A",IF(EDATE(A141,1)&gt;Inputs!$R$5,"N/A",EDATE(A141,1)))</f>
        <v>N/A</v>
      </c>
      <c r="B142" s="316" t="str">
        <f aca="false">IF(A142="N/A"," ",YEAR(A142))</f>
        <v> </v>
      </c>
      <c r="C142" s="317" t="str">
        <f aca="false">IF($A142="N/A"," ",IF(Dayrun4=10,0,IF(Scaler4=1,(VLOOKUP(A142,ScaledPrice4,4)),(VLOOKUP(A142,ScaledPrice4,2)))))</f>
        <v> </v>
      </c>
      <c r="D142" s="317" t="str">
        <f aca="false">IF(A142="N/A"," ",IF(Dayrun4&gt;=7,0,IF(Scaler4=2,VLOOKUP(A142,ScaledPrice4,2),(VLOOKUP(A142,ScaledPrice4,2))*(2-(VLOOKUP(A142,ScaledPrice4,3))))))</f>
        <v> </v>
      </c>
      <c r="E142" s="317" t="str">
        <f aca="false">IF($A142="N/A"," ",IF(AND(Dayrun4&gt;=4,Dayrun4&lt;=9),0,VLOOKUP($A142,ScaledPrice4,9)))</f>
        <v> </v>
      </c>
      <c r="F142" s="317" t="str">
        <f aca="false">IF(A142="N/A"," ",IF(OR(Dayrun4=2,Dayrun4=3,Dayrun4=5,Dayrun4=6,Dayrun4=8,Dayrun4=9),VLOOKUP(A142,ScaledPrice4,IF(Scaler4=1,6,5)),0))</f>
        <v> </v>
      </c>
      <c r="G142" s="317" t="str">
        <f aca="false">IF(A142="N/A"," ",IF(OR(Dayrun4=2,Dayrun4=3,Dayrun4=5,Dayrun4=6),IF(Scaler4=2,F142,(VLOOKUP(A142,ScaledPrice4,5))*(2-(VLOOKUP(A142,ScaledPrice4,3)))),0))</f>
        <v> </v>
      </c>
      <c r="H142" s="317" t="str">
        <f aca="false">IF($A142="N/A"," ",IF(OR(Dayrun4=2,Dayrun4=3,Dayrun4=10),VLOOKUP($A142,ScaledPrice4,9),0))</f>
        <v> </v>
      </c>
      <c r="I142" s="317" t="str">
        <f aca="false">IF(A142="N/A"," ",IF(OR(Dayrun4=3,Dayrun4=6,Dayrun4=9),(VLOOKUP(A142,ScaledPrice4,IF(Scaler4=2,7,8))),0))</f>
        <v> </v>
      </c>
      <c r="J142" s="317" t="str">
        <f aca="false">IF(A142="N/A"," ",IF(OR(Dayrun4=3,Dayrun4=6),IF(Scaler4=2,I142,(VLOOKUP(A142,ScaledPrice4,7))*(2-(VLOOKUP(A142,ScaledPrice4,3)))),0))</f>
        <v> </v>
      </c>
      <c r="K142" s="317" t="str">
        <f aca="false">IF($A142="N/A"," ",IF(OR(Dayrun4=3,Dayrun4=10),VLOOKUP($A142,ScaledPrice4,9),0))</f>
        <v> </v>
      </c>
      <c r="L142" s="318" t="str">
        <f aca="false">IF($A142="N/A"," ",IF(Pricetype4=2,MAX(C142,0),IF(OR(Pricetype4=1,Pricetype4=4),IF(C142=0,0,(EURO(C142,Strikeprice4,0,0,($AH142+IF(Smile=TRUE(),VLOOKUP(MAX(-5,Strikeprice4-C142),Volsmile,2),0)),($A142-DateToday)+15,IF(Pricetype4=1,1,0),0))),C142)))</f>
        <v> </v>
      </c>
      <c r="M142" s="318" t="str">
        <f aca="false">IF($A142="N/A"," ",IF(Pricetype4=2,MAX(D142,0),IF(OR(Pricetype4=1,Pricetype4=4),IF(D142=0,0,(EURO(D142,Strikeprice4,0,0,($AH142+IF(Smile=TRUE(),VLOOKUP(MAX(-5,Strikeprice4-D142),Volsmile,2),0)),($A142-DateToday)+15,IF(Pricetype4=1,1,0),0))),D142)))</f>
        <v> </v>
      </c>
      <c r="N142" s="318" t="str">
        <f aca="false">IF($A142="N/A"," ",IF(Pricetype4=2,MAX(E142,0),IF(OR(Pricetype4=1,Pricetype4=4),IF(E142=0,0,(EURO(E142,Strikeprice4,0,0,($AK142+IF(Smile=TRUE(),VLOOKUP(MAX(-5,Strikeprice4-E142),Volsmile,2),0)),($A142-DateToday)+15,IF(Pricetype4=1,1,0),0))),E142)))</f>
        <v> </v>
      </c>
      <c r="O142" s="318" t="str">
        <f aca="false">IF($A142="N/A"," ",IF(Pricetype4=2,MAX(F142,0),IF(OR(Pricetype4=1,Pricetype4=4),IF(F142=0,0,(EURO(F142,Strikeprice4,0,0,($AK142+IF(Smile=TRUE(),VLOOKUP(MAX(-5,Strikeprice4-F142),Volsmile,2),0)),($A142-DateToday)+15,IF(Pricetype4=1,1,0),0))),F142)))</f>
        <v> </v>
      </c>
      <c r="P142" s="318" t="str">
        <f aca="false">IF($A142="N/A"," ",IF(Pricetype4=2,MAX(G142,0),IF(OR(Pricetype4=1,Pricetype4=4),IF(G142=0,0,(EURO(G142,Strikeprice4,0,0,($AK142+IF(Smile=TRUE(),VLOOKUP(MAX(-5,Strikeprice4-G142),Volsmile,2),0)),($A142-DateToday)+15,IF(Pricetype4=1,1,0),0))),G142)))</f>
        <v> </v>
      </c>
      <c r="Q142" s="318" t="str">
        <f aca="false">IF($A142="N/A"," ",IF(Pricetype4=2,MAX(H142,0),IF(OR(Pricetype4=1,Pricetype4=4),IF(H142=0,0,(EURO(H142,Strikeprice4,0,0,($AK142+IF(Smile=TRUE(),VLOOKUP(MAX(-5,Strikeprice4-H142),Volsmile,2),0)),($A142-DateToday)+15,IF(Pricetype4=1,1,0),0))),H142)))</f>
        <v> </v>
      </c>
      <c r="R142" s="318" t="str">
        <f aca="false">IF($A142="N/A"," ",IF(Pricetype4=2,MAX(I142,0),IF(OR(Pricetype4=1,Pricetype4=4),IF(I142=0,0,(EURO(I142,Strikeprice4,0,0,($AK142+IF(Smile=TRUE(),VLOOKUP(MAX(-5,Strikeprice4-I142),Volsmile,2),0)),($A142-DateToday)+15,IF(Pricetype4=1,1,0),0))),I142)))</f>
        <v> </v>
      </c>
      <c r="S142" s="318" t="str">
        <f aca="false">IF($A142="N/A"," ",IF(Pricetype4=2,MAX(J142,0),IF(OR(Pricetype4=1,Pricetype4=4),IF(J142=0,0,(EURO(J142,Strikeprice4,0,0,($AK142+IF(Smile=TRUE(),VLOOKUP(MAX(-5,Strikeprice4-J142),Volsmile,2),0)),($A142-DateToday)+15,IF(Pricetype4=1,1,0),0))),J142)))</f>
        <v> </v>
      </c>
      <c r="T142" s="318" t="str">
        <f aca="false">IF($A142="N/A"," ",IF(Pricetype4=2,MAX(K142,0),IF(OR(Pricetype4=1,Pricetype4=4),IF(K142=0,0,(EURO(K142,Strikeprice4,0,0,($AK142+IF(Smile=TRUE(),VLOOKUP(MAX(-5,Strikeprice4-K142),Volsmile,2),0)),($A142-DateToday)+15,IF(Pricetype4=1,1,0),0))),K142)))</f>
        <v> </v>
      </c>
      <c r="U142" s="319" t="str">
        <f aca="false">IF($A142="N/A"," ",Volume4*$AM142)</f>
        <v> </v>
      </c>
      <c r="V142" s="320" t="str">
        <f aca="false">IF($A142="N/A"," ",$U142*(8*($BQ142))*L142)</f>
        <v> </v>
      </c>
      <c r="W142" s="320" t="str">
        <f aca="false">IF($A142="N/A"," ",$U142*(8*($BQ142))*M142)</f>
        <v> </v>
      </c>
      <c r="X142" s="320" t="str">
        <f aca="false">IF($A142="N/A"," ",$U142*(8*($BQ142))*N142)</f>
        <v> </v>
      </c>
      <c r="Y142" s="320" t="str">
        <f aca="false">IF($A142="N/A"," ",$U142*(8*($BR142))*O142)</f>
        <v> </v>
      </c>
      <c r="Z142" s="320" t="str">
        <f aca="false">IF($A142="N/A"," ",$U142*(8*($BR142))*P142)</f>
        <v> </v>
      </c>
      <c r="AA142" s="320" t="str">
        <f aca="false">IF($A142="N/A"," ",$U142*(8*($BR142))*Q142)</f>
        <v> </v>
      </c>
      <c r="AB142" s="320" t="str">
        <f aca="false">IF($A142="N/A"," ",$U142*(8*($BS142))*R142)</f>
        <v> </v>
      </c>
      <c r="AC142" s="320" t="str">
        <f aca="false">IF($A142="N/A"," ",$U142*(8*($BS142))*S142)</f>
        <v> </v>
      </c>
      <c r="AD142" s="320" t="str">
        <f aca="false">IF($A142="N/A"," ",$U142*(8*($BS142))*T142)</f>
        <v> </v>
      </c>
      <c r="AE142" s="320" t="str">
        <f aca="false">IF($A142="N/A"," ",SUM(V142:AD142))</f>
        <v> </v>
      </c>
      <c r="AF142" s="321" t="str">
        <f aca="false">IF(A142="N/A"," ",(VLOOKUP(A142,PowerVolTable,(IF(VolBMO4=2,7,IF(VolBMO4=1,6,8))),FALSE())))</f>
        <v> </v>
      </c>
      <c r="AG142" s="321" t="str">
        <f aca="false">IF(A142="N/A"," ",(VLOOKUP(A142,IntraPowerVol,(IF(VolBMO4=2,3,IF(VolBMO4=1,2,4))),FALSE())*VLOOKUP(MONTH($A142),Volscale,2)))</f>
        <v> </v>
      </c>
      <c r="AH142" s="321" t="str">
        <f aca="false">IF($A142="N/A"," ",IF(VolType4=1,AG142,AF142))</f>
        <v> </v>
      </c>
      <c r="AI142" s="321" t="str">
        <f aca="false">IF($A142="N/A"," ",(VLOOKUP($A142,OffPwrVolTable,(IF(VolBMO4=2,7,IF(VolBMO4=1,6,8))),FALSE())))</f>
        <v> </v>
      </c>
      <c r="AJ142" s="321" t="str">
        <f aca="false">IF($A142="N/A"," ",(VLOOKUP($A142,OffPwrVolTable,(IF(VolBMO4=2,3,IF(VolBMO4=1,2,4))),FALSE())*VLOOKUP(MONTH($A142),Volscale,2)))</f>
        <v> </v>
      </c>
      <c r="AK142" s="321" t="str">
        <f aca="false">IF($A142="N/A"," ",IF(VolType4=1,AJ142,AI142))</f>
        <v> </v>
      </c>
      <c r="AL142" s="321" t="str">
        <f aca="false">IF($A142="N/A"," ",IF(PV=1,0,'Pricing Inputs4'!R175))</f>
        <v> </v>
      </c>
      <c r="AM142" s="323" t="str">
        <f aca="false">IF($A142="N/A"," ",(1+AL142/2)^(-2*((EOMONTH(A142,0)+20)-DateToday)/365.25))</f>
        <v> </v>
      </c>
      <c r="BQ142" s="0" t="str">
        <f aca="false">IF($A142="N/A"," ",(VLOOKUP($A142,NumberofDaysTable,2)))</f>
        <v> </v>
      </c>
      <c r="BR142" s="0" t="str">
        <f aca="false">IF($A142="N/A"," ",(VLOOKUP($A142,NumberofDaysTable,3)))</f>
        <v> </v>
      </c>
      <c r="BS142" s="0" t="str">
        <f aca="false">IF($A142="N/A"," ",(VLOOKUP($A142,NumberofDaysTable,4)))</f>
        <v> </v>
      </c>
    </row>
    <row r="143" customFormat="false" ht="12.75" hidden="false" customHeight="false" outlineLevel="0" collapsed="false">
      <c r="A143" s="315" t="str">
        <f aca="false">IF(A142="N/A","N/A",IF(EDATE(A142,1)&gt;Inputs!$R$5,"N/A",EDATE(A142,1)))</f>
        <v>N/A</v>
      </c>
      <c r="B143" s="316" t="str">
        <f aca="false">IF(A143="N/A"," ",YEAR(A143))</f>
        <v> </v>
      </c>
      <c r="C143" s="317" t="str">
        <f aca="false">IF($A143="N/A"," ",IF(Dayrun4=10,0,IF(Scaler4=1,(VLOOKUP(A143,ScaledPrice4,4)),(VLOOKUP(A143,ScaledPrice4,2)))))</f>
        <v> </v>
      </c>
      <c r="D143" s="317" t="str">
        <f aca="false">IF(A143="N/A"," ",IF(Dayrun4&gt;=7,0,IF(Scaler4=2,VLOOKUP(A143,ScaledPrice4,2),(VLOOKUP(A143,ScaledPrice4,2))*(2-(VLOOKUP(A143,ScaledPrice4,3))))))</f>
        <v> </v>
      </c>
      <c r="E143" s="317" t="str">
        <f aca="false">IF($A143="N/A"," ",IF(AND(Dayrun4&gt;=4,Dayrun4&lt;=9),0,VLOOKUP($A143,ScaledPrice4,9)))</f>
        <v> </v>
      </c>
      <c r="F143" s="317" t="str">
        <f aca="false">IF(A143="N/A"," ",IF(OR(Dayrun4=2,Dayrun4=3,Dayrun4=5,Dayrun4=6,Dayrun4=8,Dayrun4=9),VLOOKUP(A143,ScaledPrice4,IF(Scaler4=1,6,5)),0))</f>
        <v> </v>
      </c>
      <c r="G143" s="317" t="str">
        <f aca="false">IF(A143="N/A"," ",IF(OR(Dayrun4=2,Dayrun4=3,Dayrun4=5,Dayrun4=6),IF(Scaler4=2,F143,(VLOOKUP(A143,ScaledPrice4,5))*(2-(VLOOKUP(A143,ScaledPrice4,3)))),0))</f>
        <v> </v>
      </c>
      <c r="H143" s="317" t="str">
        <f aca="false">IF($A143="N/A"," ",IF(OR(Dayrun4=2,Dayrun4=3,Dayrun4=10),VLOOKUP($A143,ScaledPrice4,9),0))</f>
        <v> </v>
      </c>
      <c r="I143" s="317" t="str">
        <f aca="false">IF(A143="N/A"," ",IF(OR(Dayrun4=3,Dayrun4=6,Dayrun4=9),(VLOOKUP(A143,ScaledPrice4,IF(Scaler4=2,7,8))),0))</f>
        <v> </v>
      </c>
      <c r="J143" s="317" t="str">
        <f aca="false">IF(A143="N/A"," ",IF(OR(Dayrun4=3,Dayrun4=6),IF(Scaler4=2,I143,(VLOOKUP(A143,ScaledPrice4,7))*(2-(VLOOKUP(A143,ScaledPrice4,3)))),0))</f>
        <v> </v>
      </c>
      <c r="K143" s="317" t="str">
        <f aca="false">IF($A143="N/A"," ",IF(OR(Dayrun4=3,Dayrun4=10),VLOOKUP($A143,ScaledPrice4,9),0))</f>
        <v> </v>
      </c>
      <c r="L143" s="318" t="str">
        <f aca="false">IF($A143="N/A"," ",IF(Pricetype4=2,MAX(C143,0),IF(OR(Pricetype4=1,Pricetype4=4),IF(C143=0,0,(EURO(C143,Strikeprice4,0,0,($AH143+IF(Smile=TRUE(),VLOOKUP(MAX(-5,Strikeprice4-C143),Volsmile,2),0)),($A143-DateToday)+15,IF(Pricetype4=1,1,0),0))),C143)))</f>
        <v> </v>
      </c>
      <c r="M143" s="318" t="str">
        <f aca="false">IF($A143="N/A"," ",IF(Pricetype4=2,MAX(D143,0),IF(OR(Pricetype4=1,Pricetype4=4),IF(D143=0,0,(EURO(D143,Strikeprice4,0,0,($AH143+IF(Smile=TRUE(),VLOOKUP(MAX(-5,Strikeprice4-D143),Volsmile,2),0)),($A143-DateToday)+15,IF(Pricetype4=1,1,0),0))),D143)))</f>
        <v> </v>
      </c>
      <c r="N143" s="318" t="str">
        <f aca="false">IF($A143="N/A"," ",IF(Pricetype4=2,MAX(E143,0),IF(OR(Pricetype4=1,Pricetype4=4),IF(E143=0,0,(EURO(E143,Strikeprice4,0,0,($AK143+IF(Smile=TRUE(),VLOOKUP(MAX(-5,Strikeprice4-E143),Volsmile,2),0)),($A143-DateToday)+15,IF(Pricetype4=1,1,0),0))),E143)))</f>
        <v> </v>
      </c>
      <c r="O143" s="318" t="str">
        <f aca="false">IF($A143="N/A"," ",IF(Pricetype4=2,MAX(F143,0),IF(OR(Pricetype4=1,Pricetype4=4),IF(F143=0,0,(EURO(F143,Strikeprice4,0,0,($AK143+IF(Smile=TRUE(),VLOOKUP(MAX(-5,Strikeprice4-F143),Volsmile,2),0)),($A143-DateToday)+15,IF(Pricetype4=1,1,0),0))),F143)))</f>
        <v> </v>
      </c>
      <c r="P143" s="318" t="str">
        <f aca="false">IF($A143="N/A"," ",IF(Pricetype4=2,MAX(G143,0),IF(OR(Pricetype4=1,Pricetype4=4),IF(G143=0,0,(EURO(G143,Strikeprice4,0,0,($AK143+IF(Smile=TRUE(),VLOOKUP(MAX(-5,Strikeprice4-G143),Volsmile,2),0)),($A143-DateToday)+15,IF(Pricetype4=1,1,0),0))),G143)))</f>
        <v> </v>
      </c>
      <c r="Q143" s="318" t="str">
        <f aca="false">IF($A143="N/A"," ",IF(Pricetype4=2,MAX(H143,0),IF(OR(Pricetype4=1,Pricetype4=4),IF(H143=0,0,(EURO(H143,Strikeprice4,0,0,($AK143+IF(Smile=TRUE(),VLOOKUP(MAX(-5,Strikeprice4-H143),Volsmile,2),0)),($A143-DateToday)+15,IF(Pricetype4=1,1,0),0))),H143)))</f>
        <v> </v>
      </c>
      <c r="R143" s="318" t="str">
        <f aca="false">IF($A143="N/A"," ",IF(Pricetype4=2,MAX(I143,0),IF(OR(Pricetype4=1,Pricetype4=4),IF(I143=0,0,(EURO(I143,Strikeprice4,0,0,($AK143+IF(Smile=TRUE(),VLOOKUP(MAX(-5,Strikeprice4-I143),Volsmile,2),0)),($A143-DateToday)+15,IF(Pricetype4=1,1,0),0))),I143)))</f>
        <v> </v>
      </c>
      <c r="S143" s="318" t="str">
        <f aca="false">IF($A143="N/A"," ",IF(Pricetype4=2,MAX(J143,0),IF(OR(Pricetype4=1,Pricetype4=4),IF(J143=0,0,(EURO(J143,Strikeprice4,0,0,($AK143+IF(Smile=TRUE(),VLOOKUP(MAX(-5,Strikeprice4-J143),Volsmile,2),0)),($A143-DateToday)+15,IF(Pricetype4=1,1,0),0))),J143)))</f>
        <v> </v>
      </c>
      <c r="T143" s="318" t="str">
        <f aca="false">IF($A143="N/A"," ",IF(Pricetype4=2,MAX(K143,0),IF(OR(Pricetype4=1,Pricetype4=4),IF(K143=0,0,(EURO(K143,Strikeprice4,0,0,($AK143+IF(Smile=TRUE(),VLOOKUP(MAX(-5,Strikeprice4-K143),Volsmile,2),0)),($A143-DateToday)+15,IF(Pricetype4=1,1,0),0))),K143)))</f>
        <v> </v>
      </c>
      <c r="U143" s="319" t="str">
        <f aca="false">IF($A143="N/A"," ",Volume4*$AM143)</f>
        <v> </v>
      </c>
      <c r="V143" s="320" t="str">
        <f aca="false">IF($A143="N/A"," ",$U143*(8*($BQ143))*L143)</f>
        <v> </v>
      </c>
      <c r="W143" s="320" t="str">
        <f aca="false">IF($A143="N/A"," ",$U143*(8*($BQ143))*M143)</f>
        <v> </v>
      </c>
      <c r="X143" s="320" t="str">
        <f aca="false">IF($A143="N/A"," ",$U143*(8*($BQ143))*N143)</f>
        <v> </v>
      </c>
      <c r="Y143" s="320" t="str">
        <f aca="false">IF($A143="N/A"," ",$U143*(8*($BR143))*O143)</f>
        <v> </v>
      </c>
      <c r="Z143" s="320" t="str">
        <f aca="false">IF($A143="N/A"," ",$U143*(8*($BR143))*P143)</f>
        <v> </v>
      </c>
      <c r="AA143" s="320" t="str">
        <f aca="false">IF($A143="N/A"," ",$U143*(8*($BR143))*Q143)</f>
        <v> </v>
      </c>
      <c r="AB143" s="320" t="str">
        <f aca="false">IF($A143="N/A"," ",$U143*(8*($BS143))*R143)</f>
        <v> </v>
      </c>
      <c r="AC143" s="320" t="str">
        <f aca="false">IF($A143="N/A"," ",$U143*(8*($BS143))*S143)</f>
        <v> </v>
      </c>
      <c r="AD143" s="320" t="str">
        <f aca="false">IF($A143="N/A"," ",$U143*(8*($BS143))*T143)</f>
        <v> </v>
      </c>
      <c r="AE143" s="320" t="str">
        <f aca="false">IF($A143="N/A"," ",SUM(V143:AD143))</f>
        <v> </v>
      </c>
      <c r="AF143" s="321" t="str">
        <f aca="false">IF(A143="N/A"," ",(VLOOKUP(A143,PowerVolTable,(IF(VolBMO4=2,7,IF(VolBMO4=1,6,8))),FALSE())))</f>
        <v> </v>
      </c>
      <c r="AG143" s="321" t="str">
        <f aca="false">IF(A143="N/A"," ",(VLOOKUP(A143,IntraPowerVol,(IF(VolBMO4=2,3,IF(VolBMO4=1,2,4))),FALSE())*VLOOKUP(MONTH($A143),Volscale,2)))</f>
        <v> </v>
      </c>
      <c r="AH143" s="321" t="str">
        <f aca="false">IF($A143="N/A"," ",IF(VolType4=1,AG143,AF143))</f>
        <v> </v>
      </c>
      <c r="AI143" s="321" t="str">
        <f aca="false">IF($A143="N/A"," ",(VLOOKUP($A143,OffPwrVolTable,(IF(VolBMO4=2,7,IF(VolBMO4=1,6,8))),FALSE())))</f>
        <v> </v>
      </c>
      <c r="AJ143" s="321" t="str">
        <f aca="false">IF($A143="N/A"," ",(VLOOKUP($A143,OffPwrVolTable,(IF(VolBMO4=2,3,IF(VolBMO4=1,2,4))),FALSE())*VLOOKUP(MONTH($A143),Volscale,2)))</f>
        <v> </v>
      </c>
      <c r="AK143" s="321" t="str">
        <f aca="false">IF($A143="N/A"," ",IF(VolType4=1,AJ143,AI143))</f>
        <v> </v>
      </c>
      <c r="AL143" s="321" t="str">
        <f aca="false">IF($A143="N/A"," ",IF(PV=1,0,'Pricing Inputs4'!R176))</f>
        <v> </v>
      </c>
      <c r="AM143" s="323" t="str">
        <f aca="false">IF($A143="N/A"," ",(1+AL143/2)^(-2*((EOMONTH(A143,0)+20)-DateToday)/365.25))</f>
        <v> </v>
      </c>
      <c r="BQ143" s="0" t="str">
        <f aca="false">IF($A143="N/A"," ",(VLOOKUP($A143,NumberofDaysTable,2)))</f>
        <v> </v>
      </c>
      <c r="BR143" s="0" t="str">
        <f aca="false">IF($A143="N/A"," ",(VLOOKUP($A143,NumberofDaysTable,3)))</f>
        <v> </v>
      </c>
      <c r="BS143" s="0" t="str">
        <f aca="false">IF($A143="N/A"," ",(VLOOKUP($A143,NumberofDaysTable,4)))</f>
        <v> </v>
      </c>
    </row>
    <row r="144" customFormat="false" ht="12.75" hidden="false" customHeight="false" outlineLevel="0" collapsed="false">
      <c r="A144" s="315" t="str">
        <f aca="false">IF(A143="N/A","N/A",IF(EDATE(A143,1)&gt;Inputs!$R$5,"N/A",EDATE(A143,1)))</f>
        <v>N/A</v>
      </c>
      <c r="B144" s="316" t="str">
        <f aca="false">IF(A144="N/A"," ",YEAR(A144))</f>
        <v> </v>
      </c>
      <c r="C144" s="317" t="str">
        <f aca="false">IF($A144="N/A"," ",IF(Dayrun4=10,0,IF(Scaler4=1,(VLOOKUP(A144,ScaledPrice4,4)),(VLOOKUP(A144,ScaledPrice4,2)))))</f>
        <v> </v>
      </c>
      <c r="D144" s="317" t="str">
        <f aca="false">IF(A144="N/A"," ",IF(Dayrun4&gt;=7,0,IF(Scaler4=2,VLOOKUP(A144,ScaledPrice4,2),(VLOOKUP(A144,ScaledPrice4,2))*(2-(VLOOKUP(A144,ScaledPrice4,3))))))</f>
        <v> </v>
      </c>
      <c r="E144" s="317" t="str">
        <f aca="false">IF($A144="N/A"," ",IF(AND(Dayrun4&gt;=4,Dayrun4&lt;=9),0,VLOOKUP($A144,ScaledPrice4,9)))</f>
        <v> </v>
      </c>
      <c r="F144" s="317" t="str">
        <f aca="false">IF(A144="N/A"," ",IF(OR(Dayrun4=2,Dayrun4=3,Dayrun4=5,Dayrun4=6,Dayrun4=8,Dayrun4=9),VLOOKUP(A144,ScaledPrice4,IF(Scaler4=1,6,5)),0))</f>
        <v> </v>
      </c>
      <c r="G144" s="317" t="str">
        <f aca="false">IF(A144="N/A"," ",IF(OR(Dayrun4=2,Dayrun4=3,Dayrun4=5,Dayrun4=6),IF(Scaler4=2,F144,(VLOOKUP(A144,ScaledPrice4,5))*(2-(VLOOKUP(A144,ScaledPrice4,3)))),0))</f>
        <v> </v>
      </c>
      <c r="H144" s="317" t="str">
        <f aca="false">IF($A144="N/A"," ",IF(OR(Dayrun4=2,Dayrun4=3,Dayrun4=10),VLOOKUP($A144,ScaledPrice4,9),0))</f>
        <v> </v>
      </c>
      <c r="I144" s="317" t="str">
        <f aca="false">IF(A144="N/A"," ",IF(OR(Dayrun4=3,Dayrun4=6,Dayrun4=9),(VLOOKUP(A144,ScaledPrice4,IF(Scaler4=2,7,8))),0))</f>
        <v> </v>
      </c>
      <c r="J144" s="317" t="str">
        <f aca="false">IF(A144="N/A"," ",IF(OR(Dayrun4=3,Dayrun4=6),IF(Scaler4=2,I144,(VLOOKUP(A144,ScaledPrice4,7))*(2-(VLOOKUP(A144,ScaledPrice4,3)))),0))</f>
        <v> </v>
      </c>
      <c r="K144" s="317" t="str">
        <f aca="false">IF($A144="N/A"," ",IF(OR(Dayrun4=3,Dayrun4=10),VLOOKUP($A144,ScaledPrice4,9),0))</f>
        <v> </v>
      </c>
      <c r="L144" s="318" t="str">
        <f aca="false">IF($A144="N/A"," ",IF(Pricetype4=2,MAX(C144,0),IF(OR(Pricetype4=1,Pricetype4=4),IF(C144=0,0,(EURO(C144,Strikeprice4,0,0,($AH144+IF(Smile=TRUE(),VLOOKUP(MAX(-5,Strikeprice4-C144),Volsmile,2),0)),($A144-DateToday)+15,IF(Pricetype4=1,1,0),0))),C144)))</f>
        <v> </v>
      </c>
      <c r="M144" s="318" t="str">
        <f aca="false">IF($A144="N/A"," ",IF(Pricetype4=2,MAX(D144,0),IF(OR(Pricetype4=1,Pricetype4=4),IF(D144=0,0,(EURO(D144,Strikeprice4,0,0,($AH144+IF(Smile=TRUE(),VLOOKUP(MAX(-5,Strikeprice4-D144),Volsmile,2),0)),($A144-DateToday)+15,IF(Pricetype4=1,1,0),0))),D144)))</f>
        <v> </v>
      </c>
      <c r="N144" s="318" t="str">
        <f aca="false">IF($A144="N/A"," ",IF(Pricetype4=2,MAX(E144,0),IF(OR(Pricetype4=1,Pricetype4=4),IF(E144=0,0,(EURO(E144,Strikeprice4,0,0,($AK144+IF(Smile=TRUE(),VLOOKUP(MAX(-5,Strikeprice4-E144),Volsmile,2),0)),($A144-DateToday)+15,IF(Pricetype4=1,1,0),0))),E144)))</f>
        <v> </v>
      </c>
      <c r="O144" s="318" t="str">
        <f aca="false">IF($A144="N/A"," ",IF(Pricetype4=2,MAX(F144,0),IF(OR(Pricetype4=1,Pricetype4=4),IF(F144=0,0,(EURO(F144,Strikeprice4,0,0,($AK144+IF(Smile=TRUE(),VLOOKUP(MAX(-5,Strikeprice4-F144),Volsmile,2),0)),($A144-DateToday)+15,IF(Pricetype4=1,1,0),0))),F144)))</f>
        <v> </v>
      </c>
      <c r="P144" s="318" t="str">
        <f aca="false">IF($A144="N/A"," ",IF(Pricetype4=2,MAX(G144,0),IF(OR(Pricetype4=1,Pricetype4=4),IF(G144=0,0,(EURO(G144,Strikeprice4,0,0,($AK144+IF(Smile=TRUE(),VLOOKUP(MAX(-5,Strikeprice4-G144),Volsmile,2),0)),($A144-DateToday)+15,IF(Pricetype4=1,1,0),0))),G144)))</f>
        <v> </v>
      </c>
      <c r="Q144" s="318" t="str">
        <f aca="false">IF($A144="N/A"," ",IF(Pricetype4=2,MAX(H144,0),IF(OR(Pricetype4=1,Pricetype4=4),IF(H144=0,0,(EURO(H144,Strikeprice4,0,0,($AK144+IF(Smile=TRUE(),VLOOKUP(MAX(-5,Strikeprice4-H144),Volsmile,2),0)),($A144-DateToday)+15,IF(Pricetype4=1,1,0),0))),H144)))</f>
        <v> </v>
      </c>
      <c r="R144" s="318" t="str">
        <f aca="false">IF($A144="N/A"," ",IF(Pricetype4=2,MAX(I144,0),IF(OR(Pricetype4=1,Pricetype4=4),IF(I144=0,0,(EURO(I144,Strikeprice4,0,0,($AK144+IF(Smile=TRUE(),VLOOKUP(MAX(-5,Strikeprice4-I144),Volsmile,2),0)),($A144-DateToday)+15,IF(Pricetype4=1,1,0),0))),I144)))</f>
        <v> </v>
      </c>
      <c r="S144" s="318" t="str">
        <f aca="false">IF($A144="N/A"," ",IF(Pricetype4=2,MAX(J144,0),IF(OR(Pricetype4=1,Pricetype4=4),IF(J144=0,0,(EURO(J144,Strikeprice4,0,0,($AK144+IF(Smile=TRUE(),VLOOKUP(MAX(-5,Strikeprice4-J144),Volsmile,2),0)),($A144-DateToday)+15,IF(Pricetype4=1,1,0),0))),J144)))</f>
        <v> </v>
      </c>
      <c r="T144" s="318" t="str">
        <f aca="false">IF($A144="N/A"," ",IF(Pricetype4=2,MAX(K144,0),IF(OR(Pricetype4=1,Pricetype4=4),IF(K144=0,0,(EURO(K144,Strikeprice4,0,0,($AK144+IF(Smile=TRUE(),VLOOKUP(MAX(-5,Strikeprice4-K144),Volsmile,2),0)),($A144-DateToday)+15,IF(Pricetype4=1,1,0),0))),K144)))</f>
        <v> </v>
      </c>
      <c r="U144" s="319" t="str">
        <f aca="false">IF($A144="N/A"," ",Volume4*$AM144)</f>
        <v> </v>
      </c>
      <c r="V144" s="320" t="str">
        <f aca="false">IF($A144="N/A"," ",$U144*(8*($BQ144))*L144)</f>
        <v> </v>
      </c>
      <c r="W144" s="320" t="str">
        <f aca="false">IF($A144="N/A"," ",$U144*(8*($BQ144))*M144)</f>
        <v> </v>
      </c>
      <c r="X144" s="320" t="str">
        <f aca="false">IF($A144="N/A"," ",$U144*(8*($BQ144))*N144)</f>
        <v> </v>
      </c>
      <c r="Y144" s="320" t="str">
        <f aca="false">IF($A144="N/A"," ",$U144*(8*($BR144))*O144)</f>
        <v> </v>
      </c>
      <c r="Z144" s="320" t="str">
        <f aca="false">IF($A144="N/A"," ",$U144*(8*($BR144))*P144)</f>
        <v> </v>
      </c>
      <c r="AA144" s="320" t="str">
        <f aca="false">IF($A144="N/A"," ",$U144*(8*($BR144))*Q144)</f>
        <v> </v>
      </c>
      <c r="AB144" s="320" t="str">
        <f aca="false">IF($A144="N/A"," ",$U144*(8*($BS144))*R144)</f>
        <v> </v>
      </c>
      <c r="AC144" s="320" t="str">
        <f aca="false">IF($A144="N/A"," ",$U144*(8*($BS144))*S144)</f>
        <v> </v>
      </c>
      <c r="AD144" s="320" t="str">
        <f aca="false">IF($A144="N/A"," ",$U144*(8*($BS144))*T144)</f>
        <v> </v>
      </c>
      <c r="AE144" s="320" t="str">
        <f aca="false">IF($A144="N/A"," ",SUM(V144:AD144))</f>
        <v> </v>
      </c>
      <c r="AF144" s="321" t="str">
        <f aca="false">IF(A144="N/A"," ",(VLOOKUP(A144,PowerVolTable,(IF(VolBMO4=2,7,IF(VolBMO4=1,6,8))),FALSE())))</f>
        <v> </v>
      </c>
      <c r="AG144" s="321" t="str">
        <f aca="false">IF(A144="N/A"," ",(VLOOKUP(A144,IntraPowerVol,(IF(VolBMO4=2,3,IF(VolBMO4=1,2,4))),FALSE())*VLOOKUP(MONTH($A144),Volscale,2)))</f>
        <v> </v>
      </c>
      <c r="AH144" s="321" t="str">
        <f aca="false">IF($A144="N/A"," ",IF(VolType4=1,AG144,AF144))</f>
        <v> </v>
      </c>
      <c r="AI144" s="321" t="str">
        <f aca="false">IF($A144="N/A"," ",(VLOOKUP($A144,OffPwrVolTable,(IF(VolBMO4=2,7,IF(VolBMO4=1,6,8))),FALSE())))</f>
        <v> </v>
      </c>
      <c r="AJ144" s="321" t="str">
        <f aca="false">IF($A144="N/A"," ",(VLOOKUP($A144,OffPwrVolTable,(IF(VolBMO4=2,3,IF(VolBMO4=1,2,4))),FALSE())*VLOOKUP(MONTH($A144),Volscale,2)))</f>
        <v> </v>
      </c>
      <c r="AK144" s="321" t="str">
        <f aca="false">IF($A144="N/A"," ",IF(VolType4=1,AJ144,AI144))</f>
        <v> </v>
      </c>
      <c r="AL144" s="321" t="str">
        <f aca="false">IF($A144="N/A"," ",IF(PV=1,0,'Pricing Inputs4'!R177))</f>
        <v> </v>
      </c>
      <c r="AM144" s="323" t="str">
        <f aca="false">IF($A144="N/A"," ",(1+AL144/2)^(-2*((EOMONTH(A144,0)+20)-DateToday)/365.25))</f>
        <v> </v>
      </c>
      <c r="BQ144" s="0" t="str">
        <f aca="false">IF($A144="N/A"," ",(VLOOKUP($A144,NumberofDaysTable,2)))</f>
        <v> </v>
      </c>
      <c r="BR144" s="0" t="str">
        <f aca="false">IF($A144="N/A"," ",(VLOOKUP($A144,NumberofDaysTable,3)))</f>
        <v> </v>
      </c>
      <c r="BS144" s="0" t="str">
        <f aca="false">IF($A144="N/A"," ",(VLOOKUP($A144,NumberofDaysTable,4)))</f>
        <v> </v>
      </c>
    </row>
    <row r="145" customFormat="false" ht="12.75" hidden="false" customHeight="false" outlineLevel="0" collapsed="false">
      <c r="A145" s="315" t="str">
        <f aca="false">IF(A144="N/A","N/A",IF(EDATE(A144,1)&gt;Inputs!$R$5,"N/A",EDATE(A144,1)))</f>
        <v>N/A</v>
      </c>
      <c r="B145" s="316" t="str">
        <f aca="false">IF(A145="N/A"," ",YEAR(A145))</f>
        <v> </v>
      </c>
      <c r="C145" s="317" t="str">
        <f aca="false">IF($A145="N/A"," ",IF(Dayrun4=10,0,IF(Scaler4=1,(VLOOKUP(A145,ScaledPrice4,4)),(VLOOKUP(A145,ScaledPrice4,2)))))</f>
        <v> </v>
      </c>
      <c r="D145" s="317" t="str">
        <f aca="false">IF(A145="N/A"," ",IF(Dayrun4&gt;=7,0,IF(Scaler4=2,VLOOKUP(A145,ScaledPrice4,2),(VLOOKUP(A145,ScaledPrice4,2))*(2-(VLOOKUP(A145,ScaledPrice4,3))))))</f>
        <v> </v>
      </c>
      <c r="E145" s="317" t="str">
        <f aca="false">IF($A145="N/A"," ",IF(AND(Dayrun4&gt;=4,Dayrun4&lt;=9),0,VLOOKUP($A145,ScaledPrice4,9)))</f>
        <v> </v>
      </c>
      <c r="F145" s="317" t="str">
        <f aca="false">IF(A145="N/A"," ",IF(OR(Dayrun4=2,Dayrun4=3,Dayrun4=5,Dayrun4=6,Dayrun4=8,Dayrun4=9),VLOOKUP(A145,ScaledPrice4,IF(Scaler4=1,6,5)),0))</f>
        <v> </v>
      </c>
      <c r="G145" s="317" t="str">
        <f aca="false">IF(A145="N/A"," ",IF(OR(Dayrun4=2,Dayrun4=3,Dayrun4=5,Dayrun4=6),IF(Scaler4=2,F145,(VLOOKUP(A145,ScaledPrice4,5))*(2-(VLOOKUP(A145,ScaledPrice4,3)))),0))</f>
        <v> </v>
      </c>
      <c r="H145" s="317" t="str">
        <f aca="false">IF($A145="N/A"," ",IF(OR(Dayrun4=2,Dayrun4=3,Dayrun4=10),VLOOKUP($A145,ScaledPrice4,9),0))</f>
        <v> </v>
      </c>
      <c r="I145" s="317" t="str">
        <f aca="false">IF(A145="N/A"," ",IF(OR(Dayrun4=3,Dayrun4=6,Dayrun4=9),(VLOOKUP(A145,ScaledPrice4,IF(Scaler4=2,7,8))),0))</f>
        <v> </v>
      </c>
      <c r="J145" s="317" t="str">
        <f aca="false">IF(A145="N/A"," ",IF(OR(Dayrun4=3,Dayrun4=6),IF(Scaler4=2,I145,(VLOOKUP(A145,ScaledPrice4,7))*(2-(VLOOKUP(A145,ScaledPrice4,3)))),0))</f>
        <v> </v>
      </c>
      <c r="K145" s="317" t="str">
        <f aca="false">IF($A145="N/A"," ",IF(OR(Dayrun4=3,Dayrun4=10),VLOOKUP($A145,ScaledPrice4,9),0))</f>
        <v> </v>
      </c>
      <c r="L145" s="318" t="str">
        <f aca="false">IF($A145="N/A"," ",IF(Pricetype4=2,MAX(C145,0),IF(OR(Pricetype4=1,Pricetype4=4),IF(C145=0,0,(EURO(C145,Strikeprice4,0,0,($AH145+IF(Smile=TRUE(),VLOOKUP(MAX(-5,Strikeprice4-C145),Volsmile,2),0)),($A145-DateToday)+15,IF(Pricetype4=1,1,0),0))),C145)))</f>
        <v> </v>
      </c>
      <c r="M145" s="318" t="str">
        <f aca="false">IF($A145="N/A"," ",IF(Pricetype4=2,MAX(D145,0),IF(OR(Pricetype4=1,Pricetype4=4),IF(D145=0,0,(EURO(D145,Strikeprice4,0,0,($AH145+IF(Smile=TRUE(),VLOOKUP(MAX(-5,Strikeprice4-D145),Volsmile,2),0)),($A145-DateToday)+15,IF(Pricetype4=1,1,0),0))),D145)))</f>
        <v> </v>
      </c>
      <c r="N145" s="318" t="str">
        <f aca="false">IF($A145="N/A"," ",IF(Pricetype4=2,MAX(E145,0),IF(OR(Pricetype4=1,Pricetype4=4),IF(E145=0,0,(EURO(E145,Strikeprice4,0,0,($AK145+IF(Smile=TRUE(),VLOOKUP(MAX(-5,Strikeprice4-E145),Volsmile,2),0)),($A145-DateToday)+15,IF(Pricetype4=1,1,0),0))),E145)))</f>
        <v> </v>
      </c>
      <c r="O145" s="318" t="str">
        <f aca="false">IF($A145="N/A"," ",IF(Pricetype4=2,MAX(F145,0),IF(OR(Pricetype4=1,Pricetype4=4),IF(F145=0,0,(EURO(F145,Strikeprice4,0,0,($AK145+IF(Smile=TRUE(),VLOOKUP(MAX(-5,Strikeprice4-F145),Volsmile,2),0)),($A145-DateToday)+15,IF(Pricetype4=1,1,0),0))),F145)))</f>
        <v> </v>
      </c>
      <c r="P145" s="318" t="str">
        <f aca="false">IF($A145="N/A"," ",IF(Pricetype4=2,MAX(G145,0),IF(OR(Pricetype4=1,Pricetype4=4),IF(G145=0,0,(EURO(G145,Strikeprice4,0,0,($AK145+IF(Smile=TRUE(),VLOOKUP(MAX(-5,Strikeprice4-G145),Volsmile,2),0)),($A145-DateToday)+15,IF(Pricetype4=1,1,0),0))),G145)))</f>
        <v> </v>
      </c>
      <c r="Q145" s="318" t="str">
        <f aca="false">IF($A145="N/A"," ",IF(Pricetype4=2,MAX(H145,0),IF(OR(Pricetype4=1,Pricetype4=4),IF(H145=0,0,(EURO(H145,Strikeprice4,0,0,($AK145+IF(Smile=TRUE(),VLOOKUP(MAX(-5,Strikeprice4-H145),Volsmile,2),0)),($A145-DateToday)+15,IF(Pricetype4=1,1,0),0))),H145)))</f>
        <v> </v>
      </c>
      <c r="R145" s="318" t="str">
        <f aca="false">IF($A145="N/A"," ",IF(Pricetype4=2,MAX(I145,0),IF(OR(Pricetype4=1,Pricetype4=4),IF(I145=0,0,(EURO(I145,Strikeprice4,0,0,($AK145+IF(Smile=TRUE(),VLOOKUP(MAX(-5,Strikeprice4-I145),Volsmile,2),0)),($A145-DateToday)+15,IF(Pricetype4=1,1,0),0))),I145)))</f>
        <v> </v>
      </c>
      <c r="S145" s="318" t="str">
        <f aca="false">IF($A145="N/A"," ",IF(Pricetype4=2,MAX(J145,0),IF(OR(Pricetype4=1,Pricetype4=4),IF(J145=0,0,(EURO(J145,Strikeprice4,0,0,($AK145+IF(Smile=TRUE(),VLOOKUP(MAX(-5,Strikeprice4-J145),Volsmile,2),0)),($A145-DateToday)+15,IF(Pricetype4=1,1,0),0))),J145)))</f>
        <v> </v>
      </c>
      <c r="T145" s="318" t="str">
        <f aca="false">IF($A145="N/A"," ",IF(Pricetype4=2,MAX(K145,0),IF(OR(Pricetype4=1,Pricetype4=4),IF(K145=0,0,(EURO(K145,Strikeprice4,0,0,($AK145+IF(Smile=TRUE(),VLOOKUP(MAX(-5,Strikeprice4-K145),Volsmile,2),0)),($A145-DateToday)+15,IF(Pricetype4=1,1,0),0))),K145)))</f>
        <v> </v>
      </c>
      <c r="U145" s="319" t="str">
        <f aca="false">IF($A145="N/A"," ",Volume4*$AM145)</f>
        <v> </v>
      </c>
      <c r="V145" s="320" t="str">
        <f aca="false">IF($A145="N/A"," ",$U145*(8*($BQ145))*L145)</f>
        <v> </v>
      </c>
      <c r="W145" s="320" t="str">
        <f aca="false">IF($A145="N/A"," ",$U145*(8*($BQ145))*M145)</f>
        <v> </v>
      </c>
      <c r="X145" s="320" t="str">
        <f aca="false">IF($A145="N/A"," ",$U145*(8*($BQ145))*N145)</f>
        <v> </v>
      </c>
      <c r="Y145" s="320" t="str">
        <f aca="false">IF($A145="N/A"," ",$U145*(8*($BR145))*O145)</f>
        <v> </v>
      </c>
      <c r="Z145" s="320" t="str">
        <f aca="false">IF($A145="N/A"," ",$U145*(8*($BR145))*P145)</f>
        <v> </v>
      </c>
      <c r="AA145" s="320" t="str">
        <f aca="false">IF($A145="N/A"," ",$U145*(8*($BR145))*Q145)</f>
        <v> </v>
      </c>
      <c r="AB145" s="320" t="str">
        <f aca="false">IF($A145="N/A"," ",$U145*(8*($BS145))*R145)</f>
        <v> </v>
      </c>
      <c r="AC145" s="320" t="str">
        <f aca="false">IF($A145="N/A"," ",$U145*(8*($BS145))*S145)</f>
        <v> </v>
      </c>
      <c r="AD145" s="320" t="str">
        <f aca="false">IF($A145="N/A"," ",$U145*(8*($BS145))*T145)</f>
        <v> </v>
      </c>
      <c r="AE145" s="320" t="str">
        <f aca="false">IF($A145="N/A"," ",SUM(V145:AD145))</f>
        <v> </v>
      </c>
      <c r="AF145" s="321" t="str">
        <f aca="false">IF(A145="N/A"," ",(VLOOKUP(A145,PowerVolTable,(IF(VolBMO4=2,7,IF(VolBMO4=1,6,8))),FALSE())))</f>
        <v> </v>
      </c>
      <c r="AG145" s="321" t="str">
        <f aca="false">IF(A145="N/A"," ",(VLOOKUP(A145,IntraPowerVol,(IF(VolBMO4=2,3,IF(VolBMO4=1,2,4))),FALSE())*VLOOKUP(MONTH($A145),Volscale,2)))</f>
        <v> </v>
      </c>
      <c r="AH145" s="321" t="str">
        <f aca="false">IF($A145="N/A"," ",IF(VolType4=1,AG145,AF145))</f>
        <v> </v>
      </c>
      <c r="AI145" s="321" t="str">
        <f aca="false">IF($A145="N/A"," ",(VLOOKUP($A145,OffPwrVolTable,(IF(VolBMO4=2,7,IF(VolBMO4=1,6,8))),FALSE())))</f>
        <v> </v>
      </c>
      <c r="AJ145" s="321" t="str">
        <f aca="false">IF($A145="N/A"," ",(VLOOKUP($A145,OffPwrVolTable,(IF(VolBMO4=2,3,IF(VolBMO4=1,2,4))),FALSE())*VLOOKUP(MONTH($A145),Volscale,2)))</f>
        <v> </v>
      </c>
      <c r="AK145" s="321" t="str">
        <f aca="false">IF($A145="N/A"," ",IF(VolType4=1,AJ145,AI145))</f>
        <v> </v>
      </c>
      <c r="AL145" s="321" t="str">
        <f aca="false">IF($A145="N/A"," ",IF(PV=1,0,'Pricing Inputs4'!R178))</f>
        <v> </v>
      </c>
      <c r="AM145" s="323" t="str">
        <f aca="false">IF($A145="N/A"," ",(1+AL145/2)^(-2*((EOMONTH(A145,0)+20)-DateToday)/365.25))</f>
        <v> </v>
      </c>
      <c r="BQ145" s="0" t="str">
        <f aca="false">IF($A145="N/A"," ",(VLOOKUP($A145,NumberofDaysTable,2)))</f>
        <v> </v>
      </c>
      <c r="BR145" s="0" t="str">
        <f aca="false">IF($A145="N/A"," ",(VLOOKUP($A145,NumberofDaysTable,3)))</f>
        <v> </v>
      </c>
      <c r="BS145" s="0" t="str">
        <f aca="false">IF($A145="N/A"," ",(VLOOKUP($A145,NumberofDaysTable,4)))</f>
        <v> </v>
      </c>
    </row>
    <row r="146" customFormat="false" ht="12.75" hidden="false" customHeight="false" outlineLevel="0" collapsed="false">
      <c r="A146" s="315" t="str">
        <f aca="false">IF(A145="N/A","N/A",IF(EDATE(A145,1)&gt;Inputs!$R$5,"N/A",EDATE(A145,1)))</f>
        <v>N/A</v>
      </c>
      <c r="B146" s="316" t="str">
        <f aca="false">IF(A146="N/A"," ",YEAR(A146))</f>
        <v> </v>
      </c>
      <c r="C146" s="317" t="str">
        <f aca="false">IF($A146="N/A"," ",IF(Dayrun4=10,0,IF(Scaler4=1,(VLOOKUP(A146,ScaledPrice4,4)),(VLOOKUP(A146,ScaledPrice4,2)))))</f>
        <v> </v>
      </c>
      <c r="D146" s="317" t="str">
        <f aca="false">IF(A146="N/A"," ",IF(Dayrun4&gt;=7,0,IF(Scaler4=2,VLOOKUP(A146,ScaledPrice4,2),(VLOOKUP(A146,ScaledPrice4,2))*(2-(VLOOKUP(A146,ScaledPrice4,3))))))</f>
        <v> </v>
      </c>
      <c r="E146" s="317" t="str">
        <f aca="false">IF($A146="N/A"," ",IF(AND(Dayrun4&gt;=4,Dayrun4&lt;=9),0,VLOOKUP($A146,ScaledPrice4,9)))</f>
        <v> </v>
      </c>
      <c r="F146" s="317" t="str">
        <f aca="false">IF(A146="N/A"," ",IF(OR(Dayrun4=2,Dayrun4=3,Dayrun4=5,Dayrun4=6,Dayrun4=8,Dayrun4=9),VLOOKUP(A146,ScaledPrice4,IF(Scaler4=1,6,5)),0))</f>
        <v> </v>
      </c>
      <c r="G146" s="317" t="str">
        <f aca="false">IF(A146="N/A"," ",IF(OR(Dayrun4=2,Dayrun4=3,Dayrun4=5,Dayrun4=6),IF(Scaler4=2,F146,(VLOOKUP(A146,ScaledPrice4,5))*(2-(VLOOKUP(A146,ScaledPrice4,3)))),0))</f>
        <v> </v>
      </c>
      <c r="H146" s="317" t="str">
        <f aca="false">IF($A146="N/A"," ",IF(OR(Dayrun4=2,Dayrun4=3,Dayrun4=10),VLOOKUP($A146,ScaledPrice4,9),0))</f>
        <v> </v>
      </c>
      <c r="I146" s="317" t="str">
        <f aca="false">IF(A146="N/A"," ",IF(OR(Dayrun4=3,Dayrun4=6,Dayrun4=9),(VLOOKUP(A146,ScaledPrice4,IF(Scaler4=2,7,8))),0))</f>
        <v> </v>
      </c>
      <c r="J146" s="317" t="str">
        <f aca="false">IF(A146="N/A"," ",IF(OR(Dayrun4=3,Dayrun4=6),IF(Scaler4=2,I146,(VLOOKUP(A146,ScaledPrice4,7))*(2-(VLOOKUP(A146,ScaledPrice4,3)))),0))</f>
        <v> </v>
      </c>
      <c r="K146" s="317" t="str">
        <f aca="false">IF($A146="N/A"," ",IF(OR(Dayrun4=3,Dayrun4=10),VLOOKUP($A146,ScaledPrice4,9),0))</f>
        <v> </v>
      </c>
      <c r="L146" s="318" t="str">
        <f aca="false">IF($A146="N/A"," ",IF(Pricetype4=2,MAX(C146,0),IF(OR(Pricetype4=1,Pricetype4=4),IF(C146=0,0,(EURO(C146,Strikeprice4,0,0,($AH146+IF(Smile=TRUE(),VLOOKUP(MAX(-5,Strikeprice4-C146),Volsmile,2),0)),($A146-DateToday)+15,IF(Pricetype4=1,1,0),0))),C146)))</f>
        <v> </v>
      </c>
      <c r="M146" s="318" t="str">
        <f aca="false">IF($A146="N/A"," ",IF(Pricetype4=2,MAX(D146,0),IF(OR(Pricetype4=1,Pricetype4=4),IF(D146=0,0,(EURO(D146,Strikeprice4,0,0,($AH146+IF(Smile=TRUE(),VLOOKUP(MAX(-5,Strikeprice4-D146),Volsmile,2),0)),($A146-DateToday)+15,IF(Pricetype4=1,1,0),0))),D146)))</f>
        <v> </v>
      </c>
      <c r="N146" s="318" t="str">
        <f aca="false">IF($A146="N/A"," ",IF(Pricetype4=2,MAX(E146,0),IF(OR(Pricetype4=1,Pricetype4=4),IF(E146=0,0,(EURO(E146,Strikeprice4,0,0,($AK146+IF(Smile=TRUE(),VLOOKUP(MAX(-5,Strikeprice4-E146),Volsmile,2),0)),($A146-DateToday)+15,IF(Pricetype4=1,1,0),0))),E146)))</f>
        <v> </v>
      </c>
      <c r="O146" s="318" t="str">
        <f aca="false">IF($A146="N/A"," ",IF(Pricetype4=2,MAX(F146,0),IF(OR(Pricetype4=1,Pricetype4=4),IF(F146=0,0,(EURO(F146,Strikeprice4,0,0,($AK146+IF(Smile=TRUE(),VLOOKUP(MAX(-5,Strikeprice4-F146),Volsmile,2),0)),($A146-DateToday)+15,IF(Pricetype4=1,1,0),0))),F146)))</f>
        <v> </v>
      </c>
      <c r="P146" s="318" t="str">
        <f aca="false">IF($A146="N/A"," ",IF(Pricetype4=2,MAX(G146,0),IF(OR(Pricetype4=1,Pricetype4=4),IF(G146=0,0,(EURO(G146,Strikeprice4,0,0,($AK146+IF(Smile=TRUE(),VLOOKUP(MAX(-5,Strikeprice4-G146),Volsmile,2),0)),($A146-DateToday)+15,IF(Pricetype4=1,1,0),0))),G146)))</f>
        <v> </v>
      </c>
      <c r="Q146" s="318" t="str">
        <f aca="false">IF($A146="N/A"," ",IF(Pricetype4=2,MAX(H146,0),IF(OR(Pricetype4=1,Pricetype4=4),IF(H146=0,0,(EURO(H146,Strikeprice4,0,0,($AK146+IF(Smile=TRUE(),VLOOKUP(MAX(-5,Strikeprice4-H146),Volsmile,2),0)),($A146-DateToday)+15,IF(Pricetype4=1,1,0),0))),H146)))</f>
        <v> </v>
      </c>
      <c r="R146" s="318" t="str">
        <f aca="false">IF($A146="N/A"," ",IF(Pricetype4=2,MAX(I146,0),IF(OR(Pricetype4=1,Pricetype4=4),IF(I146=0,0,(EURO(I146,Strikeprice4,0,0,($AK146+IF(Smile=TRUE(),VLOOKUP(MAX(-5,Strikeprice4-I146),Volsmile,2),0)),($A146-DateToday)+15,IF(Pricetype4=1,1,0),0))),I146)))</f>
        <v> </v>
      </c>
      <c r="S146" s="318" t="str">
        <f aca="false">IF($A146="N/A"," ",IF(Pricetype4=2,MAX(J146,0),IF(OR(Pricetype4=1,Pricetype4=4),IF(J146=0,0,(EURO(J146,Strikeprice4,0,0,($AK146+IF(Smile=TRUE(),VLOOKUP(MAX(-5,Strikeprice4-J146),Volsmile,2),0)),($A146-DateToday)+15,IF(Pricetype4=1,1,0),0))),J146)))</f>
        <v> </v>
      </c>
      <c r="T146" s="318" t="str">
        <f aca="false">IF($A146="N/A"," ",IF(Pricetype4=2,MAX(K146,0),IF(OR(Pricetype4=1,Pricetype4=4),IF(K146=0,0,(EURO(K146,Strikeprice4,0,0,($AK146+IF(Smile=TRUE(),VLOOKUP(MAX(-5,Strikeprice4-K146),Volsmile,2),0)),($A146-DateToday)+15,IF(Pricetype4=1,1,0),0))),K146)))</f>
        <v> </v>
      </c>
      <c r="U146" s="319" t="str">
        <f aca="false">IF($A146="N/A"," ",Volume4*$AM146)</f>
        <v> </v>
      </c>
      <c r="V146" s="320" t="str">
        <f aca="false">IF($A146="N/A"," ",$U146*(8*($BQ146))*L146)</f>
        <v> </v>
      </c>
      <c r="W146" s="320" t="str">
        <f aca="false">IF($A146="N/A"," ",$U146*(8*($BQ146))*M146)</f>
        <v> </v>
      </c>
      <c r="X146" s="320" t="str">
        <f aca="false">IF($A146="N/A"," ",$U146*(8*($BQ146))*N146)</f>
        <v> </v>
      </c>
      <c r="Y146" s="320" t="str">
        <f aca="false">IF($A146="N/A"," ",$U146*(8*($BR146))*O146)</f>
        <v> </v>
      </c>
      <c r="Z146" s="320" t="str">
        <f aca="false">IF($A146="N/A"," ",$U146*(8*($BR146))*P146)</f>
        <v> </v>
      </c>
      <c r="AA146" s="320" t="str">
        <f aca="false">IF($A146="N/A"," ",$U146*(8*($BR146))*Q146)</f>
        <v> </v>
      </c>
      <c r="AB146" s="320" t="str">
        <f aca="false">IF($A146="N/A"," ",$U146*(8*($BS146))*R146)</f>
        <v> </v>
      </c>
      <c r="AC146" s="320" t="str">
        <f aca="false">IF($A146="N/A"," ",$U146*(8*($BS146))*S146)</f>
        <v> </v>
      </c>
      <c r="AD146" s="320" t="str">
        <f aca="false">IF($A146="N/A"," ",$U146*(8*($BS146))*T146)</f>
        <v> </v>
      </c>
      <c r="AE146" s="320" t="str">
        <f aca="false">IF($A146="N/A"," ",SUM(V146:AD146))</f>
        <v> </v>
      </c>
      <c r="AF146" s="321" t="str">
        <f aca="false">IF(A146="N/A"," ",(VLOOKUP(A146,PowerVolTable,(IF(VolBMO4=2,7,IF(VolBMO4=1,6,8))),FALSE())))</f>
        <v> </v>
      </c>
      <c r="AG146" s="321" t="str">
        <f aca="false">IF(A146="N/A"," ",(VLOOKUP(A146,IntraPowerVol,(IF(VolBMO4=2,3,IF(VolBMO4=1,2,4))),FALSE())*VLOOKUP(MONTH($A146),Volscale,2)))</f>
        <v> </v>
      </c>
      <c r="AH146" s="321" t="str">
        <f aca="false">IF($A146="N/A"," ",IF(VolType4=1,AG146,AF146))</f>
        <v> </v>
      </c>
      <c r="AI146" s="321" t="str">
        <f aca="false">IF($A146="N/A"," ",(VLOOKUP($A146,OffPwrVolTable,(IF(VolBMO4=2,7,IF(VolBMO4=1,6,8))),FALSE())))</f>
        <v> </v>
      </c>
      <c r="AJ146" s="321" t="str">
        <f aca="false">IF($A146="N/A"," ",(VLOOKUP($A146,OffPwrVolTable,(IF(VolBMO4=2,3,IF(VolBMO4=1,2,4))),FALSE())*VLOOKUP(MONTH($A146),Volscale,2)))</f>
        <v> </v>
      </c>
      <c r="AK146" s="321" t="str">
        <f aca="false">IF($A146="N/A"," ",IF(VolType4=1,AJ146,AI146))</f>
        <v> </v>
      </c>
      <c r="AL146" s="321" t="str">
        <f aca="false">IF($A146="N/A"," ",IF(PV=1,0,'Pricing Inputs4'!R179))</f>
        <v> </v>
      </c>
      <c r="AM146" s="323" t="str">
        <f aca="false">IF($A146="N/A"," ",(1+AL146/2)^(-2*((EOMONTH(A146,0)+20)-DateToday)/365.25))</f>
        <v> </v>
      </c>
      <c r="BQ146" s="0" t="str">
        <f aca="false">IF($A146="N/A"," ",(VLOOKUP($A146,NumberofDaysTable,2)))</f>
        <v> </v>
      </c>
      <c r="BR146" s="0" t="str">
        <f aca="false">IF($A146="N/A"," ",(VLOOKUP($A146,NumberofDaysTable,3)))</f>
        <v> </v>
      </c>
      <c r="BS146" s="0" t="str">
        <f aca="false">IF($A146="N/A"," ",(VLOOKUP($A146,NumberofDaysTable,4)))</f>
        <v> </v>
      </c>
    </row>
    <row r="147" customFormat="false" ht="12.75" hidden="false" customHeight="false" outlineLevel="0" collapsed="false">
      <c r="A147" s="315" t="str">
        <f aca="false">IF(A146="N/A","N/A",IF(EDATE(A146,1)&gt;Inputs!$R$5,"N/A",EDATE(A146,1)))</f>
        <v>N/A</v>
      </c>
      <c r="B147" s="316" t="str">
        <f aca="false">IF(A147="N/A"," ",YEAR(A147))</f>
        <v> </v>
      </c>
      <c r="C147" s="317" t="str">
        <f aca="false">IF($A147="N/A"," ",IF(Dayrun4=10,0,IF(Scaler4=1,(VLOOKUP(A147,ScaledPrice4,4)),(VLOOKUP(A147,ScaledPrice4,2)))))</f>
        <v> </v>
      </c>
      <c r="D147" s="317" t="str">
        <f aca="false">IF(A147="N/A"," ",IF(Dayrun4&gt;=7,0,IF(Scaler4=2,VLOOKUP(A147,ScaledPrice4,2),(VLOOKUP(A147,ScaledPrice4,2))*(2-(VLOOKUP(A147,ScaledPrice4,3))))))</f>
        <v> </v>
      </c>
      <c r="E147" s="317" t="str">
        <f aca="false">IF($A147="N/A"," ",IF(AND(Dayrun4&gt;=4,Dayrun4&lt;=9),0,VLOOKUP($A147,ScaledPrice4,9)))</f>
        <v> </v>
      </c>
      <c r="F147" s="317" t="str">
        <f aca="false">IF(A147="N/A"," ",IF(OR(Dayrun4=2,Dayrun4=3,Dayrun4=5,Dayrun4=6,Dayrun4=8,Dayrun4=9),VLOOKUP(A147,ScaledPrice4,IF(Scaler4=1,6,5)),0))</f>
        <v> </v>
      </c>
      <c r="G147" s="317" t="str">
        <f aca="false">IF(A147="N/A"," ",IF(OR(Dayrun4=2,Dayrun4=3,Dayrun4=5,Dayrun4=6),IF(Scaler4=2,F147,(VLOOKUP(A147,ScaledPrice4,5))*(2-(VLOOKUP(A147,ScaledPrice4,3)))),0))</f>
        <v> </v>
      </c>
      <c r="H147" s="317" t="str">
        <f aca="false">IF($A147="N/A"," ",IF(OR(Dayrun4=2,Dayrun4=3,Dayrun4=10),VLOOKUP($A147,ScaledPrice4,9),0))</f>
        <v> </v>
      </c>
      <c r="I147" s="317" t="str">
        <f aca="false">IF(A147="N/A"," ",IF(OR(Dayrun4=3,Dayrun4=6,Dayrun4=9),(VLOOKUP(A147,ScaledPrice4,IF(Scaler4=2,7,8))),0))</f>
        <v> </v>
      </c>
      <c r="J147" s="317" t="str">
        <f aca="false">IF(A147="N/A"," ",IF(OR(Dayrun4=3,Dayrun4=6),IF(Scaler4=2,I147,(VLOOKUP(A147,ScaledPrice4,7))*(2-(VLOOKUP(A147,ScaledPrice4,3)))),0))</f>
        <v> </v>
      </c>
      <c r="K147" s="317" t="str">
        <f aca="false">IF($A147="N/A"," ",IF(OR(Dayrun4=3,Dayrun4=10),VLOOKUP($A147,ScaledPrice4,9),0))</f>
        <v> </v>
      </c>
      <c r="L147" s="318" t="str">
        <f aca="false">IF($A147="N/A"," ",IF(Pricetype4=2,MAX(C147,0),IF(OR(Pricetype4=1,Pricetype4=4),IF(C147=0,0,(EURO(C147,Strikeprice4,0,0,($AH147+IF(Smile=TRUE(),VLOOKUP(MAX(-5,Strikeprice4-C147),Volsmile,2),0)),($A147-DateToday)+15,IF(Pricetype4=1,1,0),0))),C147)))</f>
        <v> </v>
      </c>
      <c r="M147" s="318" t="str">
        <f aca="false">IF($A147="N/A"," ",IF(Pricetype4=2,MAX(D147,0),IF(OR(Pricetype4=1,Pricetype4=4),IF(D147=0,0,(EURO(D147,Strikeprice4,0,0,($AH147+IF(Smile=TRUE(),VLOOKUP(MAX(-5,Strikeprice4-D147),Volsmile,2),0)),($A147-DateToday)+15,IF(Pricetype4=1,1,0),0))),D147)))</f>
        <v> </v>
      </c>
      <c r="N147" s="318" t="str">
        <f aca="false">IF($A147="N/A"," ",IF(Pricetype4=2,MAX(E147,0),IF(OR(Pricetype4=1,Pricetype4=4),IF(E147=0,0,(EURO(E147,Strikeprice4,0,0,($AK147+IF(Smile=TRUE(),VLOOKUP(MAX(-5,Strikeprice4-E147),Volsmile,2),0)),($A147-DateToday)+15,IF(Pricetype4=1,1,0),0))),E147)))</f>
        <v> </v>
      </c>
      <c r="O147" s="318" t="str">
        <f aca="false">IF($A147="N/A"," ",IF(Pricetype4=2,MAX(F147,0),IF(OR(Pricetype4=1,Pricetype4=4),IF(F147=0,0,(EURO(F147,Strikeprice4,0,0,($AK147+IF(Smile=TRUE(),VLOOKUP(MAX(-5,Strikeprice4-F147),Volsmile,2),0)),($A147-DateToday)+15,IF(Pricetype4=1,1,0),0))),F147)))</f>
        <v> </v>
      </c>
      <c r="P147" s="318" t="str">
        <f aca="false">IF($A147="N/A"," ",IF(Pricetype4=2,MAX(G147,0),IF(OR(Pricetype4=1,Pricetype4=4),IF(G147=0,0,(EURO(G147,Strikeprice4,0,0,($AK147+IF(Smile=TRUE(),VLOOKUP(MAX(-5,Strikeprice4-G147),Volsmile,2),0)),($A147-DateToday)+15,IF(Pricetype4=1,1,0),0))),G147)))</f>
        <v> </v>
      </c>
      <c r="Q147" s="318" t="str">
        <f aca="false">IF($A147="N/A"," ",IF(Pricetype4=2,MAX(H147,0),IF(OR(Pricetype4=1,Pricetype4=4),IF(H147=0,0,(EURO(H147,Strikeprice4,0,0,($AK147+IF(Smile=TRUE(),VLOOKUP(MAX(-5,Strikeprice4-H147),Volsmile,2),0)),($A147-DateToday)+15,IF(Pricetype4=1,1,0),0))),H147)))</f>
        <v> </v>
      </c>
      <c r="R147" s="318" t="str">
        <f aca="false">IF($A147="N/A"," ",IF(Pricetype4=2,MAX(I147,0),IF(OR(Pricetype4=1,Pricetype4=4),IF(I147=0,0,(EURO(I147,Strikeprice4,0,0,($AK147+IF(Smile=TRUE(),VLOOKUP(MAX(-5,Strikeprice4-I147),Volsmile,2),0)),($A147-DateToday)+15,IF(Pricetype4=1,1,0),0))),I147)))</f>
        <v> </v>
      </c>
      <c r="S147" s="318" t="str">
        <f aca="false">IF($A147="N/A"," ",IF(Pricetype4=2,MAX(J147,0),IF(OR(Pricetype4=1,Pricetype4=4),IF(J147=0,0,(EURO(J147,Strikeprice4,0,0,($AK147+IF(Smile=TRUE(),VLOOKUP(MAX(-5,Strikeprice4-J147),Volsmile,2),0)),($A147-DateToday)+15,IF(Pricetype4=1,1,0),0))),J147)))</f>
        <v> </v>
      </c>
      <c r="T147" s="318" t="str">
        <f aca="false">IF($A147="N/A"," ",IF(Pricetype4=2,MAX(K147,0),IF(OR(Pricetype4=1,Pricetype4=4),IF(K147=0,0,(EURO(K147,Strikeprice4,0,0,($AK147+IF(Smile=TRUE(),VLOOKUP(MAX(-5,Strikeprice4-K147),Volsmile,2),0)),($A147-DateToday)+15,IF(Pricetype4=1,1,0),0))),K147)))</f>
        <v> </v>
      </c>
      <c r="U147" s="319" t="str">
        <f aca="false">IF($A147="N/A"," ",Volume4*$AM147)</f>
        <v> </v>
      </c>
      <c r="V147" s="320" t="str">
        <f aca="false">IF($A147="N/A"," ",$U147*(8*($BQ147))*L147)</f>
        <v> </v>
      </c>
      <c r="W147" s="320" t="str">
        <f aca="false">IF($A147="N/A"," ",$U147*(8*($BQ147))*M147)</f>
        <v> </v>
      </c>
      <c r="X147" s="320" t="str">
        <f aca="false">IF($A147="N/A"," ",$U147*(8*($BQ147))*N147)</f>
        <v> </v>
      </c>
      <c r="Y147" s="320" t="str">
        <f aca="false">IF($A147="N/A"," ",$U147*(8*($BR147))*O147)</f>
        <v> </v>
      </c>
      <c r="Z147" s="320" t="str">
        <f aca="false">IF($A147="N/A"," ",$U147*(8*($BR147))*P147)</f>
        <v> </v>
      </c>
      <c r="AA147" s="320" t="str">
        <f aca="false">IF($A147="N/A"," ",$U147*(8*($BR147))*Q147)</f>
        <v> </v>
      </c>
      <c r="AB147" s="320" t="str">
        <f aca="false">IF($A147="N/A"," ",$U147*(8*($BS147))*R147)</f>
        <v> </v>
      </c>
      <c r="AC147" s="320" t="str">
        <f aca="false">IF($A147="N/A"," ",$U147*(8*($BS147))*S147)</f>
        <v> </v>
      </c>
      <c r="AD147" s="320" t="str">
        <f aca="false">IF($A147="N/A"," ",$U147*(8*($BS147))*T147)</f>
        <v> </v>
      </c>
      <c r="AE147" s="320" t="str">
        <f aca="false">IF($A147="N/A"," ",SUM(V147:AD147))</f>
        <v> </v>
      </c>
      <c r="AF147" s="321" t="str">
        <f aca="false">IF(A147="N/A"," ",(VLOOKUP(A147,PowerVolTable,(IF(VolBMO4=2,7,IF(VolBMO4=1,6,8))),FALSE())))</f>
        <v> </v>
      </c>
      <c r="AG147" s="321" t="str">
        <f aca="false">IF(A147="N/A"," ",(VLOOKUP(A147,IntraPowerVol,(IF(VolBMO4=2,3,IF(VolBMO4=1,2,4))),FALSE())*VLOOKUP(MONTH($A147),Volscale,2)))</f>
        <v> </v>
      </c>
      <c r="AH147" s="321" t="str">
        <f aca="false">IF($A147="N/A"," ",IF(VolType4=1,AG147,AF147))</f>
        <v> </v>
      </c>
      <c r="AI147" s="321" t="str">
        <f aca="false">IF($A147="N/A"," ",(VLOOKUP($A147,OffPwrVolTable,(IF(VolBMO4=2,7,IF(VolBMO4=1,6,8))),FALSE())))</f>
        <v> </v>
      </c>
      <c r="AJ147" s="321" t="str">
        <f aca="false">IF($A147="N/A"," ",(VLOOKUP($A147,OffPwrVolTable,(IF(VolBMO4=2,3,IF(VolBMO4=1,2,4))),FALSE())*VLOOKUP(MONTH($A147),Volscale,2)))</f>
        <v> </v>
      </c>
      <c r="AK147" s="321" t="str">
        <f aca="false">IF($A147="N/A"," ",IF(VolType4=1,AJ147,AI147))</f>
        <v> </v>
      </c>
      <c r="AL147" s="321" t="str">
        <f aca="false">IF($A147="N/A"," ",IF(PV=1,0,'Pricing Inputs4'!R180))</f>
        <v> </v>
      </c>
      <c r="AM147" s="323" t="str">
        <f aca="false">IF($A147="N/A"," ",(1+AL147/2)^(-2*((EOMONTH(A147,0)+20)-DateToday)/365.25))</f>
        <v> </v>
      </c>
      <c r="BQ147" s="0" t="str">
        <f aca="false">IF($A147="N/A"," ",(VLOOKUP($A147,NumberofDaysTable,2)))</f>
        <v> </v>
      </c>
      <c r="BR147" s="0" t="str">
        <f aca="false">IF($A147="N/A"," ",(VLOOKUP($A147,NumberofDaysTable,3)))</f>
        <v> </v>
      </c>
      <c r="BS147" s="0" t="str">
        <f aca="false">IF($A147="N/A"," ",(VLOOKUP($A147,NumberofDaysTable,4)))</f>
        <v> </v>
      </c>
    </row>
    <row r="148" customFormat="false" ht="12.75" hidden="false" customHeight="false" outlineLevel="0" collapsed="false">
      <c r="A148" s="315" t="str">
        <f aca="false">IF(A147="N/A","N/A",IF(EDATE(A147,1)&gt;Inputs!$R$5,"N/A",EDATE(A147,1)))</f>
        <v>N/A</v>
      </c>
      <c r="B148" s="316" t="str">
        <f aca="false">IF(A148="N/A"," ",YEAR(A148))</f>
        <v> </v>
      </c>
      <c r="C148" s="317" t="str">
        <f aca="false">IF($A148="N/A"," ",IF(Dayrun4=10,0,IF(Scaler4=1,(VLOOKUP(A148,ScaledPrice4,4)),(VLOOKUP(A148,ScaledPrice4,2)))))</f>
        <v> </v>
      </c>
      <c r="D148" s="317" t="str">
        <f aca="false">IF(A148="N/A"," ",IF(Dayrun4&gt;=7,0,IF(Scaler4=2,VLOOKUP(A148,ScaledPrice4,2),(VLOOKUP(A148,ScaledPrice4,2))*(2-(VLOOKUP(A148,ScaledPrice4,3))))))</f>
        <v> </v>
      </c>
      <c r="E148" s="317" t="str">
        <f aca="false">IF($A148="N/A"," ",IF(AND(Dayrun4&gt;=4,Dayrun4&lt;=9),0,VLOOKUP($A148,ScaledPrice4,9)))</f>
        <v> </v>
      </c>
      <c r="F148" s="317" t="str">
        <f aca="false">IF(A148="N/A"," ",IF(OR(Dayrun4=2,Dayrun4=3,Dayrun4=5,Dayrun4=6,Dayrun4=8,Dayrun4=9),VLOOKUP(A148,ScaledPrice4,IF(Scaler4=1,6,5)),0))</f>
        <v> </v>
      </c>
      <c r="G148" s="317" t="str">
        <f aca="false">IF(A148="N/A"," ",IF(OR(Dayrun4=2,Dayrun4=3,Dayrun4=5,Dayrun4=6),IF(Scaler4=2,F148,(VLOOKUP(A148,ScaledPrice4,5))*(2-(VLOOKUP(A148,ScaledPrice4,3)))),0))</f>
        <v> </v>
      </c>
      <c r="H148" s="317" t="str">
        <f aca="false">IF($A148="N/A"," ",IF(OR(Dayrun4=2,Dayrun4=3,Dayrun4=10),VLOOKUP($A148,ScaledPrice4,9),0))</f>
        <v> </v>
      </c>
      <c r="I148" s="317" t="str">
        <f aca="false">IF(A148="N/A"," ",IF(OR(Dayrun4=3,Dayrun4=6,Dayrun4=9),(VLOOKUP(A148,ScaledPrice4,IF(Scaler4=2,7,8))),0))</f>
        <v> </v>
      </c>
      <c r="J148" s="317" t="str">
        <f aca="false">IF(A148="N/A"," ",IF(OR(Dayrun4=3,Dayrun4=6),IF(Scaler4=2,I148,(VLOOKUP(A148,ScaledPrice4,7))*(2-(VLOOKUP(A148,ScaledPrice4,3)))),0))</f>
        <v> </v>
      </c>
      <c r="K148" s="317" t="str">
        <f aca="false">IF($A148="N/A"," ",IF(OR(Dayrun4=3,Dayrun4=10),VLOOKUP($A148,ScaledPrice4,9),0))</f>
        <v> </v>
      </c>
      <c r="L148" s="318" t="str">
        <f aca="false">IF($A148="N/A"," ",IF(Pricetype4=2,MAX(C148,0),IF(OR(Pricetype4=1,Pricetype4=4),IF(C148=0,0,(EURO(C148,Strikeprice4,0,0,($AH148+IF(Smile=TRUE(),VLOOKUP(MAX(-5,Strikeprice4-C148),Volsmile,2),0)),($A148-DateToday)+15,IF(Pricetype4=1,1,0),0))),C148)))</f>
        <v> </v>
      </c>
      <c r="M148" s="318" t="str">
        <f aca="false">IF($A148="N/A"," ",IF(Pricetype4=2,MAX(D148,0),IF(OR(Pricetype4=1,Pricetype4=4),IF(D148=0,0,(EURO(D148,Strikeprice4,0,0,($AH148+IF(Smile=TRUE(),VLOOKUP(MAX(-5,Strikeprice4-D148),Volsmile,2),0)),($A148-DateToday)+15,IF(Pricetype4=1,1,0),0))),D148)))</f>
        <v> </v>
      </c>
      <c r="N148" s="318" t="str">
        <f aca="false">IF($A148="N/A"," ",IF(Pricetype4=2,MAX(E148,0),IF(OR(Pricetype4=1,Pricetype4=4),IF(E148=0,0,(EURO(E148,Strikeprice4,0,0,($AK148+IF(Smile=TRUE(),VLOOKUP(MAX(-5,Strikeprice4-E148),Volsmile,2),0)),($A148-DateToday)+15,IF(Pricetype4=1,1,0),0))),E148)))</f>
        <v> </v>
      </c>
      <c r="O148" s="318" t="str">
        <f aca="false">IF($A148="N/A"," ",IF(Pricetype4=2,MAX(F148,0),IF(OR(Pricetype4=1,Pricetype4=4),IF(F148=0,0,(EURO(F148,Strikeprice4,0,0,($AK148+IF(Smile=TRUE(),VLOOKUP(MAX(-5,Strikeprice4-F148),Volsmile,2),0)),($A148-DateToday)+15,IF(Pricetype4=1,1,0),0))),F148)))</f>
        <v> </v>
      </c>
      <c r="P148" s="318" t="str">
        <f aca="false">IF($A148="N/A"," ",IF(Pricetype4=2,MAX(G148,0),IF(OR(Pricetype4=1,Pricetype4=4),IF(G148=0,0,(EURO(G148,Strikeprice4,0,0,($AK148+IF(Smile=TRUE(),VLOOKUP(MAX(-5,Strikeprice4-G148),Volsmile,2),0)),($A148-DateToday)+15,IF(Pricetype4=1,1,0),0))),G148)))</f>
        <v> </v>
      </c>
      <c r="Q148" s="318" t="str">
        <f aca="false">IF($A148="N/A"," ",IF(Pricetype4=2,MAX(H148,0),IF(OR(Pricetype4=1,Pricetype4=4),IF(H148=0,0,(EURO(H148,Strikeprice4,0,0,($AK148+IF(Smile=TRUE(),VLOOKUP(MAX(-5,Strikeprice4-H148),Volsmile,2),0)),($A148-DateToday)+15,IF(Pricetype4=1,1,0),0))),H148)))</f>
        <v> </v>
      </c>
      <c r="R148" s="318" t="str">
        <f aca="false">IF($A148="N/A"," ",IF(Pricetype4=2,MAX(I148,0),IF(OR(Pricetype4=1,Pricetype4=4),IF(I148=0,0,(EURO(I148,Strikeprice4,0,0,($AK148+IF(Smile=TRUE(),VLOOKUP(MAX(-5,Strikeprice4-I148),Volsmile,2),0)),($A148-DateToday)+15,IF(Pricetype4=1,1,0),0))),I148)))</f>
        <v> </v>
      </c>
      <c r="S148" s="318" t="str">
        <f aca="false">IF($A148="N/A"," ",IF(Pricetype4=2,MAX(J148,0),IF(OR(Pricetype4=1,Pricetype4=4),IF(J148=0,0,(EURO(J148,Strikeprice4,0,0,($AK148+IF(Smile=TRUE(),VLOOKUP(MAX(-5,Strikeprice4-J148),Volsmile,2),0)),($A148-DateToday)+15,IF(Pricetype4=1,1,0),0))),J148)))</f>
        <v> </v>
      </c>
      <c r="T148" s="318" t="str">
        <f aca="false">IF($A148="N/A"," ",IF(Pricetype4=2,MAX(K148,0),IF(OR(Pricetype4=1,Pricetype4=4),IF(K148=0,0,(EURO(K148,Strikeprice4,0,0,($AK148+IF(Smile=TRUE(),VLOOKUP(MAX(-5,Strikeprice4-K148),Volsmile,2),0)),($A148-DateToday)+15,IF(Pricetype4=1,1,0),0))),K148)))</f>
        <v> </v>
      </c>
      <c r="U148" s="319" t="str">
        <f aca="false">IF($A148="N/A"," ",Volume4*$AM148)</f>
        <v> </v>
      </c>
      <c r="V148" s="320" t="str">
        <f aca="false">IF($A148="N/A"," ",$U148*(8*($BQ148))*L148)</f>
        <v> </v>
      </c>
      <c r="W148" s="320" t="str">
        <f aca="false">IF($A148="N/A"," ",$U148*(8*($BQ148))*M148)</f>
        <v> </v>
      </c>
      <c r="X148" s="320" t="str">
        <f aca="false">IF($A148="N/A"," ",$U148*(8*($BQ148))*N148)</f>
        <v> </v>
      </c>
      <c r="Y148" s="320" t="str">
        <f aca="false">IF($A148="N/A"," ",$U148*(8*($BR148))*O148)</f>
        <v> </v>
      </c>
      <c r="Z148" s="320" t="str">
        <f aca="false">IF($A148="N/A"," ",$U148*(8*($BR148))*P148)</f>
        <v> </v>
      </c>
      <c r="AA148" s="320" t="str">
        <f aca="false">IF($A148="N/A"," ",$U148*(8*($BR148))*Q148)</f>
        <v> </v>
      </c>
      <c r="AB148" s="320" t="str">
        <f aca="false">IF($A148="N/A"," ",$U148*(8*($BS148))*R148)</f>
        <v> </v>
      </c>
      <c r="AC148" s="320" t="str">
        <f aca="false">IF($A148="N/A"," ",$U148*(8*($BS148))*S148)</f>
        <v> </v>
      </c>
      <c r="AD148" s="320" t="str">
        <f aca="false">IF($A148="N/A"," ",$U148*(8*($BS148))*T148)</f>
        <v> </v>
      </c>
      <c r="AE148" s="320" t="str">
        <f aca="false">IF($A148="N/A"," ",SUM(V148:AD148))</f>
        <v> </v>
      </c>
      <c r="AF148" s="321" t="str">
        <f aca="false">IF(A148="N/A"," ",(VLOOKUP(A148,PowerVolTable,(IF(VolBMO4=2,7,IF(VolBMO4=1,6,8))),FALSE())))</f>
        <v> </v>
      </c>
      <c r="AG148" s="321" t="str">
        <f aca="false">IF(A148="N/A"," ",(VLOOKUP(A148,IntraPowerVol,(IF(VolBMO4=2,3,IF(VolBMO4=1,2,4))),FALSE())*VLOOKUP(MONTH($A148),Volscale,2)))</f>
        <v> </v>
      </c>
      <c r="AH148" s="321" t="str">
        <f aca="false">IF($A148="N/A"," ",IF(VolType4=1,AG148,AF148))</f>
        <v> </v>
      </c>
      <c r="AI148" s="321" t="str">
        <f aca="false">IF($A148="N/A"," ",(VLOOKUP($A148,OffPwrVolTable,(IF(VolBMO4=2,7,IF(VolBMO4=1,6,8))),FALSE())))</f>
        <v> </v>
      </c>
      <c r="AJ148" s="321" t="str">
        <f aca="false">IF($A148="N/A"," ",(VLOOKUP($A148,OffPwrVolTable,(IF(VolBMO4=2,3,IF(VolBMO4=1,2,4))),FALSE())*VLOOKUP(MONTH($A148),Volscale,2)))</f>
        <v> </v>
      </c>
      <c r="AK148" s="321" t="str">
        <f aca="false">IF($A148="N/A"," ",IF(VolType4=1,AJ148,AI148))</f>
        <v> </v>
      </c>
      <c r="AL148" s="321" t="str">
        <f aca="false">IF($A148="N/A"," ",IF(PV=1,0,'Pricing Inputs4'!R181))</f>
        <v> </v>
      </c>
      <c r="AM148" s="323" t="str">
        <f aca="false">IF($A148="N/A"," ",(1+AL148/2)^(-2*((EOMONTH(A148,0)+20)-DateToday)/365.25))</f>
        <v> </v>
      </c>
      <c r="BQ148" s="0" t="str">
        <f aca="false">IF($A148="N/A"," ",(VLOOKUP($A148,NumberofDaysTable,2)))</f>
        <v> </v>
      </c>
      <c r="BR148" s="0" t="str">
        <f aca="false">IF($A148="N/A"," ",(VLOOKUP($A148,NumberofDaysTable,3)))</f>
        <v> </v>
      </c>
      <c r="BS148" s="0" t="str">
        <f aca="false">IF($A148="N/A"," ",(VLOOKUP($A148,NumberofDaysTable,4)))</f>
        <v> </v>
      </c>
    </row>
    <row r="149" customFormat="false" ht="12.75" hidden="false" customHeight="false" outlineLevel="0" collapsed="false">
      <c r="A149" s="315" t="str">
        <f aca="false">IF(A148="N/A","N/A",IF(EDATE(A148,1)&gt;Inputs!$R$5,"N/A",EDATE(A148,1)))</f>
        <v>N/A</v>
      </c>
      <c r="B149" s="316" t="str">
        <f aca="false">IF(A149="N/A"," ",YEAR(A149))</f>
        <v> </v>
      </c>
      <c r="C149" s="317" t="str">
        <f aca="false">IF($A149="N/A"," ",IF(Dayrun4=10,0,IF(Scaler4=1,(VLOOKUP(A149,ScaledPrice4,4)),(VLOOKUP(A149,ScaledPrice4,2)))))</f>
        <v> </v>
      </c>
      <c r="D149" s="317" t="str">
        <f aca="false">IF(A149="N/A"," ",IF(Dayrun4&gt;=7,0,IF(Scaler4=2,VLOOKUP(A149,ScaledPrice4,2),(VLOOKUP(A149,ScaledPrice4,2))*(2-(VLOOKUP(A149,ScaledPrice4,3))))))</f>
        <v> </v>
      </c>
      <c r="E149" s="317" t="str">
        <f aca="false">IF($A149="N/A"," ",IF(AND(Dayrun4&gt;=4,Dayrun4&lt;=9),0,VLOOKUP($A149,ScaledPrice4,9)))</f>
        <v> </v>
      </c>
      <c r="F149" s="317" t="str">
        <f aca="false">IF(A149="N/A"," ",IF(OR(Dayrun4=2,Dayrun4=3,Dayrun4=5,Dayrun4=6,Dayrun4=8,Dayrun4=9),VLOOKUP(A149,ScaledPrice4,IF(Scaler4=1,6,5)),0))</f>
        <v> </v>
      </c>
      <c r="G149" s="317" t="str">
        <f aca="false">IF(A149="N/A"," ",IF(OR(Dayrun4=2,Dayrun4=3,Dayrun4=5,Dayrun4=6),IF(Scaler4=2,F149,(VLOOKUP(A149,ScaledPrice4,5))*(2-(VLOOKUP(A149,ScaledPrice4,3)))),0))</f>
        <v> </v>
      </c>
      <c r="H149" s="317" t="str">
        <f aca="false">IF($A149="N/A"," ",IF(OR(Dayrun4=2,Dayrun4=3,Dayrun4=10),VLOOKUP($A149,ScaledPrice4,9),0))</f>
        <v> </v>
      </c>
      <c r="I149" s="317" t="str">
        <f aca="false">IF(A149="N/A"," ",IF(OR(Dayrun4=3,Dayrun4=6,Dayrun4=9),(VLOOKUP(A149,ScaledPrice4,IF(Scaler4=2,7,8))),0))</f>
        <v> </v>
      </c>
      <c r="J149" s="317" t="str">
        <f aca="false">IF(A149="N/A"," ",IF(OR(Dayrun4=3,Dayrun4=6),IF(Scaler4=2,I149,(VLOOKUP(A149,ScaledPrice4,7))*(2-(VLOOKUP(A149,ScaledPrice4,3)))),0))</f>
        <v> </v>
      </c>
      <c r="K149" s="317" t="str">
        <f aca="false">IF($A149="N/A"," ",IF(OR(Dayrun4=3,Dayrun4=10),VLOOKUP($A149,ScaledPrice4,9),0))</f>
        <v> </v>
      </c>
      <c r="L149" s="318" t="str">
        <f aca="false">IF($A149="N/A"," ",IF(Pricetype4=2,MAX(C149,0),IF(OR(Pricetype4=1,Pricetype4=4),IF(C149=0,0,(EURO(C149,Strikeprice4,0,0,($AH149+IF(Smile=TRUE(),VLOOKUP(MAX(-5,Strikeprice4-C149),Volsmile,2),0)),($A149-DateToday)+15,IF(Pricetype4=1,1,0),0))),C149)))</f>
        <v> </v>
      </c>
      <c r="M149" s="318" t="str">
        <f aca="false">IF($A149="N/A"," ",IF(Pricetype4=2,MAX(D149,0),IF(OR(Pricetype4=1,Pricetype4=4),IF(D149=0,0,(EURO(D149,Strikeprice4,0,0,($AH149+IF(Smile=TRUE(),VLOOKUP(MAX(-5,Strikeprice4-D149),Volsmile,2),0)),($A149-DateToday)+15,IF(Pricetype4=1,1,0),0))),D149)))</f>
        <v> </v>
      </c>
      <c r="N149" s="318" t="str">
        <f aca="false">IF($A149="N/A"," ",IF(Pricetype4=2,MAX(E149,0),IF(OR(Pricetype4=1,Pricetype4=4),IF(E149=0,0,(EURO(E149,Strikeprice4,0,0,($AK149+IF(Smile=TRUE(),VLOOKUP(MAX(-5,Strikeprice4-E149),Volsmile,2),0)),($A149-DateToday)+15,IF(Pricetype4=1,1,0),0))),E149)))</f>
        <v> </v>
      </c>
      <c r="O149" s="318" t="str">
        <f aca="false">IF($A149="N/A"," ",IF(Pricetype4=2,MAX(F149,0),IF(OR(Pricetype4=1,Pricetype4=4),IF(F149=0,0,(EURO(F149,Strikeprice4,0,0,($AK149+IF(Smile=TRUE(),VLOOKUP(MAX(-5,Strikeprice4-F149),Volsmile,2),0)),($A149-DateToday)+15,IF(Pricetype4=1,1,0),0))),F149)))</f>
        <v> </v>
      </c>
      <c r="P149" s="318" t="str">
        <f aca="false">IF($A149="N/A"," ",IF(Pricetype4=2,MAX(G149,0),IF(OR(Pricetype4=1,Pricetype4=4),IF(G149=0,0,(EURO(G149,Strikeprice4,0,0,($AK149+IF(Smile=TRUE(),VLOOKUP(MAX(-5,Strikeprice4-G149),Volsmile,2),0)),($A149-DateToday)+15,IF(Pricetype4=1,1,0),0))),G149)))</f>
        <v> </v>
      </c>
      <c r="Q149" s="318" t="str">
        <f aca="false">IF($A149="N/A"," ",IF(Pricetype4=2,MAX(H149,0),IF(OR(Pricetype4=1,Pricetype4=4),IF(H149=0,0,(EURO(H149,Strikeprice4,0,0,($AK149+IF(Smile=TRUE(),VLOOKUP(MAX(-5,Strikeprice4-H149),Volsmile,2),0)),($A149-DateToday)+15,IF(Pricetype4=1,1,0),0))),H149)))</f>
        <v> </v>
      </c>
      <c r="R149" s="318" t="str">
        <f aca="false">IF($A149="N/A"," ",IF(Pricetype4=2,MAX(I149,0),IF(OR(Pricetype4=1,Pricetype4=4),IF(I149=0,0,(EURO(I149,Strikeprice4,0,0,($AK149+IF(Smile=TRUE(),VLOOKUP(MAX(-5,Strikeprice4-I149),Volsmile,2),0)),($A149-DateToday)+15,IF(Pricetype4=1,1,0),0))),I149)))</f>
        <v> </v>
      </c>
      <c r="S149" s="318" t="str">
        <f aca="false">IF($A149="N/A"," ",IF(Pricetype4=2,MAX(J149,0),IF(OR(Pricetype4=1,Pricetype4=4),IF(J149=0,0,(EURO(J149,Strikeprice4,0,0,($AK149+IF(Smile=TRUE(),VLOOKUP(MAX(-5,Strikeprice4-J149),Volsmile,2),0)),($A149-DateToday)+15,IF(Pricetype4=1,1,0),0))),J149)))</f>
        <v> </v>
      </c>
      <c r="T149" s="318" t="str">
        <f aca="false">IF($A149="N/A"," ",IF(Pricetype4=2,MAX(K149,0),IF(OR(Pricetype4=1,Pricetype4=4),IF(K149=0,0,(EURO(K149,Strikeprice4,0,0,($AK149+IF(Smile=TRUE(),VLOOKUP(MAX(-5,Strikeprice4-K149),Volsmile,2),0)),($A149-DateToday)+15,IF(Pricetype4=1,1,0),0))),K149)))</f>
        <v> </v>
      </c>
      <c r="U149" s="319" t="str">
        <f aca="false">IF($A149="N/A"," ",Volume4*$AM149)</f>
        <v> </v>
      </c>
      <c r="V149" s="320" t="str">
        <f aca="false">IF($A149="N/A"," ",$U149*(8*($BQ149))*L149)</f>
        <v> </v>
      </c>
      <c r="W149" s="320" t="str">
        <f aca="false">IF($A149="N/A"," ",$U149*(8*($BQ149))*M149)</f>
        <v> </v>
      </c>
      <c r="X149" s="320" t="str">
        <f aca="false">IF($A149="N/A"," ",$U149*(8*($BQ149))*N149)</f>
        <v> </v>
      </c>
      <c r="Y149" s="320" t="str">
        <f aca="false">IF($A149="N/A"," ",$U149*(8*($BR149))*O149)</f>
        <v> </v>
      </c>
      <c r="Z149" s="320" t="str">
        <f aca="false">IF($A149="N/A"," ",$U149*(8*($BR149))*P149)</f>
        <v> </v>
      </c>
      <c r="AA149" s="320" t="str">
        <f aca="false">IF($A149="N/A"," ",$U149*(8*($BR149))*Q149)</f>
        <v> </v>
      </c>
      <c r="AB149" s="320" t="str">
        <f aca="false">IF($A149="N/A"," ",$U149*(8*($BS149))*R149)</f>
        <v> </v>
      </c>
      <c r="AC149" s="320" t="str">
        <f aca="false">IF($A149="N/A"," ",$U149*(8*($BS149))*S149)</f>
        <v> </v>
      </c>
      <c r="AD149" s="320" t="str">
        <f aca="false">IF($A149="N/A"," ",$U149*(8*($BS149))*T149)</f>
        <v> </v>
      </c>
      <c r="AE149" s="320" t="str">
        <f aca="false">IF($A149="N/A"," ",SUM(V149:AD149))</f>
        <v> </v>
      </c>
      <c r="AF149" s="321" t="str">
        <f aca="false">IF(A149="N/A"," ",(VLOOKUP(A149,PowerVolTable,(IF(VolBMO4=2,7,IF(VolBMO4=1,6,8))),FALSE())))</f>
        <v> </v>
      </c>
      <c r="AG149" s="321" t="str">
        <f aca="false">IF(A149="N/A"," ",(VLOOKUP(A149,IntraPowerVol,(IF(VolBMO4=2,3,IF(VolBMO4=1,2,4))),FALSE())*VLOOKUP(MONTH($A149),Volscale,2)))</f>
        <v> </v>
      </c>
      <c r="AH149" s="321" t="str">
        <f aca="false">IF($A149="N/A"," ",IF(VolType4=1,AG149,AF149))</f>
        <v> </v>
      </c>
      <c r="AI149" s="321" t="str">
        <f aca="false">IF($A149="N/A"," ",(VLOOKUP($A149,OffPwrVolTable,(IF(VolBMO4=2,7,IF(VolBMO4=1,6,8))),FALSE())))</f>
        <v> </v>
      </c>
      <c r="AJ149" s="321" t="str">
        <f aca="false">IF($A149="N/A"," ",(VLOOKUP($A149,OffPwrVolTable,(IF(VolBMO4=2,3,IF(VolBMO4=1,2,4))),FALSE())*VLOOKUP(MONTH($A149),Volscale,2)))</f>
        <v> </v>
      </c>
      <c r="AK149" s="321" t="str">
        <f aca="false">IF($A149="N/A"," ",IF(VolType4=1,AJ149,AI149))</f>
        <v> </v>
      </c>
      <c r="AL149" s="321" t="str">
        <f aca="false">IF($A149="N/A"," ",IF(PV=1,0,'Pricing Inputs4'!R182))</f>
        <v> </v>
      </c>
      <c r="AM149" s="323" t="str">
        <f aca="false">IF($A149="N/A"," ",(1+AL149/2)^(-2*((EOMONTH(A149,0)+20)-DateToday)/365.25))</f>
        <v> </v>
      </c>
      <c r="BQ149" s="0" t="str">
        <f aca="false">IF($A149="N/A"," ",(VLOOKUP($A149,NumberofDaysTable,2)))</f>
        <v> </v>
      </c>
      <c r="BR149" s="0" t="str">
        <f aca="false">IF($A149="N/A"," ",(VLOOKUP($A149,NumberofDaysTable,3)))</f>
        <v> </v>
      </c>
      <c r="BS149" s="0" t="str">
        <f aca="false">IF($A149="N/A"," ",(VLOOKUP($A149,NumberofDaysTable,4)))</f>
        <v> </v>
      </c>
    </row>
    <row r="150" customFormat="false" ht="12.75" hidden="false" customHeight="false" outlineLevel="0" collapsed="false">
      <c r="A150" s="315" t="str">
        <f aca="false">IF(A149="N/A","N/A",IF(EDATE(A149,1)&gt;Inputs!$R$5,"N/A",EDATE(A149,1)))</f>
        <v>N/A</v>
      </c>
      <c r="B150" s="316" t="str">
        <f aca="false">IF(A150="N/A"," ",YEAR(A150))</f>
        <v> </v>
      </c>
      <c r="C150" s="317" t="str">
        <f aca="false">IF($A150="N/A"," ",IF(Dayrun4=10,0,IF(Scaler4=1,(VLOOKUP(A150,ScaledPrice4,4)),(VLOOKUP(A150,ScaledPrice4,2)))))</f>
        <v> </v>
      </c>
      <c r="D150" s="317" t="str">
        <f aca="false">IF(A150="N/A"," ",IF(Dayrun4&gt;=7,0,IF(Scaler4=2,VLOOKUP(A150,ScaledPrice4,2),(VLOOKUP(A150,ScaledPrice4,2))*(2-(VLOOKUP(A150,ScaledPrice4,3))))))</f>
        <v> </v>
      </c>
      <c r="E150" s="317" t="str">
        <f aca="false">IF($A150="N/A"," ",IF(AND(Dayrun4&gt;=4,Dayrun4&lt;=9),0,VLOOKUP($A150,ScaledPrice4,9)))</f>
        <v> </v>
      </c>
      <c r="F150" s="317" t="str">
        <f aca="false">IF(A150="N/A"," ",IF(OR(Dayrun4=2,Dayrun4=3,Dayrun4=5,Dayrun4=6,Dayrun4=8,Dayrun4=9),VLOOKUP(A150,ScaledPrice4,IF(Scaler4=1,6,5)),0))</f>
        <v> </v>
      </c>
      <c r="G150" s="317" t="str">
        <f aca="false">IF(A150="N/A"," ",IF(OR(Dayrun4=2,Dayrun4=3,Dayrun4=5,Dayrun4=6),IF(Scaler4=2,F150,(VLOOKUP(A150,ScaledPrice4,5))*(2-(VLOOKUP(A150,ScaledPrice4,3)))),0))</f>
        <v> </v>
      </c>
      <c r="H150" s="317" t="str">
        <f aca="false">IF($A150="N/A"," ",IF(OR(Dayrun4=2,Dayrun4=3,Dayrun4=10),VLOOKUP($A150,ScaledPrice4,9),0))</f>
        <v> </v>
      </c>
      <c r="I150" s="317" t="str">
        <f aca="false">IF(A150="N/A"," ",IF(OR(Dayrun4=3,Dayrun4=6,Dayrun4=9),(VLOOKUP(A150,ScaledPrice4,IF(Scaler4=2,7,8))),0))</f>
        <v> </v>
      </c>
      <c r="J150" s="317" t="str">
        <f aca="false">IF(A150="N/A"," ",IF(OR(Dayrun4=3,Dayrun4=6),IF(Scaler4=2,I150,(VLOOKUP(A150,ScaledPrice4,7))*(2-(VLOOKUP(A150,ScaledPrice4,3)))),0))</f>
        <v> </v>
      </c>
      <c r="K150" s="317" t="str">
        <f aca="false">IF($A150="N/A"," ",IF(OR(Dayrun4=3,Dayrun4=10),VLOOKUP($A150,ScaledPrice4,9),0))</f>
        <v> </v>
      </c>
      <c r="L150" s="318" t="str">
        <f aca="false">IF($A150="N/A"," ",IF(Pricetype4=2,MAX(C150,0),IF(OR(Pricetype4=1,Pricetype4=4),IF(C150=0,0,(EURO(C150,Strikeprice4,0,0,($AH150+IF(Smile=TRUE(),VLOOKUP(MAX(-5,Strikeprice4-C150),Volsmile,2),0)),($A150-DateToday)+15,IF(Pricetype4=1,1,0),0))),C150)))</f>
        <v> </v>
      </c>
      <c r="M150" s="318" t="str">
        <f aca="false">IF($A150="N/A"," ",IF(Pricetype4=2,MAX(D150,0),IF(OR(Pricetype4=1,Pricetype4=4),IF(D150=0,0,(EURO(D150,Strikeprice4,0,0,($AH150+IF(Smile=TRUE(),VLOOKUP(MAX(-5,Strikeprice4-D150),Volsmile,2),0)),($A150-DateToday)+15,IF(Pricetype4=1,1,0),0))),D150)))</f>
        <v> </v>
      </c>
      <c r="N150" s="318" t="str">
        <f aca="false">IF($A150="N/A"," ",IF(Pricetype4=2,MAX(E150,0),IF(OR(Pricetype4=1,Pricetype4=4),IF(E150=0,0,(EURO(E150,Strikeprice4,0,0,($AK150+IF(Smile=TRUE(),VLOOKUP(MAX(-5,Strikeprice4-E150),Volsmile,2),0)),($A150-DateToday)+15,IF(Pricetype4=1,1,0),0))),E150)))</f>
        <v> </v>
      </c>
      <c r="O150" s="318" t="str">
        <f aca="false">IF($A150="N/A"," ",IF(Pricetype4=2,MAX(F150,0),IF(OR(Pricetype4=1,Pricetype4=4),IF(F150=0,0,(EURO(F150,Strikeprice4,0,0,($AK150+IF(Smile=TRUE(),VLOOKUP(MAX(-5,Strikeprice4-F150),Volsmile,2),0)),($A150-DateToday)+15,IF(Pricetype4=1,1,0),0))),F150)))</f>
        <v> </v>
      </c>
      <c r="P150" s="318" t="str">
        <f aca="false">IF($A150="N/A"," ",IF(Pricetype4=2,MAX(G150,0),IF(OR(Pricetype4=1,Pricetype4=4),IF(G150=0,0,(EURO(G150,Strikeprice4,0,0,($AK150+IF(Smile=TRUE(),VLOOKUP(MAX(-5,Strikeprice4-G150),Volsmile,2),0)),($A150-DateToday)+15,IF(Pricetype4=1,1,0),0))),G150)))</f>
        <v> </v>
      </c>
      <c r="Q150" s="318" t="str">
        <f aca="false">IF($A150="N/A"," ",IF(Pricetype4=2,MAX(H150,0),IF(OR(Pricetype4=1,Pricetype4=4),IF(H150=0,0,(EURO(H150,Strikeprice4,0,0,($AK150+IF(Smile=TRUE(),VLOOKUP(MAX(-5,Strikeprice4-H150),Volsmile,2),0)),($A150-DateToday)+15,IF(Pricetype4=1,1,0),0))),H150)))</f>
        <v> </v>
      </c>
      <c r="R150" s="318" t="str">
        <f aca="false">IF($A150="N/A"," ",IF(Pricetype4=2,MAX(I150,0),IF(OR(Pricetype4=1,Pricetype4=4),IF(I150=0,0,(EURO(I150,Strikeprice4,0,0,($AK150+IF(Smile=TRUE(),VLOOKUP(MAX(-5,Strikeprice4-I150),Volsmile,2),0)),($A150-DateToday)+15,IF(Pricetype4=1,1,0),0))),I150)))</f>
        <v> </v>
      </c>
      <c r="S150" s="318" t="str">
        <f aca="false">IF($A150="N/A"," ",IF(Pricetype4=2,MAX(J150,0),IF(OR(Pricetype4=1,Pricetype4=4),IF(J150=0,0,(EURO(J150,Strikeprice4,0,0,($AK150+IF(Smile=TRUE(),VLOOKUP(MAX(-5,Strikeprice4-J150),Volsmile,2),0)),($A150-DateToday)+15,IF(Pricetype4=1,1,0),0))),J150)))</f>
        <v> </v>
      </c>
      <c r="T150" s="318" t="str">
        <f aca="false">IF($A150="N/A"," ",IF(Pricetype4=2,MAX(K150,0),IF(OR(Pricetype4=1,Pricetype4=4),IF(K150=0,0,(EURO(K150,Strikeprice4,0,0,($AK150+IF(Smile=TRUE(),VLOOKUP(MAX(-5,Strikeprice4-K150),Volsmile,2),0)),($A150-DateToday)+15,IF(Pricetype4=1,1,0),0))),K150)))</f>
        <v> </v>
      </c>
      <c r="U150" s="319" t="str">
        <f aca="false">IF($A150="N/A"," ",Volume4*$AM150)</f>
        <v> </v>
      </c>
      <c r="V150" s="320" t="str">
        <f aca="false">IF($A150="N/A"," ",$U150*(8*($BQ150))*L150)</f>
        <v> </v>
      </c>
      <c r="W150" s="320" t="str">
        <f aca="false">IF($A150="N/A"," ",$U150*(8*($BQ150))*M150)</f>
        <v> </v>
      </c>
      <c r="X150" s="320" t="str">
        <f aca="false">IF($A150="N/A"," ",$U150*(8*($BQ150))*N150)</f>
        <v> </v>
      </c>
      <c r="Y150" s="320" t="str">
        <f aca="false">IF($A150="N/A"," ",$U150*(8*($BR150))*O150)</f>
        <v> </v>
      </c>
      <c r="Z150" s="320" t="str">
        <f aca="false">IF($A150="N/A"," ",$U150*(8*($BR150))*P150)</f>
        <v> </v>
      </c>
      <c r="AA150" s="320" t="str">
        <f aca="false">IF($A150="N/A"," ",$U150*(8*($BR150))*Q150)</f>
        <v> </v>
      </c>
      <c r="AB150" s="320" t="str">
        <f aca="false">IF($A150="N/A"," ",$U150*(8*($BS150))*R150)</f>
        <v> </v>
      </c>
      <c r="AC150" s="320" t="str">
        <f aca="false">IF($A150="N/A"," ",$U150*(8*($BS150))*S150)</f>
        <v> </v>
      </c>
      <c r="AD150" s="320" t="str">
        <f aca="false">IF($A150="N/A"," ",$U150*(8*($BS150))*T150)</f>
        <v> </v>
      </c>
      <c r="AE150" s="320" t="str">
        <f aca="false">IF($A150="N/A"," ",SUM(V150:AD150))</f>
        <v> </v>
      </c>
      <c r="AF150" s="321" t="str">
        <f aca="false">IF(A150="N/A"," ",(VLOOKUP(A150,PowerVolTable,(IF(VolBMO4=2,7,IF(VolBMO4=1,6,8))),FALSE())))</f>
        <v> </v>
      </c>
      <c r="AG150" s="321" t="str">
        <f aca="false">IF(A150="N/A"," ",(VLOOKUP(A150,IntraPowerVol,(IF(VolBMO4=2,3,IF(VolBMO4=1,2,4))),FALSE())*VLOOKUP(MONTH($A150),Volscale,2)))</f>
        <v> </v>
      </c>
      <c r="AH150" s="321" t="str">
        <f aca="false">IF($A150="N/A"," ",IF(VolType4=1,AG150,AF150))</f>
        <v> </v>
      </c>
      <c r="AI150" s="321" t="str">
        <f aca="false">IF($A150="N/A"," ",(VLOOKUP($A150,OffPwrVolTable,(IF(VolBMO4=2,7,IF(VolBMO4=1,6,8))),FALSE())))</f>
        <v> </v>
      </c>
      <c r="AJ150" s="321" t="str">
        <f aca="false">IF($A150="N/A"," ",(VLOOKUP($A150,OffPwrVolTable,(IF(VolBMO4=2,3,IF(VolBMO4=1,2,4))),FALSE())*VLOOKUP(MONTH($A150),Volscale,2)))</f>
        <v> </v>
      </c>
      <c r="AK150" s="321" t="str">
        <f aca="false">IF($A150="N/A"," ",IF(VolType4=1,AJ150,AI150))</f>
        <v> </v>
      </c>
      <c r="AL150" s="321" t="str">
        <f aca="false">IF($A150="N/A"," ",IF(PV=1,0,'Pricing Inputs4'!R183))</f>
        <v> </v>
      </c>
      <c r="AM150" s="323" t="str">
        <f aca="false">IF($A150="N/A"," ",(1+AL150/2)^(-2*((EOMONTH(A150,0)+20)-DateToday)/365.25))</f>
        <v> </v>
      </c>
      <c r="BQ150" s="0" t="str">
        <f aca="false">IF($A150="N/A"," ",(VLOOKUP($A150,NumberofDaysTable,2)))</f>
        <v> </v>
      </c>
      <c r="BR150" s="0" t="str">
        <f aca="false">IF($A150="N/A"," ",(VLOOKUP($A150,NumberofDaysTable,3)))</f>
        <v> </v>
      </c>
      <c r="BS150" s="0" t="str">
        <f aca="false">IF($A150="N/A"," ",(VLOOKUP($A150,NumberofDaysTable,4)))</f>
        <v> </v>
      </c>
    </row>
    <row r="151" customFormat="false" ht="12.75" hidden="false" customHeight="false" outlineLevel="0" collapsed="false">
      <c r="A151" s="315" t="str">
        <f aca="false">IF(A150="N/A","N/A",IF(EDATE(A150,1)&gt;Inputs!$R$5,"N/A",EDATE(A150,1)))</f>
        <v>N/A</v>
      </c>
      <c r="B151" s="316" t="str">
        <f aca="false">IF(A151="N/A"," ",YEAR(A151))</f>
        <v> </v>
      </c>
      <c r="C151" s="317" t="str">
        <f aca="false">IF($A151="N/A"," ",IF(Dayrun4=10,0,IF(Scaler4=1,(VLOOKUP(A151,ScaledPrice4,4)),(VLOOKUP(A151,ScaledPrice4,2)))))</f>
        <v> </v>
      </c>
      <c r="D151" s="317" t="str">
        <f aca="false">IF(A151="N/A"," ",IF(Dayrun4&gt;=7,0,IF(Scaler4=2,VLOOKUP(A151,ScaledPrice4,2),(VLOOKUP(A151,ScaledPrice4,2))*(2-(VLOOKUP(A151,ScaledPrice4,3))))))</f>
        <v> </v>
      </c>
      <c r="E151" s="317" t="str">
        <f aca="false">IF($A151="N/A"," ",IF(AND(Dayrun4&gt;=4,Dayrun4&lt;=9),0,VLOOKUP($A151,ScaledPrice4,9)))</f>
        <v> </v>
      </c>
      <c r="F151" s="317" t="str">
        <f aca="false">IF(A151="N/A"," ",IF(OR(Dayrun4=2,Dayrun4=3,Dayrun4=5,Dayrun4=6,Dayrun4=8,Dayrun4=9),VLOOKUP(A151,ScaledPrice4,IF(Scaler4=1,6,5)),0))</f>
        <v> </v>
      </c>
      <c r="G151" s="317" t="str">
        <f aca="false">IF(A151="N/A"," ",IF(OR(Dayrun4=2,Dayrun4=3,Dayrun4=5,Dayrun4=6),IF(Scaler4=2,F151,(VLOOKUP(A151,ScaledPrice4,5))*(2-(VLOOKUP(A151,ScaledPrice4,3)))),0))</f>
        <v> </v>
      </c>
      <c r="H151" s="317" t="str">
        <f aca="false">IF($A151="N/A"," ",IF(OR(Dayrun4=2,Dayrun4=3,Dayrun4=10),VLOOKUP($A151,ScaledPrice4,9),0))</f>
        <v> </v>
      </c>
      <c r="I151" s="317" t="str">
        <f aca="false">IF(A151="N/A"," ",IF(OR(Dayrun4=3,Dayrun4=6,Dayrun4=9),(VLOOKUP(A151,ScaledPrice4,IF(Scaler4=2,7,8))),0))</f>
        <v> </v>
      </c>
      <c r="J151" s="317" t="str">
        <f aca="false">IF(A151="N/A"," ",IF(OR(Dayrun4=3,Dayrun4=6),IF(Scaler4=2,I151,(VLOOKUP(A151,ScaledPrice4,7))*(2-(VLOOKUP(A151,ScaledPrice4,3)))),0))</f>
        <v> </v>
      </c>
      <c r="K151" s="317" t="str">
        <f aca="false">IF($A151="N/A"," ",IF(OR(Dayrun4=3,Dayrun4=10),VLOOKUP($A151,ScaledPrice4,9),0))</f>
        <v> </v>
      </c>
      <c r="L151" s="318" t="str">
        <f aca="false">IF($A151="N/A"," ",IF(Pricetype4=2,MAX(C151,0),IF(OR(Pricetype4=1,Pricetype4=4),IF(C151=0,0,(EURO(C151,Strikeprice4,0,0,($AH151+IF(Smile=TRUE(),VLOOKUP(MAX(-5,Strikeprice4-C151),Volsmile,2),0)),($A151-DateToday)+15,IF(Pricetype4=1,1,0),0))),C151)))</f>
        <v> </v>
      </c>
      <c r="M151" s="318" t="str">
        <f aca="false">IF($A151="N/A"," ",IF(Pricetype4=2,MAX(D151,0),IF(OR(Pricetype4=1,Pricetype4=4),IF(D151=0,0,(EURO(D151,Strikeprice4,0,0,($AH151+IF(Smile=TRUE(),VLOOKUP(MAX(-5,Strikeprice4-D151),Volsmile,2),0)),($A151-DateToday)+15,IF(Pricetype4=1,1,0),0))),D151)))</f>
        <v> </v>
      </c>
      <c r="N151" s="318" t="str">
        <f aca="false">IF($A151="N/A"," ",IF(Pricetype4=2,MAX(E151,0),IF(OR(Pricetype4=1,Pricetype4=4),IF(E151=0,0,(EURO(E151,Strikeprice4,0,0,($AK151+IF(Smile=TRUE(),VLOOKUP(MAX(-5,Strikeprice4-E151),Volsmile,2),0)),($A151-DateToday)+15,IF(Pricetype4=1,1,0),0))),E151)))</f>
        <v> </v>
      </c>
      <c r="O151" s="318" t="str">
        <f aca="false">IF($A151="N/A"," ",IF(Pricetype4=2,MAX(F151,0),IF(OR(Pricetype4=1,Pricetype4=4),IF(F151=0,0,(EURO(F151,Strikeprice4,0,0,($AK151+IF(Smile=TRUE(),VLOOKUP(MAX(-5,Strikeprice4-F151),Volsmile,2),0)),($A151-DateToday)+15,IF(Pricetype4=1,1,0),0))),F151)))</f>
        <v> </v>
      </c>
      <c r="P151" s="318" t="str">
        <f aca="false">IF($A151="N/A"," ",IF(Pricetype4=2,MAX(G151,0),IF(OR(Pricetype4=1,Pricetype4=4),IF(G151=0,0,(EURO(G151,Strikeprice4,0,0,($AK151+IF(Smile=TRUE(),VLOOKUP(MAX(-5,Strikeprice4-G151),Volsmile,2),0)),($A151-DateToday)+15,IF(Pricetype4=1,1,0),0))),G151)))</f>
        <v> </v>
      </c>
      <c r="Q151" s="318" t="str">
        <f aca="false">IF($A151="N/A"," ",IF(Pricetype4=2,MAX(H151,0),IF(OR(Pricetype4=1,Pricetype4=4),IF(H151=0,0,(EURO(H151,Strikeprice4,0,0,($AK151+IF(Smile=TRUE(),VLOOKUP(MAX(-5,Strikeprice4-H151),Volsmile,2),0)),($A151-DateToday)+15,IF(Pricetype4=1,1,0),0))),H151)))</f>
        <v> </v>
      </c>
      <c r="R151" s="318" t="str">
        <f aca="false">IF($A151="N/A"," ",IF(Pricetype4=2,MAX(I151,0),IF(OR(Pricetype4=1,Pricetype4=4),IF(I151=0,0,(EURO(I151,Strikeprice4,0,0,($AK151+IF(Smile=TRUE(),VLOOKUP(MAX(-5,Strikeprice4-I151),Volsmile,2),0)),($A151-DateToday)+15,IF(Pricetype4=1,1,0),0))),I151)))</f>
        <v> </v>
      </c>
      <c r="S151" s="318" t="str">
        <f aca="false">IF($A151="N/A"," ",IF(Pricetype4=2,MAX(J151,0),IF(OR(Pricetype4=1,Pricetype4=4),IF(J151=0,0,(EURO(J151,Strikeprice4,0,0,($AK151+IF(Smile=TRUE(),VLOOKUP(MAX(-5,Strikeprice4-J151),Volsmile,2),0)),($A151-DateToday)+15,IF(Pricetype4=1,1,0),0))),J151)))</f>
        <v> </v>
      </c>
      <c r="T151" s="318" t="str">
        <f aca="false">IF($A151="N/A"," ",IF(Pricetype4=2,MAX(K151,0),IF(OR(Pricetype4=1,Pricetype4=4),IF(K151=0,0,(EURO(K151,Strikeprice4,0,0,($AK151+IF(Smile=TRUE(),VLOOKUP(MAX(-5,Strikeprice4-K151),Volsmile,2),0)),($A151-DateToday)+15,IF(Pricetype4=1,1,0),0))),K151)))</f>
        <v> </v>
      </c>
      <c r="U151" s="319" t="str">
        <f aca="false">IF($A151="N/A"," ",Volume4*$AM151)</f>
        <v> </v>
      </c>
      <c r="V151" s="320" t="str">
        <f aca="false">IF($A151="N/A"," ",$U151*(8*($BQ151))*L151)</f>
        <v> </v>
      </c>
      <c r="W151" s="320" t="str">
        <f aca="false">IF($A151="N/A"," ",$U151*(8*($BQ151))*M151)</f>
        <v> </v>
      </c>
      <c r="X151" s="320" t="str">
        <f aca="false">IF($A151="N/A"," ",$U151*(8*($BQ151))*N151)</f>
        <v> </v>
      </c>
      <c r="Y151" s="320" t="str">
        <f aca="false">IF($A151="N/A"," ",$U151*(8*($BR151))*O151)</f>
        <v> </v>
      </c>
      <c r="Z151" s="320" t="str">
        <f aca="false">IF($A151="N/A"," ",$U151*(8*($BR151))*P151)</f>
        <v> </v>
      </c>
      <c r="AA151" s="320" t="str">
        <f aca="false">IF($A151="N/A"," ",$U151*(8*($BR151))*Q151)</f>
        <v> </v>
      </c>
      <c r="AB151" s="320" t="str">
        <f aca="false">IF($A151="N/A"," ",$U151*(8*($BS151))*R151)</f>
        <v> </v>
      </c>
      <c r="AC151" s="320" t="str">
        <f aca="false">IF($A151="N/A"," ",$U151*(8*($BS151))*S151)</f>
        <v> </v>
      </c>
      <c r="AD151" s="320" t="str">
        <f aca="false">IF($A151="N/A"," ",$U151*(8*($BS151))*T151)</f>
        <v> </v>
      </c>
      <c r="AE151" s="320" t="str">
        <f aca="false">IF($A151="N/A"," ",SUM(V151:AD151))</f>
        <v> </v>
      </c>
      <c r="AF151" s="321" t="str">
        <f aca="false">IF(A151="N/A"," ",(VLOOKUP(A151,PowerVolTable,(IF(VolBMO4=2,7,IF(VolBMO4=1,6,8))),FALSE())))</f>
        <v> </v>
      </c>
      <c r="AG151" s="321" t="str">
        <f aca="false">IF(A151="N/A"," ",(VLOOKUP(A151,IntraPowerVol,(IF(VolBMO4=2,3,IF(VolBMO4=1,2,4))),FALSE())*VLOOKUP(MONTH($A151),Volscale,2)))</f>
        <v> </v>
      </c>
      <c r="AH151" s="321" t="str">
        <f aca="false">IF($A151="N/A"," ",IF(VolType4=1,AG151,AF151))</f>
        <v> </v>
      </c>
      <c r="AI151" s="321" t="str">
        <f aca="false">IF($A151="N/A"," ",(VLOOKUP($A151,OffPwrVolTable,(IF(VolBMO4=2,7,IF(VolBMO4=1,6,8))),FALSE())))</f>
        <v> </v>
      </c>
      <c r="AJ151" s="321" t="str">
        <f aca="false">IF($A151="N/A"," ",(VLOOKUP($A151,OffPwrVolTable,(IF(VolBMO4=2,3,IF(VolBMO4=1,2,4))),FALSE())*VLOOKUP(MONTH($A151),Volscale,2)))</f>
        <v> </v>
      </c>
      <c r="AK151" s="321" t="str">
        <f aca="false">IF($A151="N/A"," ",IF(VolType4=1,AJ151,AI151))</f>
        <v> </v>
      </c>
      <c r="AL151" s="321" t="str">
        <f aca="false">IF($A151="N/A"," ",IF(PV=1,0,'Pricing Inputs4'!R184))</f>
        <v> </v>
      </c>
      <c r="AM151" s="323" t="str">
        <f aca="false">IF($A151="N/A"," ",(1+AL151/2)^(-2*((EOMONTH(A151,0)+20)-DateToday)/365.25))</f>
        <v> </v>
      </c>
      <c r="BQ151" s="0" t="str">
        <f aca="false">IF($A151="N/A"," ",(VLOOKUP($A151,NumberofDaysTable,2)))</f>
        <v> </v>
      </c>
      <c r="BR151" s="0" t="str">
        <f aca="false">IF($A151="N/A"," ",(VLOOKUP($A151,NumberofDaysTable,3)))</f>
        <v> </v>
      </c>
      <c r="BS151" s="0" t="str">
        <f aca="false">IF($A151="N/A"," ",(VLOOKUP($A151,NumberofDaysTable,4)))</f>
        <v> </v>
      </c>
    </row>
    <row r="152" customFormat="false" ht="12.75" hidden="false" customHeight="false" outlineLevel="0" collapsed="false">
      <c r="A152" s="315" t="str">
        <f aca="false">IF(A151="N/A","N/A",IF(EDATE(A151,1)&gt;Inputs!$R$5,"N/A",EDATE(A151,1)))</f>
        <v>N/A</v>
      </c>
      <c r="B152" s="316" t="str">
        <f aca="false">IF(A152="N/A"," ",YEAR(A152))</f>
        <v> </v>
      </c>
      <c r="C152" s="317" t="str">
        <f aca="false">IF($A152="N/A"," ",IF(Dayrun4=10,0,IF(Scaler4=1,(VLOOKUP(A152,ScaledPrice4,4)),(VLOOKUP(A152,ScaledPrice4,2)))))</f>
        <v> </v>
      </c>
      <c r="D152" s="317" t="str">
        <f aca="false">IF(A152="N/A"," ",IF(Dayrun4&gt;=7,0,IF(Scaler4=2,VLOOKUP(A152,ScaledPrice4,2),(VLOOKUP(A152,ScaledPrice4,2))*(2-(VLOOKUP(A152,ScaledPrice4,3))))))</f>
        <v> </v>
      </c>
      <c r="E152" s="317" t="str">
        <f aca="false">IF($A152="N/A"," ",IF(AND(Dayrun4&gt;=4,Dayrun4&lt;=9),0,VLOOKUP($A152,ScaledPrice4,9)))</f>
        <v> </v>
      </c>
      <c r="F152" s="317" t="str">
        <f aca="false">IF(A152="N/A"," ",IF(OR(Dayrun4=2,Dayrun4=3,Dayrun4=5,Dayrun4=6,Dayrun4=8,Dayrun4=9),VLOOKUP(A152,ScaledPrice4,IF(Scaler4=1,6,5)),0))</f>
        <v> </v>
      </c>
      <c r="G152" s="317" t="str">
        <f aca="false">IF(A152="N/A"," ",IF(OR(Dayrun4=2,Dayrun4=3,Dayrun4=5,Dayrun4=6),IF(Scaler4=2,F152,(VLOOKUP(A152,ScaledPrice4,5))*(2-(VLOOKUP(A152,ScaledPrice4,3)))),0))</f>
        <v> </v>
      </c>
      <c r="H152" s="317" t="str">
        <f aca="false">IF($A152="N/A"," ",IF(OR(Dayrun4=2,Dayrun4=3,Dayrun4=10),VLOOKUP($A152,ScaledPrice4,9),0))</f>
        <v> </v>
      </c>
      <c r="I152" s="317" t="str">
        <f aca="false">IF(A152="N/A"," ",IF(OR(Dayrun4=3,Dayrun4=6,Dayrun4=9),(VLOOKUP(A152,ScaledPrice4,IF(Scaler4=2,7,8))),0))</f>
        <v> </v>
      </c>
      <c r="J152" s="317" t="str">
        <f aca="false">IF(A152="N/A"," ",IF(OR(Dayrun4=3,Dayrun4=6),IF(Scaler4=2,I152,(VLOOKUP(A152,ScaledPrice4,7))*(2-(VLOOKUP(A152,ScaledPrice4,3)))),0))</f>
        <v> </v>
      </c>
      <c r="K152" s="317" t="str">
        <f aca="false">IF($A152="N/A"," ",IF(OR(Dayrun4=3,Dayrun4=10),VLOOKUP($A152,ScaledPrice4,9),0))</f>
        <v> </v>
      </c>
      <c r="L152" s="318" t="str">
        <f aca="false">IF($A152="N/A"," ",IF(Pricetype4=2,MAX(C152,0),IF(OR(Pricetype4=1,Pricetype4=4),IF(C152=0,0,(EURO(C152,Strikeprice4,0,0,($AH152+IF(Smile=TRUE(),VLOOKUP(MAX(-5,Strikeprice4-C152),Volsmile,2),0)),($A152-DateToday)+15,IF(Pricetype4=1,1,0),0))),C152)))</f>
        <v> </v>
      </c>
      <c r="M152" s="318" t="str">
        <f aca="false">IF($A152="N/A"," ",IF(Pricetype4=2,MAX(D152,0),IF(OR(Pricetype4=1,Pricetype4=4),IF(D152=0,0,(EURO(D152,Strikeprice4,0,0,($AH152+IF(Smile=TRUE(),VLOOKUP(MAX(-5,Strikeprice4-D152),Volsmile,2),0)),($A152-DateToday)+15,IF(Pricetype4=1,1,0),0))),D152)))</f>
        <v> </v>
      </c>
      <c r="N152" s="318" t="str">
        <f aca="false">IF($A152="N/A"," ",IF(Pricetype4=2,MAX(E152,0),IF(OR(Pricetype4=1,Pricetype4=4),IF(E152=0,0,(EURO(E152,Strikeprice4,0,0,($AK152+IF(Smile=TRUE(),VLOOKUP(MAX(-5,Strikeprice4-E152),Volsmile,2),0)),($A152-DateToday)+15,IF(Pricetype4=1,1,0),0))),E152)))</f>
        <v> </v>
      </c>
      <c r="O152" s="318" t="str">
        <f aca="false">IF($A152="N/A"," ",IF(Pricetype4=2,MAX(F152,0),IF(OR(Pricetype4=1,Pricetype4=4),IF(F152=0,0,(EURO(F152,Strikeprice4,0,0,($AK152+IF(Smile=TRUE(),VLOOKUP(MAX(-5,Strikeprice4-F152),Volsmile,2),0)),($A152-DateToday)+15,IF(Pricetype4=1,1,0),0))),F152)))</f>
        <v> </v>
      </c>
      <c r="P152" s="318" t="str">
        <f aca="false">IF($A152="N/A"," ",IF(Pricetype4=2,MAX(G152,0),IF(OR(Pricetype4=1,Pricetype4=4),IF(G152=0,0,(EURO(G152,Strikeprice4,0,0,($AK152+IF(Smile=TRUE(),VLOOKUP(MAX(-5,Strikeprice4-G152),Volsmile,2),0)),($A152-DateToday)+15,IF(Pricetype4=1,1,0),0))),G152)))</f>
        <v> </v>
      </c>
      <c r="Q152" s="318" t="str">
        <f aca="false">IF($A152="N/A"," ",IF(Pricetype4=2,MAX(H152,0),IF(OR(Pricetype4=1,Pricetype4=4),IF(H152=0,0,(EURO(H152,Strikeprice4,0,0,($AK152+IF(Smile=TRUE(),VLOOKUP(MAX(-5,Strikeprice4-H152),Volsmile,2),0)),($A152-DateToday)+15,IF(Pricetype4=1,1,0),0))),H152)))</f>
        <v> </v>
      </c>
      <c r="R152" s="318" t="str">
        <f aca="false">IF($A152="N/A"," ",IF(Pricetype4=2,MAX(I152,0),IF(OR(Pricetype4=1,Pricetype4=4),IF(I152=0,0,(EURO(I152,Strikeprice4,0,0,($AK152+IF(Smile=TRUE(),VLOOKUP(MAX(-5,Strikeprice4-I152),Volsmile,2),0)),($A152-DateToday)+15,IF(Pricetype4=1,1,0),0))),I152)))</f>
        <v> </v>
      </c>
      <c r="S152" s="318" t="str">
        <f aca="false">IF($A152="N/A"," ",IF(Pricetype4=2,MAX(J152,0),IF(OR(Pricetype4=1,Pricetype4=4),IF(J152=0,0,(EURO(J152,Strikeprice4,0,0,($AK152+IF(Smile=TRUE(),VLOOKUP(MAX(-5,Strikeprice4-J152),Volsmile,2),0)),($A152-DateToday)+15,IF(Pricetype4=1,1,0),0))),J152)))</f>
        <v> </v>
      </c>
      <c r="T152" s="318" t="str">
        <f aca="false">IF($A152="N/A"," ",IF(Pricetype4=2,MAX(K152,0),IF(OR(Pricetype4=1,Pricetype4=4),IF(K152=0,0,(EURO(K152,Strikeprice4,0,0,($AK152+IF(Smile=TRUE(),VLOOKUP(MAX(-5,Strikeprice4-K152),Volsmile,2),0)),($A152-DateToday)+15,IF(Pricetype4=1,1,0),0))),K152)))</f>
        <v> </v>
      </c>
      <c r="U152" s="319" t="str">
        <f aca="false">IF($A152="N/A"," ",Volume4*$AM152)</f>
        <v> </v>
      </c>
      <c r="V152" s="320" t="str">
        <f aca="false">IF($A152="N/A"," ",$U152*(8*($BQ152))*L152)</f>
        <v> </v>
      </c>
      <c r="W152" s="320" t="str">
        <f aca="false">IF($A152="N/A"," ",$U152*(8*($BQ152))*M152)</f>
        <v> </v>
      </c>
      <c r="X152" s="320" t="str">
        <f aca="false">IF($A152="N/A"," ",$U152*(8*($BQ152))*N152)</f>
        <v> </v>
      </c>
      <c r="Y152" s="320" t="str">
        <f aca="false">IF($A152="N/A"," ",$U152*(8*($BR152))*O152)</f>
        <v> </v>
      </c>
      <c r="Z152" s="320" t="str">
        <f aca="false">IF($A152="N/A"," ",$U152*(8*($BR152))*P152)</f>
        <v> </v>
      </c>
      <c r="AA152" s="320" t="str">
        <f aca="false">IF($A152="N/A"," ",$U152*(8*($BR152))*Q152)</f>
        <v> </v>
      </c>
      <c r="AB152" s="320" t="str">
        <f aca="false">IF($A152="N/A"," ",$U152*(8*($BS152))*R152)</f>
        <v> </v>
      </c>
      <c r="AC152" s="320" t="str">
        <f aca="false">IF($A152="N/A"," ",$U152*(8*($BS152))*S152)</f>
        <v> </v>
      </c>
      <c r="AD152" s="320" t="str">
        <f aca="false">IF($A152="N/A"," ",$U152*(8*($BS152))*T152)</f>
        <v> </v>
      </c>
      <c r="AE152" s="320" t="str">
        <f aca="false">IF($A152="N/A"," ",SUM(V152:AD152))</f>
        <v> </v>
      </c>
      <c r="AF152" s="321" t="str">
        <f aca="false">IF(A152="N/A"," ",(VLOOKUP(A152,PowerVolTable,(IF(VolBMO4=2,7,IF(VolBMO4=1,6,8))),FALSE())))</f>
        <v> </v>
      </c>
      <c r="AG152" s="321" t="str">
        <f aca="false">IF(A152="N/A"," ",(VLOOKUP(A152,IntraPowerVol,(IF(VolBMO4=2,3,IF(VolBMO4=1,2,4))),FALSE())*VLOOKUP(MONTH($A152),Volscale,2)))</f>
        <v> </v>
      </c>
      <c r="AH152" s="321" t="str">
        <f aca="false">IF($A152="N/A"," ",IF(VolType4=1,AG152,AF152))</f>
        <v> </v>
      </c>
      <c r="AI152" s="321" t="str">
        <f aca="false">IF($A152="N/A"," ",(VLOOKUP($A152,OffPwrVolTable,(IF(VolBMO4=2,7,IF(VolBMO4=1,6,8))),FALSE())))</f>
        <v> </v>
      </c>
      <c r="AJ152" s="321" t="str">
        <f aca="false">IF($A152="N/A"," ",(VLOOKUP($A152,OffPwrVolTable,(IF(VolBMO4=2,3,IF(VolBMO4=1,2,4))),FALSE())*VLOOKUP(MONTH($A152),Volscale,2)))</f>
        <v> </v>
      </c>
      <c r="AK152" s="321" t="str">
        <f aca="false">IF($A152="N/A"," ",IF(VolType4=1,AJ152,AI152))</f>
        <v> </v>
      </c>
      <c r="AL152" s="321" t="str">
        <f aca="false">IF($A152="N/A"," ",IF(PV=1,0,'Pricing Inputs4'!R185))</f>
        <v> </v>
      </c>
      <c r="AM152" s="323" t="str">
        <f aca="false">IF($A152="N/A"," ",(1+AL152/2)^(-2*((EOMONTH(A152,0)+20)-DateToday)/365.25))</f>
        <v> </v>
      </c>
      <c r="BQ152" s="0" t="str">
        <f aca="false">IF($A152="N/A"," ",(VLOOKUP($A152,NumberofDaysTable,2)))</f>
        <v> </v>
      </c>
      <c r="BR152" s="0" t="str">
        <f aca="false">IF($A152="N/A"," ",(VLOOKUP($A152,NumberofDaysTable,3)))</f>
        <v> </v>
      </c>
      <c r="BS152" s="0" t="str">
        <f aca="false">IF($A152="N/A"," ",(VLOOKUP($A152,NumberofDaysTable,4)))</f>
        <v> </v>
      </c>
    </row>
    <row r="153" customFormat="false" ht="12.75" hidden="false" customHeight="false" outlineLevel="0" collapsed="false">
      <c r="A153" s="315" t="str">
        <f aca="false">IF(A152="N/A","N/A",IF(EDATE(A152,1)&gt;Inputs!$R$5,"N/A",EDATE(A152,1)))</f>
        <v>N/A</v>
      </c>
      <c r="B153" s="316" t="str">
        <f aca="false">IF(A153="N/A"," ",YEAR(A153))</f>
        <v> </v>
      </c>
      <c r="C153" s="317" t="str">
        <f aca="false">IF($A153="N/A"," ",IF(Dayrun4=10,0,IF(Scaler4=1,(VLOOKUP(A153,ScaledPrice4,4)),(VLOOKUP(A153,ScaledPrice4,2)))))</f>
        <v> </v>
      </c>
      <c r="D153" s="317" t="str">
        <f aca="false">IF(A153="N/A"," ",IF(Dayrun4&gt;=7,0,IF(Scaler4=2,VLOOKUP(A153,ScaledPrice4,2),(VLOOKUP(A153,ScaledPrice4,2))*(2-(VLOOKUP(A153,ScaledPrice4,3))))))</f>
        <v> </v>
      </c>
      <c r="E153" s="317" t="str">
        <f aca="false">IF($A153="N/A"," ",IF(AND(Dayrun4&gt;=4,Dayrun4&lt;=9),0,VLOOKUP($A153,ScaledPrice4,9)))</f>
        <v> </v>
      </c>
      <c r="F153" s="317" t="str">
        <f aca="false">IF(A153="N/A"," ",IF(OR(Dayrun4=2,Dayrun4=3,Dayrun4=5,Dayrun4=6,Dayrun4=8,Dayrun4=9),VLOOKUP(A153,ScaledPrice4,IF(Scaler4=1,6,5)),0))</f>
        <v> </v>
      </c>
      <c r="G153" s="317" t="str">
        <f aca="false">IF(A153="N/A"," ",IF(OR(Dayrun4=2,Dayrun4=3,Dayrun4=5,Dayrun4=6),IF(Scaler4=2,F153,(VLOOKUP(A153,ScaledPrice4,5))*(2-(VLOOKUP(A153,ScaledPrice4,3)))),0))</f>
        <v> </v>
      </c>
      <c r="H153" s="317" t="str">
        <f aca="false">IF($A153="N/A"," ",IF(OR(Dayrun4=2,Dayrun4=3,Dayrun4=10),VLOOKUP($A153,ScaledPrice4,9),0))</f>
        <v> </v>
      </c>
      <c r="I153" s="317" t="str">
        <f aca="false">IF(A153="N/A"," ",IF(OR(Dayrun4=3,Dayrun4=6,Dayrun4=9),(VLOOKUP(A153,ScaledPrice4,IF(Scaler4=2,7,8))),0))</f>
        <v> </v>
      </c>
      <c r="J153" s="317" t="str">
        <f aca="false">IF(A153="N/A"," ",IF(OR(Dayrun4=3,Dayrun4=6),IF(Scaler4=2,I153,(VLOOKUP(A153,ScaledPrice4,7))*(2-(VLOOKUP(A153,ScaledPrice4,3)))),0))</f>
        <v> </v>
      </c>
      <c r="K153" s="317" t="str">
        <f aca="false">IF($A153="N/A"," ",IF(OR(Dayrun4=3,Dayrun4=10),VLOOKUP($A153,ScaledPrice4,9),0))</f>
        <v> </v>
      </c>
      <c r="L153" s="318" t="str">
        <f aca="false">IF($A153="N/A"," ",IF(Pricetype4=2,MAX(C153,0),IF(OR(Pricetype4=1,Pricetype4=4),IF(C153=0,0,(EURO(C153,Strikeprice4,0,0,($AH153+IF(Smile=TRUE(),VLOOKUP(MAX(-5,Strikeprice4-C153),Volsmile,2),0)),($A153-DateToday)+15,IF(Pricetype4=1,1,0),0))),C153)))</f>
        <v> </v>
      </c>
      <c r="M153" s="318" t="str">
        <f aca="false">IF($A153="N/A"," ",IF(Pricetype4=2,MAX(D153,0),IF(OR(Pricetype4=1,Pricetype4=4),IF(D153=0,0,(EURO(D153,Strikeprice4,0,0,($AH153+IF(Smile=TRUE(),VLOOKUP(MAX(-5,Strikeprice4-D153),Volsmile,2),0)),($A153-DateToday)+15,IF(Pricetype4=1,1,0),0))),D153)))</f>
        <v> </v>
      </c>
      <c r="N153" s="318" t="str">
        <f aca="false">IF($A153="N/A"," ",IF(Pricetype4=2,MAX(E153,0),IF(OR(Pricetype4=1,Pricetype4=4),IF(E153=0,0,(EURO(E153,Strikeprice4,0,0,($AK153+IF(Smile=TRUE(),VLOOKUP(MAX(-5,Strikeprice4-E153),Volsmile,2),0)),($A153-DateToday)+15,IF(Pricetype4=1,1,0),0))),E153)))</f>
        <v> </v>
      </c>
      <c r="O153" s="318" t="str">
        <f aca="false">IF($A153="N/A"," ",IF(Pricetype4=2,MAX(F153,0),IF(OR(Pricetype4=1,Pricetype4=4),IF(F153=0,0,(EURO(F153,Strikeprice4,0,0,($AK153+IF(Smile=TRUE(),VLOOKUP(MAX(-5,Strikeprice4-F153),Volsmile,2),0)),($A153-DateToday)+15,IF(Pricetype4=1,1,0),0))),F153)))</f>
        <v> </v>
      </c>
      <c r="P153" s="318" t="str">
        <f aca="false">IF($A153="N/A"," ",IF(Pricetype4=2,MAX(G153,0),IF(OR(Pricetype4=1,Pricetype4=4),IF(G153=0,0,(EURO(G153,Strikeprice4,0,0,($AK153+IF(Smile=TRUE(),VLOOKUP(MAX(-5,Strikeprice4-G153),Volsmile,2),0)),($A153-DateToday)+15,IF(Pricetype4=1,1,0),0))),G153)))</f>
        <v> </v>
      </c>
      <c r="Q153" s="318" t="str">
        <f aca="false">IF($A153="N/A"," ",IF(Pricetype4=2,MAX(H153,0),IF(OR(Pricetype4=1,Pricetype4=4),IF(H153=0,0,(EURO(H153,Strikeprice4,0,0,($AK153+IF(Smile=TRUE(),VLOOKUP(MAX(-5,Strikeprice4-H153),Volsmile,2),0)),($A153-DateToday)+15,IF(Pricetype4=1,1,0),0))),H153)))</f>
        <v> </v>
      </c>
      <c r="R153" s="318" t="str">
        <f aca="false">IF($A153="N/A"," ",IF(Pricetype4=2,MAX(I153,0),IF(OR(Pricetype4=1,Pricetype4=4),IF(I153=0,0,(EURO(I153,Strikeprice4,0,0,($AK153+IF(Smile=TRUE(),VLOOKUP(MAX(-5,Strikeprice4-I153),Volsmile,2),0)),($A153-DateToday)+15,IF(Pricetype4=1,1,0),0))),I153)))</f>
        <v> </v>
      </c>
      <c r="S153" s="318" t="str">
        <f aca="false">IF($A153="N/A"," ",IF(Pricetype4=2,MAX(J153,0),IF(OR(Pricetype4=1,Pricetype4=4),IF(J153=0,0,(EURO(J153,Strikeprice4,0,0,($AK153+IF(Smile=TRUE(),VLOOKUP(MAX(-5,Strikeprice4-J153),Volsmile,2),0)),($A153-DateToday)+15,IF(Pricetype4=1,1,0),0))),J153)))</f>
        <v> </v>
      </c>
      <c r="T153" s="318" t="str">
        <f aca="false">IF($A153="N/A"," ",IF(Pricetype4=2,MAX(K153,0),IF(OR(Pricetype4=1,Pricetype4=4),IF(K153=0,0,(EURO(K153,Strikeprice4,0,0,($AK153+IF(Smile=TRUE(),VLOOKUP(MAX(-5,Strikeprice4-K153),Volsmile,2),0)),($A153-DateToday)+15,IF(Pricetype4=1,1,0),0))),K153)))</f>
        <v> </v>
      </c>
      <c r="U153" s="319" t="str">
        <f aca="false">IF($A153="N/A"," ",Volume4*$AM153)</f>
        <v> </v>
      </c>
      <c r="V153" s="320" t="str">
        <f aca="false">IF($A153="N/A"," ",$U153*(8*($BQ153))*L153)</f>
        <v> </v>
      </c>
      <c r="W153" s="320" t="str">
        <f aca="false">IF($A153="N/A"," ",$U153*(8*($BQ153))*M153)</f>
        <v> </v>
      </c>
      <c r="X153" s="320" t="str">
        <f aca="false">IF($A153="N/A"," ",$U153*(8*($BQ153))*N153)</f>
        <v> </v>
      </c>
      <c r="Y153" s="320" t="str">
        <f aca="false">IF($A153="N/A"," ",$U153*(8*($BR153))*O153)</f>
        <v> </v>
      </c>
      <c r="Z153" s="320" t="str">
        <f aca="false">IF($A153="N/A"," ",$U153*(8*($BR153))*P153)</f>
        <v> </v>
      </c>
      <c r="AA153" s="320" t="str">
        <f aca="false">IF($A153="N/A"," ",$U153*(8*($BR153))*Q153)</f>
        <v> </v>
      </c>
      <c r="AB153" s="320" t="str">
        <f aca="false">IF($A153="N/A"," ",$U153*(8*($BS153))*R153)</f>
        <v> </v>
      </c>
      <c r="AC153" s="320" t="str">
        <f aca="false">IF($A153="N/A"," ",$U153*(8*($BS153))*S153)</f>
        <v> </v>
      </c>
      <c r="AD153" s="320" t="str">
        <f aca="false">IF($A153="N/A"," ",$U153*(8*($BS153))*T153)</f>
        <v> </v>
      </c>
      <c r="AE153" s="320" t="str">
        <f aca="false">IF($A153="N/A"," ",SUM(V153:AD153))</f>
        <v> </v>
      </c>
      <c r="AF153" s="321" t="str">
        <f aca="false">IF(A153="N/A"," ",(VLOOKUP(A153,PowerVolTable,(IF(VolBMO4=2,7,IF(VolBMO4=1,6,8))),FALSE())))</f>
        <v> </v>
      </c>
      <c r="AG153" s="321" t="str">
        <f aca="false">IF(A153="N/A"," ",(VLOOKUP(A153,IntraPowerVol,(IF(VolBMO4=2,3,IF(VolBMO4=1,2,4))),FALSE())*VLOOKUP(MONTH($A153),Volscale,2)))</f>
        <v> </v>
      </c>
      <c r="AH153" s="321" t="str">
        <f aca="false">IF($A153="N/A"," ",IF(VolType4=1,AG153,AF153))</f>
        <v> </v>
      </c>
      <c r="AI153" s="321" t="str">
        <f aca="false">IF($A153="N/A"," ",(VLOOKUP($A153,OffPwrVolTable,(IF(VolBMO4=2,7,IF(VolBMO4=1,6,8))),FALSE())))</f>
        <v> </v>
      </c>
      <c r="AJ153" s="321" t="str">
        <f aca="false">IF($A153="N/A"," ",(VLOOKUP($A153,OffPwrVolTable,(IF(VolBMO4=2,3,IF(VolBMO4=1,2,4))),FALSE())*VLOOKUP(MONTH($A153),Volscale,2)))</f>
        <v> </v>
      </c>
      <c r="AK153" s="321" t="str">
        <f aca="false">IF($A153="N/A"," ",IF(VolType4=1,AJ153,AI153))</f>
        <v> </v>
      </c>
      <c r="AL153" s="321" t="str">
        <f aca="false">IF($A153="N/A"," ",IF(PV=1,0,'Pricing Inputs4'!R186))</f>
        <v> </v>
      </c>
      <c r="AM153" s="323" t="str">
        <f aca="false">IF($A153="N/A"," ",(1+AL153/2)^(-2*((EOMONTH(A153,0)+20)-DateToday)/365.25))</f>
        <v> </v>
      </c>
      <c r="BQ153" s="0" t="str">
        <f aca="false">IF($A153="N/A"," ",(VLOOKUP($A153,NumberofDaysTable,2)))</f>
        <v> </v>
      </c>
      <c r="BR153" s="0" t="str">
        <f aca="false">IF($A153="N/A"," ",(VLOOKUP($A153,NumberofDaysTable,3)))</f>
        <v> </v>
      </c>
      <c r="BS153" s="0" t="str">
        <f aca="false">IF($A153="N/A"," ",(VLOOKUP($A153,NumberofDaysTable,4)))</f>
        <v> </v>
      </c>
    </row>
    <row r="154" customFormat="false" ht="12.75" hidden="false" customHeight="false" outlineLevel="0" collapsed="false">
      <c r="A154" s="315" t="str">
        <f aca="false">IF(A153="N/A","N/A",IF(EDATE(A153,1)&gt;Inputs!$R$5,"N/A",EDATE(A153,1)))</f>
        <v>N/A</v>
      </c>
      <c r="B154" s="316" t="str">
        <f aca="false">IF(A154="N/A"," ",YEAR(A154))</f>
        <v> </v>
      </c>
      <c r="C154" s="317" t="str">
        <f aca="false">IF($A154="N/A"," ",IF(Dayrun4=10,0,IF(Scaler4=1,(VLOOKUP(A154,ScaledPrice4,4)),(VLOOKUP(A154,ScaledPrice4,2)))))</f>
        <v> </v>
      </c>
      <c r="D154" s="317" t="str">
        <f aca="false">IF(A154="N/A"," ",IF(Dayrun4&gt;=7,0,IF(Scaler4=2,VLOOKUP(A154,ScaledPrice4,2),(VLOOKUP(A154,ScaledPrice4,2))*(2-(VLOOKUP(A154,ScaledPrice4,3))))))</f>
        <v> </v>
      </c>
      <c r="E154" s="317" t="str">
        <f aca="false">IF($A154="N/A"," ",IF(AND(Dayrun4&gt;=4,Dayrun4&lt;=9),0,VLOOKUP($A154,ScaledPrice4,9)))</f>
        <v> </v>
      </c>
      <c r="F154" s="317" t="str">
        <f aca="false">IF(A154="N/A"," ",IF(OR(Dayrun4=2,Dayrun4=3,Dayrun4=5,Dayrun4=6,Dayrun4=8,Dayrun4=9),VLOOKUP(A154,ScaledPrice4,IF(Scaler4=1,6,5)),0))</f>
        <v> </v>
      </c>
      <c r="G154" s="317" t="str">
        <f aca="false">IF(A154="N/A"," ",IF(OR(Dayrun4=2,Dayrun4=3,Dayrun4=5,Dayrun4=6),IF(Scaler4=2,F154,(VLOOKUP(A154,ScaledPrice4,5))*(2-(VLOOKUP(A154,ScaledPrice4,3)))),0))</f>
        <v> </v>
      </c>
      <c r="H154" s="317" t="str">
        <f aca="false">IF($A154="N/A"," ",IF(OR(Dayrun4=2,Dayrun4=3,Dayrun4=10),VLOOKUP($A154,ScaledPrice4,9),0))</f>
        <v> </v>
      </c>
      <c r="I154" s="317" t="str">
        <f aca="false">IF(A154="N/A"," ",IF(OR(Dayrun4=3,Dayrun4=6,Dayrun4=9),(VLOOKUP(A154,ScaledPrice4,IF(Scaler4=2,7,8))),0))</f>
        <v> </v>
      </c>
      <c r="J154" s="317" t="str">
        <f aca="false">IF(A154="N/A"," ",IF(OR(Dayrun4=3,Dayrun4=6),IF(Scaler4=2,I154,(VLOOKUP(A154,ScaledPrice4,7))*(2-(VLOOKUP(A154,ScaledPrice4,3)))),0))</f>
        <v> </v>
      </c>
      <c r="K154" s="317" t="str">
        <f aca="false">IF($A154="N/A"," ",IF(OR(Dayrun4=3,Dayrun4=10),VLOOKUP($A154,ScaledPrice4,9),0))</f>
        <v> </v>
      </c>
      <c r="L154" s="318" t="str">
        <f aca="false">IF($A154="N/A"," ",IF(Pricetype4=2,MAX(C154,0),IF(OR(Pricetype4=1,Pricetype4=4),IF(C154=0,0,(EURO(C154,Strikeprice4,0,0,($AH154+IF(Smile=TRUE(),VLOOKUP(MAX(-5,Strikeprice4-C154),Volsmile,2),0)),($A154-DateToday)+15,IF(Pricetype4=1,1,0),0))),C154)))</f>
        <v> </v>
      </c>
      <c r="M154" s="318" t="str">
        <f aca="false">IF($A154="N/A"," ",IF(Pricetype4=2,MAX(D154,0),IF(OR(Pricetype4=1,Pricetype4=4),IF(D154=0,0,(EURO(D154,Strikeprice4,0,0,($AH154+IF(Smile=TRUE(),VLOOKUP(MAX(-5,Strikeprice4-D154),Volsmile,2),0)),($A154-DateToday)+15,IF(Pricetype4=1,1,0),0))),D154)))</f>
        <v> </v>
      </c>
      <c r="N154" s="318" t="str">
        <f aca="false">IF($A154="N/A"," ",IF(Pricetype4=2,MAX(E154,0),IF(OR(Pricetype4=1,Pricetype4=4),IF(E154=0,0,(EURO(E154,Strikeprice4,0,0,($AK154+IF(Smile=TRUE(),VLOOKUP(MAX(-5,Strikeprice4-E154),Volsmile,2),0)),($A154-DateToday)+15,IF(Pricetype4=1,1,0),0))),E154)))</f>
        <v> </v>
      </c>
      <c r="O154" s="318" t="str">
        <f aca="false">IF($A154="N/A"," ",IF(Pricetype4=2,MAX(F154,0),IF(OR(Pricetype4=1,Pricetype4=4),IF(F154=0,0,(EURO(F154,Strikeprice4,0,0,($AK154+IF(Smile=TRUE(),VLOOKUP(MAX(-5,Strikeprice4-F154),Volsmile,2),0)),($A154-DateToday)+15,IF(Pricetype4=1,1,0),0))),F154)))</f>
        <v> </v>
      </c>
      <c r="P154" s="318" t="str">
        <f aca="false">IF($A154="N/A"," ",IF(Pricetype4=2,MAX(G154,0),IF(OR(Pricetype4=1,Pricetype4=4),IF(G154=0,0,(EURO(G154,Strikeprice4,0,0,($AK154+IF(Smile=TRUE(),VLOOKUP(MAX(-5,Strikeprice4-G154),Volsmile,2),0)),($A154-DateToday)+15,IF(Pricetype4=1,1,0),0))),G154)))</f>
        <v> </v>
      </c>
      <c r="Q154" s="318" t="str">
        <f aca="false">IF($A154="N/A"," ",IF(Pricetype4=2,MAX(H154,0),IF(OR(Pricetype4=1,Pricetype4=4),IF(H154=0,0,(EURO(H154,Strikeprice4,0,0,($AK154+IF(Smile=TRUE(),VLOOKUP(MAX(-5,Strikeprice4-H154),Volsmile,2),0)),($A154-DateToday)+15,IF(Pricetype4=1,1,0),0))),H154)))</f>
        <v> </v>
      </c>
      <c r="R154" s="318" t="str">
        <f aca="false">IF($A154="N/A"," ",IF(Pricetype4=2,MAX(I154,0),IF(OR(Pricetype4=1,Pricetype4=4),IF(I154=0,0,(EURO(I154,Strikeprice4,0,0,($AK154+IF(Smile=TRUE(),VLOOKUP(MAX(-5,Strikeprice4-I154),Volsmile,2),0)),($A154-DateToday)+15,IF(Pricetype4=1,1,0),0))),I154)))</f>
        <v> </v>
      </c>
      <c r="S154" s="318" t="str">
        <f aca="false">IF($A154="N/A"," ",IF(Pricetype4=2,MAX(J154,0),IF(OR(Pricetype4=1,Pricetype4=4),IF(J154=0,0,(EURO(J154,Strikeprice4,0,0,($AK154+IF(Smile=TRUE(),VLOOKUP(MAX(-5,Strikeprice4-J154),Volsmile,2),0)),($A154-DateToday)+15,IF(Pricetype4=1,1,0),0))),J154)))</f>
        <v> </v>
      </c>
      <c r="T154" s="318" t="str">
        <f aca="false">IF($A154="N/A"," ",IF(Pricetype4=2,MAX(K154,0),IF(OR(Pricetype4=1,Pricetype4=4),IF(K154=0,0,(EURO(K154,Strikeprice4,0,0,($AK154+IF(Smile=TRUE(),VLOOKUP(MAX(-5,Strikeprice4-K154),Volsmile,2),0)),($A154-DateToday)+15,IF(Pricetype4=1,1,0),0))),K154)))</f>
        <v> </v>
      </c>
      <c r="U154" s="319" t="str">
        <f aca="false">IF($A154="N/A"," ",Volume4*$AM154)</f>
        <v> </v>
      </c>
      <c r="V154" s="320" t="str">
        <f aca="false">IF($A154="N/A"," ",$U154*(8*($BQ154))*L154)</f>
        <v> </v>
      </c>
      <c r="W154" s="320" t="str">
        <f aca="false">IF($A154="N/A"," ",$U154*(8*($BQ154))*M154)</f>
        <v> </v>
      </c>
      <c r="X154" s="320" t="str">
        <f aca="false">IF($A154="N/A"," ",$U154*(8*($BQ154))*N154)</f>
        <v> </v>
      </c>
      <c r="Y154" s="320" t="str">
        <f aca="false">IF($A154="N/A"," ",$U154*(8*($BR154))*O154)</f>
        <v> </v>
      </c>
      <c r="Z154" s="320" t="str">
        <f aca="false">IF($A154="N/A"," ",$U154*(8*($BR154))*P154)</f>
        <v> </v>
      </c>
      <c r="AA154" s="320" t="str">
        <f aca="false">IF($A154="N/A"," ",$U154*(8*($BR154))*Q154)</f>
        <v> </v>
      </c>
      <c r="AB154" s="320" t="str">
        <f aca="false">IF($A154="N/A"," ",$U154*(8*($BS154))*R154)</f>
        <v> </v>
      </c>
      <c r="AC154" s="320" t="str">
        <f aca="false">IF($A154="N/A"," ",$U154*(8*($BS154))*S154)</f>
        <v> </v>
      </c>
      <c r="AD154" s="320" t="str">
        <f aca="false">IF($A154="N/A"," ",$U154*(8*($BS154))*T154)</f>
        <v> </v>
      </c>
      <c r="AE154" s="320" t="str">
        <f aca="false">IF($A154="N/A"," ",SUM(V154:AD154))</f>
        <v> </v>
      </c>
      <c r="AF154" s="321" t="str">
        <f aca="false">IF(A154="N/A"," ",(VLOOKUP(A154,PowerVolTable,(IF(VolBMO4=2,7,IF(VolBMO4=1,6,8))),FALSE())))</f>
        <v> </v>
      </c>
      <c r="AG154" s="321" t="str">
        <f aca="false">IF(A154="N/A"," ",(VLOOKUP(A154,IntraPowerVol,(IF(VolBMO4=2,3,IF(VolBMO4=1,2,4))),FALSE())*VLOOKUP(MONTH($A154),Volscale,2)))</f>
        <v> </v>
      </c>
      <c r="AH154" s="321" t="str">
        <f aca="false">IF($A154="N/A"," ",IF(VolType4=1,AG154,AF154))</f>
        <v> </v>
      </c>
      <c r="AI154" s="321" t="str">
        <f aca="false">IF($A154="N/A"," ",(VLOOKUP($A154,OffPwrVolTable,(IF(VolBMO4=2,7,IF(VolBMO4=1,6,8))),FALSE())))</f>
        <v> </v>
      </c>
      <c r="AJ154" s="321" t="str">
        <f aca="false">IF($A154="N/A"," ",(VLOOKUP($A154,OffPwrVolTable,(IF(VolBMO4=2,3,IF(VolBMO4=1,2,4))),FALSE())*VLOOKUP(MONTH($A154),Volscale,2)))</f>
        <v> </v>
      </c>
      <c r="AK154" s="321" t="str">
        <f aca="false">IF($A154="N/A"," ",IF(VolType4=1,AJ154,AI154))</f>
        <v> </v>
      </c>
      <c r="AL154" s="321" t="str">
        <f aca="false">IF($A154="N/A"," ",IF(PV=1,0,'Pricing Inputs4'!R187))</f>
        <v> </v>
      </c>
      <c r="AM154" s="323" t="str">
        <f aca="false">IF($A154="N/A"," ",(1+AL154/2)^(-2*((EOMONTH(A154,0)+20)-DateToday)/365.25))</f>
        <v> </v>
      </c>
      <c r="BQ154" s="0" t="str">
        <f aca="false">IF($A154="N/A"," ",(VLOOKUP($A154,NumberofDaysTable,2)))</f>
        <v> </v>
      </c>
      <c r="BR154" s="0" t="str">
        <f aca="false">IF($A154="N/A"," ",(VLOOKUP($A154,NumberofDaysTable,3)))</f>
        <v> </v>
      </c>
      <c r="BS154" s="0" t="str">
        <f aca="false">IF($A154="N/A"," ",(VLOOKUP($A154,NumberofDaysTable,4)))</f>
        <v> </v>
      </c>
    </row>
    <row r="155" customFormat="false" ht="12.75" hidden="false" customHeight="false" outlineLevel="0" collapsed="false">
      <c r="A155" s="315" t="str">
        <f aca="false">IF(A154="N/A","N/A",IF(EDATE(A154,1)&gt;Inputs!$R$5,"N/A",EDATE(A154,1)))</f>
        <v>N/A</v>
      </c>
      <c r="B155" s="316" t="str">
        <f aca="false">IF(A155="N/A"," ",YEAR(A155))</f>
        <v> </v>
      </c>
      <c r="C155" s="317" t="str">
        <f aca="false">IF($A155="N/A"," ",IF(Dayrun4=10,0,IF(Scaler4=1,(VLOOKUP(A155,ScaledPrice4,4)),(VLOOKUP(A155,ScaledPrice4,2)))))</f>
        <v> </v>
      </c>
      <c r="D155" s="317" t="str">
        <f aca="false">IF(A155="N/A"," ",IF(Dayrun4&gt;=7,0,IF(Scaler4=2,VLOOKUP(A155,ScaledPrice4,2),(VLOOKUP(A155,ScaledPrice4,2))*(2-(VLOOKUP(A155,ScaledPrice4,3))))))</f>
        <v> </v>
      </c>
      <c r="E155" s="317" t="str">
        <f aca="false">IF($A155="N/A"," ",IF(AND(Dayrun4&gt;=4,Dayrun4&lt;=9),0,VLOOKUP($A155,ScaledPrice4,9)))</f>
        <v> </v>
      </c>
      <c r="F155" s="317" t="str">
        <f aca="false">IF(A155="N/A"," ",IF(OR(Dayrun4=2,Dayrun4=3,Dayrun4=5,Dayrun4=6,Dayrun4=8,Dayrun4=9),VLOOKUP(A155,ScaledPrice4,IF(Scaler4=1,6,5)),0))</f>
        <v> </v>
      </c>
      <c r="G155" s="317" t="str">
        <f aca="false">IF(A155="N/A"," ",IF(OR(Dayrun4=2,Dayrun4=3,Dayrun4=5,Dayrun4=6),IF(Scaler4=2,F155,(VLOOKUP(A155,ScaledPrice4,5))*(2-(VLOOKUP(A155,ScaledPrice4,3)))),0))</f>
        <v> </v>
      </c>
      <c r="H155" s="317" t="str">
        <f aca="false">IF($A155="N/A"," ",IF(OR(Dayrun4=2,Dayrun4=3,Dayrun4=10),VLOOKUP($A155,ScaledPrice4,9),0))</f>
        <v> </v>
      </c>
      <c r="I155" s="317" t="str">
        <f aca="false">IF(A155="N/A"," ",IF(OR(Dayrun4=3,Dayrun4=6,Dayrun4=9),(VLOOKUP(A155,ScaledPrice4,IF(Scaler4=2,7,8))),0))</f>
        <v> </v>
      </c>
      <c r="J155" s="317" t="str">
        <f aca="false">IF(A155="N/A"," ",IF(OR(Dayrun4=3,Dayrun4=6),IF(Scaler4=2,I155,(VLOOKUP(A155,ScaledPrice4,7))*(2-(VLOOKUP(A155,ScaledPrice4,3)))),0))</f>
        <v> </v>
      </c>
      <c r="K155" s="317" t="str">
        <f aca="false">IF($A155="N/A"," ",IF(OR(Dayrun4=3,Dayrun4=10),VLOOKUP($A155,ScaledPrice4,9),0))</f>
        <v> </v>
      </c>
      <c r="L155" s="318" t="str">
        <f aca="false">IF($A155="N/A"," ",IF(Pricetype4=2,MAX(C155,0),IF(OR(Pricetype4=1,Pricetype4=4),IF(C155=0,0,(EURO(C155,Strikeprice4,0,0,($AH155+IF(Smile=TRUE(),VLOOKUP(MAX(-5,Strikeprice4-C155),Volsmile,2),0)),($A155-DateToday)+15,IF(Pricetype4=1,1,0),0))),C155)))</f>
        <v> </v>
      </c>
      <c r="M155" s="318" t="str">
        <f aca="false">IF($A155="N/A"," ",IF(Pricetype4=2,MAX(D155,0),IF(OR(Pricetype4=1,Pricetype4=4),IF(D155=0,0,(EURO(D155,Strikeprice4,0,0,($AH155+IF(Smile=TRUE(),VLOOKUP(MAX(-5,Strikeprice4-D155),Volsmile,2),0)),($A155-DateToday)+15,IF(Pricetype4=1,1,0),0))),D155)))</f>
        <v> </v>
      </c>
      <c r="N155" s="318" t="str">
        <f aca="false">IF($A155="N/A"," ",IF(Pricetype4=2,MAX(E155,0),IF(OR(Pricetype4=1,Pricetype4=4),IF(E155=0,0,(EURO(E155,Strikeprice4,0,0,($AK155+IF(Smile=TRUE(),VLOOKUP(MAX(-5,Strikeprice4-E155),Volsmile,2),0)),($A155-DateToday)+15,IF(Pricetype4=1,1,0),0))),E155)))</f>
        <v> </v>
      </c>
      <c r="O155" s="318" t="str">
        <f aca="false">IF($A155="N/A"," ",IF(Pricetype4=2,MAX(F155,0),IF(OR(Pricetype4=1,Pricetype4=4),IF(F155=0,0,(EURO(F155,Strikeprice4,0,0,($AK155+IF(Smile=TRUE(),VLOOKUP(MAX(-5,Strikeprice4-F155),Volsmile,2),0)),($A155-DateToday)+15,IF(Pricetype4=1,1,0),0))),F155)))</f>
        <v> </v>
      </c>
      <c r="P155" s="318" t="str">
        <f aca="false">IF($A155="N/A"," ",IF(Pricetype4=2,MAX(G155,0),IF(OR(Pricetype4=1,Pricetype4=4),IF(G155=0,0,(EURO(G155,Strikeprice4,0,0,($AK155+IF(Smile=TRUE(),VLOOKUP(MAX(-5,Strikeprice4-G155),Volsmile,2),0)),($A155-DateToday)+15,IF(Pricetype4=1,1,0),0))),G155)))</f>
        <v> </v>
      </c>
      <c r="Q155" s="318" t="str">
        <f aca="false">IF($A155="N/A"," ",IF(Pricetype4=2,MAX(H155,0),IF(OR(Pricetype4=1,Pricetype4=4),IF(H155=0,0,(EURO(H155,Strikeprice4,0,0,($AK155+IF(Smile=TRUE(),VLOOKUP(MAX(-5,Strikeprice4-H155),Volsmile,2),0)),($A155-DateToday)+15,IF(Pricetype4=1,1,0),0))),H155)))</f>
        <v> </v>
      </c>
      <c r="R155" s="318" t="str">
        <f aca="false">IF($A155="N/A"," ",IF(Pricetype4=2,MAX(I155,0),IF(OR(Pricetype4=1,Pricetype4=4),IF(I155=0,0,(EURO(I155,Strikeprice4,0,0,($AK155+IF(Smile=TRUE(),VLOOKUP(MAX(-5,Strikeprice4-I155),Volsmile,2),0)),($A155-DateToday)+15,IF(Pricetype4=1,1,0),0))),I155)))</f>
        <v> </v>
      </c>
      <c r="S155" s="318" t="str">
        <f aca="false">IF($A155="N/A"," ",IF(Pricetype4=2,MAX(J155,0),IF(OR(Pricetype4=1,Pricetype4=4),IF(J155=0,0,(EURO(J155,Strikeprice4,0,0,($AK155+IF(Smile=TRUE(),VLOOKUP(MAX(-5,Strikeprice4-J155),Volsmile,2),0)),($A155-DateToday)+15,IF(Pricetype4=1,1,0),0))),J155)))</f>
        <v> </v>
      </c>
      <c r="T155" s="318" t="str">
        <f aca="false">IF($A155="N/A"," ",IF(Pricetype4=2,MAX(K155,0),IF(OR(Pricetype4=1,Pricetype4=4),IF(K155=0,0,(EURO(K155,Strikeprice4,0,0,($AK155+IF(Smile=TRUE(),VLOOKUP(MAX(-5,Strikeprice4-K155),Volsmile,2),0)),($A155-DateToday)+15,IF(Pricetype4=1,1,0),0))),K155)))</f>
        <v> </v>
      </c>
      <c r="U155" s="319" t="str">
        <f aca="false">IF($A155="N/A"," ",Volume4*$AM155)</f>
        <v> </v>
      </c>
      <c r="V155" s="320" t="str">
        <f aca="false">IF($A155="N/A"," ",$U155*(8*($BQ155))*L155)</f>
        <v> </v>
      </c>
      <c r="W155" s="320" t="str">
        <f aca="false">IF($A155="N/A"," ",$U155*(8*($BQ155))*M155)</f>
        <v> </v>
      </c>
      <c r="X155" s="320" t="str">
        <f aca="false">IF($A155="N/A"," ",$U155*(8*($BQ155))*N155)</f>
        <v> </v>
      </c>
      <c r="Y155" s="320" t="str">
        <f aca="false">IF($A155="N/A"," ",$U155*(8*($BR155))*O155)</f>
        <v> </v>
      </c>
      <c r="Z155" s="320" t="str">
        <f aca="false">IF($A155="N/A"," ",$U155*(8*($BR155))*P155)</f>
        <v> </v>
      </c>
      <c r="AA155" s="320" t="str">
        <f aca="false">IF($A155="N/A"," ",$U155*(8*($BR155))*Q155)</f>
        <v> </v>
      </c>
      <c r="AB155" s="320" t="str">
        <f aca="false">IF($A155="N/A"," ",$U155*(8*($BS155))*R155)</f>
        <v> </v>
      </c>
      <c r="AC155" s="320" t="str">
        <f aca="false">IF($A155="N/A"," ",$U155*(8*($BS155))*S155)</f>
        <v> </v>
      </c>
      <c r="AD155" s="320" t="str">
        <f aca="false">IF($A155="N/A"," ",$U155*(8*($BS155))*T155)</f>
        <v> </v>
      </c>
      <c r="AE155" s="320" t="str">
        <f aca="false">IF($A155="N/A"," ",SUM(V155:AD155))</f>
        <v> </v>
      </c>
      <c r="AF155" s="321" t="str">
        <f aca="false">IF(A155="N/A"," ",(VLOOKUP(A155,PowerVolTable,(IF(VolBMO4=2,7,IF(VolBMO4=1,6,8))),FALSE())))</f>
        <v> </v>
      </c>
      <c r="AG155" s="321" t="str">
        <f aca="false">IF(A155="N/A"," ",(VLOOKUP(A155,IntraPowerVol,(IF(VolBMO4=2,3,IF(VolBMO4=1,2,4))),FALSE())*VLOOKUP(MONTH($A155),Volscale,2)))</f>
        <v> </v>
      </c>
      <c r="AH155" s="321" t="str">
        <f aca="false">IF($A155="N/A"," ",IF(VolType4=1,AG155,AF155))</f>
        <v> </v>
      </c>
      <c r="AI155" s="321" t="str">
        <f aca="false">IF($A155="N/A"," ",(VLOOKUP($A155,OffPwrVolTable,(IF(VolBMO4=2,7,IF(VolBMO4=1,6,8))),FALSE())))</f>
        <v> </v>
      </c>
      <c r="AJ155" s="321" t="str">
        <f aca="false">IF($A155="N/A"," ",(VLOOKUP($A155,OffPwrVolTable,(IF(VolBMO4=2,3,IF(VolBMO4=1,2,4))),FALSE())*VLOOKUP(MONTH($A155),Volscale,2)))</f>
        <v> </v>
      </c>
      <c r="AK155" s="321" t="str">
        <f aca="false">IF($A155="N/A"," ",IF(VolType4=1,AJ155,AI155))</f>
        <v> </v>
      </c>
      <c r="AL155" s="321" t="str">
        <f aca="false">IF($A155="N/A"," ",IF(PV=1,0,'Pricing Inputs4'!R188))</f>
        <v> </v>
      </c>
      <c r="AM155" s="323" t="str">
        <f aca="false">IF($A155="N/A"," ",(1+AL155/2)^(-2*((EOMONTH(A155,0)+20)-DateToday)/365.25))</f>
        <v> </v>
      </c>
      <c r="BQ155" s="0" t="str">
        <f aca="false">IF($A155="N/A"," ",(VLOOKUP($A155,NumberofDaysTable,2)))</f>
        <v> </v>
      </c>
      <c r="BR155" s="0" t="str">
        <f aca="false">IF($A155="N/A"," ",(VLOOKUP($A155,NumberofDaysTable,3)))</f>
        <v> </v>
      </c>
      <c r="BS155" s="0" t="str">
        <f aca="false">IF($A155="N/A"," ",(VLOOKUP($A155,NumberofDaysTable,4)))</f>
        <v> </v>
      </c>
    </row>
    <row r="156" customFormat="false" ht="12.75" hidden="false" customHeight="false" outlineLevel="0" collapsed="false">
      <c r="A156" s="315" t="str">
        <f aca="false">IF(A155="N/A","N/A",IF(EDATE(A155,1)&gt;Inputs!$R$5,"N/A",EDATE(A155,1)))</f>
        <v>N/A</v>
      </c>
      <c r="B156" s="316" t="str">
        <f aca="false">IF(A156="N/A"," ",YEAR(A156))</f>
        <v> </v>
      </c>
      <c r="C156" s="317" t="str">
        <f aca="false">IF($A156="N/A"," ",IF(Dayrun4=10,0,IF(Scaler4=1,(VLOOKUP(A156,ScaledPrice4,4)),(VLOOKUP(A156,ScaledPrice4,2)))))</f>
        <v> </v>
      </c>
      <c r="D156" s="317" t="str">
        <f aca="false">IF(A156="N/A"," ",IF(Dayrun4&gt;=7,0,IF(Scaler4=2,VLOOKUP(A156,ScaledPrice4,2),(VLOOKUP(A156,ScaledPrice4,2))*(2-(VLOOKUP(A156,ScaledPrice4,3))))))</f>
        <v> </v>
      </c>
      <c r="E156" s="317" t="str">
        <f aca="false">IF($A156="N/A"," ",IF(AND(Dayrun4&gt;=4,Dayrun4&lt;=9),0,VLOOKUP($A156,ScaledPrice4,9)))</f>
        <v> </v>
      </c>
      <c r="F156" s="317" t="str">
        <f aca="false">IF(A156="N/A"," ",IF(OR(Dayrun4=2,Dayrun4=3,Dayrun4=5,Dayrun4=6,Dayrun4=8,Dayrun4=9),VLOOKUP(A156,ScaledPrice4,IF(Scaler4=1,6,5)),0))</f>
        <v> </v>
      </c>
      <c r="G156" s="317" t="str">
        <f aca="false">IF(A156="N/A"," ",IF(OR(Dayrun4=2,Dayrun4=3,Dayrun4=5,Dayrun4=6),IF(Scaler4=2,F156,(VLOOKUP(A156,ScaledPrice4,5))*(2-(VLOOKUP(A156,ScaledPrice4,3)))),0))</f>
        <v> </v>
      </c>
      <c r="H156" s="317" t="str">
        <f aca="false">IF($A156="N/A"," ",IF(OR(Dayrun4=2,Dayrun4=3,Dayrun4=10),VLOOKUP($A156,ScaledPrice4,9),0))</f>
        <v> </v>
      </c>
      <c r="I156" s="317" t="str">
        <f aca="false">IF(A156="N/A"," ",IF(OR(Dayrun4=3,Dayrun4=6,Dayrun4=9),(VLOOKUP(A156,ScaledPrice4,IF(Scaler4=2,7,8))),0))</f>
        <v> </v>
      </c>
      <c r="J156" s="317" t="str">
        <f aca="false">IF(A156="N/A"," ",IF(OR(Dayrun4=3,Dayrun4=6),IF(Scaler4=2,I156,(VLOOKUP(A156,ScaledPrice4,7))*(2-(VLOOKUP(A156,ScaledPrice4,3)))),0))</f>
        <v> </v>
      </c>
      <c r="K156" s="317" t="str">
        <f aca="false">IF($A156="N/A"," ",IF(OR(Dayrun4=3,Dayrun4=10),VLOOKUP($A156,ScaledPrice4,9),0))</f>
        <v> </v>
      </c>
      <c r="L156" s="318" t="str">
        <f aca="false">IF($A156="N/A"," ",IF(Pricetype4=2,MAX(C156,0),IF(OR(Pricetype4=1,Pricetype4=4),IF(C156=0,0,(EURO(C156,Strikeprice4,0,0,($AH156+IF(Smile=TRUE(),VLOOKUP(MAX(-5,Strikeprice4-C156),Volsmile,2),0)),($A156-DateToday)+15,IF(Pricetype4=1,1,0),0))),C156)))</f>
        <v> </v>
      </c>
      <c r="M156" s="318" t="str">
        <f aca="false">IF($A156="N/A"," ",IF(Pricetype4=2,MAX(D156,0),IF(OR(Pricetype4=1,Pricetype4=4),IF(D156=0,0,(EURO(D156,Strikeprice4,0,0,($AH156+IF(Smile=TRUE(),VLOOKUP(MAX(-5,Strikeprice4-D156),Volsmile,2),0)),($A156-DateToday)+15,IF(Pricetype4=1,1,0),0))),D156)))</f>
        <v> </v>
      </c>
      <c r="N156" s="318" t="str">
        <f aca="false">IF($A156="N/A"," ",IF(Pricetype4=2,MAX(E156,0),IF(OR(Pricetype4=1,Pricetype4=4),IF(E156=0,0,(EURO(E156,Strikeprice4,0,0,($AK156+IF(Smile=TRUE(),VLOOKUP(MAX(-5,Strikeprice4-E156),Volsmile,2),0)),($A156-DateToday)+15,IF(Pricetype4=1,1,0),0))),E156)))</f>
        <v> </v>
      </c>
      <c r="O156" s="318" t="str">
        <f aca="false">IF($A156="N/A"," ",IF(Pricetype4=2,MAX(F156,0),IF(OR(Pricetype4=1,Pricetype4=4),IF(F156=0,0,(EURO(F156,Strikeprice4,0,0,($AK156+IF(Smile=TRUE(),VLOOKUP(MAX(-5,Strikeprice4-F156),Volsmile,2),0)),($A156-DateToday)+15,IF(Pricetype4=1,1,0),0))),F156)))</f>
        <v> </v>
      </c>
      <c r="P156" s="318" t="str">
        <f aca="false">IF($A156="N/A"," ",IF(Pricetype4=2,MAX(G156,0),IF(OR(Pricetype4=1,Pricetype4=4),IF(G156=0,0,(EURO(G156,Strikeprice4,0,0,($AK156+IF(Smile=TRUE(),VLOOKUP(MAX(-5,Strikeprice4-G156),Volsmile,2),0)),($A156-DateToday)+15,IF(Pricetype4=1,1,0),0))),G156)))</f>
        <v> </v>
      </c>
      <c r="Q156" s="318" t="str">
        <f aca="false">IF($A156="N/A"," ",IF(Pricetype4=2,MAX(H156,0),IF(OR(Pricetype4=1,Pricetype4=4),IF(H156=0,0,(EURO(H156,Strikeprice4,0,0,($AK156+IF(Smile=TRUE(),VLOOKUP(MAX(-5,Strikeprice4-H156),Volsmile,2),0)),($A156-DateToday)+15,IF(Pricetype4=1,1,0),0))),H156)))</f>
        <v> </v>
      </c>
      <c r="R156" s="318" t="str">
        <f aca="false">IF($A156="N/A"," ",IF(Pricetype4=2,MAX(I156,0),IF(OR(Pricetype4=1,Pricetype4=4),IF(I156=0,0,(EURO(I156,Strikeprice4,0,0,($AK156+IF(Smile=TRUE(),VLOOKUP(MAX(-5,Strikeprice4-I156),Volsmile,2),0)),($A156-DateToday)+15,IF(Pricetype4=1,1,0),0))),I156)))</f>
        <v> </v>
      </c>
      <c r="S156" s="318" t="str">
        <f aca="false">IF($A156="N/A"," ",IF(Pricetype4=2,MAX(J156,0),IF(OR(Pricetype4=1,Pricetype4=4),IF(J156=0,0,(EURO(J156,Strikeprice4,0,0,($AK156+IF(Smile=TRUE(),VLOOKUP(MAX(-5,Strikeprice4-J156),Volsmile,2),0)),($A156-DateToday)+15,IF(Pricetype4=1,1,0),0))),J156)))</f>
        <v> </v>
      </c>
      <c r="T156" s="318" t="str">
        <f aca="false">IF($A156="N/A"," ",IF(Pricetype4=2,MAX(K156,0),IF(OR(Pricetype4=1,Pricetype4=4),IF(K156=0,0,(EURO(K156,Strikeprice4,0,0,($AK156+IF(Smile=TRUE(),VLOOKUP(MAX(-5,Strikeprice4-K156),Volsmile,2),0)),($A156-DateToday)+15,IF(Pricetype4=1,1,0),0))),K156)))</f>
        <v> </v>
      </c>
      <c r="U156" s="319" t="str">
        <f aca="false">IF($A156="N/A"," ",Volume4*$AM156)</f>
        <v> </v>
      </c>
      <c r="V156" s="320" t="str">
        <f aca="false">IF($A156="N/A"," ",$U156*(8*($BQ156))*L156)</f>
        <v> </v>
      </c>
      <c r="W156" s="320" t="str">
        <f aca="false">IF($A156="N/A"," ",$U156*(8*($BQ156))*M156)</f>
        <v> </v>
      </c>
      <c r="X156" s="320" t="str">
        <f aca="false">IF($A156="N/A"," ",$U156*(8*($BQ156))*N156)</f>
        <v> </v>
      </c>
      <c r="Y156" s="320" t="str">
        <f aca="false">IF($A156="N/A"," ",$U156*(8*($BR156))*O156)</f>
        <v> </v>
      </c>
      <c r="Z156" s="320" t="str">
        <f aca="false">IF($A156="N/A"," ",$U156*(8*($BR156))*P156)</f>
        <v> </v>
      </c>
      <c r="AA156" s="320" t="str">
        <f aca="false">IF($A156="N/A"," ",$U156*(8*($BR156))*Q156)</f>
        <v> </v>
      </c>
      <c r="AB156" s="320" t="str">
        <f aca="false">IF($A156="N/A"," ",$U156*(8*($BS156))*R156)</f>
        <v> </v>
      </c>
      <c r="AC156" s="320" t="str">
        <f aca="false">IF($A156="N/A"," ",$U156*(8*($BS156))*S156)</f>
        <v> </v>
      </c>
      <c r="AD156" s="320" t="str">
        <f aca="false">IF($A156="N/A"," ",$U156*(8*($BS156))*T156)</f>
        <v> </v>
      </c>
      <c r="AE156" s="320" t="str">
        <f aca="false">IF($A156="N/A"," ",SUM(V156:AD156))</f>
        <v> </v>
      </c>
      <c r="AF156" s="321" t="str">
        <f aca="false">IF(A156="N/A"," ",(VLOOKUP(A156,PowerVolTable,(IF(VolBMO4=2,7,IF(VolBMO4=1,6,8))),FALSE())))</f>
        <v> </v>
      </c>
      <c r="AG156" s="321" t="str">
        <f aca="false">IF(A156="N/A"," ",(VLOOKUP(A156,IntraPowerVol,(IF(VolBMO4=2,3,IF(VolBMO4=1,2,4))),FALSE())*VLOOKUP(MONTH($A156),Volscale,2)))</f>
        <v> </v>
      </c>
      <c r="AH156" s="321" t="str">
        <f aca="false">IF($A156="N/A"," ",IF(VolType4=1,AG156,AF156))</f>
        <v> </v>
      </c>
      <c r="AI156" s="321" t="str">
        <f aca="false">IF($A156="N/A"," ",(VLOOKUP($A156,OffPwrVolTable,(IF(VolBMO4=2,7,IF(VolBMO4=1,6,8))),FALSE())))</f>
        <v> </v>
      </c>
      <c r="AJ156" s="321" t="str">
        <f aca="false">IF($A156="N/A"," ",(VLOOKUP($A156,OffPwrVolTable,(IF(VolBMO4=2,3,IF(VolBMO4=1,2,4))),FALSE())*VLOOKUP(MONTH($A156),Volscale,2)))</f>
        <v> </v>
      </c>
      <c r="AK156" s="321" t="str">
        <f aca="false">IF($A156="N/A"," ",IF(VolType4=1,AJ156,AI156))</f>
        <v> </v>
      </c>
      <c r="AL156" s="321" t="str">
        <f aca="false">IF($A156="N/A"," ",IF(PV=1,0,'Pricing Inputs4'!R189))</f>
        <v> </v>
      </c>
      <c r="AM156" s="323" t="str">
        <f aca="false">IF($A156="N/A"," ",(1+AL156/2)^(-2*((EOMONTH(A156,0)+20)-DateToday)/365.25))</f>
        <v> </v>
      </c>
      <c r="BQ156" s="0" t="str">
        <f aca="false">IF($A156="N/A"," ",(VLOOKUP($A156,NumberofDaysTable,2)))</f>
        <v> </v>
      </c>
      <c r="BR156" s="0" t="str">
        <f aca="false">IF($A156="N/A"," ",(VLOOKUP($A156,NumberofDaysTable,3)))</f>
        <v> </v>
      </c>
      <c r="BS156" s="0" t="str">
        <f aca="false">IF($A156="N/A"," ",(VLOOKUP($A156,NumberofDaysTable,4)))</f>
        <v> </v>
      </c>
    </row>
    <row r="157" customFormat="false" ht="12.75" hidden="false" customHeight="false" outlineLevel="0" collapsed="false">
      <c r="A157" s="315" t="str">
        <f aca="false">IF(A156="N/A","N/A",IF(EDATE(A156,1)&gt;Inputs!$R$5,"N/A",EDATE(A156,1)))</f>
        <v>N/A</v>
      </c>
      <c r="B157" s="316" t="str">
        <f aca="false">IF(A157="N/A"," ",YEAR(A157))</f>
        <v> </v>
      </c>
      <c r="C157" s="317" t="str">
        <f aca="false">IF($A157="N/A"," ",IF(Dayrun4=10,0,IF(Scaler4=1,(VLOOKUP(A157,ScaledPrice4,4)),(VLOOKUP(A157,ScaledPrice4,2)))))</f>
        <v> </v>
      </c>
      <c r="D157" s="317" t="str">
        <f aca="false">IF(A157="N/A"," ",IF(Dayrun4&gt;=7,0,IF(Scaler4=2,VLOOKUP(A157,ScaledPrice4,2),(VLOOKUP(A157,ScaledPrice4,2))*(2-(VLOOKUP(A157,ScaledPrice4,3))))))</f>
        <v> </v>
      </c>
      <c r="E157" s="317" t="str">
        <f aca="false">IF($A157="N/A"," ",IF(AND(Dayrun4&gt;=4,Dayrun4&lt;=9),0,VLOOKUP($A157,ScaledPrice4,9)))</f>
        <v> </v>
      </c>
      <c r="F157" s="317" t="str">
        <f aca="false">IF(A157="N/A"," ",IF(OR(Dayrun4=2,Dayrun4=3,Dayrun4=5,Dayrun4=6,Dayrun4=8,Dayrun4=9),VLOOKUP(A157,ScaledPrice4,IF(Scaler4=1,6,5)),0))</f>
        <v> </v>
      </c>
      <c r="G157" s="317" t="str">
        <f aca="false">IF(A157="N/A"," ",IF(OR(Dayrun4=2,Dayrun4=3,Dayrun4=5,Dayrun4=6),IF(Scaler4=2,F157,(VLOOKUP(A157,ScaledPrice4,5))*(2-(VLOOKUP(A157,ScaledPrice4,3)))),0))</f>
        <v> </v>
      </c>
      <c r="H157" s="317" t="str">
        <f aca="false">IF($A157="N/A"," ",IF(OR(Dayrun4=2,Dayrun4=3,Dayrun4=10),VLOOKUP($A157,ScaledPrice4,9),0))</f>
        <v> </v>
      </c>
      <c r="I157" s="317" t="str">
        <f aca="false">IF(A157="N/A"," ",IF(OR(Dayrun4=3,Dayrun4=6,Dayrun4=9),(VLOOKUP(A157,ScaledPrice4,IF(Scaler4=2,7,8))),0))</f>
        <v> </v>
      </c>
      <c r="J157" s="317" t="str">
        <f aca="false">IF(A157="N/A"," ",IF(OR(Dayrun4=3,Dayrun4=6),IF(Scaler4=2,I157,(VLOOKUP(A157,ScaledPrice4,7))*(2-(VLOOKUP(A157,ScaledPrice4,3)))),0))</f>
        <v> </v>
      </c>
      <c r="K157" s="317" t="str">
        <f aca="false">IF($A157="N/A"," ",IF(OR(Dayrun4=3,Dayrun4=10),VLOOKUP($A157,ScaledPrice4,9),0))</f>
        <v> </v>
      </c>
      <c r="L157" s="318" t="str">
        <f aca="false">IF($A157="N/A"," ",IF(Pricetype4=2,MAX(C157,0),IF(OR(Pricetype4=1,Pricetype4=4),IF(C157=0,0,(EURO(C157,Strikeprice4,0,0,($AH157+IF(Smile=TRUE(),VLOOKUP(MAX(-5,Strikeprice4-C157),Volsmile,2),0)),($A157-DateToday)+15,IF(Pricetype4=1,1,0),0))),C157)))</f>
        <v> </v>
      </c>
      <c r="M157" s="318" t="str">
        <f aca="false">IF($A157="N/A"," ",IF(Pricetype4=2,MAX(D157,0),IF(OR(Pricetype4=1,Pricetype4=4),IF(D157=0,0,(EURO(D157,Strikeprice4,0,0,($AH157+IF(Smile=TRUE(),VLOOKUP(MAX(-5,Strikeprice4-D157),Volsmile,2),0)),($A157-DateToday)+15,IF(Pricetype4=1,1,0),0))),D157)))</f>
        <v> </v>
      </c>
      <c r="N157" s="318" t="str">
        <f aca="false">IF($A157="N/A"," ",IF(Pricetype4=2,MAX(E157,0),IF(OR(Pricetype4=1,Pricetype4=4),IF(E157=0,0,(EURO(E157,Strikeprice4,0,0,($AK157+IF(Smile=TRUE(),VLOOKUP(MAX(-5,Strikeprice4-E157),Volsmile,2),0)),($A157-DateToday)+15,IF(Pricetype4=1,1,0),0))),E157)))</f>
        <v> </v>
      </c>
      <c r="O157" s="318" t="str">
        <f aca="false">IF($A157="N/A"," ",IF(Pricetype4=2,MAX(F157,0),IF(OR(Pricetype4=1,Pricetype4=4),IF(F157=0,0,(EURO(F157,Strikeprice4,0,0,($AK157+IF(Smile=TRUE(),VLOOKUP(MAX(-5,Strikeprice4-F157),Volsmile,2),0)),($A157-DateToday)+15,IF(Pricetype4=1,1,0),0))),F157)))</f>
        <v> </v>
      </c>
      <c r="P157" s="318" t="str">
        <f aca="false">IF($A157="N/A"," ",IF(Pricetype4=2,MAX(G157,0),IF(OR(Pricetype4=1,Pricetype4=4),IF(G157=0,0,(EURO(G157,Strikeprice4,0,0,($AK157+IF(Smile=TRUE(),VLOOKUP(MAX(-5,Strikeprice4-G157),Volsmile,2),0)),($A157-DateToday)+15,IF(Pricetype4=1,1,0),0))),G157)))</f>
        <v> </v>
      </c>
      <c r="Q157" s="318" t="str">
        <f aca="false">IF($A157="N/A"," ",IF(Pricetype4=2,MAX(H157,0),IF(OR(Pricetype4=1,Pricetype4=4),IF(H157=0,0,(EURO(H157,Strikeprice4,0,0,($AK157+IF(Smile=TRUE(),VLOOKUP(MAX(-5,Strikeprice4-H157),Volsmile,2),0)),($A157-DateToday)+15,IF(Pricetype4=1,1,0),0))),H157)))</f>
        <v> </v>
      </c>
      <c r="R157" s="318" t="str">
        <f aca="false">IF($A157="N/A"," ",IF(Pricetype4=2,MAX(I157,0),IF(OR(Pricetype4=1,Pricetype4=4),IF(I157=0,0,(EURO(I157,Strikeprice4,0,0,($AK157+IF(Smile=TRUE(),VLOOKUP(MAX(-5,Strikeprice4-I157),Volsmile,2),0)),($A157-DateToday)+15,IF(Pricetype4=1,1,0),0))),I157)))</f>
        <v> </v>
      </c>
      <c r="S157" s="318" t="str">
        <f aca="false">IF($A157="N/A"," ",IF(Pricetype4=2,MAX(J157,0),IF(OR(Pricetype4=1,Pricetype4=4),IF(J157=0,0,(EURO(J157,Strikeprice4,0,0,($AK157+IF(Smile=TRUE(),VLOOKUP(MAX(-5,Strikeprice4-J157),Volsmile,2),0)),($A157-DateToday)+15,IF(Pricetype4=1,1,0),0))),J157)))</f>
        <v> </v>
      </c>
      <c r="T157" s="318" t="str">
        <f aca="false">IF($A157="N/A"," ",IF(Pricetype4=2,MAX(K157,0),IF(OR(Pricetype4=1,Pricetype4=4),IF(K157=0,0,(EURO(K157,Strikeprice4,0,0,($AK157+IF(Smile=TRUE(),VLOOKUP(MAX(-5,Strikeprice4-K157),Volsmile,2),0)),($A157-DateToday)+15,IF(Pricetype4=1,1,0),0))),K157)))</f>
        <v> </v>
      </c>
      <c r="U157" s="319" t="str">
        <f aca="false">IF($A157="N/A"," ",Volume4*$AM157)</f>
        <v> </v>
      </c>
      <c r="V157" s="320" t="str">
        <f aca="false">IF($A157="N/A"," ",$U157*(8*($BQ157))*L157)</f>
        <v> </v>
      </c>
      <c r="W157" s="320" t="str">
        <f aca="false">IF($A157="N/A"," ",$U157*(8*($BQ157))*M157)</f>
        <v> </v>
      </c>
      <c r="X157" s="320" t="str">
        <f aca="false">IF($A157="N/A"," ",$U157*(8*($BQ157))*N157)</f>
        <v> </v>
      </c>
      <c r="Y157" s="320" t="str">
        <f aca="false">IF($A157="N/A"," ",$U157*(8*($BR157))*O157)</f>
        <v> </v>
      </c>
      <c r="Z157" s="320" t="str">
        <f aca="false">IF($A157="N/A"," ",$U157*(8*($BR157))*P157)</f>
        <v> </v>
      </c>
      <c r="AA157" s="320" t="str">
        <f aca="false">IF($A157="N/A"," ",$U157*(8*($BR157))*Q157)</f>
        <v> </v>
      </c>
      <c r="AB157" s="320" t="str">
        <f aca="false">IF($A157="N/A"," ",$U157*(8*($BS157))*R157)</f>
        <v> </v>
      </c>
      <c r="AC157" s="320" t="str">
        <f aca="false">IF($A157="N/A"," ",$U157*(8*($BS157))*S157)</f>
        <v> </v>
      </c>
      <c r="AD157" s="320" t="str">
        <f aca="false">IF($A157="N/A"," ",$U157*(8*($BS157))*T157)</f>
        <v> </v>
      </c>
      <c r="AE157" s="320" t="str">
        <f aca="false">IF($A157="N/A"," ",SUM(V157:AD157))</f>
        <v> </v>
      </c>
      <c r="AF157" s="321" t="str">
        <f aca="false">IF(A157="N/A"," ",(VLOOKUP(A157,PowerVolTable,(IF(VolBMO4=2,7,IF(VolBMO4=1,6,8))),FALSE())))</f>
        <v> </v>
      </c>
      <c r="AG157" s="321" t="str">
        <f aca="false">IF(A157="N/A"," ",(VLOOKUP(A157,IntraPowerVol,(IF(VolBMO4=2,3,IF(VolBMO4=1,2,4))),FALSE())*VLOOKUP(MONTH($A157),Volscale,2)))</f>
        <v> </v>
      </c>
      <c r="AH157" s="321" t="str">
        <f aca="false">IF($A157="N/A"," ",IF(VolType4=1,AG157,AF157))</f>
        <v> </v>
      </c>
      <c r="AI157" s="321" t="str">
        <f aca="false">IF($A157="N/A"," ",(VLOOKUP($A157,OffPwrVolTable,(IF(VolBMO4=2,7,IF(VolBMO4=1,6,8))),FALSE())))</f>
        <v> </v>
      </c>
      <c r="AJ157" s="321" t="str">
        <f aca="false">IF($A157="N/A"," ",(VLOOKUP($A157,OffPwrVolTable,(IF(VolBMO4=2,3,IF(VolBMO4=1,2,4))),FALSE())*VLOOKUP(MONTH($A157),Volscale,2)))</f>
        <v> </v>
      </c>
      <c r="AK157" s="321" t="str">
        <f aca="false">IF($A157="N/A"," ",IF(VolType4=1,AJ157,AI157))</f>
        <v> </v>
      </c>
      <c r="AL157" s="321" t="str">
        <f aca="false">IF($A157="N/A"," ",IF(PV=1,0,'Pricing Inputs4'!R190))</f>
        <v> </v>
      </c>
      <c r="AM157" s="323" t="str">
        <f aca="false">IF($A157="N/A"," ",(1+AL157/2)^(-2*((EOMONTH(A157,0)+20)-DateToday)/365.25))</f>
        <v> </v>
      </c>
      <c r="BQ157" s="0" t="str">
        <f aca="false">IF($A157="N/A"," ",(VLOOKUP($A157,NumberofDaysTable,2)))</f>
        <v> </v>
      </c>
      <c r="BR157" s="0" t="str">
        <f aca="false">IF($A157="N/A"," ",(VLOOKUP($A157,NumberofDaysTable,3)))</f>
        <v> </v>
      </c>
      <c r="BS157" s="0" t="str">
        <f aca="false">IF($A157="N/A"," ",(VLOOKUP($A157,NumberofDaysTable,4)))</f>
        <v> </v>
      </c>
    </row>
    <row r="158" customFormat="false" ht="12.75" hidden="false" customHeight="false" outlineLevel="0" collapsed="false">
      <c r="A158" s="315" t="str">
        <f aca="false">IF(A157="N/A","N/A",IF(EDATE(A157,1)&gt;Inputs!$R$5,"N/A",EDATE(A157,1)))</f>
        <v>N/A</v>
      </c>
      <c r="B158" s="316" t="str">
        <f aca="false">IF(A158="N/A"," ",YEAR(A158))</f>
        <v> </v>
      </c>
      <c r="C158" s="317" t="str">
        <f aca="false">IF($A158="N/A"," ",IF(Dayrun4=10,0,IF(Scaler4=1,(VLOOKUP(A158,ScaledPrice4,4)),(VLOOKUP(A158,ScaledPrice4,2)))))</f>
        <v> </v>
      </c>
      <c r="D158" s="317" t="str">
        <f aca="false">IF(A158="N/A"," ",IF(Dayrun4&gt;=7,0,IF(Scaler4=2,VLOOKUP(A158,ScaledPrice4,2),(VLOOKUP(A158,ScaledPrice4,2))*(2-(VLOOKUP(A158,ScaledPrice4,3))))))</f>
        <v> </v>
      </c>
      <c r="E158" s="317" t="str">
        <f aca="false">IF($A158="N/A"," ",IF(AND(Dayrun4&gt;=4,Dayrun4&lt;=9),0,VLOOKUP($A158,ScaledPrice4,9)))</f>
        <v> </v>
      </c>
      <c r="F158" s="317" t="str">
        <f aca="false">IF(A158="N/A"," ",IF(OR(Dayrun4=2,Dayrun4=3,Dayrun4=5,Dayrun4=6,Dayrun4=8,Dayrun4=9),VLOOKUP(A158,ScaledPrice4,IF(Scaler4=1,6,5)),0))</f>
        <v> </v>
      </c>
      <c r="G158" s="317" t="str">
        <f aca="false">IF(A158="N/A"," ",IF(OR(Dayrun4=2,Dayrun4=3,Dayrun4=5,Dayrun4=6),IF(Scaler4=2,F158,(VLOOKUP(A158,ScaledPrice4,5))*(2-(VLOOKUP(A158,ScaledPrice4,3)))),0))</f>
        <v> </v>
      </c>
      <c r="H158" s="317" t="str">
        <f aca="false">IF($A158="N/A"," ",IF(OR(Dayrun4=2,Dayrun4=3,Dayrun4=10),VLOOKUP($A158,ScaledPrice4,9),0))</f>
        <v> </v>
      </c>
      <c r="I158" s="317" t="str">
        <f aca="false">IF(A158="N/A"," ",IF(OR(Dayrun4=3,Dayrun4=6,Dayrun4=9),(VLOOKUP(A158,ScaledPrice4,IF(Scaler4=2,7,8))),0))</f>
        <v> </v>
      </c>
      <c r="J158" s="317" t="str">
        <f aca="false">IF(A158="N/A"," ",IF(OR(Dayrun4=3,Dayrun4=6),IF(Scaler4=2,I158,(VLOOKUP(A158,ScaledPrice4,7))*(2-(VLOOKUP(A158,ScaledPrice4,3)))),0))</f>
        <v> </v>
      </c>
      <c r="K158" s="317" t="str">
        <f aca="false">IF($A158="N/A"," ",IF(OR(Dayrun4=3,Dayrun4=10),VLOOKUP($A158,ScaledPrice4,9),0))</f>
        <v> </v>
      </c>
      <c r="L158" s="318" t="str">
        <f aca="false">IF($A158="N/A"," ",IF(Pricetype4=2,MAX(C158,0),IF(OR(Pricetype4=1,Pricetype4=4),IF(C158=0,0,(EURO(C158,Strikeprice4,0,0,($AH158+IF(Smile=TRUE(),VLOOKUP(MAX(-5,Strikeprice4-C158),Volsmile,2),0)),($A158-DateToday)+15,IF(Pricetype4=1,1,0),0))),C158)))</f>
        <v> </v>
      </c>
      <c r="M158" s="318" t="str">
        <f aca="false">IF($A158="N/A"," ",IF(Pricetype4=2,MAX(D158,0),IF(OR(Pricetype4=1,Pricetype4=4),IF(D158=0,0,(EURO(D158,Strikeprice4,0,0,($AH158+IF(Smile=TRUE(),VLOOKUP(MAX(-5,Strikeprice4-D158),Volsmile,2),0)),($A158-DateToday)+15,IF(Pricetype4=1,1,0),0))),D158)))</f>
        <v> </v>
      </c>
      <c r="N158" s="318" t="str">
        <f aca="false">IF($A158="N/A"," ",IF(Pricetype4=2,MAX(E158,0),IF(OR(Pricetype4=1,Pricetype4=4),IF(E158=0,0,(EURO(E158,Strikeprice4,0,0,($AK158+IF(Smile=TRUE(),VLOOKUP(MAX(-5,Strikeprice4-E158),Volsmile,2),0)),($A158-DateToday)+15,IF(Pricetype4=1,1,0),0))),E158)))</f>
        <v> </v>
      </c>
      <c r="O158" s="318" t="str">
        <f aca="false">IF($A158="N/A"," ",IF(Pricetype4=2,MAX(F158,0),IF(OR(Pricetype4=1,Pricetype4=4),IF(F158=0,0,(EURO(F158,Strikeprice4,0,0,($AK158+IF(Smile=TRUE(),VLOOKUP(MAX(-5,Strikeprice4-F158),Volsmile,2),0)),($A158-DateToday)+15,IF(Pricetype4=1,1,0),0))),F158)))</f>
        <v> </v>
      </c>
      <c r="P158" s="318" t="str">
        <f aca="false">IF($A158="N/A"," ",IF(Pricetype4=2,MAX(G158,0),IF(OR(Pricetype4=1,Pricetype4=4),IF(G158=0,0,(EURO(G158,Strikeprice4,0,0,($AK158+IF(Smile=TRUE(),VLOOKUP(MAX(-5,Strikeprice4-G158),Volsmile,2),0)),($A158-DateToday)+15,IF(Pricetype4=1,1,0),0))),G158)))</f>
        <v> </v>
      </c>
      <c r="Q158" s="318" t="str">
        <f aca="false">IF($A158="N/A"," ",IF(Pricetype4=2,MAX(H158,0),IF(OR(Pricetype4=1,Pricetype4=4),IF(H158=0,0,(EURO(H158,Strikeprice4,0,0,($AK158+IF(Smile=TRUE(),VLOOKUP(MAX(-5,Strikeprice4-H158),Volsmile,2),0)),($A158-DateToday)+15,IF(Pricetype4=1,1,0),0))),H158)))</f>
        <v> </v>
      </c>
      <c r="R158" s="318" t="str">
        <f aca="false">IF($A158="N/A"," ",IF(Pricetype4=2,MAX(I158,0),IF(OR(Pricetype4=1,Pricetype4=4),IF(I158=0,0,(EURO(I158,Strikeprice4,0,0,($AK158+IF(Smile=TRUE(),VLOOKUP(MAX(-5,Strikeprice4-I158),Volsmile,2),0)),($A158-DateToday)+15,IF(Pricetype4=1,1,0),0))),I158)))</f>
        <v> </v>
      </c>
      <c r="S158" s="318" t="str">
        <f aca="false">IF($A158="N/A"," ",IF(Pricetype4=2,MAX(J158,0),IF(OR(Pricetype4=1,Pricetype4=4),IF(J158=0,0,(EURO(J158,Strikeprice4,0,0,($AK158+IF(Smile=TRUE(),VLOOKUP(MAX(-5,Strikeprice4-J158),Volsmile,2),0)),($A158-DateToday)+15,IF(Pricetype4=1,1,0),0))),J158)))</f>
        <v> </v>
      </c>
      <c r="T158" s="318" t="str">
        <f aca="false">IF($A158="N/A"," ",IF(Pricetype4=2,MAX(K158,0),IF(OR(Pricetype4=1,Pricetype4=4),IF(K158=0,0,(EURO(K158,Strikeprice4,0,0,($AK158+IF(Smile=TRUE(),VLOOKUP(MAX(-5,Strikeprice4-K158),Volsmile,2),0)),($A158-DateToday)+15,IF(Pricetype4=1,1,0),0))),K158)))</f>
        <v> </v>
      </c>
      <c r="U158" s="319" t="str">
        <f aca="false">IF($A158="N/A"," ",Volume4*$AM158)</f>
        <v> </v>
      </c>
      <c r="V158" s="320" t="str">
        <f aca="false">IF($A158="N/A"," ",$U158*(8*($BQ158))*L158)</f>
        <v> </v>
      </c>
      <c r="W158" s="320" t="str">
        <f aca="false">IF($A158="N/A"," ",$U158*(8*($BQ158))*M158)</f>
        <v> </v>
      </c>
      <c r="X158" s="320" t="str">
        <f aca="false">IF($A158="N/A"," ",$U158*(8*($BQ158))*N158)</f>
        <v> </v>
      </c>
      <c r="Y158" s="320" t="str">
        <f aca="false">IF($A158="N/A"," ",$U158*(8*($BR158))*O158)</f>
        <v> </v>
      </c>
      <c r="Z158" s="320" t="str">
        <f aca="false">IF($A158="N/A"," ",$U158*(8*($BR158))*P158)</f>
        <v> </v>
      </c>
      <c r="AA158" s="320" t="str">
        <f aca="false">IF($A158="N/A"," ",$U158*(8*($BR158))*Q158)</f>
        <v> </v>
      </c>
      <c r="AB158" s="320" t="str">
        <f aca="false">IF($A158="N/A"," ",$U158*(8*($BS158))*R158)</f>
        <v> </v>
      </c>
      <c r="AC158" s="320" t="str">
        <f aca="false">IF($A158="N/A"," ",$U158*(8*($BS158))*S158)</f>
        <v> </v>
      </c>
      <c r="AD158" s="320" t="str">
        <f aca="false">IF($A158="N/A"," ",$U158*(8*($BS158))*T158)</f>
        <v> </v>
      </c>
      <c r="AE158" s="320" t="str">
        <f aca="false">IF($A158="N/A"," ",SUM(V158:AD158))</f>
        <v> </v>
      </c>
      <c r="AF158" s="321" t="str">
        <f aca="false">IF(A158="N/A"," ",(VLOOKUP(A158,PowerVolTable,(IF(VolBMO4=2,7,IF(VolBMO4=1,6,8))),FALSE())))</f>
        <v> </v>
      </c>
      <c r="AG158" s="321" t="str">
        <f aca="false">IF(A158="N/A"," ",(VLOOKUP(A158,IntraPowerVol,(IF(VolBMO4=2,3,IF(VolBMO4=1,2,4))),FALSE())*VLOOKUP(MONTH($A158),Volscale,2)))</f>
        <v> </v>
      </c>
      <c r="AH158" s="321" t="str">
        <f aca="false">IF($A158="N/A"," ",IF(VolType4=1,AG158,AF158))</f>
        <v> </v>
      </c>
      <c r="AI158" s="321" t="str">
        <f aca="false">IF($A158="N/A"," ",(VLOOKUP($A158,OffPwrVolTable,(IF(VolBMO4=2,7,IF(VolBMO4=1,6,8))),FALSE())))</f>
        <v> </v>
      </c>
      <c r="AJ158" s="321" t="str">
        <f aca="false">IF($A158="N/A"," ",(VLOOKUP($A158,OffPwrVolTable,(IF(VolBMO4=2,3,IF(VolBMO4=1,2,4))),FALSE())*VLOOKUP(MONTH($A158),Volscale,2)))</f>
        <v> </v>
      </c>
      <c r="AK158" s="321" t="str">
        <f aca="false">IF($A158="N/A"," ",IF(VolType4=1,AJ158,AI158))</f>
        <v> </v>
      </c>
      <c r="AL158" s="321" t="str">
        <f aca="false">IF($A158="N/A"," ",IF(PV=1,0,'Pricing Inputs4'!R191))</f>
        <v> </v>
      </c>
      <c r="AM158" s="323" t="str">
        <f aca="false">IF($A158="N/A"," ",(1+AL158/2)^(-2*((EOMONTH(A158,0)+20)-DateToday)/365.25))</f>
        <v> </v>
      </c>
      <c r="BQ158" s="0" t="str">
        <f aca="false">IF($A158="N/A"," ",(VLOOKUP($A158,NumberofDaysTable,2)))</f>
        <v> </v>
      </c>
      <c r="BR158" s="0" t="str">
        <f aca="false">IF($A158="N/A"," ",(VLOOKUP($A158,NumberofDaysTable,3)))</f>
        <v> </v>
      </c>
      <c r="BS158" s="0" t="str">
        <f aca="false">IF($A158="N/A"," ",(VLOOKUP($A158,NumberofDaysTable,4)))</f>
        <v> </v>
      </c>
    </row>
    <row r="159" customFormat="false" ht="12.75" hidden="false" customHeight="false" outlineLevel="0" collapsed="false">
      <c r="A159" s="315" t="str">
        <f aca="false">IF(A158="N/A","N/A",IF(EDATE(A158,1)&gt;Inputs!$R$5,"N/A",EDATE(A158,1)))</f>
        <v>N/A</v>
      </c>
      <c r="B159" s="316" t="str">
        <f aca="false">IF(A159="N/A"," ",YEAR(A159))</f>
        <v> </v>
      </c>
      <c r="C159" s="317" t="str">
        <f aca="false">IF($A159="N/A"," ",IF(Dayrun4=10,0,IF(Scaler4=1,(VLOOKUP(A159,ScaledPrice4,4)),(VLOOKUP(A159,ScaledPrice4,2)))))</f>
        <v> </v>
      </c>
      <c r="D159" s="317" t="str">
        <f aca="false">IF(A159="N/A"," ",IF(Dayrun4&gt;=7,0,IF(Scaler4=2,VLOOKUP(A159,ScaledPrice4,2),(VLOOKUP(A159,ScaledPrice4,2))*(2-(VLOOKUP(A159,ScaledPrice4,3))))))</f>
        <v> </v>
      </c>
      <c r="E159" s="317" t="str">
        <f aca="false">IF($A159="N/A"," ",IF(AND(Dayrun4&gt;=4,Dayrun4&lt;=9),0,VLOOKUP($A159,ScaledPrice4,9)))</f>
        <v> </v>
      </c>
      <c r="F159" s="317" t="str">
        <f aca="false">IF(A159="N/A"," ",IF(OR(Dayrun4=2,Dayrun4=3,Dayrun4=5,Dayrun4=6,Dayrun4=8,Dayrun4=9),VLOOKUP(A159,ScaledPrice4,IF(Scaler4=1,6,5)),0))</f>
        <v> </v>
      </c>
      <c r="G159" s="317" t="str">
        <f aca="false">IF(A159="N/A"," ",IF(OR(Dayrun4=2,Dayrun4=3,Dayrun4=5,Dayrun4=6),IF(Scaler4=2,F159,(VLOOKUP(A159,ScaledPrice4,5))*(2-(VLOOKUP(A159,ScaledPrice4,3)))),0))</f>
        <v> </v>
      </c>
      <c r="H159" s="317" t="str">
        <f aca="false">IF($A159="N/A"," ",IF(OR(Dayrun4=2,Dayrun4=3,Dayrun4=10),VLOOKUP($A159,ScaledPrice4,9),0))</f>
        <v> </v>
      </c>
      <c r="I159" s="317" t="str">
        <f aca="false">IF(A159="N/A"," ",IF(OR(Dayrun4=3,Dayrun4=6,Dayrun4=9),(VLOOKUP(A159,ScaledPrice4,IF(Scaler4=2,7,8))),0))</f>
        <v> </v>
      </c>
      <c r="J159" s="317" t="str">
        <f aca="false">IF(A159="N/A"," ",IF(OR(Dayrun4=3,Dayrun4=6),IF(Scaler4=2,I159,(VLOOKUP(A159,ScaledPrice4,7))*(2-(VLOOKUP(A159,ScaledPrice4,3)))),0))</f>
        <v> </v>
      </c>
      <c r="K159" s="317" t="str">
        <f aca="false">IF($A159="N/A"," ",IF(OR(Dayrun4=3,Dayrun4=10),VLOOKUP($A159,ScaledPrice4,9),0))</f>
        <v> </v>
      </c>
      <c r="L159" s="318" t="str">
        <f aca="false">IF($A159="N/A"," ",IF(Pricetype4=2,MAX(C159,0),IF(OR(Pricetype4=1,Pricetype4=4),IF(C159=0,0,(EURO(C159,Strikeprice4,0,0,($AH159+IF(Smile=TRUE(),VLOOKUP(MAX(-5,Strikeprice4-C159),Volsmile,2),0)),($A159-DateToday)+15,IF(Pricetype4=1,1,0),0))),C159)))</f>
        <v> </v>
      </c>
      <c r="M159" s="318" t="str">
        <f aca="false">IF($A159="N/A"," ",IF(Pricetype4=2,MAX(D159,0),IF(OR(Pricetype4=1,Pricetype4=4),IF(D159=0,0,(EURO(D159,Strikeprice4,0,0,($AH159+IF(Smile=TRUE(),VLOOKUP(MAX(-5,Strikeprice4-D159),Volsmile,2),0)),($A159-DateToday)+15,IF(Pricetype4=1,1,0),0))),D159)))</f>
        <v> </v>
      </c>
      <c r="N159" s="318" t="str">
        <f aca="false">IF($A159="N/A"," ",IF(Pricetype4=2,MAX(E159,0),IF(OR(Pricetype4=1,Pricetype4=4),IF(E159=0,0,(EURO(E159,Strikeprice4,0,0,($AK159+IF(Smile=TRUE(),VLOOKUP(MAX(-5,Strikeprice4-E159),Volsmile,2),0)),($A159-DateToday)+15,IF(Pricetype4=1,1,0),0))),E159)))</f>
        <v> </v>
      </c>
      <c r="O159" s="318" t="str">
        <f aca="false">IF($A159="N/A"," ",IF(Pricetype4=2,MAX(F159,0),IF(OR(Pricetype4=1,Pricetype4=4),IF(F159=0,0,(EURO(F159,Strikeprice4,0,0,($AK159+IF(Smile=TRUE(),VLOOKUP(MAX(-5,Strikeprice4-F159),Volsmile,2),0)),($A159-DateToday)+15,IF(Pricetype4=1,1,0),0))),F159)))</f>
        <v> </v>
      </c>
      <c r="P159" s="318" t="str">
        <f aca="false">IF($A159="N/A"," ",IF(Pricetype4=2,MAX(G159,0),IF(OR(Pricetype4=1,Pricetype4=4),IF(G159=0,0,(EURO(G159,Strikeprice4,0,0,($AK159+IF(Smile=TRUE(),VLOOKUP(MAX(-5,Strikeprice4-G159),Volsmile,2),0)),($A159-DateToday)+15,IF(Pricetype4=1,1,0),0))),G159)))</f>
        <v> </v>
      </c>
      <c r="Q159" s="318" t="str">
        <f aca="false">IF($A159="N/A"," ",IF(Pricetype4=2,MAX(H159,0),IF(OR(Pricetype4=1,Pricetype4=4),IF(H159=0,0,(EURO(H159,Strikeprice4,0,0,($AK159+IF(Smile=TRUE(),VLOOKUP(MAX(-5,Strikeprice4-H159),Volsmile,2),0)),($A159-DateToday)+15,IF(Pricetype4=1,1,0),0))),H159)))</f>
        <v> </v>
      </c>
      <c r="R159" s="318" t="str">
        <f aca="false">IF($A159="N/A"," ",IF(Pricetype4=2,MAX(I159,0),IF(OR(Pricetype4=1,Pricetype4=4),IF(I159=0,0,(EURO(I159,Strikeprice4,0,0,($AK159+IF(Smile=TRUE(),VLOOKUP(MAX(-5,Strikeprice4-I159),Volsmile,2),0)),($A159-DateToday)+15,IF(Pricetype4=1,1,0),0))),I159)))</f>
        <v> </v>
      </c>
      <c r="S159" s="318" t="str">
        <f aca="false">IF($A159="N/A"," ",IF(Pricetype4=2,MAX(J159,0),IF(OR(Pricetype4=1,Pricetype4=4),IF(J159=0,0,(EURO(J159,Strikeprice4,0,0,($AK159+IF(Smile=TRUE(),VLOOKUP(MAX(-5,Strikeprice4-J159),Volsmile,2),0)),($A159-DateToday)+15,IF(Pricetype4=1,1,0),0))),J159)))</f>
        <v> </v>
      </c>
      <c r="T159" s="318" t="str">
        <f aca="false">IF($A159="N/A"," ",IF(Pricetype4=2,MAX(K159,0),IF(OR(Pricetype4=1,Pricetype4=4),IF(K159=0,0,(EURO(K159,Strikeprice4,0,0,($AK159+IF(Smile=TRUE(),VLOOKUP(MAX(-5,Strikeprice4-K159),Volsmile,2),0)),($A159-DateToday)+15,IF(Pricetype4=1,1,0),0))),K159)))</f>
        <v> </v>
      </c>
      <c r="U159" s="319" t="str">
        <f aca="false">IF($A159="N/A"," ",Volume4*$AM159)</f>
        <v> </v>
      </c>
      <c r="V159" s="320" t="str">
        <f aca="false">IF($A159="N/A"," ",$U159*(8*($BQ159))*L159)</f>
        <v> </v>
      </c>
      <c r="W159" s="320" t="str">
        <f aca="false">IF($A159="N/A"," ",$U159*(8*($BQ159))*M159)</f>
        <v> </v>
      </c>
      <c r="X159" s="320" t="str">
        <f aca="false">IF($A159="N/A"," ",$U159*(8*($BQ159))*N159)</f>
        <v> </v>
      </c>
      <c r="Y159" s="320" t="str">
        <f aca="false">IF($A159="N/A"," ",$U159*(8*($BR159))*O159)</f>
        <v> </v>
      </c>
      <c r="Z159" s="320" t="str">
        <f aca="false">IF($A159="N/A"," ",$U159*(8*($BR159))*P159)</f>
        <v> </v>
      </c>
      <c r="AA159" s="320" t="str">
        <f aca="false">IF($A159="N/A"," ",$U159*(8*($BR159))*Q159)</f>
        <v> </v>
      </c>
      <c r="AB159" s="320" t="str">
        <f aca="false">IF($A159="N/A"," ",$U159*(8*($BS159))*R159)</f>
        <v> </v>
      </c>
      <c r="AC159" s="320" t="str">
        <f aca="false">IF($A159="N/A"," ",$U159*(8*($BS159))*S159)</f>
        <v> </v>
      </c>
      <c r="AD159" s="320" t="str">
        <f aca="false">IF($A159="N/A"," ",$U159*(8*($BS159))*T159)</f>
        <v> </v>
      </c>
      <c r="AE159" s="320" t="str">
        <f aca="false">IF($A159="N/A"," ",SUM(V159:AD159))</f>
        <v> </v>
      </c>
      <c r="AF159" s="321" t="str">
        <f aca="false">IF(A159="N/A"," ",(VLOOKUP(A159,PowerVolTable,(IF(VolBMO4=2,7,IF(VolBMO4=1,6,8))),FALSE())))</f>
        <v> </v>
      </c>
      <c r="AG159" s="321" t="str">
        <f aca="false">IF(A159="N/A"," ",(VLOOKUP(A159,IntraPowerVol,(IF(VolBMO4=2,3,IF(VolBMO4=1,2,4))),FALSE())*VLOOKUP(MONTH($A159),Volscale,2)))</f>
        <v> </v>
      </c>
      <c r="AH159" s="321" t="str">
        <f aca="false">IF($A159="N/A"," ",IF(VolType4=1,AG159,AF159))</f>
        <v> </v>
      </c>
      <c r="AI159" s="321" t="str">
        <f aca="false">IF($A159="N/A"," ",(VLOOKUP($A159,OffPwrVolTable,(IF(VolBMO4=2,7,IF(VolBMO4=1,6,8))),FALSE())))</f>
        <v> </v>
      </c>
      <c r="AJ159" s="321" t="str">
        <f aca="false">IF($A159="N/A"," ",(VLOOKUP($A159,OffPwrVolTable,(IF(VolBMO4=2,3,IF(VolBMO4=1,2,4))),FALSE())*VLOOKUP(MONTH($A159),Volscale,2)))</f>
        <v> </v>
      </c>
      <c r="AK159" s="321" t="str">
        <f aca="false">IF($A159="N/A"," ",IF(VolType4=1,AJ159,AI159))</f>
        <v> </v>
      </c>
      <c r="AL159" s="321" t="str">
        <f aca="false">IF($A159="N/A"," ",IF(PV=1,0,'Pricing Inputs4'!R192))</f>
        <v> </v>
      </c>
      <c r="AM159" s="323" t="str">
        <f aca="false">IF($A159="N/A"," ",(1+AL159/2)^(-2*((EOMONTH(A159,0)+20)-DateToday)/365.25))</f>
        <v> </v>
      </c>
      <c r="BQ159" s="0" t="str">
        <f aca="false">IF($A159="N/A"," ",(VLOOKUP($A159,NumberofDaysTable,2)))</f>
        <v> </v>
      </c>
      <c r="BR159" s="0" t="str">
        <f aca="false">IF($A159="N/A"," ",(VLOOKUP($A159,NumberofDaysTable,3)))</f>
        <v> </v>
      </c>
      <c r="BS159" s="0" t="str">
        <f aca="false">IF($A159="N/A"," ",(VLOOKUP($A159,NumberofDaysTable,4)))</f>
        <v> </v>
      </c>
    </row>
    <row r="160" customFormat="false" ht="12.75" hidden="false" customHeight="false" outlineLevel="0" collapsed="false">
      <c r="A160" s="315" t="str">
        <f aca="false">IF(A159="N/A","N/A",IF(EDATE(A159,1)&gt;Inputs!$R$5,"N/A",EDATE(A159,1)))</f>
        <v>N/A</v>
      </c>
      <c r="B160" s="316" t="str">
        <f aca="false">IF(A160="N/A"," ",YEAR(A160))</f>
        <v> </v>
      </c>
      <c r="C160" s="317" t="str">
        <f aca="false">IF($A160="N/A"," ",IF(Dayrun4=10,0,IF(Scaler4=1,(VLOOKUP(A160,ScaledPrice4,4)),(VLOOKUP(A160,ScaledPrice4,2)))))</f>
        <v> </v>
      </c>
      <c r="D160" s="317" t="str">
        <f aca="false">IF(A160="N/A"," ",IF(Dayrun4&gt;=7,0,IF(Scaler4=2,VLOOKUP(A160,ScaledPrice4,2),(VLOOKUP(A160,ScaledPrice4,2))*(2-(VLOOKUP(A160,ScaledPrice4,3))))))</f>
        <v> </v>
      </c>
      <c r="E160" s="317" t="str">
        <f aca="false">IF($A160="N/A"," ",IF(AND(Dayrun4&gt;=4,Dayrun4&lt;=9),0,VLOOKUP($A160,ScaledPrice4,9)))</f>
        <v> </v>
      </c>
      <c r="F160" s="317" t="str">
        <f aca="false">IF(A160="N/A"," ",IF(OR(Dayrun4=2,Dayrun4=3,Dayrun4=5,Dayrun4=6,Dayrun4=8,Dayrun4=9),VLOOKUP(A160,ScaledPrice4,IF(Scaler4=1,6,5)),0))</f>
        <v> </v>
      </c>
      <c r="G160" s="317" t="str">
        <f aca="false">IF(A160="N/A"," ",IF(OR(Dayrun4=2,Dayrun4=3,Dayrun4=5,Dayrun4=6),IF(Scaler4=2,F160,(VLOOKUP(A160,ScaledPrice4,5))*(2-(VLOOKUP(A160,ScaledPrice4,3)))),0))</f>
        <v> </v>
      </c>
      <c r="H160" s="317" t="str">
        <f aca="false">IF($A160="N/A"," ",IF(OR(Dayrun4=2,Dayrun4=3,Dayrun4=10),VLOOKUP($A160,ScaledPrice4,9),0))</f>
        <v> </v>
      </c>
      <c r="I160" s="317" t="str">
        <f aca="false">IF(A160="N/A"," ",IF(OR(Dayrun4=3,Dayrun4=6,Dayrun4=9),(VLOOKUP(A160,ScaledPrice4,IF(Scaler4=2,7,8))),0))</f>
        <v> </v>
      </c>
      <c r="J160" s="317" t="str">
        <f aca="false">IF(A160="N/A"," ",IF(OR(Dayrun4=3,Dayrun4=6),IF(Scaler4=2,I160,(VLOOKUP(A160,ScaledPrice4,7))*(2-(VLOOKUP(A160,ScaledPrice4,3)))),0))</f>
        <v> </v>
      </c>
      <c r="K160" s="317" t="str">
        <f aca="false">IF($A160="N/A"," ",IF(OR(Dayrun4=3,Dayrun4=10),VLOOKUP($A160,ScaledPrice4,9),0))</f>
        <v> </v>
      </c>
      <c r="L160" s="318" t="str">
        <f aca="false">IF($A160="N/A"," ",IF(Pricetype4=2,MAX(C160,0),IF(OR(Pricetype4=1,Pricetype4=4),IF(C160=0,0,(EURO(C160,Strikeprice4,0,0,($AH160+IF(Smile=TRUE(),VLOOKUP(MAX(-5,Strikeprice4-C160),Volsmile,2),0)),($A160-DateToday)+15,IF(Pricetype4=1,1,0),0))),C160)))</f>
        <v> </v>
      </c>
      <c r="M160" s="318" t="str">
        <f aca="false">IF($A160="N/A"," ",IF(Pricetype4=2,MAX(D160,0),IF(OR(Pricetype4=1,Pricetype4=4),IF(D160=0,0,(EURO(D160,Strikeprice4,0,0,($AH160+IF(Smile=TRUE(),VLOOKUP(MAX(-5,Strikeprice4-D160),Volsmile,2),0)),($A160-DateToday)+15,IF(Pricetype4=1,1,0),0))),D160)))</f>
        <v> </v>
      </c>
      <c r="N160" s="318" t="str">
        <f aca="false">IF($A160="N/A"," ",IF(Pricetype4=2,MAX(E160,0),IF(OR(Pricetype4=1,Pricetype4=4),IF(E160=0,0,(EURO(E160,Strikeprice4,0,0,($AK160+IF(Smile=TRUE(),VLOOKUP(MAX(-5,Strikeprice4-E160),Volsmile,2),0)),($A160-DateToday)+15,IF(Pricetype4=1,1,0),0))),E160)))</f>
        <v> </v>
      </c>
      <c r="O160" s="318" t="str">
        <f aca="false">IF($A160="N/A"," ",IF(Pricetype4=2,MAX(F160,0),IF(OR(Pricetype4=1,Pricetype4=4),IF(F160=0,0,(EURO(F160,Strikeprice4,0,0,($AK160+IF(Smile=TRUE(),VLOOKUP(MAX(-5,Strikeprice4-F160),Volsmile,2),0)),($A160-DateToday)+15,IF(Pricetype4=1,1,0),0))),F160)))</f>
        <v> </v>
      </c>
      <c r="P160" s="318" t="str">
        <f aca="false">IF($A160="N/A"," ",IF(Pricetype4=2,MAX(G160,0),IF(OR(Pricetype4=1,Pricetype4=4),IF(G160=0,0,(EURO(G160,Strikeprice4,0,0,($AK160+IF(Smile=TRUE(),VLOOKUP(MAX(-5,Strikeprice4-G160),Volsmile,2),0)),($A160-DateToday)+15,IF(Pricetype4=1,1,0),0))),G160)))</f>
        <v> </v>
      </c>
      <c r="Q160" s="318" t="str">
        <f aca="false">IF($A160="N/A"," ",IF(Pricetype4=2,MAX(H160,0),IF(OR(Pricetype4=1,Pricetype4=4),IF(H160=0,0,(EURO(H160,Strikeprice4,0,0,($AK160+IF(Smile=TRUE(),VLOOKUP(MAX(-5,Strikeprice4-H160),Volsmile,2),0)),($A160-DateToday)+15,IF(Pricetype4=1,1,0),0))),H160)))</f>
        <v> </v>
      </c>
      <c r="R160" s="318" t="str">
        <f aca="false">IF($A160="N/A"," ",IF(Pricetype4=2,MAX(I160,0),IF(OR(Pricetype4=1,Pricetype4=4),IF(I160=0,0,(EURO(I160,Strikeprice4,0,0,($AK160+IF(Smile=TRUE(),VLOOKUP(MAX(-5,Strikeprice4-I160),Volsmile,2),0)),($A160-DateToday)+15,IF(Pricetype4=1,1,0),0))),I160)))</f>
        <v> </v>
      </c>
      <c r="S160" s="318" t="str">
        <f aca="false">IF($A160="N/A"," ",IF(Pricetype4=2,MAX(J160,0),IF(OR(Pricetype4=1,Pricetype4=4),IF(J160=0,0,(EURO(J160,Strikeprice4,0,0,($AK160+IF(Smile=TRUE(),VLOOKUP(MAX(-5,Strikeprice4-J160),Volsmile,2),0)),($A160-DateToday)+15,IF(Pricetype4=1,1,0),0))),J160)))</f>
        <v> </v>
      </c>
      <c r="T160" s="318" t="str">
        <f aca="false">IF($A160="N/A"," ",IF(Pricetype4=2,MAX(K160,0),IF(OR(Pricetype4=1,Pricetype4=4),IF(K160=0,0,(EURO(K160,Strikeprice4,0,0,($AK160+IF(Smile=TRUE(),VLOOKUP(MAX(-5,Strikeprice4-K160),Volsmile,2),0)),($A160-DateToday)+15,IF(Pricetype4=1,1,0),0))),K160)))</f>
        <v> </v>
      </c>
      <c r="U160" s="319" t="str">
        <f aca="false">IF($A160="N/A"," ",Volume4*$AM160)</f>
        <v> </v>
      </c>
      <c r="V160" s="320" t="str">
        <f aca="false">IF($A160="N/A"," ",$U160*(8*($BQ160))*L160)</f>
        <v> </v>
      </c>
      <c r="W160" s="320" t="str">
        <f aca="false">IF($A160="N/A"," ",$U160*(8*($BQ160))*M160)</f>
        <v> </v>
      </c>
      <c r="X160" s="320" t="str">
        <f aca="false">IF($A160="N/A"," ",$U160*(8*($BQ160))*N160)</f>
        <v> </v>
      </c>
      <c r="Y160" s="320" t="str">
        <f aca="false">IF($A160="N/A"," ",$U160*(8*($BR160))*O160)</f>
        <v> </v>
      </c>
      <c r="Z160" s="320" t="str">
        <f aca="false">IF($A160="N/A"," ",$U160*(8*($BR160))*P160)</f>
        <v> </v>
      </c>
      <c r="AA160" s="320" t="str">
        <f aca="false">IF($A160="N/A"," ",$U160*(8*($BR160))*Q160)</f>
        <v> </v>
      </c>
      <c r="AB160" s="320" t="str">
        <f aca="false">IF($A160="N/A"," ",$U160*(8*($BS160))*R160)</f>
        <v> </v>
      </c>
      <c r="AC160" s="320" t="str">
        <f aca="false">IF($A160="N/A"," ",$U160*(8*($BS160))*S160)</f>
        <v> </v>
      </c>
      <c r="AD160" s="320" t="str">
        <f aca="false">IF($A160="N/A"," ",$U160*(8*($BS160))*T160)</f>
        <v> </v>
      </c>
      <c r="AE160" s="320" t="str">
        <f aca="false">IF($A160="N/A"," ",SUM(V160:AD160))</f>
        <v> </v>
      </c>
      <c r="AF160" s="321" t="str">
        <f aca="false">IF(A160="N/A"," ",(VLOOKUP(A160,PowerVolTable,(IF(VolBMO4=2,7,IF(VolBMO4=1,6,8))),FALSE())))</f>
        <v> </v>
      </c>
      <c r="AG160" s="321" t="str">
        <f aca="false">IF(A160="N/A"," ",(VLOOKUP(A160,IntraPowerVol,(IF(VolBMO4=2,3,IF(VolBMO4=1,2,4))),FALSE())*VLOOKUP(MONTH($A160),Volscale,2)))</f>
        <v> </v>
      </c>
      <c r="AH160" s="321" t="str">
        <f aca="false">IF($A160="N/A"," ",IF(VolType4=1,AG160,AF160))</f>
        <v> </v>
      </c>
      <c r="AI160" s="321" t="str">
        <f aca="false">IF($A160="N/A"," ",(VLOOKUP($A160,OffPwrVolTable,(IF(VolBMO4=2,7,IF(VolBMO4=1,6,8))),FALSE())))</f>
        <v> </v>
      </c>
      <c r="AJ160" s="321" t="str">
        <f aca="false">IF($A160="N/A"," ",(VLOOKUP($A160,OffPwrVolTable,(IF(VolBMO4=2,3,IF(VolBMO4=1,2,4))),FALSE())*VLOOKUP(MONTH($A160),Volscale,2)))</f>
        <v> </v>
      </c>
      <c r="AK160" s="321" t="str">
        <f aca="false">IF($A160="N/A"," ",IF(VolType4=1,AJ160,AI160))</f>
        <v> </v>
      </c>
      <c r="AL160" s="321" t="str">
        <f aca="false">IF($A160="N/A"," ",IF(PV=1,0,'Pricing Inputs4'!R193))</f>
        <v> </v>
      </c>
      <c r="AM160" s="323" t="str">
        <f aca="false">IF($A160="N/A"," ",(1+AL160/2)^(-2*((EOMONTH(A160,0)+20)-DateToday)/365.25))</f>
        <v> </v>
      </c>
      <c r="BQ160" s="0" t="str">
        <f aca="false">IF($A160="N/A"," ",(VLOOKUP($A160,NumberofDaysTable,2)))</f>
        <v> </v>
      </c>
      <c r="BR160" s="0" t="str">
        <f aca="false">IF($A160="N/A"," ",(VLOOKUP($A160,NumberofDaysTable,3)))</f>
        <v> </v>
      </c>
      <c r="BS160" s="0" t="str">
        <f aca="false">IF($A160="N/A"," ",(VLOOKUP($A160,NumberofDaysTable,4)))</f>
        <v> </v>
      </c>
    </row>
    <row r="161" customFormat="false" ht="12.75" hidden="false" customHeight="false" outlineLevel="0" collapsed="false">
      <c r="A161" s="315" t="str">
        <f aca="false">IF(A160="N/A","N/A",IF(EDATE(A160,1)&gt;Inputs!$R$5,"N/A",EDATE(A160,1)))</f>
        <v>N/A</v>
      </c>
      <c r="B161" s="316" t="str">
        <f aca="false">IF(A161="N/A"," ",YEAR(A161))</f>
        <v> </v>
      </c>
      <c r="C161" s="317" t="str">
        <f aca="false">IF($A161="N/A"," ",IF(Dayrun4=10,0,IF(Scaler4=1,(VLOOKUP(A161,ScaledPrice4,4)),(VLOOKUP(A161,ScaledPrice4,2)))))</f>
        <v> </v>
      </c>
      <c r="D161" s="317" t="str">
        <f aca="false">IF(A161="N/A"," ",IF(Dayrun4&gt;=7,0,IF(Scaler4=2,VLOOKUP(A161,ScaledPrice4,2),(VLOOKUP(A161,ScaledPrice4,2))*(2-(VLOOKUP(A161,ScaledPrice4,3))))))</f>
        <v> </v>
      </c>
      <c r="E161" s="317" t="str">
        <f aca="false">IF($A161="N/A"," ",IF(AND(Dayrun4&gt;=4,Dayrun4&lt;=9),0,VLOOKUP($A161,ScaledPrice4,9)))</f>
        <v> </v>
      </c>
      <c r="F161" s="317" t="str">
        <f aca="false">IF(A161="N/A"," ",IF(OR(Dayrun4=2,Dayrun4=3,Dayrun4=5,Dayrun4=6,Dayrun4=8,Dayrun4=9),VLOOKUP(A161,ScaledPrice4,IF(Scaler4=1,6,5)),0))</f>
        <v> </v>
      </c>
      <c r="G161" s="317" t="str">
        <f aca="false">IF(A161="N/A"," ",IF(OR(Dayrun4=2,Dayrun4=3,Dayrun4=5,Dayrun4=6),IF(Scaler4=2,F161,(VLOOKUP(A161,ScaledPrice4,5))*(2-(VLOOKUP(A161,ScaledPrice4,3)))),0))</f>
        <v> </v>
      </c>
      <c r="H161" s="317" t="str">
        <f aca="false">IF($A161="N/A"," ",IF(OR(Dayrun4=2,Dayrun4=3,Dayrun4=10),VLOOKUP($A161,ScaledPrice4,9),0))</f>
        <v> </v>
      </c>
      <c r="I161" s="317" t="str">
        <f aca="false">IF(A161="N/A"," ",IF(OR(Dayrun4=3,Dayrun4=6,Dayrun4=9),(VLOOKUP(A161,ScaledPrice4,IF(Scaler4=2,7,8))),0))</f>
        <v> </v>
      </c>
      <c r="J161" s="317" t="str">
        <f aca="false">IF(A161="N/A"," ",IF(OR(Dayrun4=3,Dayrun4=6),IF(Scaler4=2,I161,(VLOOKUP(A161,ScaledPrice4,7))*(2-(VLOOKUP(A161,ScaledPrice4,3)))),0))</f>
        <v> </v>
      </c>
      <c r="K161" s="317" t="str">
        <f aca="false">IF($A161="N/A"," ",IF(OR(Dayrun4=3,Dayrun4=10),VLOOKUP($A161,ScaledPrice4,9),0))</f>
        <v> </v>
      </c>
      <c r="L161" s="318" t="str">
        <f aca="false">IF($A161="N/A"," ",IF(Pricetype4=2,MAX(C161,0),IF(OR(Pricetype4=1,Pricetype4=4),IF(C161=0,0,(EURO(C161,Strikeprice4,0,0,($AH161+IF(Smile=TRUE(),VLOOKUP(MAX(-5,Strikeprice4-C161),Volsmile,2),0)),($A161-DateToday)+15,IF(Pricetype4=1,1,0),0))),C161)))</f>
        <v> </v>
      </c>
      <c r="M161" s="318" t="str">
        <f aca="false">IF($A161="N/A"," ",IF(Pricetype4=2,MAX(D161,0),IF(OR(Pricetype4=1,Pricetype4=4),IF(D161=0,0,(EURO(D161,Strikeprice4,0,0,($AH161+IF(Smile=TRUE(),VLOOKUP(MAX(-5,Strikeprice4-D161),Volsmile,2),0)),($A161-DateToday)+15,IF(Pricetype4=1,1,0),0))),D161)))</f>
        <v> </v>
      </c>
      <c r="N161" s="318" t="str">
        <f aca="false">IF($A161="N/A"," ",IF(Pricetype4=2,MAX(E161,0),IF(OR(Pricetype4=1,Pricetype4=4),IF(E161=0,0,(EURO(E161,Strikeprice4,0,0,($AK161+IF(Smile=TRUE(),VLOOKUP(MAX(-5,Strikeprice4-E161),Volsmile,2),0)),($A161-DateToday)+15,IF(Pricetype4=1,1,0),0))),E161)))</f>
        <v> </v>
      </c>
      <c r="O161" s="318" t="str">
        <f aca="false">IF($A161="N/A"," ",IF(Pricetype4=2,MAX(F161,0),IF(OR(Pricetype4=1,Pricetype4=4),IF(F161=0,0,(EURO(F161,Strikeprice4,0,0,($AK161+IF(Smile=TRUE(),VLOOKUP(MAX(-5,Strikeprice4-F161),Volsmile,2),0)),($A161-DateToday)+15,IF(Pricetype4=1,1,0),0))),F161)))</f>
        <v> </v>
      </c>
      <c r="P161" s="318" t="str">
        <f aca="false">IF($A161="N/A"," ",IF(Pricetype4=2,MAX(G161,0),IF(OR(Pricetype4=1,Pricetype4=4),IF(G161=0,0,(EURO(G161,Strikeprice4,0,0,($AK161+IF(Smile=TRUE(),VLOOKUP(MAX(-5,Strikeprice4-G161),Volsmile,2),0)),($A161-DateToday)+15,IF(Pricetype4=1,1,0),0))),G161)))</f>
        <v> </v>
      </c>
      <c r="Q161" s="318" t="str">
        <f aca="false">IF($A161="N/A"," ",IF(Pricetype4=2,MAX(H161,0),IF(OR(Pricetype4=1,Pricetype4=4),IF(H161=0,0,(EURO(H161,Strikeprice4,0,0,($AK161+IF(Smile=TRUE(),VLOOKUP(MAX(-5,Strikeprice4-H161),Volsmile,2),0)),($A161-DateToday)+15,IF(Pricetype4=1,1,0),0))),H161)))</f>
        <v> </v>
      </c>
      <c r="R161" s="318" t="str">
        <f aca="false">IF($A161="N/A"," ",IF(Pricetype4=2,MAX(I161,0),IF(OR(Pricetype4=1,Pricetype4=4),IF(I161=0,0,(EURO(I161,Strikeprice4,0,0,($AK161+IF(Smile=TRUE(),VLOOKUP(MAX(-5,Strikeprice4-I161),Volsmile,2),0)),($A161-DateToday)+15,IF(Pricetype4=1,1,0),0))),I161)))</f>
        <v> </v>
      </c>
      <c r="S161" s="318" t="str">
        <f aca="false">IF($A161="N/A"," ",IF(Pricetype4=2,MAX(J161,0),IF(OR(Pricetype4=1,Pricetype4=4),IF(J161=0,0,(EURO(J161,Strikeprice4,0,0,($AK161+IF(Smile=TRUE(),VLOOKUP(MAX(-5,Strikeprice4-J161),Volsmile,2),0)),($A161-DateToday)+15,IF(Pricetype4=1,1,0),0))),J161)))</f>
        <v> </v>
      </c>
      <c r="T161" s="318" t="str">
        <f aca="false">IF($A161="N/A"," ",IF(Pricetype4=2,MAX(K161,0),IF(OR(Pricetype4=1,Pricetype4=4),IF(K161=0,0,(EURO(K161,Strikeprice4,0,0,($AK161+IF(Smile=TRUE(),VLOOKUP(MAX(-5,Strikeprice4-K161),Volsmile,2),0)),($A161-DateToday)+15,IF(Pricetype4=1,1,0),0))),K161)))</f>
        <v> </v>
      </c>
      <c r="U161" s="319" t="str">
        <f aca="false">IF($A161="N/A"," ",Volume4*$AM161)</f>
        <v> </v>
      </c>
      <c r="V161" s="320" t="str">
        <f aca="false">IF($A161="N/A"," ",$U161*(8*($BQ161))*L161)</f>
        <v> </v>
      </c>
      <c r="W161" s="320" t="str">
        <f aca="false">IF($A161="N/A"," ",$U161*(8*($BQ161))*M161)</f>
        <v> </v>
      </c>
      <c r="X161" s="320" t="str">
        <f aca="false">IF($A161="N/A"," ",$U161*(8*($BQ161))*N161)</f>
        <v> </v>
      </c>
      <c r="Y161" s="320" t="str">
        <f aca="false">IF($A161="N/A"," ",$U161*(8*($BR161))*O161)</f>
        <v> </v>
      </c>
      <c r="Z161" s="320" t="str">
        <f aca="false">IF($A161="N/A"," ",$U161*(8*($BR161))*P161)</f>
        <v> </v>
      </c>
      <c r="AA161" s="320" t="str">
        <f aca="false">IF($A161="N/A"," ",$U161*(8*($BR161))*Q161)</f>
        <v> </v>
      </c>
      <c r="AB161" s="320" t="str">
        <f aca="false">IF($A161="N/A"," ",$U161*(8*($BS161))*R161)</f>
        <v> </v>
      </c>
      <c r="AC161" s="320" t="str">
        <f aca="false">IF($A161="N/A"," ",$U161*(8*($BS161))*S161)</f>
        <v> </v>
      </c>
      <c r="AD161" s="320" t="str">
        <f aca="false">IF($A161="N/A"," ",$U161*(8*($BS161))*T161)</f>
        <v> </v>
      </c>
      <c r="AE161" s="320" t="str">
        <f aca="false">IF($A161="N/A"," ",SUM(V161:AD161))</f>
        <v> </v>
      </c>
      <c r="AF161" s="321" t="str">
        <f aca="false">IF(A161="N/A"," ",(VLOOKUP(A161,PowerVolTable,(IF(VolBMO4=2,7,IF(VolBMO4=1,6,8))),FALSE())))</f>
        <v> </v>
      </c>
      <c r="AG161" s="321" t="str">
        <f aca="false">IF(A161="N/A"," ",(VLOOKUP(A161,IntraPowerVol,(IF(VolBMO4=2,3,IF(VolBMO4=1,2,4))),FALSE())*VLOOKUP(MONTH($A161),Volscale,2)))</f>
        <v> </v>
      </c>
      <c r="AH161" s="321" t="str">
        <f aca="false">IF($A161="N/A"," ",IF(VolType4=1,AG161,AF161))</f>
        <v> </v>
      </c>
      <c r="AI161" s="321" t="str">
        <f aca="false">IF($A161="N/A"," ",(VLOOKUP($A161,OffPwrVolTable,(IF(VolBMO4=2,7,IF(VolBMO4=1,6,8))),FALSE())))</f>
        <v> </v>
      </c>
      <c r="AJ161" s="321" t="str">
        <f aca="false">IF($A161="N/A"," ",(VLOOKUP($A161,OffPwrVolTable,(IF(VolBMO4=2,3,IF(VolBMO4=1,2,4))),FALSE())*VLOOKUP(MONTH($A161),Volscale,2)))</f>
        <v> </v>
      </c>
      <c r="AK161" s="321" t="str">
        <f aca="false">IF($A161="N/A"," ",IF(VolType4=1,AJ161,AI161))</f>
        <v> </v>
      </c>
      <c r="AL161" s="321" t="str">
        <f aca="false">IF($A161="N/A"," ",IF(PV=1,0,'Pricing Inputs4'!R194))</f>
        <v> </v>
      </c>
      <c r="AM161" s="323" t="str">
        <f aca="false">IF($A161="N/A"," ",(1+AL161/2)^(-2*((EOMONTH(A161,0)+20)-DateToday)/365.25))</f>
        <v> </v>
      </c>
      <c r="BQ161" s="0" t="str">
        <f aca="false">IF($A161="N/A"," ",(VLOOKUP($A161,NumberofDaysTable,2)))</f>
        <v> </v>
      </c>
      <c r="BR161" s="0" t="str">
        <f aca="false">IF($A161="N/A"," ",(VLOOKUP($A161,NumberofDaysTable,3)))</f>
        <v> </v>
      </c>
      <c r="BS161" s="0" t="str">
        <f aca="false">IF($A161="N/A"," ",(VLOOKUP($A161,NumberofDaysTable,4)))</f>
        <v> </v>
      </c>
    </row>
    <row r="162" customFormat="false" ht="12.75" hidden="false" customHeight="false" outlineLevel="0" collapsed="false">
      <c r="A162" s="315" t="str">
        <f aca="false">IF(A161="N/A","N/A",IF(EDATE(A161,1)&gt;Inputs!$R$5,"N/A",EDATE(A161,1)))</f>
        <v>N/A</v>
      </c>
      <c r="B162" s="316" t="str">
        <f aca="false">IF(A162="N/A"," ",YEAR(A162))</f>
        <v> </v>
      </c>
      <c r="C162" s="317" t="str">
        <f aca="false">IF($A162="N/A"," ",IF(Dayrun4=10,0,IF(Scaler4=1,(VLOOKUP(A162,ScaledPrice4,4)),(VLOOKUP(A162,ScaledPrice4,2)))))</f>
        <v> </v>
      </c>
      <c r="D162" s="317" t="str">
        <f aca="false">IF(A162="N/A"," ",IF(Dayrun4&gt;=7,0,IF(Scaler4=2,VLOOKUP(A162,ScaledPrice4,2),(VLOOKUP(A162,ScaledPrice4,2))*(2-(VLOOKUP(A162,ScaledPrice4,3))))))</f>
        <v> </v>
      </c>
      <c r="E162" s="317" t="str">
        <f aca="false">IF($A162="N/A"," ",IF(AND(Dayrun4&gt;=4,Dayrun4&lt;=9),0,VLOOKUP($A162,ScaledPrice4,9)))</f>
        <v> </v>
      </c>
      <c r="F162" s="317" t="str">
        <f aca="false">IF(A162="N/A"," ",IF(OR(Dayrun4=2,Dayrun4=3,Dayrun4=5,Dayrun4=6,Dayrun4=8,Dayrun4=9),VLOOKUP(A162,ScaledPrice4,IF(Scaler4=1,6,5)),0))</f>
        <v> </v>
      </c>
      <c r="G162" s="317" t="str">
        <f aca="false">IF(A162="N/A"," ",IF(OR(Dayrun4=2,Dayrun4=3,Dayrun4=5,Dayrun4=6),IF(Scaler4=2,F162,(VLOOKUP(A162,ScaledPrice4,5))*(2-(VLOOKUP(A162,ScaledPrice4,3)))),0))</f>
        <v> </v>
      </c>
      <c r="H162" s="317" t="str">
        <f aca="false">IF($A162="N/A"," ",IF(OR(Dayrun4=2,Dayrun4=3,Dayrun4=10),VLOOKUP($A162,ScaledPrice4,9),0))</f>
        <v> </v>
      </c>
      <c r="I162" s="317" t="str">
        <f aca="false">IF(A162="N/A"," ",IF(OR(Dayrun4=3,Dayrun4=6,Dayrun4=9),(VLOOKUP(A162,ScaledPrice4,IF(Scaler4=2,7,8))),0))</f>
        <v> </v>
      </c>
      <c r="J162" s="317" t="str">
        <f aca="false">IF(A162="N/A"," ",IF(OR(Dayrun4=3,Dayrun4=6),IF(Scaler4=2,I162,(VLOOKUP(A162,ScaledPrice4,7))*(2-(VLOOKUP(A162,ScaledPrice4,3)))),0))</f>
        <v> </v>
      </c>
      <c r="K162" s="317" t="str">
        <f aca="false">IF($A162="N/A"," ",IF(OR(Dayrun4=3,Dayrun4=10),VLOOKUP($A162,ScaledPrice4,9),0))</f>
        <v> </v>
      </c>
      <c r="L162" s="318" t="str">
        <f aca="false">IF($A162="N/A"," ",IF(Pricetype4=2,MAX(C162,0),IF(OR(Pricetype4=1,Pricetype4=4),IF(C162=0,0,(EURO(C162,Strikeprice4,0,0,($AH162+IF(Smile=TRUE(),VLOOKUP(MAX(-5,Strikeprice4-C162),Volsmile,2),0)),($A162-DateToday)+15,IF(Pricetype4=1,1,0),0))),C162)))</f>
        <v> </v>
      </c>
      <c r="M162" s="318" t="str">
        <f aca="false">IF($A162="N/A"," ",IF(Pricetype4=2,MAX(D162,0),IF(OR(Pricetype4=1,Pricetype4=4),IF(D162=0,0,(EURO(D162,Strikeprice4,0,0,($AH162+IF(Smile=TRUE(),VLOOKUP(MAX(-5,Strikeprice4-D162),Volsmile,2),0)),($A162-DateToday)+15,IF(Pricetype4=1,1,0),0))),D162)))</f>
        <v> </v>
      </c>
      <c r="N162" s="318" t="str">
        <f aca="false">IF($A162="N/A"," ",IF(Pricetype4=2,MAX(E162,0),IF(OR(Pricetype4=1,Pricetype4=4),IF(E162=0,0,(EURO(E162,Strikeprice4,0,0,($AK162+IF(Smile=TRUE(),VLOOKUP(MAX(-5,Strikeprice4-E162),Volsmile,2),0)),($A162-DateToday)+15,IF(Pricetype4=1,1,0),0))),E162)))</f>
        <v> </v>
      </c>
      <c r="O162" s="318" t="str">
        <f aca="false">IF($A162="N/A"," ",IF(Pricetype4=2,MAX(F162,0),IF(OR(Pricetype4=1,Pricetype4=4),IF(F162=0,0,(EURO(F162,Strikeprice4,0,0,($AK162+IF(Smile=TRUE(),VLOOKUP(MAX(-5,Strikeprice4-F162),Volsmile,2),0)),($A162-DateToday)+15,IF(Pricetype4=1,1,0),0))),F162)))</f>
        <v> </v>
      </c>
      <c r="P162" s="318" t="str">
        <f aca="false">IF($A162="N/A"," ",IF(Pricetype4=2,MAX(G162,0),IF(OR(Pricetype4=1,Pricetype4=4),IF(G162=0,0,(EURO(G162,Strikeprice4,0,0,($AK162+IF(Smile=TRUE(),VLOOKUP(MAX(-5,Strikeprice4-G162),Volsmile,2),0)),($A162-DateToday)+15,IF(Pricetype4=1,1,0),0))),G162)))</f>
        <v> </v>
      </c>
      <c r="Q162" s="318" t="str">
        <f aca="false">IF($A162="N/A"," ",IF(Pricetype4=2,MAX(H162,0),IF(OR(Pricetype4=1,Pricetype4=4),IF(H162=0,0,(EURO(H162,Strikeprice4,0,0,($AK162+IF(Smile=TRUE(),VLOOKUP(MAX(-5,Strikeprice4-H162),Volsmile,2),0)),($A162-DateToday)+15,IF(Pricetype4=1,1,0),0))),H162)))</f>
        <v> </v>
      </c>
      <c r="R162" s="318" t="str">
        <f aca="false">IF($A162="N/A"," ",IF(Pricetype4=2,MAX(I162,0),IF(OR(Pricetype4=1,Pricetype4=4),IF(I162=0,0,(EURO(I162,Strikeprice4,0,0,($AK162+IF(Smile=TRUE(),VLOOKUP(MAX(-5,Strikeprice4-I162),Volsmile,2),0)),($A162-DateToday)+15,IF(Pricetype4=1,1,0),0))),I162)))</f>
        <v> </v>
      </c>
      <c r="S162" s="318" t="str">
        <f aca="false">IF($A162="N/A"," ",IF(Pricetype4=2,MAX(J162,0),IF(OR(Pricetype4=1,Pricetype4=4),IF(J162=0,0,(EURO(J162,Strikeprice4,0,0,($AK162+IF(Smile=TRUE(),VLOOKUP(MAX(-5,Strikeprice4-J162),Volsmile,2),0)),($A162-DateToday)+15,IF(Pricetype4=1,1,0),0))),J162)))</f>
        <v> </v>
      </c>
      <c r="T162" s="318" t="str">
        <f aca="false">IF($A162="N/A"," ",IF(Pricetype4=2,MAX(K162,0),IF(OR(Pricetype4=1,Pricetype4=4),IF(K162=0,0,(EURO(K162,Strikeprice4,0,0,($AK162+IF(Smile=TRUE(),VLOOKUP(MAX(-5,Strikeprice4-K162),Volsmile,2),0)),($A162-DateToday)+15,IF(Pricetype4=1,1,0),0))),K162)))</f>
        <v> </v>
      </c>
      <c r="U162" s="319" t="str">
        <f aca="false">IF($A162="N/A"," ",Volume4*$AM162)</f>
        <v> </v>
      </c>
      <c r="V162" s="320" t="str">
        <f aca="false">IF($A162="N/A"," ",$U162*(8*($BQ162))*L162)</f>
        <v> </v>
      </c>
      <c r="W162" s="320" t="str">
        <f aca="false">IF($A162="N/A"," ",$U162*(8*($BQ162))*M162)</f>
        <v> </v>
      </c>
      <c r="X162" s="320" t="str">
        <f aca="false">IF($A162="N/A"," ",$U162*(8*($BQ162))*N162)</f>
        <v> </v>
      </c>
      <c r="Y162" s="320" t="str">
        <f aca="false">IF($A162="N/A"," ",$U162*(8*($BR162))*O162)</f>
        <v> </v>
      </c>
      <c r="Z162" s="320" t="str">
        <f aca="false">IF($A162="N/A"," ",$U162*(8*($BR162))*P162)</f>
        <v> </v>
      </c>
      <c r="AA162" s="320" t="str">
        <f aca="false">IF($A162="N/A"," ",$U162*(8*($BR162))*Q162)</f>
        <v> </v>
      </c>
      <c r="AB162" s="320" t="str">
        <f aca="false">IF($A162="N/A"," ",$U162*(8*($BS162))*R162)</f>
        <v> </v>
      </c>
      <c r="AC162" s="320" t="str">
        <f aca="false">IF($A162="N/A"," ",$U162*(8*($BS162))*S162)</f>
        <v> </v>
      </c>
      <c r="AD162" s="320" t="str">
        <f aca="false">IF($A162="N/A"," ",$U162*(8*($BS162))*T162)</f>
        <v> </v>
      </c>
      <c r="AE162" s="320" t="str">
        <f aca="false">IF($A162="N/A"," ",SUM(V162:AD162))</f>
        <v> </v>
      </c>
      <c r="AF162" s="321" t="str">
        <f aca="false">IF(A162="N/A"," ",(VLOOKUP(A162,PowerVolTable,(IF(VolBMO4=2,7,IF(VolBMO4=1,6,8))),FALSE())))</f>
        <v> </v>
      </c>
      <c r="AG162" s="321" t="str">
        <f aca="false">IF(A162="N/A"," ",(VLOOKUP(A162,IntraPowerVol,(IF(VolBMO4=2,3,IF(VolBMO4=1,2,4))),FALSE())*VLOOKUP(MONTH($A162),Volscale,2)))</f>
        <v> </v>
      </c>
      <c r="AH162" s="321" t="str">
        <f aca="false">IF($A162="N/A"," ",IF(VolType4=1,AG162,AF162))</f>
        <v> </v>
      </c>
      <c r="AI162" s="321" t="str">
        <f aca="false">IF($A162="N/A"," ",(VLOOKUP($A162,OffPwrVolTable,(IF(VolBMO4=2,7,IF(VolBMO4=1,6,8))),FALSE())))</f>
        <v> </v>
      </c>
      <c r="AJ162" s="321" t="str">
        <f aca="false">IF($A162="N/A"," ",(VLOOKUP($A162,OffPwrVolTable,(IF(VolBMO4=2,3,IF(VolBMO4=1,2,4))),FALSE())*VLOOKUP(MONTH($A162),Volscale,2)))</f>
        <v> </v>
      </c>
      <c r="AK162" s="321" t="str">
        <f aca="false">IF($A162="N/A"," ",IF(VolType4=1,AJ162,AI162))</f>
        <v> </v>
      </c>
      <c r="AL162" s="321" t="str">
        <f aca="false">IF($A162="N/A"," ",IF(PV=1,0,'Pricing Inputs4'!R195))</f>
        <v> </v>
      </c>
      <c r="AM162" s="323" t="str">
        <f aca="false">IF($A162="N/A"," ",(1+AL162/2)^(-2*((EOMONTH(A162,0)+20)-DateToday)/365.25))</f>
        <v> </v>
      </c>
      <c r="BQ162" s="0" t="str">
        <f aca="false">IF($A162="N/A"," ",(VLOOKUP($A162,NumberofDaysTable,2)))</f>
        <v> </v>
      </c>
      <c r="BR162" s="0" t="str">
        <f aca="false">IF($A162="N/A"," ",(VLOOKUP($A162,NumberofDaysTable,3)))</f>
        <v> </v>
      </c>
      <c r="BS162" s="0" t="str">
        <f aca="false">IF($A162="N/A"," ",(VLOOKUP($A162,NumberofDaysTable,4)))</f>
        <v> </v>
      </c>
    </row>
    <row r="163" customFormat="false" ht="12.75" hidden="false" customHeight="false" outlineLevel="0" collapsed="false">
      <c r="A163" s="315" t="str">
        <f aca="false">IF(A162="N/A","N/A",IF(EDATE(A162,1)&gt;Inputs!$R$5,"N/A",EDATE(A162,1)))</f>
        <v>N/A</v>
      </c>
      <c r="B163" s="316" t="str">
        <f aca="false">IF(A163="N/A"," ",YEAR(A163))</f>
        <v> </v>
      </c>
      <c r="C163" s="317" t="str">
        <f aca="false">IF($A163="N/A"," ",IF(Dayrun4=10,0,IF(Scaler4=1,(VLOOKUP(A163,ScaledPrice4,4)),(VLOOKUP(A163,ScaledPrice4,2)))))</f>
        <v> </v>
      </c>
      <c r="D163" s="317" t="str">
        <f aca="false">IF(A163="N/A"," ",IF(Dayrun4&gt;=7,0,IF(Scaler4=2,VLOOKUP(A163,ScaledPrice4,2),(VLOOKUP(A163,ScaledPrice4,2))*(2-(VLOOKUP(A163,ScaledPrice4,3))))))</f>
        <v> </v>
      </c>
      <c r="E163" s="317" t="str">
        <f aca="false">IF($A163="N/A"," ",IF(AND(Dayrun4&gt;=4,Dayrun4&lt;=9),0,VLOOKUP($A163,ScaledPrice4,9)))</f>
        <v> </v>
      </c>
      <c r="F163" s="317" t="str">
        <f aca="false">IF(A163="N/A"," ",IF(OR(Dayrun4=2,Dayrun4=3,Dayrun4=5,Dayrun4=6,Dayrun4=8,Dayrun4=9),VLOOKUP(A163,ScaledPrice4,IF(Scaler4=1,6,5)),0))</f>
        <v> </v>
      </c>
      <c r="G163" s="317" t="str">
        <f aca="false">IF(A163="N/A"," ",IF(OR(Dayrun4=2,Dayrun4=3,Dayrun4=5,Dayrun4=6),IF(Scaler4=2,F163,(VLOOKUP(A163,ScaledPrice4,5))*(2-(VLOOKUP(A163,ScaledPrice4,3)))),0))</f>
        <v> </v>
      </c>
      <c r="H163" s="317" t="str">
        <f aca="false">IF($A163="N/A"," ",IF(OR(Dayrun4=2,Dayrun4=3,Dayrun4=10),VLOOKUP($A163,ScaledPrice4,9),0))</f>
        <v> </v>
      </c>
      <c r="I163" s="317" t="str">
        <f aca="false">IF(A163="N/A"," ",IF(OR(Dayrun4=3,Dayrun4=6,Dayrun4=9),(VLOOKUP(A163,ScaledPrice4,IF(Scaler4=2,7,8))),0))</f>
        <v> </v>
      </c>
      <c r="J163" s="317" t="str">
        <f aca="false">IF(A163="N/A"," ",IF(OR(Dayrun4=3,Dayrun4=6),IF(Scaler4=2,I163,(VLOOKUP(A163,ScaledPrice4,7))*(2-(VLOOKUP(A163,ScaledPrice4,3)))),0))</f>
        <v> </v>
      </c>
      <c r="K163" s="317" t="str">
        <f aca="false">IF($A163="N/A"," ",IF(OR(Dayrun4=3,Dayrun4=10),VLOOKUP($A163,ScaledPrice4,9),0))</f>
        <v> </v>
      </c>
      <c r="L163" s="318" t="str">
        <f aca="false">IF($A163="N/A"," ",IF(Pricetype4=2,MAX(C163,0),IF(OR(Pricetype4=1,Pricetype4=4),IF(C163=0,0,(EURO(C163,Strikeprice4,0,0,($AH163+IF(Smile=TRUE(),VLOOKUP(MAX(-5,Strikeprice4-C163),Volsmile,2),0)),($A163-DateToday)+15,IF(Pricetype4=1,1,0),0))),C163)))</f>
        <v> </v>
      </c>
      <c r="M163" s="318" t="str">
        <f aca="false">IF($A163="N/A"," ",IF(Pricetype4=2,MAX(D163,0),IF(OR(Pricetype4=1,Pricetype4=4),IF(D163=0,0,(EURO(D163,Strikeprice4,0,0,($AH163+IF(Smile=TRUE(),VLOOKUP(MAX(-5,Strikeprice4-D163),Volsmile,2),0)),($A163-DateToday)+15,IF(Pricetype4=1,1,0),0))),D163)))</f>
        <v> </v>
      </c>
      <c r="N163" s="318" t="str">
        <f aca="false">IF($A163="N/A"," ",IF(Pricetype4=2,MAX(E163,0),IF(OR(Pricetype4=1,Pricetype4=4),IF(E163=0,0,(EURO(E163,Strikeprice4,0,0,($AK163+IF(Smile=TRUE(),VLOOKUP(MAX(-5,Strikeprice4-E163),Volsmile,2),0)),($A163-DateToday)+15,IF(Pricetype4=1,1,0),0))),E163)))</f>
        <v> </v>
      </c>
      <c r="O163" s="318" t="str">
        <f aca="false">IF($A163="N/A"," ",IF(Pricetype4=2,MAX(F163,0),IF(OR(Pricetype4=1,Pricetype4=4),IF(F163=0,0,(EURO(F163,Strikeprice4,0,0,($AK163+IF(Smile=TRUE(),VLOOKUP(MAX(-5,Strikeprice4-F163),Volsmile,2),0)),($A163-DateToday)+15,IF(Pricetype4=1,1,0),0))),F163)))</f>
        <v> </v>
      </c>
      <c r="P163" s="318" t="str">
        <f aca="false">IF($A163="N/A"," ",IF(Pricetype4=2,MAX(G163,0),IF(OR(Pricetype4=1,Pricetype4=4),IF(G163=0,0,(EURO(G163,Strikeprice4,0,0,($AK163+IF(Smile=TRUE(),VLOOKUP(MAX(-5,Strikeprice4-G163),Volsmile,2),0)),($A163-DateToday)+15,IF(Pricetype4=1,1,0),0))),G163)))</f>
        <v> </v>
      </c>
      <c r="Q163" s="318" t="str">
        <f aca="false">IF($A163="N/A"," ",IF(Pricetype4=2,MAX(H163,0),IF(OR(Pricetype4=1,Pricetype4=4),IF(H163=0,0,(EURO(H163,Strikeprice4,0,0,($AK163+IF(Smile=TRUE(),VLOOKUP(MAX(-5,Strikeprice4-H163),Volsmile,2),0)),($A163-DateToday)+15,IF(Pricetype4=1,1,0),0))),H163)))</f>
        <v> </v>
      </c>
      <c r="R163" s="318" t="str">
        <f aca="false">IF($A163="N/A"," ",IF(Pricetype4=2,MAX(I163,0),IF(OR(Pricetype4=1,Pricetype4=4),IF(I163=0,0,(EURO(I163,Strikeprice4,0,0,($AK163+IF(Smile=TRUE(),VLOOKUP(MAX(-5,Strikeprice4-I163),Volsmile,2),0)),($A163-DateToday)+15,IF(Pricetype4=1,1,0),0))),I163)))</f>
        <v> </v>
      </c>
      <c r="S163" s="318" t="str">
        <f aca="false">IF($A163="N/A"," ",IF(Pricetype4=2,MAX(J163,0),IF(OR(Pricetype4=1,Pricetype4=4),IF(J163=0,0,(EURO(J163,Strikeprice4,0,0,($AK163+IF(Smile=TRUE(),VLOOKUP(MAX(-5,Strikeprice4-J163),Volsmile,2),0)),($A163-DateToday)+15,IF(Pricetype4=1,1,0),0))),J163)))</f>
        <v> </v>
      </c>
      <c r="T163" s="318" t="str">
        <f aca="false">IF($A163="N/A"," ",IF(Pricetype4=2,MAX(K163,0),IF(OR(Pricetype4=1,Pricetype4=4),IF(K163=0,0,(EURO(K163,Strikeprice4,0,0,($AK163+IF(Smile=TRUE(),VLOOKUP(MAX(-5,Strikeprice4-K163),Volsmile,2),0)),($A163-DateToday)+15,IF(Pricetype4=1,1,0),0))),K163)))</f>
        <v> </v>
      </c>
      <c r="U163" s="319" t="str">
        <f aca="false">IF($A163="N/A"," ",Volume4*$AM163)</f>
        <v> </v>
      </c>
      <c r="V163" s="320" t="str">
        <f aca="false">IF($A163="N/A"," ",$U163*(8*($BQ163))*L163)</f>
        <v> </v>
      </c>
      <c r="W163" s="320" t="str">
        <f aca="false">IF($A163="N/A"," ",$U163*(8*($BQ163))*M163)</f>
        <v> </v>
      </c>
      <c r="X163" s="320" t="str">
        <f aca="false">IF($A163="N/A"," ",$U163*(8*($BQ163))*N163)</f>
        <v> </v>
      </c>
      <c r="Y163" s="320" t="str">
        <f aca="false">IF($A163="N/A"," ",$U163*(8*($BR163))*O163)</f>
        <v> </v>
      </c>
      <c r="Z163" s="320" t="str">
        <f aca="false">IF($A163="N/A"," ",$U163*(8*($BR163))*P163)</f>
        <v> </v>
      </c>
      <c r="AA163" s="320" t="str">
        <f aca="false">IF($A163="N/A"," ",$U163*(8*($BR163))*Q163)</f>
        <v> </v>
      </c>
      <c r="AB163" s="320" t="str">
        <f aca="false">IF($A163="N/A"," ",$U163*(8*($BS163))*R163)</f>
        <v> </v>
      </c>
      <c r="AC163" s="320" t="str">
        <f aca="false">IF($A163="N/A"," ",$U163*(8*($BS163))*S163)</f>
        <v> </v>
      </c>
      <c r="AD163" s="320" t="str">
        <f aca="false">IF($A163="N/A"," ",$U163*(8*($BS163))*T163)</f>
        <v> </v>
      </c>
      <c r="AE163" s="320" t="str">
        <f aca="false">IF($A163="N/A"," ",SUM(V163:AD163))</f>
        <v> </v>
      </c>
      <c r="AF163" s="321" t="str">
        <f aca="false">IF(A163="N/A"," ",(VLOOKUP(A163,PowerVolTable,(IF(VolBMO4=2,7,IF(VolBMO4=1,6,8))),FALSE())))</f>
        <v> </v>
      </c>
      <c r="AG163" s="321" t="str">
        <f aca="false">IF(A163="N/A"," ",(VLOOKUP(A163,IntraPowerVol,(IF(VolBMO4=2,3,IF(VolBMO4=1,2,4))),FALSE())*VLOOKUP(MONTH($A163),Volscale,2)))</f>
        <v> </v>
      </c>
      <c r="AH163" s="321" t="str">
        <f aca="false">IF($A163="N/A"," ",IF(VolType4=1,AG163,AF163))</f>
        <v> </v>
      </c>
      <c r="AI163" s="321" t="str">
        <f aca="false">IF($A163="N/A"," ",(VLOOKUP($A163,OffPwrVolTable,(IF(VolBMO4=2,7,IF(VolBMO4=1,6,8))),FALSE())))</f>
        <v> </v>
      </c>
      <c r="AJ163" s="321" t="str">
        <f aca="false">IF($A163="N/A"," ",(VLOOKUP($A163,OffPwrVolTable,(IF(VolBMO4=2,3,IF(VolBMO4=1,2,4))),FALSE())*VLOOKUP(MONTH($A163),Volscale,2)))</f>
        <v> </v>
      </c>
      <c r="AK163" s="321" t="str">
        <f aca="false">IF($A163="N/A"," ",IF(VolType4=1,AJ163,AI163))</f>
        <v> </v>
      </c>
      <c r="AL163" s="321" t="str">
        <f aca="false">IF($A163="N/A"," ",IF(PV=1,0,'Pricing Inputs4'!R196))</f>
        <v> </v>
      </c>
      <c r="AM163" s="323" t="str">
        <f aca="false">IF($A163="N/A"," ",(1+AL163/2)^(-2*((EOMONTH(A163,0)+20)-DateToday)/365.25))</f>
        <v> </v>
      </c>
      <c r="BQ163" s="0" t="str">
        <f aca="false">IF($A163="N/A"," ",(VLOOKUP($A163,NumberofDaysTable,2)))</f>
        <v> </v>
      </c>
      <c r="BR163" s="0" t="str">
        <f aca="false">IF($A163="N/A"," ",(VLOOKUP($A163,NumberofDaysTable,3)))</f>
        <v> </v>
      </c>
      <c r="BS163" s="0" t="str">
        <f aca="false">IF($A163="N/A"," ",(VLOOKUP($A163,NumberofDaysTable,4)))</f>
        <v> </v>
      </c>
    </row>
    <row r="164" customFormat="false" ht="12.75" hidden="false" customHeight="false" outlineLevel="0" collapsed="false">
      <c r="A164" s="315" t="str">
        <f aca="false">IF(A163="N/A","N/A",IF(EDATE(A163,1)&gt;Inputs!$R$5,"N/A",EDATE(A163,1)))</f>
        <v>N/A</v>
      </c>
      <c r="B164" s="316" t="str">
        <f aca="false">IF(A164="N/A"," ",YEAR(A164))</f>
        <v> </v>
      </c>
      <c r="C164" s="317" t="str">
        <f aca="false">IF($A164="N/A"," ",IF(Dayrun4=10,0,IF(Scaler4=1,(VLOOKUP(A164,ScaledPrice4,4)),(VLOOKUP(A164,ScaledPrice4,2)))))</f>
        <v> </v>
      </c>
      <c r="D164" s="317" t="str">
        <f aca="false">IF(A164="N/A"," ",IF(Dayrun4&gt;=7,0,IF(Scaler4=2,VLOOKUP(A164,ScaledPrice4,2),(VLOOKUP(A164,ScaledPrice4,2))*(2-(VLOOKUP(A164,ScaledPrice4,3))))))</f>
        <v> </v>
      </c>
      <c r="E164" s="317" t="str">
        <f aca="false">IF($A164="N/A"," ",IF(AND(Dayrun4&gt;=4,Dayrun4&lt;=9),0,VLOOKUP($A164,ScaledPrice4,9)))</f>
        <v> </v>
      </c>
      <c r="F164" s="317" t="str">
        <f aca="false">IF(A164="N/A"," ",IF(OR(Dayrun4=2,Dayrun4=3,Dayrun4=5,Dayrun4=6,Dayrun4=8,Dayrun4=9),VLOOKUP(A164,ScaledPrice4,IF(Scaler4=1,6,5)),0))</f>
        <v> </v>
      </c>
      <c r="G164" s="317" t="str">
        <f aca="false">IF(A164="N/A"," ",IF(OR(Dayrun4=2,Dayrun4=3,Dayrun4=5,Dayrun4=6),IF(Scaler4=2,F164,(VLOOKUP(A164,ScaledPrice4,5))*(2-(VLOOKUP(A164,ScaledPrice4,3)))),0))</f>
        <v> </v>
      </c>
      <c r="H164" s="317" t="str">
        <f aca="false">IF($A164="N/A"," ",IF(OR(Dayrun4=2,Dayrun4=3,Dayrun4=10),VLOOKUP($A164,ScaledPrice4,9),0))</f>
        <v> </v>
      </c>
      <c r="I164" s="317" t="str">
        <f aca="false">IF(A164="N/A"," ",IF(OR(Dayrun4=3,Dayrun4=6,Dayrun4=9),(VLOOKUP(A164,ScaledPrice4,IF(Scaler4=2,7,8))),0))</f>
        <v> </v>
      </c>
      <c r="J164" s="317" t="str">
        <f aca="false">IF(A164="N/A"," ",IF(OR(Dayrun4=3,Dayrun4=6),IF(Scaler4=2,I164,(VLOOKUP(A164,ScaledPrice4,7))*(2-(VLOOKUP(A164,ScaledPrice4,3)))),0))</f>
        <v> </v>
      </c>
      <c r="K164" s="317" t="str">
        <f aca="false">IF($A164="N/A"," ",IF(OR(Dayrun4=3,Dayrun4=10),VLOOKUP($A164,ScaledPrice4,9),0))</f>
        <v> </v>
      </c>
      <c r="L164" s="318" t="str">
        <f aca="false">IF($A164="N/A"," ",IF(Pricetype4=2,MAX(C164,0),IF(OR(Pricetype4=1,Pricetype4=4),IF(C164=0,0,(EURO(C164,Strikeprice4,0,0,($AH164+IF(Smile=TRUE(),VLOOKUP(MAX(-5,Strikeprice4-C164),Volsmile,2),0)),($A164-DateToday)+15,IF(Pricetype4=1,1,0),0))),C164)))</f>
        <v> </v>
      </c>
      <c r="M164" s="318" t="str">
        <f aca="false">IF($A164="N/A"," ",IF(Pricetype4=2,MAX(D164,0),IF(OR(Pricetype4=1,Pricetype4=4),IF(D164=0,0,(EURO(D164,Strikeprice4,0,0,($AH164+IF(Smile=TRUE(),VLOOKUP(MAX(-5,Strikeprice4-D164),Volsmile,2),0)),($A164-DateToday)+15,IF(Pricetype4=1,1,0),0))),D164)))</f>
        <v> </v>
      </c>
      <c r="N164" s="318" t="str">
        <f aca="false">IF($A164="N/A"," ",IF(Pricetype4=2,MAX(E164,0),IF(OR(Pricetype4=1,Pricetype4=4),IF(E164=0,0,(EURO(E164,Strikeprice4,0,0,($AK164+IF(Smile=TRUE(),VLOOKUP(MAX(-5,Strikeprice4-E164),Volsmile,2),0)),($A164-DateToday)+15,IF(Pricetype4=1,1,0),0))),E164)))</f>
        <v> </v>
      </c>
      <c r="O164" s="318" t="str">
        <f aca="false">IF($A164="N/A"," ",IF(Pricetype4=2,MAX(F164,0),IF(OR(Pricetype4=1,Pricetype4=4),IF(F164=0,0,(EURO(F164,Strikeprice4,0,0,($AK164+IF(Smile=TRUE(),VLOOKUP(MAX(-5,Strikeprice4-F164),Volsmile,2),0)),($A164-DateToday)+15,IF(Pricetype4=1,1,0),0))),F164)))</f>
        <v> </v>
      </c>
      <c r="P164" s="318" t="str">
        <f aca="false">IF($A164="N/A"," ",IF(Pricetype4=2,MAX(G164,0),IF(OR(Pricetype4=1,Pricetype4=4),IF(G164=0,0,(EURO(G164,Strikeprice4,0,0,($AK164+IF(Smile=TRUE(),VLOOKUP(MAX(-5,Strikeprice4-G164),Volsmile,2),0)),($A164-DateToday)+15,IF(Pricetype4=1,1,0),0))),G164)))</f>
        <v> </v>
      </c>
      <c r="Q164" s="318" t="str">
        <f aca="false">IF($A164="N/A"," ",IF(Pricetype4=2,MAX(H164,0),IF(OR(Pricetype4=1,Pricetype4=4),IF(H164=0,0,(EURO(H164,Strikeprice4,0,0,($AK164+IF(Smile=TRUE(),VLOOKUP(MAX(-5,Strikeprice4-H164),Volsmile,2),0)),($A164-DateToday)+15,IF(Pricetype4=1,1,0),0))),H164)))</f>
        <v> </v>
      </c>
      <c r="R164" s="318" t="str">
        <f aca="false">IF($A164="N/A"," ",IF(Pricetype4=2,MAX(I164,0),IF(OR(Pricetype4=1,Pricetype4=4),IF(I164=0,0,(EURO(I164,Strikeprice4,0,0,($AK164+IF(Smile=TRUE(),VLOOKUP(MAX(-5,Strikeprice4-I164),Volsmile,2),0)),($A164-DateToday)+15,IF(Pricetype4=1,1,0),0))),I164)))</f>
        <v> </v>
      </c>
      <c r="S164" s="318" t="str">
        <f aca="false">IF($A164="N/A"," ",IF(Pricetype4=2,MAX(J164,0),IF(OR(Pricetype4=1,Pricetype4=4),IF(J164=0,0,(EURO(J164,Strikeprice4,0,0,($AK164+IF(Smile=TRUE(),VLOOKUP(MAX(-5,Strikeprice4-J164),Volsmile,2),0)),($A164-DateToday)+15,IF(Pricetype4=1,1,0),0))),J164)))</f>
        <v> </v>
      </c>
      <c r="T164" s="318" t="str">
        <f aca="false">IF($A164="N/A"," ",IF(Pricetype4=2,MAX(K164,0),IF(OR(Pricetype4=1,Pricetype4=4),IF(K164=0,0,(EURO(K164,Strikeprice4,0,0,($AK164+IF(Smile=TRUE(),VLOOKUP(MAX(-5,Strikeprice4-K164),Volsmile,2),0)),($A164-DateToday)+15,IF(Pricetype4=1,1,0),0))),K164)))</f>
        <v> </v>
      </c>
      <c r="U164" s="319" t="str">
        <f aca="false">IF($A164="N/A"," ",Volume4*$AM164)</f>
        <v> </v>
      </c>
      <c r="V164" s="320" t="str">
        <f aca="false">IF($A164="N/A"," ",$U164*(8*($BQ164))*L164)</f>
        <v> </v>
      </c>
      <c r="W164" s="320" t="str">
        <f aca="false">IF($A164="N/A"," ",$U164*(8*($BQ164))*M164)</f>
        <v> </v>
      </c>
      <c r="X164" s="320" t="str">
        <f aca="false">IF($A164="N/A"," ",$U164*(8*($BQ164))*N164)</f>
        <v> </v>
      </c>
      <c r="Y164" s="320" t="str">
        <f aca="false">IF($A164="N/A"," ",$U164*(8*($BR164))*O164)</f>
        <v> </v>
      </c>
      <c r="Z164" s="320" t="str">
        <f aca="false">IF($A164="N/A"," ",$U164*(8*($BR164))*P164)</f>
        <v> </v>
      </c>
      <c r="AA164" s="320" t="str">
        <f aca="false">IF($A164="N/A"," ",$U164*(8*($BR164))*Q164)</f>
        <v> </v>
      </c>
      <c r="AB164" s="320" t="str">
        <f aca="false">IF($A164="N/A"," ",$U164*(8*($BS164))*R164)</f>
        <v> </v>
      </c>
      <c r="AC164" s="320" t="str">
        <f aca="false">IF($A164="N/A"," ",$U164*(8*($BS164))*S164)</f>
        <v> </v>
      </c>
      <c r="AD164" s="320" t="str">
        <f aca="false">IF($A164="N/A"," ",$U164*(8*($BS164))*T164)</f>
        <v> </v>
      </c>
      <c r="AE164" s="320" t="str">
        <f aca="false">IF($A164="N/A"," ",SUM(V164:AD164))</f>
        <v> </v>
      </c>
      <c r="AF164" s="321" t="str">
        <f aca="false">IF(A164="N/A"," ",(VLOOKUP(A164,PowerVolTable,(IF(VolBMO4=2,7,IF(VolBMO4=1,6,8))),FALSE())))</f>
        <v> </v>
      </c>
      <c r="AG164" s="321" t="str">
        <f aca="false">IF(A164="N/A"," ",(VLOOKUP(A164,IntraPowerVol,(IF(VolBMO4=2,3,IF(VolBMO4=1,2,4))),FALSE())*VLOOKUP(MONTH($A164),Volscale,2)))</f>
        <v> </v>
      </c>
      <c r="AH164" s="321" t="str">
        <f aca="false">IF($A164="N/A"," ",IF(VolType4=1,AG164,AF164))</f>
        <v> </v>
      </c>
      <c r="AI164" s="321" t="str">
        <f aca="false">IF($A164="N/A"," ",(VLOOKUP($A164,OffPwrVolTable,(IF(VolBMO4=2,7,IF(VolBMO4=1,6,8))),FALSE())))</f>
        <v> </v>
      </c>
      <c r="AJ164" s="321" t="str">
        <f aca="false">IF($A164="N/A"," ",(VLOOKUP($A164,OffPwrVolTable,(IF(VolBMO4=2,3,IF(VolBMO4=1,2,4))),FALSE())*VLOOKUP(MONTH($A164),Volscale,2)))</f>
        <v> </v>
      </c>
      <c r="AK164" s="321" t="str">
        <f aca="false">IF($A164="N/A"," ",IF(VolType4=1,AJ164,AI164))</f>
        <v> </v>
      </c>
      <c r="AL164" s="321" t="str">
        <f aca="false">IF($A164="N/A"," ",IF(PV=1,0,'Pricing Inputs4'!R197))</f>
        <v> </v>
      </c>
      <c r="AM164" s="323" t="str">
        <f aca="false">IF($A164="N/A"," ",(1+AL164/2)^(-2*((EOMONTH(A164,0)+20)-DateToday)/365.25))</f>
        <v> </v>
      </c>
      <c r="BQ164" s="0" t="str">
        <f aca="false">IF($A164="N/A"," ",(VLOOKUP($A164,NumberofDaysTable,2)))</f>
        <v> </v>
      </c>
      <c r="BR164" s="0" t="str">
        <f aca="false">IF($A164="N/A"," ",(VLOOKUP($A164,NumberofDaysTable,3)))</f>
        <v> </v>
      </c>
      <c r="BS164" s="0" t="str">
        <f aca="false">IF($A164="N/A"," ",(VLOOKUP($A164,NumberofDaysTable,4)))</f>
        <v> </v>
      </c>
    </row>
    <row r="165" customFormat="false" ht="12.75" hidden="false" customHeight="false" outlineLevel="0" collapsed="false">
      <c r="A165" s="315" t="str">
        <f aca="false">IF(A164="N/A","N/A",IF(EDATE(A164,1)&gt;Inputs!$R$5,"N/A",EDATE(A164,1)))</f>
        <v>N/A</v>
      </c>
      <c r="B165" s="316" t="str">
        <f aca="false">IF(A165="N/A"," ",YEAR(A165))</f>
        <v> </v>
      </c>
      <c r="C165" s="317" t="str">
        <f aca="false">IF($A165="N/A"," ",IF(Dayrun4=10,0,IF(Scaler4=1,(VLOOKUP(A165,ScaledPrice4,4)),(VLOOKUP(A165,ScaledPrice4,2)))))</f>
        <v> </v>
      </c>
      <c r="D165" s="317" t="str">
        <f aca="false">IF(A165="N/A"," ",IF(Dayrun4&gt;=7,0,IF(Scaler4=2,VLOOKUP(A165,ScaledPrice4,2),(VLOOKUP(A165,ScaledPrice4,2))*(2-(VLOOKUP(A165,ScaledPrice4,3))))))</f>
        <v> </v>
      </c>
      <c r="E165" s="317" t="str">
        <f aca="false">IF($A165="N/A"," ",IF(AND(Dayrun4&gt;=4,Dayrun4&lt;=9),0,VLOOKUP($A165,ScaledPrice4,9)))</f>
        <v> </v>
      </c>
      <c r="F165" s="317" t="str">
        <f aca="false">IF(A165="N/A"," ",IF(OR(Dayrun4=2,Dayrun4=3,Dayrun4=5,Dayrun4=6,Dayrun4=8,Dayrun4=9),VLOOKUP(A165,ScaledPrice4,IF(Scaler4=1,6,5)),0))</f>
        <v> </v>
      </c>
      <c r="G165" s="317" t="str">
        <f aca="false">IF(A165="N/A"," ",IF(OR(Dayrun4=2,Dayrun4=3,Dayrun4=5,Dayrun4=6),IF(Scaler4=2,F165,(VLOOKUP(A165,ScaledPrice4,5))*(2-(VLOOKUP(A165,ScaledPrice4,3)))),0))</f>
        <v> </v>
      </c>
      <c r="H165" s="317" t="str">
        <f aca="false">IF($A165="N/A"," ",IF(OR(Dayrun4=2,Dayrun4=3,Dayrun4=10),VLOOKUP($A165,ScaledPrice4,9),0))</f>
        <v> </v>
      </c>
      <c r="I165" s="317" t="str">
        <f aca="false">IF(A165="N/A"," ",IF(OR(Dayrun4=3,Dayrun4=6,Dayrun4=9),(VLOOKUP(A165,ScaledPrice4,IF(Scaler4=2,7,8))),0))</f>
        <v> </v>
      </c>
      <c r="J165" s="317" t="str">
        <f aca="false">IF(A165="N/A"," ",IF(OR(Dayrun4=3,Dayrun4=6),IF(Scaler4=2,I165,(VLOOKUP(A165,ScaledPrice4,7))*(2-(VLOOKUP(A165,ScaledPrice4,3)))),0))</f>
        <v> </v>
      </c>
      <c r="K165" s="317" t="str">
        <f aca="false">IF($A165="N/A"," ",IF(OR(Dayrun4=3,Dayrun4=10),VLOOKUP($A165,ScaledPrice4,9),0))</f>
        <v> </v>
      </c>
      <c r="L165" s="318" t="str">
        <f aca="false">IF($A165="N/A"," ",IF(Pricetype4=2,MAX(C165,0),IF(OR(Pricetype4=1,Pricetype4=4),IF(C165=0,0,(EURO(C165,Strikeprice4,0,0,($AH165+IF(Smile=TRUE(),VLOOKUP(MAX(-5,Strikeprice4-C165),Volsmile,2),0)),($A165-DateToday)+15,IF(Pricetype4=1,1,0),0))),C165)))</f>
        <v> </v>
      </c>
      <c r="M165" s="318" t="str">
        <f aca="false">IF($A165="N/A"," ",IF(Pricetype4=2,MAX(D165,0),IF(OR(Pricetype4=1,Pricetype4=4),IF(D165=0,0,(EURO(D165,Strikeprice4,0,0,($AH165+IF(Smile=TRUE(),VLOOKUP(MAX(-5,Strikeprice4-D165),Volsmile,2),0)),($A165-DateToday)+15,IF(Pricetype4=1,1,0),0))),D165)))</f>
        <v> </v>
      </c>
      <c r="N165" s="318" t="str">
        <f aca="false">IF($A165="N/A"," ",IF(Pricetype4=2,MAX(E165,0),IF(OR(Pricetype4=1,Pricetype4=4),IF(E165=0,0,(EURO(E165,Strikeprice4,0,0,($AK165+IF(Smile=TRUE(),VLOOKUP(MAX(-5,Strikeprice4-E165),Volsmile,2),0)),($A165-DateToday)+15,IF(Pricetype4=1,1,0),0))),E165)))</f>
        <v> </v>
      </c>
      <c r="O165" s="318" t="str">
        <f aca="false">IF($A165="N/A"," ",IF(Pricetype4=2,MAX(F165,0),IF(OR(Pricetype4=1,Pricetype4=4),IF(F165=0,0,(EURO(F165,Strikeprice4,0,0,($AK165+IF(Smile=TRUE(),VLOOKUP(MAX(-5,Strikeprice4-F165),Volsmile,2),0)),($A165-DateToday)+15,IF(Pricetype4=1,1,0),0))),F165)))</f>
        <v> </v>
      </c>
      <c r="P165" s="318" t="str">
        <f aca="false">IF($A165="N/A"," ",IF(Pricetype4=2,MAX(G165,0),IF(OR(Pricetype4=1,Pricetype4=4),IF(G165=0,0,(EURO(G165,Strikeprice4,0,0,($AK165+IF(Smile=TRUE(),VLOOKUP(MAX(-5,Strikeprice4-G165),Volsmile,2),0)),($A165-DateToday)+15,IF(Pricetype4=1,1,0),0))),G165)))</f>
        <v> </v>
      </c>
      <c r="Q165" s="318" t="str">
        <f aca="false">IF($A165="N/A"," ",IF(Pricetype4=2,MAX(H165,0),IF(OR(Pricetype4=1,Pricetype4=4),IF(H165=0,0,(EURO(H165,Strikeprice4,0,0,($AK165+IF(Smile=TRUE(),VLOOKUP(MAX(-5,Strikeprice4-H165),Volsmile,2),0)),($A165-DateToday)+15,IF(Pricetype4=1,1,0),0))),H165)))</f>
        <v> </v>
      </c>
      <c r="R165" s="318" t="str">
        <f aca="false">IF($A165="N/A"," ",IF(Pricetype4=2,MAX(I165,0),IF(OR(Pricetype4=1,Pricetype4=4),IF(I165=0,0,(EURO(I165,Strikeprice4,0,0,($AK165+IF(Smile=TRUE(),VLOOKUP(MAX(-5,Strikeprice4-I165),Volsmile,2),0)),($A165-DateToday)+15,IF(Pricetype4=1,1,0),0))),I165)))</f>
        <v> </v>
      </c>
      <c r="S165" s="318" t="str">
        <f aca="false">IF($A165="N/A"," ",IF(Pricetype4=2,MAX(J165,0),IF(OR(Pricetype4=1,Pricetype4=4),IF(J165=0,0,(EURO(J165,Strikeprice4,0,0,($AK165+IF(Smile=TRUE(),VLOOKUP(MAX(-5,Strikeprice4-J165),Volsmile,2),0)),($A165-DateToday)+15,IF(Pricetype4=1,1,0),0))),J165)))</f>
        <v> </v>
      </c>
      <c r="T165" s="318" t="str">
        <f aca="false">IF($A165="N/A"," ",IF(Pricetype4=2,MAX(K165,0),IF(OR(Pricetype4=1,Pricetype4=4),IF(K165=0,0,(EURO(K165,Strikeprice4,0,0,($AK165+IF(Smile=TRUE(),VLOOKUP(MAX(-5,Strikeprice4-K165),Volsmile,2),0)),($A165-DateToday)+15,IF(Pricetype4=1,1,0),0))),K165)))</f>
        <v> </v>
      </c>
      <c r="U165" s="319" t="str">
        <f aca="false">IF($A165="N/A"," ",Volume4*$AM165)</f>
        <v> </v>
      </c>
      <c r="V165" s="320" t="str">
        <f aca="false">IF($A165="N/A"," ",$U165*(8*($BQ165))*L165)</f>
        <v> </v>
      </c>
      <c r="W165" s="320" t="str">
        <f aca="false">IF($A165="N/A"," ",$U165*(8*($BQ165))*M165)</f>
        <v> </v>
      </c>
      <c r="X165" s="320" t="str">
        <f aca="false">IF($A165="N/A"," ",$U165*(8*($BQ165))*N165)</f>
        <v> </v>
      </c>
      <c r="Y165" s="320" t="str">
        <f aca="false">IF($A165="N/A"," ",$U165*(8*($BR165))*O165)</f>
        <v> </v>
      </c>
      <c r="Z165" s="320" t="str">
        <f aca="false">IF($A165="N/A"," ",$U165*(8*($BR165))*P165)</f>
        <v> </v>
      </c>
      <c r="AA165" s="320" t="str">
        <f aca="false">IF($A165="N/A"," ",$U165*(8*($BR165))*Q165)</f>
        <v> </v>
      </c>
      <c r="AB165" s="320" t="str">
        <f aca="false">IF($A165="N/A"," ",$U165*(8*($BS165))*R165)</f>
        <v> </v>
      </c>
      <c r="AC165" s="320" t="str">
        <f aca="false">IF($A165="N/A"," ",$U165*(8*($BS165))*S165)</f>
        <v> </v>
      </c>
      <c r="AD165" s="320" t="str">
        <f aca="false">IF($A165="N/A"," ",$U165*(8*($BS165))*T165)</f>
        <v> </v>
      </c>
      <c r="AE165" s="320" t="str">
        <f aca="false">IF($A165="N/A"," ",SUM(V165:AD165))</f>
        <v> </v>
      </c>
      <c r="AF165" s="321" t="str">
        <f aca="false">IF(A165="N/A"," ",(VLOOKUP(A165,PowerVolTable,(IF(VolBMO4=2,7,IF(VolBMO4=1,6,8))),FALSE())))</f>
        <v> </v>
      </c>
      <c r="AG165" s="321" t="str">
        <f aca="false">IF(A165="N/A"," ",(VLOOKUP(A165,IntraPowerVol,(IF(VolBMO4=2,3,IF(VolBMO4=1,2,4))),FALSE())*VLOOKUP(MONTH($A165),Volscale,2)))</f>
        <v> </v>
      </c>
      <c r="AH165" s="321" t="str">
        <f aca="false">IF($A165="N/A"," ",IF(VolType4=1,AG165,AF165))</f>
        <v> </v>
      </c>
      <c r="AI165" s="321" t="str">
        <f aca="false">IF($A165="N/A"," ",(VLOOKUP($A165,OffPwrVolTable,(IF(VolBMO4=2,7,IF(VolBMO4=1,6,8))),FALSE())))</f>
        <v> </v>
      </c>
      <c r="AJ165" s="321" t="str">
        <f aca="false">IF($A165="N/A"," ",(VLOOKUP($A165,OffPwrVolTable,(IF(VolBMO4=2,3,IF(VolBMO4=1,2,4))),FALSE())*VLOOKUP(MONTH($A165),Volscale,2)))</f>
        <v> </v>
      </c>
      <c r="AK165" s="321" t="str">
        <f aca="false">IF($A165="N/A"," ",IF(VolType4=1,AJ165,AI165))</f>
        <v> </v>
      </c>
      <c r="AL165" s="321" t="str">
        <f aca="false">IF($A165="N/A"," ",IF(PV=1,0,'Pricing Inputs4'!R198))</f>
        <v> </v>
      </c>
      <c r="AM165" s="323" t="str">
        <f aca="false">IF($A165="N/A"," ",(1+AL165/2)^(-2*((EOMONTH(A165,0)+20)-DateToday)/365.25))</f>
        <v> </v>
      </c>
      <c r="BQ165" s="0" t="str">
        <f aca="false">IF($A165="N/A"," ",(VLOOKUP($A165,NumberofDaysTable,2)))</f>
        <v> </v>
      </c>
      <c r="BR165" s="0" t="str">
        <f aca="false">IF($A165="N/A"," ",(VLOOKUP($A165,NumberofDaysTable,3)))</f>
        <v> </v>
      </c>
      <c r="BS165" s="0" t="str">
        <f aca="false">IF($A165="N/A"," ",(VLOOKUP($A165,NumberofDaysTable,4)))</f>
        <v> </v>
      </c>
    </row>
    <row r="166" customFormat="false" ht="12.75" hidden="false" customHeight="false" outlineLevel="0" collapsed="false">
      <c r="A166" s="315" t="str">
        <f aca="false">IF(A165="N/A","N/A",IF(EDATE(A165,1)&gt;Inputs!$R$5,"N/A",EDATE(A165,1)))</f>
        <v>N/A</v>
      </c>
      <c r="B166" s="316" t="str">
        <f aca="false">IF(A166="N/A"," ",YEAR(A166))</f>
        <v> </v>
      </c>
      <c r="C166" s="317" t="str">
        <f aca="false">IF($A166="N/A"," ",IF(Dayrun4=10,0,IF(Scaler4=1,(VLOOKUP(A166,ScaledPrice4,4)),(VLOOKUP(A166,ScaledPrice4,2)))))</f>
        <v> </v>
      </c>
      <c r="D166" s="317" t="str">
        <f aca="false">IF(A166="N/A"," ",IF(Dayrun4&gt;=7,0,IF(Scaler4=2,VLOOKUP(A166,ScaledPrice4,2),(VLOOKUP(A166,ScaledPrice4,2))*(2-(VLOOKUP(A166,ScaledPrice4,3))))))</f>
        <v> </v>
      </c>
      <c r="E166" s="317" t="str">
        <f aca="false">IF($A166="N/A"," ",IF(AND(Dayrun4&gt;=4,Dayrun4&lt;=9),0,VLOOKUP($A166,ScaledPrice4,9)))</f>
        <v> </v>
      </c>
      <c r="F166" s="317" t="str">
        <f aca="false">IF(A166="N/A"," ",IF(OR(Dayrun4=2,Dayrun4=3,Dayrun4=5,Dayrun4=6,Dayrun4=8,Dayrun4=9),VLOOKUP(A166,ScaledPrice4,IF(Scaler4=1,6,5)),0))</f>
        <v> </v>
      </c>
      <c r="G166" s="317" t="str">
        <f aca="false">IF(A166="N/A"," ",IF(OR(Dayrun4=2,Dayrun4=3,Dayrun4=5,Dayrun4=6),IF(Scaler4=2,F166,(VLOOKUP(A166,ScaledPrice4,5))*(2-(VLOOKUP(A166,ScaledPrice4,3)))),0))</f>
        <v> </v>
      </c>
      <c r="H166" s="317" t="str">
        <f aca="false">IF($A166="N/A"," ",IF(OR(Dayrun4=2,Dayrun4=3,Dayrun4=10),VLOOKUP($A166,ScaledPrice4,9),0))</f>
        <v> </v>
      </c>
      <c r="I166" s="317" t="str">
        <f aca="false">IF(A166="N/A"," ",IF(OR(Dayrun4=3,Dayrun4=6,Dayrun4=9),(VLOOKUP(A166,ScaledPrice4,IF(Scaler4=2,7,8))),0))</f>
        <v> </v>
      </c>
      <c r="J166" s="317" t="str">
        <f aca="false">IF(A166="N/A"," ",IF(OR(Dayrun4=3,Dayrun4=6),IF(Scaler4=2,I166,(VLOOKUP(A166,ScaledPrice4,7))*(2-(VLOOKUP(A166,ScaledPrice4,3)))),0))</f>
        <v> </v>
      </c>
      <c r="K166" s="317" t="str">
        <f aca="false">IF($A166="N/A"," ",IF(OR(Dayrun4=3,Dayrun4=10),VLOOKUP($A166,ScaledPrice4,9),0))</f>
        <v> </v>
      </c>
      <c r="L166" s="318" t="str">
        <f aca="false">IF($A166="N/A"," ",IF(Pricetype4=2,MAX(C166,0),IF(OR(Pricetype4=1,Pricetype4=4),IF(C166=0,0,(EURO(C166,Strikeprice4,0,0,($AH166+IF(Smile=TRUE(),VLOOKUP(MAX(-5,Strikeprice4-C166),Volsmile,2),0)),($A166-DateToday)+15,IF(Pricetype4=1,1,0),0))),C166)))</f>
        <v> </v>
      </c>
      <c r="M166" s="318" t="str">
        <f aca="false">IF($A166="N/A"," ",IF(Pricetype4=2,MAX(D166,0),IF(OR(Pricetype4=1,Pricetype4=4),IF(D166=0,0,(EURO(D166,Strikeprice4,0,0,($AH166+IF(Smile=TRUE(),VLOOKUP(MAX(-5,Strikeprice4-D166),Volsmile,2),0)),($A166-DateToday)+15,IF(Pricetype4=1,1,0),0))),D166)))</f>
        <v> </v>
      </c>
      <c r="N166" s="318" t="str">
        <f aca="false">IF($A166="N/A"," ",IF(Pricetype4=2,MAX(E166,0),IF(OR(Pricetype4=1,Pricetype4=4),IF(E166=0,0,(EURO(E166,Strikeprice4,0,0,($AK166+IF(Smile=TRUE(),VLOOKUP(MAX(-5,Strikeprice4-E166),Volsmile,2),0)),($A166-DateToday)+15,IF(Pricetype4=1,1,0),0))),E166)))</f>
        <v> </v>
      </c>
      <c r="O166" s="318" t="str">
        <f aca="false">IF($A166="N/A"," ",IF(Pricetype4=2,MAX(F166,0),IF(OR(Pricetype4=1,Pricetype4=4),IF(F166=0,0,(EURO(F166,Strikeprice4,0,0,($AK166+IF(Smile=TRUE(),VLOOKUP(MAX(-5,Strikeprice4-F166),Volsmile,2),0)),($A166-DateToday)+15,IF(Pricetype4=1,1,0),0))),F166)))</f>
        <v> </v>
      </c>
      <c r="P166" s="318" t="str">
        <f aca="false">IF($A166="N/A"," ",IF(Pricetype4=2,MAX(G166,0),IF(OR(Pricetype4=1,Pricetype4=4),IF(G166=0,0,(EURO(G166,Strikeprice4,0,0,($AK166+IF(Smile=TRUE(),VLOOKUP(MAX(-5,Strikeprice4-G166),Volsmile,2),0)),($A166-DateToday)+15,IF(Pricetype4=1,1,0),0))),G166)))</f>
        <v> </v>
      </c>
      <c r="Q166" s="318" t="str">
        <f aca="false">IF($A166="N/A"," ",IF(Pricetype4=2,MAX(H166,0),IF(OR(Pricetype4=1,Pricetype4=4),IF(H166=0,0,(EURO(H166,Strikeprice4,0,0,($AK166+IF(Smile=TRUE(),VLOOKUP(MAX(-5,Strikeprice4-H166),Volsmile,2),0)),($A166-DateToday)+15,IF(Pricetype4=1,1,0),0))),H166)))</f>
        <v> </v>
      </c>
      <c r="R166" s="318" t="str">
        <f aca="false">IF($A166="N/A"," ",IF(Pricetype4=2,MAX(I166,0),IF(OR(Pricetype4=1,Pricetype4=4),IF(I166=0,0,(EURO(I166,Strikeprice4,0,0,($AK166+IF(Smile=TRUE(),VLOOKUP(MAX(-5,Strikeprice4-I166),Volsmile,2),0)),($A166-DateToday)+15,IF(Pricetype4=1,1,0),0))),I166)))</f>
        <v> </v>
      </c>
      <c r="S166" s="318" t="str">
        <f aca="false">IF($A166="N/A"," ",IF(Pricetype4=2,MAX(J166,0),IF(OR(Pricetype4=1,Pricetype4=4),IF(J166=0,0,(EURO(J166,Strikeprice4,0,0,($AK166+IF(Smile=TRUE(),VLOOKUP(MAX(-5,Strikeprice4-J166),Volsmile,2),0)),($A166-DateToday)+15,IF(Pricetype4=1,1,0),0))),J166)))</f>
        <v> </v>
      </c>
      <c r="T166" s="318" t="str">
        <f aca="false">IF($A166="N/A"," ",IF(Pricetype4=2,MAX(K166,0),IF(OR(Pricetype4=1,Pricetype4=4),IF(K166=0,0,(EURO(K166,Strikeprice4,0,0,($AK166+IF(Smile=TRUE(),VLOOKUP(MAX(-5,Strikeprice4-K166),Volsmile,2),0)),($A166-DateToday)+15,IF(Pricetype4=1,1,0),0))),K166)))</f>
        <v> </v>
      </c>
      <c r="U166" s="319" t="str">
        <f aca="false">IF($A166="N/A"," ",Volume4*$AM166)</f>
        <v> </v>
      </c>
      <c r="V166" s="320" t="str">
        <f aca="false">IF($A166="N/A"," ",$U166*(8*($BQ166))*L166)</f>
        <v> </v>
      </c>
      <c r="W166" s="320" t="str">
        <f aca="false">IF($A166="N/A"," ",$U166*(8*($BQ166))*M166)</f>
        <v> </v>
      </c>
      <c r="X166" s="320" t="str">
        <f aca="false">IF($A166="N/A"," ",$U166*(8*($BQ166))*N166)</f>
        <v> </v>
      </c>
      <c r="Y166" s="320" t="str">
        <f aca="false">IF($A166="N/A"," ",$U166*(8*($BR166))*O166)</f>
        <v> </v>
      </c>
      <c r="Z166" s="320" t="str">
        <f aca="false">IF($A166="N/A"," ",$U166*(8*($BR166))*P166)</f>
        <v> </v>
      </c>
      <c r="AA166" s="320" t="str">
        <f aca="false">IF($A166="N/A"," ",$U166*(8*($BR166))*Q166)</f>
        <v> </v>
      </c>
      <c r="AB166" s="320" t="str">
        <f aca="false">IF($A166="N/A"," ",$U166*(8*($BS166))*R166)</f>
        <v> </v>
      </c>
      <c r="AC166" s="320" t="str">
        <f aca="false">IF($A166="N/A"," ",$U166*(8*($BS166))*S166)</f>
        <v> </v>
      </c>
      <c r="AD166" s="320" t="str">
        <f aca="false">IF($A166="N/A"," ",$U166*(8*($BS166))*T166)</f>
        <v> </v>
      </c>
      <c r="AE166" s="320" t="str">
        <f aca="false">IF($A166="N/A"," ",SUM(V166:AD166))</f>
        <v> </v>
      </c>
      <c r="AF166" s="321" t="str">
        <f aca="false">IF(A166="N/A"," ",(VLOOKUP(A166,PowerVolTable,(IF(VolBMO4=2,7,IF(VolBMO4=1,6,8))),FALSE())))</f>
        <v> </v>
      </c>
      <c r="AG166" s="321" t="str">
        <f aca="false">IF(A166="N/A"," ",(VLOOKUP(A166,IntraPowerVol,(IF(VolBMO4=2,3,IF(VolBMO4=1,2,4))),FALSE())*VLOOKUP(MONTH($A166),Volscale,2)))</f>
        <v> </v>
      </c>
      <c r="AH166" s="321" t="str">
        <f aca="false">IF($A166="N/A"," ",IF(VolType4=1,AG166,AF166))</f>
        <v> </v>
      </c>
      <c r="AI166" s="321" t="str">
        <f aca="false">IF($A166="N/A"," ",(VLOOKUP($A166,OffPwrVolTable,(IF(VolBMO4=2,7,IF(VolBMO4=1,6,8))),FALSE())))</f>
        <v> </v>
      </c>
      <c r="AJ166" s="321" t="str">
        <f aca="false">IF($A166="N/A"," ",(VLOOKUP($A166,OffPwrVolTable,(IF(VolBMO4=2,3,IF(VolBMO4=1,2,4))),FALSE())*VLOOKUP(MONTH($A166),Volscale,2)))</f>
        <v> </v>
      </c>
      <c r="AK166" s="321" t="str">
        <f aca="false">IF($A166="N/A"," ",IF(VolType4=1,AJ166,AI166))</f>
        <v> </v>
      </c>
      <c r="AL166" s="321" t="str">
        <f aca="false">IF($A166="N/A"," ",IF(PV=1,0,'Pricing Inputs4'!R199))</f>
        <v> </v>
      </c>
      <c r="AM166" s="323" t="str">
        <f aca="false">IF($A166="N/A"," ",(1+AL166/2)^(-2*((EOMONTH(A166,0)+20)-DateToday)/365.25))</f>
        <v> </v>
      </c>
      <c r="BQ166" s="0" t="str">
        <f aca="false">IF($A166="N/A"," ",(VLOOKUP($A166,NumberofDaysTable,2)))</f>
        <v> </v>
      </c>
      <c r="BR166" s="0" t="str">
        <f aca="false">IF($A166="N/A"," ",(VLOOKUP($A166,NumberofDaysTable,3)))</f>
        <v> </v>
      </c>
      <c r="BS166" s="0" t="str">
        <f aca="false">IF($A166="N/A"," ",(VLOOKUP($A166,NumberofDaysTable,4)))</f>
        <v> </v>
      </c>
    </row>
    <row r="167" customFormat="false" ht="12.75" hidden="false" customHeight="false" outlineLevel="0" collapsed="false">
      <c r="A167" s="315" t="str">
        <f aca="false">IF(A166="N/A","N/A",IF(EDATE(A166,1)&gt;Inputs!$R$5,"N/A",EDATE(A166,1)))</f>
        <v>N/A</v>
      </c>
      <c r="B167" s="316" t="str">
        <f aca="false">IF(A167="N/A"," ",YEAR(A167))</f>
        <v> </v>
      </c>
      <c r="C167" s="317" t="str">
        <f aca="false">IF($A167="N/A"," ",IF(Dayrun4=10,0,IF(Scaler4=1,(VLOOKUP(A167,ScaledPrice4,4)),(VLOOKUP(A167,ScaledPrice4,2)))))</f>
        <v> </v>
      </c>
      <c r="D167" s="317" t="str">
        <f aca="false">IF(A167="N/A"," ",IF(Dayrun4&gt;=7,0,IF(Scaler4=2,VLOOKUP(A167,ScaledPrice4,2),(VLOOKUP(A167,ScaledPrice4,2))*(2-(VLOOKUP(A167,ScaledPrice4,3))))))</f>
        <v> </v>
      </c>
      <c r="E167" s="317" t="str">
        <f aca="false">IF($A167="N/A"," ",IF(AND(Dayrun4&gt;=4,Dayrun4&lt;=9),0,VLOOKUP($A167,ScaledPrice4,9)))</f>
        <v> </v>
      </c>
      <c r="F167" s="317" t="str">
        <f aca="false">IF(A167="N/A"," ",IF(OR(Dayrun4=2,Dayrun4=3,Dayrun4=5,Dayrun4=6,Dayrun4=8,Dayrun4=9),VLOOKUP(A167,ScaledPrice4,IF(Scaler4=1,6,5)),0))</f>
        <v> </v>
      </c>
      <c r="G167" s="317" t="str">
        <f aca="false">IF(A167="N/A"," ",IF(OR(Dayrun4=2,Dayrun4=3,Dayrun4=5,Dayrun4=6),IF(Scaler4=2,F167,(VLOOKUP(A167,ScaledPrice4,5))*(2-(VLOOKUP(A167,ScaledPrice4,3)))),0))</f>
        <v> </v>
      </c>
      <c r="H167" s="317" t="str">
        <f aca="false">IF($A167="N/A"," ",IF(OR(Dayrun4=2,Dayrun4=3,Dayrun4=10),VLOOKUP($A167,ScaledPrice4,9),0))</f>
        <v> </v>
      </c>
      <c r="I167" s="317" t="str">
        <f aca="false">IF(A167="N/A"," ",IF(OR(Dayrun4=3,Dayrun4=6,Dayrun4=9),(VLOOKUP(A167,ScaledPrice4,IF(Scaler4=2,7,8))),0))</f>
        <v> </v>
      </c>
      <c r="J167" s="317" t="str">
        <f aca="false">IF(A167="N/A"," ",IF(OR(Dayrun4=3,Dayrun4=6),IF(Scaler4=2,I167,(VLOOKUP(A167,ScaledPrice4,7))*(2-(VLOOKUP(A167,ScaledPrice4,3)))),0))</f>
        <v> </v>
      </c>
      <c r="K167" s="317" t="str">
        <f aca="false">IF($A167="N/A"," ",IF(OR(Dayrun4=3,Dayrun4=10),VLOOKUP($A167,ScaledPrice4,9),0))</f>
        <v> </v>
      </c>
      <c r="L167" s="318" t="str">
        <f aca="false">IF($A167="N/A"," ",IF(Pricetype4=2,MAX(C167,0),IF(OR(Pricetype4=1,Pricetype4=4),IF(C167=0,0,(EURO(C167,Strikeprice4,0,0,($AH167+IF(Smile=TRUE(),VLOOKUP(MAX(-5,Strikeprice4-C167),Volsmile,2),0)),($A167-DateToday)+15,IF(Pricetype4=1,1,0),0))),C167)))</f>
        <v> </v>
      </c>
      <c r="M167" s="318" t="str">
        <f aca="false">IF($A167="N/A"," ",IF(Pricetype4=2,MAX(D167,0),IF(OR(Pricetype4=1,Pricetype4=4),IF(D167=0,0,(EURO(D167,Strikeprice4,0,0,($AH167+IF(Smile=TRUE(),VLOOKUP(MAX(-5,Strikeprice4-D167),Volsmile,2),0)),($A167-DateToday)+15,IF(Pricetype4=1,1,0),0))),D167)))</f>
        <v> </v>
      </c>
      <c r="N167" s="318" t="str">
        <f aca="false">IF($A167="N/A"," ",IF(Pricetype4=2,MAX(E167,0),IF(OR(Pricetype4=1,Pricetype4=4),IF(E167=0,0,(EURO(E167,Strikeprice4,0,0,($AK167+IF(Smile=TRUE(),VLOOKUP(MAX(-5,Strikeprice4-E167),Volsmile,2),0)),($A167-DateToday)+15,IF(Pricetype4=1,1,0),0))),E167)))</f>
        <v> </v>
      </c>
      <c r="O167" s="318" t="str">
        <f aca="false">IF($A167="N/A"," ",IF(Pricetype4=2,MAX(F167,0),IF(OR(Pricetype4=1,Pricetype4=4),IF(F167=0,0,(EURO(F167,Strikeprice4,0,0,($AK167+IF(Smile=TRUE(),VLOOKUP(MAX(-5,Strikeprice4-F167),Volsmile,2),0)),($A167-DateToday)+15,IF(Pricetype4=1,1,0),0))),F167)))</f>
        <v> </v>
      </c>
      <c r="P167" s="318" t="str">
        <f aca="false">IF($A167="N/A"," ",IF(Pricetype4=2,MAX(G167,0),IF(OR(Pricetype4=1,Pricetype4=4),IF(G167=0,0,(EURO(G167,Strikeprice4,0,0,($AK167+IF(Smile=TRUE(),VLOOKUP(MAX(-5,Strikeprice4-G167),Volsmile,2),0)),($A167-DateToday)+15,IF(Pricetype4=1,1,0),0))),G167)))</f>
        <v> </v>
      </c>
      <c r="Q167" s="318" t="str">
        <f aca="false">IF($A167="N/A"," ",IF(Pricetype4=2,MAX(H167,0),IF(OR(Pricetype4=1,Pricetype4=4),IF(H167=0,0,(EURO(H167,Strikeprice4,0,0,($AK167+IF(Smile=TRUE(),VLOOKUP(MAX(-5,Strikeprice4-H167),Volsmile,2),0)),($A167-DateToday)+15,IF(Pricetype4=1,1,0),0))),H167)))</f>
        <v> </v>
      </c>
      <c r="R167" s="318" t="str">
        <f aca="false">IF($A167="N/A"," ",IF(Pricetype4=2,MAX(I167,0),IF(OR(Pricetype4=1,Pricetype4=4),IF(I167=0,0,(EURO(I167,Strikeprice4,0,0,($AK167+IF(Smile=TRUE(),VLOOKUP(MAX(-5,Strikeprice4-I167),Volsmile,2),0)),($A167-DateToday)+15,IF(Pricetype4=1,1,0),0))),I167)))</f>
        <v> </v>
      </c>
      <c r="S167" s="318" t="str">
        <f aca="false">IF($A167="N/A"," ",IF(Pricetype4=2,MAX(J167,0),IF(OR(Pricetype4=1,Pricetype4=4),IF(J167=0,0,(EURO(J167,Strikeprice4,0,0,($AK167+IF(Smile=TRUE(),VLOOKUP(MAX(-5,Strikeprice4-J167),Volsmile,2),0)),($A167-DateToday)+15,IF(Pricetype4=1,1,0),0))),J167)))</f>
        <v> </v>
      </c>
      <c r="T167" s="318" t="str">
        <f aca="false">IF($A167="N/A"," ",IF(Pricetype4=2,MAX(K167,0),IF(OR(Pricetype4=1,Pricetype4=4),IF(K167=0,0,(EURO(K167,Strikeprice4,0,0,($AK167+IF(Smile=TRUE(),VLOOKUP(MAX(-5,Strikeprice4-K167),Volsmile,2),0)),($A167-DateToday)+15,IF(Pricetype4=1,1,0),0))),K167)))</f>
        <v> </v>
      </c>
      <c r="U167" s="319" t="str">
        <f aca="false">IF($A167="N/A"," ",Volume4*$AM167)</f>
        <v> </v>
      </c>
      <c r="V167" s="320" t="str">
        <f aca="false">IF($A167="N/A"," ",$U167*(8*($BQ167))*L167)</f>
        <v> </v>
      </c>
      <c r="W167" s="320" t="str">
        <f aca="false">IF($A167="N/A"," ",$U167*(8*($BQ167))*M167)</f>
        <v> </v>
      </c>
      <c r="X167" s="320" t="str">
        <f aca="false">IF($A167="N/A"," ",$U167*(8*($BQ167))*N167)</f>
        <v> </v>
      </c>
      <c r="Y167" s="320" t="str">
        <f aca="false">IF($A167="N/A"," ",$U167*(8*($BR167))*O167)</f>
        <v> </v>
      </c>
      <c r="Z167" s="320" t="str">
        <f aca="false">IF($A167="N/A"," ",$U167*(8*($BR167))*P167)</f>
        <v> </v>
      </c>
      <c r="AA167" s="320" t="str">
        <f aca="false">IF($A167="N/A"," ",$U167*(8*($BR167))*Q167)</f>
        <v> </v>
      </c>
      <c r="AB167" s="320" t="str">
        <f aca="false">IF($A167="N/A"," ",$U167*(8*($BS167))*R167)</f>
        <v> </v>
      </c>
      <c r="AC167" s="320" t="str">
        <f aca="false">IF($A167="N/A"," ",$U167*(8*($BS167))*S167)</f>
        <v> </v>
      </c>
      <c r="AD167" s="320" t="str">
        <f aca="false">IF($A167="N/A"," ",$U167*(8*($BS167))*T167)</f>
        <v> </v>
      </c>
      <c r="AE167" s="320" t="str">
        <f aca="false">IF($A167="N/A"," ",SUM(V167:AD167))</f>
        <v> </v>
      </c>
      <c r="AF167" s="321" t="str">
        <f aca="false">IF(A167="N/A"," ",(VLOOKUP(A167,PowerVolTable,(IF(VolBMO4=2,7,IF(VolBMO4=1,6,8))),FALSE())))</f>
        <v> </v>
      </c>
      <c r="AG167" s="321" t="str">
        <f aca="false">IF(A167="N/A"," ",(VLOOKUP(A167,IntraPowerVol,(IF(VolBMO4=2,3,IF(VolBMO4=1,2,4))),FALSE())*VLOOKUP(MONTH($A167),Volscale,2)))</f>
        <v> </v>
      </c>
      <c r="AH167" s="321" t="str">
        <f aca="false">IF($A167="N/A"," ",IF(VolType4=1,AG167,AF167))</f>
        <v> </v>
      </c>
      <c r="AI167" s="321" t="str">
        <f aca="false">IF($A167="N/A"," ",(VLOOKUP($A167,OffPwrVolTable,(IF(VolBMO4=2,7,IF(VolBMO4=1,6,8))),FALSE())))</f>
        <v> </v>
      </c>
      <c r="AJ167" s="321" t="str">
        <f aca="false">IF($A167="N/A"," ",(VLOOKUP($A167,OffPwrVolTable,(IF(VolBMO4=2,3,IF(VolBMO4=1,2,4))),FALSE())*VLOOKUP(MONTH($A167),Volscale,2)))</f>
        <v> </v>
      </c>
      <c r="AK167" s="321" t="str">
        <f aca="false">IF($A167="N/A"," ",IF(VolType4=1,AJ167,AI167))</f>
        <v> </v>
      </c>
      <c r="AL167" s="321" t="str">
        <f aca="false">IF($A167="N/A"," ",IF(PV=1,0,'Pricing Inputs4'!R200))</f>
        <v> </v>
      </c>
      <c r="AM167" s="323" t="str">
        <f aca="false">IF($A167="N/A"," ",(1+AL167/2)^(-2*((EOMONTH(A167,0)+20)-DateToday)/365.25))</f>
        <v> </v>
      </c>
      <c r="BQ167" s="0" t="str">
        <f aca="false">IF($A167="N/A"," ",(VLOOKUP($A167,NumberofDaysTable,2)))</f>
        <v> </v>
      </c>
      <c r="BR167" s="0" t="str">
        <f aca="false">IF($A167="N/A"," ",(VLOOKUP($A167,NumberofDaysTable,3)))</f>
        <v> </v>
      </c>
      <c r="BS167" s="0" t="str">
        <f aca="false">IF($A167="N/A"," ",(VLOOKUP($A167,NumberofDaysTable,4)))</f>
        <v> </v>
      </c>
    </row>
    <row r="168" customFormat="false" ht="12.75" hidden="false" customHeight="false" outlineLevel="0" collapsed="false">
      <c r="A168" s="315" t="str">
        <f aca="false">IF(A167="N/A","N/A",IF(EDATE(A167,1)&gt;Inputs!$R$5,"N/A",EDATE(A167,1)))</f>
        <v>N/A</v>
      </c>
      <c r="B168" s="316" t="str">
        <f aca="false">IF(A168="N/A"," ",YEAR(A168))</f>
        <v> </v>
      </c>
      <c r="C168" s="317" t="str">
        <f aca="false">IF($A168="N/A"," ",IF(Dayrun4=10,0,IF(Scaler4=1,(VLOOKUP(A168,ScaledPrice4,4)),(VLOOKUP(A168,ScaledPrice4,2)))))</f>
        <v> </v>
      </c>
      <c r="D168" s="317" t="str">
        <f aca="false">IF(A168="N/A"," ",IF(Dayrun4&gt;=7,0,IF(Scaler4=2,VLOOKUP(A168,ScaledPrice4,2),(VLOOKUP(A168,ScaledPrice4,2))*(2-(VLOOKUP(A168,ScaledPrice4,3))))))</f>
        <v> </v>
      </c>
      <c r="E168" s="317" t="str">
        <f aca="false">IF($A168="N/A"," ",IF(AND(Dayrun4&gt;=4,Dayrun4&lt;=9),0,VLOOKUP($A168,ScaledPrice4,9)))</f>
        <v> </v>
      </c>
      <c r="F168" s="317" t="str">
        <f aca="false">IF(A168="N/A"," ",IF(OR(Dayrun4=2,Dayrun4=3,Dayrun4=5,Dayrun4=6,Dayrun4=8,Dayrun4=9),VLOOKUP(A168,ScaledPrice4,IF(Scaler4=1,6,5)),0))</f>
        <v> </v>
      </c>
      <c r="G168" s="317" t="str">
        <f aca="false">IF(A168="N/A"," ",IF(OR(Dayrun4=2,Dayrun4=3,Dayrun4=5,Dayrun4=6),IF(Scaler4=2,F168,(VLOOKUP(A168,ScaledPrice4,5))*(2-(VLOOKUP(A168,ScaledPrice4,3)))),0))</f>
        <v> </v>
      </c>
      <c r="H168" s="317" t="str">
        <f aca="false">IF($A168="N/A"," ",IF(OR(Dayrun4=2,Dayrun4=3,Dayrun4=10),VLOOKUP($A168,ScaledPrice4,9),0))</f>
        <v> </v>
      </c>
      <c r="I168" s="317" t="str">
        <f aca="false">IF(A168="N/A"," ",IF(OR(Dayrun4=3,Dayrun4=6,Dayrun4=9),(VLOOKUP(A168,ScaledPrice4,IF(Scaler4=2,7,8))),0))</f>
        <v> </v>
      </c>
      <c r="J168" s="317" t="str">
        <f aca="false">IF(A168="N/A"," ",IF(OR(Dayrun4=3,Dayrun4=6),IF(Scaler4=2,I168,(VLOOKUP(A168,ScaledPrice4,7))*(2-(VLOOKUP(A168,ScaledPrice4,3)))),0))</f>
        <v> </v>
      </c>
      <c r="K168" s="317" t="str">
        <f aca="false">IF($A168="N/A"," ",IF(OR(Dayrun4=3,Dayrun4=10),VLOOKUP($A168,ScaledPrice4,9),0))</f>
        <v> </v>
      </c>
      <c r="L168" s="318" t="str">
        <f aca="false">IF($A168="N/A"," ",IF(Pricetype4=2,MAX(C168,0),IF(OR(Pricetype4=1,Pricetype4=4),IF(C168=0,0,(EURO(C168,Strikeprice4,0,0,($AH168+IF(Smile=TRUE(),VLOOKUP(MAX(-5,Strikeprice4-C168),Volsmile,2),0)),($A168-DateToday)+15,IF(Pricetype4=1,1,0),0))),C168)))</f>
        <v> </v>
      </c>
      <c r="M168" s="318" t="str">
        <f aca="false">IF($A168="N/A"," ",IF(Pricetype4=2,MAX(D168,0),IF(OR(Pricetype4=1,Pricetype4=4),IF(D168=0,0,(EURO(D168,Strikeprice4,0,0,($AH168+IF(Smile=TRUE(),VLOOKUP(MAX(-5,Strikeprice4-D168),Volsmile,2),0)),($A168-DateToday)+15,IF(Pricetype4=1,1,0),0))),D168)))</f>
        <v> </v>
      </c>
      <c r="N168" s="318" t="str">
        <f aca="false">IF($A168="N/A"," ",IF(Pricetype4=2,MAX(E168,0),IF(OR(Pricetype4=1,Pricetype4=4),IF(E168=0,0,(EURO(E168,Strikeprice4,0,0,($AK168+IF(Smile=TRUE(),VLOOKUP(MAX(-5,Strikeprice4-E168),Volsmile,2),0)),($A168-DateToday)+15,IF(Pricetype4=1,1,0),0))),E168)))</f>
        <v> </v>
      </c>
      <c r="O168" s="318" t="str">
        <f aca="false">IF($A168="N/A"," ",IF(Pricetype4=2,MAX(F168,0),IF(OR(Pricetype4=1,Pricetype4=4),IF(F168=0,0,(EURO(F168,Strikeprice4,0,0,($AK168+IF(Smile=TRUE(),VLOOKUP(MAX(-5,Strikeprice4-F168),Volsmile,2),0)),($A168-DateToday)+15,IF(Pricetype4=1,1,0),0))),F168)))</f>
        <v> </v>
      </c>
      <c r="P168" s="318" t="str">
        <f aca="false">IF($A168="N/A"," ",IF(Pricetype4=2,MAX(G168,0),IF(OR(Pricetype4=1,Pricetype4=4),IF(G168=0,0,(EURO(G168,Strikeprice4,0,0,($AK168+IF(Smile=TRUE(),VLOOKUP(MAX(-5,Strikeprice4-G168),Volsmile,2),0)),($A168-DateToday)+15,IF(Pricetype4=1,1,0),0))),G168)))</f>
        <v> </v>
      </c>
      <c r="Q168" s="318" t="str">
        <f aca="false">IF($A168="N/A"," ",IF(Pricetype4=2,MAX(H168,0),IF(OR(Pricetype4=1,Pricetype4=4),IF(H168=0,0,(EURO(H168,Strikeprice4,0,0,($AK168+IF(Smile=TRUE(),VLOOKUP(MAX(-5,Strikeprice4-H168),Volsmile,2),0)),($A168-DateToday)+15,IF(Pricetype4=1,1,0),0))),H168)))</f>
        <v> </v>
      </c>
      <c r="R168" s="318" t="str">
        <f aca="false">IF($A168="N/A"," ",IF(Pricetype4=2,MAX(I168,0),IF(OR(Pricetype4=1,Pricetype4=4),IF(I168=0,0,(EURO(I168,Strikeprice4,0,0,($AK168+IF(Smile=TRUE(),VLOOKUP(MAX(-5,Strikeprice4-I168),Volsmile,2),0)),($A168-DateToday)+15,IF(Pricetype4=1,1,0),0))),I168)))</f>
        <v> </v>
      </c>
      <c r="S168" s="318" t="str">
        <f aca="false">IF($A168="N/A"," ",IF(Pricetype4=2,MAX(J168,0),IF(OR(Pricetype4=1,Pricetype4=4),IF(J168=0,0,(EURO(J168,Strikeprice4,0,0,($AK168+IF(Smile=TRUE(),VLOOKUP(MAX(-5,Strikeprice4-J168),Volsmile,2),0)),($A168-DateToday)+15,IF(Pricetype4=1,1,0),0))),J168)))</f>
        <v> </v>
      </c>
      <c r="T168" s="318" t="str">
        <f aca="false">IF($A168="N/A"," ",IF(Pricetype4=2,MAX(K168,0),IF(OR(Pricetype4=1,Pricetype4=4),IF(K168=0,0,(EURO(K168,Strikeprice4,0,0,($AK168+IF(Smile=TRUE(),VLOOKUP(MAX(-5,Strikeprice4-K168),Volsmile,2),0)),($A168-DateToday)+15,IF(Pricetype4=1,1,0),0))),K168)))</f>
        <v> </v>
      </c>
      <c r="U168" s="319" t="str">
        <f aca="false">IF($A168="N/A"," ",Volume4*$AM168)</f>
        <v> </v>
      </c>
      <c r="V168" s="320" t="str">
        <f aca="false">IF($A168="N/A"," ",$U168*(8*($BQ168))*L168)</f>
        <v> </v>
      </c>
      <c r="W168" s="320" t="str">
        <f aca="false">IF($A168="N/A"," ",$U168*(8*($BQ168))*M168)</f>
        <v> </v>
      </c>
      <c r="X168" s="320" t="str">
        <f aca="false">IF($A168="N/A"," ",$U168*(8*($BQ168))*N168)</f>
        <v> </v>
      </c>
      <c r="Y168" s="320" t="str">
        <f aca="false">IF($A168="N/A"," ",$U168*(8*($BR168))*O168)</f>
        <v> </v>
      </c>
      <c r="Z168" s="320" t="str">
        <f aca="false">IF($A168="N/A"," ",$U168*(8*($BR168))*P168)</f>
        <v> </v>
      </c>
      <c r="AA168" s="320" t="str">
        <f aca="false">IF($A168="N/A"," ",$U168*(8*($BR168))*Q168)</f>
        <v> </v>
      </c>
      <c r="AB168" s="320" t="str">
        <f aca="false">IF($A168="N/A"," ",$U168*(8*($BS168))*R168)</f>
        <v> </v>
      </c>
      <c r="AC168" s="320" t="str">
        <f aca="false">IF($A168="N/A"," ",$U168*(8*($BS168))*S168)</f>
        <v> </v>
      </c>
      <c r="AD168" s="320" t="str">
        <f aca="false">IF($A168="N/A"," ",$U168*(8*($BS168))*T168)</f>
        <v> </v>
      </c>
      <c r="AE168" s="320" t="str">
        <f aca="false">IF($A168="N/A"," ",SUM(V168:AD168))</f>
        <v> </v>
      </c>
      <c r="AF168" s="321" t="str">
        <f aca="false">IF(A168="N/A"," ",(VLOOKUP(A168,PowerVolTable,(IF(VolBMO4=2,7,IF(VolBMO4=1,6,8))),FALSE())))</f>
        <v> </v>
      </c>
      <c r="AG168" s="321" t="str">
        <f aca="false">IF(A168="N/A"," ",(VLOOKUP(A168,IntraPowerVol,(IF(VolBMO4=2,3,IF(VolBMO4=1,2,4))),FALSE())*VLOOKUP(MONTH($A168),Volscale,2)))</f>
        <v> </v>
      </c>
      <c r="AH168" s="321" t="str">
        <f aca="false">IF($A168="N/A"," ",IF(VolType4=1,AG168,AF168))</f>
        <v> </v>
      </c>
      <c r="AI168" s="321" t="str">
        <f aca="false">IF($A168="N/A"," ",(VLOOKUP($A168,OffPwrVolTable,(IF(VolBMO4=2,7,IF(VolBMO4=1,6,8))),FALSE())))</f>
        <v> </v>
      </c>
      <c r="AJ168" s="321" t="str">
        <f aca="false">IF($A168="N/A"," ",(VLOOKUP($A168,OffPwrVolTable,(IF(VolBMO4=2,3,IF(VolBMO4=1,2,4))),FALSE())*VLOOKUP(MONTH($A168),Volscale,2)))</f>
        <v> </v>
      </c>
      <c r="AK168" s="321" t="str">
        <f aca="false">IF($A168="N/A"," ",IF(VolType4=1,AJ168,AI168))</f>
        <v> </v>
      </c>
      <c r="AL168" s="321" t="str">
        <f aca="false">IF($A168="N/A"," ",IF(PV=1,0,'Pricing Inputs4'!R201))</f>
        <v> </v>
      </c>
      <c r="AM168" s="323" t="str">
        <f aca="false">IF($A168="N/A"," ",(1+AL168/2)^(-2*((EOMONTH(A168,0)+20)-DateToday)/365.25))</f>
        <v> </v>
      </c>
      <c r="BQ168" s="0" t="str">
        <f aca="false">IF($A168="N/A"," ",(VLOOKUP($A168,NumberofDaysTable,2)))</f>
        <v> </v>
      </c>
      <c r="BR168" s="0" t="str">
        <f aca="false">IF($A168="N/A"," ",(VLOOKUP($A168,NumberofDaysTable,3)))</f>
        <v> </v>
      </c>
      <c r="BS168" s="0" t="str">
        <f aca="false">IF($A168="N/A"," ",(VLOOKUP($A168,NumberofDaysTable,4)))</f>
        <v> </v>
      </c>
    </row>
    <row r="169" customFormat="false" ht="12.75" hidden="false" customHeight="false" outlineLevel="0" collapsed="false">
      <c r="A169" s="315" t="str">
        <f aca="false">IF(A168="N/A","N/A",IF(EDATE(A168,1)&gt;Inputs!$R$5,"N/A",EDATE(A168,1)))</f>
        <v>N/A</v>
      </c>
      <c r="B169" s="316" t="str">
        <f aca="false">IF(A169="N/A"," ",YEAR(A169))</f>
        <v> </v>
      </c>
      <c r="C169" s="317" t="str">
        <f aca="false">IF($A169="N/A"," ",IF(Dayrun4=10,0,IF(Scaler4=1,(VLOOKUP(A169,ScaledPrice4,4)),(VLOOKUP(A169,ScaledPrice4,2)))))</f>
        <v> </v>
      </c>
      <c r="D169" s="317" t="str">
        <f aca="false">IF(A169="N/A"," ",IF(Dayrun4&gt;=7,0,IF(Scaler4=2,VLOOKUP(A169,ScaledPrice4,2),(VLOOKUP(A169,ScaledPrice4,2))*(2-(VLOOKUP(A169,ScaledPrice4,3))))))</f>
        <v> </v>
      </c>
      <c r="E169" s="317" t="str">
        <f aca="false">IF($A169="N/A"," ",IF(AND(Dayrun4&gt;=4,Dayrun4&lt;=9),0,VLOOKUP($A169,ScaledPrice4,9)))</f>
        <v> </v>
      </c>
      <c r="F169" s="317" t="str">
        <f aca="false">IF(A169="N/A"," ",IF(OR(Dayrun4=2,Dayrun4=3,Dayrun4=5,Dayrun4=6,Dayrun4=8,Dayrun4=9),VLOOKUP(A169,ScaledPrice4,IF(Scaler4=1,6,5)),0))</f>
        <v> </v>
      </c>
      <c r="G169" s="317" t="str">
        <f aca="false">IF(A169="N/A"," ",IF(OR(Dayrun4=2,Dayrun4=3,Dayrun4=5,Dayrun4=6),IF(Scaler4=2,F169,(VLOOKUP(A169,ScaledPrice4,5))*(2-(VLOOKUP(A169,ScaledPrice4,3)))),0))</f>
        <v> </v>
      </c>
      <c r="H169" s="317" t="str">
        <f aca="false">IF($A169="N/A"," ",IF(OR(Dayrun4=2,Dayrun4=3,Dayrun4=10),VLOOKUP($A169,ScaledPrice4,9),0))</f>
        <v> </v>
      </c>
      <c r="I169" s="317" t="str">
        <f aca="false">IF(A169="N/A"," ",IF(OR(Dayrun4=3,Dayrun4=6,Dayrun4=9),(VLOOKUP(A169,ScaledPrice4,IF(Scaler4=2,7,8))),0))</f>
        <v> </v>
      </c>
      <c r="J169" s="317" t="str">
        <f aca="false">IF(A169="N/A"," ",IF(OR(Dayrun4=3,Dayrun4=6),IF(Scaler4=2,I169,(VLOOKUP(A169,ScaledPrice4,7))*(2-(VLOOKUP(A169,ScaledPrice4,3)))),0))</f>
        <v> </v>
      </c>
      <c r="K169" s="317" t="str">
        <f aca="false">IF($A169="N/A"," ",IF(OR(Dayrun4=3,Dayrun4=10),VLOOKUP($A169,ScaledPrice4,9),0))</f>
        <v> </v>
      </c>
      <c r="L169" s="318" t="str">
        <f aca="false">IF($A169="N/A"," ",IF(Pricetype4=2,MAX(C169,0),IF(OR(Pricetype4=1,Pricetype4=4),IF(C169=0,0,(EURO(C169,Strikeprice4,0,0,($AH169+IF(Smile=TRUE(),VLOOKUP(MAX(-5,Strikeprice4-C169),Volsmile,2),0)),($A169-DateToday)+15,IF(Pricetype4=1,1,0),0))),C169)))</f>
        <v> </v>
      </c>
      <c r="M169" s="318" t="str">
        <f aca="false">IF($A169="N/A"," ",IF(Pricetype4=2,MAX(D169,0),IF(OR(Pricetype4=1,Pricetype4=4),IF(D169=0,0,(EURO(D169,Strikeprice4,0,0,($AH169+IF(Smile=TRUE(),VLOOKUP(MAX(-5,Strikeprice4-D169),Volsmile,2),0)),($A169-DateToday)+15,IF(Pricetype4=1,1,0),0))),D169)))</f>
        <v> </v>
      </c>
      <c r="N169" s="318" t="str">
        <f aca="false">IF($A169="N/A"," ",IF(Pricetype4=2,MAX(E169,0),IF(OR(Pricetype4=1,Pricetype4=4),IF(E169=0,0,(EURO(E169,Strikeprice4,0,0,($AK169+IF(Smile=TRUE(),VLOOKUP(MAX(-5,Strikeprice4-E169),Volsmile,2),0)),($A169-DateToday)+15,IF(Pricetype4=1,1,0),0))),E169)))</f>
        <v> </v>
      </c>
      <c r="O169" s="318" t="str">
        <f aca="false">IF($A169="N/A"," ",IF(Pricetype4=2,MAX(F169,0),IF(OR(Pricetype4=1,Pricetype4=4),IF(F169=0,0,(EURO(F169,Strikeprice4,0,0,($AK169+IF(Smile=TRUE(),VLOOKUP(MAX(-5,Strikeprice4-F169),Volsmile,2),0)),($A169-DateToday)+15,IF(Pricetype4=1,1,0),0))),F169)))</f>
        <v> </v>
      </c>
      <c r="P169" s="318" t="str">
        <f aca="false">IF($A169="N/A"," ",IF(Pricetype4=2,MAX(G169,0),IF(OR(Pricetype4=1,Pricetype4=4),IF(G169=0,0,(EURO(G169,Strikeprice4,0,0,($AK169+IF(Smile=TRUE(),VLOOKUP(MAX(-5,Strikeprice4-G169),Volsmile,2),0)),($A169-DateToday)+15,IF(Pricetype4=1,1,0),0))),G169)))</f>
        <v> </v>
      </c>
      <c r="Q169" s="318" t="str">
        <f aca="false">IF($A169="N/A"," ",IF(Pricetype4=2,MAX(H169,0),IF(OR(Pricetype4=1,Pricetype4=4),IF(H169=0,0,(EURO(H169,Strikeprice4,0,0,($AK169+IF(Smile=TRUE(),VLOOKUP(MAX(-5,Strikeprice4-H169),Volsmile,2),0)),($A169-DateToday)+15,IF(Pricetype4=1,1,0),0))),H169)))</f>
        <v> </v>
      </c>
      <c r="R169" s="318" t="str">
        <f aca="false">IF($A169="N/A"," ",IF(Pricetype4=2,MAX(I169,0),IF(OR(Pricetype4=1,Pricetype4=4),IF(I169=0,0,(EURO(I169,Strikeprice4,0,0,($AK169+IF(Smile=TRUE(),VLOOKUP(MAX(-5,Strikeprice4-I169),Volsmile,2),0)),($A169-DateToday)+15,IF(Pricetype4=1,1,0),0))),I169)))</f>
        <v> </v>
      </c>
      <c r="S169" s="318" t="str">
        <f aca="false">IF($A169="N/A"," ",IF(Pricetype4=2,MAX(J169,0),IF(OR(Pricetype4=1,Pricetype4=4),IF(J169=0,0,(EURO(J169,Strikeprice4,0,0,($AK169+IF(Smile=TRUE(),VLOOKUP(MAX(-5,Strikeprice4-J169),Volsmile,2),0)),($A169-DateToday)+15,IF(Pricetype4=1,1,0),0))),J169)))</f>
        <v> </v>
      </c>
      <c r="T169" s="318" t="str">
        <f aca="false">IF($A169="N/A"," ",IF(Pricetype4=2,MAX(K169,0),IF(OR(Pricetype4=1,Pricetype4=4),IF(K169=0,0,(EURO(K169,Strikeprice4,0,0,($AK169+IF(Smile=TRUE(),VLOOKUP(MAX(-5,Strikeprice4-K169),Volsmile,2),0)),($A169-DateToday)+15,IF(Pricetype4=1,1,0),0))),K169)))</f>
        <v> </v>
      </c>
      <c r="U169" s="319" t="str">
        <f aca="false">IF($A169="N/A"," ",Volume4*$AM169)</f>
        <v> </v>
      </c>
      <c r="V169" s="320" t="str">
        <f aca="false">IF($A169="N/A"," ",$U169*(8*($BQ169))*L169)</f>
        <v> </v>
      </c>
      <c r="W169" s="320" t="str">
        <f aca="false">IF($A169="N/A"," ",$U169*(8*($BQ169))*M169)</f>
        <v> </v>
      </c>
      <c r="X169" s="320" t="str">
        <f aca="false">IF($A169="N/A"," ",$U169*(8*($BQ169))*N169)</f>
        <v> </v>
      </c>
      <c r="Y169" s="320" t="str">
        <f aca="false">IF($A169="N/A"," ",$U169*(8*($BR169))*O169)</f>
        <v> </v>
      </c>
      <c r="Z169" s="320" t="str">
        <f aca="false">IF($A169="N/A"," ",$U169*(8*($BR169))*P169)</f>
        <v> </v>
      </c>
      <c r="AA169" s="320" t="str">
        <f aca="false">IF($A169="N/A"," ",$U169*(8*($BR169))*Q169)</f>
        <v> </v>
      </c>
      <c r="AB169" s="320" t="str">
        <f aca="false">IF($A169="N/A"," ",$U169*(8*($BS169))*R169)</f>
        <v> </v>
      </c>
      <c r="AC169" s="320" t="str">
        <f aca="false">IF($A169="N/A"," ",$U169*(8*($BS169))*S169)</f>
        <v> </v>
      </c>
      <c r="AD169" s="320" t="str">
        <f aca="false">IF($A169="N/A"," ",$U169*(8*($BS169))*T169)</f>
        <v> </v>
      </c>
      <c r="AE169" s="320" t="str">
        <f aca="false">IF($A169="N/A"," ",SUM(V169:AD169))</f>
        <v> </v>
      </c>
      <c r="AF169" s="321" t="str">
        <f aca="false">IF(A169="N/A"," ",(VLOOKUP(A169,PowerVolTable,(IF(VolBMO4=2,7,IF(VolBMO4=1,6,8))),FALSE())))</f>
        <v> </v>
      </c>
      <c r="AG169" s="321" t="str">
        <f aca="false">IF(A169="N/A"," ",(VLOOKUP(A169,IntraPowerVol,(IF(VolBMO4=2,3,IF(VolBMO4=1,2,4))),FALSE())*VLOOKUP(MONTH($A169),Volscale,2)))</f>
        <v> </v>
      </c>
      <c r="AH169" s="321" t="str">
        <f aca="false">IF($A169="N/A"," ",IF(VolType4=1,AG169,AF169))</f>
        <v> </v>
      </c>
      <c r="AI169" s="321" t="str">
        <f aca="false">IF($A169="N/A"," ",(VLOOKUP($A169,OffPwrVolTable,(IF(VolBMO4=2,7,IF(VolBMO4=1,6,8))),FALSE())))</f>
        <v> </v>
      </c>
      <c r="AJ169" s="321" t="str">
        <f aca="false">IF($A169="N/A"," ",(VLOOKUP($A169,OffPwrVolTable,(IF(VolBMO4=2,3,IF(VolBMO4=1,2,4))),FALSE())*VLOOKUP(MONTH($A169),Volscale,2)))</f>
        <v> </v>
      </c>
      <c r="AK169" s="321" t="str">
        <f aca="false">IF($A169="N/A"," ",IF(VolType4=1,AJ169,AI169))</f>
        <v> </v>
      </c>
      <c r="AL169" s="321" t="str">
        <f aca="false">IF($A169="N/A"," ",IF(PV=1,0,'Pricing Inputs4'!R202))</f>
        <v> </v>
      </c>
      <c r="AM169" s="323" t="str">
        <f aca="false">IF($A169="N/A"," ",(1+AL169/2)^(-2*((EOMONTH(A169,0)+20)-DateToday)/365.25))</f>
        <v> </v>
      </c>
      <c r="BQ169" s="0" t="str">
        <f aca="false">IF($A169="N/A"," ",(VLOOKUP($A169,NumberofDaysTable,2)))</f>
        <v> </v>
      </c>
      <c r="BR169" s="0" t="str">
        <f aca="false">IF($A169="N/A"," ",(VLOOKUP($A169,NumberofDaysTable,3)))</f>
        <v> </v>
      </c>
      <c r="BS169" s="0" t="str">
        <f aca="false">IF($A169="N/A"," ",(VLOOKUP($A169,NumberofDaysTable,4)))</f>
        <v> </v>
      </c>
    </row>
    <row r="170" customFormat="false" ht="12.75" hidden="false" customHeight="false" outlineLevel="0" collapsed="false">
      <c r="A170" s="315" t="str">
        <f aca="false">IF(A169="N/A","N/A",IF(EDATE(A169,1)&gt;Inputs!$R$5,"N/A",EDATE(A169,1)))</f>
        <v>N/A</v>
      </c>
      <c r="B170" s="316" t="str">
        <f aca="false">IF(A170="N/A"," ",YEAR(A170))</f>
        <v> </v>
      </c>
      <c r="C170" s="317" t="str">
        <f aca="false">IF($A170="N/A"," ",IF(Dayrun4=10,0,IF(Scaler4=1,(VLOOKUP(A170,ScaledPrice4,4)),(VLOOKUP(A170,ScaledPrice4,2)))))</f>
        <v> </v>
      </c>
      <c r="D170" s="317" t="str">
        <f aca="false">IF(A170="N/A"," ",IF(Dayrun4&gt;=7,0,IF(Scaler4=2,VLOOKUP(A170,ScaledPrice4,2),(VLOOKUP(A170,ScaledPrice4,2))*(2-(VLOOKUP(A170,ScaledPrice4,3))))))</f>
        <v> </v>
      </c>
      <c r="E170" s="317" t="str">
        <f aca="false">IF($A170="N/A"," ",IF(AND(Dayrun4&gt;=4,Dayrun4&lt;=9),0,VLOOKUP($A170,ScaledPrice4,9)))</f>
        <v> </v>
      </c>
      <c r="F170" s="317" t="str">
        <f aca="false">IF(A170="N/A"," ",IF(OR(Dayrun4=2,Dayrun4=3,Dayrun4=5,Dayrun4=6,Dayrun4=8,Dayrun4=9),VLOOKUP(A170,ScaledPrice4,IF(Scaler4=1,6,5)),0))</f>
        <v> </v>
      </c>
      <c r="G170" s="317" t="str">
        <f aca="false">IF(A170="N/A"," ",IF(OR(Dayrun4=2,Dayrun4=3,Dayrun4=5,Dayrun4=6),IF(Scaler4=2,F170,(VLOOKUP(A170,ScaledPrice4,5))*(2-(VLOOKUP(A170,ScaledPrice4,3)))),0))</f>
        <v> </v>
      </c>
      <c r="H170" s="317" t="str">
        <f aca="false">IF($A170="N/A"," ",IF(OR(Dayrun4=2,Dayrun4=3,Dayrun4=10),VLOOKUP($A170,ScaledPrice4,9),0))</f>
        <v> </v>
      </c>
      <c r="I170" s="317" t="str">
        <f aca="false">IF(A170="N/A"," ",IF(OR(Dayrun4=3,Dayrun4=6,Dayrun4=9),(VLOOKUP(A170,ScaledPrice4,IF(Scaler4=2,7,8))),0))</f>
        <v> </v>
      </c>
      <c r="J170" s="317" t="str">
        <f aca="false">IF(A170="N/A"," ",IF(OR(Dayrun4=3,Dayrun4=6),IF(Scaler4=2,I170,(VLOOKUP(A170,ScaledPrice4,7))*(2-(VLOOKUP(A170,ScaledPrice4,3)))),0))</f>
        <v> </v>
      </c>
      <c r="K170" s="317" t="str">
        <f aca="false">IF($A170="N/A"," ",IF(OR(Dayrun4=3,Dayrun4=10),VLOOKUP($A170,ScaledPrice4,9),0))</f>
        <v> </v>
      </c>
      <c r="L170" s="318" t="str">
        <f aca="false">IF($A170="N/A"," ",IF(Pricetype4=2,MAX(C170,0),IF(OR(Pricetype4=1,Pricetype4=4),IF(C170=0,0,(EURO(C170,Strikeprice4,0,0,($AH170+IF(Smile=TRUE(),VLOOKUP(MAX(-5,Strikeprice4-C170),Volsmile,2),0)),($A170-DateToday)+15,IF(Pricetype4=1,1,0),0))),C170)))</f>
        <v> </v>
      </c>
      <c r="M170" s="318" t="str">
        <f aca="false">IF($A170="N/A"," ",IF(Pricetype4=2,MAX(D170,0),IF(OR(Pricetype4=1,Pricetype4=4),IF(D170=0,0,(EURO(D170,Strikeprice4,0,0,($AH170+IF(Smile=TRUE(),VLOOKUP(MAX(-5,Strikeprice4-D170),Volsmile,2),0)),($A170-DateToday)+15,IF(Pricetype4=1,1,0),0))),D170)))</f>
        <v> </v>
      </c>
      <c r="N170" s="318" t="str">
        <f aca="false">IF($A170="N/A"," ",IF(Pricetype4=2,MAX(E170,0),IF(OR(Pricetype4=1,Pricetype4=4),IF(E170=0,0,(EURO(E170,Strikeprice4,0,0,($AK170+IF(Smile=TRUE(),VLOOKUP(MAX(-5,Strikeprice4-E170),Volsmile,2),0)),($A170-DateToday)+15,IF(Pricetype4=1,1,0),0))),E170)))</f>
        <v> </v>
      </c>
      <c r="O170" s="318" t="str">
        <f aca="false">IF($A170="N/A"," ",IF(Pricetype4=2,MAX(F170,0),IF(OR(Pricetype4=1,Pricetype4=4),IF(F170=0,0,(EURO(F170,Strikeprice4,0,0,($AK170+IF(Smile=TRUE(),VLOOKUP(MAX(-5,Strikeprice4-F170),Volsmile,2),0)),($A170-DateToday)+15,IF(Pricetype4=1,1,0),0))),F170)))</f>
        <v> </v>
      </c>
      <c r="P170" s="318" t="str">
        <f aca="false">IF($A170="N/A"," ",IF(Pricetype4=2,MAX(G170,0),IF(OR(Pricetype4=1,Pricetype4=4),IF(G170=0,0,(EURO(G170,Strikeprice4,0,0,($AK170+IF(Smile=TRUE(),VLOOKUP(MAX(-5,Strikeprice4-G170),Volsmile,2),0)),($A170-DateToday)+15,IF(Pricetype4=1,1,0),0))),G170)))</f>
        <v> </v>
      </c>
      <c r="Q170" s="318" t="str">
        <f aca="false">IF($A170="N/A"," ",IF(Pricetype4=2,MAX(H170,0),IF(OR(Pricetype4=1,Pricetype4=4),IF(H170=0,0,(EURO(H170,Strikeprice4,0,0,($AK170+IF(Smile=TRUE(),VLOOKUP(MAX(-5,Strikeprice4-H170),Volsmile,2),0)),($A170-DateToday)+15,IF(Pricetype4=1,1,0),0))),H170)))</f>
        <v> </v>
      </c>
      <c r="R170" s="318" t="str">
        <f aca="false">IF($A170="N/A"," ",IF(Pricetype4=2,MAX(I170,0),IF(OR(Pricetype4=1,Pricetype4=4),IF(I170=0,0,(EURO(I170,Strikeprice4,0,0,($AK170+IF(Smile=TRUE(),VLOOKUP(MAX(-5,Strikeprice4-I170),Volsmile,2),0)),($A170-DateToday)+15,IF(Pricetype4=1,1,0),0))),I170)))</f>
        <v> </v>
      </c>
      <c r="S170" s="318" t="str">
        <f aca="false">IF($A170="N/A"," ",IF(Pricetype4=2,MAX(J170,0),IF(OR(Pricetype4=1,Pricetype4=4),IF(J170=0,0,(EURO(J170,Strikeprice4,0,0,($AK170+IF(Smile=TRUE(),VLOOKUP(MAX(-5,Strikeprice4-J170),Volsmile,2),0)),($A170-DateToday)+15,IF(Pricetype4=1,1,0),0))),J170)))</f>
        <v> </v>
      </c>
      <c r="T170" s="318" t="str">
        <f aca="false">IF($A170="N/A"," ",IF(Pricetype4=2,MAX(K170,0),IF(OR(Pricetype4=1,Pricetype4=4),IF(K170=0,0,(EURO(K170,Strikeprice4,0,0,($AK170+IF(Smile=TRUE(),VLOOKUP(MAX(-5,Strikeprice4-K170),Volsmile,2),0)),($A170-DateToday)+15,IF(Pricetype4=1,1,0),0))),K170)))</f>
        <v> </v>
      </c>
      <c r="U170" s="319" t="str">
        <f aca="false">IF($A170="N/A"," ",Volume4*$AM170)</f>
        <v> </v>
      </c>
      <c r="V170" s="320" t="str">
        <f aca="false">IF($A170="N/A"," ",$U170*(8*($BQ170))*L170)</f>
        <v> </v>
      </c>
      <c r="W170" s="320" t="str">
        <f aca="false">IF($A170="N/A"," ",$U170*(8*($BQ170))*M170)</f>
        <v> </v>
      </c>
      <c r="X170" s="320" t="str">
        <f aca="false">IF($A170="N/A"," ",$U170*(8*($BQ170))*N170)</f>
        <v> </v>
      </c>
      <c r="Y170" s="320" t="str">
        <f aca="false">IF($A170="N/A"," ",$U170*(8*($BR170))*O170)</f>
        <v> </v>
      </c>
      <c r="Z170" s="320" t="str">
        <f aca="false">IF($A170="N/A"," ",$U170*(8*($BR170))*P170)</f>
        <v> </v>
      </c>
      <c r="AA170" s="320" t="str">
        <f aca="false">IF($A170="N/A"," ",$U170*(8*($BR170))*Q170)</f>
        <v> </v>
      </c>
      <c r="AB170" s="320" t="str">
        <f aca="false">IF($A170="N/A"," ",$U170*(8*($BS170))*R170)</f>
        <v> </v>
      </c>
      <c r="AC170" s="320" t="str">
        <f aca="false">IF($A170="N/A"," ",$U170*(8*($BS170))*S170)</f>
        <v> </v>
      </c>
      <c r="AD170" s="320" t="str">
        <f aca="false">IF($A170="N/A"," ",$U170*(8*($BS170))*T170)</f>
        <v> </v>
      </c>
      <c r="AE170" s="320" t="str">
        <f aca="false">IF($A170="N/A"," ",SUM(V170:AD170))</f>
        <v> </v>
      </c>
      <c r="AF170" s="321" t="str">
        <f aca="false">IF(A170="N/A"," ",(VLOOKUP(A170,PowerVolTable,(IF(VolBMO4=2,7,IF(VolBMO4=1,6,8))),FALSE())))</f>
        <v> </v>
      </c>
      <c r="AG170" s="321" t="str">
        <f aca="false">IF(A170="N/A"," ",(VLOOKUP(A170,IntraPowerVol,(IF(VolBMO4=2,3,IF(VolBMO4=1,2,4))),FALSE())*VLOOKUP(MONTH($A170),Volscale,2)))</f>
        <v> </v>
      </c>
      <c r="AH170" s="321" t="str">
        <f aca="false">IF($A170="N/A"," ",IF(VolType4=1,AG170,AF170))</f>
        <v> </v>
      </c>
      <c r="AI170" s="321" t="str">
        <f aca="false">IF($A170="N/A"," ",(VLOOKUP($A170,OffPwrVolTable,(IF(VolBMO4=2,7,IF(VolBMO4=1,6,8))),FALSE())))</f>
        <v> </v>
      </c>
      <c r="AJ170" s="321" t="str">
        <f aca="false">IF($A170="N/A"," ",(VLOOKUP($A170,OffPwrVolTable,(IF(VolBMO4=2,3,IF(VolBMO4=1,2,4))),FALSE())*VLOOKUP(MONTH($A170),Volscale,2)))</f>
        <v> </v>
      </c>
      <c r="AK170" s="321" t="str">
        <f aca="false">IF($A170="N/A"," ",IF(VolType4=1,AJ170,AI170))</f>
        <v> </v>
      </c>
      <c r="AL170" s="321" t="str">
        <f aca="false">IF($A170="N/A"," ",IF(PV=1,0,'Pricing Inputs4'!R203))</f>
        <v> </v>
      </c>
      <c r="AM170" s="323" t="str">
        <f aca="false">IF($A170="N/A"," ",(1+AL170/2)^(-2*((EOMONTH(A170,0)+20)-DateToday)/365.25))</f>
        <v> </v>
      </c>
      <c r="BQ170" s="0" t="str">
        <f aca="false">IF($A170="N/A"," ",(VLOOKUP($A170,NumberofDaysTable,2)))</f>
        <v> </v>
      </c>
      <c r="BR170" s="0" t="str">
        <f aca="false">IF($A170="N/A"," ",(VLOOKUP($A170,NumberofDaysTable,3)))</f>
        <v> </v>
      </c>
      <c r="BS170" s="0" t="str">
        <f aca="false">IF($A170="N/A"," ",(VLOOKUP($A170,NumberofDaysTable,4)))</f>
        <v> </v>
      </c>
    </row>
    <row r="171" customFormat="false" ht="12.75" hidden="false" customHeight="false" outlineLevel="0" collapsed="false">
      <c r="A171" s="315" t="str">
        <f aca="false">IF(A170="N/A","N/A",IF(EDATE(A170,1)&gt;Inputs!$R$5,"N/A",EDATE(A170,1)))</f>
        <v>N/A</v>
      </c>
      <c r="B171" s="316" t="str">
        <f aca="false">IF(A171="N/A"," ",YEAR(A171))</f>
        <v> </v>
      </c>
      <c r="C171" s="317" t="str">
        <f aca="false">IF($A171="N/A"," ",IF(Dayrun4=10,0,IF(Scaler4=1,(VLOOKUP(A171,ScaledPrice4,4)),(VLOOKUP(A171,ScaledPrice4,2)))))</f>
        <v> </v>
      </c>
      <c r="D171" s="317" t="str">
        <f aca="false">IF(A171="N/A"," ",IF(Dayrun4&gt;=7,0,IF(Scaler4=2,VLOOKUP(A171,ScaledPrice4,2),(VLOOKUP(A171,ScaledPrice4,2))*(2-(VLOOKUP(A171,ScaledPrice4,3))))))</f>
        <v> </v>
      </c>
      <c r="E171" s="317" t="str">
        <f aca="false">IF($A171="N/A"," ",IF(AND(Dayrun4&gt;=4,Dayrun4&lt;=9),0,VLOOKUP($A171,ScaledPrice4,9)))</f>
        <v> </v>
      </c>
      <c r="F171" s="317" t="str">
        <f aca="false">IF(A171="N/A"," ",IF(OR(Dayrun4=2,Dayrun4=3,Dayrun4=5,Dayrun4=6,Dayrun4=8,Dayrun4=9),VLOOKUP(A171,ScaledPrice4,IF(Scaler4=1,6,5)),0))</f>
        <v> </v>
      </c>
      <c r="G171" s="317" t="str">
        <f aca="false">IF(A171="N/A"," ",IF(OR(Dayrun4=2,Dayrun4=3,Dayrun4=5,Dayrun4=6),IF(Scaler4=2,F171,(VLOOKUP(A171,ScaledPrice4,5))*(2-(VLOOKUP(A171,ScaledPrice4,3)))),0))</f>
        <v> </v>
      </c>
      <c r="H171" s="317" t="str">
        <f aca="false">IF($A171="N/A"," ",IF(OR(Dayrun4=2,Dayrun4=3,Dayrun4=10),VLOOKUP($A171,ScaledPrice4,9),0))</f>
        <v> </v>
      </c>
      <c r="I171" s="317" t="str">
        <f aca="false">IF(A171="N/A"," ",IF(OR(Dayrun4=3,Dayrun4=6,Dayrun4=9),(VLOOKUP(A171,ScaledPrice4,IF(Scaler4=2,7,8))),0))</f>
        <v> </v>
      </c>
      <c r="J171" s="317" t="str">
        <f aca="false">IF(A171="N/A"," ",IF(OR(Dayrun4=3,Dayrun4=6),IF(Scaler4=2,I171,(VLOOKUP(A171,ScaledPrice4,7))*(2-(VLOOKUP(A171,ScaledPrice4,3)))),0))</f>
        <v> </v>
      </c>
      <c r="K171" s="317" t="str">
        <f aca="false">IF($A171="N/A"," ",IF(OR(Dayrun4=3,Dayrun4=10),VLOOKUP($A171,ScaledPrice4,9),0))</f>
        <v> </v>
      </c>
      <c r="L171" s="318" t="str">
        <f aca="false">IF($A171="N/A"," ",IF(Pricetype4=2,MAX(C171,0),IF(OR(Pricetype4=1,Pricetype4=4),IF(C171=0,0,(EURO(C171,Strikeprice4,0,0,($AH171+IF(Smile=TRUE(),VLOOKUP(MAX(-5,Strikeprice4-C171),Volsmile,2),0)),($A171-DateToday)+15,IF(Pricetype4=1,1,0),0))),C171)))</f>
        <v> </v>
      </c>
      <c r="M171" s="318" t="str">
        <f aca="false">IF($A171="N/A"," ",IF(Pricetype4=2,MAX(D171,0),IF(OR(Pricetype4=1,Pricetype4=4),IF(D171=0,0,(EURO(D171,Strikeprice4,0,0,($AH171+IF(Smile=TRUE(),VLOOKUP(MAX(-5,Strikeprice4-D171),Volsmile,2),0)),($A171-DateToday)+15,IF(Pricetype4=1,1,0),0))),D171)))</f>
        <v> </v>
      </c>
      <c r="N171" s="318" t="str">
        <f aca="false">IF($A171="N/A"," ",IF(Pricetype4=2,MAX(E171,0),IF(OR(Pricetype4=1,Pricetype4=4),IF(E171=0,0,(EURO(E171,Strikeprice4,0,0,($AK171+IF(Smile=TRUE(),VLOOKUP(MAX(-5,Strikeprice4-E171),Volsmile,2),0)),($A171-DateToday)+15,IF(Pricetype4=1,1,0),0))),E171)))</f>
        <v> </v>
      </c>
      <c r="O171" s="318" t="str">
        <f aca="false">IF($A171="N/A"," ",IF(Pricetype4=2,MAX(F171,0),IF(OR(Pricetype4=1,Pricetype4=4),IF(F171=0,0,(EURO(F171,Strikeprice4,0,0,($AK171+IF(Smile=TRUE(),VLOOKUP(MAX(-5,Strikeprice4-F171),Volsmile,2),0)),($A171-DateToday)+15,IF(Pricetype4=1,1,0),0))),F171)))</f>
        <v> </v>
      </c>
      <c r="P171" s="318" t="str">
        <f aca="false">IF($A171="N/A"," ",IF(Pricetype4=2,MAX(G171,0),IF(OR(Pricetype4=1,Pricetype4=4),IF(G171=0,0,(EURO(G171,Strikeprice4,0,0,($AK171+IF(Smile=TRUE(),VLOOKUP(MAX(-5,Strikeprice4-G171),Volsmile,2),0)),($A171-DateToday)+15,IF(Pricetype4=1,1,0),0))),G171)))</f>
        <v> </v>
      </c>
      <c r="Q171" s="318" t="str">
        <f aca="false">IF($A171="N/A"," ",IF(Pricetype4=2,MAX(H171,0),IF(OR(Pricetype4=1,Pricetype4=4),IF(H171=0,0,(EURO(H171,Strikeprice4,0,0,($AK171+IF(Smile=TRUE(),VLOOKUP(MAX(-5,Strikeprice4-H171),Volsmile,2),0)),($A171-DateToday)+15,IF(Pricetype4=1,1,0),0))),H171)))</f>
        <v> </v>
      </c>
      <c r="R171" s="318" t="str">
        <f aca="false">IF($A171="N/A"," ",IF(Pricetype4=2,MAX(I171,0),IF(OR(Pricetype4=1,Pricetype4=4),IF(I171=0,0,(EURO(I171,Strikeprice4,0,0,($AK171+IF(Smile=TRUE(),VLOOKUP(MAX(-5,Strikeprice4-I171),Volsmile,2),0)),($A171-DateToday)+15,IF(Pricetype4=1,1,0),0))),I171)))</f>
        <v> </v>
      </c>
      <c r="S171" s="318" t="str">
        <f aca="false">IF($A171="N/A"," ",IF(Pricetype4=2,MAX(J171,0),IF(OR(Pricetype4=1,Pricetype4=4),IF(J171=0,0,(EURO(J171,Strikeprice4,0,0,($AK171+IF(Smile=TRUE(),VLOOKUP(MAX(-5,Strikeprice4-J171),Volsmile,2),0)),($A171-DateToday)+15,IF(Pricetype4=1,1,0),0))),J171)))</f>
        <v> </v>
      </c>
      <c r="T171" s="318" t="str">
        <f aca="false">IF($A171="N/A"," ",IF(Pricetype4=2,MAX(K171,0),IF(OR(Pricetype4=1,Pricetype4=4),IF(K171=0,0,(EURO(K171,Strikeprice4,0,0,($AK171+IF(Smile=TRUE(),VLOOKUP(MAX(-5,Strikeprice4-K171),Volsmile,2),0)),($A171-DateToday)+15,IF(Pricetype4=1,1,0),0))),K171)))</f>
        <v> </v>
      </c>
      <c r="U171" s="319" t="str">
        <f aca="false">IF($A171="N/A"," ",Volume4*$AM171)</f>
        <v> </v>
      </c>
      <c r="V171" s="320" t="str">
        <f aca="false">IF($A171="N/A"," ",$U171*(8*($BQ171))*L171)</f>
        <v> </v>
      </c>
      <c r="W171" s="320" t="str">
        <f aca="false">IF($A171="N/A"," ",$U171*(8*($BQ171))*M171)</f>
        <v> </v>
      </c>
      <c r="X171" s="320" t="str">
        <f aca="false">IF($A171="N/A"," ",$U171*(8*($BQ171))*N171)</f>
        <v> </v>
      </c>
      <c r="Y171" s="320" t="str">
        <f aca="false">IF($A171="N/A"," ",$U171*(8*($BR171))*O171)</f>
        <v> </v>
      </c>
      <c r="Z171" s="320" t="str">
        <f aca="false">IF($A171="N/A"," ",$U171*(8*($BR171))*P171)</f>
        <v> </v>
      </c>
      <c r="AA171" s="320" t="str">
        <f aca="false">IF($A171="N/A"," ",$U171*(8*($BR171))*Q171)</f>
        <v> </v>
      </c>
      <c r="AB171" s="320" t="str">
        <f aca="false">IF($A171="N/A"," ",$U171*(8*($BS171))*R171)</f>
        <v> </v>
      </c>
      <c r="AC171" s="320" t="str">
        <f aca="false">IF($A171="N/A"," ",$U171*(8*($BS171))*S171)</f>
        <v> </v>
      </c>
      <c r="AD171" s="320" t="str">
        <f aca="false">IF($A171="N/A"," ",$U171*(8*($BS171))*T171)</f>
        <v> </v>
      </c>
      <c r="AE171" s="320" t="str">
        <f aca="false">IF($A171="N/A"," ",SUM(V171:AD171))</f>
        <v> </v>
      </c>
      <c r="AF171" s="321" t="str">
        <f aca="false">IF(A171="N/A"," ",(VLOOKUP(A171,PowerVolTable,(IF(VolBMO4=2,7,IF(VolBMO4=1,6,8))),FALSE())))</f>
        <v> </v>
      </c>
      <c r="AG171" s="321" t="str">
        <f aca="false">IF(A171="N/A"," ",(VLOOKUP(A171,IntraPowerVol,(IF(VolBMO4=2,3,IF(VolBMO4=1,2,4))),FALSE())*VLOOKUP(MONTH($A171),Volscale,2)))</f>
        <v> </v>
      </c>
      <c r="AH171" s="321" t="str">
        <f aca="false">IF($A171="N/A"," ",IF(VolType4=1,AG171,AF171))</f>
        <v> </v>
      </c>
      <c r="AI171" s="321" t="str">
        <f aca="false">IF($A171="N/A"," ",(VLOOKUP($A171,OffPwrVolTable,(IF(VolBMO4=2,7,IF(VolBMO4=1,6,8))),FALSE())))</f>
        <v> </v>
      </c>
      <c r="AJ171" s="321" t="str">
        <f aca="false">IF($A171="N/A"," ",(VLOOKUP($A171,OffPwrVolTable,(IF(VolBMO4=2,3,IF(VolBMO4=1,2,4))),FALSE())*VLOOKUP(MONTH($A171),Volscale,2)))</f>
        <v> </v>
      </c>
      <c r="AK171" s="321" t="str">
        <f aca="false">IF($A171="N/A"," ",IF(VolType4=1,AJ171,AI171))</f>
        <v> </v>
      </c>
      <c r="AL171" s="321" t="str">
        <f aca="false">IF($A171="N/A"," ",IF(PV=1,0,'Pricing Inputs4'!R204))</f>
        <v> </v>
      </c>
      <c r="AM171" s="323" t="str">
        <f aca="false">IF($A171="N/A"," ",(1+AL171/2)^(-2*((EOMONTH(A171,0)+20)-DateToday)/365.25))</f>
        <v> </v>
      </c>
      <c r="BQ171" s="0" t="str">
        <f aca="false">IF($A171="N/A"," ",(VLOOKUP($A171,NumberofDaysTable,2)))</f>
        <v> </v>
      </c>
      <c r="BR171" s="0" t="str">
        <f aca="false">IF($A171="N/A"," ",(VLOOKUP($A171,NumberofDaysTable,3)))</f>
        <v> </v>
      </c>
      <c r="BS171" s="0" t="str">
        <f aca="false">IF($A171="N/A"," ",(VLOOKUP($A171,NumberofDaysTable,4)))</f>
        <v> </v>
      </c>
    </row>
    <row r="172" customFormat="false" ht="12.75" hidden="false" customHeight="false" outlineLevel="0" collapsed="false">
      <c r="A172" s="315" t="str">
        <f aca="false">IF(A171="N/A","N/A",IF(EDATE(A171,1)&gt;Inputs!$R$5,"N/A",EDATE(A171,1)))</f>
        <v>N/A</v>
      </c>
      <c r="B172" s="316" t="str">
        <f aca="false">IF(A172="N/A"," ",YEAR(A172))</f>
        <v> </v>
      </c>
      <c r="C172" s="317" t="str">
        <f aca="false">IF($A172="N/A"," ",IF(Dayrun4=10,0,IF(Scaler4=1,(VLOOKUP(A172,ScaledPrice4,4)),(VLOOKUP(A172,ScaledPrice4,2)))))</f>
        <v> </v>
      </c>
      <c r="D172" s="317" t="str">
        <f aca="false">IF(A172="N/A"," ",IF(Dayrun4&gt;=7,0,IF(Scaler4=2,VLOOKUP(A172,ScaledPrice4,2),(VLOOKUP(A172,ScaledPrice4,2))*(2-(VLOOKUP(A172,ScaledPrice4,3))))))</f>
        <v> </v>
      </c>
      <c r="E172" s="317" t="str">
        <f aca="false">IF($A172="N/A"," ",IF(AND(Dayrun4&gt;=4,Dayrun4&lt;=9),0,VLOOKUP($A172,ScaledPrice4,9)))</f>
        <v> </v>
      </c>
      <c r="F172" s="317" t="str">
        <f aca="false">IF(A172="N/A"," ",IF(OR(Dayrun4=2,Dayrun4=3,Dayrun4=5,Dayrun4=6,Dayrun4=8,Dayrun4=9),VLOOKUP(A172,ScaledPrice4,IF(Scaler4=1,6,5)),0))</f>
        <v> </v>
      </c>
      <c r="G172" s="317" t="str">
        <f aca="false">IF(A172="N/A"," ",IF(OR(Dayrun4=2,Dayrun4=3,Dayrun4=5,Dayrun4=6),IF(Scaler4=2,F172,(VLOOKUP(A172,ScaledPrice4,5))*(2-(VLOOKUP(A172,ScaledPrice4,3)))),0))</f>
        <v> </v>
      </c>
      <c r="H172" s="317" t="str">
        <f aca="false">IF($A172="N/A"," ",IF(OR(Dayrun4=2,Dayrun4=3,Dayrun4=10),VLOOKUP($A172,ScaledPrice4,9),0))</f>
        <v> </v>
      </c>
      <c r="I172" s="317" t="str">
        <f aca="false">IF(A172="N/A"," ",IF(OR(Dayrun4=3,Dayrun4=6,Dayrun4=9),(VLOOKUP(A172,ScaledPrice4,IF(Scaler4=2,7,8))),0))</f>
        <v> </v>
      </c>
      <c r="J172" s="317" t="str">
        <f aca="false">IF(A172="N/A"," ",IF(OR(Dayrun4=3,Dayrun4=6),IF(Scaler4=2,I172,(VLOOKUP(A172,ScaledPrice4,7))*(2-(VLOOKUP(A172,ScaledPrice4,3)))),0))</f>
        <v> </v>
      </c>
      <c r="K172" s="317" t="str">
        <f aca="false">IF($A172="N/A"," ",IF(OR(Dayrun4=3,Dayrun4=10),VLOOKUP($A172,ScaledPrice4,9),0))</f>
        <v> </v>
      </c>
      <c r="L172" s="318" t="str">
        <f aca="false">IF($A172="N/A"," ",IF(Pricetype4=2,MAX(C172,0),IF(OR(Pricetype4=1,Pricetype4=4),IF(C172=0,0,(EURO(C172,Strikeprice4,0,0,($AH172+IF(Smile=TRUE(),VLOOKUP(MAX(-5,Strikeprice4-C172),Volsmile,2),0)),($A172-DateToday)+15,IF(Pricetype4=1,1,0),0))),C172)))</f>
        <v> </v>
      </c>
      <c r="M172" s="318" t="str">
        <f aca="false">IF($A172="N/A"," ",IF(Pricetype4=2,MAX(D172,0),IF(OR(Pricetype4=1,Pricetype4=4),IF(D172=0,0,(EURO(D172,Strikeprice4,0,0,($AH172+IF(Smile=TRUE(),VLOOKUP(MAX(-5,Strikeprice4-D172),Volsmile,2),0)),($A172-DateToday)+15,IF(Pricetype4=1,1,0),0))),D172)))</f>
        <v> </v>
      </c>
      <c r="N172" s="318" t="str">
        <f aca="false">IF($A172="N/A"," ",IF(Pricetype4=2,MAX(E172,0),IF(OR(Pricetype4=1,Pricetype4=4),IF(E172=0,0,(EURO(E172,Strikeprice4,0,0,($AK172+IF(Smile=TRUE(),VLOOKUP(MAX(-5,Strikeprice4-E172),Volsmile,2),0)),($A172-DateToday)+15,IF(Pricetype4=1,1,0),0))),E172)))</f>
        <v> </v>
      </c>
      <c r="O172" s="318" t="str">
        <f aca="false">IF($A172="N/A"," ",IF(Pricetype4=2,MAX(F172,0),IF(OR(Pricetype4=1,Pricetype4=4),IF(F172=0,0,(EURO(F172,Strikeprice4,0,0,($AK172+IF(Smile=TRUE(),VLOOKUP(MAX(-5,Strikeprice4-F172),Volsmile,2),0)),($A172-DateToday)+15,IF(Pricetype4=1,1,0),0))),F172)))</f>
        <v> </v>
      </c>
      <c r="P172" s="318" t="str">
        <f aca="false">IF($A172="N/A"," ",IF(Pricetype4=2,MAX(G172,0),IF(OR(Pricetype4=1,Pricetype4=4),IF(G172=0,0,(EURO(G172,Strikeprice4,0,0,($AK172+IF(Smile=TRUE(),VLOOKUP(MAX(-5,Strikeprice4-G172),Volsmile,2),0)),($A172-DateToday)+15,IF(Pricetype4=1,1,0),0))),G172)))</f>
        <v> </v>
      </c>
      <c r="Q172" s="318" t="str">
        <f aca="false">IF($A172="N/A"," ",IF(Pricetype4=2,MAX(H172,0),IF(OR(Pricetype4=1,Pricetype4=4),IF(H172=0,0,(EURO(H172,Strikeprice4,0,0,($AK172+IF(Smile=TRUE(),VLOOKUP(MAX(-5,Strikeprice4-H172),Volsmile,2),0)),($A172-DateToday)+15,IF(Pricetype4=1,1,0),0))),H172)))</f>
        <v> </v>
      </c>
      <c r="R172" s="318" t="str">
        <f aca="false">IF($A172="N/A"," ",IF(Pricetype4=2,MAX(I172,0),IF(OR(Pricetype4=1,Pricetype4=4),IF(I172=0,0,(EURO(I172,Strikeprice4,0,0,($AK172+IF(Smile=TRUE(),VLOOKUP(MAX(-5,Strikeprice4-I172),Volsmile,2),0)),($A172-DateToday)+15,IF(Pricetype4=1,1,0),0))),I172)))</f>
        <v> </v>
      </c>
      <c r="S172" s="318" t="str">
        <f aca="false">IF($A172="N/A"," ",IF(Pricetype4=2,MAX(J172,0),IF(OR(Pricetype4=1,Pricetype4=4),IF(J172=0,0,(EURO(J172,Strikeprice4,0,0,($AK172+IF(Smile=TRUE(),VLOOKUP(MAX(-5,Strikeprice4-J172),Volsmile,2),0)),($A172-DateToday)+15,IF(Pricetype4=1,1,0),0))),J172)))</f>
        <v> </v>
      </c>
      <c r="T172" s="318" t="str">
        <f aca="false">IF($A172="N/A"," ",IF(Pricetype4=2,MAX(K172,0),IF(OR(Pricetype4=1,Pricetype4=4),IF(K172=0,0,(EURO(K172,Strikeprice4,0,0,($AK172+IF(Smile=TRUE(),VLOOKUP(MAX(-5,Strikeprice4-K172),Volsmile,2),0)),($A172-DateToday)+15,IF(Pricetype4=1,1,0),0))),K172)))</f>
        <v> </v>
      </c>
      <c r="U172" s="319" t="str">
        <f aca="false">IF($A172="N/A"," ",Volume4*$AM172)</f>
        <v> </v>
      </c>
      <c r="V172" s="320" t="str">
        <f aca="false">IF($A172="N/A"," ",$U172*(8*($BQ172))*L172)</f>
        <v> </v>
      </c>
      <c r="W172" s="320" t="str">
        <f aca="false">IF($A172="N/A"," ",$U172*(8*($BQ172))*M172)</f>
        <v> </v>
      </c>
      <c r="X172" s="320" t="str">
        <f aca="false">IF($A172="N/A"," ",$U172*(8*($BQ172))*N172)</f>
        <v> </v>
      </c>
      <c r="Y172" s="320" t="str">
        <f aca="false">IF($A172="N/A"," ",$U172*(8*($BR172))*O172)</f>
        <v> </v>
      </c>
      <c r="Z172" s="320" t="str">
        <f aca="false">IF($A172="N/A"," ",$U172*(8*($BR172))*P172)</f>
        <v> </v>
      </c>
      <c r="AA172" s="320" t="str">
        <f aca="false">IF($A172="N/A"," ",$U172*(8*($BR172))*Q172)</f>
        <v> </v>
      </c>
      <c r="AB172" s="320" t="str">
        <f aca="false">IF($A172="N/A"," ",$U172*(8*($BS172))*R172)</f>
        <v> </v>
      </c>
      <c r="AC172" s="320" t="str">
        <f aca="false">IF($A172="N/A"," ",$U172*(8*($BS172))*S172)</f>
        <v> </v>
      </c>
      <c r="AD172" s="320" t="str">
        <f aca="false">IF($A172="N/A"," ",$U172*(8*($BS172))*T172)</f>
        <v> </v>
      </c>
      <c r="AE172" s="320" t="str">
        <f aca="false">IF($A172="N/A"," ",SUM(V172:AD172))</f>
        <v> </v>
      </c>
      <c r="AF172" s="321" t="str">
        <f aca="false">IF(A172="N/A"," ",(VLOOKUP(A172,PowerVolTable,(IF(VolBMO4=2,7,IF(VolBMO4=1,6,8))),FALSE())))</f>
        <v> </v>
      </c>
      <c r="AG172" s="321" t="str">
        <f aca="false">IF(A172="N/A"," ",(VLOOKUP(A172,IntraPowerVol,(IF(VolBMO4=2,3,IF(VolBMO4=1,2,4))),FALSE())*VLOOKUP(MONTH($A172),Volscale,2)))</f>
        <v> </v>
      </c>
      <c r="AH172" s="321" t="str">
        <f aca="false">IF($A172="N/A"," ",IF(VolType4=1,AG172,AF172))</f>
        <v> </v>
      </c>
      <c r="AI172" s="321" t="str">
        <f aca="false">IF($A172="N/A"," ",(VLOOKUP($A172,OffPwrVolTable,(IF(VolBMO4=2,7,IF(VolBMO4=1,6,8))),FALSE())))</f>
        <v> </v>
      </c>
      <c r="AJ172" s="321" t="str">
        <f aca="false">IF($A172="N/A"," ",(VLOOKUP($A172,OffPwrVolTable,(IF(VolBMO4=2,3,IF(VolBMO4=1,2,4))),FALSE())*VLOOKUP(MONTH($A172),Volscale,2)))</f>
        <v> </v>
      </c>
      <c r="AK172" s="321" t="str">
        <f aca="false">IF($A172="N/A"," ",IF(VolType4=1,AJ172,AI172))</f>
        <v> </v>
      </c>
      <c r="AL172" s="321" t="str">
        <f aca="false">IF($A172="N/A"," ",IF(PV=1,0,'Pricing Inputs4'!R205))</f>
        <v> </v>
      </c>
      <c r="AM172" s="323" t="str">
        <f aca="false">IF($A172="N/A"," ",(1+AL172/2)^(-2*((EOMONTH(A172,0)+20)-DateToday)/365.25))</f>
        <v> </v>
      </c>
      <c r="BQ172" s="0" t="str">
        <f aca="false">IF($A172="N/A"," ",(VLOOKUP($A172,NumberofDaysTable,2)))</f>
        <v> </v>
      </c>
      <c r="BR172" s="0" t="str">
        <f aca="false">IF($A172="N/A"," ",(VLOOKUP($A172,NumberofDaysTable,3)))</f>
        <v> </v>
      </c>
      <c r="BS172" s="0" t="str">
        <f aca="false">IF($A172="N/A"," ",(VLOOKUP($A172,NumberofDaysTable,4)))</f>
        <v> </v>
      </c>
    </row>
    <row r="173" customFormat="false" ht="12.75" hidden="false" customHeight="false" outlineLevel="0" collapsed="false">
      <c r="A173" s="315" t="str">
        <f aca="false">IF(A172="N/A","N/A",IF(EDATE(A172,1)&gt;Inputs!$R$5,"N/A",EDATE(A172,1)))</f>
        <v>N/A</v>
      </c>
      <c r="B173" s="316" t="str">
        <f aca="false">IF(A173="N/A"," ",YEAR(A173))</f>
        <v> </v>
      </c>
      <c r="C173" s="317" t="str">
        <f aca="false">IF($A173="N/A"," ",IF(Dayrun4=10,0,IF(Scaler4=1,(VLOOKUP(A173,ScaledPrice4,4)),(VLOOKUP(A173,ScaledPrice4,2)))))</f>
        <v> </v>
      </c>
      <c r="D173" s="317" t="str">
        <f aca="false">IF(A173="N/A"," ",IF(Dayrun4&gt;=7,0,IF(Scaler4=2,VLOOKUP(A173,ScaledPrice4,2),(VLOOKUP(A173,ScaledPrice4,2))*(2-(VLOOKUP(A173,ScaledPrice4,3))))))</f>
        <v> </v>
      </c>
      <c r="E173" s="317" t="str">
        <f aca="false">IF($A173="N/A"," ",IF(AND(Dayrun4&gt;=4,Dayrun4&lt;=9),0,VLOOKUP($A173,ScaledPrice4,9)))</f>
        <v> </v>
      </c>
      <c r="F173" s="317" t="str">
        <f aca="false">IF(A173="N/A"," ",IF(OR(Dayrun4=2,Dayrun4=3,Dayrun4=5,Dayrun4=6,Dayrun4=8,Dayrun4=9),VLOOKUP(A173,ScaledPrice4,IF(Scaler4=1,6,5)),0))</f>
        <v> </v>
      </c>
      <c r="G173" s="317" t="str">
        <f aca="false">IF(A173="N/A"," ",IF(OR(Dayrun4=2,Dayrun4=3,Dayrun4=5,Dayrun4=6),IF(Scaler4=2,F173,(VLOOKUP(A173,ScaledPrice4,5))*(2-(VLOOKUP(A173,ScaledPrice4,3)))),0))</f>
        <v> </v>
      </c>
      <c r="H173" s="317" t="str">
        <f aca="false">IF($A173="N/A"," ",IF(OR(Dayrun4=2,Dayrun4=3,Dayrun4=10),VLOOKUP($A173,ScaledPrice4,9),0))</f>
        <v> </v>
      </c>
      <c r="I173" s="317" t="str">
        <f aca="false">IF(A173="N/A"," ",IF(OR(Dayrun4=3,Dayrun4=6,Dayrun4=9),(VLOOKUP(A173,ScaledPrice4,IF(Scaler4=2,7,8))),0))</f>
        <v> </v>
      </c>
      <c r="J173" s="317" t="str">
        <f aca="false">IF(A173="N/A"," ",IF(OR(Dayrun4=3,Dayrun4=6),IF(Scaler4=2,I173,(VLOOKUP(A173,ScaledPrice4,7))*(2-(VLOOKUP(A173,ScaledPrice4,3)))),0))</f>
        <v> </v>
      </c>
      <c r="K173" s="317" t="str">
        <f aca="false">IF($A173="N/A"," ",IF(OR(Dayrun4=3,Dayrun4=10),VLOOKUP($A173,ScaledPrice4,9),0))</f>
        <v> </v>
      </c>
      <c r="L173" s="318" t="str">
        <f aca="false">IF($A173="N/A"," ",IF(Pricetype4=2,MAX(C173,0),IF(OR(Pricetype4=1,Pricetype4=4),IF(C173=0,0,(EURO(C173,Strikeprice4,0,0,($AH173+IF(Smile=TRUE(),VLOOKUP(MAX(-5,Strikeprice4-C173),Volsmile,2),0)),($A173-DateToday)+15,IF(Pricetype4=1,1,0),0))),C173)))</f>
        <v> </v>
      </c>
      <c r="M173" s="318" t="str">
        <f aca="false">IF($A173="N/A"," ",IF(Pricetype4=2,MAX(D173,0),IF(OR(Pricetype4=1,Pricetype4=4),IF(D173=0,0,(EURO(D173,Strikeprice4,0,0,($AH173+IF(Smile=TRUE(),VLOOKUP(MAX(-5,Strikeprice4-D173),Volsmile,2),0)),($A173-DateToday)+15,IF(Pricetype4=1,1,0),0))),D173)))</f>
        <v> </v>
      </c>
      <c r="N173" s="318" t="str">
        <f aca="false">IF($A173="N/A"," ",IF(Pricetype4=2,MAX(E173,0),IF(OR(Pricetype4=1,Pricetype4=4),IF(E173=0,0,(EURO(E173,Strikeprice4,0,0,($AK173+IF(Smile=TRUE(),VLOOKUP(MAX(-5,Strikeprice4-E173),Volsmile,2),0)),($A173-DateToday)+15,IF(Pricetype4=1,1,0),0))),E173)))</f>
        <v> </v>
      </c>
      <c r="O173" s="318" t="str">
        <f aca="false">IF($A173="N/A"," ",IF(Pricetype4=2,MAX(F173,0),IF(OR(Pricetype4=1,Pricetype4=4),IF(F173=0,0,(EURO(F173,Strikeprice4,0,0,($AK173+IF(Smile=TRUE(),VLOOKUP(MAX(-5,Strikeprice4-F173),Volsmile,2),0)),($A173-DateToday)+15,IF(Pricetype4=1,1,0),0))),F173)))</f>
        <v> </v>
      </c>
      <c r="P173" s="318" t="str">
        <f aca="false">IF($A173="N/A"," ",IF(Pricetype4=2,MAX(G173,0),IF(OR(Pricetype4=1,Pricetype4=4),IF(G173=0,0,(EURO(G173,Strikeprice4,0,0,($AK173+IF(Smile=TRUE(),VLOOKUP(MAX(-5,Strikeprice4-G173),Volsmile,2),0)),($A173-DateToday)+15,IF(Pricetype4=1,1,0),0))),G173)))</f>
        <v> </v>
      </c>
      <c r="Q173" s="318" t="str">
        <f aca="false">IF($A173="N/A"," ",IF(Pricetype4=2,MAX(H173,0),IF(OR(Pricetype4=1,Pricetype4=4),IF(H173=0,0,(EURO(H173,Strikeprice4,0,0,($AK173+IF(Smile=TRUE(),VLOOKUP(MAX(-5,Strikeprice4-H173),Volsmile,2),0)),($A173-DateToday)+15,IF(Pricetype4=1,1,0),0))),H173)))</f>
        <v> </v>
      </c>
      <c r="R173" s="318" t="str">
        <f aca="false">IF($A173="N/A"," ",IF(Pricetype4=2,MAX(I173,0),IF(OR(Pricetype4=1,Pricetype4=4),IF(I173=0,0,(EURO(I173,Strikeprice4,0,0,($AK173+IF(Smile=TRUE(),VLOOKUP(MAX(-5,Strikeprice4-I173),Volsmile,2),0)),($A173-DateToday)+15,IF(Pricetype4=1,1,0),0))),I173)))</f>
        <v> </v>
      </c>
      <c r="S173" s="318" t="str">
        <f aca="false">IF($A173="N/A"," ",IF(Pricetype4=2,MAX(J173,0),IF(OR(Pricetype4=1,Pricetype4=4),IF(J173=0,0,(EURO(J173,Strikeprice4,0,0,($AK173+IF(Smile=TRUE(),VLOOKUP(MAX(-5,Strikeprice4-J173),Volsmile,2),0)),($A173-DateToday)+15,IF(Pricetype4=1,1,0),0))),J173)))</f>
        <v> </v>
      </c>
      <c r="T173" s="318" t="str">
        <f aca="false">IF($A173="N/A"," ",IF(Pricetype4=2,MAX(K173,0),IF(OR(Pricetype4=1,Pricetype4=4),IF(K173=0,0,(EURO(K173,Strikeprice4,0,0,($AK173+IF(Smile=TRUE(),VLOOKUP(MAX(-5,Strikeprice4-K173),Volsmile,2),0)),($A173-DateToday)+15,IF(Pricetype4=1,1,0),0))),K173)))</f>
        <v> </v>
      </c>
      <c r="U173" s="319" t="str">
        <f aca="false">IF($A173="N/A"," ",Volume4*$AM173)</f>
        <v> </v>
      </c>
      <c r="V173" s="320" t="str">
        <f aca="false">IF($A173="N/A"," ",$U173*(8*($BQ173))*L173)</f>
        <v> </v>
      </c>
      <c r="W173" s="320" t="str">
        <f aca="false">IF($A173="N/A"," ",$U173*(8*($BQ173))*M173)</f>
        <v> </v>
      </c>
      <c r="X173" s="320" t="str">
        <f aca="false">IF($A173="N/A"," ",$U173*(8*($BQ173))*N173)</f>
        <v> </v>
      </c>
      <c r="Y173" s="320" t="str">
        <f aca="false">IF($A173="N/A"," ",$U173*(8*($BR173))*O173)</f>
        <v> </v>
      </c>
      <c r="Z173" s="320" t="str">
        <f aca="false">IF($A173="N/A"," ",$U173*(8*($BR173))*P173)</f>
        <v> </v>
      </c>
      <c r="AA173" s="320" t="str">
        <f aca="false">IF($A173="N/A"," ",$U173*(8*($BR173))*Q173)</f>
        <v> </v>
      </c>
      <c r="AB173" s="320" t="str">
        <f aca="false">IF($A173="N/A"," ",$U173*(8*($BS173))*R173)</f>
        <v> </v>
      </c>
      <c r="AC173" s="320" t="str">
        <f aca="false">IF($A173="N/A"," ",$U173*(8*($BS173))*S173)</f>
        <v> </v>
      </c>
      <c r="AD173" s="320" t="str">
        <f aca="false">IF($A173="N/A"," ",$U173*(8*($BS173))*T173)</f>
        <v> </v>
      </c>
      <c r="AE173" s="320" t="str">
        <f aca="false">IF($A173="N/A"," ",SUM(V173:AD173))</f>
        <v> </v>
      </c>
      <c r="AF173" s="321" t="str">
        <f aca="false">IF(A173="N/A"," ",(VLOOKUP(A173,PowerVolTable,(IF(VolBMO4=2,7,IF(VolBMO4=1,6,8))),FALSE())))</f>
        <v> </v>
      </c>
      <c r="AG173" s="321" t="str">
        <f aca="false">IF(A173="N/A"," ",(VLOOKUP(A173,IntraPowerVol,(IF(VolBMO4=2,3,IF(VolBMO4=1,2,4))),FALSE())*VLOOKUP(MONTH($A173),Volscale,2)))</f>
        <v> </v>
      </c>
      <c r="AH173" s="321" t="str">
        <f aca="false">IF($A173="N/A"," ",IF(VolType4=1,AG173,AF173))</f>
        <v> </v>
      </c>
      <c r="AI173" s="321" t="str">
        <f aca="false">IF($A173="N/A"," ",(VLOOKUP($A173,OffPwrVolTable,(IF(VolBMO4=2,7,IF(VolBMO4=1,6,8))),FALSE())))</f>
        <v> </v>
      </c>
      <c r="AJ173" s="321" t="str">
        <f aca="false">IF($A173="N/A"," ",(VLOOKUP($A173,OffPwrVolTable,(IF(VolBMO4=2,3,IF(VolBMO4=1,2,4))),FALSE())*VLOOKUP(MONTH($A173),Volscale,2)))</f>
        <v> </v>
      </c>
      <c r="AK173" s="321" t="str">
        <f aca="false">IF($A173="N/A"," ",IF(VolType4=1,AJ173,AI173))</f>
        <v> </v>
      </c>
      <c r="AL173" s="321" t="str">
        <f aca="false">IF($A173="N/A"," ",IF(PV=1,0,'Pricing Inputs4'!R206))</f>
        <v> </v>
      </c>
      <c r="AM173" s="323" t="str">
        <f aca="false">IF($A173="N/A"," ",(1+AL173/2)^(-2*((EOMONTH(A173,0)+20)-DateToday)/365.25))</f>
        <v> </v>
      </c>
      <c r="BQ173" s="0" t="str">
        <f aca="false">IF($A173="N/A"," ",(VLOOKUP($A173,NumberofDaysTable,2)))</f>
        <v> </v>
      </c>
      <c r="BR173" s="0" t="str">
        <f aca="false">IF($A173="N/A"," ",(VLOOKUP($A173,NumberofDaysTable,3)))</f>
        <v> </v>
      </c>
      <c r="BS173" s="0" t="str">
        <f aca="false">IF($A173="N/A"," ",(VLOOKUP($A173,NumberofDaysTable,4)))</f>
        <v> </v>
      </c>
    </row>
    <row r="174" customFormat="false" ht="12.75" hidden="false" customHeight="false" outlineLevel="0" collapsed="false">
      <c r="A174" s="315" t="str">
        <f aca="false">IF(A173="N/A","N/A",IF(EDATE(A173,1)&gt;Inputs!$R$5,"N/A",EDATE(A173,1)))</f>
        <v>N/A</v>
      </c>
      <c r="B174" s="316" t="str">
        <f aca="false">IF(A174="N/A"," ",YEAR(A174))</f>
        <v> </v>
      </c>
      <c r="C174" s="317" t="str">
        <f aca="false">IF($A174="N/A"," ",IF(Dayrun4=10,0,IF(Scaler4=1,(VLOOKUP(A174,ScaledPrice4,4)),(VLOOKUP(A174,ScaledPrice4,2)))))</f>
        <v> </v>
      </c>
      <c r="D174" s="317" t="str">
        <f aca="false">IF(A174="N/A"," ",IF(Dayrun4&gt;=7,0,IF(Scaler4=2,VLOOKUP(A174,ScaledPrice4,2),(VLOOKUP(A174,ScaledPrice4,2))*(2-(VLOOKUP(A174,ScaledPrice4,3))))))</f>
        <v> </v>
      </c>
      <c r="E174" s="317" t="str">
        <f aca="false">IF($A174="N/A"," ",IF(AND(Dayrun4&gt;=4,Dayrun4&lt;=9),0,VLOOKUP($A174,ScaledPrice4,9)))</f>
        <v> </v>
      </c>
      <c r="F174" s="317" t="str">
        <f aca="false">IF(A174="N/A"," ",IF(OR(Dayrun4=2,Dayrun4=3,Dayrun4=5,Dayrun4=6,Dayrun4=8,Dayrun4=9),VLOOKUP(A174,ScaledPrice4,IF(Scaler4=1,6,5)),0))</f>
        <v> </v>
      </c>
      <c r="G174" s="317" t="str">
        <f aca="false">IF(A174="N/A"," ",IF(OR(Dayrun4=2,Dayrun4=3,Dayrun4=5,Dayrun4=6),IF(Scaler4=2,F174,(VLOOKUP(A174,ScaledPrice4,5))*(2-(VLOOKUP(A174,ScaledPrice4,3)))),0))</f>
        <v> </v>
      </c>
      <c r="H174" s="317" t="str">
        <f aca="false">IF($A174="N/A"," ",IF(OR(Dayrun4=2,Dayrun4=3,Dayrun4=10),VLOOKUP($A174,ScaledPrice4,9),0))</f>
        <v> </v>
      </c>
      <c r="I174" s="317" t="str">
        <f aca="false">IF(A174="N/A"," ",IF(OR(Dayrun4=3,Dayrun4=6,Dayrun4=9),(VLOOKUP(A174,ScaledPrice4,IF(Scaler4=2,7,8))),0))</f>
        <v> </v>
      </c>
      <c r="J174" s="317" t="str">
        <f aca="false">IF(A174="N/A"," ",IF(OR(Dayrun4=3,Dayrun4=6),IF(Scaler4=2,I174,(VLOOKUP(A174,ScaledPrice4,7))*(2-(VLOOKUP(A174,ScaledPrice4,3)))),0))</f>
        <v> </v>
      </c>
      <c r="K174" s="317" t="str">
        <f aca="false">IF($A174="N/A"," ",IF(OR(Dayrun4=3,Dayrun4=10),VLOOKUP($A174,ScaledPrice4,9),0))</f>
        <v> </v>
      </c>
      <c r="L174" s="318" t="str">
        <f aca="false">IF($A174="N/A"," ",IF(Pricetype4=2,MAX(C174,0),IF(OR(Pricetype4=1,Pricetype4=4),IF(C174=0,0,(EURO(C174,Strikeprice4,0,0,($AH174+IF(Smile=TRUE(),VLOOKUP(MAX(-5,Strikeprice4-C174),Volsmile,2),0)),($A174-DateToday)+15,IF(Pricetype4=1,1,0),0))),C174)))</f>
        <v> </v>
      </c>
      <c r="M174" s="318" t="str">
        <f aca="false">IF($A174="N/A"," ",IF(Pricetype4=2,MAX(D174,0),IF(OR(Pricetype4=1,Pricetype4=4),IF(D174=0,0,(EURO(D174,Strikeprice4,0,0,($AH174+IF(Smile=TRUE(),VLOOKUP(MAX(-5,Strikeprice4-D174),Volsmile,2),0)),($A174-DateToday)+15,IF(Pricetype4=1,1,0),0))),D174)))</f>
        <v> </v>
      </c>
      <c r="N174" s="318" t="str">
        <f aca="false">IF($A174="N/A"," ",IF(Pricetype4=2,MAX(E174,0),IF(OR(Pricetype4=1,Pricetype4=4),IF(E174=0,0,(EURO(E174,Strikeprice4,0,0,($AK174+IF(Smile=TRUE(),VLOOKUP(MAX(-5,Strikeprice4-E174),Volsmile,2),0)),($A174-DateToday)+15,IF(Pricetype4=1,1,0),0))),E174)))</f>
        <v> </v>
      </c>
      <c r="O174" s="318" t="str">
        <f aca="false">IF($A174="N/A"," ",IF(Pricetype4=2,MAX(F174,0),IF(OR(Pricetype4=1,Pricetype4=4),IF(F174=0,0,(EURO(F174,Strikeprice4,0,0,($AK174+IF(Smile=TRUE(),VLOOKUP(MAX(-5,Strikeprice4-F174),Volsmile,2),0)),($A174-DateToday)+15,IF(Pricetype4=1,1,0),0))),F174)))</f>
        <v> </v>
      </c>
      <c r="P174" s="318" t="str">
        <f aca="false">IF($A174="N/A"," ",IF(Pricetype4=2,MAX(G174,0),IF(OR(Pricetype4=1,Pricetype4=4),IF(G174=0,0,(EURO(G174,Strikeprice4,0,0,($AK174+IF(Smile=TRUE(),VLOOKUP(MAX(-5,Strikeprice4-G174),Volsmile,2),0)),($A174-DateToday)+15,IF(Pricetype4=1,1,0),0))),G174)))</f>
        <v> </v>
      </c>
      <c r="Q174" s="318" t="str">
        <f aca="false">IF($A174="N/A"," ",IF(Pricetype4=2,MAX(H174,0),IF(OR(Pricetype4=1,Pricetype4=4),IF(H174=0,0,(EURO(H174,Strikeprice4,0,0,($AK174+IF(Smile=TRUE(),VLOOKUP(MAX(-5,Strikeprice4-H174),Volsmile,2),0)),($A174-DateToday)+15,IF(Pricetype4=1,1,0),0))),H174)))</f>
        <v> </v>
      </c>
      <c r="R174" s="318" t="str">
        <f aca="false">IF($A174="N/A"," ",IF(Pricetype4=2,MAX(I174,0),IF(OR(Pricetype4=1,Pricetype4=4),IF(I174=0,0,(EURO(I174,Strikeprice4,0,0,($AK174+IF(Smile=TRUE(),VLOOKUP(MAX(-5,Strikeprice4-I174),Volsmile,2),0)),($A174-DateToday)+15,IF(Pricetype4=1,1,0),0))),I174)))</f>
        <v> </v>
      </c>
      <c r="S174" s="318" t="str">
        <f aca="false">IF($A174="N/A"," ",IF(Pricetype4=2,MAX(J174,0),IF(OR(Pricetype4=1,Pricetype4=4),IF(J174=0,0,(EURO(J174,Strikeprice4,0,0,($AK174+IF(Smile=TRUE(),VLOOKUP(MAX(-5,Strikeprice4-J174),Volsmile,2),0)),($A174-DateToday)+15,IF(Pricetype4=1,1,0),0))),J174)))</f>
        <v> </v>
      </c>
      <c r="T174" s="318" t="str">
        <f aca="false">IF($A174="N/A"," ",IF(Pricetype4=2,MAX(K174,0),IF(OR(Pricetype4=1,Pricetype4=4),IF(K174=0,0,(EURO(K174,Strikeprice4,0,0,($AK174+IF(Smile=TRUE(),VLOOKUP(MAX(-5,Strikeprice4-K174),Volsmile,2),0)),($A174-DateToday)+15,IF(Pricetype4=1,1,0),0))),K174)))</f>
        <v> </v>
      </c>
      <c r="U174" s="319" t="str">
        <f aca="false">IF($A174="N/A"," ",Volume4*$AM174)</f>
        <v> </v>
      </c>
      <c r="V174" s="320" t="str">
        <f aca="false">IF($A174="N/A"," ",$U174*(8*($BQ174))*L174)</f>
        <v> </v>
      </c>
      <c r="W174" s="320" t="str">
        <f aca="false">IF($A174="N/A"," ",$U174*(8*($BQ174))*M174)</f>
        <v> </v>
      </c>
      <c r="X174" s="320" t="str">
        <f aca="false">IF($A174="N/A"," ",$U174*(8*($BQ174))*N174)</f>
        <v> </v>
      </c>
      <c r="Y174" s="320" t="str">
        <f aca="false">IF($A174="N/A"," ",$U174*(8*($BR174))*O174)</f>
        <v> </v>
      </c>
      <c r="Z174" s="320" t="str">
        <f aca="false">IF($A174="N/A"," ",$U174*(8*($BR174))*P174)</f>
        <v> </v>
      </c>
      <c r="AA174" s="320" t="str">
        <f aca="false">IF($A174="N/A"," ",$U174*(8*($BR174))*Q174)</f>
        <v> </v>
      </c>
      <c r="AB174" s="320" t="str">
        <f aca="false">IF($A174="N/A"," ",$U174*(8*($BS174))*R174)</f>
        <v> </v>
      </c>
      <c r="AC174" s="320" t="str">
        <f aca="false">IF($A174="N/A"," ",$U174*(8*($BS174))*S174)</f>
        <v> </v>
      </c>
      <c r="AD174" s="320" t="str">
        <f aca="false">IF($A174="N/A"," ",$U174*(8*($BS174))*T174)</f>
        <v> </v>
      </c>
      <c r="AE174" s="320" t="str">
        <f aca="false">IF($A174="N/A"," ",SUM(V174:AD174))</f>
        <v> </v>
      </c>
      <c r="AF174" s="321" t="str">
        <f aca="false">IF(A174="N/A"," ",(VLOOKUP(A174,PowerVolTable,(IF(VolBMO4=2,7,IF(VolBMO4=1,6,8))),FALSE())))</f>
        <v> </v>
      </c>
      <c r="AG174" s="321" t="str">
        <f aca="false">IF(A174="N/A"," ",(VLOOKUP(A174,IntraPowerVol,(IF(VolBMO4=2,3,IF(VolBMO4=1,2,4))),FALSE())*VLOOKUP(MONTH($A174),Volscale,2)))</f>
        <v> </v>
      </c>
      <c r="AH174" s="321" t="str">
        <f aca="false">IF($A174="N/A"," ",IF(VolType4=1,AG174,AF174))</f>
        <v> </v>
      </c>
      <c r="AI174" s="321" t="str">
        <f aca="false">IF($A174="N/A"," ",(VLOOKUP($A174,OffPwrVolTable,(IF(VolBMO4=2,7,IF(VolBMO4=1,6,8))),FALSE())))</f>
        <v> </v>
      </c>
      <c r="AJ174" s="321" t="str">
        <f aca="false">IF($A174="N/A"," ",(VLOOKUP($A174,OffPwrVolTable,(IF(VolBMO4=2,3,IF(VolBMO4=1,2,4))),FALSE())*VLOOKUP(MONTH($A174),Volscale,2)))</f>
        <v> </v>
      </c>
      <c r="AK174" s="321" t="str">
        <f aca="false">IF($A174="N/A"," ",IF(VolType4=1,AJ174,AI174))</f>
        <v> </v>
      </c>
      <c r="AL174" s="321" t="str">
        <f aca="false">IF($A174="N/A"," ",IF(PV=1,0,'Pricing Inputs4'!R207))</f>
        <v> </v>
      </c>
      <c r="AM174" s="323" t="str">
        <f aca="false">IF($A174="N/A"," ",(1+AL174/2)^(-2*((EOMONTH(A174,0)+20)-DateToday)/365.25))</f>
        <v> </v>
      </c>
      <c r="BQ174" s="0" t="str">
        <f aca="false">IF($A174="N/A"," ",(VLOOKUP($A174,NumberofDaysTable,2)))</f>
        <v> </v>
      </c>
      <c r="BR174" s="0" t="str">
        <f aca="false">IF($A174="N/A"," ",(VLOOKUP($A174,NumberofDaysTable,3)))</f>
        <v> </v>
      </c>
      <c r="BS174" s="0" t="str">
        <f aca="false">IF($A174="N/A"," ",(VLOOKUP($A174,NumberofDaysTable,4)))</f>
        <v> </v>
      </c>
    </row>
    <row r="175" customFormat="false" ht="12.75" hidden="false" customHeight="false" outlineLevel="0" collapsed="false">
      <c r="A175" s="315" t="str">
        <f aca="false">IF(A174="N/A","N/A",IF(EDATE(A174,1)&gt;Inputs!$R$5,"N/A",EDATE(A174,1)))</f>
        <v>N/A</v>
      </c>
      <c r="B175" s="316" t="str">
        <f aca="false">IF(A175="N/A"," ",YEAR(A175))</f>
        <v> </v>
      </c>
      <c r="C175" s="317" t="str">
        <f aca="false">IF($A175="N/A"," ",IF(Dayrun4=10,0,IF(Scaler4=1,(VLOOKUP(A175,ScaledPrice4,4)),(VLOOKUP(A175,ScaledPrice4,2)))))</f>
        <v> </v>
      </c>
      <c r="D175" s="317" t="str">
        <f aca="false">IF(A175="N/A"," ",IF(Dayrun4&gt;=7,0,IF(Scaler4=2,VLOOKUP(A175,ScaledPrice4,2),(VLOOKUP(A175,ScaledPrice4,2))*(2-(VLOOKUP(A175,ScaledPrice4,3))))))</f>
        <v> </v>
      </c>
      <c r="E175" s="317" t="str">
        <f aca="false">IF($A175="N/A"," ",IF(AND(Dayrun4&gt;=4,Dayrun4&lt;=9),0,VLOOKUP($A175,ScaledPrice4,9)))</f>
        <v> </v>
      </c>
      <c r="F175" s="317" t="str">
        <f aca="false">IF(A175="N/A"," ",IF(OR(Dayrun4=2,Dayrun4=3,Dayrun4=5,Dayrun4=6,Dayrun4=8,Dayrun4=9),VLOOKUP(A175,ScaledPrice4,IF(Scaler4=1,6,5)),0))</f>
        <v> </v>
      </c>
      <c r="G175" s="317" t="str">
        <f aca="false">IF(A175="N/A"," ",IF(OR(Dayrun4=2,Dayrun4=3,Dayrun4=5,Dayrun4=6),IF(Scaler4=2,F175,(VLOOKUP(A175,ScaledPrice4,5))*(2-(VLOOKUP(A175,ScaledPrice4,3)))),0))</f>
        <v> </v>
      </c>
      <c r="H175" s="317" t="str">
        <f aca="false">IF($A175="N/A"," ",IF(OR(Dayrun4=2,Dayrun4=3,Dayrun4=10),VLOOKUP($A175,ScaledPrice4,9),0))</f>
        <v> </v>
      </c>
      <c r="I175" s="317" t="str">
        <f aca="false">IF(A175="N/A"," ",IF(OR(Dayrun4=3,Dayrun4=6,Dayrun4=9),(VLOOKUP(A175,ScaledPrice4,IF(Scaler4=2,7,8))),0))</f>
        <v> </v>
      </c>
      <c r="J175" s="317" t="str">
        <f aca="false">IF(A175="N/A"," ",IF(OR(Dayrun4=3,Dayrun4=6),IF(Scaler4=2,I175,(VLOOKUP(A175,ScaledPrice4,7))*(2-(VLOOKUP(A175,ScaledPrice4,3)))),0))</f>
        <v> </v>
      </c>
      <c r="K175" s="317" t="str">
        <f aca="false">IF($A175="N/A"," ",IF(OR(Dayrun4=3,Dayrun4=10),VLOOKUP($A175,ScaledPrice4,9),0))</f>
        <v> </v>
      </c>
      <c r="L175" s="318" t="str">
        <f aca="false">IF($A175="N/A"," ",IF(Pricetype4=2,MAX(C175,0),IF(OR(Pricetype4=1,Pricetype4=4),IF(C175=0,0,(EURO(C175,Strikeprice4,0,0,($AH175+IF(Smile=TRUE(),VLOOKUP(MAX(-5,Strikeprice4-C175),Volsmile,2),0)),($A175-DateToday)+15,IF(Pricetype4=1,1,0),0))),C175)))</f>
        <v> </v>
      </c>
      <c r="M175" s="318" t="str">
        <f aca="false">IF($A175="N/A"," ",IF(Pricetype4=2,MAX(D175,0),IF(OR(Pricetype4=1,Pricetype4=4),IF(D175=0,0,(EURO(D175,Strikeprice4,0,0,($AH175+IF(Smile=TRUE(),VLOOKUP(MAX(-5,Strikeprice4-D175),Volsmile,2),0)),($A175-DateToday)+15,IF(Pricetype4=1,1,0),0))),D175)))</f>
        <v> </v>
      </c>
      <c r="N175" s="318" t="str">
        <f aca="false">IF($A175="N/A"," ",IF(Pricetype4=2,MAX(E175,0),IF(OR(Pricetype4=1,Pricetype4=4),IF(E175=0,0,(EURO(E175,Strikeprice4,0,0,($AK175+IF(Smile=TRUE(),VLOOKUP(MAX(-5,Strikeprice4-E175),Volsmile,2),0)),($A175-DateToday)+15,IF(Pricetype4=1,1,0),0))),E175)))</f>
        <v> </v>
      </c>
      <c r="O175" s="318" t="str">
        <f aca="false">IF($A175="N/A"," ",IF(Pricetype4=2,MAX(F175,0),IF(OR(Pricetype4=1,Pricetype4=4),IF(F175=0,0,(EURO(F175,Strikeprice4,0,0,($AK175+IF(Smile=TRUE(),VLOOKUP(MAX(-5,Strikeprice4-F175),Volsmile,2),0)),($A175-DateToday)+15,IF(Pricetype4=1,1,0),0))),F175)))</f>
        <v> </v>
      </c>
      <c r="P175" s="318" t="str">
        <f aca="false">IF($A175="N/A"," ",IF(Pricetype4=2,MAX(G175,0),IF(OR(Pricetype4=1,Pricetype4=4),IF(G175=0,0,(EURO(G175,Strikeprice4,0,0,($AK175+IF(Smile=TRUE(),VLOOKUP(MAX(-5,Strikeprice4-G175),Volsmile,2),0)),($A175-DateToday)+15,IF(Pricetype4=1,1,0),0))),G175)))</f>
        <v> </v>
      </c>
      <c r="Q175" s="318" t="str">
        <f aca="false">IF($A175="N/A"," ",IF(Pricetype4=2,MAX(H175,0),IF(OR(Pricetype4=1,Pricetype4=4),IF(H175=0,0,(EURO(H175,Strikeprice4,0,0,($AK175+IF(Smile=TRUE(),VLOOKUP(MAX(-5,Strikeprice4-H175),Volsmile,2),0)),($A175-DateToday)+15,IF(Pricetype4=1,1,0),0))),H175)))</f>
        <v> </v>
      </c>
      <c r="R175" s="318" t="str">
        <f aca="false">IF($A175="N/A"," ",IF(Pricetype4=2,MAX(I175,0),IF(OR(Pricetype4=1,Pricetype4=4),IF(I175=0,0,(EURO(I175,Strikeprice4,0,0,($AK175+IF(Smile=TRUE(),VLOOKUP(MAX(-5,Strikeprice4-I175),Volsmile,2),0)),($A175-DateToday)+15,IF(Pricetype4=1,1,0),0))),I175)))</f>
        <v> </v>
      </c>
      <c r="S175" s="318" t="str">
        <f aca="false">IF($A175="N/A"," ",IF(Pricetype4=2,MAX(J175,0),IF(OR(Pricetype4=1,Pricetype4=4),IF(J175=0,0,(EURO(J175,Strikeprice4,0,0,($AK175+IF(Smile=TRUE(),VLOOKUP(MAX(-5,Strikeprice4-J175),Volsmile,2),0)),($A175-DateToday)+15,IF(Pricetype4=1,1,0),0))),J175)))</f>
        <v> </v>
      </c>
      <c r="T175" s="318" t="str">
        <f aca="false">IF($A175="N/A"," ",IF(Pricetype4=2,MAX(K175,0),IF(OR(Pricetype4=1,Pricetype4=4),IF(K175=0,0,(EURO(K175,Strikeprice4,0,0,($AK175+IF(Smile=TRUE(),VLOOKUP(MAX(-5,Strikeprice4-K175),Volsmile,2),0)),($A175-DateToday)+15,IF(Pricetype4=1,1,0),0))),K175)))</f>
        <v> </v>
      </c>
      <c r="U175" s="319" t="str">
        <f aca="false">IF($A175="N/A"," ",Volume4*$AM175)</f>
        <v> </v>
      </c>
      <c r="V175" s="320" t="str">
        <f aca="false">IF($A175="N/A"," ",$U175*(8*($BQ175))*L175)</f>
        <v> </v>
      </c>
      <c r="W175" s="320" t="str">
        <f aca="false">IF($A175="N/A"," ",$U175*(8*($BQ175))*M175)</f>
        <v> </v>
      </c>
      <c r="X175" s="320" t="str">
        <f aca="false">IF($A175="N/A"," ",$U175*(8*($BQ175))*N175)</f>
        <v> </v>
      </c>
      <c r="Y175" s="320" t="str">
        <f aca="false">IF($A175="N/A"," ",$U175*(8*($BR175))*O175)</f>
        <v> </v>
      </c>
      <c r="Z175" s="320" t="str">
        <f aca="false">IF($A175="N/A"," ",$U175*(8*($BR175))*P175)</f>
        <v> </v>
      </c>
      <c r="AA175" s="320" t="str">
        <f aca="false">IF($A175="N/A"," ",$U175*(8*($BR175))*Q175)</f>
        <v> </v>
      </c>
      <c r="AB175" s="320" t="str">
        <f aca="false">IF($A175="N/A"," ",$U175*(8*($BS175))*R175)</f>
        <v> </v>
      </c>
      <c r="AC175" s="320" t="str">
        <f aca="false">IF($A175="N/A"," ",$U175*(8*($BS175))*S175)</f>
        <v> </v>
      </c>
      <c r="AD175" s="320" t="str">
        <f aca="false">IF($A175="N/A"," ",$U175*(8*($BS175))*T175)</f>
        <v> </v>
      </c>
      <c r="AE175" s="320" t="str">
        <f aca="false">IF($A175="N/A"," ",SUM(V175:AD175))</f>
        <v> </v>
      </c>
      <c r="AF175" s="321" t="str">
        <f aca="false">IF(A175="N/A"," ",(VLOOKUP(A175,PowerVolTable,(IF(VolBMO4=2,7,IF(VolBMO4=1,6,8))),FALSE())))</f>
        <v> </v>
      </c>
      <c r="AG175" s="321" t="str">
        <f aca="false">IF(A175="N/A"," ",(VLOOKUP(A175,IntraPowerVol,(IF(VolBMO4=2,3,IF(VolBMO4=1,2,4))),FALSE())*VLOOKUP(MONTH($A175),Volscale,2)))</f>
        <v> </v>
      </c>
      <c r="AH175" s="321" t="str">
        <f aca="false">IF($A175="N/A"," ",IF(VolType4=1,AG175,AF175))</f>
        <v> </v>
      </c>
      <c r="AI175" s="321" t="str">
        <f aca="false">IF($A175="N/A"," ",(VLOOKUP($A175,OffPwrVolTable,(IF(VolBMO4=2,7,IF(VolBMO4=1,6,8))),FALSE())))</f>
        <v> </v>
      </c>
      <c r="AJ175" s="321" t="str">
        <f aca="false">IF($A175="N/A"," ",(VLOOKUP($A175,OffPwrVolTable,(IF(VolBMO4=2,3,IF(VolBMO4=1,2,4))),FALSE())*VLOOKUP(MONTH($A175),Volscale,2)))</f>
        <v> </v>
      </c>
      <c r="AK175" s="321" t="str">
        <f aca="false">IF($A175="N/A"," ",IF(VolType4=1,AJ175,AI175))</f>
        <v> </v>
      </c>
      <c r="AL175" s="321" t="str">
        <f aca="false">IF($A175="N/A"," ",IF(PV=1,0,'Pricing Inputs4'!R208))</f>
        <v> </v>
      </c>
      <c r="AM175" s="323" t="str">
        <f aca="false">IF($A175="N/A"," ",(1+AL175/2)^(-2*((EOMONTH(A175,0)+20)-DateToday)/365.25))</f>
        <v> </v>
      </c>
      <c r="BQ175" s="0" t="str">
        <f aca="false">IF($A175="N/A"," ",(VLOOKUP($A175,NumberofDaysTable,2)))</f>
        <v> </v>
      </c>
      <c r="BR175" s="0" t="str">
        <f aca="false">IF($A175="N/A"," ",(VLOOKUP($A175,NumberofDaysTable,3)))</f>
        <v> </v>
      </c>
      <c r="BS175" s="0" t="str">
        <f aca="false">IF($A175="N/A"," ",(VLOOKUP($A175,NumberofDaysTable,4)))</f>
        <v> </v>
      </c>
    </row>
    <row r="176" customFormat="false" ht="12.75" hidden="false" customHeight="false" outlineLevel="0" collapsed="false">
      <c r="A176" s="315" t="str">
        <f aca="false">IF(A175="N/A","N/A",IF(EDATE(A175,1)&gt;Inputs!$R$5,"N/A",EDATE(A175,1)))</f>
        <v>N/A</v>
      </c>
      <c r="B176" s="316" t="str">
        <f aca="false">IF(A176="N/A"," ",YEAR(A176))</f>
        <v> </v>
      </c>
      <c r="C176" s="317" t="str">
        <f aca="false">IF($A176="N/A"," ",IF(Dayrun4=10,0,IF(Scaler4=1,(VLOOKUP(A176,ScaledPrice4,4)),(VLOOKUP(A176,ScaledPrice4,2)))))</f>
        <v> </v>
      </c>
      <c r="D176" s="317" t="str">
        <f aca="false">IF(A176="N/A"," ",IF(Dayrun4&gt;=7,0,IF(Scaler4=2,VLOOKUP(A176,ScaledPrice4,2),(VLOOKUP(A176,ScaledPrice4,2))*(2-(VLOOKUP(A176,ScaledPrice4,3))))))</f>
        <v> </v>
      </c>
      <c r="E176" s="317" t="str">
        <f aca="false">IF($A176="N/A"," ",IF(AND(Dayrun4&gt;=4,Dayrun4&lt;=9),0,VLOOKUP($A176,ScaledPrice4,9)))</f>
        <v> </v>
      </c>
      <c r="F176" s="317" t="str">
        <f aca="false">IF(A176="N/A"," ",IF(OR(Dayrun4=2,Dayrun4=3,Dayrun4=5,Dayrun4=6,Dayrun4=8,Dayrun4=9),VLOOKUP(A176,ScaledPrice4,IF(Scaler4=1,6,5)),0))</f>
        <v> </v>
      </c>
      <c r="G176" s="317" t="str">
        <f aca="false">IF(A176="N/A"," ",IF(OR(Dayrun4=2,Dayrun4=3,Dayrun4=5,Dayrun4=6),IF(Scaler4=2,F176,(VLOOKUP(A176,ScaledPrice4,5))*(2-(VLOOKUP(A176,ScaledPrice4,3)))),0))</f>
        <v> </v>
      </c>
      <c r="H176" s="317" t="str">
        <f aca="false">IF($A176="N/A"," ",IF(OR(Dayrun4=2,Dayrun4=3,Dayrun4=10),VLOOKUP($A176,ScaledPrice4,9),0))</f>
        <v> </v>
      </c>
      <c r="I176" s="317" t="str">
        <f aca="false">IF(A176="N/A"," ",IF(OR(Dayrun4=3,Dayrun4=6,Dayrun4=9),(VLOOKUP(A176,ScaledPrice4,IF(Scaler4=2,7,8))),0))</f>
        <v> </v>
      </c>
      <c r="J176" s="317" t="str">
        <f aca="false">IF(A176="N/A"," ",IF(OR(Dayrun4=3,Dayrun4=6),IF(Scaler4=2,I176,(VLOOKUP(A176,ScaledPrice4,7))*(2-(VLOOKUP(A176,ScaledPrice4,3)))),0))</f>
        <v> </v>
      </c>
      <c r="K176" s="317" t="str">
        <f aca="false">IF($A176="N/A"," ",IF(OR(Dayrun4=3,Dayrun4=10),VLOOKUP($A176,ScaledPrice4,9),0))</f>
        <v> </v>
      </c>
      <c r="L176" s="318" t="str">
        <f aca="false">IF($A176="N/A"," ",IF(Pricetype4=2,MAX(C176,0),IF(OR(Pricetype4=1,Pricetype4=4),IF(C176=0,0,(EURO(C176,Strikeprice4,0,0,($AH176+IF(Smile=TRUE(),VLOOKUP(MAX(-5,Strikeprice4-C176),Volsmile,2),0)),($A176-DateToday)+15,IF(Pricetype4=1,1,0),0))),C176)))</f>
        <v> </v>
      </c>
      <c r="M176" s="318" t="str">
        <f aca="false">IF($A176="N/A"," ",IF(Pricetype4=2,MAX(D176,0),IF(OR(Pricetype4=1,Pricetype4=4),IF(D176=0,0,(EURO(D176,Strikeprice4,0,0,($AH176+IF(Smile=TRUE(),VLOOKUP(MAX(-5,Strikeprice4-D176),Volsmile,2),0)),($A176-DateToday)+15,IF(Pricetype4=1,1,0),0))),D176)))</f>
        <v> </v>
      </c>
      <c r="N176" s="318" t="str">
        <f aca="false">IF($A176="N/A"," ",IF(Pricetype4=2,MAX(E176,0),IF(OR(Pricetype4=1,Pricetype4=4),IF(E176=0,0,(EURO(E176,Strikeprice4,0,0,($AK176+IF(Smile=TRUE(),VLOOKUP(MAX(-5,Strikeprice4-E176),Volsmile,2),0)),($A176-DateToday)+15,IF(Pricetype4=1,1,0),0))),E176)))</f>
        <v> </v>
      </c>
      <c r="O176" s="318" t="str">
        <f aca="false">IF($A176="N/A"," ",IF(Pricetype4=2,MAX(F176,0),IF(OR(Pricetype4=1,Pricetype4=4),IF(F176=0,0,(EURO(F176,Strikeprice4,0,0,($AK176+IF(Smile=TRUE(),VLOOKUP(MAX(-5,Strikeprice4-F176),Volsmile,2),0)),($A176-DateToday)+15,IF(Pricetype4=1,1,0),0))),F176)))</f>
        <v> </v>
      </c>
      <c r="P176" s="318" t="str">
        <f aca="false">IF($A176="N/A"," ",IF(Pricetype4=2,MAX(G176,0),IF(OR(Pricetype4=1,Pricetype4=4),IF(G176=0,0,(EURO(G176,Strikeprice4,0,0,($AK176+IF(Smile=TRUE(),VLOOKUP(MAX(-5,Strikeprice4-G176),Volsmile,2),0)),($A176-DateToday)+15,IF(Pricetype4=1,1,0),0))),G176)))</f>
        <v> </v>
      </c>
      <c r="Q176" s="318" t="str">
        <f aca="false">IF($A176="N/A"," ",IF(Pricetype4=2,MAX(H176,0),IF(OR(Pricetype4=1,Pricetype4=4),IF(H176=0,0,(EURO(H176,Strikeprice4,0,0,($AK176+IF(Smile=TRUE(),VLOOKUP(MAX(-5,Strikeprice4-H176),Volsmile,2),0)),($A176-DateToday)+15,IF(Pricetype4=1,1,0),0))),H176)))</f>
        <v> </v>
      </c>
      <c r="R176" s="318" t="str">
        <f aca="false">IF($A176="N/A"," ",IF(Pricetype4=2,MAX(I176,0),IF(OR(Pricetype4=1,Pricetype4=4),IF(I176=0,0,(EURO(I176,Strikeprice4,0,0,($AK176+IF(Smile=TRUE(),VLOOKUP(MAX(-5,Strikeprice4-I176),Volsmile,2),0)),($A176-DateToday)+15,IF(Pricetype4=1,1,0),0))),I176)))</f>
        <v> </v>
      </c>
      <c r="S176" s="318" t="str">
        <f aca="false">IF($A176="N/A"," ",IF(Pricetype4=2,MAX(J176,0),IF(OR(Pricetype4=1,Pricetype4=4),IF(J176=0,0,(EURO(J176,Strikeprice4,0,0,($AK176+IF(Smile=TRUE(),VLOOKUP(MAX(-5,Strikeprice4-J176),Volsmile,2),0)),($A176-DateToday)+15,IF(Pricetype4=1,1,0),0))),J176)))</f>
        <v> </v>
      </c>
      <c r="T176" s="318" t="str">
        <f aca="false">IF($A176="N/A"," ",IF(Pricetype4=2,MAX(K176,0),IF(OR(Pricetype4=1,Pricetype4=4),IF(K176=0,0,(EURO(K176,Strikeprice4,0,0,($AK176+IF(Smile=TRUE(),VLOOKUP(MAX(-5,Strikeprice4-K176),Volsmile,2),0)),($A176-DateToday)+15,IF(Pricetype4=1,1,0),0))),K176)))</f>
        <v> </v>
      </c>
      <c r="U176" s="319" t="str">
        <f aca="false">IF($A176="N/A"," ",Volume4*$AM176)</f>
        <v> </v>
      </c>
      <c r="V176" s="320" t="str">
        <f aca="false">IF($A176="N/A"," ",$U176*(8*($BQ176))*L176)</f>
        <v> </v>
      </c>
      <c r="W176" s="320" t="str">
        <f aca="false">IF($A176="N/A"," ",$U176*(8*($BQ176))*M176)</f>
        <v> </v>
      </c>
      <c r="X176" s="320" t="str">
        <f aca="false">IF($A176="N/A"," ",$U176*(8*($BQ176))*N176)</f>
        <v> </v>
      </c>
      <c r="Y176" s="320" t="str">
        <f aca="false">IF($A176="N/A"," ",$U176*(8*($BR176))*O176)</f>
        <v> </v>
      </c>
      <c r="Z176" s="320" t="str">
        <f aca="false">IF($A176="N/A"," ",$U176*(8*($BR176))*P176)</f>
        <v> </v>
      </c>
      <c r="AA176" s="320" t="str">
        <f aca="false">IF($A176="N/A"," ",$U176*(8*($BR176))*Q176)</f>
        <v> </v>
      </c>
      <c r="AB176" s="320" t="str">
        <f aca="false">IF($A176="N/A"," ",$U176*(8*($BS176))*R176)</f>
        <v> </v>
      </c>
      <c r="AC176" s="320" t="str">
        <f aca="false">IF($A176="N/A"," ",$U176*(8*($BS176))*S176)</f>
        <v> </v>
      </c>
      <c r="AD176" s="320" t="str">
        <f aca="false">IF($A176="N/A"," ",$U176*(8*($BS176))*T176)</f>
        <v> </v>
      </c>
      <c r="AE176" s="320" t="str">
        <f aca="false">IF($A176="N/A"," ",SUM(V176:AD176))</f>
        <v> </v>
      </c>
      <c r="AF176" s="321" t="str">
        <f aca="false">IF(A176="N/A"," ",(VLOOKUP(A176,PowerVolTable,(IF(VolBMO4=2,7,IF(VolBMO4=1,6,8))),FALSE())))</f>
        <v> </v>
      </c>
      <c r="AG176" s="321" t="str">
        <f aca="false">IF(A176="N/A"," ",(VLOOKUP(A176,IntraPowerVol,(IF(VolBMO4=2,3,IF(VolBMO4=1,2,4))),FALSE())*VLOOKUP(MONTH($A176),Volscale,2)))</f>
        <v> </v>
      </c>
      <c r="AH176" s="321" t="str">
        <f aca="false">IF($A176="N/A"," ",IF(VolType4=1,AG176,AF176))</f>
        <v> </v>
      </c>
      <c r="AI176" s="321" t="str">
        <f aca="false">IF($A176="N/A"," ",(VLOOKUP($A176,OffPwrVolTable,(IF(VolBMO4=2,7,IF(VolBMO4=1,6,8))),FALSE())))</f>
        <v> </v>
      </c>
      <c r="AJ176" s="321" t="str">
        <f aca="false">IF($A176="N/A"," ",(VLOOKUP($A176,OffPwrVolTable,(IF(VolBMO4=2,3,IF(VolBMO4=1,2,4))),FALSE())*VLOOKUP(MONTH($A176),Volscale,2)))</f>
        <v> </v>
      </c>
      <c r="AK176" s="321" t="str">
        <f aca="false">IF($A176="N/A"," ",IF(VolType4=1,AJ176,AI176))</f>
        <v> </v>
      </c>
      <c r="AL176" s="321" t="str">
        <f aca="false">IF($A176="N/A"," ",IF(PV=1,0,'Pricing Inputs4'!R209))</f>
        <v> </v>
      </c>
      <c r="AM176" s="323" t="str">
        <f aca="false">IF($A176="N/A"," ",(1+AL176/2)^(-2*((EOMONTH(A176,0)+20)-DateToday)/365.25))</f>
        <v> </v>
      </c>
      <c r="BQ176" s="0" t="str">
        <f aca="false">IF($A176="N/A"," ",(VLOOKUP($A176,NumberofDaysTable,2)))</f>
        <v> </v>
      </c>
      <c r="BR176" s="0" t="str">
        <f aca="false">IF($A176="N/A"," ",(VLOOKUP($A176,NumberofDaysTable,3)))</f>
        <v> </v>
      </c>
      <c r="BS176" s="0" t="str">
        <f aca="false">IF($A176="N/A"," ",(VLOOKUP($A176,NumberofDaysTable,4)))</f>
        <v> </v>
      </c>
    </row>
    <row r="177" customFormat="false" ht="12.75" hidden="false" customHeight="false" outlineLevel="0" collapsed="false">
      <c r="A177" s="315" t="str">
        <f aca="false">IF(A176="N/A","N/A",IF(EDATE(A176,1)&gt;Inputs!$R$5,"N/A",EDATE(A176,1)))</f>
        <v>N/A</v>
      </c>
      <c r="B177" s="316" t="str">
        <f aca="false">IF(A177="N/A"," ",YEAR(A177))</f>
        <v> </v>
      </c>
      <c r="C177" s="317" t="str">
        <f aca="false">IF($A177="N/A"," ",IF(Dayrun4=10,0,IF(Scaler4=1,(VLOOKUP(A177,ScaledPrice4,4)),(VLOOKUP(A177,ScaledPrice4,2)))))</f>
        <v> </v>
      </c>
      <c r="D177" s="317" t="str">
        <f aca="false">IF(A177="N/A"," ",IF(Dayrun4&gt;=7,0,IF(Scaler4=2,VLOOKUP(A177,ScaledPrice4,2),(VLOOKUP(A177,ScaledPrice4,2))*(2-(VLOOKUP(A177,ScaledPrice4,3))))))</f>
        <v> </v>
      </c>
      <c r="E177" s="317" t="str">
        <f aca="false">IF($A177="N/A"," ",IF(AND(Dayrun4&gt;=4,Dayrun4&lt;=9),0,VLOOKUP($A177,ScaledPrice4,9)))</f>
        <v> </v>
      </c>
      <c r="F177" s="317" t="str">
        <f aca="false">IF(A177="N/A"," ",IF(OR(Dayrun4=2,Dayrun4=3,Dayrun4=5,Dayrun4=6,Dayrun4=8,Dayrun4=9),VLOOKUP(A177,ScaledPrice4,IF(Scaler4=1,6,5)),0))</f>
        <v> </v>
      </c>
      <c r="G177" s="317" t="str">
        <f aca="false">IF(A177="N/A"," ",IF(OR(Dayrun4=2,Dayrun4=3,Dayrun4=5,Dayrun4=6),IF(Scaler4=2,F177,(VLOOKUP(A177,ScaledPrice4,5))*(2-(VLOOKUP(A177,ScaledPrice4,3)))),0))</f>
        <v> </v>
      </c>
      <c r="H177" s="317" t="str">
        <f aca="false">IF($A177="N/A"," ",IF(OR(Dayrun4=2,Dayrun4=3,Dayrun4=10),VLOOKUP($A177,ScaledPrice4,9),0))</f>
        <v> </v>
      </c>
      <c r="I177" s="317" t="str">
        <f aca="false">IF(A177="N/A"," ",IF(OR(Dayrun4=3,Dayrun4=6,Dayrun4=9),(VLOOKUP(A177,ScaledPrice4,IF(Scaler4=2,7,8))),0))</f>
        <v> </v>
      </c>
      <c r="J177" s="317" t="str">
        <f aca="false">IF(A177="N/A"," ",IF(OR(Dayrun4=3,Dayrun4=6),IF(Scaler4=2,I177,(VLOOKUP(A177,ScaledPrice4,7))*(2-(VLOOKUP(A177,ScaledPrice4,3)))),0))</f>
        <v> </v>
      </c>
      <c r="K177" s="317" t="str">
        <f aca="false">IF($A177="N/A"," ",IF(OR(Dayrun4=3,Dayrun4=10),VLOOKUP($A177,ScaledPrice4,9),0))</f>
        <v> </v>
      </c>
      <c r="L177" s="318" t="str">
        <f aca="false">IF($A177="N/A"," ",IF(Pricetype4=2,MAX(C177,0),IF(OR(Pricetype4=1,Pricetype4=4),IF(C177=0,0,(EURO(C177,Strikeprice4,0,0,($AH177+IF(Smile=TRUE(),VLOOKUP(MAX(-5,Strikeprice4-C177),Volsmile,2),0)),($A177-DateToday)+15,IF(Pricetype4=1,1,0),0))),C177)))</f>
        <v> </v>
      </c>
      <c r="M177" s="318" t="str">
        <f aca="false">IF($A177="N/A"," ",IF(Pricetype4=2,MAX(D177,0),IF(OR(Pricetype4=1,Pricetype4=4),IF(D177=0,0,(EURO(D177,Strikeprice4,0,0,($AH177+IF(Smile=TRUE(),VLOOKUP(MAX(-5,Strikeprice4-D177),Volsmile,2),0)),($A177-DateToday)+15,IF(Pricetype4=1,1,0),0))),D177)))</f>
        <v> </v>
      </c>
      <c r="N177" s="318" t="str">
        <f aca="false">IF($A177="N/A"," ",IF(Pricetype4=2,MAX(E177,0),IF(OR(Pricetype4=1,Pricetype4=4),IF(E177=0,0,(EURO(E177,Strikeprice4,0,0,($AK177+IF(Smile=TRUE(),VLOOKUP(MAX(-5,Strikeprice4-E177),Volsmile,2),0)),($A177-DateToday)+15,IF(Pricetype4=1,1,0),0))),E177)))</f>
        <v> </v>
      </c>
      <c r="O177" s="318" t="str">
        <f aca="false">IF($A177="N/A"," ",IF(Pricetype4=2,MAX(F177,0),IF(OR(Pricetype4=1,Pricetype4=4),IF(F177=0,0,(EURO(F177,Strikeprice4,0,0,($AK177+IF(Smile=TRUE(),VLOOKUP(MAX(-5,Strikeprice4-F177),Volsmile,2),0)),($A177-DateToday)+15,IF(Pricetype4=1,1,0),0))),F177)))</f>
        <v> </v>
      </c>
      <c r="P177" s="318" t="str">
        <f aca="false">IF($A177="N/A"," ",IF(Pricetype4=2,MAX(G177,0),IF(OR(Pricetype4=1,Pricetype4=4),IF(G177=0,0,(EURO(G177,Strikeprice4,0,0,($AK177+IF(Smile=TRUE(),VLOOKUP(MAX(-5,Strikeprice4-G177),Volsmile,2),0)),($A177-DateToday)+15,IF(Pricetype4=1,1,0),0))),G177)))</f>
        <v> </v>
      </c>
      <c r="Q177" s="318" t="str">
        <f aca="false">IF($A177="N/A"," ",IF(Pricetype4=2,MAX(H177,0),IF(OR(Pricetype4=1,Pricetype4=4),IF(H177=0,0,(EURO(H177,Strikeprice4,0,0,($AK177+IF(Smile=TRUE(),VLOOKUP(MAX(-5,Strikeprice4-H177),Volsmile,2),0)),($A177-DateToday)+15,IF(Pricetype4=1,1,0),0))),H177)))</f>
        <v> </v>
      </c>
      <c r="R177" s="318" t="str">
        <f aca="false">IF($A177="N/A"," ",IF(Pricetype4=2,MAX(I177,0),IF(OR(Pricetype4=1,Pricetype4=4),IF(I177=0,0,(EURO(I177,Strikeprice4,0,0,($AK177+IF(Smile=TRUE(),VLOOKUP(MAX(-5,Strikeprice4-I177),Volsmile,2),0)),($A177-DateToday)+15,IF(Pricetype4=1,1,0),0))),I177)))</f>
        <v> </v>
      </c>
      <c r="S177" s="318" t="str">
        <f aca="false">IF($A177="N/A"," ",IF(Pricetype4=2,MAX(J177,0),IF(OR(Pricetype4=1,Pricetype4=4),IF(J177=0,0,(EURO(J177,Strikeprice4,0,0,($AK177+IF(Smile=TRUE(),VLOOKUP(MAX(-5,Strikeprice4-J177),Volsmile,2),0)),($A177-DateToday)+15,IF(Pricetype4=1,1,0),0))),J177)))</f>
        <v> </v>
      </c>
      <c r="T177" s="318" t="str">
        <f aca="false">IF($A177="N/A"," ",IF(Pricetype4=2,MAX(K177,0),IF(OR(Pricetype4=1,Pricetype4=4),IF(K177=0,0,(EURO(K177,Strikeprice4,0,0,($AK177+IF(Smile=TRUE(),VLOOKUP(MAX(-5,Strikeprice4-K177),Volsmile,2),0)),($A177-DateToday)+15,IF(Pricetype4=1,1,0),0))),K177)))</f>
        <v> </v>
      </c>
      <c r="U177" s="319" t="str">
        <f aca="false">IF($A177="N/A"," ",Volume4*$AM177)</f>
        <v> </v>
      </c>
      <c r="V177" s="320" t="str">
        <f aca="false">IF($A177="N/A"," ",$U177*(8*($BQ177))*L177)</f>
        <v> </v>
      </c>
      <c r="W177" s="320" t="str">
        <f aca="false">IF($A177="N/A"," ",$U177*(8*($BQ177))*M177)</f>
        <v> </v>
      </c>
      <c r="X177" s="320" t="str">
        <f aca="false">IF($A177="N/A"," ",$U177*(8*($BQ177))*N177)</f>
        <v> </v>
      </c>
      <c r="Y177" s="320" t="str">
        <f aca="false">IF($A177="N/A"," ",$U177*(8*($BR177))*O177)</f>
        <v> </v>
      </c>
      <c r="Z177" s="320" t="str">
        <f aca="false">IF($A177="N/A"," ",$U177*(8*($BR177))*P177)</f>
        <v> </v>
      </c>
      <c r="AA177" s="320" t="str">
        <f aca="false">IF($A177="N/A"," ",$U177*(8*($BR177))*Q177)</f>
        <v> </v>
      </c>
      <c r="AB177" s="320" t="str">
        <f aca="false">IF($A177="N/A"," ",$U177*(8*($BS177))*R177)</f>
        <v> </v>
      </c>
      <c r="AC177" s="320" t="str">
        <f aca="false">IF($A177="N/A"," ",$U177*(8*($BS177))*S177)</f>
        <v> </v>
      </c>
      <c r="AD177" s="320" t="str">
        <f aca="false">IF($A177="N/A"," ",$U177*(8*($BS177))*T177)</f>
        <v> </v>
      </c>
      <c r="AE177" s="320" t="str">
        <f aca="false">IF($A177="N/A"," ",SUM(V177:AD177))</f>
        <v> </v>
      </c>
      <c r="AF177" s="321" t="str">
        <f aca="false">IF(A177="N/A"," ",(VLOOKUP(A177,PowerVolTable,(IF(VolBMO4=2,7,IF(VolBMO4=1,6,8))),FALSE())))</f>
        <v> </v>
      </c>
      <c r="AG177" s="321" t="str">
        <f aca="false">IF(A177="N/A"," ",(VLOOKUP(A177,IntraPowerVol,(IF(VolBMO4=2,3,IF(VolBMO4=1,2,4))),FALSE())*VLOOKUP(MONTH($A177),Volscale,2)))</f>
        <v> </v>
      </c>
      <c r="AH177" s="321" t="str">
        <f aca="false">IF($A177="N/A"," ",IF(VolType4=1,AG177,AF177))</f>
        <v> </v>
      </c>
      <c r="AI177" s="321" t="str">
        <f aca="false">IF($A177="N/A"," ",(VLOOKUP($A177,OffPwrVolTable,(IF(VolBMO4=2,7,IF(VolBMO4=1,6,8))),FALSE())))</f>
        <v> </v>
      </c>
      <c r="AJ177" s="321" t="str">
        <f aca="false">IF($A177="N/A"," ",(VLOOKUP($A177,OffPwrVolTable,(IF(VolBMO4=2,3,IF(VolBMO4=1,2,4))),FALSE())*VLOOKUP(MONTH($A177),Volscale,2)))</f>
        <v> </v>
      </c>
      <c r="AK177" s="321" t="str">
        <f aca="false">IF($A177="N/A"," ",IF(VolType4=1,AJ177,AI177))</f>
        <v> </v>
      </c>
      <c r="AL177" s="321" t="str">
        <f aca="false">IF($A177="N/A"," ",IF(PV=1,0,'Pricing Inputs4'!R210))</f>
        <v> </v>
      </c>
      <c r="AM177" s="323" t="str">
        <f aca="false">IF($A177="N/A"," ",(1+AL177/2)^(-2*((EOMONTH(A177,0)+20)-DateToday)/365.25))</f>
        <v> </v>
      </c>
      <c r="BQ177" s="0" t="str">
        <f aca="false">IF($A177="N/A"," ",(VLOOKUP($A177,NumberofDaysTable,2)))</f>
        <v> </v>
      </c>
      <c r="BR177" s="0" t="str">
        <f aca="false">IF($A177="N/A"," ",(VLOOKUP($A177,NumberofDaysTable,3)))</f>
        <v> </v>
      </c>
      <c r="BS177" s="0" t="str">
        <f aca="false">IF($A177="N/A"," ",(VLOOKUP($A177,NumberofDaysTable,4)))</f>
        <v> </v>
      </c>
    </row>
    <row r="178" customFormat="false" ht="12.75" hidden="false" customHeight="false" outlineLevel="0" collapsed="false">
      <c r="A178" s="315" t="str">
        <f aca="false">IF(A177="N/A","N/A",IF(EDATE(A177,1)&gt;Inputs!$R$5,"N/A",EDATE(A177,1)))</f>
        <v>N/A</v>
      </c>
      <c r="B178" s="316" t="str">
        <f aca="false">IF(A178="N/A"," ",YEAR(A178))</f>
        <v> </v>
      </c>
      <c r="C178" s="317" t="str">
        <f aca="false">IF($A178="N/A"," ",IF(Dayrun4=10,0,IF(Scaler4=1,(VLOOKUP(A178,ScaledPrice4,4)),(VLOOKUP(A178,ScaledPrice4,2)))))</f>
        <v> </v>
      </c>
      <c r="D178" s="317" t="str">
        <f aca="false">IF(A178="N/A"," ",IF(Dayrun4&gt;=7,0,IF(Scaler4=2,VLOOKUP(A178,ScaledPrice4,2),(VLOOKUP(A178,ScaledPrice4,2))*(2-(VLOOKUP(A178,ScaledPrice4,3))))))</f>
        <v> </v>
      </c>
      <c r="E178" s="317" t="str">
        <f aca="false">IF($A178="N/A"," ",IF(AND(Dayrun4&gt;=4,Dayrun4&lt;=9),0,VLOOKUP($A178,ScaledPrice4,9)))</f>
        <v> </v>
      </c>
      <c r="F178" s="317" t="str">
        <f aca="false">IF(A178="N/A"," ",IF(OR(Dayrun4=2,Dayrun4=3,Dayrun4=5,Dayrun4=6,Dayrun4=8,Dayrun4=9),VLOOKUP(A178,ScaledPrice4,IF(Scaler4=1,6,5)),0))</f>
        <v> </v>
      </c>
      <c r="G178" s="317" t="str">
        <f aca="false">IF(A178="N/A"," ",IF(OR(Dayrun4=2,Dayrun4=3,Dayrun4=5,Dayrun4=6),IF(Scaler4=2,F178,(VLOOKUP(A178,ScaledPrice4,5))*(2-(VLOOKUP(A178,ScaledPrice4,3)))),0))</f>
        <v> </v>
      </c>
      <c r="H178" s="317" t="str">
        <f aca="false">IF($A178="N/A"," ",IF(OR(Dayrun4=2,Dayrun4=3,Dayrun4=10),VLOOKUP($A178,ScaledPrice4,9),0))</f>
        <v> </v>
      </c>
      <c r="I178" s="317" t="str">
        <f aca="false">IF(A178="N/A"," ",IF(OR(Dayrun4=3,Dayrun4=6,Dayrun4=9),(VLOOKUP(A178,ScaledPrice4,IF(Scaler4=2,7,8))),0))</f>
        <v> </v>
      </c>
      <c r="J178" s="317" t="str">
        <f aca="false">IF(A178="N/A"," ",IF(OR(Dayrun4=3,Dayrun4=6),IF(Scaler4=2,I178,(VLOOKUP(A178,ScaledPrice4,7))*(2-(VLOOKUP(A178,ScaledPrice4,3)))),0))</f>
        <v> </v>
      </c>
      <c r="K178" s="317" t="str">
        <f aca="false">IF($A178="N/A"," ",IF(OR(Dayrun4=3,Dayrun4=10),VLOOKUP($A178,ScaledPrice4,9),0))</f>
        <v> </v>
      </c>
      <c r="L178" s="318" t="str">
        <f aca="false">IF($A178="N/A"," ",IF(Pricetype4=2,MAX(C178,0),IF(OR(Pricetype4=1,Pricetype4=4),IF(C178=0,0,(EURO(C178,Strikeprice4,0,0,($AH178+IF(Smile=TRUE(),VLOOKUP(MAX(-5,Strikeprice4-C178),Volsmile,2),0)),($A178-DateToday)+15,IF(Pricetype4=1,1,0),0))),C178)))</f>
        <v> </v>
      </c>
      <c r="M178" s="318" t="str">
        <f aca="false">IF($A178="N/A"," ",IF(Pricetype4=2,MAX(D178,0),IF(OR(Pricetype4=1,Pricetype4=4),IF(D178=0,0,(EURO(D178,Strikeprice4,0,0,($AH178+IF(Smile=TRUE(),VLOOKUP(MAX(-5,Strikeprice4-D178),Volsmile,2),0)),($A178-DateToday)+15,IF(Pricetype4=1,1,0),0))),D178)))</f>
        <v> </v>
      </c>
      <c r="N178" s="318" t="str">
        <f aca="false">IF($A178="N/A"," ",IF(Pricetype4=2,MAX(E178,0),IF(OR(Pricetype4=1,Pricetype4=4),IF(E178=0,0,(EURO(E178,Strikeprice4,0,0,($AK178+IF(Smile=TRUE(),VLOOKUP(MAX(-5,Strikeprice4-E178),Volsmile,2),0)),($A178-DateToday)+15,IF(Pricetype4=1,1,0),0))),E178)))</f>
        <v> </v>
      </c>
      <c r="O178" s="318" t="str">
        <f aca="false">IF($A178="N/A"," ",IF(Pricetype4=2,MAX(F178,0),IF(OR(Pricetype4=1,Pricetype4=4),IF(F178=0,0,(EURO(F178,Strikeprice4,0,0,($AK178+IF(Smile=TRUE(),VLOOKUP(MAX(-5,Strikeprice4-F178),Volsmile,2),0)),($A178-DateToday)+15,IF(Pricetype4=1,1,0),0))),F178)))</f>
        <v> </v>
      </c>
      <c r="P178" s="318" t="str">
        <f aca="false">IF($A178="N/A"," ",IF(Pricetype4=2,MAX(G178,0),IF(OR(Pricetype4=1,Pricetype4=4),IF(G178=0,0,(EURO(G178,Strikeprice4,0,0,($AK178+IF(Smile=TRUE(),VLOOKUP(MAX(-5,Strikeprice4-G178),Volsmile,2),0)),($A178-DateToday)+15,IF(Pricetype4=1,1,0),0))),G178)))</f>
        <v> </v>
      </c>
      <c r="Q178" s="318" t="str">
        <f aca="false">IF($A178="N/A"," ",IF(Pricetype4=2,MAX(H178,0),IF(OR(Pricetype4=1,Pricetype4=4),IF(H178=0,0,(EURO(H178,Strikeprice4,0,0,($AK178+IF(Smile=TRUE(),VLOOKUP(MAX(-5,Strikeprice4-H178),Volsmile,2),0)),($A178-DateToday)+15,IF(Pricetype4=1,1,0),0))),H178)))</f>
        <v> </v>
      </c>
      <c r="R178" s="318" t="str">
        <f aca="false">IF($A178="N/A"," ",IF(Pricetype4=2,MAX(I178,0),IF(OR(Pricetype4=1,Pricetype4=4),IF(I178=0,0,(EURO(I178,Strikeprice4,0,0,($AK178+IF(Smile=TRUE(),VLOOKUP(MAX(-5,Strikeprice4-I178),Volsmile,2),0)),($A178-DateToday)+15,IF(Pricetype4=1,1,0),0))),I178)))</f>
        <v> </v>
      </c>
      <c r="S178" s="318" t="str">
        <f aca="false">IF($A178="N/A"," ",IF(Pricetype4=2,MAX(J178,0),IF(OR(Pricetype4=1,Pricetype4=4),IF(J178=0,0,(EURO(J178,Strikeprice4,0,0,($AK178+IF(Smile=TRUE(),VLOOKUP(MAX(-5,Strikeprice4-J178),Volsmile,2),0)),($A178-DateToday)+15,IF(Pricetype4=1,1,0),0))),J178)))</f>
        <v> </v>
      </c>
      <c r="T178" s="318" t="str">
        <f aca="false">IF($A178="N/A"," ",IF(Pricetype4=2,MAX(K178,0),IF(OR(Pricetype4=1,Pricetype4=4),IF(K178=0,0,(EURO(K178,Strikeprice4,0,0,($AK178+IF(Smile=TRUE(),VLOOKUP(MAX(-5,Strikeprice4-K178),Volsmile,2),0)),($A178-DateToday)+15,IF(Pricetype4=1,1,0),0))),K178)))</f>
        <v> </v>
      </c>
      <c r="U178" s="319" t="str">
        <f aca="false">IF($A178="N/A"," ",Volume4*$AM178)</f>
        <v> </v>
      </c>
      <c r="V178" s="320" t="str">
        <f aca="false">IF($A178="N/A"," ",$U178*(8*($BQ178))*L178)</f>
        <v> </v>
      </c>
      <c r="W178" s="320" t="str">
        <f aca="false">IF($A178="N/A"," ",$U178*(8*($BQ178))*M178)</f>
        <v> </v>
      </c>
      <c r="X178" s="320" t="str">
        <f aca="false">IF($A178="N/A"," ",$U178*(8*($BQ178))*N178)</f>
        <v> </v>
      </c>
      <c r="Y178" s="320" t="str">
        <f aca="false">IF($A178="N/A"," ",$U178*(8*($BR178))*O178)</f>
        <v> </v>
      </c>
      <c r="Z178" s="320" t="str">
        <f aca="false">IF($A178="N/A"," ",$U178*(8*($BR178))*P178)</f>
        <v> </v>
      </c>
      <c r="AA178" s="320" t="str">
        <f aca="false">IF($A178="N/A"," ",$U178*(8*($BR178))*Q178)</f>
        <v> </v>
      </c>
      <c r="AB178" s="320" t="str">
        <f aca="false">IF($A178="N/A"," ",$U178*(8*($BS178))*R178)</f>
        <v> </v>
      </c>
      <c r="AC178" s="320" t="str">
        <f aca="false">IF($A178="N/A"," ",$U178*(8*($BS178))*S178)</f>
        <v> </v>
      </c>
      <c r="AD178" s="320" t="str">
        <f aca="false">IF($A178="N/A"," ",$U178*(8*($BS178))*T178)</f>
        <v> </v>
      </c>
      <c r="AE178" s="320" t="str">
        <f aca="false">IF($A178="N/A"," ",SUM(V178:AD178))</f>
        <v> </v>
      </c>
      <c r="AF178" s="321" t="str">
        <f aca="false">IF(A178="N/A"," ",(VLOOKUP(A178,PowerVolTable,(IF(VolBMO4=2,7,IF(VolBMO4=1,6,8))),FALSE())))</f>
        <v> </v>
      </c>
      <c r="AG178" s="321" t="str">
        <f aca="false">IF(A178="N/A"," ",(VLOOKUP(A178,IntraPowerVol,(IF(VolBMO4=2,3,IF(VolBMO4=1,2,4))),FALSE())*VLOOKUP(MONTH($A178),Volscale,2)))</f>
        <v> </v>
      </c>
      <c r="AH178" s="321" t="str">
        <f aca="false">IF($A178="N/A"," ",IF(VolType4=1,AG178,AF178))</f>
        <v> </v>
      </c>
      <c r="AI178" s="321" t="str">
        <f aca="false">IF($A178="N/A"," ",(VLOOKUP($A178,OffPwrVolTable,(IF(VolBMO4=2,7,IF(VolBMO4=1,6,8))),FALSE())))</f>
        <v> </v>
      </c>
      <c r="AJ178" s="321" t="str">
        <f aca="false">IF($A178="N/A"," ",(VLOOKUP($A178,OffPwrVolTable,(IF(VolBMO4=2,3,IF(VolBMO4=1,2,4))),FALSE())*VLOOKUP(MONTH($A178),Volscale,2)))</f>
        <v> </v>
      </c>
      <c r="AK178" s="321" t="str">
        <f aca="false">IF($A178="N/A"," ",IF(VolType4=1,AJ178,AI178))</f>
        <v> </v>
      </c>
      <c r="AL178" s="321" t="str">
        <f aca="false">IF($A178="N/A"," ",IF(PV=1,0,'Pricing Inputs4'!R211))</f>
        <v> </v>
      </c>
      <c r="AM178" s="323" t="str">
        <f aca="false">IF($A178="N/A"," ",(1+AL178/2)^(-2*((EOMONTH(A178,0)+20)-DateToday)/365.25))</f>
        <v> </v>
      </c>
      <c r="BQ178" s="0" t="str">
        <f aca="false">IF($A178="N/A"," ",(VLOOKUP($A178,NumberofDaysTable,2)))</f>
        <v> </v>
      </c>
      <c r="BR178" s="0" t="str">
        <f aca="false">IF($A178="N/A"," ",(VLOOKUP($A178,NumberofDaysTable,3)))</f>
        <v> </v>
      </c>
      <c r="BS178" s="0" t="str">
        <f aca="false">IF($A178="N/A"," ",(VLOOKUP($A178,NumberofDaysTable,4)))</f>
        <v> </v>
      </c>
    </row>
    <row r="179" customFormat="false" ht="12.75" hidden="false" customHeight="false" outlineLevel="0" collapsed="false">
      <c r="A179" s="315" t="str">
        <f aca="false">IF(A178="N/A","N/A",IF(EDATE(A178,1)&gt;Inputs!$R$5,"N/A",EDATE(A178,1)))</f>
        <v>N/A</v>
      </c>
      <c r="B179" s="316" t="str">
        <f aca="false">IF(A179="N/A"," ",YEAR(A179))</f>
        <v> </v>
      </c>
      <c r="C179" s="317" t="str">
        <f aca="false">IF($A179="N/A"," ",IF(Dayrun4=10,0,IF(Scaler4=1,(VLOOKUP(A179,ScaledPrice4,4)),(VLOOKUP(A179,ScaledPrice4,2)))))</f>
        <v> </v>
      </c>
      <c r="D179" s="317" t="str">
        <f aca="false">IF(A179="N/A"," ",IF(Dayrun4&gt;=7,0,IF(Scaler4=2,VLOOKUP(A179,ScaledPrice4,2),(VLOOKUP(A179,ScaledPrice4,2))*(2-(VLOOKUP(A179,ScaledPrice4,3))))))</f>
        <v> </v>
      </c>
      <c r="E179" s="317" t="str">
        <f aca="false">IF($A179="N/A"," ",IF(AND(Dayrun4&gt;=4,Dayrun4&lt;=9),0,VLOOKUP($A179,ScaledPrice4,9)))</f>
        <v> </v>
      </c>
      <c r="F179" s="317" t="str">
        <f aca="false">IF(A179="N/A"," ",IF(OR(Dayrun4=2,Dayrun4=3,Dayrun4=5,Dayrun4=6,Dayrun4=8,Dayrun4=9),VLOOKUP(A179,ScaledPrice4,IF(Scaler4=1,6,5)),0))</f>
        <v> </v>
      </c>
      <c r="G179" s="317" t="str">
        <f aca="false">IF(A179="N/A"," ",IF(OR(Dayrun4=2,Dayrun4=3,Dayrun4=5,Dayrun4=6),IF(Scaler4=2,F179,(VLOOKUP(A179,ScaledPrice4,5))*(2-(VLOOKUP(A179,ScaledPrice4,3)))),0))</f>
        <v> </v>
      </c>
      <c r="H179" s="317" t="str">
        <f aca="false">IF($A179="N/A"," ",IF(OR(Dayrun4=2,Dayrun4=3,Dayrun4=10),VLOOKUP($A179,ScaledPrice4,9),0))</f>
        <v> </v>
      </c>
      <c r="I179" s="317" t="str">
        <f aca="false">IF(A179="N/A"," ",IF(OR(Dayrun4=3,Dayrun4=6,Dayrun4=9),(VLOOKUP(A179,ScaledPrice4,IF(Scaler4=2,7,8))),0))</f>
        <v> </v>
      </c>
      <c r="J179" s="317" t="str">
        <f aca="false">IF(A179="N/A"," ",IF(OR(Dayrun4=3,Dayrun4=6),IF(Scaler4=2,I179,(VLOOKUP(A179,ScaledPrice4,7))*(2-(VLOOKUP(A179,ScaledPrice4,3)))),0))</f>
        <v> </v>
      </c>
      <c r="K179" s="317" t="str">
        <f aca="false">IF($A179="N/A"," ",IF(OR(Dayrun4=3,Dayrun4=10),VLOOKUP($A179,ScaledPrice4,9),0))</f>
        <v> </v>
      </c>
      <c r="L179" s="318" t="str">
        <f aca="false">IF($A179="N/A"," ",IF(Pricetype4=2,MAX(C179,0),IF(OR(Pricetype4=1,Pricetype4=4),IF(C179=0,0,(EURO(C179,Strikeprice4,0,0,($AH179+IF(Smile=TRUE(),VLOOKUP(MAX(-5,Strikeprice4-C179),Volsmile,2),0)),($A179-DateToday)+15,IF(Pricetype4=1,1,0),0))),C179)))</f>
        <v> </v>
      </c>
      <c r="M179" s="318" t="str">
        <f aca="false">IF($A179="N/A"," ",IF(Pricetype4=2,MAX(D179,0),IF(OR(Pricetype4=1,Pricetype4=4),IF(D179=0,0,(EURO(D179,Strikeprice4,0,0,($AH179+IF(Smile=TRUE(),VLOOKUP(MAX(-5,Strikeprice4-D179),Volsmile,2),0)),($A179-DateToday)+15,IF(Pricetype4=1,1,0),0))),D179)))</f>
        <v> </v>
      </c>
      <c r="N179" s="318" t="str">
        <f aca="false">IF($A179="N/A"," ",IF(Pricetype4=2,MAX(E179,0),IF(OR(Pricetype4=1,Pricetype4=4),IF(E179=0,0,(EURO(E179,Strikeprice4,0,0,($AK179+IF(Smile=TRUE(),VLOOKUP(MAX(-5,Strikeprice4-E179),Volsmile,2),0)),($A179-DateToday)+15,IF(Pricetype4=1,1,0),0))),E179)))</f>
        <v> </v>
      </c>
      <c r="O179" s="318" t="str">
        <f aca="false">IF($A179="N/A"," ",IF(Pricetype4=2,MAX(F179,0),IF(OR(Pricetype4=1,Pricetype4=4),IF(F179=0,0,(EURO(F179,Strikeprice4,0,0,($AK179+IF(Smile=TRUE(),VLOOKUP(MAX(-5,Strikeprice4-F179),Volsmile,2),0)),($A179-DateToday)+15,IF(Pricetype4=1,1,0),0))),F179)))</f>
        <v> </v>
      </c>
      <c r="P179" s="318" t="str">
        <f aca="false">IF($A179="N/A"," ",IF(Pricetype4=2,MAX(G179,0),IF(OR(Pricetype4=1,Pricetype4=4),IF(G179=0,0,(EURO(G179,Strikeprice4,0,0,($AK179+IF(Smile=TRUE(),VLOOKUP(MAX(-5,Strikeprice4-G179),Volsmile,2),0)),($A179-DateToday)+15,IF(Pricetype4=1,1,0),0))),G179)))</f>
        <v> </v>
      </c>
      <c r="Q179" s="318" t="str">
        <f aca="false">IF($A179="N/A"," ",IF(Pricetype4=2,MAX(H179,0),IF(OR(Pricetype4=1,Pricetype4=4),IF(H179=0,0,(EURO(H179,Strikeprice4,0,0,($AK179+IF(Smile=TRUE(),VLOOKUP(MAX(-5,Strikeprice4-H179),Volsmile,2),0)),($A179-DateToday)+15,IF(Pricetype4=1,1,0),0))),H179)))</f>
        <v> </v>
      </c>
      <c r="R179" s="318" t="str">
        <f aca="false">IF($A179="N/A"," ",IF(Pricetype4=2,MAX(I179,0),IF(OR(Pricetype4=1,Pricetype4=4),IF(I179=0,0,(EURO(I179,Strikeprice4,0,0,($AK179+IF(Smile=TRUE(),VLOOKUP(MAX(-5,Strikeprice4-I179),Volsmile,2),0)),($A179-DateToday)+15,IF(Pricetype4=1,1,0),0))),I179)))</f>
        <v> </v>
      </c>
      <c r="S179" s="318" t="str">
        <f aca="false">IF($A179="N/A"," ",IF(Pricetype4=2,MAX(J179,0),IF(OR(Pricetype4=1,Pricetype4=4),IF(J179=0,0,(EURO(J179,Strikeprice4,0,0,($AK179+IF(Smile=TRUE(),VLOOKUP(MAX(-5,Strikeprice4-J179),Volsmile,2),0)),($A179-DateToday)+15,IF(Pricetype4=1,1,0),0))),J179)))</f>
        <v> </v>
      </c>
      <c r="T179" s="318" t="str">
        <f aca="false">IF($A179="N/A"," ",IF(Pricetype4=2,MAX(K179,0),IF(OR(Pricetype4=1,Pricetype4=4),IF(K179=0,0,(EURO(K179,Strikeprice4,0,0,($AK179+IF(Smile=TRUE(),VLOOKUP(MAX(-5,Strikeprice4-K179),Volsmile,2),0)),($A179-DateToday)+15,IF(Pricetype4=1,1,0),0))),K179)))</f>
        <v> </v>
      </c>
      <c r="U179" s="319" t="str">
        <f aca="false">IF($A179="N/A"," ",Volume4*$AM179)</f>
        <v> </v>
      </c>
      <c r="V179" s="320" t="str">
        <f aca="false">IF($A179="N/A"," ",$U179*(8*($BQ179))*L179)</f>
        <v> </v>
      </c>
      <c r="W179" s="320" t="str">
        <f aca="false">IF($A179="N/A"," ",$U179*(8*($BQ179))*M179)</f>
        <v> </v>
      </c>
      <c r="X179" s="320" t="str">
        <f aca="false">IF($A179="N/A"," ",$U179*(8*($BQ179))*N179)</f>
        <v> </v>
      </c>
      <c r="Y179" s="320" t="str">
        <f aca="false">IF($A179="N/A"," ",$U179*(8*($BR179))*O179)</f>
        <v> </v>
      </c>
      <c r="Z179" s="320" t="str">
        <f aca="false">IF($A179="N/A"," ",$U179*(8*($BR179))*P179)</f>
        <v> </v>
      </c>
      <c r="AA179" s="320" t="str">
        <f aca="false">IF($A179="N/A"," ",$U179*(8*($BR179))*Q179)</f>
        <v> </v>
      </c>
      <c r="AB179" s="320" t="str">
        <f aca="false">IF($A179="N/A"," ",$U179*(8*($BS179))*R179)</f>
        <v> </v>
      </c>
      <c r="AC179" s="320" t="str">
        <f aca="false">IF($A179="N/A"," ",$U179*(8*($BS179))*S179)</f>
        <v> </v>
      </c>
      <c r="AD179" s="320" t="str">
        <f aca="false">IF($A179="N/A"," ",$U179*(8*($BS179))*T179)</f>
        <v> </v>
      </c>
      <c r="AE179" s="320" t="str">
        <f aca="false">IF($A179="N/A"," ",SUM(V179:AD179))</f>
        <v> </v>
      </c>
      <c r="AF179" s="321" t="str">
        <f aca="false">IF(A179="N/A"," ",(VLOOKUP(A179,PowerVolTable,(IF(VolBMO4=2,7,IF(VolBMO4=1,6,8))),FALSE())))</f>
        <v> </v>
      </c>
      <c r="AG179" s="321" t="str">
        <f aca="false">IF(A179="N/A"," ",(VLOOKUP(A179,IntraPowerVol,(IF(VolBMO4=2,3,IF(VolBMO4=1,2,4))),FALSE())*VLOOKUP(MONTH($A179),Volscale,2)))</f>
        <v> </v>
      </c>
      <c r="AH179" s="321" t="str">
        <f aca="false">IF($A179="N/A"," ",IF(VolType4=1,AG179,AF179))</f>
        <v> </v>
      </c>
      <c r="AI179" s="321" t="str">
        <f aca="false">IF($A179="N/A"," ",(VLOOKUP($A179,OffPwrVolTable,(IF(VolBMO4=2,7,IF(VolBMO4=1,6,8))),FALSE())))</f>
        <v> </v>
      </c>
      <c r="AJ179" s="321" t="str">
        <f aca="false">IF($A179="N/A"," ",(VLOOKUP($A179,OffPwrVolTable,(IF(VolBMO4=2,3,IF(VolBMO4=1,2,4))),FALSE())*VLOOKUP(MONTH($A179),Volscale,2)))</f>
        <v> </v>
      </c>
      <c r="AK179" s="321" t="str">
        <f aca="false">IF($A179="N/A"," ",IF(VolType4=1,AJ179,AI179))</f>
        <v> </v>
      </c>
      <c r="AL179" s="321" t="str">
        <f aca="false">IF($A179="N/A"," ",IF(PV=1,0,'Pricing Inputs4'!R212))</f>
        <v> </v>
      </c>
      <c r="AM179" s="323" t="str">
        <f aca="false">IF($A179="N/A"," ",(1+AL179/2)^(-2*((EOMONTH(A179,0)+20)-DateToday)/365.25))</f>
        <v> </v>
      </c>
      <c r="BQ179" s="0" t="str">
        <f aca="false">IF($A179="N/A"," ",(VLOOKUP($A179,NumberofDaysTable,2)))</f>
        <v> </v>
      </c>
      <c r="BR179" s="0" t="str">
        <f aca="false">IF($A179="N/A"," ",(VLOOKUP($A179,NumberofDaysTable,3)))</f>
        <v> </v>
      </c>
      <c r="BS179" s="0" t="str">
        <f aca="false">IF($A179="N/A"," ",(VLOOKUP($A179,NumberofDaysTable,4)))</f>
        <v> </v>
      </c>
    </row>
    <row r="180" customFormat="false" ht="12.75" hidden="false" customHeight="false" outlineLevel="0" collapsed="false">
      <c r="A180" s="315" t="str">
        <f aca="false">IF(A179="N/A","N/A",IF(EDATE(A179,1)&gt;Inputs!$R$5,"N/A",EDATE(A179,1)))</f>
        <v>N/A</v>
      </c>
      <c r="B180" s="316" t="str">
        <f aca="false">IF(A180="N/A"," ",YEAR(A180))</f>
        <v> </v>
      </c>
      <c r="C180" s="317" t="str">
        <f aca="false">IF($A180="N/A"," ",IF(Dayrun4=10,0,IF(Scaler4=1,(VLOOKUP(A180,ScaledPrice4,4)),(VLOOKUP(A180,ScaledPrice4,2)))))</f>
        <v> </v>
      </c>
      <c r="D180" s="317" t="str">
        <f aca="false">IF(A180="N/A"," ",IF(Dayrun4&gt;=7,0,IF(Scaler4=2,VLOOKUP(A180,ScaledPrice4,2),(VLOOKUP(A180,ScaledPrice4,2))*(2-(VLOOKUP(A180,ScaledPrice4,3))))))</f>
        <v> </v>
      </c>
      <c r="E180" s="317" t="str">
        <f aca="false">IF($A180="N/A"," ",IF(AND(Dayrun4&gt;=4,Dayrun4&lt;=9),0,VLOOKUP($A180,ScaledPrice4,9)))</f>
        <v> </v>
      </c>
      <c r="F180" s="317" t="str">
        <f aca="false">IF(A180="N/A"," ",IF(OR(Dayrun4=2,Dayrun4=3,Dayrun4=5,Dayrun4=6,Dayrun4=8,Dayrun4=9),VLOOKUP(A180,ScaledPrice4,IF(Scaler4=1,6,5)),0))</f>
        <v> </v>
      </c>
      <c r="G180" s="317" t="str">
        <f aca="false">IF(A180="N/A"," ",IF(OR(Dayrun4=2,Dayrun4=3,Dayrun4=5,Dayrun4=6),IF(Scaler4=2,F180,(VLOOKUP(A180,ScaledPrice4,5))*(2-(VLOOKUP(A180,ScaledPrice4,3)))),0))</f>
        <v> </v>
      </c>
      <c r="H180" s="317" t="str">
        <f aca="false">IF($A180="N/A"," ",IF(OR(Dayrun4=2,Dayrun4=3,Dayrun4=10),VLOOKUP($A180,ScaledPrice4,9),0))</f>
        <v> </v>
      </c>
      <c r="I180" s="317" t="str">
        <f aca="false">IF(A180="N/A"," ",IF(OR(Dayrun4=3,Dayrun4=6,Dayrun4=9),(VLOOKUP(A180,ScaledPrice4,IF(Scaler4=2,7,8))),0))</f>
        <v> </v>
      </c>
      <c r="J180" s="317" t="str">
        <f aca="false">IF(A180="N/A"," ",IF(OR(Dayrun4=3,Dayrun4=6),IF(Scaler4=2,I180,(VLOOKUP(A180,ScaledPrice4,7))*(2-(VLOOKUP(A180,ScaledPrice4,3)))),0))</f>
        <v> </v>
      </c>
      <c r="K180" s="317" t="str">
        <f aca="false">IF($A180="N/A"," ",IF(OR(Dayrun4=3,Dayrun4=10),VLOOKUP($A180,ScaledPrice4,9),0))</f>
        <v> </v>
      </c>
      <c r="L180" s="318" t="str">
        <f aca="false">IF($A180="N/A"," ",IF(Pricetype4=2,MAX(C180,0),IF(OR(Pricetype4=1,Pricetype4=4),IF(C180=0,0,(EURO(C180,Strikeprice4,0,0,($AH180+IF(Smile=TRUE(),VLOOKUP(MAX(-5,Strikeprice4-C180),Volsmile,2),0)),($A180-DateToday)+15,IF(Pricetype4=1,1,0),0))),C180)))</f>
        <v> </v>
      </c>
      <c r="M180" s="318" t="str">
        <f aca="false">IF($A180="N/A"," ",IF(Pricetype4=2,MAX(D180,0),IF(OR(Pricetype4=1,Pricetype4=4),IF(D180=0,0,(EURO(D180,Strikeprice4,0,0,($AH180+IF(Smile=TRUE(),VLOOKUP(MAX(-5,Strikeprice4-D180),Volsmile,2),0)),($A180-DateToday)+15,IF(Pricetype4=1,1,0),0))),D180)))</f>
        <v> </v>
      </c>
      <c r="N180" s="318" t="str">
        <f aca="false">IF($A180="N/A"," ",IF(Pricetype4=2,MAX(E180,0),IF(OR(Pricetype4=1,Pricetype4=4),IF(E180=0,0,(EURO(E180,Strikeprice4,0,0,($AK180+IF(Smile=TRUE(),VLOOKUP(MAX(-5,Strikeprice4-E180),Volsmile,2),0)),($A180-DateToday)+15,IF(Pricetype4=1,1,0),0))),E180)))</f>
        <v> </v>
      </c>
      <c r="O180" s="318" t="str">
        <f aca="false">IF($A180="N/A"," ",IF(Pricetype4=2,MAX(F180,0),IF(OR(Pricetype4=1,Pricetype4=4),IF(F180=0,0,(EURO(F180,Strikeprice4,0,0,($AK180+IF(Smile=TRUE(),VLOOKUP(MAX(-5,Strikeprice4-F180),Volsmile,2),0)),($A180-DateToday)+15,IF(Pricetype4=1,1,0),0))),F180)))</f>
        <v> </v>
      </c>
      <c r="P180" s="318" t="str">
        <f aca="false">IF($A180="N/A"," ",IF(Pricetype4=2,MAX(G180,0),IF(OR(Pricetype4=1,Pricetype4=4),IF(G180=0,0,(EURO(G180,Strikeprice4,0,0,($AK180+IF(Smile=TRUE(),VLOOKUP(MAX(-5,Strikeprice4-G180),Volsmile,2),0)),($A180-DateToday)+15,IF(Pricetype4=1,1,0),0))),G180)))</f>
        <v> </v>
      </c>
      <c r="Q180" s="318" t="str">
        <f aca="false">IF($A180="N/A"," ",IF(Pricetype4=2,MAX(H180,0),IF(OR(Pricetype4=1,Pricetype4=4),IF(H180=0,0,(EURO(H180,Strikeprice4,0,0,($AK180+IF(Smile=TRUE(),VLOOKUP(MAX(-5,Strikeprice4-H180),Volsmile,2),0)),($A180-DateToday)+15,IF(Pricetype4=1,1,0),0))),H180)))</f>
        <v> </v>
      </c>
      <c r="R180" s="318" t="str">
        <f aca="false">IF($A180="N/A"," ",IF(Pricetype4=2,MAX(I180,0),IF(OR(Pricetype4=1,Pricetype4=4),IF(I180=0,0,(EURO(I180,Strikeprice4,0,0,($AK180+IF(Smile=TRUE(),VLOOKUP(MAX(-5,Strikeprice4-I180),Volsmile,2),0)),($A180-DateToday)+15,IF(Pricetype4=1,1,0),0))),I180)))</f>
        <v> </v>
      </c>
      <c r="S180" s="318" t="str">
        <f aca="false">IF($A180="N/A"," ",IF(Pricetype4=2,MAX(J180,0),IF(OR(Pricetype4=1,Pricetype4=4),IF(J180=0,0,(EURO(J180,Strikeprice4,0,0,($AK180+IF(Smile=TRUE(),VLOOKUP(MAX(-5,Strikeprice4-J180),Volsmile,2),0)),($A180-DateToday)+15,IF(Pricetype4=1,1,0),0))),J180)))</f>
        <v> </v>
      </c>
      <c r="T180" s="318" t="str">
        <f aca="false">IF($A180="N/A"," ",IF(Pricetype4=2,MAX(K180,0),IF(OR(Pricetype4=1,Pricetype4=4),IF(K180=0,0,(EURO(K180,Strikeprice4,0,0,($AK180+IF(Smile=TRUE(),VLOOKUP(MAX(-5,Strikeprice4-K180),Volsmile,2),0)),($A180-DateToday)+15,IF(Pricetype4=1,1,0),0))),K180)))</f>
        <v> </v>
      </c>
      <c r="U180" s="319" t="str">
        <f aca="false">IF($A180="N/A"," ",Volume4*$AM180)</f>
        <v> </v>
      </c>
      <c r="V180" s="320" t="str">
        <f aca="false">IF($A180="N/A"," ",$U180*(8*($BQ180))*L180)</f>
        <v> </v>
      </c>
      <c r="W180" s="320" t="str">
        <f aca="false">IF($A180="N/A"," ",$U180*(8*($BQ180))*M180)</f>
        <v> </v>
      </c>
      <c r="X180" s="320" t="str">
        <f aca="false">IF($A180="N/A"," ",$U180*(8*($BQ180))*N180)</f>
        <v> </v>
      </c>
      <c r="Y180" s="320" t="str">
        <f aca="false">IF($A180="N/A"," ",$U180*(8*($BR180))*O180)</f>
        <v> </v>
      </c>
      <c r="Z180" s="320" t="str">
        <f aca="false">IF($A180="N/A"," ",$U180*(8*($BR180))*P180)</f>
        <v> </v>
      </c>
      <c r="AA180" s="320" t="str">
        <f aca="false">IF($A180="N/A"," ",$U180*(8*($BR180))*Q180)</f>
        <v> </v>
      </c>
      <c r="AB180" s="320" t="str">
        <f aca="false">IF($A180="N/A"," ",$U180*(8*($BS180))*R180)</f>
        <v> </v>
      </c>
      <c r="AC180" s="320" t="str">
        <f aca="false">IF($A180="N/A"," ",$U180*(8*($BS180))*S180)</f>
        <v> </v>
      </c>
      <c r="AD180" s="320" t="str">
        <f aca="false">IF($A180="N/A"," ",$U180*(8*($BS180))*T180)</f>
        <v> </v>
      </c>
      <c r="AE180" s="320" t="str">
        <f aca="false">IF($A180="N/A"," ",SUM(V180:AD180))</f>
        <v> </v>
      </c>
      <c r="AF180" s="321" t="str">
        <f aca="false">IF(A180="N/A"," ",(VLOOKUP(A180,PowerVolTable,(IF(VolBMO4=2,7,IF(VolBMO4=1,6,8))),FALSE())))</f>
        <v> </v>
      </c>
      <c r="AG180" s="321" t="str">
        <f aca="false">IF(A180="N/A"," ",(VLOOKUP(A180,IntraPowerVol,(IF(VolBMO4=2,3,IF(VolBMO4=1,2,4))),FALSE())*VLOOKUP(MONTH($A180),Volscale,2)))</f>
        <v> </v>
      </c>
      <c r="AH180" s="321" t="str">
        <f aca="false">IF($A180="N/A"," ",IF(VolType4=1,AG180,AF180))</f>
        <v> </v>
      </c>
      <c r="AI180" s="321" t="str">
        <f aca="false">IF($A180="N/A"," ",(VLOOKUP($A180,OffPwrVolTable,(IF(VolBMO4=2,7,IF(VolBMO4=1,6,8))),FALSE())))</f>
        <v> </v>
      </c>
      <c r="AJ180" s="321" t="str">
        <f aca="false">IF($A180="N/A"," ",(VLOOKUP($A180,OffPwrVolTable,(IF(VolBMO4=2,3,IF(VolBMO4=1,2,4))),FALSE())*VLOOKUP(MONTH($A180),Volscale,2)))</f>
        <v> </v>
      </c>
      <c r="AK180" s="321" t="str">
        <f aca="false">IF($A180="N/A"," ",IF(VolType4=1,AJ180,AI180))</f>
        <v> </v>
      </c>
      <c r="AL180" s="321" t="str">
        <f aca="false">IF($A180="N/A"," ",IF(PV=1,0,'Pricing Inputs4'!R213))</f>
        <v> </v>
      </c>
      <c r="AM180" s="323" t="str">
        <f aca="false">IF($A180="N/A"," ",(1+AL180/2)^(-2*((EOMONTH(A180,0)+20)-DateToday)/365.25))</f>
        <v> </v>
      </c>
      <c r="BQ180" s="0" t="str">
        <f aca="false">IF($A180="N/A"," ",(VLOOKUP($A180,NumberofDaysTable,2)))</f>
        <v> </v>
      </c>
      <c r="BR180" s="0" t="str">
        <f aca="false">IF($A180="N/A"," ",(VLOOKUP($A180,NumberofDaysTable,3)))</f>
        <v> </v>
      </c>
      <c r="BS180" s="0" t="str">
        <f aca="false">IF($A180="N/A"," ",(VLOOKUP($A180,NumberofDaysTable,4)))</f>
        <v> </v>
      </c>
    </row>
    <row r="181" customFormat="false" ht="12.75" hidden="false" customHeight="false" outlineLevel="0" collapsed="false">
      <c r="A181" s="315" t="str">
        <f aca="false">IF(A180="N/A","N/A",IF(EDATE(A180,1)&gt;Inputs!$R$5,"N/A",EDATE(A180,1)))</f>
        <v>N/A</v>
      </c>
      <c r="B181" s="316" t="str">
        <f aca="false">IF(A181="N/A"," ",YEAR(A181))</f>
        <v> </v>
      </c>
      <c r="C181" s="317" t="str">
        <f aca="false">IF($A181="N/A"," ",IF(Dayrun4=10,0,IF(Scaler4=1,(VLOOKUP(A181,ScaledPrice4,4)),(VLOOKUP(A181,ScaledPrice4,2)))))</f>
        <v> </v>
      </c>
      <c r="D181" s="317" t="str">
        <f aca="false">IF(A181="N/A"," ",IF(Dayrun4&gt;=7,0,IF(Scaler4=2,VLOOKUP(A181,ScaledPrice4,2),(VLOOKUP(A181,ScaledPrice4,2))*(2-(VLOOKUP(A181,ScaledPrice4,3))))))</f>
        <v> </v>
      </c>
      <c r="E181" s="317" t="str">
        <f aca="false">IF($A181="N/A"," ",IF(AND(Dayrun4&gt;=4,Dayrun4&lt;=9),0,VLOOKUP($A181,ScaledPrice4,9)))</f>
        <v> </v>
      </c>
      <c r="F181" s="317" t="str">
        <f aca="false">IF(A181="N/A"," ",IF(OR(Dayrun4=2,Dayrun4=3,Dayrun4=5,Dayrun4=6,Dayrun4=8,Dayrun4=9),VLOOKUP(A181,ScaledPrice4,IF(Scaler4=1,6,5)),0))</f>
        <v> </v>
      </c>
      <c r="G181" s="317" t="str">
        <f aca="false">IF(A181="N/A"," ",IF(OR(Dayrun4=2,Dayrun4=3,Dayrun4=5,Dayrun4=6),IF(Scaler4=2,F181,(VLOOKUP(A181,ScaledPrice4,5))*(2-(VLOOKUP(A181,ScaledPrice4,3)))),0))</f>
        <v> </v>
      </c>
      <c r="H181" s="317" t="str">
        <f aca="false">IF($A181="N/A"," ",IF(OR(Dayrun4=2,Dayrun4=3,Dayrun4=10),VLOOKUP($A181,ScaledPrice4,9),0))</f>
        <v> </v>
      </c>
      <c r="I181" s="317" t="str">
        <f aca="false">IF(A181="N/A"," ",IF(OR(Dayrun4=3,Dayrun4=6,Dayrun4=9),(VLOOKUP(A181,ScaledPrice4,IF(Scaler4=2,7,8))),0))</f>
        <v> </v>
      </c>
      <c r="J181" s="317" t="str">
        <f aca="false">IF(A181="N/A"," ",IF(OR(Dayrun4=3,Dayrun4=6),IF(Scaler4=2,I181,(VLOOKUP(A181,ScaledPrice4,7))*(2-(VLOOKUP(A181,ScaledPrice4,3)))),0))</f>
        <v> </v>
      </c>
      <c r="K181" s="317" t="str">
        <f aca="false">IF($A181="N/A"," ",IF(OR(Dayrun4=3,Dayrun4=10),VLOOKUP($A181,ScaledPrice4,9),0))</f>
        <v> </v>
      </c>
      <c r="L181" s="318" t="str">
        <f aca="false">IF($A181="N/A"," ",IF(Pricetype4=2,MAX(C181,0),IF(OR(Pricetype4=1,Pricetype4=4),IF(C181=0,0,(EURO(C181,Strikeprice4,0,0,($AH181+IF(Smile=TRUE(),VLOOKUP(MAX(-5,Strikeprice4-C181),Volsmile,2),0)),($A181-DateToday)+15,IF(Pricetype4=1,1,0),0))),C181)))</f>
        <v> </v>
      </c>
      <c r="M181" s="318" t="str">
        <f aca="false">IF($A181="N/A"," ",IF(Pricetype4=2,MAX(D181,0),IF(OR(Pricetype4=1,Pricetype4=4),IF(D181=0,0,(EURO(D181,Strikeprice4,0,0,($AH181+IF(Smile=TRUE(),VLOOKUP(MAX(-5,Strikeprice4-D181),Volsmile,2),0)),($A181-DateToday)+15,IF(Pricetype4=1,1,0),0))),D181)))</f>
        <v> </v>
      </c>
      <c r="N181" s="318" t="str">
        <f aca="false">IF($A181="N/A"," ",IF(Pricetype4=2,MAX(E181,0),IF(OR(Pricetype4=1,Pricetype4=4),IF(E181=0,0,(EURO(E181,Strikeprice4,0,0,($AK181+IF(Smile=TRUE(),VLOOKUP(MAX(-5,Strikeprice4-E181),Volsmile,2),0)),($A181-DateToday)+15,IF(Pricetype4=1,1,0),0))),E181)))</f>
        <v> </v>
      </c>
      <c r="O181" s="318" t="str">
        <f aca="false">IF($A181="N/A"," ",IF(Pricetype4=2,MAX(F181,0),IF(OR(Pricetype4=1,Pricetype4=4),IF(F181=0,0,(EURO(F181,Strikeprice4,0,0,($AK181+IF(Smile=TRUE(),VLOOKUP(MAX(-5,Strikeprice4-F181),Volsmile,2),0)),($A181-DateToday)+15,IF(Pricetype4=1,1,0),0))),F181)))</f>
        <v> </v>
      </c>
      <c r="P181" s="318" t="str">
        <f aca="false">IF($A181="N/A"," ",IF(Pricetype4=2,MAX(G181,0),IF(OR(Pricetype4=1,Pricetype4=4),IF(G181=0,0,(EURO(G181,Strikeprice4,0,0,($AK181+IF(Smile=TRUE(),VLOOKUP(MAX(-5,Strikeprice4-G181),Volsmile,2),0)),($A181-DateToday)+15,IF(Pricetype4=1,1,0),0))),G181)))</f>
        <v> </v>
      </c>
      <c r="Q181" s="318" t="str">
        <f aca="false">IF($A181="N/A"," ",IF(Pricetype4=2,MAX(H181,0),IF(OR(Pricetype4=1,Pricetype4=4),IF(H181=0,0,(EURO(H181,Strikeprice4,0,0,($AK181+IF(Smile=TRUE(),VLOOKUP(MAX(-5,Strikeprice4-H181),Volsmile,2),0)),($A181-DateToday)+15,IF(Pricetype4=1,1,0),0))),H181)))</f>
        <v> </v>
      </c>
      <c r="R181" s="318" t="str">
        <f aca="false">IF($A181="N/A"," ",IF(Pricetype4=2,MAX(I181,0),IF(OR(Pricetype4=1,Pricetype4=4),IF(I181=0,0,(EURO(I181,Strikeprice4,0,0,($AK181+IF(Smile=TRUE(),VLOOKUP(MAX(-5,Strikeprice4-I181),Volsmile,2),0)),($A181-DateToday)+15,IF(Pricetype4=1,1,0),0))),I181)))</f>
        <v> </v>
      </c>
      <c r="S181" s="318" t="str">
        <f aca="false">IF($A181="N/A"," ",IF(Pricetype4=2,MAX(J181,0),IF(OR(Pricetype4=1,Pricetype4=4),IF(J181=0,0,(EURO(J181,Strikeprice4,0,0,($AK181+IF(Smile=TRUE(),VLOOKUP(MAX(-5,Strikeprice4-J181),Volsmile,2),0)),($A181-DateToday)+15,IF(Pricetype4=1,1,0),0))),J181)))</f>
        <v> </v>
      </c>
      <c r="T181" s="318" t="str">
        <f aca="false">IF($A181="N/A"," ",IF(Pricetype4=2,MAX(K181,0),IF(OR(Pricetype4=1,Pricetype4=4),IF(K181=0,0,(EURO(K181,Strikeprice4,0,0,($AK181+IF(Smile=TRUE(),VLOOKUP(MAX(-5,Strikeprice4-K181),Volsmile,2),0)),($A181-DateToday)+15,IF(Pricetype4=1,1,0),0))),K181)))</f>
        <v> </v>
      </c>
      <c r="U181" s="319" t="str">
        <f aca="false">IF($A181="N/A"," ",Volume4*$AM181)</f>
        <v> </v>
      </c>
      <c r="V181" s="320" t="str">
        <f aca="false">IF($A181="N/A"," ",$U181*(8*($BQ181))*L181)</f>
        <v> </v>
      </c>
      <c r="W181" s="320" t="str">
        <f aca="false">IF($A181="N/A"," ",$U181*(8*($BQ181))*M181)</f>
        <v> </v>
      </c>
      <c r="X181" s="320" t="str">
        <f aca="false">IF($A181="N/A"," ",$U181*(8*($BQ181))*N181)</f>
        <v> </v>
      </c>
      <c r="Y181" s="320" t="str">
        <f aca="false">IF($A181="N/A"," ",$U181*(8*($BR181))*O181)</f>
        <v> </v>
      </c>
      <c r="Z181" s="320" t="str">
        <f aca="false">IF($A181="N/A"," ",$U181*(8*($BR181))*P181)</f>
        <v> </v>
      </c>
      <c r="AA181" s="320" t="str">
        <f aca="false">IF($A181="N/A"," ",$U181*(8*($BR181))*Q181)</f>
        <v> </v>
      </c>
      <c r="AB181" s="320" t="str">
        <f aca="false">IF($A181="N/A"," ",$U181*(8*($BS181))*R181)</f>
        <v> </v>
      </c>
      <c r="AC181" s="320" t="str">
        <f aca="false">IF($A181="N/A"," ",$U181*(8*($BS181))*S181)</f>
        <v> </v>
      </c>
      <c r="AD181" s="320" t="str">
        <f aca="false">IF($A181="N/A"," ",$U181*(8*($BS181))*T181)</f>
        <v> </v>
      </c>
      <c r="AE181" s="320" t="str">
        <f aca="false">IF($A181="N/A"," ",SUM(V181:AD181))</f>
        <v> </v>
      </c>
      <c r="AF181" s="321" t="str">
        <f aca="false">IF(A181="N/A"," ",(VLOOKUP(A181,PowerVolTable,(IF(VolBMO4=2,7,IF(VolBMO4=1,6,8))),FALSE())))</f>
        <v> </v>
      </c>
      <c r="AG181" s="321" t="str">
        <f aca="false">IF(A181="N/A"," ",(VLOOKUP(A181,IntraPowerVol,(IF(VolBMO4=2,3,IF(VolBMO4=1,2,4))),FALSE())*VLOOKUP(MONTH($A181),Volscale,2)))</f>
        <v> </v>
      </c>
      <c r="AH181" s="321" t="str">
        <f aca="false">IF($A181="N/A"," ",IF(VolType4=1,AG181,AF181))</f>
        <v> </v>
      </c>
      <c r="AI181" s="321" t="str">
        <f aca="false">IF($A181="N/A"," ",(VLOOKUP($A181,OffPwrVolTable,(IF(VolBMO4=2,7,IF(VolBMO4=1,6,8))),FALSE())))</f>
        <v> </v>
      </c>
      <c r="AJ181" s="321" t="str">
        <f aca="false">IF($A181="N/A"," ",(VLOOKUP($A181,OffPwrVolTable,(IF(VolBMO4=2,3,IF(VolBMO4=1,2,4))),FALSE())*VLOOKUP(MONTH($A181),Volscale,2)))</f>
        <v> </v>
      </c>
      <c r="AK181" s="321" t="str">
        <f aca="false">IF($A181="N/A"," ",IF(VolType4=1,AJ181,AI181))</f>
        <v> </v>
      </c>
      <c r="AL181" s="321" t="str">
        <f aca="false">IF($A181="N/A"," ",IF(PV=1,0,'Pricing Inputs4'!R214))</f>
        <v> </v>
      </c>
      <c r="AM181" s="323" t="str">
        <f aca="false">IF($A181="N/A"," ",(1+AL181/2)^(-2*((EOMONTH(A181,0)+20)-DateToday)/365.25))</f>
        <v> </v>
      </c>
      <c r="BQ181" s="0" t="str">
        <f aca="false">IF($A181="N/A"," ",(VLOOKUP($A181,NumberofDaysTable,2)))</f>
        <v> </v>
      </c>
      <c r="BR181" s="0" t="str">
        <f aca="false">IF($A181="N/A"," ",(VLOOKUP($A181,NumberofDaysTable,3)))</f>
        <v> </v>
      </c>
      <c r="BS181" s="0" t="str">
        <f aca="false">IF($A181="N/A"," ",(VLOOKUP($A181,NumberofDaysTable,4)))</f>
        <v> </v>
      </c>
    </row>
    <row r="182" customFormat="false" ht="12.75" hidden="false" customHeight="false" outlineLevel="0" collapsed="false">
      <c r="A182" s="315" t="str">
        <f aca="false">IF(A181="N/A","N/A",IF(EDATE(A181,1)&gt;Inputs!$R$5,"N/A",EDATE(A181,1)))</f>
        <v>N/A</v>
      </c>
      <c r="B182" s="316" t="str">
        <f aca="false">IF(A182="N/A"," ",YEAR(A182))</f>
        <v> </v>
      </c>
      <c r="C182" s="317" t="str">
        <f aca="false">IF($A182="N/A"," ",IF(Dayrun4=10,0,IF(Scaler4=1,(VLOOKUP(A182,ScaledPrice4,4)),(VLOOKUP(A182,ScaledPrice4,2)))))</f>
        <v> </v>
      </c>
      <c r="D182" s="317" t="str">
        <f aca="false">IF(A182="N/A"," ",IF(Dayrun4&gt;=7,0,IF(Scaler4=2,VLOOKUP(A182,ScaledPrice4,2),(VLOOKUP(A182,ScaledPrice4,2))*(2-(VLOOKUP(A182,ScaledPrice4,3))))))</f>
        <v> </v>
      </c>
      <c r="E182" s="317" t="str">
        <f aca="false">IF($A182="N/A"," ",IF(AND(Dayrun4&gt;=4,Dayrun4&lt;=9),0,VLOOKUP($A182,ScaledPrice4,9)))</f>
        <v> </v>
      </c>
      <c r="F182" s="317" t="str">
        <f aca="false">IF(A182="N/A"," ",IF(OR(Dayrun4=2,Dayrun4=3,Dayrun4=5,Dayrun4=6,Dayrun4=8,Dayrun4=9),VLOOKUP(A182,ScaledPrice4,IF(Scaler4=1,6,5)),0))</f>
        <v> </v>
      </c>
      <c r="G182" s="317" t="str">
        <f aca="false">IF(A182="N/A"," ",IF(OR(Dayrun4=2,Dayrun4=3,Dayrun4=5,Dayrun4=6),IF(Scaler4=2,F182,(VLOOKUP(A182,ScaledPrice4,5))*(2-(VLOOKUP(A182,ScaledPrice4,3)))),0))</f>
        <v> </v>
      </c>
      <c r="H182" s="317" t="str">
        <f aca="false">IF($A182="N/A"," ",IF(OR(Dayrun4=2,Dayrun4=3,Dayrun4=10),VLOOKUP($A182,ScaledPrice4,9),0))</f>
        <v> </v>
      </c>
      <c r="I182" s="317" t="str">
        <f aca="false">IF(A182="N/A"," ",IF(OR(Dayrun4=3,Dayrun4=6,Dayrun4=9),(VLOOKUP(A182,ScaledPrice4,IF(Scaler4=2,7,8))),0))</f>
        <v> </v>
      </c>
      <c r="J182" s="317" t="str">
        <f aca="false">IF(A182="N/A"," ",IF(OR(Dayrun4=3,Dayrun4=6),IF(Scaler4=2,I182,(VLOOKUP(A182,ScaledPrice4,7))*(2-(VLOOKUP(A182,ScaledPrice4,3)))),0))</f>
        <v> </v>
      </c>
      <c r="K182" s="317" t="str">
        <f aca="false">IF($A182="N/A"," ",IF(OR(Dayrun4=3,Dayrun4=10),VLOOKUP($A182,ScaledPrice4,9),0))</f>
        <v> </v>
      </c>
      <c r="L182" s="318" t="str">
        <f aca="false">IF($A182="N/A"," ",IF(Pricetype4=2,MAX(C182,0),IF(OR(Pricetype4=1,Pricetype4=4),IF(C182=0,0,(EURO(C182,Strikeprice4,0,0,($AH182+IF(Smile=TRUE(),VLOOKUP(MAX(-5,Strikeprice4-C182),Volsmile,2),0)),($A182-DateToday)+15,IF(Pricetype4=1,1,0),0))),C182)))</f>
        <v> </v>
      </c>
      <c r="M182" s="318" t="str">
        <f aca="false">IF($A182="N/A"," ",IF(Pricetype4=2,MAX(D182,0),IF(OR(Pricetype4=1,Pricetype4=4),IF(D182=0,0,(EURO(D182,Strikeprice4,0,0,($AH182+IF(Smile=TRUE(),VLOOKUP(MAX(-5,Strikeprice4-D182),Volsmile,2),0)),($A182-DateToday)+15,IF(Pricetype4=1,1,0),0))),D182)))</f>
        <v> </v>
      </c>
      <c r="N182" s="318" t="str">
        <f aca="false">IF($A182="N/A"," ",IF(Pricetype4=2,MAX(E182,0),IF(OR(Pricetype4=1,Pricetype4=4),IF(E182=0,0,(EURO(E182,Strikeprice4,0,0,($AK182+IF(Smile=TRUE(),VLOOKUP(MAX(-5,Strikeprice4-E182),Volsmile,2),0)),($A182-DateToday)+15,IF(Pricetype4=1,1,0),0))),E182)))</f>
        <v> </v>
      </c>
      <c r="O182" s="318" t="str">
        <f aca="false">IF($A182="N/A"," ",IF(Pricetype4=2,MAX(F182,0),IF(OR(Pricetype4=1,Pricetype4=4),IF(F182=0,0,(EURO(F182,Strikeprice4,0,0,($AK182+IF(Smile=TRUE(),VLOOKUP(MAX(-5,Strikeprice4-F182),Volsmile,2),0)),($A182-DateToday)+15,IF(Pricetype4=1,1,0),0))),F182)))</f>
        <v> </v>
      </c>
      <c r="P182" s="318" t="str">
        <f aca="false">IF($A182="N/A"," ",IF(Pricetype4=2,MAX(G182,0),IF(OR(Pricetype4=1,Pricetype4=4),IF(G182=0,0,(EURO(G182,Strikeprice4,0,0,($AK182+IF(Smile=TRUE(),VLOOKUP(MAX(-5,Strikeprice4-G182),Volsmile,2),0)),($A182-DateToday)+15,IF(Pricetype4=1,1,0),0))),G182)))</f>
        <v> </v>
      </c>
      <c r="Q182" s="318" t="str">
        <f aca="false">IF($A182="N/A"," ",IF(Pricetype4=2,MAX(H182,0),IF(OR(Pricetype4=1,Pricetype4=4),IF(H182=0,0,(EURO(H182,Strikeprice4,0,0,($AK182+IF(Smile=TRUE(),VLOOKUP(MAX(-5,Strikeprice4-H182),Volsmile,2),0)),($A182-DateToday)+15,IF(Pricetype4=1,1,0),0))),H182)))</f>
        <v> </v>
      </c>
      <c r="R182" s="318" t="str">
        <f aca="false">IF($A182="N/A"," ",IF(Pricetype4=2,MAX(I182,0),IF(OR(Pricetype4=1,Pricetype4=4),IF(I182=0,0,(EURO(I182,Strikeprice4,0,0,($AK182+IF(Smile=TRUE(),VLOOKUP(MAX(-5,Strikeprice4-I182),Volsmile,2),0)),($A182-DateToday)+15,IF(Pricetype4=1,1,0),0))),I182)))</f>
        <v> </v>
      </c>
      <c r="S182" s="318" t="str">
        <f aca="false">IF($A182="N/A"," ",IF(Pricetype4=2,MAX(J182,0),IF(OR(Pricetype4=1,Pricetype4=4),IF(J182=0,0,(EURO(J182,Strikeprice4,0,0,($AK182+IF(Smile=TRUE(),VLOOKUP(MAX(-5,Strikeprice4-J182),Volsmile,2),0)),($A182-DateToday)+15,IF(Pricetype4=1,1,0),0))),J182)))</f>
        <v> </v>
      </c>
      <c r="T182" s="318" t="str">
        <f aca="false">IF($A182="N/A"," ",IF(Pricetype4=2,MAX(K182,0),IF(OR(Pricetype4=1,Pricetype4=4),IF(K182=0,0,(EURO(K182,Strikeprice4,0,0,($AK182+IF(Smile=TRUE(),VLOOKUP(MAX(-5,Strikeprice4-K182),Volsmile,2),0)),($A182-DateToday)+15,IF(Pricetype4=1,1,0),0))),K182)))</f>
        <v> </v>
      </c>
      <c r="U182" s="319" t="str">
        <f aca="false">IF($A182="N/A"," ",Volume4*$AM182)</f>
        <v> </v>
      </c>
      <c r="V182" s="320" t="str">
        <f aca="false">IF($A182="N/A"," ",$U182*(8*($BQ182))*L182)</f>
        <v> </v>
      </c>
      <c r="W182" s="320" t="str">
        <f aca="false">IF($A182="N/A"," ",$U182*(8*($BQ182))*M182)</f>
        <v> </v>
      </c>
      <c r="X182" s="320" t="str">
        <f aca="false">IF($A182="N/A"," ",$U182*(8*($BQ182))*N182)</f>
        <v> </v>
      </c>
      <c r="Y182" s="320" t="str">
        <f aca="false">IF($A182="N/A"," ",$U182*(8*($BR182))*O182)</f>
        <v> </v>
      </c>
      <c r="Z182" s="320" t="str">
        <f aca="false">IF($A182="N/A"," ",$U182*(8*($BR182))*P182)</f>
        <v> </v>
      </c>
      <c r="AA182" s="320" t="str">
        <f aca="false">IF($A182="N/A"," ",$U182*(8*($BR182))*Q182)</f>
        <v> </v>
      </c>
      <c r="AB182" s="320" t="str">
        <f aca="false">IF($A182="N/A"," ",$U182*(8*($BS182))*R182)</f>
        <v> </v>
      </c>
      <c r="AC182" s="320" t="str">
        <f aca="false">IF($A182="N/A"," ",$U182*(8*($BS182))*S182)</f>
        <v> </v>
      </c>
      <c r="AD182" s="320" t="str">
        <f aca="false">IF($A182="N/A"," ",$U182*(8*($BS182))*T182)</f>
        <v> </v>
      </c>
      <c r="AE182" s="320" t="str">
        <f aca="false">IF($A182="N/A"," ",SUM(V182:AD182))</f>
        <v> </v>
      </c>
      <c r="AF182" s="321" t="str">
        <f aca="false">IF(A182="N/A"," ",(VLOOKUP(A182,PowerVolTable,(IF(VolBMO4=2,7,IF(VolBMO4=1,6,8))),FALSE())))</f>
        <v> </v>
      </c>
      <c r="AG182" s="321" t="str">
        <f aca="false">IF(A182="N/A"," ",(VLOOKUP(A182,IntraPowerVol,(IF(VolBMO4=2,3,IF(VolBMO4=1,2,4))),FALSE())*VLOOKUP(MONTH($A182),Volscale,2)))</f>
        <v> </v>
      </c>
      <c r="AH182" s="321" t="str">
        <f aca="false">IF($A182="N/A"," ",IF(VolType4=1,AG182,AF182))</f>
        <v> </v>
      </c>
      <c r="AI182" s="321" t="str">
        <f aca="false">IF($A182="N/A"," ",(VLOOKUP($A182,OffPwrVolTable,(IF(VolBMO4=2,7,IF(VolBMO4=1,6,8))),FALSE())))</f>
        <v> </v>
      </c>
      <c r="AJ182" s="321" t="str">
        <f aca="false">IF($A182="N/A"," ",(VLOOKUP($A182,OffPwrVolTable,(IF(VolBMO4=2,3,IF(VolBMO4=1,2,4))),FALSE())*VLOOKUP(MONTH($A182),Volscale,2)))</f>
        <v> </v>
      </c>
      <c r="AK182" s="321" t="str">
        <f aca="false">IF($A182="N/A"," ",IF(VolType4=1,AJ182,AI182))</f>
        <v> </v>
      </c>
      <c r="AL182" s="321" t="str">
        <f aca="false">IF($A182="N/A"," ",IF(PV=1,0,'Pricing Inputs4'!R215))</f>
        <v> </v>
      </c>
      <c r="AM182" s="323" t="str">
        <f aca="false">IF($A182="N/A"," ",(1+AL182/2)^(-2*((EOMONTH(A182,0)+20)-DateToday)/365.25))</f>
        <v> </v>
      </c>
      <c r="BQ182" s="0" t="str">
        <f aca="false">IF($A182="N/A"," ",(VLOOKUP($A182,NumberofDaysTable,2)))</f>
        <v> </v>
      </c>
      <c r="BR182" s="0" t="str">
        <f aca="false">IF($A182="N/A"," ",(VLOOKUP($A182,NumberofDaysTable,3)))</f>
        <v> </v>
      </c>
      <c r="BS182" s="0" t="str">
        <f aca="false">IF($A182="N/A"," ",(VLOOKUP($A182,NumberofDaysTable,4)))</f>
        <v> </v>
      </c>
    </row>
    <row r="183" customFormat="false" ht="12.75" hidden="false" customHeight="false" outlineLevel="0" collapsed="false">
      <c r="A183" s="315" t="str">
        <f aca="false">IF(A182="N/A","N/A",IF(EDATE(A182,1)&gt;Inputs!$R$5,"N/A",EDATE(A182,1)))</f>
        <v>N/A</v>
      </c>
      <c r="B183" s="316" t="str">
        <f aca="false">IF(A183="N/A"," ",YEAR(A183))</f>
        <v> </v>
      </c>
      <c r="C183" s="317" t="str">
        <f aca="false">IF($A183="N/A"," ",IF(Dayrun4=10,0,IF(Scaler4=1,(VLOOKUP(A183,ScaledPrice4,4)),(VLOOKUP(A183,ScaledPrice4,2)))))</f>
        <v> </v>
      </c>
      <c r="D183" s="317" t="str">
        <f aca="false">IF(A183="N/A"," ",IF(Dayrun4&gt;=7,0,IF(Scaler4=2,VLOOKUP(A183,ScaledPrice4,2),(VLOOKUP(A183,ScaledPrice4,2))*(2-(VLOOKUP(A183,ScaledPrice4,3))))))</f>
        <v> </v>
      </c>
      <c r="E183" s="317" t="str">
        <f aca="false">IF($A183="N/A"," ",IF(AND(Dayrun4&gt;=4,Dayrun4&lt;=9),0,VLOOKUP($A183,ScaledPrice4,9)))</f>
        <v> </v>
      </c>
      <c r="F183" s="317" t="str">
        <f aca="false">IF(A183="N/A"," ",IF(OR(Dayrun4=2,Dayrun4=3,Dayrun4=5,Dayrun4=6,Dayrun4=8,Dayrun4=9),VLOOKUP(A183,ScaledPrice4,IF(Scaler4=1,6,5)),0))</f>
        <v> </v>
      </c>
      <c r="G183" s="317" t="str">
        <f aca="false">IF(A183="N/A"," ",IF(OR(Dayrun4=2,Dayrun4=3,Dayrun4=5,Dayrun4=6),IF(Scaler4=2,F183,(VLOOKUP(A183,ScaledPrice4,5))*(2-(VLOOKUP(A183,ScaledPrice4,3)))),0))</f>
        <v> </v>
      </c>
      <c r="H183" s="317" t="str">
        <f aca="false">IF($A183="N/A"," ",IF(OR(Dayrun4=2,Dayrun4=3,Dayrun4=10),VLOOKUP($A183,ScaledPrice4,9),0))</f>
        <v> </v>
      </c>
      <c r="I183" s="317" t="str">
        <f aca="false">IF(A183="N/A"," ",IF(OR(Dayrun4=3,Dayrun4=6,Dayrun4=9),(VLOOKUP(A183,ScaledPrice4,IF(Scaler4=2,7,8))),0))</f>
        <v> </v>
      </c>
      <c r="J183" s="317" t="str">
        <f aca="false">IF(A183="N/A"," ",IF(OR(Dayrun4=3,Dayrun4=6),IF(Scaler4=2,I183,(VLOOKUP(A183,ScaledPrice4,7))*(2-(VLOOKUP(A183,ScaledPrice4,3)))),0))</f>
        <v> </v>
      </c>
      <c r="K183" s="317" t="str">
        <f aca="false">IF($A183="N/A"," ",IF(OR(Dayrun4=3,Dayrun4=10),VLOOKUP($A183,ScaledPrice4,9),0))</f>
        <v> </v>
      </c>
      <c r="L183" s="318" t="str">
        <f aca="false">IF($A183="N/A"," ",IF(Pricetype4=2,MAX(C183,0),IF(OR(Pricetype4=1,Pricetype4=4),IF(C183=0,0,(EURO(C183,Strikeprice4,0,0,($AH183+IF(Smile=TRUE(),VLOOKUP(MAX(-5,Strikeprice4-C183),Volsmile,2),0)),($A183-DateToday)+15,IF(Pricetype4=1,1,0),0))),C183)))</f>
        <v> </v>
      </c>
      <c r="M183" s="318" t="str">
        <f aca="false">IF($A183="N/A"," ",IF(Pricetype4=2,MAX(D183,0),IF(OR(Pricetype4=1,Pricetype4=4),IF(D183=0,0,(EURO(D183,Strikeprice4,0,0,($AH183+IF(Smile=TRUE(),VLOOKUP(MAX(-5,Strikeprice4-D183),Volsmile,2),0)),($A183-DateToday)+15,IF(Pricetype4=1,1,0),0))),D183)))</f>
        <v> </v>
      </c>
      <c r="N183" s="318" t="str">
        <f aca="false">IF($A183="N/A"," ",IF(Pricetype4=2,MAX(E183,0),IF(OR(Pricetype4=1,Pricetype4=4),IF(E183=0,0,(EURO(E183,Strikeprice4,0,0,($AK183+IF(Smile=TRUE(),VLOOKUP(MAX(-5,Strikeprice4-E183),Volsmile,2),0)),($A183-DateToday)+15,IF(Pricetype4=1,1,0),0))),E183)))</f>
        <v> </v>
      </c>
      <c r="O183" s="318" t="str">
        <f aca="false">IF($A183="N/A"," ",IF(Pricetype4=2,MAX(F183,0),IF(OR(Pricetype4=1,Pricetype4=4),IF(F183=0,0,(EURO(F183,Strikeprice4,0,0,($AK183+IF(Smile=TRUE(),VLOOKUP(MAX(-5,Strikeprice4-F183),Volsmile,2),0)),($A183-DateToday)+15,IF(Pricetype4=1,1,0),0))),F183)))</f>
        <v> </v>
      </c>
      <c r="P183" s="318" t="str">
        <f aca="false">IF($A183="N/A"," ",IF(Pricetype4=2,MAX(G183,0),IF(OR(Pricetype4=1,Pricetype4=4),IF(G183=0,0,(EURO(G183,Strikeprice4,0,0,($AK183+IF(Smile=TRUE(),VLOOKUP(MAX(-5,Strikeprice4-G183),Volsmile,2),0)),($A183-DateToday)+15,IF(Pricetype4=1,1,0),0))),G183)))</f>
        <v> </v>
      </c>
      <c r="Q183" s="318" t="str">
        <f aca="false">IF($A183="N/A"," ",IF(Pricetype4=2,MAX(H183,0),IF(OR(Pricetype4=1,Pricetype4=4),IF(H183=0,0,(EURO(H183,Strikeprice4,0,0,($AK183+IF(Smile=TRUE(),VLOOKUP(MAX(-5,Strikeprice4-H183),Volsmile,2),0)),($A183-DateToday)+15,IF(Pricetype4=1,1,0),0))),H183)))</f>
        <v> </v>
      </c>
      <c r="R183" s="318" t="str">
        <f aca="false">IF($A183="N/A"," ",IF(Pricetype4=2,MAX(I183,0),IF(OR(Pricetype4=1,Pricetype4=4),IF(I183=0,0,(EURO(I183,Strikeprice4,0,0,($AK183+IF(Smile=TRUE(),VLOOKUP(MAX(-5,Strikeprice4-I183),Volsmile,2),0)),($A183-DateToday)+15,IF(Pricetype4=1,1,0),0))),I183)))</f>
        <v> </v>
      </c>
      <c r="S183" s="318" t="str">
        <f aca="false">IF($A183="N/A"," ",IF(Pricetype4=2,MAX(J183,0),IF(OR(Pricetype4=1,Pricetype4=4),IF(J183=0,0,(EURO(J183,Strikeprice4,0,0,($AK183+IF(Smile=TRUE(),VLOOKUP(MAX(-5,Strikeprice4-J183),Volsmile,2),0)),($A183-DateToday)+15,IF(Pricetype4=1,1,0),0))),J183)))</f>
        <v> </v>
      </c>
      <c r="T183" s="318" t="str">
        <f aca="false">IF($A183="N/A"," ",IF(Pricetype4=2,MAX(K183,0),IF(OR(Pricetype4=1,Pricetype4=4),IF(K183=0,0,(EURO(K183,Strikeprice4,0,0,($AK183+IF(Smile=TRUE(),VLOOKUP(MAX(-5,Strikeprice4-K183),Volsmile,2),0)),($A183-DateToday)+15,IF(Pricetype4=1,1,0),0))),K183)))</f>
        <v> </v>
      </c>
      <c r="U183" s="319" t="str">
        <f aca="false">IF($A183="N/A"," ",Volume4*$AM183)</f>
        <v> </v>
      </c>
      <c r="V183" s="320" t="str">
        <f aca="false">IF($A183="N/A"," ",$U183*(8*($BQ183))*L183)</f>
        <v> </v>
      </c>
      <c r="W183" s="320" t="str">
        <f aca="false">IF($A183="N/A"," ",$U183*(8*($BQ183))*M183)</f>
        <v> </v>
      </c>
      <c r="X183" s="320" t="str">
        <f aca="false">IF($A183="N/A"," ",$U183*(8*($BQ183))*N183)</f>
        <v> </v>
      </c>
      <c r="Y183" s="320" t="str">
        <f aca="false">IF($A183="N/A"," ",$U183*(8*($BR183))*O183)</f>
        <v> </v>
      </c>
      <c r="Z183" s="320" t="str">
        <f aca="false">IF($A183="N/A"," ",$U183*(8*($BR183))*P183)</f>
        <v> </v>
      </c>
      <c r="AA183" s="320" t="str">
        <f aca="false">IF($A183="N/A"," ",$U183*(8*($BR183))*Q183)</f>
        <v> </v>
      </c>
      <c r="AB183" s="320" t="str">
        <f aca="false">IF($A183="N/A"," ",$U183*(8*($BS183))*R183)</f>
        <v> </v>
      </c>
      <c r="AC183" s="320" t="str">
        <f aca="false">IF($A183="N/A"," ",$U183*(8*($BS183))*S183)</f>
        <v> </v>
      </c>
      <c r="AD183" s="320" t="str">
        <f aca="false">IF($A183="N/A"," ",$U183*(8*($BS183))*T183)</f>
        <v> </v>
      </c>
      <c r="AE183" s="320" t="str">
        <f aca="false">IF($A183="N/A"," ",SUM(V183:AD183))</f>
        <v> </v>
      </c>
      <c r="AF183" s="321" t="str">
        <f aca="false">IF(A183="N/A"," ",(VLOOKUP(A183,PowerVolTable,(IF(VolBMO4=2,7,IF(VolBMO4=1,6,8))),FALSE())))</f>
        <v> </v>
      </c>
      <c r="AG183" s="321" t="str">
        <f aca="false">IF(A183="N/A"," ",(VLOOKUP(A183,IntraPowerVol,(IF(VolBMO4=2,3,IF(VolBMO4=1,2,4))),FALSE())*VLOOKUP(MONTH($A183),Volscale,2)))</f>
        <v> </v>
      </c>
      <c r="AH183" s="321" t="str">
        <f aca="false">IF($A183="N/A"," ",IF(VolType4=1,AG183,AF183))</f>
        <v> </v>
      </c>
      <c r="AI183" s="321" t="str">
        <f aca="false">IF($A183="N/A"," ",(VLOOKUP($A183,OffPwrVolTable,(IF(VolBMO4=2,7,IF(VolBMO4=1,6,8))),FALSE())))</f>
        <v> </v>
      </c>
      <c r="AJ183" s="321" t="str">
        <f aca="false">IF($A183="N/A"," ",(VLOOKUP($A183,OffPwrVolTable,(IF(VolBMO4=2,3,IF(VolBMO4=1,2,4))),FALSE())*VLOOKUP(MONTH($A183),Volscale,2)))</f>
        <v> </v>
      </c>
      <c r="AK183" s="321" t="str">
        <f aca="false">IF($A183="N/A"," ",IF(VolType4=1,AJ183,AI183))</f>
        <v> </v>
      </c>
      <c r="AL183" s="321" t="str">
        <f aca="false">IF($A183="N/A"," ",IF(PV=1,0,'Pricing Inputs4'!R216))</f>
        <v> </v>
      </c>
      <c r="AM183" s="323" t="str">
        <f aca="false">IF($A183="N/A"," ",(1+AL183/2)^(-2*((EOMONTH(A183,0)+20)-DateToday)/365.25))</f>
        <v> </v>
      </c>
      <c r="BQ183" s="0" t="str">
        <f aca="false">IF($A183="N/A"," ",(VLOOKUP($A183,NumberofDaysTable,2)))</f>
        <v> </v>
      </c>
      <c r="BR183" s="0" t="str">
        <f aca="false">IF($A183="N/A"," ",(VLOOKUP($A183,NumberofDaysTable,3)))</f>
        <v> </v>
      </c>
      <c r="BS183" s="0" t="str">
        <f aca="false">IF($A183="N/A"," ",(VLOOKUP($A183,NumberofDaysTable,4)))</f>
        <v> </v>
      </c>
    </row>
    <row r="184" customFormat="false" ht="12.75" hidden="false" customHeight="false" outlineLevel="0" collapsed="false">
      <c r="A184" s="315" t="str">
        <f aca="false">IF(A183="N/A","N/A",IF(EDATE(A183,1)&gt;Inputs!$R$5,"N/A",EDATE(A183,1)))</f>
        <v>N/A</v>
      </c>
      <c r="B184" s="316" t="str">
        <f aca="false">IF(A184="N/A"," ",YEAR(A184))</f>
        <v> </v>
      </c>
      <c r="C184" s="317" t="str">
        <f aca="false">IF($A184="N/A"," ",IF(Dayrun4=10,0,IF(Scaler4=1,(VLOOKUP(A184,ScaledPrice4,4)),(VLOOKUP(A184,ScaledPrice4,2)))))</f>
        <v> </v>
      </c>
      <c r="D184" s="317" t="str">
        <f aca="false">IF(A184="N/A"," ",IF(Dayrun4&gt;=7,0,IF(Scaler4=2,VLOOKUP(A184,ScaledPrice4,2),(VLOOKUP(A184,ScaledPrice4,2))*(2-(VLOOKUP(A184,ScaledPrice4,3))))))</f>
        <v> </v>
      </c>
      <c r="E184" s="317" t="str">
        <f aca="false">IF($A184="N/A"," ",IF(AND(Dayrun4&gt;=4,Dayrun4&lt;=9),0,VLOOKUP($A184,ScaledPrice4,9)))</f>
        <v> </v>
      </c>
      <c r="F184" s="317" t="str">
        <f aca="false">IF(A184="N/A"," ",IF(OR(Dayrun4=2,Dayrun4=3,Dayrun4=5,Dayrun4=6,Dayrun4=8,Dayrun4=9),VLOOKUP(A184,ScaledPrice4,IF(Scaler4=1,6,5)),0))</f>
        <v> </v>
      </c>
      <c r="G184" s="317" t="str">
        <f aca="false">IF(A184="N/A"," ",IF(OR(Dayrun4=2,Dayrun4=3,Dayrun4=5,Dayrun4=6),IF(Scaler4=2,F184,(VLOOKUP(A184,ScaledPrice4,5))*(2-(VLOOKUP(A184,ScaledPrice4,3)))),0))</f>
        <v> </v>
      </c>
      <c r="H184" s="317" t="str">
        <f aca="false">IF($A184="N/A"," ",IF(OR(Dayrun4=2,Dayrun4=3,Dayrun4=10),VLOOKUP($A184,ScaledPrice4,9),0))</f>
        <v> </v>
      </c>
      <c r="I184" s="317" t="str">
        <f aca="false">IF(A184="N/A"," ",IF(OR(Dayrun4=3,Dayrun4=6,Dayrun4=9),(VLOOKUP(A184,ScaledPrice4,IF(Scaler4=2,7,8))),0))</f>
        <v> </v>
      </c>
      <c r="J184" s="317" t="str">
        <f aca="false">IF(A184="N/A"," ",IF(OR(Dayrun4=3,Dayrun4=6),IF(Scaler4=2,I184,(VLOOKUP(A184,ScaledPrice4,7))*(2-(VLOOKUP(A184,ScaledPrice4,3)))),0))</f>
        <v> </v>
      </c>
      <c r="K184" s="317" t="str">
        <f aca="false">IF($A184="N/A"," ",IF(OR(Dayrun4=3,Dayrun4=10),VLOOKUP($A184,ScaledPrice4,9),0))</f>
        <v> </v>
      </c>
      <c r="L184" s="318" t="str">
        <f aca="false">IF($A184="N/A"," ",IF(Pricetype4=2,MAX(C184,0),IF(OR(Pricetype4=1,Pricetype4=4),IF(C184=0,0,(EURO(C184,Strikeprice4,0,0,($AH184+IF(Smile=TRUE(),VLOOKUP(MAX(-5,Strikeprice4-C184),Volsmile,2),0)),($A184-DateToday)+15,IF(Pricetype4=1,1,0),0))),C184)))</f>
        <v> </v>
      </c>
      <c r="M184" s="318" t="str">
        <f aca="false">IF($A184="N/A"," ",IF(Pricetype4=2,MAX(D184,0),IF(OR(Pricetype4=1,Pricetype4=4),IF(D184=0,0,(EURO(D184,Strikeprice4,0,0,($AH184+IF(Smile=TRUE(),VLOOKUP(MAX(-5,Strikeprice4-D184),Volsmile,2),0)),($A184-DateToday)+15,IF(Pricetype4=1,1,0),0))),D184)))</f>
        <v> </v>
      </c>
      <c r="N184" s="318" t="str">
        <f aca="false">IF($A184="N/A"," ",IF(Pricetype4=2,MAX(E184,0),IF(OR(Pricetype4=1,Pricetype4=4),IF(E184=0,0,(EURO(E184,Strikeprice4,0,0,($AK184+IF(Smile=TRUE(),VLOOKUP(MAX(-5,Strikeprice4-E184),Volsmile,2),0)),($A184-DateToday)+15,IF(Pricetype4=1,1,0),0))),E184)))</f>
        <v> </v>
      </c>
      <c r="O184" s="318" t="str">
        <f aca="false">IF($A184="N/A"," ",IF(Pricetype4=2,MAX(F184,0),IF(OR(Pricetype4=1,Pricetype4=4),IF(F184=0,0,(EURO(F184,Strikeprice4,0,0,($AK184+IF(Smile=TRUE(),VLOOKUP(MAX(-5,Strikeprice4-F184),Volsmile,2),0)),($A184-DateToday)+15,IF(Pricetype4=1,1,0),0))),F184)))</f>
        <v> </v>
      </c>
      <c r="P184" s="318" t="str">
        <f aca="false">IF($A184="N/A"," ",IF(Pricetype4=2,MAX(G184,0),IF(OR(Pricetype4=1,Pricetype4=4),IF(G184=0,0,(EURO(G184,Strikeprice4,0,0,($AK184+IF(Smile=TRUE(),VLOOKUP(MAX(-5,Strikeprice4-G184),Volsmile,2),0)),($A184-DateToday)+15,IF(Pricetype4=1,1,0),0))),G184)))</f>
        <v> </v>
      </c>
      <c r="Q184" s="318" t="str">
        <f aca="false">IF($A184="N/A"," ",IF(Pricetype4=2,MAX(H184,0),IF(OR(Pricetype4=1,Pricetype4=4),IF(H184=0,0,(EURO(H184,Strikeprice4,0,0,($AK184+IF(Smile=TRUE(),VLOOKUP(MAX(-5,Strikeprice4-H184),Volsmile,2),0)),($A184-DateToday)+15,IF(Pricetype4=1,1,0),0))),H184)))</f>
        <v> </v>
      </c>
      <c r="R184" s="318" t="str">
        <f aca="false">IF($A184="N/A"," ",IF(Pricetype4=2,MAX(I184,0),IF(OR(Pricetype4=1,Pricetype4=4),IF(I184=0,0,(EURO(I184,Strikeprice4,0,0,($AK184+IF(Smile=TRUE(),VLOOKUP(MAX(-5,Strikeprice4-I184),Volsmile,2),0)),($A184-DateToday)+15,IF(Pricetype4=1,1,0),0))),I184)))</f>
        <v> </v>
      </c>
      <c r="S184" s="318" t="str">
        <f aca="false">IF($A184="N/A"," ",IF(Pricetype4=2,MAX(J184,0),IF(OR(Pricetype4=1,Pricetype4=4),IF(J184=0,0,(EURO(J184,Strikeprice4,0,0,($AK184+IF(Smile=TRUE(),VLOOKUP(MAX(-5,Strikeprice4-J184),Volsmile,2),0)),($A184-DateToday)+15,IF(Pricetype4=1,1,0),0))),J184)))</f>
        <v> </v>
      </c>
      <c r="T184" s="318" t="str">
        <f aca="false">IF($A184="N/A"," ",IF(Pricetype4=2,MAX(K184,0),IF(OR(Pricetype4=1,Pricetype4=4),IF(K184=0,0,(EURO(K184,Strikeprice4,0,0,($AK184+IF(Smile=TRUE(),VLOOKUP(MAX(-5,Strikeprice4-K184),Volsmile,2),0)),($A184-DateToday)+15,IF(Pricetype4=1,1,0),0))),K184)))</f>
        <v> </v>
      </c>
      <c r="U184" s="319" t="str">
        <f aca="false">IF($A184="N/A"," ",Volume4*$AM184)</f>
        <v> </v>
      </c>
      <c r="V184" s="320" t="str">
        <f aca="false">IF($A184="N/A"," ",$U184*(8*($BQ184))*L184)</f>
        <v> </v>
      </c>
      <c r="W184" s="320" t="str">
        <f aca="false">IF($A184="N/A"," ",$U184*(8*($BQ184))*M184)</f>
        <v> </v>
      </c>
      <c r="X184" s="320" t="str">
        <f aca="false">IF($A184="N/A"," ",$U184*(8*($BQ184))*N184)</f>
        <v> </v>
      </c>
      <c r="Y184" s="320" t="str">
        <f aca="false">IF($A184="N/A"," ",$U184*(8*($BR184))*O184)</f>
        <v> </v>
      </c>
      <c r="Z184" s="320" t="str">
        <f aca="false">IF($A184="N/A"," ",$U184*(8*($BR184))*P184)</f>
        <v> </v>
      </c>
      <c r="AA184" s="320" t="str">
        <f aca="false">IF($A184="N/A"," ",$U184*(8*($BR184))*Q184)</f>
        <v> </v>
      </c>
      <c r="AB184" s="320" t="str">
        <f aca="false">IF($A184="N/A"," ",$U184*(8*($BS184))*R184)</f>
        <v> </v>
      </c>
      <c r="AC184" s="320" t="str">
        <f aca="false">IF($A184="N/A"," ",$U184*(8*($BS184))*S184)</f>
        <v> </v>
      </c>
      <c r="AD184" s="320" t="str">
        <f aca="false">IF($A184="N/A"," ",$U184*(8*($BS184))*T184)</f>
        <v> </v>
      </c>
      <c r="AE184" s="320" t="str">
        <f aca="false">IF($A184="N/A"," ",SUM(V184:AD184))</f>
        <v> </v>
      </c>
      <c r="AF184" s="321" t="str">
        <f aca="false">IF(A184="N/A"," ",(VLOOKUP(A184,PowerVolTable,(IF(VolBMO4=2,7,IF(VolBMO4=1,6,8))),FALSE())))</f>
        <v> </v>
      </c>
      <c r="AG184" s="321" t="str">
        <f aca="false">IF(A184="N/A"," ",(VLOOKUP(A184,IntraPowerVol,(IF(VolBMO4=2,3,IF(VolBMO4=1,2,4))),FALSE())*VLOOKUP(MONTH($A184),Volscale,2)))</f>
        <v> </v>
      </c>
      <c r="AH184" s="321" t="str">
        <f aca="false">IF($A184="N/A"," ",IF(VolType4=1,AG184,AF184))</f>
        <v> </v>
      </c>
      <c r="AI184" s="321" t="str">
        <f aca="false">IF($A184="N/A"," ",(VLOOKUP($A184,OffPwrVolTable,(IF(VolBMO4=2,7,IF(VolBMO4=1,6,8))),FALSE())))</f>
        <v> </v>
      </c>
      <c r="AJ184" s="321" t="str">
        <f aca="false">IF($A184="N/A"," ",(VLOOKUP($A184,OffPwrVolTable,(IF(VolBMO4=2,3,IF(VolBMO4=1,2,4))),FALSE())*VLOOKUP(MONTH($A184),Volscale,2)))</f>
        <v> </v>
      </c>
      <c r="AK184" s="321" t="str">
        <f aca="false">IF($A184="N/A"," ",IF(VolType4=1,AJ184,AI184))</f>
        <v> </v>
      </c>
      <c r="AL184" s="321" t="str">
        <f aca="false">IF($A184="N/A"," ",IF(PV=1,0,'Pricing Inputs4'!R217))</f>
        <v> </v>
      </c>
      <c r="AM184" s="323" t="str">
        <f aca="false">IF($A184="N/A"," ",(1+AL184/2)^(-2*((EOMONTH(A184,0)+20)-DateToday)/365.25))</f>
        <v> </v>
      </c>
      <c r="BQ184" s="0" t="str">
        <f aca="false">IF($A184="N/A"," ",(VLOOKUP($A184,NumberofDaysTable,2)))</f>
        <v> </v>
      </c>
      <c r="BR184" s="0" t="str">
        <f aca="false">IF($A184="N/A"," ",(VLOOKUP($A184,NumberofDaysTable,3)))</f>
        <v> </v>
      </c>
      <c r="BS184" s="0" t="str">
        <f aca="false">IF($A184="N/A"," ",(VLOOKUP($A184,NumberofDaysTable,4)))</f>
        <v> </v>
      </c>
    </row>
    <row r="185" customFormat="false" ht="12.75" hidden="false" customHeight="false" outlineLevel="0" collapsed="false">
      <c r="A185" s="315" t="str">
        <f aca="false">IF(A184="N/A","N/A",IF(EDATE(A184,1)&gt;Inputs!$R$5,"N/A",EDATE(A184,1)))</f>
        <v>N/A</v>
      </c>
      <c r="B185" s="316" t="str">
        <f aca="false">IF(A185="N/A"," ",YEAR(A185))</f>
        <v> </v>
      </c>
      <c r="C185" s="317" t="str">
        <f aca="false">IF($A185="N/A"," ",IF(Dayrun4=10,0,IF(Scaler4=1,(VLOOKUP(A185,ScaledPrice4,4)),(VLOOKUP(A185,ScaledPrice4,2)))))</f>
        <v> </v>
      </c>
      <c r="D185" s="317" t="str">
        <f aca="false">IF(A185="N/A"," ",IF(Dayrun4&gt;=7,0,IF(Scaler4=2,VLOOKUP(A185,ScaledPrice4,2),(VLOOKUP(A185,ScaledPrice4,2))*(2-(VLOOKUP(A185,ScaledPrice4,3))))))</f>
        <v> </v>
      </c>
      <c r="E185" s="317" t="str">
        <f aca="false">IF($A185="N/A"," ",IF(AND(Dayrun4&gt;=4,Dayrun4&lt;=9),0,VLOOKUP($A185,ScaledPrice4,9)))</f>
        <v> </v>
      </c>
      <c r="F185" s="317" t="str">
        <f aca="false">IF(A185="N/A"," ",IF(OR(Dayrun4=2,Dayrun4=3,Dayrun4=5,Dayrun4=6,Dayrun4=8,Dayrun4=9),VLOOKUP(A185,ScaledPrice4,IF(Scaler4=1,6,5)),0))</f>
        <v> </v>
      </c>
      <c r="G185" s="317" t="str">
        <f aca="false">IF(A185="N/A"," ",IF(OR(Dayrun4=2,Dayrun4=3,Dayrun4=5,Dayrun4=6),IF(Scaler4=2,F185,(VLOOKUP(A185,ScaledPrice4,5))*(2-(VLOOKUP(A185,ScaledPrice4,3)))),0))</f>
        <v> </v>
      </c>
      <c r="H185" s="317" t="str">
        <f aca="false">IF($A185="N/A"," ",IF(OR(Dayrun4=2,Dayrun4=3,Dayrun4=10),VLOOKUP($A185,ScaledPrice4,9),0))</f>
        <v> </v>
      </c>
      <c r="I185" s="317" t="str">
        <f aca="false">IF(A185="N/A"," ",IF(OR(Dayrun4=3,Dayrun4=6,Dayrun4=9),(VLOOKUP(A185,ScaledPrice4,IF(Scaler4=2,7,8))),0))</f>
        <v> </v>
      </c>
      <c r="J185" s="317" t="str">
        <f aca="false">IF(A185="N/A"," ",IF(OR(Dayrun4=3,Dayrun4=6),IF(Scaler4=2,I185,(VLOOKUP(A185,ScaledPrice4,7))*(2-(VLOOKUP(A185,ScaledPrice4,3)))),0))</f>
        <v> </v>
      </c>
      <c r="K185" s="317" t="str">
        <f aca="false">IF($A185="N/A"," ",IF(OR(Dayrun4=3,Dayrun4=10),VLOOKUP($A185,ScaledPrice4,9),0))</f>
        <v> </v>
      </c>
      <c r="L185" s="318" t="str">
        <f aca="false">IF($A185="N/A"," ",IF(Pricetype4=2,MAX(C185,0),IF(OR(Pricetype4=1,Pricetype4=4),IF(C185=0,0,(EURO(C185,Strikeprice4,0,0,($AH185+IF(Smile=TRUE(),VLOOKUP(MAX(-5,Strikeprice4-C185),Volsmile,2),0)),($A185-DateToday)+15,IF(Pricetype4=1,1,0),0))),C185)))</f>
        <v> </v>
      </c>
      <c r="M185" s="318" t="str">
        <f aca="false">IF($A185="N/A"," ",IF(Pricetype4=2,MAX(D185,0),IF(OR(Pricetype4=1,Pricetype4=4),IF(D185=0,0,(EURO(D185,Strikeprice4,0,0,($AH185+IF(Smile=TRUE(),VLOOKUP(MAX(-5,Strikeprice4-D185),Volsmile,2),0)),($A185-DateToday)+15,IF(Pricetype4=1,1,0),0))),D185)))</f>
        <v> </v>
      </c>
      <c r="N185" s="318" t="str">
        <f aca="false">IF($A185="N/A"," ",IF(Pricetype4=2,MAX(E185,0),IF(OR(Pricetype4=1,Pricetype4=4),IF(E185=0,0,(EURO(E185,Strikeprice4,0,0,($AK185+IF(Smile=TRUE(),VLOOKUP(MAX(-5,Strikeprice4-E185),Volsmile,2),0)),($A185-DateToday)+15,IF(Pricetype4=1,1,0),0))),E185)))</f>
        <v> </v>
      </c>
      <c r="O185" s="318" t="str">
        <f aca="false">IF($A185="N/A"," ",IF(Pricetype4=2,MAX(F185,0),IF(OR(Pricetype4=1,Pricetype4=4),IF(F185=0,0,(EURO(F185,Strikeprice4,0,0,($AK185+IF(Smile=TRUE(),VLOOKUP(MAX(-5,Strikeprice4-F185),Volsmile,2),0)),($A185-DateToday)+15,IF(Pricetype4=1,1,0),0))),F185)))</f>
        <v> </v>
      </c>
      <c r="P185" s="318" t="str">
        <f aca="false">IF($A185="N/A"," ",IF(Pricetype4=2,MAX(G185,0),IF(OR(Pricetype4=1,Pricetype4=4),IF(G185=0,0,(EURO(G185,Strikeprice4,0,0,($AK185+IF(Smile=TRUE(),VLOOKUP(MAX(-5,Strikeprice4-G185),Volsmile,2),0)),($A185-DateToday)+15,IF(Pricetype4=1,1,0),0))),G185)))</f>
        <v> </v>
      </c>
      <c r="Q185" s="318" t="str">
        <f aca="false">IF($A185="N/A"," ",IF(Pricetype4=2,MAX(H185,0),IF(OR(Pricetype4=1,Pricetype4=4),IF(H185=0,0,(EURO(H185,Strikeprice4,0,0,($AK185+IF(Smile=TRUE(),VLOOKUP(MAX(-5,Strikeprice4-H185),Volsmile,2),0)),($A185-DateToday)+15,IF(Pricetype4=1,1,0),0))),H185)))</f>
        <v> </v>
      </c>
      <c r="R185" s="318" t="str">
        <f aca="false">IF($A185="N/A"," ",IF(Pricetype4=2,MAX(I185,0),IF(OR(Pricetype4=1,Pricetype4=4),IF(I185=0,0,(EURO(I185,Strikeprice4,0,0,($AK185+IF(Smile=TRUE(),VLOOKUP(MAX(-5,Strikeprice4-I185),Volsmile,2),0)),($A185-DateToday)+15,IF(Pricetype4=1,1,0),0))),I185)))</f>
        <v> </v>
      </c>
      <c r="S185" s="318" t="str">
        <f aca="false">IF($A185="N/A"," ",IF(Pricetype4=2,MAX(J185,0),IF(OR(Pricetype4=1,Pricetype4=4),IF(J185=0,0,(EURO(J185,Strikeprice4,0,0,($AK185+IF(Smile=TRUE(),VLOOKUP(MAX(-5,Strikeprice4-J185),Volsmile,2),0)),($A185-DateToday)+15,IF(Pricetype4=1,1,0),0))),J185)))</f>
        <v> </v>
      </c>
      <c r="T185" s="318" t="str">
        <f aca="false">IF($A185="N/A"," ",IF(Pricetype4=2,MAX(K185,0),IF(OR(Pricetype4=1,Pricetype4=4),IF(K185=0,0,(EURO(K185,Strikeprice4,0,0,($AK185+IF(Smile=TRUE(),VLOOKUP(MAX(-5,Strikeprice4-K185),Volsmile,2),0)),($A185-DateToday)+15,IF(Pricetype4=1,1,0),0))),K185)))</f>
        <v> </v>
      </c>
      <c r="U185" s="319" t="str">
        <f aca="false">IF($A185="N/A"," ",Volume4*$AM185)</f>
        <v> </v>
      </c>
      <c r="V185" s="320" t="str">
        <f aca="false">IF($A185="N/A"," ",$U185*(8*($BQ185))*L185)</f>
        <v> </v>
      </c>
      <c r="W185" s="320" t="str">
        <f aca="false">IF($A185="N/A"," ",$U185*(8*($BQ185))*M185)</f>
        <v> </v>
      </c>
      <c r="X185" s="320" t="str">
        <f aca="false">IF($A185="N/A"," ",$U185*(8*($BQ185))*N185)</f>
        <v> </v>
      </c>
      <c r="Y185" s="320" t="str">
        <f aca="false">IF($A185="N/A"," ",$U185*(8*($BR185))*O185)</f>
        <v> </v>
      </c>
      <c r="Z185" s="320" t="str">
        <f aca="false">IF($A185="N/A"," ",$U185*(8*($BR185))*P185)</f>
        <v> </v>
      </c>
      <c r="AA185" s="320" t="str">
        <f aca="false">IF($A185="N/A"," ",$U185*(8*($BR185))*Q185)</f>
        <v> </v>
      </c>
      <c r="AB185" s="320" t="str">
        <f aca="false">IF($A185="N/A"," ",$U185*(8*($BS185))*R185)</f>
        <v> </v>
      </c>
      <c r="AC185" s="320" t="str">
        <f aca="false">IF($A185="N/A"," ",$U185*(8*($BS185))*S185)</f>
        <v> </v>
      </c>
      <c r="AD185" s="320" t="str">
        <f aca="false">IF($A185="N/A"," ",$U185*(8*($BS185))*T185)</f>
        <v> </v>
      </c>
      <c r="AE185" s="320" t="str">
        <f aca="false">IF($A185="N/A"," ",SUM(V185:AD185))</f>
        <v> </v>
      </c>
      <c r="AF185" s="321" t="str">
        <f aca="false">IF(A185="N/A"," ",(VLOOKUP(A185,PowerVolTable,(IF(VolBMO4=2,7,IF(VolBMO4=1,6,8))),FALSE())))</f>
        <v> </v>
      </c>
      <c r="AG185" s="321" t="str">
        <f aca="false">IF(A185="N/A"," ",(VLOOKUP(A185,IntraPowerVol,(IF(VolBMO4=2,3,IF(VolBMO4=1,2,4))),FALSE())*VLOOKUP(MONTH($A185),Volscale,2)))</f>
        <v> </v>
      </c>
      <c r="AH185" s="321" t="str">
        <f aca="false">IF($A185="N/A"," ",IF(VolType4=1,AG185,AF185))</f>
        <v> </v>
      </c>
      <c r="AI185" s="321" t="str">
        <f aca="false">IF($A185="N/A"," ",(VLOOKUP($A185,OffPwrVolTable,(IF(VolBMO4=2,7,IF(VolBMO4=1,6,8))),FALSE())))</f>
        <v> </v>
      </c>
      <c r="AJ185" s="321" t="str">
        <f aca="false">IF($A185="N/A"," ",(VLOOKUP($A185,OffPwrVolTable,(IF(VolBMO4=2,3,IF(VolBMO4=1,2,4))),FALSE())*VLOOKUP(MONTH($A185),Volscale,2)))</f>
        <v> </v>
      </c>
      <c r="AK185" s="321" t="str">
        <f aca="false">IF($A185="N/A"," ",IF(VolType4=1,AJ185,AI185))</f>
        <v> </v>
      </c>
      <c r="AL185" s="321" t="str">
        <f aca="false">IF($A185="N/A"," ",IF(PV=1,0,'Pricing Inputs4'!R218))</f>
        <v> </v>
      </c>
      <c r="AM185" s="323" t="str">
        <f aca="false">IF($A185="N/A"," ",(1+AL185/2)^(-2*((EOMONTH(A185,0)+20)-DateToday)/365.25))</f>
        <v> </v>
      </c>
      <c r="BQ185" s="0" t="str">
        <f aca="false">IF($A185="N/A"," ",(VLOOKUP($A185,NumberofDaysTable,2)))</f>
        <v> </v>
      </c>
      <c r="BR185" s="0" t="str">
        <f aca="false">IF($A185="N/A"," ",(VLOOKUP($A185,NumberofDaysTable,3)))</f>
        <v> </v>
      </c>
      <c r="BS185" s="0" t="str">
        <f aca="false">IF($A185="N/A"," ",(VLOOKUP($A185,NumberofDaysTable,4)))</f>
        <v> </v>
      </c>
    </row>
    <row r="186" customFormat="false" ht="12.75" hidden="false" customHeight="false" outlineLevel="0" collapsed="false">
      <c r="A186" s="315" t="str">
        <f aca="false">IF(A185="N/A","N/A",IF(EDATE(A185,1)&gt;Inputs!$R$5,"N/A",EDATE(A185,1)))</f>
        <v>N/A</v>
      </c>
      <c r="B186" s="316" t="str">
        <f aca="false">IF(A186="N/A"," ",YEAR(A186))</f>
        <v> </v>
      </c>
      <c r="C186" s="317" t="str">
        <f aca="false">IF($A186="N/A"," ",IF(Dayrun4=10,0,IF(Scaler4=1,(VLOOKUP(A186,ScaledPrice4,4)),(VLOOKUP(A186,ScaledPrice4,2)))))</f>
        <v> </v>
      </c>
      <c r="D186" s="317" t="str">
        <f aca="false">IF(A186="N/A"," ",IF(Dayrun4&gt;=7,0,IF(Scaler4=2,VLOOKUP(A186,ScaledPrice4,2),(VLOOKUP(A186,ScaledPrice4,2))*(2-(VLOOKUP(A186,ScaledPrice4,3))))))</f>
        <v> </v>
      </c>
      <c r="E186" s="317" t="str">
        <f aca="false">IF($A186="N/A"," ",IF(AND(Dayrun4&gt;=4,Dayrun4&lt;=9),0,VLOOKUP($A186,ScaledPrice4,9)))</f>
        <v> </v>
      </c>
      <c r="F186" s="317" t="str">
        <f aca="false">IF(A186="N/A"," ",IF(OR(Dayrun4=2,Dayrun4=3,Dayrun4=5,Dayrun4=6,Dayrun4=8,Dayrun4=9),VLOOKUP(A186,ScaledPrice4,IF(Scaler4=1,6,5)),0))</f>
        <v> </v>
      </c>
      <c r="G186" s="317" t="str">
        <f aca="false">IF(A186="N/A"," ",IF(OR(Dayrun4=2,Dayrun4=3,Dayrun4=5,Dayrun4=6),IF(Scaler4=2,F186,(VLOOKUP(A186,ScaledPrice4,5))*(2-(VLOOKUP(A186,ScaledPrice4,3)))),0))</f>
        <v> </v>
      </c>
      <c r="H186" s="317" t="str">
        <f aca="false">IF($A186="N/A"," ",IF(OR(Dayrun4=2,Dayrun4=3,Dayrun4=10),VLOOKUP($A186,ScaledPrice4,9),0))</f>
        <v> </v>
      </c>
      <c r="I186" s="317" t="str">
        <f aca="false">IF(A186="N/A"," ",IF(OR(Dayrun4=3,Dayrun4=6,Dayrun4=9),(VLOOKUP(A186,ScaledPrice4,IF(Scaler4=2,7,8))),0))</f>
        <v> </v>
      </c>
      <c r="J186" s="317" t="str">
        <f aca="false">IF(A186="N/A"," ",IF(OR(Dayrun4=3,Dayrun4=6),IF(Scaler4=2,I186,(VLOOKUP(A186,ScaledPrice4,7))*(2-(VLOOKUP(A186,ScaledPrice4,3)))),0))</f>
        <v> </v>
      </c>
      <c r="K186" s="317" t="str">
        <f aca="false">IF($A186="N/A"," ",IF(OR(Dayrun4=3,Dayrun4=10),VLOOKUP($A186,ScaledPrice4,9),0))</f>
        <v> </v>
      </c>
      <c r="L186" s="318" t="str">
        <f aca="false">IF($A186="N/A"," ",IF(Pricetype4=2,MAX(C186,0),IF(OR(Pricetype4=1,Pricetype4=4),IF(C186=0,0,(EURO(C186,Strikeprice4,0,0,($AH186+IF(Smile=TRUE(),VLOOKUP(MAX(-5,Strikeprice4-C186),Volsmile,2),0)),($A186-DateToday)+15,IF(Pricetype4=1,1,0),0))),C186)))</f>
        <v> </v>
      </c>
      <c r="M186" s="318" t="str">
        <f aca="false">IF($A186="N/A"," ",IF(Pricetype4=2,MAX(D186,0),IF(OR(Pricetype4=1,Pricetype4=4),IF(D186=0,0,(EURO(D186,Strikeprice4,0,0,($AH186+IF(Smile=TRUE(),VLOOKUP(MAX(-5,Strikeprice4-D186),Volsmile,2),0)),($A186-DateToday)+15,IF(Pricetype4=1,1,0),0))),D186)))</f>
        <v> </v>
      </c>
      <c r="N186" s="318" t="str">
        <f aca="false">IF($A186="N/A"," ",IF(Pricetype4=2,MAX(E186,0),IF(OR(Pricetype4=1,Pricetype4=4),IF(E186=0,0,(EURO(E186,Strikeprice4,0,0,($AK186+IF(Smile=TRUE(),VLOOKUP(MAX(-5,Strikeprice4-E186),Volsmile,2),0)),($A186-DateToday)+15,IF(Pricetype4=1,1,0),0))),E186)))</f>
        <v> </v>
      </c>
      <c r="O186" s="318" t="str">
        <f aca="false">IF($A186="N/A"," ",IF(Pricetype4=2,MAX(F186,0),IF(OR(Pricetype4=1,Pricetype4=4),IF(F186=0,0,(EURO(F186,Strikeprice4,0,0,($AK186+IF(Smile=TRUE(),VLOOKUP(MAX(-5,Strikeprice4-F186),Volsmile,2),0)),($A186-DateToday)+15,IF(Pricetype4=1,1,0),0))),F186)))</f>
        <v> </v>
      </c>
      <c r="P186" s="318" t="str">
        <f aca="false">IF($A186="N/A"," ",IF(Pricetype4=2,MAX(G186,0),IF(OR(Pricetype4=1,Pricetype4=4),IF(G186=0,0,(EURO(G186,Strikeprice4,0,0,($AK186+IF(Smile=TRUE(),VLOOKUP(MAX(-5,Strikeprice4-G186),Volsmile,2),0)),($A186-DateToday)+15,IF(Pricetype4=1,1,0),0))),G186)))</f>
        <v> </v>
      </c>
      <c r="Q186" s="318" t="str">
        <f aca="false">IF($A186="N/A"," ",IF(Pricetype4=2,MAX(H186,0),IF(OR(Pricetype4=1,Pricetype4=4),IF(H186=0,0,(EURO(H186,Strikeprice4,0,0,($AK186+IF(Smile=TRUE(),VLOOKUP(MAX(-5,Strikeprice4-H186),Volsmile,2),0)),($A186-DateToday)+15,IF(Pricetype4=1,1,0),0))),H186)))</f>
        <v> </v>
      </c>
      <c r="R186" s="318" t="str">
        <f aca="false">IF($A186="N/A"," ",IF(Pricetype4=2,MAX(I186,0),IF(OR(Pricetype4=1,Pricetype4=4),IF(I186=0,0,(EURO(I186,Strikeprice4,0,0,($AK186+IF(Smile=TRUE(),VLOOKUP(MAX(-5,Strikeprice4-I186),Volsmile,2),0)),($A186-DateToday)+15,IF(Pricetype4=1,1,0),0))),I186)))</f>
        <v> </v>
      </c>
      <c r="S186" s="318" t="str">
        <f aca="false">IF($A186="N/A"," ",IF(Pricetype4=2,MAX(J186,0),IF(OR(Pricetype4=1,Pricetype4=4),IF(J186=0,0,(EURO(J186,Strikeprice4,0,0,($AK186+IF(Smile=TRUE(),VLOOKUP(MAX(-5,Strikeprice4-J186),Volsmile,2),0)),($A186-DateToday)+15,IF(Pricetype4=1,1,0),0))),J186)))</f>
        <v> </v>
      </c>
      <c r="T186" s="318" t="str">
        <f aca="false">IF($A186="N/A"," ",IF(Pricetype4=2,MAX(K186,0),IF(OR(Pricetype4=1,Pricetype4=4),IF(K186=0,0,(EURO(K186,Strikeprice4,0,0,($AK186+IF(Smile=TRUE(),VLOOKUP(MAX(-5,Strikeprice4-K186),Volsmile,2),0)),($A186-DateToday)+15,IF(Pricetype4=1,1,0),0))),K186)))</f>
        <v> </v>
      </c>
      <c r="U186" s="319" t="str">
        <f aca="false">IF($A186="N/A"," ",Volume4*$AM186)</f>
        <v> </v>
      </c>
      <c r="V186" s="320" t="str">
        <f aca="false">IF($A186="N/A"," ",$U186*(8*($BQ186))*L186)</f>
        <v> </v>
      </c>
      <c r="W186" s="320" t="str">
        <f aca="false">IF($A186="N/A"," ",$U186*(8*($BQ186))*M186)</f>
        <v> </v>
      </c>
      <c r="X186" s="320" t="str">
        <f aca="false">IF($A186="N/A"," ",$U186*(8*($BQ186))*N186)</f>
        <v> </v>
      </c>
      <c r="Y186" s="320" t="str">
        <f aca="false">IF($A186="N/A"," ",$U186*(8*($BR186))*O186)</f>
        <v> </v>
      </c>
      <c r="Z186" s="320" t="str">
        <f aca="false">IF($A186="N/A"," ",$U186*(8*($BR186))*P186)</f>
        <v> </v>
      </c>
      <c r="AA186" s="320" t="str">
        <f aca="false">IF($A186="N/A"," ",$U186*(8*($BR186))*Q186)</f>
        <v> </v>
      </c>
      <c r="AB186" s="320" t="str">
        <f aca="false">IF($A186="N/A"," ",$U186*(8*($BS186))*R186)</f>
        <v> </v>
      </c>
      <c r="AC186" s="320" t="str">
        <f aca="false">IF($A186="N/A"," ",$U186*(8*($BS186))*S186)</f>
        <v> </v>
      </c>
      <c r="AD186" s="320" t="str">
        <f aca="false">IF($A186="N/A"," ",$U186*(8*($BS186))*T186)</f>
        <v> </v>
      </c>
      <c r="AE186" s="320" t="str">
        <f aca="false">IF($A186="N/A"," ",SUM(V186:AD186))</f>
        <v> </v>
      </c>
      <c r="AF186" s="321" t="str">
        <f aca="false">IF(A186="N/A"," ",(VLOOKUP(A186,PowerVolTable,(IF(VolBMO4=2,7,IF(VolBMO4=1,6,8))),FALSE())))</f>
        <v> </v>
      </c>
      <c r="AG186" s="321" t="str">
        <f aca="false">IF(A186="N/A"," ",(VLOOKUP(A186,IntraPowerVol,(IF(VolBMO4=2,3,IF(VolBMO4=1,2,4))),FALSE())*VLOOKUP(MONTH($A186),Volscale,2)))</f>
        <v> </v>
      </c>
      <c r="AH186" s="321" t="str">
        <f aca="false">IF($A186="N/A"," ",IF(VolType4=1,AG186,AF186))</f>
        <v> </v>
      </c>
      <c r="AI186" s="321" t="str">
        <f aca="false">IF($A186="N/A"," ",(VLOOKUP($A186,OffPwrVolTable,(IF(VolBMO4=2,7,IF(VolBMO4=1,6,8))),FALSE())))</f>
        <v> </v>
      </c>
      <c r="AJ186" s="321" t="str">
        <f aca="false">IF($A186="N/A"," ",(VLOOKUP($A186,OffPwrVolTable,(IF(VolBMO4=2,3,IF(VolBMO4=1,2,4))),FALSE())*VLOOKUP(MONTH($A186),Volscale,2)))</f>
        <v> </v>
      </c>
      <c r="AK186" s="321" t="str">
        <f aca="false">IF($A186="N/A"," ",IF(VolType4=1,AJ186,AI186))</f>
        <v> </v>
      </c>
      <c r="AL186" s="321" t="str">
        <f aca="false">IF($A186="N/A"," ",IF(PV=1,0,'Pricing Inputs4'!R219))</f>
        <v> </v>
      </c>
      <c r="AM186" s="323" t="str">
        <f aca="false">IF($A186="N/A"," ",(1+AL186/2)^(-2*((EOMONTH(A186,0)+20)-DateToday)/365.25))</f>
        <v> </v>
      </c>
      <c r="BQ186" s="0" t="str">
        <f aca="false">IF($A186="N/A"," ",(VLOOKUP($A186,NumberofDaysTable,2)))</f>
        <v> </v>
      </c>
      <c r="BR186" s="0" t="str">
        <f aca="false">IF($A186="N/A"," ",(VLOOKUP($A186,NumberofDaysTable,3)))</f>
        <v> </v>
      </c>
      <c r="BS186" s="0" t="str">
        <f aca="false">IF($A186="N/A"," ",(VLOOKUP($A186,NumberofDaysTable,4)))</f>
        <v> </v>
      </c>
    </row>
    <row r="187" customFormat="false" ht="12.75" hidden="false" customHeight="false" outlineLevel="0" collapsed="false">
      <c r="A187" s="315" t="str">
        <f aca="false">IF(A186="N/A","N/A",IF(EDATE(A186,1)&gt;Inputs!$R$5,"N/A",EDATE(A186,1)))</f>
        <v>N/A</v>
      </c>
      <c r="B187" s="316" t="str">
        <f aca="false">IF(A187="N/A"," ",YEAR(A187))</f>
        <v> </v>
      </c>
      <c r="C187" s="317" t="str">
        <f aca="false">IF($A187="N/A"," ",IF(Dayrun4=10,0,IF(Scaler4=1,(VLOOKUP(A187,ScaledPrice4,4)),(VLOOKUP(A187,ScaledPrice4,2)))))</f>
        <v> </v>
      </c>
      <c r="D187" s="317" t="str">
        <f aca="false">IF(A187="N/A"," ",IF(Dayrun4&gt;=7,0,IF(Scaler4=2,VLOOKUP(A187,ScaledPrice4,2),(VLOOKUP(A187,ScaledPrice4,2))*(2-(VLOOKUP(A187,ScaledPrice4,3))))))</f>
        <v> </v>
      </c>
      <c r="E187" s="317" t="str">
        <f aca="false">IF($A187="N/A"," ",IF(AND(Dayrun4&gt;=4,Dayrun4&lt;=9),0,VLOOKUP($A187,ScaledPrice4,9)))</f>
        <v> </v>
      </c>
      <c r="F187" s="317" t="str">
        <f aca="false">IF(A187="N/A"," ",IF(OR(Dayrun4=2,Dayrun4=3,Dayrun4=5,Dayrun4=6,Dayrun4=8,Dayrun4=9),VLOOKUP(A187,ScaledPrice4,IF(Scaler4=1,6,5)),0))</f>
        <v> </v>
      </c>
      <c r="G187" s="317" t="str">
        <f aca="false">IF(A187="N/A"," ",IF(OR(Dayrun4=2,Dayrun4=3,Dayrun4=5,Dayrun4=6),IF(Scaler4=2,F187,(VLOOKUP(A187,ScaledPrice4,5))*(2-(VLOOKUP(A187,ScaledPrice4,3)))),0))</f>
        <v> </v>
      </c>
      <c r="H187" s="317" t="str">
        <f aca="false">IF($A187="N/A"," ",IF(OR(Dayrun4=2,Dayrun4=3,Dayrun4=10),VLOOKUP($A187,ScaledPrice4,9),0))</f>
        <v> </v>
      </c>
      <c r="I187" s="317" t="str">
        <f aca="false">IF(A187="N/A"," ",IF(OR(Dayrun4=3,Dayrun4=6,Dayrun4=9),(VLOOKUP(A187,ScaledPrice4,IF(Scaler4=2,7,8))),0))</f>
        <v> </v>
      </c>
      <c r="J187" s="317" t="str">
        <f aca="false">IF(A187="N/A"," ",IF(OR(Dayrun4=3,Dayrun4=6),IF(Scaler4=2,I187,(VLOOKUP(A187,ScaledPrice4,7))*(2-(VLOOKUP(A187,ScaledPrice4,3)))),0))</f>
        <v> </v>
      </c>
      <c r="K187" s="317" t="str">
        <f aca="false">IF($A187="N/A"," ",IF(OR(Dayrun4=3,Dayrun4=10),VLOOKUP($A187,ScaledPrice4,9),0))</f>
        <v> </v>
      </c>
      <c r="L187" s="318" t="str">
        <f aca="false">IF($A187="N/A"," ",IF(Pricetype4=2,MAX(C187,0),IF(OR(Pricetype4=1,Pricetype4=4),IF(C187=0,0,(EURO(C187,Strikeprice4,0,0,($AH187+IF(Smile=TRUE(),VLOOKUP(MAX(-5,Strikeprice4-C187),Volsmile,2),0)),($A187-DateToday)+15,IF(Pricetype4=1,1,0),0))),C187)))</f>
        <v> </v>
      </c>
      <c r="M187" s="318" t="str">
        <f aca="false">IF($A187="N/A"," ",IF(Pricetype4=2,MAX(D187,0),IF(OR(Pricetype4=1,Pricetype4=4),IF(D187=0,0,(EURO(D187,Strikeprice4,0,0,($AH187+IF(Smile=TRUE(),VLOOKUP(MAX(-5,Strikeprice4-D187),Volsmile,2),0)),($A187-DateToday)+15,IF(Pricetype4=1,1,0),0))),D187)))</f>
        <v> </v>
      </c>
      <c r="N187" s="318" t="str">
        <f aca="false">IF($A187="N/A"," ",IF(Pricetype4=2,MAX(E187,0),IF(OR(Pricetype4=1,Pricetype4=4),IF(E187=0,0,(EURO(E187,Strikeprice4,0,0,($AK187+IF(Smile=TRUE(),VLOOKUP(MAX(-5,Strikeprice4-E187),Volsmile,2),0)),($A187-DateToday)+15,IF(Pricetype4=1,1,0),0))),E187)))</f>
        <v> </v>
      </c>
      <c r="O187" s="318" t="str">
        <f aca="false">IF($A187="N/A"," ",IF(Pricetype4=2,MAX(F187,0),IF(OR(Pricetype4=1,Pricetype4=4),IF(F187=0,0,(EURO(F187,Strikeprice4,0,0,($AK187+IF(Smile=TRUE(),VLOOKUP(MAX(-5,Strikeprice4-F187),Volsmile,2),0)),($A187-DateToday)+15,IF(Pricetype4=1,1,0),0))),F187)))</f>
        <v> </v>
      </c>
      <c r="P187" s="318" t="str">
        <f aca="false">IF($A187="N/A"," ",IF(Pricetype4=2,MAX(G187,0),IF(OR(Pricetype4=1,Pricetype4=4),IF(G187=0,0,(EURO(G187,Strikeprice4,0,0,($AK187+IF(Smile=TRUE(),VLOOKUP(MAX(-5,Strikeprice4-G187),Volsmile,2),0)),($A187-DateToday)+15,IF(Pricetype4=1,1,0),0))),G187)))</f>
        <v> </v>
      </c>
      <c r="Q187" s="318" t="str">
        <f aca="false">IF($A187="N/A"," ",IF(Pricetype4=2,MAX(H187,0),IF(OR(Pricetype4=1,Pricetype4=4),IF(H187=0,0,(EURO(H187,Strikeprice4,0,0,($AK187+IF(Smile=TRUE(),VLOOKUP(MAX(-5,Strikeprice4-H187),Volsmile,2),0)),($A187-DateToday)+15,IF(Pricetype4=1,1,0),0))),H187)))</f>
        <v> </v>
      </c>
      <c r="R187" s="318" t="str">
        <f aca="false">IF($A187="N/A"," ",IF(Pricetype4=2,MAX(I187,0),IF(OR(Pricetype4=1,Pricetype4=4),IF(I187=0,0,(EURO(I187,Strikeprice4,0,0,($AK187+IF(Smile=TRUE(),VLOOKUP(MAX(-5,Strikeprice4-I187),Volsmile,2),0)),($A187-DateToday)+15,IF(Pricetype4=1,1,0),0))),I187)))</f>
        <v> </v>
      </c>
      <c r="S187" s="318" t="str">
        <f aca="false">IF($A187="N/A"," ",IF(Pricetype4=2,MAX(J187,0),IF(OR(Pricetype4=1,Pricetype4=4),IF(J187=0,0,(EURO(J187,Strikeprice4,0,0,($AK187+IF(Smile=TRUE(),VLOOKUP(MAX(-5,Strikeprice4-J187),Volsmile,2),0)),($A187-DateToday)+15,IF(Pricetype4=1,1,0),0))),J187)))</f>
        <v> </v>
      </c>
      <c r="T187" s="318" t="str">
        <f aca="false">IF($A187="N/A"," ",IF(Pricetype4=2,MAX(K187,0),IF(OR(Pricetype4=1,Pricetype4=4),IF(K187=0,0,(EURO(K187,Strikeprice4,0,0,($AK187+IF(Smile=TRUE(),VLOOKUP(MAX(-5,Strikeprice4-K187),Volsmile,2),0)),($A187-DateToday)+15,IF(Pricetype4=1,1,0),0))),K187)))</f>
        <v> </v>
      </c>
      <c r="U187" s="319" t="str">
        <f aca="false">IF($A187="N/A"," ",Volume4*$AM187)</f>
        <v> </v>
      </c>
      <c r="V187" s="320" t="str">
        <f aca="false">IF($A187="N/A"," ",$U187*(8*($BQ187))*L187)</f>
        <v> </v>
      </c>
      <c r="W187" s="320" t="str">
        <f aca="false">IF($A187="N/A"," ",$U187*(8*($BQ187))*M187)</f>
        <v> </v>
      </c>
      <c r="X187" s="320" t="str">
        <f aca="false">IF($A187="N/A"," ",$U187*(8*($BQ187))*N187)</f>
        <v> </v>
      </c>
      <c r="Y187" s="320" t="str">
        <f aca="false">IF($A187="N/A"," ",$U187*(8*($BR187))*O187)</f>
        <v> </v>
      </c>
      <c r="Z187" s="320" t="str">
        <f aca="false">IF($A187="N/A"," ",$U187*(8*($BR187))*P187)</f>
        <v> </v>
      </c>
      <c r="AA187" s="320" t="str">
        <f aca="false">IF($A187="N/A"," ",$U187*(8*($BR187))*Q187)</f>
        <v> </v>
      </c>
      <c r="AB187" s="320" t="str">
        <f aca="false">IF($A187="N/A"," ",$U187*(8*($BS187))*R187)</f>
        <v> </v>
      </c>
      <c r="AC187" s="320" t="str">
        <f aca="false">IF($A187="N/A"," ",$U187*(8*($BS187))*S187)</f>
        <v> </v>
      </c>
      <c r="AD187" s="320" t="str">
        <f aca="false">IF($A187="N/A"," ",$U187*(8*($BS187))*T187)</f>
        <v> </v>
      </c>
      <c r="AE187" s="320" t="str">
        <f aca="false">IF($A187="N/A"," ",SUM(V187:AD187))</f>
        <v> </v>
      </c>
      <c r="AF187" s="321" t="str">
        <f aca="false">IF(A187="N/A"," ",(VLOOKUP(A187,PowerVolTable,(IF(VolBMO4=2,7,IF(VolBMO4=1,6,8))),FALSE())))</f>
        <v> </v>
      </c>
      <c r="AG187" s="321" t="str">
        <f aca="false">IF(A187="N/A"," ",(VLOOKUP(A187,IntraPowerVol,(IF(VolBMO4=2,3,IF(VolBMO4=1,2,4))),FALSE())*VLOOKUP(MONTH($A187),Volscale,2)))</f>
        <v> </v>
      </c>
      <c r="AH187" s="321" t="str">
        <f aca="false">IF($A187="N/A"," ",IF(VolType4=1,AG187,AF187))</f>
        <v> </v>
      </c>
      <c r="AI187" s="321" t="str">
        <f aca="false">IF($A187="N/A"," ",(VLOOKUP($A187,OffPwrVolTable,(IF(VolBMO4=2,7,IF(VolBMO4=1,6,8))),FALSE())))</f>
        <v> </v>
      </c>
      <c r="AJ187" s="321" t="str">
        <f aca="false">IF($A187="N/A"," ",(VLOOKUP($A187,OffPwrVolTable,(IF(VolBMO4=2,3,IF(VolBMO4=1,2,4))),FALSE())*VLOOKUP(MONTH($A187),Volscale,2)))</f>
        <v> </v>
      </c>
      <c r="AK187" s="321" t="str">
        <f aca="false">IF($A187="N/A"," ",IF(VolType4=1,AJ187,AI187))</f>
        <v> </v>
      </c>
      <c r="AL187" s="321" t="str">
        <f aca="false">IF($A187="N/A"," ",IF(PV=1,0,'Pricing Inputs4'!R220))</f>
        <v> </v>
      </c>
      <c r="AM187" s="323" t="str">
        <f aca="false">IF($A187="N/A"," ",(1+AL187/2)^(-2*((EOMONTH(A187,0)+20)-DateToday)/365.25))</f>
        <v> </v>
      </c>
      <c r="BQ187" s="0" t="str">
        <f aca="false">IF($A187="N/A"," ",(VLOOKUP($A187,NumberofDaysTable,2)))</f>
        <v> </v>
      </c>
      <c r="BR187" s="0" t="str">
        <f aca="false">IF($A187="N/A"," ",(VLOOKUP($A187,NumberofDaysTable,3)))</f>
        <v> </v>
      </c>
      <c r="BS187" s="0" t="str">
        <f aca="false">IF($A187="N/A"," ",(VLOOKUP($A187,NumberofDaysTable,4)))</f>
        <v> </v>
      </c>
    </row>
    <row r="188" customFormat="false" ht="12.75" hidden="false" customHeight="false" outlineLevel="0" collapsed="false">
      <c r="A188" s="315" t="str">
        <f aca="false">IF(A187="N/A","N/A",IF(EDATE(A187,1)&gt;Inputs!$R$5,"N/A",EDATE(A187,1)))</f>
        <v>N/A</v>
      </c>
      <c r="B188" s="316" t="str">
        <f aca="false">IF(A188="N/A"," ",YEAR(A188))</f>
        <v> </v>
      </c>
      <c r="C188" s="317" t="str">
        <f aca="false">IF($A188="N/A"," ",IF(Dayrun4=10,0,IF(Scaler4=1,(VLOOKUP(A188,ScaledPrice4,4)),(VLOOKUP(A188,ScaledPrice4,2)))))</f>
        <v> </v>
      </c>
      <c r="D188" s="317" t="str">
        <f aca="false">IF(A188="N/A"," ",IF(Dayrun4&gt;=7,0,IF(Scaler4=2,VLOOKUP(A188,ScaledPrice4,2),(VLOOKUP(A188,ScaledPrice4,2))*(2-(VLOOKUP(A188,ScaledPrice4,3))))))</f>
        <v> </v>
      </c>
      <c r="E188" s="317" t="str">
        <f aca="false">IF($A188="N/A"," ",IF(AND(Dayrun4&gt;=4,Dayrun4&lt;=9),0,VLOOKUP($A188,ScaledPrice4,9)))</f>
        <v> </v>
      </c>
      <c r="F188" s="317" t="str">
        <f aca="false">IF(A188="N/A"," ",IF(OR(Dayrun4=2,Dayrun4=3,Dayrun4=5,Dayrun4=6,Dayrun4=8,Dayrun4=9),VLOOKUP(A188,ScaledPrice4,IF(Scaler4=1,6,5)),0))</f>
        <v> </v>
      </c>
      <c r="G188" s="317" t="str">
        <f aca="false">IF(A188="N/A"," ",IF(OR(Dayrun4=2,Dayrun4=3,Dayrun4=5,Dayrun4=6),IF(Scaler4=2,F188,(VLOOKUP(A188,ScaledPrice4,5))*(2-(VLOOKUP(A188,ScaledPrice4,3)))),0))</f>
        <v> </v>
      </c>
      <c r="H188" s="317" t="str">
        <f aca="false">IF($A188="N/A"," ",IF(OR(Dayrun4=2,Dayrun4=3,Dayrun4=10),VLOOKUP($A188,ScaledPrice4,9),0))</f>
        <v> </v>
      </c>
      <c r="I188" s="317" t="str">
        <f aca="false">IF(A188="N/A"," ",IF(OR(Dayrun4=3,Dayrun4=6,Dayrun4=9),(VLOOKUP(A188,ScaledPrice4,IF(Scaler4=2,7,8))),0))</f>
        <v> </v>
      </c>
      <c r="J188" s="317" t="str">
        <f aca="false">IF(A188="N/A"," ",IF(OR(Dayrun4=3,Dayrun4=6),IF(Scaler4=2,I188,(VLOOKUP(A188,ScaledPrice4,7))*(2-(VLOOKUP(A188,ScaledPrice4,3)))),0))</f>
        <v> </v>
      </c>
      <c r="K188" s="317" t="str">
        <f aca="false">IF($A188="N/A"," ",IF(OR(Dayrun4=3,Dayrun4=10),VLOOKUP($A188,ScaledPrice4,9),0))</f>
        <v> </v>
      </c>
      <c r="L188" s="318" t="str">
        <f aca="false">IF($A188="N/A"," ",IF(Pricetype4=2,MAX(C188,0),IF(OR(Pricetype4=1,Pricetype4=4),IF(C188=0,0,(EURO(C188,Strikeprice4,0,0,($AH188+IF(Smile=TRUE(),VLOOKUP(MAX(-5,Strikeprice4-C188),Volsmile,2),0)),($A188-DateToday)+15,IF(Pricetype4=1,1,0),0))),C188)))</f>
        <v> </v>
      </c>
      <c r="M188" s="318" t="str">
        <f aca="false">IF($A188="N/A"," ",IF(Pricetype4=2,MAX(D188,0),IF(OR(Pricetype4=1,Pricetype4=4),IF(D188=0,0,(EURO(D188,Strikeprice4,0,0,($AH188+IF(Smile=TRUE(),VLOOKUP(MAX(-5,Strikeprice4-D188),Volsmile,2),0)),($A188-DateToday)+15,IF(Pricetype4=1,1,0),0))),D188)))</f>
        <v> </v>
      </c>
      <c r="N188" s="318" t="str">
        <f aca="false">IF($A188="N/A"," ",IF(Pricetype4=2,MAX(E188,0),IF(OR(Pricetype4=1,Pricetype4=4),IF(E188=0,0,(EURO(E188,Strikeprice4,0,0,($AK188+IF(Smile=TRUE(),VLOOKUP(MAX(-5,Strikeprice4-E188),Volsmile,2),0)),($A188-DateToday)+15,IF(Pricetype4=1,1,0),0))),E188)))</f>
        <v> </v>
      </c>
      <c r="O188" s="318" t="str">
        <f aca="false">IF($A188="N/A"," ",IF(Pricetype4=2,MAX(F188,0),IF(OR(Pricetype4=1,Pricetype4=4),IF(F188=0,0,(EURO(F188,Strikeprice4,0,0,($AK188+IF(Smile=TRUE(),VLOOKUP(MAX(-5,Strikeprice4-F188),Volsmile,2),0)),($A188-DateToday)+15,IF(Pricetype4=1,1,0),0))),F188)))</f>
        <v> </v>
      </c>
      <c r="P188" s="318" t="str">
        <f aca="false">IF($A188="N/A"," ",IF(Pricetype4=2,MAX(G188,0),IF(OR(Pricetype4=1,Pricetype4=4),IF(G188=0,0,(EURO(G188,Strikeprice4,0,0,($AK188+IF(Smile=TRUE(),VLOOKUP(MAX(-5,Strikeprice4-G188),Volsmile,2),0)),($A188-DateToday)+15,IF(Pricetype4=1,1,0),0))),G188)))</f>
        <v> </v>
      </c>
      <c r="Q188" s="318" t="str">
        <f aca="false">IF($A188="N/A"," ",IF(Pricetype4=2,MAX(H188,0),IF(OR(Pricetype4=1,Pricetype4=4),IF(H188=0,0,(EURO(H188,Strikeprice4,0,0,($AK188+IF(Smile=TRUE(),VLOOKUP(MAX(-5,Strikeprice4-H188),Volsmile,2),0)),($A188-DateToday)+15,IF(Pricetype4=1,1,0),0))),H188)))</f>
        <v> </v>
      </c>
      <c r="R188" s="318" t="str">
        <f aca="false">IF($A188="N/A"," ",IF(Pricetype4=2,MAX(I188,0),IF(OR(Pricetype4=1,Pricetype4=4),IF(I188=0,0,(EURO(I188,Strikeprice4,0,0,($AK188+IF(Smile=TRUE(),VLOOKUP(MAX(-5,Strikeprice4-I188),Volsmile,2),0)),($A188-DateToday)+15,IF(Pricetype4=1,1,0),0))),I188)))</f>
        <v> </v>
      </c>
      <c r="S188" s="318" t="str">
        <f aca="false">IF($A188="N/A"," ",IF(Pricetype4=2,MAX(J188,0),IF(OR(Pricetype4=1,Pricetype4=4),IF(J188=0,0,(EURO(J188,Strikeprice4,0,0,($AK188+IF(Smile=TRUE(),VLOOKUP(MAX(-5,Strikeprice4-J188),Volsmile,2),0)),($A188-DateToday)+15,IF(Pricetype4=1,1,0),0))),J188)))</f>
        <v> </v>
      </c>
      <c r="T188" s="318" t="str">
        <f aca="false">IF($A188="N/A"," ",IF(Pricetype4=2,MAX(K188,0),IF(OR(Pricetype4=1,Pricetype4=4),IF(K188=0,0,(EURO(K188,Strikeprice4,0,0,($AK188+IF(Smile=TRUE(),VLOOKUP(MAX(-5,Strikeprice4-K188),Volsmile,2),0)),($A188-DateToday)+15,IF(Pricetype4=1,1,0),0))),K188)))</f>
        <v> </v>
      </c>
      <c r="U188" s="319" t="str">
        <f aca="false">IF($A188="N/A"," ",Volume4*$AM188)</f>
        <v> </v>
      </c>
      <c r="V188" s="320" t="str">
        <f aca="false">IF($A188="N/A"," ",$U188*(8*($BQ188))*L188)</f>
        <v> </v>
      </c>
      <c r="W188" s="320" t="str">
        <f aca="false">IF($A188="N/A"," ",$U188*(8*($BQ188))*M188)</f>
        <v> </v>
      </c>
      <c r="X188" s="320" t="str">
        <f aca="false">IF($A188="N/A"," ",$U188*(8*($BQ188))*N188)</f>
        <v> </v>
      </c>
      <c r="Y188" s="320" t="str">
        <f aca="false">IF($A188="N/A"," ",$U188*(8*($BR188))*O188)</f>
        <v> </v>
      </c>
      <c r="Z188" s="320" t="str">
        <f aca="false">IF($A188="N/A"," ",$U188*(8*($BR188))*P188)</f>
        <v> </v>
      </c>
      <c r="AA188" s="320" t="str">
        <f aca="false">IF($A188="N/A"," ",$U188*(8*($BR188))*Q188)</f>
        <v> </v>
      </c>
      <c r="AB188" s="320" t="str">
        <f aca="false">IF($A188="N/A"," ",$U188*(8*($BS188))*R188)</f>
        <v> </v>
      </c>
      <c r="AC188" s="320" t="str">
        <f aca="false">IF($A188="N/A"," ",$U188*(8*($BS188))*S188)</f>
        <v> </v>
      </c>
      <c r="AD188" s="320" t="str">
        <f aca="false">IF($A188="N/A"," ",$U188*(8*($BS188))*T188)</f>
        <v> </v>
      </c>
      <c r="AE188" s="320" t="str">
        <f aca="false">IF($A188="N/A"," ",SUM(V188:AD188))</f>
        <v> </v>
      </c>
      <c r="AF188" s="321" t="str">
        <f aca="false">IF(A188="N/A"," ",(VLOOKUP(A188,PowerVolTable,(IF(VolBMO4=2,7,IF(VolBMO4=1,6,8))),FALSE())))</f>
        <v> </v>
      </c>
      <c r="AG188" s="321" t="str">
        <f aca="false">IF(A188="N/A"," ",(VLOOKUP(A188,IntraPowerVol,(IF(VolBMO4=2,3,IF(VolBMO4=1,2,4))),FALSE())*VLOOKUP(MONTH($A188),Volscale,2)))</f>
        <v> </v>
      </c>
      <c r="AH188" s="321" t="str">
        <f aca="false">IF($A188="N/A"," ",IF(VolType4=1,AG188,AF188))</f>
        <v> </v>
      </c>
      <c r="AI188" s="321" t="str">
        <f aca="false">IF($A188="N/A"," ",(VLOOKUP($A188,OffPwrVolTable,(IF(VolBMO4=2,7,IF(VolBMO4=1,6,8))),FALSE())))</f>
        <v> </v>
      </c>
      <c r="AJ188" s="321" t="str">
        <f aca="false">IF($A188="N/A"," ",(VLOOKUP($A188,OffPwrVolTable,(IF(VolBMO4=2,3,IF(VolBMO4=1,2,4))),FALSE())*VLOOKUP(MONTH($A188),Volscale,2)))</f>
        <v> </v>
      </c>
      <c r="AK188" s="321" t="str">
        <f aca="false">IF($A188="N/A"," ",IF(VolType4=1,AJ188,AI188))</f>
        <v> </v>
      </c>
      <c r="AL188" s="321" t="str">
        <f aca="false">IF($A188="N/A"," ",IF(PV=1,0,'Pricing Inputs4'!R221))</f>
        <v> </v>
      </c>
      <c r="AM188" s="323" t="str">
        <f aca="false">IF($A188="N/A"," ",(1+AL188/2)^(-2*((EOMONTH(A188,0)+20)-DateToday)/365.25))</f>
        <v> </v>
      </c>
      <c r="BQ188" s="0" t="str">
        <f aca="false">IF($A188="N/A"," ",(VLOOKUP($A188,NumberofDaysTable,2)))</f>
        <v> </v>
      </c>
      <c r="BR188" s="0" t="str">
        <f aca="false">IF($A188="N/A"," ",(VLOOKUP($A188,NumberofDaysTable,3)))</f>
        <v> </v>
      </c>
      <c r="BS188" s="0" t="str">
        <f aca="false">IF($A188="N/A"," ",(VLOOKUP($A188,NumberofDaysTable,4)))</f>
        <v> </v>
      </c>
    </row>
    <row r="189" customFormat="false" ht="12.75" hidden="false" customHeight="false" outlineLevel="0" collapsed="false">
      <c r="A189" s="315" t="str">
        <f aca="false">IF(A188="N/A","N/A",IF(EDATE(A188,1)&gt;Inputs!$R$5,"N/A",EDATE(A188,1)))</f>
        <v>N/A</v>
      </c>
      <c r="B189" s="316" t="str">
        <f aca="false">IF(A189="N/A"," ",YEAR(A189))</f>
        <v> </v>
      </c>
      <c r="C189" s="317" t="str">
        <f aca="false">IF($A189="N/A"," ",IF(Dayrun4=10,0,IF(Scaler4=1,(VLOOKUP(A189,ScaledPrice4,4)),(VLOOKUP(A189,ScaledPrice4,2)))))</f>
        <v> </v>
      </c>
      <c r="D189" s="317" t="str">
        <f aca="false">IF(A189="N/A"," ",IF(Dayrun4&gt;=7,0,IF(Scaler4=2,VLOOKUP(A189,ScaledPrice4,2),(VLOOKUP(A189,ScaledPrice4,2))*(2-(VLOOKUP(A189,ScaledPrice4,3))))))</f>
        <v> </v>
      </c>
      <c r="E189" s="317" t="str">
        <f aca="false">IF($A189="N/A"," ",IF(AND(Dayrun4&gt;=4,Dayrun4&lt;=9),0,VLOOKUP($A189,ScaledPrice4,9)))</f>
        <v> </v>
      </c>
      <c r="F189" s="317" t="str">
        <f aca="false">IF(A189="N/A"," ",IF(OR(Dayrun4=2,Dayrun4=3,Dayrun4=5,Dayrun4=6,Dayrun4=8,Dayrun4=9),VLOOKUP(A189,ScaledPrice4,IF(Scaler4=1,6,5)),0))</f>
        <v> </v>
      </c>
      <c r="G189" s="317" t="str">
        <f aca="false">IF(A189="N/A"," ",IF(OR(Dayrun4=2,Dayrun4=3,Dayrun4=5,Dayrun4=6),IF(Scaler4=2,F189,(VLOOKUP(A189,ScaledPrice4,5))*(2-(VLOOKUP(A189,ScaledPrice4,3)))),0))</f>
        <v> </v>
      </c>
      <c r="H189" s="317" t="str">
        <f aca="false">IF($A189="N/A"," ",IF(OR(Dayrun4=2,Dayrun4=3,Dayrun4=10),VLOOKUP($A189,ScaledPrice4,9),0))</f>
        <v> </v>
      </c>
      <c r="I189" s="317" t="str">
        <f aca="false">IF(A189="N/A"," ",IF(OR(Dayrun4=3,Dayrun4=6,Dayrun4=9),(VLOOKUP(A189,ScaledPrice4,IF(Scaler4=2,7,8))),0))</f>
        <v> </v>
      </c>
      <c r="J189" s="317" t="str">
        <f aca="false">IF(A189="N/A"," ",IF(OR(Dayrun4=3,Dayrun4=6),IF(Scaler4=2,I189,(VLOOKUP(A189,ScaledPrice4,7))*(2-(VLOOKUP(A189,ScaledPrice4,3)))),0))</f>
        <v> </v>
      </c>
      <c r="K189" s="317" t="str">
        <f aca="false">IF($A189="N/A"," ",IF(OR(Dayrun4=3,Dayrun4=10),VLOOKUP($A189,ScaledPrice4,9),0))</f>
        <v> </v>
      </c>
      <c r="L189" s="318" t="str">
        <f aca="false">IF($A189="N/A"," ",IF(Pricetype4=2,MAX(C189,0),IF(OR(Pricetype4=1,Pricetype4=4),IF(C189=0,0,(EURO(C189,Strikeprice4,0,0,($AH189+IF(Smile=TRUE(),VLOOKUP(MAX(-5,Strikeprice4-C189),Volsmile,2),0)),($A189-DateToday)+15,IF(Pricetype4=1,1,0),0))),C189)))</f>
        <v> </v>
      </c>
      <c r="M189" s="318" t="str">
        <f aca="false">IF($A189="N/A"," ",IF(Pricetype4=2,MAX(D189,0),IF(OR(Pricetype4=1,Pricetype4=4),IF(D189=0,0,(EURO(D189,Strikeprice4,0,0,($AH189+IF(Smile=TRUE(),VLOOKUP(MAX(-5,Strikeprice4-D189),Volsmile,2),0)),($A189-DateToday)+15,IF(Pricetype4=1,1,0),0))),D189)))</f>
        <v> </v>
      </c>
      <c r="N189" s="318" t="str">
        <f aca="false">IF($A189="N/A"," ",IF(Pricetype4=2,MAX(E189,0),IF(OR(Pricetype4=1,Pricetype4=4),IF(E189=0,0,(EURO(E189,Strikeprice4,0,0,($AK189+IF(Smile=TRUE(),VLOOKUP(MAX(-5,Strikeprice4-E189),Volsmile,2),0)),($A189-DateToday)+15,IF(Pricetype4=1,1,0),0))),E189)))</f>
        <v> </v>
      </c>
      <c r="O189" s="318" t="str">
        <f aca="false">IF($A189="N/A"," ",IF(Pricetype4=2,MAX(F189,0),IF(OR(Pricetype4=1,Pricetype4=4),IF(F189=0,0,(EURO(F189,Strikeprice4,0,0,($AK189+IF(Smile=TRUE(),VLOOKUP(MAX(-5,Strikeprice4-F189),Volsmile,2),0)),($A189-DateToday)+15,IF(Pricetype4=1,1,0),0))),F189)))</f>
        <v> </v>
      </c>
      <c r="P189" s="318" t="str">
        <f aca="false">IF($A189="N/A"," ",IF(Pricetype4=2,MAX(G189,0),IF(OR(Pricetype4=1,Pricetype4=4),IF(G189=0,0,(EURO(G189,Strikeprice4,0,0,($AK189+IF(Smile=TRUE(),VLOOKUP(MAX(-5,Strikeprice4-G189),Volsmile,2),0)),($A189-DateToday)+15,IF(Pricetype4=1,1,0),0))),G189)))</f>
        <v> </v>
      </c>
      <c r="Q189" s="318" t="str">
        <f aca="false">IF($A189="N/A"," ",IF(Pricetype4=2,MAX(H189,0),IF(OR(Pricetype4=1,Pricetype4=4),IF(H189=0,0,(EURO(H189,Strikeprice4,0,0,($AK189+IF(Smile=TRUE(),VLOOKUP(MAX(-5,Strikeprice4-H189),Volsmile,2),0)),($A189-DateToday)+15,IF(Pricetype4=1,1,0),0))),H189)))</f>
        <v> </v>
      </c>
      <c r="R189" s="318" t="str">
        <f aca="false">IF($A189="N/A"," ",IF(Pricetype4=2,MAX(I189,0),IF(OR(Pricetype4=1,Pricetype4=4),IF(I189=0,0,(EURO(I189,Strikeprice4,0,0,($AK189+IF(Smile=TRUE(),VLOOKUP(MAX(-5,Strikeprice4-I189),Volsmile,2),0)),($A189-DateToday)+15,IF(Pricetype4=1,1,0),0))),I189)))</f>
        <v> </v>
      </c>
      <c r="S189" s="318" t="str">
        <f aca="false">IF($A189="N/A"," ",IF(Pricetype4=2,MAX(J189,0),IF(OR(Pricetype4=1,Pricetype4=4),IF(J189=0,0,(EURO(J189,Strikeprice4,0,0,($AK189+IF(Smile=TRUE(),VLOOKUP(MAX(-5,Strikeprice4-J189),Volsmile,2),0)),($A189-DateToday)+15,IF(Pricetype4=1,1,0),0))),J189)))</f>
        <v> </v>
      </c>
      <c r="T189" s="318" t="str">
        <f aca="false">IF($A189="N/A"," ",IF(Pricetype4=2,MAX(K189,0),IF(OR(Pricetype4=1,Pricetype4=4),IF(K189=0,0,(EURO(K189,Strikeprice4,0,0,($AK189+IF(Smile=TRUE(),VLOOKUP(MAX(-5,Strikeprice4-K189),Volsmile,2),0)),($A189-DateToday)+15,IF(Pricetype4=1,1,0),0))),K189)))</f>
        <v> </v>
      </c>
      <c r="U189" s="319" t="str">
        <f aca="false">IF($A189="N/A"," ",Volume4*$AM189)</f>
        <v> </v>
      </c>
      <c r="V189" s="320" t="str">
        <f aca="false">IF($A189="N/A"," ",$U189*(8*($BQ189))*L189)</f>
        <v> </v>
      </c>
      <c r="W189" s="320" t="str">
        <f aca="false">IF($A189="N/A"," ",$U189*(8*($BQ189))*M189)</f>
        <v> </v>
      </c>
      <c r="X189" s="320" t="str">
        <f aca="false">IF($A189="N/A"," ",$U189*(8*($BQ189))*N189)</f>
        <v> </v>
      </c>
      <c r="Y189" s="320" t="str">
        <f aca="false">IF($A189="N/A"," ",$U189*(8*($BR189))*O189)</f>
        <v> </v>
      </c>
      <c r="Z189" s="320" t="str">
        <f aca="false">IF($A189="N/A"," ",$U189*(8*($BR189))*P189)</f>
        <v> </v>
      </c>
      <c r="AA189" s="320" t="str">
        <f aca="false">IF($A189="N/A"," ",$U189*(8*($BR189))*Q189)</f>
        <v> </v>
      </c>
      <c r="AB189" s="320" t="str">
        <f aca="false">IF($A189="N/A"," ",$U189*(8*($BS189))*R189)</f>
        <v> </v>
      </c>
      <c r="AC189" s="320" t="str">
        <f aca="false">IF($A189="N/A"," ",$U189*(8*($BS189))*S189)</f>
        <v> </v>
      </c>
      <c r="AD189" s="320" t="str">
        <f aca="false">IF($A189="N/A"," ",$U189*(8*($BS189))*T189)</f>
        <v> </v>
      </c>
      <c r="AE189" s="320" t="str">
        <f aca="false">IF($A189="N/A"," ",SUM(V189:AD189))</f>
        <v> </v>
      </c>
      <c r="AF189" s="321" t="str">
        <f aca="false">IF(A189="N/A"," ",(VLOOKUP(A189,PowerVolTable,(IF(VolBMO4=2,7,IF(VolBMO4=1,6,8))),FALSE())))</f>
        <v> </v>
      </c>
      <c r="AG189" s="321" t="str">
        <f aca="false">IF(A189="N/A"," ",(VLOOKUP(A189,IntraPowerVol,(IF(VolBMO4=2,3,IF(VolBMO4=1,2,4))),FALSE())*VLOOKUP(MONTH($A189),Volscale,2)))</f>
        <v> </v>
      </c>
      <c r="AH189" s="321" t="str">
        <f aca="false">IF($A189="N/A"," ",IF(VolType4=1,AG189,AF189))</f>
        <v> </v>
      </c>
      <c r="AI189" s="321" t="str">
        <f aca="false">IF($A189="N/A"," ",(VLOOKUP($A189,OffPwrVolTable,(IF(VolBMO4=2,7,IF(VolBMO4=1,6,8))),FALSE())))</f>
        <v> </v>
      </c>
      <c r="AJ189" s="321" t="str">
        <f aca="false">IF($A189="N/A"," ",(VLOOKUP($A189,OffPwrVolTable,(IF(VolBMO4=2,3,IF(VolBMO4=1,2,4))),FALSE())*VLOOKUP(MONTH($A189),Volscale,2)))</f>
        <v> </v>
      </c>
      <c r="AK189" s="321" t="str">
        <f aca="false">IF($A189="N/A"," ",IF(VolType4=1,AJ189,AI189))</f>
        <v> </v>
      </c>
      <c r="AL189" s="321" t="str">
        <f aca="false">IF($A189="N/A"," ",IF(PV=1,0,'Pricing Inputs4'!R222))</f>
        <v> </v>
      </c>
      <c r="AM189" s="323" t="str">
        <f aca="false">IF($A189="N/A"," ",(1+AL189/2)^(-2*((EOMONTH(A189,0)+20)-DateToday)/365.25))</f>
        <v> </v>
      </c>
      <c r="BQ189" s="0" t="str">
        <f aca="false">IF($A189="N/A"," ",(VLOOKUP($A189,NumberofDaysTable,2)))</f>
        <v> </v>
      </c>
      <c r="BR189" s="0" t="str">
        <f aca="false">IF($A189="N/A"," ",(VLOOKUP($A189,NumberofDaysTable,3)))</f>
        <v> </v>
      </c>
      <c r="BS189" s="0" t="str">
        <f aca="false">IF($A189="N/A"," ",(VLOOKUP($A189,NumberofDaysTable,4)))</f>
        <v> </v>
      </c>
    </row>
    <row r="190" customFormat="false" ht="12.75" hidden="false" customHeight="false" outlineLevel="0" collapsed="false">
      <c r="A190" s="315" t="str">
        <f aca="false">IF(A189="N/A","N/A",IF(EDATE(A189,1)&gt;Inputs!$R$5,"N/A",EDATE(A189,1)))</f>
        <v>N/A</v>
      </c>
      <c r="B190" s="316" t="str">
        <f aca="false">IF(A190="N/A"," ",YEAR(A190))</f>
        <v> </v>
      </c>
      <c r="C190" s="317" t="str">
        <f aca="false">IF($A190="N/A"," ",IF(Dayrun4=10,0,IF(Scaler4=1,(VLOOKUP(A190,ScaledPrice4,4)),(VLOOKUP(A190,ScaledPrice4,2)))))</f>
        <v> </v>
      </c>
      <c r="D190" s="317" t="str">
        <f aca="false">IF(A190="N/A"," ",IF(Dayrun4&gt;=7,0,IF(Scaler4=2,VLOOKUP(A190,ScaledPrice4,2),(VLOOKUP(A190,ScaledPrice4,2))*(2-(VLOOKUP(A190,ScaledPrice4,3))))))</f>
        <v> </v>
      </c>
      <c r="E190" s="317" t="str">
        <f aca="false">IF($A190="N/A"," ",IF(AND(Dayrun4&gt;=4,Dayrun4&lt;=9),0,VLOOKUP($A190,ScaledPrice4,9)))</f>
        <v> </v>
      </c>
      <c r="F190" s="317" t="str">
        <f aca="false">IF(A190="N/A"," ",IF(OR(Dayrun4=2,Dayrun4=3,Dayrun4=5,Dayrun4=6,Dayrun4=8,Dayrun4=9),VLOOKUP(A190,ScaledPrice4,IF(Scaler4=1,6,5)),0))</f>
        <v> </v>
      </c>
      <c r="G190" s="317" t="str">
        <f aca="false">IF(A190="N/A"," ",IF(OR(Dayrun4=2,Dayrun4=3,Dayrun4=5,Dayrun4=6),IF(Scaler4=2,F190,(VLOOKUP(A190,ScaledPrice4,5))*(2-(VLOOKUP(A190,ScaledPrice4,3)))),0))</f>
        <v> </v>
      </c>
      <c r="H190" s="317" t="str">
        <f aca="false">IF($A190="N/A"," ",IF(OR(Dayrun4=2,Dayrun4=3,Dayrun4=10),VLOOKUP($A190,ScaledPrice4,9),0))</f>
        <v> </v>
      </c>
      <c r="I190" s="317" t="str">
        <f aca="false">IF(A190="N/A"," ",IF(OR(Dayrun4=3,Dayrun4=6,Dayrun4=9),(VLOOKUP(A190,ScaledPrice4,IF(Scaler4=2,7,8))),0))</f>
        <v> </v>
      </c>
      <c r="J190" s="317" t="str">
        <f aca="false">IF(A190="N/A"," ",IF(OR(Dayrun4=3,Dayrun4=6),IF(Scaler4=2,I190,(VLOOKUP(A190,ScaledPrice4,7))*(2-(VLOOKUP(A190,ScaledPrice4,3)))),0))</f>
        <v> </v>
      </c>
      <c r="K190" s="317" t="str">
        <f aca="false">IF($A190="N/A"," ",IF(OR(Dayrun4=3,Dayrun4=10),VLOOKUP($A190,ScaledPrice4,9),0))</f>
        <v> </v>
      </c>
      <c r="L190" s="318" t="str">
        <f aca="false">IF($A190="N/A"," ",IF(Pricetype4=2,MAX(C190,0),IF(OR(Pricetype4=1,Pricetype4=4),IF(C190=0,0,(EURO(C190,Strikeprice4,0,0,($AH190+IF(Smile=TRUE(),VLOOKUP(MAX(-5,Strikeprice4-C190),Volsmile,2),0)),($A190-DateToday)+15,IF(Pricetype4=1,1,0),0))),C190)))</f>
        <v> </v>
      </c>
      <c r="M190" s="318" t="str">
        <f aca="false">IF($A190="N/A"," ",IF(Pricetype4=2,MAX(D190,0),IF(OR(Pricetype4=1,Pricetype4=4),IF(D190=0,0,(EURO(D190,Strikeprice4,0,0,($AH190+IF(Smile=TRUE(),VLOOKUP(MAX(-5,Strikeprice4-D190),Volsmile,2),0)),($A190-DateToday)+15,IF(Pricetype4=1,1,0),0))),D190)))</f>
        <v> </v>
      </c>
      <c r="N190" s="318" t="str">
        <f aca="false">IF($A190="N/A"," ",IF(Pricetype4=2,MAX(E190,0),IF(OR(Pricetype4=1,Pricetype4=4),IF(E190=0,0,(EURO(E190,Strikeprice4,0,0,($AK190+IF(Smile=TRUE(),VLOOKUP(MAX(-5,Strikeprice4-E190),Volsmile,2),0)),($A190-DateToday)+15,IF(Pricetype4=1,1,0),0))),E190)))</f>
        <v> </v>
      </c>
      <c r="O190" s="318" t="str">
        <f aca="false">IF($A190="N/A"," ",IF(Pricetype4=2,MAX(F190,0),IF(OR(Pricetype4=1,Pricetype4=4),IF(F190=0,0,(EURO(F190,Strikeprice4,0,0,($AK190+IF(Smile=TRUE(),VLOOKUP(MAX(-5,Strikeprice4-F190),Volsmile,2),0)),($A190-DateToday)+15,IF(Pricetype4=1,1,0),0))),F190)))</f>
        <v> </v>
      </c>
      <c r="P190" s="318" t="str">
        <f aca="false">IF($A190="N/A"," ",IF(Pricetype4=2,MAX(G190,0),IF(OR(Pricetype4=1,Pricetype4=4),IF(G190=0,0,(EURO(G190,Strikeprice4,0,0,($AK190+IF(Smile=TRUE(),VLOOKUP(MAX(-5,Strikeprice4-G190),Volsmile,2),0)),($A190-DateToday)+15,IF(Pricetype4=1,1,0),0))),G190)))</f>
        <v> </v>
      </c>
      <c r="Q190" s="318" t="str">
        <f aca="false">IF($A190="N/A"," ",IF(Pricetype4=2,MAX(H190,0),IF(OR(Pricetype4=1,Pricetype4=4),IF(H190=0,0,(EURO(H190,Strikeprice4,0,0,($AK190+IF(Smile=TRUE(),VLOOKUP(MAX(-5,Strikeprice4-H190),Volsmile,2),0)),($A190-DateToday)+15,IF(Pricetype4=1,1,0),0))),H190)))</f>
        <v> </v>
      </c>
      <c r="R190" s="318" t="str">
        <f aca="false">IF($A190="N/A"," ",IF(Pricetype4=2,MAX(I190,0),IF(OR(Pricetype4=1,Pricetype4=4),IF(I190=0,0,(EURO(I190,Strikeprice4,0,0,($AK190+IF(Smile=TRUE(),VLOOKUP(MAX(-5,Strikeprice4-I190),Volsmile,2),0)),($A190-DateToday)+15,IF(Pricetype4=1,1,0),0))),I190)))</f>
        <v> </v>
      </c>
      <c r="S190" s="318" t="str">
        <f aca="false">IF($A190="N/A"," ",IF(Pricetype4=2,MAX(J190,0),IF(OR(Pricetype4=1,Pricetype4=4),IF(J190=0,0,(EURO(J190,Strikeprice4,0,0,($AK190+IF(Smile=TRUE(),VLOOKUP(MAX(-5,Strikeprice4-J190),Volsmile,2),0)),($A190-DateToday)+15,IF(Pricetype4=1,1,0),0))),J190)))</f>
        <v> </v>
      </c>
      <c r="T190" s="318" t="str">
        <f aca="false">IF($A190="N/A"," ",IF(Pricetype4=2,MAX(K190,0),IF(OR(Pricetype4=1,Pricetype4=4),IF(K190=0,0,(EURO(K190,Strikeprice4,0,0,($AK190+IF(Smile=TRUE(),VLOOKUP(MAX(-5,Strikeprice4-K190),Volsmile,2),0)),($A190-DateToday)+15,IF(Pricetype4=1,1,0),0))),K190)))</f>
        <v> </v>
      </c>
      <c r="U190" s="319" t="str">
        <f aca="false">IF($A190="N/A"," ",Volume4*$AM190)</f>
        <v> </v>
      </c>
      <c r="V190" s="320" t="str">
        <f aca="false">IF($A190="N/A"," ",$U190*(8*($BQ190))*L190)</f>
        <v> </v>
      </c>
      <c r="W190" s="320" t="str">
        <f aca="false">IF($A190="N/A"," ",$U190*(8*($BQ190))*M190)</f>
        <v> </v>
      </c>
      <c r="X190" s="320" t="str">
        <f aca="false">IF($A190="N/A"," ",$U190*(8*($BQ190))*N190)</f>
        <v> </v>
      </c>
      <c r="Y190" s="320" t="str">
        <f aca="false">IF($A190="N/A"," ",$U190*(8*($BR190))*O190)</f>
        <v> </v>
      </c>
      <c r="Z190" s="320" t="str">
        <f aca="false">IF($A190="N/A"," ",$U190*(8*($BR190))*P190)</f>
        <v> </v>
      </c>
      <c r="AA190" s="320" t="str">
        <f aca="false">IF($A190="N/A"," ",$U190*(8*($BR190))*Q190)</f>
        <v> </v>
      </c>
      <c r="AB190" s="320" t="str">
        <f aca="false">IF($A190="N/A"," ",$U190*(8*($BS190))*R190)</f>
        <v> </v>
      </c>
      <c r="AC190" s="320" t="str">
        <f aca="false">IF($A190="N/A"," ",$U190*(8*($BS190))*S190)</f>
        <v> </v>
      </c>
      <c r="AD190" s="320" t="str">
        <f aca="false">IF($A190="N/A"," ",$U190*(8*($BS190))*T190)</f>
        <v> </v>
      </c>
      <c r="AE190" s="320" t="str">
        <f aca="false">IF($A190="N/A"," ",SUM(V190:AD190))</f>
        <v> </v>
      </c>
      <c r="AF190" s="321" t="str">
        <f aca="false">IF(A190="N/A"," ",(VLOOKUP(A190,PowerVolTable,(IF(VolBMO4=2,7,IF(VolBMO4=1,6,8))),FALSE())))</f>
        <v> </v>
      </c>
      <c r="AG190" s="321" t="str">
        <f aca="false">IF(A190="N/A"," ",(VLOOKUP(A190,IntraPowerVol,(IF(VolBMO4=2,3,IF(VolBMO4=1,2,4))),FALSE())*VLOOKUP(MONTH($A190),Volscale,2)))</f>
        <v> </v>
      </c>
      <c r="AH190" s="321" t="str">
        <f aca="false">IF($A190="N/A"," ",IF(VolType4=1,AG190,AF190))</f>
        <v> </v>
      </c>
      <c r="AI190" s="321" t="str">
        <f aca="false">IF($A190="N/A"," ",(VLOOKUP($A190,OffPwrVolTable,(IF(VolBMO4=2,7,IF(VolBMO4=1,6,8))),FALSE())))</f>
        <v> </v>
      </c>
      <c r="AJ190" s="321" t="str">
        <f aca="false">IF($A190="N/A"," ",(VLOOKUP($A190,OffPwrVolTable,(IF(VolBMO4=2,3,IF(VolBMO4=1,2,4))),FALSE())*VLOOKUP(MONTH($A190),Volscale,2)))</f>
        <v> </v>
      </c>
      <c r="AK190" s="321" t="str">
        <f aca="false">IF($A190="N/A"," ",IF(VolType4=1,AJ190,AI190))</f>
        <v> </v>
      </c>
      <c r="AL190" s="321" t="str">
        <f aca="false">IF($A190="N/A"," ",IF(PV=1,0,'Pricing Inputs4'!R223))</f>
        <v> </v>
      </c>
      <c r="AM190" s="323" t="str">
        <f aca="false">IF($A190="N/A"," ",(1+AL190/2)^(-2*((EOMONTH(A190,0)+20)-DateToday)/365.25))</f>
        <v> </v>
      </c>
      <c r="BQ190" s="0" t="str">
        <f aca="false">IF($A190="N/A"," ",(VLOOKUP($A190,NumberofDaysTable,2)))</f>
        <v> </v>
      </c>
      <c r="BR190" s="0" t="str">
        <f aca="false">IF($A190="N/A"," ",(VLOOKUP($A190,NumberofDaysTable,3)))</f>
        <v> </v>
      </c>
      <c r="BS190" s="0" t="str">
        <f aca="false">IF($A190="N/A"," ",(VLOOKUP($A190,NumberofDaysTable,4)))</f>
        <v> </v>
      </c>
    </row>
    <row r="191" customFormat="false" ht="12.75" hidden="false" customHeight="false" outlineLevel="0" collapsed="false">
      <c r="A191" s="315" t="str">
        <f aca="false">IF(A190="N/A","N/A",IF(EDATE(A190,1)&gt;Inputs!$R$5,"N/A",EDATE(A190,1)))</f>
        <v>N/A</v>
      </c>
      <c r="B191" s="316" t="str">
        <f aca="false">IF(A191="N/A"," ",YEAR(A191))</f>
        <v> </v>
      </c>
      <c r="C191" s="317" t="str">
        <f aca="false">IF($A191="N/A"," ",IF(Dayrun4=10,0,IF(Scaler4=1,(VLOOKUP(A191,ScaledPrice4,4)),(VLOOKUP(A191,ScaledPrice4,2)))))</f>
        <v> </v>
      </c>
      <c r="D191" s="317" t="str">
        <f aca="false">IF(A191="N/A"," ",IF(Dayrun4&gt;=7,0,IF(Scaler4=2,VLOOKUP(A191,ScaledPrice4,2),(VLOOKUP(A191,ScaledPrice4,2))*(2-(VLOOKUP(A191,ScaledPrice4,3))))))</f>
        <v> </v>
      </c>
      <c r="E191" s="317" t="str">
        <f aca="false">IF($A191="N/A"," ",IF(AND(Dayrun4&gt;=4,Dayrun4&lt;=9),0,VLOOKUP($A191,ScaledPrice4,9)))</f>
        <v> </v>
      </c>
      <c r="F191" s="317" t="str">
        <f aca="false">IF(A191="N/A"," ",IF(OR(Dayrun4=2,Dayrun4=3,Dayrun4=5,Dayrun4=6,Dayrun4=8,Dayrun4=9),VLOOKUP(A191,ScaledPrice4,IF(Scaler4=1,6,5)),0))</f>
        <v> </v>
      </c>
      <c r="G191" s="317" t="str">
        <f aca="false">IF(A191="N/A"," ",IF(OR(Dayrun4=2,Dayrun4=3,Dayrun4=5,Dayrun4=6),IF(Scaler4=2,F191,(VLOOKUP(A191,ScaledPrice4,5))*(2-(VLOOKUP(A191,ScaledPrice4,3)))),0))</f>
        <v> </v>
      </c>
      <c r="H191" s="317" t="str">
        <f aca="false">IF($A191="N/A"," ",IF(OR(Dayrun4=2,Dayrun4=3,Dayrun4=10),VLOOKUP($A191,ScaledPrice4,9),0))</f>
        <v> </v>
      </c>
      <c r="I191" s="317" t="str">
        <f aca="false">IF(A191="N/A"," ",IF(OR(Dayrun4=3,Dayrun4=6,Dayrun4=9),(VLOOKUP(A191,ScaledPrice4,IF(Scaler4=2,7,8))),0))</f>
        <v> </v>
      </c>
      <c r="J191" s="317" t="str">
        <f aca="false">IF(A191="N/A"," ",IF(OR(Dayrun4=3,Dayrun4=6),IF(Scaler4=2,I191,(VLOOKUP(A191,ScaledPrice4,7))*(2-(VLOOKUP(A191,ScaledPrice4,3)))),0))</f>
        <v> </v>
      </c>
      <c r="K191" s="317" t="str">
        <f aca="false">IF($A191="N/A"," ",IF(OR(Dayrun4=3,Dayrun4=10),VLOOKUP($A191,ScaledPrice4,9),0))</f>
        <v> </v>
      </c>
      <c r="L191" s="318" t="str">
        <f aca="false">IF($A191="N/A"," ",IF(Pricetype4=2,MAX(C191,0),IF(OR(Pricetype4=1,Pricetype4=4),IF(C191=0,0,(EURO(C191,Strikeprice4,0,0,($AH191+IF(Smile=TRUE(),VLOOKUP(MAX(-5,Strikeprice4-C191),Volsmile,2),0)),($A191-DateToday)+15,IF(Pricetype4=1,1,0),0))),C191)))</f>
        <v> </v>
      </c>
      <c r="M191" s="318" t="str">
        <f aca="false">IF($A191="N/A"," ",IF(Pricetype4=2,MAX(D191,0),IF(OR(Pricetype4=1,Pricetype4=4),IF(D191=0,0,(EURO(D191,Strikeprice4,0,0,($AH191+IF(Smile=TRUE(),VLOOKUP(MAX(-5,Strikeprice4-D191),Volsmile,2),0)),($A191-DateToday)+15,IF(Pricetype4=1,1,0),0))),D191)))</f>
        <v> </v>
      </c>
      <c r="N191" s="318" t="str">
        <f aca="false">IF($A191="N/A"," ",IF(Pricetype4=2,MAX(E191,0),IF(OR(Pricetype4=1,Pricetype4=4),IF(E191=0,0,(EURO(E191,Strikeprice4,0,0,($AK191+IF(Smile=TRUE(),VLOOKUP(MAX(-5,Strikeprice4-E191),Volsmile,2),0)),($A191-DateToday)+15,IF(Pricetype4=1,1,0),0))),E191)))</f>
        <v> </v>
      </c>
      <c r="O191" s="318" t="str">
        <f aca="false">IF($A191="N/A"," ",IF(Pricetype4=2,MAX(F191,0),IF(OR(Pricetype4=1,Pricetype4=4),IF(F191=0,0,(EURO(F191,Strikeprice4,0,0,($AK191+IF(Smile=TRUE(),VLOOKUP(MAX(-5,Strikeprice4-F191),Volsmile,2),0)),($A191-DateToday)+15,IF(Pricetype4=1,1,0),0))),F191)))</f>
        <v> </v>
      </c>
      <c r="P191" s="318" t="str">
        <f aca="false">IF($A191="N/A"," ",IF(Pricetype4=2,MAX(G191,0),IF(OR(Pricetype4=1,Pricetype4=4),IF(G191=0,0,(EURO(G191,Strikeprice4,0,0,($AK191+IF(Smile=TRUE(),VLOOKUP(MAX(-5,Strikeprice4-G191),Volsmile,2),0)),($A191-DateToday)+15,IF(Pricetype4=1,1,0),0))),G191)))</f>
        <v> </v>
      </c>
      <c r="Q191" s="318" t="str">
        <f aca="false">IF($A191="N/A"," ",IF(Pricetype4=2,MAX(H191,0),IF(OR(Pricetype4=1,Pricetype4=4),IF(H191=0,0,(EURO(H191,Strikeprice4,0,0,($AK191+IF(Smile=TRUE(),VLOOKUP(MAX(-5,Strikeprice4-H191),Volsmile,2),0)),($A191-DateToday)+15,IF(Pricetype4=1,1,0),0))),H191)))</f>
        <v> </v>
      </c>
      <c r="R191" s="318" t="str">
        <f aca="false">IF($A191="N/A"," ",IF(Pricetype4=2,MAX(I191,0),IF(OR(Pricetype4=1,Pricetype4=4),IF(I191=0,0,(EURO(I191,Strikeprice4,0,0,($AK191+IF(Smile=TRUE(),VLOOKUP(MAX(-5,Strikeprice4-I191),Volsmile,2),0)),($A191-DateToday)+15,IF(Pricetype4=1,1,0),0))),I191)))</f>
        <v> </v>
      </c>
      <c r="S191" s="318" t="str">
        <f aca="false">IF($A191="N/A"," ",IF(Pricetype4=2,MAX(J191,0),IF(OR(Pricetype4=1,Pricetype4=4),IF(J191=0,0,(EURO(J191,Strikeprice4,0,0,($AK191+IF(Smile=TRUE(),VLOOKUP(MAX(-5,Strikeprice4-J191),Volsmile,2),0)),($A191-DateToday)+15,IF(Pricetype4=1,1,0),0))),J191)))</f>
        <v> </v>
      </c>
      <c r="T191" s="318" t="str">
        <f aca="false">IF($A191="N/A"," ",IF(Pricetype4=2,MAX(K191,0),IF(OR(Pricetype4=1,Pricetype4=4),IF(K191=0,0,(EURO(K191,Strikeprice4,0,0,($AK191+IF(Smile=TRUE(),VLOOKUP(MAX(-5,Strikeprice4-K191),Volsmile,2),0)),($A191-DateToday)+15,IF(Pricetype4=1,1,0),0))),K191)))</f>
        <v> </v>
      </c>
      <c r="U191" s="319" t="str">
        <f aca="false">IF($A191="N/A"," ",Volume4*$AM191)</f>
        <v> </v>
      </c>
      <c r="V191" s="320" t="str">
        <f aca="false">IF($A191="N/A"," ",$U191*(8*($BQ191))*L191)</f>
        <v> </v>
      </c>
      <c r="W191" s="320" t="str">
        <f aca="false">IF($A191="N/A"," ",$U191*(8*($BQ191))*M191)</f>
        <v> </v>
      </c>
      <c r="X191" s="320" t="str">
        <f aca="false">IF($A191="N/A"," ",$U191*(8*($BQ191))*N191)</f>
        <v> </v>
      </c>
      <c r="Y191" s="320" t="str">
        <f aca="false">IF($A191="N/A"," ",$U191*(8*($BR191))*O191)</f>
        <v> </v>
      </c>
      <c r="Z191" s="320" t="str">
        <f aca="false">IF($A191="N/A"," ",$U191*(8*($BR191))*P191)</f>
        <v> </v>
      </c>
      <c r="AA191" s="320" t="str">
        <f aca="false">IF($A191="N/A"," ",$U191*(8*($BR191))*Q191)</f>
        <v> </v>
      </c>
      <c r="AB191" s="320" t="str">
        <f aca="false">IF($A191="N/A"," ",$U191*(8*($BS191))*R191)</f>
        <v> </v>
      </c>
      <c r="AC191" s="320" t="str">
        <f aca="false">IF($A191="N/A"," ",$U191*(8*($BS191))*S191)</f>
        <v> </v>
      </c>
      <c r="AD191" s="320" t="str">
        <f aca="false">IF($A191="N/A"," ",$U191*(8*($BS191))*T191)</f>
        <v> </v>
      </c>
      <c r="AE191" s="320" t="str">
        <f aca="false">IF($A191="N/A"," ",SUM(V191:AD191))</f>
        <v> </v>
      </c>
      <c r="AF191" s="321" t="str">
        <f aca="false">IF(A191="N/A"," ",(VLOOKUP(A191,PowerVolTable,(IF(VolBMO4=2,7,IF(VolBMO4=1,6,8))),FALSE())))</f>
        <v> </v>
      </c>
      <c r="AG191" s="321" t="str">
        <f aca="false">IF(A191="N/A"," ",(VLOOKUP(A191,IntraPowerVol,(IF(VolBMO4=2,3,IF(VolBMO4=1,2,4))),FALSE())*VLOOKUP(MONTH($A191),Volscale,2)))</f>
        <v> </v>
      </c>
      <c r="AH191" s="321" t="str">
        <f aca="false">IF($A191="N/A"," ",IF(VolType4=1,AG191,AF191))</f>
        <v> </v>
      </c>
      <c r="AI191" s="321" t="str">
        <f aca="false">IF($A191="N/A"," ",(VLOOKUP($A191,OffPwrVolTable,(IF(VolBMO4=2,7,IF(VolBMO4=1,6,8))),FALSE())))</f>
        <v> </v>
      </c>
      <c r="AJ191" s="321" t="str">
        <f aca="false">IF($A191="N/A"," ",(VLOOKUP($A191,OffPwrVolTable,(IF(VolBMO4=2,3,IF(VolBMO4=1,2,4))),FALSE())*VLOOKUP(MONTH($A191),Volscale,2)))</f>
        <v> </v>
      </c>
      <c r="AK191" s="321" t="str">
        <f aca="false">IF($A191="N/A"," ",IF(VolType4=1,AJ191,AI191))</f>
        <v> </v>
      </c>
      <c r="AL191" s="321" t="str">
        <f aca="false">IF($A191="N/A"," ",IF(PV=1,0,'Pricing Inputs4'!R224))</f>
        <v> </v>
      </c>
      <c r="AM191" s="323" t="str">
        <f aca="false">IF($A191="N/A"," ",(1+AL191/2)^(-2*((EOMONTH(A191,0)+20)-DateToday)/365.25))</f>
        <v> </v>
      </c>
      <c r="BQ191" s="0" t="str">
        <f aca="false">IF($A191="N/A"," ",(VLOOKUP($A191,NumberofDaysTable,2)))</f>
        <v> </v>
      </c>
      <c r="BR191" s="0" t="str">
        <f aca="false">IF($A191="N/A"," ",(VLOOKUP($A191,NumberofDaysTable,3)))</f>
        <v> </v>
      </c>
      <c r="BS191" s="0" t="str">
        <f aca="false">IF($A191="N/A"," ",(VLOOKUP($A191,NumberofDaysTable,4)))</f>
        <v> </v>
      </c>
    </row>
    <row r="192" customFormat="false" ht="12.75" hidden="false" customHeight="false" outlineLevel="0" collapsed="false">
      <c r="A192" s="315" t="str">
        <f aca="false">IF(A191="N/A","N/A",IF(EDATE(A191,1)&gt;Inputs!$R$5,"N/A",EDATE(A191,1)))</f>
        <v>N/A</v>
      </c>
      <c r="B192" s="316" t="str">
        <f aca="false">IF(A192="N/A"," ",YEAR(A192))</f>
        <v> </v>
      </c>
      <c r="C192" s="317" t="str">
        <f aca="false">IF($A192="N/A"," ",IF(Dayrun4=10,0,IF(Scaler4=1,(VLOOKUP(A192,ScaledPrice4,4)),(VLOOKUP(A192,ScaledPrice4,2)))))</f>
        <v> </v>
      </c>
      <c r="D192" s="317" t="str">
        <f aca="false">IF(A192="N/A"," ",IF(Dayrun4&gt;=7,0,IF(Scaler4=2,VLOOKUP(A192,ScaledPrice4,2),(VLOOKUP(A192,ScaledPrice4,2))*(2-(VLOOKUP(A192,ScaledPrice4,3))))))</f>
        <v> </v>
      </c>
      <c r="E192" s="317" t="str">
        <f aca="false">IF($A192="N/A"," ",IF(AND(Dayrun4&gt;=4,Dayrun4&lt;=9),0,VLOOKUP($A192,ScaledPrice4,9)))</f>
        <v> </v>
      </c>
      <c r="F192" s="317" t="str">
        <f aca="false">IF(A192="N/A"," ",IF(OR(Dayrun4=2,Dayrun4=3,Dayrun4=5,Dayrun4=6,Dayrun4=8,Dayrun4=9),VLOOKUP(A192,ScaledPrice4,IF(Scaler4=1,6,5)),0))</f>
        <v> </v>
      </c>
      <c r="G192" s="317" t="str">
        <f aca="false">IF(A192="N/A"," ",IF(OR(Dayrun4=2,Dayrun4=3,Dayrun4=5,Dayrun4=6),IF(Scaler4=2,F192,(VLOOKUP(A192,ScaledPrice4,5))*(2-(VLOOKUP(A192,ScaledPrice4,3)))),0))</f>
        <v> </v>
      </c>
      <c r="H192" s="317" t="str">
        <f aca="false">IF($A192="N/A"," ",IF(OR(Dayrun4=2,Dayrun4=3,Dayrun4=10),VLOOKUP($A192,ScaledPrice4,9),0))</f>
        <v> </v>
      </c>
      <c r="I192" s="317" t="str">
        <f aca="false">IF(A192="N/A"," ",IF(OR(Dayrun4=3,Dayrun4=6,Dayrun4=9),(VLOOKUP(A192,ScaledPrice4,IF(Scaler4=2,7,8))),0))</f>
        <v> </v>
      </c>
      <c r="J192" s="317" t="str">
        <f aca="false">IF(A192="N/A"," ",IF(OR(Dayrun4=3,Dayrun4=6),IF(Scaler4=2,I192,(VLOOKUP(A192,ScaledPrice4,7))*(2-(VLOOKUP(A192,ScaledPrice4,3)))),0))</f>
        <v> </v>
      </c>
      <c r="K192" s="317" t="str">
        <f aca="false">IF($A192="N/A"," ",IF(OR(Dayrun4=3,Dayrun4=10),VLOOKUP($A192,ScaledPrice4,9),0))</f>
        <v> </v>
      </c>
      <c r="L192" s="318" t="str">
        <f aca="false">IF($A192="N/A"," ",IF(Pricetype4=2,MAX(C192,0),IF(OR(Pricetype4=1,Pricetype4=4),IF(C192=0,0,(EURO(C192,Strikeprice4,0,0,($AH192+IF(Smile=TRUE(),VLOOKUP(MAX(-5,Strikeprice4-C192),Volsmile,2),0)),($A192-DateToday)+15,IF(Pricetype4=1,1,0),0))),C192)))</f>
        <v> </v>
      </c>
      <c r="M192" s="318" t="str">
        <f aca="false">IF($A192="N/A"," ",IF(Pricetype4=2,MAX(D192,0),IF(OR(Pricetype4=1,Pricetype4=4),IF(D192=0,0,(EURO(D192,Strikeprice4,0,0,($AH192+IF(Smile=TRUE(),VLOOKUP(MAX(-5,Strikeprice4-D192),Volsmile,2),0)),($A192-DateToday)+15,IF(Pricetype4=1,1,0),0))),D192)))</f>
        <v> </v>
      </c>
      <c r="N192" s="318" t="str">
        <f aca="false">IF($A192="N/A"," ",IF(Pricetype4=2,MAX(E192,0),IF(OR(Pricetype4=1,Pricetype4=4),IF(E192=0,0,(EURO(E192,Strikeprice4,0,0,($AK192+IF(Smile=TRUE(),VLOOKUP(MAX(-5,Strikeprice4-E192),Volsmile,2),0)),($A192-DateToday)+15,IF(Pricetype4=1,1,0),0))),E192)))</f>
        <v> </v>
      </c>
      <c r="O192" s="318" t="str">
        <f aca="false">IF($A192="N/A"," ",IF(Pricetype4=2,MAX(F192,0),IF(OR(Pricetype4=1,Pricetype4=4),IF(F192=0,0,(EURO(F192,Strikeprice4,0,0,($AK192+IF(Smile=TRUE(),VLOOKUP(MAX(-5,Strikeprice4-F192),Volsmile,2),0)),($A192-DateToday)+15,IF(Pricetype4=1,1,0),0))),F192)))</f>
        <v> </v>
      </c>
      <c r="P192" s="318" t="str">
        <f aca="false">IF($A192="N/A"," ",IF(Pricetype4=2,MAX(G192,0),IF(OR(Pricetype4=1,Pricetype4=4),IF(G192=0,0,(EURO(G192,Strikeprice4,0,0,($AK192+IF(Smile=TRUE(),VLOOKUP(MAX(-5,Strikeprice4-G192),Volsmile,2),0)),($A192-DateToday)+15,IF(Pricetype4=1,1,0),0))),G192)))</f>
        <v> </v>
      </c>
      <c r="Q192" s="318" t="str">
        <f aca="false">IF($A192="N/A"," ",IF(Pricetype4=2,MAX(H192,0),IF(OR(Pricetype4=1,Pricetype4=4),IF(H192=0,0,(EURO(H192,Strikeprice4,0,0,($AK192+IF(Smile=TRUE(),VLOOKUP(MAX(-5,Strikeprice4-H192),Volsmile,2),0)),($A192-DateToday)+15,IF(Pricetype4=1,1,0),0))),H192)))</f>
        <v> </v>
      </c>
      <c r="R192" s="318" t="str">
        <f aca="false">IF($A192="N/A"," ",IF(Pricetype4=2,MAX(I192,0),IF(OR(Pricetype4=1,Pricetype4=4),IF(I192=0,0,(EURO(I192,Strikeprice4,0,0,($AK192+IF(Smile=TRUE(),VLOOKUP(MAX(-5,Strikeprice4-I192),Volsmile,2),0)),($A192-DateToday)+15,IF(Pricetype4=1,1,0),0))),I192)))</f>
        <v> </v>
      </c>
      <c r="S192" s="318" t="str">
        <f aca="false">IF($A192="N/A"," ",IF(Pricetype4=2,MAX(J192,0),IF(OR(Pricetype4=1,Pricetype4=4),IF(J192=0,0,(EURO(J192,Strikeprice4,0,0,($AK192+IF(Smile=TRUE(),VLOOKUP(MAX(-5,Strikeprice4-J192),Volsmile,2),0)),($A192-DateToday)+15,IF(Pricetype4=1,1,0),0))),J192)))</f>
        <v> </v>
      </c>
      <c r="T192" s="318" t="str">
        <f aca="false">IF($A192="N/A"," ",IF(Pricetype4=2,MAX(K192,0),IF(OR(Pricetype4=1,Pricetype4=4),IF(K192=0,0,(EURO(K192,Strikeprice4,0,0,($AK192+IF(Smile=TRUE(),VLOOKUP(MAX(-5,Strikeprice4-K192),Volsmile,2),0)),($A192-DateToday)+15,IF(Pricetype4=1,1,0),0))),K192)))</f>
        <v> </v>
      </c>
      <c r="U192" s="319" t="str">
        <f aca="false">IF($A192="N/A"," ",Volume4*$AM192)</f>
        <v> </v>
      </c>
      <c r="V192" s="320" t="str">
        <f aca="false">IF($A192="N/A"," ",$U192*(8*($BQ192))*L192)</f>
        <v> </v>
      </c>
      <c r="W192" s="320" t="str">
        <f aca="false">IF($A192="N/A"," ",$U192*(8*($BQ192))*M192)</f>
        <v> </v>
      </c>
      <c r="X192" s="320" t="str">
        <f aca="false">IF($A192="N/A"," ",$U192*(8*($BQ192))*N192)</f>
        <v> </v>
      </c>
      <c r="Y192" s="320" t="str">
        <f aca="false">IF($A192="N/A"," ",$U192*(8*($BR192))*O192)</f>
        <v> </v>
      </c>
      <c r="Z192" s="320" t="str">
        <f aca="false">IF($A192="N/A"," ",$U192*(8*($BR192))*P192)</f>
        <v> </v>
      </c>
      <c r="AA192" s="320" t="str">
        <f aca="false">IF($A192="N/A"," ",$U192*(8*($BR192))*Q192)</f>
        <v> </v>
      </c>
      <c r="AB192" s="320" t="str">
        <f aca="false">IF($A192="N/A"," ",$U192*(8*($BS192))*R192)</f>
        <v> </v>
      </c>
      <c r="AC192" s="320" t="str">
        <f aca="false">IF($A192="N/A"," ",$U192*(8*($BS192))*S192)</f>
        <v> </v>
      </c>
      <c r="AD192" s="320" t="str">
        <f aca="false">IF($A192="N/A"," ",$U192*(8*($BS192))*T192)</f>
        <v> </v>
      </c>
      <c r="AE192" s="320" t="str">
        <f aca="false">IF($A192="N/A"," ",SUM(V192:AD192))</f>
        <v> </v>
      </c>
      <c r="AF192" s="321" t="str">
        <f aca="false">IF(A192="N/A"," ",(VLOOKUP(A192,PowerVolTable,(IF(VolBMO4=2,7,IF(VolBMO4=1,6,8))),FALSE())))</f>
        <v> </v>
      </c>
      <c r="AG192" s="321" t="str">
        <f aca="false">IF(A192="N/A"," ",(VLOOKUP(A192,IntraPowerVol,(IF(VolBMO4=2,3,IF(VolBMO4=1,2,4))),FALSE())*VLOOKUP(MONTH($A192),Volscale,2)))</f>
        <v> </v>
      </c>
      <c r="AH192" s="321" t="str">
        <f aca="false">IF($A192="N/A"," ",IF(VolType4=1,AG192,AF192))</f>
        <v> </v>
      </c>
      <c r="AI192" s="321" t="str">
        <f aca="false">IF($A192="N/A"," ",(VLOOKUP($A192,OffPwrVolTable,(IF(VolBMO4=2,7,IF(VolBMO4=1,6,8))),FALSE())))</f>
        <v> </v>
      </c>
      <c r="AJ192" s="321" t="str">
        <f aca="false">IF($A192="N/A"," ",(VLOOKUP($A192,OffPwrVolTable,(IF(VolBMO4=2,3,IF(VolBMO4=1,2,4))),FALSE())*VLOOKUP(MONTH($A192),Volscale,2)))</f>
        <v> </v>
      </c>
      <c r="AK192" s="321" t="str">
        <f aca="false">IF($A192="N/A"," ",IF(VolType4=1,AJ192,AI192))</f>
        <v> </v>
      </c>
      <c r="AL192" s="321" t="str">
        <f aca="false">IF($A192="N/A"," ",IF(PV=1,0,'Pricing Inputs4'!R225))</f>
        <v> </v>
      </c>
      <c r="AM192" s="323" t="str">
        <f aca="false">IF($A192="N/A"," ",(1+AL192/2)^(-2*((EOMONTH(A192,0)+20)-DateToday)/365.25))</f>
        <v> </v>
      </c>
      <c r="BQ192" s="0" t="str">
        <f aca="false">IF($A192="N/A"," ",(VLOOKUP($A192,NumberofDaysTable,2)))</f>
        <v> </v>
      </c>
      <c r="BR192" s="0" t="str">
        <f aca="false">IF($A192="N/A"," ",(VLOOKUP($A192,NumberofDaysTable,3)))</f>
        <v> </v>
      </c>
      <c r="BS192" s="0" t="str">
        <f aca="false">IF($A192="N/A"," ",(VLOOKUP($A192,NumberofDaysTable,4)))</f>
        <v> </v>
      </c>
    </row>
    <row r="193" customFormat="false" ht="12.75" hidden="false" customHeight="false" outlineLevel="0" collapsed="false">
      <c r="A193" s="315" t="str">
        <f aca="false">IF(A192="N/A","N/A",IF(EDATE(A192,1)&gt;Inputs!$R$5,"N/A",EDATE(A192,1)))</f>
        <v>N/A</v>
      </c>
      <c r="B193" s="316" t="str">
        <f aca="false">IF(A193="N/A"," ",YEAR(A193))</f>
        <v> </v>
      </c>
      <c r="C193" s="317" t="str">
        <f aca="false">IF($A193="N/A"," ",IF(Dayrun4=10,0,IF(Scaler4=1,(VLOOKUP(A193,ScaledPrice4,4)),(VLOOKUP(A193,ScaledPrice4,2)))))</f>
        <v> </v>
      </c>
      <c r="D193" s="317" t="str">
        <f aca="false">IF(A193="N/A"," ",IF(Dayrun4&gt;=7,0,IF(Scaler4=2,VLOOKUP(A193,ScaledPrice4,2),(VLOOKUP(A193,ScaledPrice4,2))*(2-(VLOOKUP(A193,ScaledPrice4,3))))))</f>
        <v> </v>
      </c>
      <c r="E193" s="317" t="str">
        <f aca="false">IF($A193="N/A"," ",IF(AND(Dayrun4&gt;=4,Dayrun4&lt;=9),0,VLOOKUP($A193,ScaledPrice4,9)))</f>
        <v> </v>
      </c>
      <c r="F193" s="317" t="str">
        <f aca="false">IF(A193="N/A"," ",IF(OR(Dayrun4=2,Dayrun4=3,Dayrun4=5,Dayrun4=6,Dayrun4=8,Dayrun4=9),VLOOKUP(A193,ScaledPrice4,IF(Scaler4=1,6,5)),0))</f>
        <v> </v>
      </c>
      <c r="G193" s="317" t="str">
        <f aca="false">IF(A193="N/A"," ",IF(OR(Dayrun4=2,Dayrun4=3,Dayrun4=5,Dayrun4=6),IF(Scaler4=2,F193,(VLOOKUP(A193,ScaledPrice4,5))*(2-(VLOOKUP(A193,ScaledPrice4,3)))),0))</f>
        <v> </v>
      </c>
      <c r="H193" s="317" t="str">
        <f aca="false">IF($A193="N/A"," ",IF(OR(Dayrun4=2,Dayrun4=3,Dayrun4=10),VLOOKUP($A193,ScaledPrice4,9),0))</f>
        <v> </v>
      </c>
      <c r="I193" s="317" t="str">
        <f aca="false">IF(A193="N/A"," ",IF(OR(Dayrun4=3,Dayrun4=6,Dayrun4=9),(VLOOKUP(A193,ScaledPrice4,IF(Scaler4=2,7,8))),0))</f>
        <v> </v>
      </c>
      <c r="J193" s="317" t="str">
        <f aca="false">IF(A193="N/A"," ",IF(OR(Dayrun4=3,Dayrun4=6),IF(Scaler4=2,I193,(VLOOKUP(A193,ScaledPrice4,7))*(2-(VLOOKUP(A193,ScaledPrice4,3)))),0))</f>
        <v> </v>
      </c>
      <c r="K193" s="317" t="str">
        <f aca="false">IF($A193="N/A"," ",IF(OR(Dayrun4=3,Dayrun4=10),VLOOKUP($A193,ScaledPrice4,9),0))</f>
        <v> </v>
      </c>
      <c r="L193" s="318" t="str">
        <f aca="false">IF($A193="N/A"," ",IF(Pricetype4=2,MAX(C193,0),IF(OR(Pricetype4=1,Pricetype4=4),IF(C193=0,0,(EURO(C193,Strikeprice4,0,0,($AH193+IF(Smile=TRUE(),VLOOKUP(MAX(-5,Strikeprice4-C193),Volsmile,2),0)),($A193-DateToday)+15,IF(Pricetype4=1,1,0),0))),C193)))</f>
        <v> </v>
      </c>
      <c r="M193" s="318" t="str">
        <f aca="false">IF($A193="N/A"," ",IF(Pricetype4=2,MAX(D193,0),IF(OR(Pricetype4=1,Pricetype4=4),IF(D193=0,0,(EURO(D193,Strikeprice4,0,0,($AH193+IF(Smile=TRUE(),VLOOKUP(MAX(-5,Strikeprice4-D193),Volsmile,2),0)),($A193-DateToday)+15,IF(Pricetype4=1,1,0),0))),D193)))</f>
        <v> </v>
      </c>
      <c r="N193" s="318" t="str">
        <f aca="false">IF($A193="N/A"," ",IF(Pricetype4=2,MAX(E193,0),IF(OR(Pricetype4=1,Pricetype4=4),IF(E193=0,0,(EURO(E193,Strikeprice4,0,0,($AK193+IF(Smile=TRUE(),VLOOKUP(MAX(-5,Strikeprice4-E193),Volsmile,2),0)),($A193-DateToday)+15,IF(Pricetype4=1,1,0),0))),E193)))</f>
        <v> </v>
      </c>
      <c r="O193" s="318" t="str">
        <f aca="false">IF($A193="N/A"," ",IF(Pricetype4=2,MAX(F193,0),IF(OR(Pricetype4=1,Pricetype4=4),IF(F193=0,0,(EURO(F193,Strikeprice4,0,0,($AK193+IF(Smile=TRUE(),VLOOKUP(MAX(-5,Strikeprice4-F193),Volsmile,2),0)),($A193-DateToday)+15,IF(Pricetype4=1,1,0),0))),F193)))</f>
        <v> </v>
      </c>
      <c r="P193" s="318" t="str">
        <f aca="false">IF($A193="N/A"," ",IF(Pricetype4=2,MAX(G193,0),IF(OR(Pricetype4=1,Pricetype4=4),IF(G193=0,0,(EURO(G193,Strikeprice4,0,0,($AK193+IF(Smile=TRUE(),VLOOKUP(MAX(-5,Strikeprice4-G193),Volsmile,2),0)),($A193-DateToday)+15,IF(Pricetype4=1,1,0),0))),G193)))</f>
        <v> </v>
      </c>
      <c r="Q193" s="318" t="str">
        <f aca="false">IF($A193="N/A"," ",IF(Pricetype4=2,MAX(H193,0),IF(OR(Pricetype4=1,Pricetype4=4),IF(H193=0,0,(EURO(H193,Strikeprice4,0,0,($AK193+IF(Smile=TRUE(),VLOOKUP(MAX(-5,Strikeprice4-H193),Volsmile,2),0)),($A193-DateToday)+15,IF(Pricetype4=1,1,0),0))),H193)))</f>
        <v> </v>
      </c>
      <c r="R193" s="318" t="str">
        <f aca="false">IF($A193="N/A"," ",IF(Pricetype4=2,MAX(I193,0),IF(OR(Pricetype4=1,Pricetype4=4),IF(I193=0,0,(EURO(I193,Strikeprice4,0,0,($AK193+IF(Smile=TRUE(),VLOOKUP(MAX(-5,Strikeprice4-I193),Volsmile,2),0)),($A193-DateToday)+15,IF(Pricetype4=1,1,0),0))),I193)))</f>
        <v> </v>
      </c>
      <c r="S193" s="318" t="str">
        <f aca="false">IF($A193="N/A"," ",IF(Pricetype4=2,MAX(J193,0),IF(OR(Pricetype4=1,Pricetype4=4),IF(J193=0,0,(EURO(J193,Strikeprice4,0,0,($AK193+IF(Smile=TRUE(),VLOOKUP(MAX(-5,Strikeprice4-J193),Volsmile,2),0)),($A193-DateToday)+15,IF(Pricetype4=1,1,0),0))),J193)))</f>
        <v> </v>
      </c>
      <c r="T193" s="318" t="str">
        <f aca="false">IF($A193="N/A"," ",IF(Pricetype4=2,MAX(K193,0),IF(OR(Pricetype4=1,Pricetype4=4),IF(K193=0,0,(EURO(K193,Strikeprice4,0,0,($AK193+IF(Smile=TRUE(),VLOOKUP(MAX(-5,Strikeprice4-K193),Volsmile,2),0)),($A193-DateToday)+15,IF(Pricetype4=1,1,0),0))),K193)))</f>
        <v> </v>
      </c>
      <c r="U193" s="319" t="str">
        <f aca="false">IF($A193="N/A"," ",Volume4*$AM193)</f>
        <v> </v>
      </c>
      <c r="V193" s="320" t="str">
        <f aca="false">IF($A193="N/A"," ",$U193*(8*($BQ193))*L193)</f>
        <v> </v>
      </c>
      <c r="W193" s="320" t="str">
        <f aca="false">IF($A193="N/A"," ",$U193*(8*($BQ193))*M193)</f>
        <v> </v>
      </c>
      <c r="X193" s="320" t="str">
        <f aca="false">IF($A193="N/A"," ",$U193*(8*($BQ193))*N193)</f>
        <v> </v>
      </c>
      <c r="Y193" s="320" t="str">
        <f aca="false">IF($A193="N/A"," ",$U193*(8*($BR193))*O193)</f>
        <v> </v>
      </c>
      <c r="Z193" s="320" t="str">
        <f aca="false">IF($A193="N/A"," ",$U193*(8*($BR193))*P193)</f>
        <v> </v>
      </c>
      <c r="AA193" s="320" t="str">
        <f aca="false">IF($A193="N/A"," ",$U193*(8*($BR193))*Q193)</f>
        <v> </v>
      </c>
      <c r="AB193" s="320" t="str">
        <f aca="false">IF($A193="N/A"," ",$U193*(8*($BS193))*R193)</f>
        <v> </v>
      </c>
      <c r="AC193" s="320" t="str">
        <f aca="false">IF($A193="N/A"," ",$U193*(8*($BS193))*S193)</f>
        <v> </v>
      </c>
      <c r="AD193" s="320" t="str">
        <f aca="false">IF($A193="N/A"," ",$U193*(8*($BS193))*T193)</f>
        <v> </v>
      </c>
      <c r="AE193" s="320" t="str">
        <f aca="false">IF($A193="N/A"," ",SUM(V193:AD193))</f>
        <v> </v>
      </c>
      <c r="AF193" s="321" t="str">
        <f aca="false">IF(A193="N/A"," ",(VLOOKUP(A193,PowerVolTable,(IF(VolBMO4=2,7,IF(VolBMO4=1,6,8))),FALSE())))</f>
        <v> </v>
      </c>
      <c r="AG193" s="321" t="str">
        <f aca="false">IF(A193="N/A"," ",(VLOOKUP(A193,IntraPowerVol,(IF(VolBMO4=2,3,IF(VolBMO4=1,2,4))),FALSE())*VLOOKUP(MONTH($A193),Volscale,2)))</f>
        <v> </v>
      </c>
      <c r="AH193" s="321" t="str">
        <f aca="false">IF($A193="N/A"," ",IF(VolType4=1,AG193,AF193))</f>
        <v> </v>
      </c>
      <c r="AI193" s="321" t="str">
        <f aca="false">IF($A193="N/A"," ",(VLOOKUP($A193,OffPwrVolTable,(IF(VolBMO4=2,7,IF(VolBMO4=1,6,8))),FALSE())))</f>
        <v> </v>
      </c>
      <c r="AJ193" s="321" t="str">
        <f aca="false">IF($A193="N/A"," ",(VLOOKUP($A193,OffPwrVolTable,(IF(VolBMO4=2,3,IF(VolBMO4=1,2,4))),FALSE())*VLOOKUP(MONTH($A193),Volscale,2)))</f>
        <v> </v>
      </c>
      <c r="AK193" s="321" t="str">
        <f aca="false">IF($A193="N/A"," ",IF(VolType4=1,AJ193,AI193))</f>
        <v> </v>
      </c>
      <c r="AL193" s="321" t="str">
        <f aca="false">IF($A193="N/A"," ",IF(PV=1,0,'Pricing Inputs4'!R226))</f>
        <v> </v>
      </c>
      <c r="AM193" s="323" t="str">
        <f aca="false">IF($A193="N/A"," ",(1+AL193/2)^(-2*((EOMONTH(A193,0)+20)-DateToday)/365.25))</f>
        <v> </v>
      </c>
      <c r="BQ193" s="0" t="str">
        <f aca="false">IF($A193="N/A"," ",(VLOOKUP($A193,NumberofDaysTable,2)))</f>
        <v> </v>
      </c>
      <c r="BR193" s="0" t="str">
        <f aca="false">IF($A193="N/A"," ",(VLOOKUP($A193,NumberofDaysTable,3)))</f>
        <v> </v>
      </c>
      <c r="BS193" s="0" t="str">
        <f aca="false">IF($A193="N/A"," ",(VLOOKUP($A193,NumberofDaysTable,4)))</f>
        <v> </v>
      </c>
    </row>
    <row r="194" customFormat="false" ht="12.75" hidden="false" customHeight="false" outlineLevel="0" collapsed="false">
      <c r="A194" s="315" t="str">
        <f aca="false">IF(A193="N/A","N/A",IF(EDATE(A193,1)&gt;Inputs!$R$5,"N/A",EDATE(A193,1)))</f>
        <v>N/A</v>
      </c>
      <c r="B194" s="316" t="str">
        <f aca="false">IF(A194="N/A"," ",YEAR(A194))</f>
        <v> </v>
      </c>
      <c r="C194" s="317" t="str">
        <f aca="false">IF($A194="N/A"," ",IF(Dayrun4=10,0,IF(Scaler4=1,(VLOOKUP(A194,ScaledPrice4,4)),(VLOOKUP(A194,ScaledPrice4,2)))))</f>
        <v> </v>
      </c>
      <c r="D194" s="317" t="str">
        <f aca="false">IF(A194="N/A"," ",IF(Dayrun4&gt;=7,0,IF(Scaler4=2,VLOOKUP(A194,ScaledPrice4,2),(VLOOKUP(A194,ScaledPrice4,2))*(2-(VLOOKUP(A194,ScaledPrice4,3))))))</f>
        <v> </v>
      </c>
      <c r="E194" s="317" t="str">
        <f aca="false">IF($A194="N/A"," ",IF(AND(Dayrun4&gt;=4,Dayrun4&lt;=9),0,VLOOKUP($A194,ScaledPrice4,9)))</f>
        <v> </v>
      </c>
      <c r="F194" s="317" t="str">
        <f aca="false">IF(A194="N/A"," ",IF(OR(Dayrun4=2,Dayrun4=3,Dayrun4=5,Dayrun4=6,Dayrun4=8,Dayrun4=9),VLOOKUP(A194,ScaledPrice4,IF(Scaler4=1,6,5)),0))</f>
        <v> </v>
      </c>
      <c r="G194" s="317" t="str">
        <f aca="false">IF(A194="N/A"," ",IF(OR(Dayrun4=2,Dayrun4=3,Dayrun4=5,Dayrun4=6),IF(Scaler4=2,F194,(VLOOKUP(A194,ScaledPrice4,5))*(2-(VLOOKUP(A194,ScaledPrice4,3)))),0))</f>
        <v> </v>
      </c>
      <c r="H194" s="317" t="str">
        <f aca="false">IF($A194="N/A"," ",IF(OR(Dayrun4=2,Dayrun4=3,Dayrun4=10),VLOOKUP($A194,ScaledPrice4,9),0))</f>
        <v> </v>
      </c>
      <c r="I194" s="317" t="str">
        <f aca="false">IF(A194="N/A"," ",IF(OR(Dayrun4=3,Dayrun4=6,Dayrun4=9),(VLOOKUP(A194,ScaledPrice4,IF(Scaler4=2,7,8))),0))</f>
        <v> </v>
      </c>
      <c r="J194" s="317" t="str">
        <f aca="false">IF(A194="N/A"," ",IF(OR(Dayrun4=3,Dayrun4=6),IF(Scaler4=2,I194,(VLOOKUP(A194,ScaledPrice4,7))*(2-(VLOOKUP(A194,ScaledPrice4,3)))),0))</f>
        <v> </v>
      </c>
      <c r="K194" s="317" t="str">
        <f aca="false">IF($A194="N/A"," ",IF(OR(Dayrun4=3,Dayrun4=10),VLOOKUP($A194,ScaledPrice4,9),0))</f>
        <v> </v>
      </c>
      <c r="L194" s="318" t="str">
        <f aca="false">IF($A194="N/A"," ",IF(Pricetype4=2,MAX(C194,0),IF(OR(Pricetype4=1,Pricetype4=4),IF(C194=0,0,(EURO(C194,Strikeprice4,0,0,($AH194+IF(Smile=TRUE(),VLOOKUP(MAX(-5,Strikeprice4-C194),Volsmile,2),0)),($A194-DateToday)+15,IF(Pricetype4=1,1,0),0))),C194)))</f>
        <v> </v>
      </c>
      <c r="M194" s="318" t="str">
        <f aca="false">IF($A194="N/A"," ",IF(Pricetype4=2,MAX(D194,0),IF(OR(Pricetype4=1,Pricetype4=4),IF(D194=0,0,(EURO(D194,Strikeprice4,0,0,($AH194+IF(Smile=TRUE(),VLOOKUP(MAX(-5,Strikeprice4-D194),Volsmile,2),0)),($A194-DateToday)+15,IF(Pricetype4=1,1,0),0))),D194)))</f>
        <v> </v>
      </c>
      <c r="N194" s="318" t="str">
        <f aca="false">IF($A194="N/A"," ",IF(Pricetype4=2,MAX(E194,0),IF(OR(Pricetype4=1,Pricetype4=4),IF(E194=0,0,(EURO(E194,Strikeprice4,0,0,($AK194+IF(Smile=TRUE(),VLOOKUP(MAX(-5,Strikeprice4-E194),Volsmile,2),0)),($A194-DateToday)+15,IF(Pricetype4=1,1,0),0))),E194)))</f>
        <v> </v>
      </c>
      <c r="O194" s="318" t="str">
        <f aca="false">IF($A194="N/A"," ",IF(Pricetype4=2,MAX(F194,0),IF(OR(Pricetype4=1,Pricetype4=4),IF(F194=0,0,(EURO(F194,Strikeprice4,0,0,($AK194+IF(Smile=TRUE(),VLOOKUP(MAX(-5,Strikeprice4-F194),Volsmile,2),0)),($A194-DateToday)+15,IF(Pricetype4=1,1,0),0))),F194)))</f>
        <v> </v>
      </c>
      <c r="P194" s="318" t="str">
        <f aca="false">IF($A194="N/A"," ",IF(Pricetype4=2,MAX(G194,0),IF(OR(Pricetype4=1,Pricetype4=4),IF(G194=0,0,(EURO(G194,Strikeprice4,0,0,($AK194+IF(Smile=TRUE(),VLOOKUP(MAX(-5,Strikeprice4-G194),Volsmile,2),0)),($A194-DateToday)+15,IF(Pricetype4=1,1,0),0))),G194)))</f>
        <v> </v>
      </c>
      <c r="Q194" s="318" t="str">
        <f aca="false">IF($A194="N/A"," ",IF(Pricetype4=2,MAX(H194,0),IF(OR(Pricetype4=1,Pricetype4=4),IF(H194=0,0,(EURO(H194,Strikeprice4,0,0,($AK194+IF(Smile=TRUE(),VLOOKUP(MAX(-5,Strikeprice4-H194),Volsmile,2),0)),($A194-DateToday)+15,IF(Pricetype4=1,1,0),0))),H194)))</f>
        <v> </v>
      </c>
      <c r="R194" s="318" t="str">
        <f aca="false">IF($A194="N/A"," ",IF(Pricetype4=2,MAX(I194,0),IF(OR(Pricetype4=1,Pricetype4=4),IF(I194=0,0,(EURO(I194,Strikeprice4,0,0,($AK194+IF(Smile=TRUE(),VLOOKUP(MAX(-5,Strikeprice4-I194),Volsmile,2),0)),($A194-DateToday)+15,IF(Pricetype4=1,1,0),0))),I194)))</f>
        <v> </v>
      </c>
      <c r="S194" s="318" t="str">
        <f aca="false">IF($A194="N/A"," ",IF(Pricetype4=2,MAX(J194,0),IF(OR(Pricetype4=1,Pricetype4=4),IF(J194=0,0,(EURO(J194,Strikeprice4,0,0,($AK194+IF(Smile=TRUE(),VLOOKUP(MAX(-5,Strikeprice4-J194),Volsmile,2),0)),($A194-DateToday)+15,IF(Pricetype4=1,1,0),0))),J194)))</f>
        <v> </v>
      </c>
      <c r="T194" s="318" t="str">
        <f aca="false">IF($A194="N/A"," ",IF(Pricetype4=2,MAX(K194,0),IF(OR(Pricetype4=1,Pricetype4=4),IF(K194=0,0,(EURO(K194,Strikeprice4,0,0,($AK194+IF(Smile=TRUE(),VLOOKUP(MAX(-5,Strikeprice4-K194),Volsmile,2),0)),($A194-DateToday)+15,IF(Pricetype4=1,1,0),0))),K194)))</f>
        <v> </v>
      </c>
      <c r="U194" s="319" t="str">
        <f aca="false">IF($A194="N/A"," ",Volume4*$AM194)</f>
        <v> </v>
      </c>
      <c r="V194" s="320" t="str">
        <f aca="false">IF($A194="N/A"," ",$U194*(8*($BQ194))*L194)</f>
        <v> </v>
      </c>
      <c r="W194" s="320" t="str">
        <f aca="false">IF($A194="N/A"," ",$U194*(8*($BQ194))*M194)</f>
        <v> </v>
      </c>
      <c r="X194" s="320" t="str">
        <f aca="false">IF($A194="N/A"," ",$U194*(8*($BQ194))*N194)</f>
        <v> </v>
      </c>
      <c r="Y194" s="320" t="str">
        <f aca="false">IF($A194="N/A"," ",$U194*(8*($BR194))*O194)</f>
        <v> </v>
      </c>
      <c r="Z194" s="320" t="str">
        <f aca="false">IF($A194="N/A"," ",$U194*(8*($BR194))*P194)</f>
        <v> </v>
      </c>
      <c r="AA194" s="320" t="str">
        <f aca="false">IF($A194="N/A"," ",$U194*(8*($BR194))*Q194)</f>
        <v> </v>
      </c>
      <c r="AB194" s="320" t="str">
        <f aca="false">IF($A194="N/A"," ",$U194*(8*($BS194))*R194)</f>
        <v> </v>
      </c>
      <c r="AC194" s="320" t="str">
        <f aca="false">IF($A194="N/A"," ",$U194*(8*($BS194))*S194)</f>
        <v> </v>
      </c>
      <c r="AD194" s="320" t="str">
        <f aca="false">IF($A194="N/A"," ",$U194*(8*($BS194))*T194)</f>
        <v> </v>
      </c>
      <c r="AE194" s="320" t="str">
        <f aca="false">IF($A194="N/A"," ",SUM(V194:AD194))</f>
        <v> </v>
      </c>
      <c r="AF194" s="321" t="str">
        <f aca="false">IF(A194="N/A"," ",(VLOOKUP(A194,PowerVolTable,(IF(VolBMO4=2,7,IF(VolBMO4=1,6,8))),FALSE())))</f>
        <v> </v>
      </c>
      <c r="AG194" s="321" t="str">
        <f aca="false">IF(A194="N/A"," ",(VLOOKUP(A194,IntraPowerVol,(IF(VolBMO4=2,3,IF(VolBMO4=1,2,4))),FALSE())*VLOOKUP(MONTH($A194),Volscale,2)))</f>
        <v> </v>
      </c>
      <c r="AH194" s="321" t="str">
        <f aca="false">IF($A194="N/A"," ",IF(VolType4=1,AG194,AF194))</f>
        <v> </v>
      </c>
      <c r="AI194" s="321" t="str">
        <f aca="false">IF($A194="N/A"," ",(VLOOKUP($A194,OffPwrVolTable,(IF(VolBMO4=2,7,IF(VolBMO4=1,6,8))),FALSE())))</f>
        <v> </v>
      </c>
      <c r="AJ194" s="321" t="str">
        <f aca="false">IF($A194="N/A"," ",(VLOOKUP($A194,OffPwrVolTable,(IF(VolBMO4=2,3,IF(VolBMO4=1,2,4))),FALSE())*VLOOKUP(MONTH($A194),Volscale,2)))</f>
        <v> </v>
      </c>
      <c r="AK194" s="321" t="str">
        <f aca="false">IF($A194="N/A"," ",IF(VolType4=1,AJ194,AI194))</f>
        <v> </v>
      </c>
      <c r="AL194" s="321" t="str">
        <f aca="false">IF($A194="N/A"," ",IF(PV=1,0,'Pricing Inputs4'!R227))</f>
        <v> </v>
      </c>
      <c r="AM194" s="323" t="str">
        <f aca="false">IF($A194="N/A"," ",(1+AL194/2)^(-2*((EOMONTH(A194,0)+20)-DateToday)/365.25))</f>
        <v> </v>
      </c>
      <c r="BQ194" s="0" t="str">
        <f aca="false">IF($A194="N/A"," ",(VLOOKUP($A194,NumberofDaysTable,2)))</f>
        <v> </v>
      </c>
      <c r="BR194" s="0" t="str">
        <f aca="false">IF($A194="N/A"," ",(VLOOKUP($A194,NumberofDaysTable,3)))</f>
        <v> </v>
      </c>
      <c r="BS194" s="0" t="str">
        <f aca="false">IF($A194="N/A"," ",(VLOOKUP($A194,NumberofDaysTable,4)))</f>
        <v> </v>
      </c>
    </row>
    <row r="195" customFormat="false" ht="12.75" hidden="false" customHeight="false" outlineLevel="0" collapsed="false">
      <c r="A195" s="315" t="str">
        <f aca="false">IF(A194="N/A","N/A",IF(EDATE(A194,1)&gt;Inputs!$R$5,"N/A",EDATE(A194,1)))</f>
        <v>N/A</v>
      </c>
      <c r="B195" s="316" t="str">
        <f aca="false">IF(A195="N/A"," ",YEAR(A195))</f>
        <v> </v>
      </c>
      <c r="C195" s="317" t="str">
        <f aca="false">IF($A195="N/A"," ",IF(Dayrun4=10,0,IF(Scaler4=1,(VLOOKUP(A195,ScaledPrice4,4)),(VLOOKUP(A195,ScaledPrice4,2)))))</f>
        <v> </v>
      </c>
      <c r="D195" s="317" t="str">
        <f aca="false">IF(A195="N/A"," ",IF(Dayrun4&gt;=7,0,IF(Scaler4=2,VLOOKUP(A195,ScaledPrice4,2),(VLOOKUP(A195,ScaledPrice4,2))*(2-(VLOOKUP(A195,ScaledPrice4,3))))))</f>
        <v> </v>
      </c>
      <c r="E195" s="317" t="str">
        <f aca="false">IF($A195="N/A"," ",IF(AND(Dayrun4&gt;=4,Dayrun4&lt;=9),0,VLOOKUP($A195,ScaledPrice4,9)))</f>
        <v> </v>
      </c>
      <c r="F195" s="317" t="str">
        <f aca="false">IF(A195="N/A"," ",IF(OR(Dayrun4=2,Dayrun4=3,Dayrun4=5,Dayrun4=6,Dayrun4=8,Dayrun4=9),VLOOKUP(A195,ScaledPrice4,IF(Scaler4=1,6,5)),0))</f>
        <v> </v>
      </c>
      <c r="G195" s="317" t="str">
        <f aca="false">IF(A195="N/A"," ",IF(OR(Dayrun4=2,Dayrun4=3,Dayrun4=5,Dayrun4=6),IF(Scaler4=2,F195,(VLOOKUP(A195,ScaledPrice4,5))*(2-(VLOOKUP(A195,ScaledPrice4,3)))),0))</f>
        <v> </v>
      </c>
      <c r="H195" s="317" t="str">
        <f aca="false">IF($A195="N/A"," ",IF(OR(Dayrun4=2,Dayrun4=3,Dayrun4=10),VLOOKUP($A195,ScaledPrice4,9),0))</f>
        <v> </v>
      </c>
      <c r="I195" s="317" t="str">
        <f aca="false">IF(A195="N/A"," ",IF(OR(Dayrun4=3,Dayrun4=6,Dayrun4=9),(VLOOKUP(A195,ScaledPrice4,IF(Scaler4=2,7,8))),0))</f>
        <v> </v>
      </c>
      <c r="J195" s="317" t="str">
        <f aca="false">IF(A195="N/A"," ",IF(OR(Dayrun4=3,Dayrun4=6),IF(Scaler4=2,I195,(VLOOKUP(A195,ScaledPrice4,7))*(2-(VLOOKUP(A195,ScaledPrice4,3)))),0))</f>
        <v> </v>
      </c>
      <c r="K195" s="317" t="str">
        <f aca="false">IF($A195="N/A"," ",IF(OR(Dayrun4=3,Dayrun4=10),VLOOKUP($A195,ScaledPrice4,9),0))</f>
        <v> </v>
      </c>
      <c r="L195" s="318" t="str">
        <f aca="false">IF($A195="N/A"," ",IF(Pricetype4=2,MAX(C195,0),IF(OR(Pricetype4=1,Pricetype4=4),IF(C195=0,0,(EURO(C195,Strikeprice4,0,0,($AH195+IF(Smile=TRUE(),VLOOKUP(MAX(-5,Strikeprice4-C195),Volsmile,2),0)),($A195-DateToday)+15,IF(Pricetype4=1,1,0),0))),C195)))</f>
        <v> </v>
      </c>
      <c r="M195" s="318" t="str">
        <f aca="false">IF($A195="N/A"," ",IF(Pricetype4=2,MAX(D195,0),IF(OR(Pricetype4=1,Pricetype4=4),IF(D195=0,0,(EURO(D195,Strikeprice4,0,0,($AH195+IF(Smile=TRUE(),VLOOKUP(MAX(-5,Strikeprice4-D195),Volsmile,2),0)),($A195-DateToday)+15,IF(Pricetype4=1,1,0),0))),D195)))</f>
        <v> </v>
      </c>
      <c r="N195" s="318" t="str">
        <f aca="false">IF($A195="N/A"," ",IF(Pricetype4=2,MAX(E195,0),IF(OR(Pricetype4=1,Pricetype4=4),IF(E195=0,0,(EURO(E195,Strikeprice4,0,0,($AK195+IF(Smile=TRUE(),VLOOKUP(MAX(-5,Strikeprice4-E195),Volsmile,2),0)),($A195-DateToday)+15,IF(Pricetype4=1,1,0),0))),E195)))</f>
        <v> </v>
      </c>
      <c r="O195" s="318" t="str">
        <f aca="false">IF($A195="N/A"," ",IF(Pricetype4=2,MAX(F195,0),IF(OR(Pricetype4=1,Pricetype4=4),IF(F195=0,0,(EURO(F195,Strikeprice4,0,0,($AK195+IF(Smile=TRUE(),VLOOKUP(MAX(-5,Strikeprice4-F195),Volsmile,2),0)),($A195-DateToday)+15,IF(Pricetype4=1,1,0),0))),F195)))</f>
        <v> </v>
      </c>
      <c r="P195" s="318" t="str">
        <f aca="false">IF($A195="N/A"," ",IF(Pricetype4=2,MAX(G195,0),IF(OR(Pricetype4=1,Pricetype4=4),IF(G195=0,0,(EURO(G195,Strikeprice4,0,0,($AK195+IF(Smile=TRUE(),VLOOKUP(MAX(-5,Strikeprice4-G195),Volsmile,2),0)),($A195-DateToday)+15,IF(Pricetype4=1,1,0),0))),G195)))</f>
        <v> </v>
      </c>
      <c r="Q195" s="318" t="str">
        <f aca="false">IF($A195="N/A"," ",IF(Pricetype4=2,MAX(H195,0),IF(OR(Pricetype4=1,Pricetype4=4),IF(H195=0,0,(EURO(H195,Strikeprice4,0,0,($AK195+IF(Smile=TRUE(),VLOOKUP(MAX(-5,Strikeprice4-H195),Volsmile,2),0)),($A195-DateToday)+15,IF(Pricetype4=1,1,0),0))),H195)))</f>
        <v> </v>
      </c>
      <c r="R195" s="318" t="str">
        <f aca="false">IF($A195="N/A"," ",IF(Pricetype4=2,MAX(I195,0),IF(OR(Pricetype4=1,Pricetype4=4),IF(I195=0,0,(EURO(I195,Strikeprice4,0,0,($AK195+IF(Smile=TRUE(),VLOOKUP(MAX(-5,Strikeprice4-I195),Volsmile,2),0)),($A195-DateToday)+15,IF(Pricetype4=1,1,0),0))),I195)))</f>
        <v> </v>
      </c>
      <c r="S195" s="318" t="str">
        <f aca="false">IF($A195="N/A"," ",IF(Pricetype4=2,MAX(J195,0),IF(OR(Pricetype4=1,Pricetype4=4),IF(J195=0,0,(EURO(J195,Strikeprice4,0,0,($AK195+IF(Smile=TRUE(),VLOOKUP(MAX(-5,Strikeprice4-J195),Volsmile,2),0)),($A195-DateToday)+15,IF(Pricetype4=1,1,0),0))),J195)))</f>
        <v> </v>
      </c>
      <c r="T195" s="318" t="str">
        <f aca="false">IF($A195="N/A"," ",IF(Pricetype4=2,MAX(K195,0),IF(OR(Pricetype4=1,Pricetype4=4),IF(K195=0,0,(EURO(K195,Strikeprice4,0,0,($AK195+IF(Smile=TRUE(),VLOOKUP(MAX(-5,Strikeprice4-K195),Volsmile,2),0)),($A195-DateToday)+15,IF(Pricetype4=1,1,0),0))),K195)))</f>
        <v> </v>
      </c>
      <c r="U195" s="319" t="str">
        <f aca="false">IF($A195="N/A"," ",Volume4*$AM195)</f>
        <v> </v>
      </c>
      <c r="V195" s="320" t="str">
        <f aca="false">IF($A195="N/A"," ",$U195*(8*($BQ195))*L195)</f>
        <v> </v>
      </c>
      <c r="W195" s="320" t="str">
        <f aca="false">IF($A195="N/A"," ",$U195*(8*($BQ195))*M195)</f>
        <v> </v>
      </c>
      <c r="X195" s="320" t="str">
        <f aca="false">IF($A195="N/A"," ",$U195*(8*($BQ195))*N195)</f>
        <v> </v>
      </c>
      <c r="Y195" s="320" t="str">
        <f aca="false">IF($A195="N/A"," ",$U195*(8*($BR195))*O195)</f>
        <v> </v>
      </c>
      <c r="Z195" s="320" t="str">
        <f aca="false">IF($A195="N/A"," ",$U195*(8*($BR195))*P195)</f>
        <v> </v>
      </c>
      <c r="AA195" s="320" t="str">
        <f aca="false">IF($A195="N/A"," ",$U195*(8*($BR195))*Q195)</f>
        <v> </v>
      </c>
      <c r="AB195" s="320" t="str">
        <f aca="false">IF($A195="N/A"," ",$U195*(8*($BS195))*R195)</f>
        <v> </v>
      </c>
      <c r="AC195" s="320" t="str">
        <f aca="false">IF($A195="N/A"," ",$U195*(8*($BS195))*S195)</f>
        <v> </v>
      </c>
      <c r="AD195" s="320" t="str">
        <f aca="false">IF($A195="N/A"," ",$U195*(8*($BS195))*T195)</f>
        <v> </v>
      </c>
      <c r="AE195" s="320" t="str">
        <f aca="false">IF($A195="N/A"," ",SUM(V195:AD195))</f>
        <v> </v>
      </c>
      <c r="AF195" s="321" t="str">
        <f aca="false">IF(A195="N/A"," ",(VLOOKUP(A195,PowerVolTable,(IF(VolBMO4=2,7,IF(VolBMO4=1,6,8))),FALSE())))</f>
        <v> </v>
      </c>
      <c r="AG195" s="321" t="str">
        <f aca="false">IF(A195="N/A"," ",(VLOOKUP(A195,IntraPowerVol,(IF(VolBMO4=2,3,IF(VolBMO4=1,2,4))),FALSE())*VLOOKUP(MONTH($A195),Volscale,2)))</f>
        <v> </v>
      </c>
      <c r="AH195" s="321" t="str">
        <f aca="false">IF($A195="N/A"," ",IF(VolType4=1,AG195,AF195))</f>
        <v> </v>
      </c>
      <c r="AI195" s="321" t="str">
        <f aca="false">IF($A195="N/A"," ",(VLOOKUP($A195,OffPwrVolTable,(IF(VolBMO4=2,7,IF(VolBMO4=1,6,8))),FALSE())))</f>
        <v> </v>
      </c>
      <c r="AJ195" s="321" t="str">
        <f aca="false">IF($A195="N/A"," ",(VLOOKUP($A195,OffPwrVolTable,(IF(VolBMO4=2,3,IF(VolBMO4=1,2,4))),FALSE())*VLOOKUP(MONTH($A195),Volscale,2)))</f>
        <v> </v>
      </c>
      <c r="AK195" s="321" t="str">
        <f aca="false">IF($A195="N/A"," ",IF(VolType4=1,AJ195,AI195))</f>
        <v> </v>
      </c>
      <c r="AL195" s="321" t="str">
        <f aca="false">IF($A195="N/A"," ",IF(PV=1,0,'Pricing Inputs4'!R228))</f>
        <v> </v>
      </c>
      <c r="AM195" s="323" t="str">
        <f aca="false">IF($A195="N/A"," ",(1+AL195/2)^(-2*((EOMONTH(A195,0)+20)-DateToday)/365.25))</f>
        <v> </v>
      </c>
      <c r="BQ195" s="0" t="str">
        <f aca="false">IF($A195="N/A"," ",(VLOOKUP($A195,NumberofDaysTable,2)))</f>
        <v> </v>
      </c>
      <c r="BR195" s="0" t="str">
        <f aca="false">IF($A195="N/A"," ",(VLOOKUP($A195,NumberofDaysTable,3)))</f>
        <v> </v>
      </c>
      <c r="BS195" s="0" t="str">
        <f aca="false">IF($A195="N/A"," ",(VLOOKUP($A195,NumberofDaysTable,4)))</f>
        <v> </v>
      </c>
    </row>
    <row r="196" customFormat="false" ht="12.75" hidden="false" customHeight="false" outlineLevel="0" collapsed="false">
      <c r="A196" s="315" t="str">
        <f aca="false">IF(A195="N/A","N/A",IF(EDATE(A195,1)&gt;Inputs!$R$5,"N/A",EDATE(A195,1)))</f>
        <v>N/A</v>
      </c>
      <c r="B196" s="316" t="str">
        <f aca="false">IF(A196="N/A"," ",YEAR(A196))</f>
        <v> </v>
      </c>
      <c r="C196" s="317" t="str">
        <f aca="false">IF($A196="N/A"," ",IF(Dayrun4=10,0,IF(Scaler4=1,(VLOOKUP(A196,ScaledPrice4,4)),(VLOOKUP(A196,ScaledPrice4,2)))))</f>
        <v> </v>
      </c>
      <c r="D196" s="317" t="str">
        <f aca="false">IF(A196="N/A"," ",IF(Dayrun4&gt;=7,0,IF(Scaler4=2,VLOOKUP(A196,ScaledPrice4,2),(VLOOKUP(A196,ScaledPrice4,2))*(2-(VLOOKUP(A196,ScaledPrice4,3))))))</f>
        <v> </v>
      </c>
      <c r="E196" s="317" t="str">
        <f aca="false">IF($A196="N/A"," ",IF(AND(Dayrun4&gt;=4,Dayrun4&lt;=9),0,VLOOKUP($A196,ScaledPrice4,9)))</f>
        <v> </v>
      </c>
      <c r="F196" s="317" t="str">
        <f aca="false">IF(A196="N/A"," ",IF(OR(Dayrun4=2,Dayrun4=3,Dayrun4=5,Dayrun4=6,Dayrun4=8,Dayrun4=9),VLOOKUP(A196,ScaledPrice4,IF(Scaler4=1,6,5)),0))</f>
        <v> </v>
      </c>
      <c r="G196" s="317" t="str">
        <f aca="false">IF(A196="N/A"," ",IF(OR(Dayrun4=2,Dayrun4=3,Dayrun4=5,Dayrun4=6),IF(Scaler4=2,F196,(VLOOKUP(A196,ScaledPrice4,5))*(2-(VLOOKUP(A196,ScaledPrice4,3)))),0))</f>
        <v> </v>
      </c>
      <c r="H196" s="317" t="str">
        <f aca="false">IF($A196="N/A"," ",IF(OR(Dayrun4=2,Dayrun4=3,Dayrun4=10),VLOOKUP($A196,ScaledPrice4,9),0))</f>
        <v> </v>
      </c>
      <c r="I196" s="317" t="str">
        <f aca="false">IF(A196="N/A"," ",IF(OR(Dayrun4=3,Dayrun4=6,Dayrun4=9),(VLOOKUP(A196,ScaledPrice4,IF(Scaler4=2,7,8))),0))</f>
        <v> </v>
      </c>
      <c r="J196" s="317" t="str">
        <f aca="false">IF(A196="N/A"," ",IF(OR(Dayrun4=3,Dayrun4=6),IF(Scaler4=2,I196,(VLOOKUP(A196,ScaledPrice4,7))*(2-(VLOOKUP(A196,ScaledPrice4,3)))),0))</f>
        <v> </v>
      </c>
      <c r="K196" s="317" t="str">
        <f aca="false">IF($A196="N/A"," ",IF(OR(Dayrun4=3,Dayrun4=10),VLOOKUP($A196,ScaledPrice4,9),0))</f>
        <v> </v>
      </c>
      <c r="L196" s="318" t="str">
        <f aca="false">IF($A196="N/A"," ",IF(Pricetype4=2,MAX(C196,0),IF(OR(Pricetype4=1,Pricetype4=4),IF(C196=0,0,(EURO(C196,Strikeprice4,0,0,($AH196+IF(Smile=TRUE(),VLOOKUP(MAX(-5,Strikeprice4-C196),Volsmile,2),0)),($A196-DateToday)+15,IF(Pricetype4=1,1,0),0))),C196)))</f>
        <v> </v>
      </c>
      <c r="M196" s="318" t="str">
        <f aca="false">IF($A196="N/A"," ",IF(Pricetype4=2,MAX(D196,0),IF(OR(Pricetype4=1,Pricetype4=4),IF(D196=0,0,(EURO(D196,Strikeprice4,0,0,($AH196+IF(Smile=TRUE(),VLOOKUP(MAX(-5,Strikeprice4-D196),Volsmile,2),0)),($A196-DateToday)+15,IF(Pricetype4=1,1,0),0))),D196)))</f>
        <v> </v>
      </c>
      <c r="N196" s="318" t="str">
        <f aca="false">IF($A196="N/A"," ",IF(Pricetype4=2,MAX(E196,0),IF(OR(Pricetype4=1,Pricetype4=4),IF(E196=0,0,(EURO(E196,Strikeprice4,0,0,($AK196+IF(Smile=TRUE(),VLOOKUP(MAX(-5,Strikeprice4-E196),Volsmile,2),0)),($A196-DateToday)+15,IF(Pricetype4=1,1,0),0))),E196)))</f>
        <v> </v>
      </c>
      <c r="O196" s="318" t="str">
        <f aca="false">IF($A196="N/A"," ",IF(Pricetype4=2,MAX(F196,0),IF(OR(Pricetype4=1,Pricetype4=4),IF(F196=0,0,(EURO(F196,Strikeprice4,0,0,($AK196+IF(Smile=TRUE(),VLOOKUP(MAX(-5,Strikeprice4-F196),Volsmile,2),0)),($A196-DateToday)+15,IF(Pricetype4=1,1,0),0))),F196)))</f>
        <v> </v>
      </c>
      <c r="P196" s="318" t="str">
        <f aca="false">IF($A196="N/A"," ",IF(Pricetype4=2,MAX(G196,0),IF(OR(Pricetype4=1,Pricetype4=4),IF(G196=0,0,(EURO(G196,Strikeprice4,0,0,($AK196+IF(Smile=TRUE(),VLOOKUP(MAX(-5,Strikeprice4-G196),Volsmile,2),0)),($A196-DateToday)+15,IF(Pricetype4=1,1,0),0))),G196)))</f>
        <v> </v>
      </c>
      <c r="Q196" s="318" t="str">
        <f aca="false">IF($A196="N/A"," ",IF(Pricetype4=2,MAX(H196,0),IF(OR(Pricetype4=1,Pricetype4=4),IF(H196=0,0,(EURO(H196,Strikeprice4,0,0,($AK196+IF(Smile=TRUE(),VLOOKUP(MAX(-5,Strikeprice4-H196),Volsmile,2),0)),($A196-DateToday)+15,IF(Pricetype4=1,1,0),0))),H196)))</f>
        <v> </v>
      </c>
      <c r="R196" s="318" t="str">
        <f aca="false">IF($A196="N/A"," ",IF(Pricetype4=2,MAX(I196,0),IF(OR(Pricetype4=1,Pricetype4=4),IF(I196=0,0,(EURO(I196,Strikeprice4,0,0,($AK196+IF(Smile=TRUE(),VLOOKUP(MAX(-5,Strikeprice4-I196),Volsmile,2),0)),($A196-DateToday)+15,IF(Pricetype4=1,1,0),0))),I196)))</f>
        <v> </v>
      </c>
      <c r="S196" s="318" t="str">
        <f aca="false">IF($A196="N/A"," ",IF(Pricetype4=2,MAX(J196,0),IF(OR(Pricetype4=1,Pricetype4=4),IF(J196=0,0,(EURO(J196,Strikeprice4,0,0,($AK196+IF(Smile=TRUE(),VLOOKUP(MAX(-5,Strikeprice4-J196),Volsmile,2),0)),($A196-DateToday)+15,IF(Pricetype4=1,1,0),0))),J196)))</f>
        <v> </v>
      </c>
      <c r="T196" s="318" t="str">
        <f aca="false">IF($A196="N/A"," ",IF(Pricetype4=2,MAX(K196,0),IF(OR(Pricetype4=1,Pricetype4=4),IF(K196=0,0,(EURO(K196,Strikeprice4,0,0,($AK196+IF(Smile=TRUE(),VLOOKUP(MAX(-5,Strikeprice4-K196),Volsmile,2),0)),($A196-DateToday)+15,IF(Pricetype4=1,1,0),0))),K196)))</f>
        <v> </v>
      </c>
      <c r="U196" s="319" t="str">
        <f aca="false">IF($A196="N/A"," ",Volume4*$AM196)</f>
        <v> </v>
      </c>
      <c r="V196" s="320" t="str">
        <f aca="false">IF($A196="N/A"," ",$U196*(8*($BQ196))*L196)</f>
        <v> </v>
      </c>
      <c r="W196" s="320" t="str">
        <f aca="false">IF($A196="N/A"," ",$U196*(8*($BQ196))*M196)</f>
        <v> </v>
      </c>
      <c r="X196" s="320" t="str">
        <f aca="false">IF($A196="N/A"," ",$U196*(8*($BQ196))*N196)</f>
        <v> </v>
      </c>
      <c r="Y196" s="320" t="str">
        <f aca="false">IF($A196="N/A"," ",$U196*(8*($BR196))*O196)</f>
        <v> </v>
      </c>
      <c r="Z196" s="320" t="str">
        <f aca="false">IF($A196="N/A"," ",$U196*(8*($BR196))*P196)</f>
        <v> </v>
      </c>
      <c r="AA196" s="320" t="str">
        <f aca="false">IF($A196="N/A"," ",$U196*(8*($BR196))*Q196)</f>
        <v> </v>
      </c>
      <c r="AB196" s="320" t="str">
        <f aca="false">IF($A196="N/A"," ",$U196*(8*($BS196))*R196)</f>
        <v> </v>
      </c>
      <c r="AC196" s="320" t="str">
        <f aca="false">IF($A196="N/A"," ",$U196*(8*($BS196))*S196)</f>
        <v> </v>
      </c>
      <c r="AD196" s="320" t="str">
        <f aca="false">IF($A196="N/A"," ",$U196*(8*($BS196))*T196)</f>
        <v> </v>
      </c>
      <c r="AE196" s="320" t="str">
        <f aca="false">IF($A196="N/A"," ",SUM(V196:AD196))</f>
        <v> </v>
      </c>
      <c r="AF196" s="321" t="str">
        <f aca="false">IF(A196="N/A"," ",(VLOOKUP(A196,PowerVolTable,(IF(VolBMO4=2,7,IF(VolBMO4=1,6,8))),FALSE())))</f>
        <v> </v>
      </c>
      <c r="AG196" s="321" t="str">
        <f aca="false">IF(A196="N/A"," ",(VLOOKUP(A196,IntraPowerVol,(IF(VolBMO4=2,3,IF(VolBMO4=1,2,4))),FALSE())*VLOOKUP(MONTH($A196),Volscale,2)))</f>
        <v> </v>
      </c>
      <c r="AH196" s="321" t="str">
        <f aca="false">IF($A196="N/A"," ",IF(VolType4=1,AG196,AF196))</f>
        <v> </v>
      </c>
      <c r="AI196" s="321" t="str">
        <f aca="false">IF($A196="N/A"," ",(VLOOKUP($A196,OffPwrVolTable,(IF(VolBMO4=2,7,IF(VolBMO4=1,6,8))),FALSE())))</f>
        <v> </v>
      </c>
      <c r="AJ196" s="321" t="str">
        <f aca="false">IF($A196="N/A"," ",(VLOOKUP($A196,OffPwrVolTable,(IF(VolBMO4=2,3,IF(VolBMO4=1,2,4))),FALSE())*VLOOKUP(MONTH($A196),Volscale,2)))</f>
        <v> </v>
      </c>
      <c r="AK196" s="321" t="str">
        <f aca="false">IF($A196="N/A"," ",IF(VolType4=1,AJ196,AI196))</f>
        <v> </v>
      </c>
      <c r="AL196" s="321" t="str">
        <f aca="false">IF($A196="N/A"," ",IF(PV=1,0,'Pricing Inputs4'!R229))</f>
        <v> </v>
      </c>
      <c r="AM196" s="323" t="str">
        <f aca="false">IF($A196="N/A"," ",(1+AL196/2)^(-2*((EOMONTH(A196,0)+20)-DateToday)/365.25))</f>
        <v> </v>
      </c>
      <c r="BQ196" s="0" t="str">
        <f aca="false">IF($A196="N/A"," ",(VLOOKUP($A196,NumberofDaysTable,2)))</f>
        <v> </v>
      </c>
      <c r="BR196" s="0" t="str">
        <f aca="false">IF($A196="N/A"," ",(VLOOKUP($A196,NumberofDaysTable,3)))</f>
        <v> </v>
      </c>
      <c r="BS196" s="0" t="str">
        <f aca="false">IF($A196="N/A"," ",(VLOOKUP($A196,NumberofDaysTable,4)))</f>
        <v> </v>
      </c>
    </row>
    <row r="197" customFormat="false" ht="12.75" hidden="false" customHeight="false" outlineLevel="0" collapsed="false">
      <c r="A197" s="315" t="str">
        <f aca="false">IF(A196="N/A","N/A",IF(EDATE(A196,1)&gt;Inputs!$R$5,"N/A",EDATE(A196,1)))</f>
        <v>N/A</v>
      </c>
      <c r="B197" s="316" t="str">
        <f aca="false">IF(A197="N/A"," ",YEAR(A197))</f>
        <v> </v>
      </c>
      <c r="C197" s="317" t="str">
        <f aca="false">IF($A197="N/A"," ",IF(Dayrun4=10,0,IF(Scaler4=1,(VLOOKUP(A197,ScaledPrice4,4)),(VLOOKUP(A197,ScaledPrice4,2)))))</f>
        <v> </v>
      </c>
      <c r="D197" s="317" t="str">
        <f aca="false">IF(A197="N/A"," ",IF(Dayrun4&gt;=7,0,IF(Scaler4=2,VLOOKUP(A197,ScaledPrice4,2),(VLOOKUP(A197,ScaledPrice4,2))*(2-(VLOOKUP(A197,ScaledPrice4,3))))))</f>
        <v> </v>
      </c>
      <c r="E197" s="317" t="str">
        <f aca="false">IF($A197="N/A"," ",IF(AND(Dayrun4&gt;=4,Dayrun4&lt;=9),0,VLOOKUP($A197,ScaledPrice4,9)))</f>
        <v> </v>
      </c>
      <c r="F197" s="317" t="str">
        <f aca="false">IF(A197="N/A"," ",IF(OR(Dayrun4=2,Dayrun4=3,Dayrun4=5,Dayrun4=6,Dayrun4=8,Dayrun4=9),VLOOKUP(A197,ScaledPrice4,IF(Scaler4=1,6,5)),0))</f>
        <v> </v>
      </c>
      <c r="G197" s="317" t="str">
        <f aca="false">IF(A197="N/A"," ",IF(OR(Dayrun4=2,Dayrun4=3,Dayrun4=5,Dayrun4=6),IF(Scaler4=2,F197,(VLOOKUP(A197,ScaledPrice4,5))*(2-(VLOOKUP(A197,ScaledPrice4,3)))),0))</f>
        <v> </v>
      </c>
      <c r="H197" s="317" t="str">
        <f aca="false">IF($A197="N/A"," ",IF(OR(Dayrun4=2,Dayrun4=3,Dayrun4=10),VLOOKUP($A197,ScaledPrice4,9),0))</f>
        <v> </v>
      </c>
      <c r="I197" s="317" t="str">
        <f aca="false">IF(A197="N/A"," ",IF(OR(Dayrun4=3,Dayrun4=6,Dayrun4=9),(VLOOKUP(A197,ScaledPrice4,IF(Scaler4=2,7,8))),0))</f>
        <v> </v>
      </c>
      <c r="J197" s="317" t="str">
        <f aca="false">IF(A197="N/A"," ",IF(OR(Dayrun4=3,Dayrun4=6),IF(Scaler4=2,I197,(VLOOKUP(A197,ScaledPrice4,7))*(2-(VLOOKUP(A197,ScaledPrice4,3)))),0))</f>
        <v> </v>
      </c>
      <c r="K197" s="317" t="str">
        <f aca="false">IF($A197="N/A"," ",IF(OR(Dayrun4=3,Dayrun4=10),VLOOKUP($A197,ScaledPrice4,9),0))</f>
        <v> </v>
      </c>
      <c r="L197" s="318" t="str">
        <f aca="false">IF($A197="N/A"," ",IF(Pricetype4=2,MAX(C197,0),IF(OR(Pricetype4=1,Pricetype4=4),IF(C197=0,0,(EURO(C197,Strikeprice4,0,0,($AH197+IF(Smile=TRUE(),VLOOKUP(MAX(-5,Strikeprice4-C197),Volsmile,2),0)),($A197-DateToday)+15,IF(Pricetype4=1,1,0),0))),C197)))</f>
        <v> </v>
      </c>
      <c r="M197" s="318" t="str">
        <f aca="false">IF($A197="N/A"," ",IF(Pricetype4=2,MAX(D197,0),IF(OR(Pricetype4=1,Pricetype4=4),IF(D197=0,0,(EURO(D197,Strikeprice4,0,0,($AH197+IF(Smile=TRUE(),VLOOKUP(MAX(-5,Strikeprice4-D197),Volsmile,2),0)),($A197-DateToday)+15,IF(Pricetype4=1,1,0),0))),D197)))</f>
        <v> </v>
      </c>
      <c r="N197" s="318" t="str">
        <f aca="false">IF($A197="N/A"," ",IF(Pricetype4=2,MAX(E197,0),IF(OR(Pricetype4=1,Pricetype4=4),IF(E197=0,0,(EURO(E197,Strikeprice4,0,0,($AK197+IF(Smile=TRUE(),VLOOKUP(MAX(-5,Strikeprice4-E197),Volsmile,2),0)),($A197-DateToday)+15,IF(Pricetype4=1,1,0),0))),E197)))</f>
        <v> </v>
      </c>
      <c r="O197" s="318" t="str">
        <f aca="false">IF($A197="N/A"," ",IF(Pricetype4=2,MAX(F197,0),IF(OR(Pricetype4=1,Pricetype4=4),IF(F197=0,0,(EURO(F197,Strikeprice4,0,0,($AK197+IF(Smile=TRUE(),VLOOKUP(MAX(-5,Strikeprice4-F197),Volsmile,2),0)),($A197-DateToday)+15,IF(Pricetype4=1,1,0),0))),F197)))</f>
        <v> </v>
      </c>
      <c r="P197" s="318" t="str">
        <f aca="false">IF($A197="N/A"," ",IF(Pricetype4=2,MAX(G197,0),IF(OR(Pricetype4=1,Pricetype4=4),IF(G197=0,0,(EURO(G197,Strikeprice4,0,0,($AK197+IF(Smile=TRUE(),VLOOKUP(MAX(-5,Strikeprice4-G197),Volsmile,2),0)),($A197-DateToday)+15,IF(Pricetype4=1,1,0),0))),G197)))</f>
        <v> </v>
      </c>
      <c r="Q197" s="318" t="str">
        <f aca="false">IF($A197="N/A"," ",IF(Pricetype4=2,MAX(H197,0),IF(OR(Pricetype4=1,Pricetype4=4),IF(H197=0,0,(EURO(H197,Strikeprice4,0,0,($AK197+IF(Smile=TRUE(),VLOOKUP(MAX(-5,Strikeprice4-H197),Volsmile,2),0)),($A197-DateToday)+15,IF(Pricetype4=1,1,0),0))),H197)))</f>
        <v> </v>
      </c>
      <c r="R197" s="318" t="str">
        <f aca="false">IF($A197="N/A"," ",IF(Pricetype4=2,MAX(I197,0),IF(OR(Pricetype4=1,Pricetype4=4),IF(I197=0,0,(EURO(I197,Strikeprice4,0,0,($AK197+IF(Smile=TRUE(),VLOOKUP(MAX(-5,Strikeprice4-I197),Volsmile,2),0)),($A197-DateToday)+15,IF(Pricetype4=1,1,0),0))),I197)))</f>
        <v> </v>
      </c>
      <c r="S197" s="318" t="str">
        <f aca="false">IF($A197="N/A"," ",IF(Pricetype4=2,MAX(J197,0),IF(OR(Pricetype4=1,Pricetype4=4),IF(J197=0,0,(EURO(J197,Strikeprice4,0,0,($AK197+IF(Smile=TRUE(),VLOOKUP(MAX(-5,Strikeprice4-J197),Volsmile,2),0)),($A197-DateToday)+15,IF(Pricetype4=1,1,0),0))),J197)))</f>
        <v> </v>
      </c>
      <c r="T197" s="318" t="str">
        <f aca="false">IF($A197="N/A"," ",IF(Pricetype4=2,MAX(K197,0),IF(OR(Pricetype4=1,Pricetype4=4),IF(K197=0,0,(EURO(K197,Strikeprice4,0,0,($AK197+IF(Smile=TRUE(),VLOOKUP(MAX(-5,Strikeprice4-K197),Volsmile,2),0)),($A197-DateToday)+15,IF(Pricetype4=1,1,0),0))),K197)))</f>
        <v> </v>
      </c>
      <c r="U197" s="319" t="str">
        <f aca="false">IF($A197="N/A"," ",Volume4*$AM197)</f>
        <v> </v>
      </c>
      <c r="V197" s="320" t="str">
        <f aca="false">IF($A197="N/A"," ",$U197*(8*($BQ197))*L197)</f>
        <v> </v>
      </c>
      <c r="W197" s="320" t="str">
        <f aca="false">IF($A197="N/A"," ",$U197*(8*($BQ197))*M197)</f>
        <v> </v>
      </c>
      <c r="X197" s="320" t="str">
        <f aca="false">IF($A197="N/A"," ",$U197*(8*($BQ197))*N197)</f>
        <v> </v>
      </c>
      <c r="Y197" s="320" t="str">
        <f aca="false">IF($A197="N/A"," ",$U197*(8*($BR197))*O197)</f>
        <v> </v>
      </c>
      <c r="Z197" s="320" t="str">
        <f aca="false">IF($A197="N/A"," ",$U197*(8*($BR197))*P197)</f>
        <v> </v>
      </c>
      <c r="AA197" s="320" t="str">
        <f aca="false">IF($A197="N/A"," ",$U197*(8*($BR197))*Q197)</f>
        <v> </v>
      </c>
      <c r="AB197" s="320" t="str">
        <f aca="false">IF($A197="N/A"," ",$U197*(8*($BS197))*R197)</f>
        <v> </v>
      </c>
      <c r="AC197" s="320" t="str">
        <f aca="false">IF($A197="N/A"," ",$U197*(8*($BS197))*S197)</f>
        <v> </v>
      </c>
      <c r="AD197" s="320" t="str">
        <f aca="false">IF($A197="N/A"," ",$U197*(8*($BS197))*T197)</f>
        <v> </v>
      </c>
      <c r="AE197" s="320" t="str">
        <f aca="false">IF($A197="N/A"," ",SUM(V197:AD197))</f>
        <v> </v>
      </c>
      <c r="AF197" s="321" t="str">
        <f aca="false">IF(A197="N/A"," ",(VLOOKUP(A197,PowerVolTable,(IF(VolBMO4=2,7,IF(VolBMO4=1,6,8))),FALSE())))</f>
        <v> </v>
      </c>
      <c r="AG197" s="321" t="str">
        <f aca="false">IF(A197="N/A"," ",(VLOOKUP(A197,IntraPowerVol,(IF(VolBMO4=2,3,IF(VolBMO4=1,2,4))),FALSE())*VLOOKUP(MONTH($A197),Volscale,2)))</f>
        <v> </v>
      </c>
      <c r="AH197" s="321" t="str">
        <f aca="false">IF($A197="N/A"," ",IF(VolType4=1,AG197,AF197))</f>
        <v> </v>
      </c>
      <c r="AI197" s="321" t="str">
        <f aca="false">IF($A197="N/A"," ",(VLOOKUP($A197,OffPwrVolTable,(IF(VolBMO4=2,7,IF(VolBMO4=1,6,8))),FALSE())))</f>
        <v> </v>
      </c>
      <c r="AJ197" s="321" t="str">
        <f aca="false">IF($A197="N/A"," ",(VLOOKUP($A197,OffPwrVolTable,(IF(VolBMO4=2,3,IF(VolBMO4=1,2,4))),FALSE())*VLOOKUP(MONTH($A197),Volscale,2)))</f>
        <v> </v>
      </c>
      <c r="AK197" s="321" t="str">
        <f aca="false">IF($A197="N/A"," ",IF(VolType4=1,AJ197,AI197))</f>
        <v> </v>
      </c>
      <c r="AL197" s="321" t="str">
        <f aca="false">IF($A197="N/A"," ",IF(PV=1,0,'Pricing Inputs4'!R230))</f>
        <v> </v>
      </c>
      <c r="AM197" s="323" t="str">
        <f aca="false">IF($A197="N/A"," ",(1+AL197/2)^(-2*((EOMONTH(A197,0)+20)-DateToday)/365.25))</f>
        <v> </v>
      </c>
      <c r="BQ197" s="0" t="str">
        <f aca="false">IF($A197="N/A"," ",(VLOOKUP($A197,NumberofDaysTable,2)))</f>
        <v> </v>
      </c>
      <c r="BR197" s="0" t="str">
        <f aca="false">IF($A197="N/A"," ",(VLOOKUP($A197,NumberofDaysTable,3)))</f>
        <v> </v>
      </c>
      <c r="BS197" s="0" t="str">
        <f aca="false">IF($A197="N/A"," ",(VLOOKUP($A197,NumberofDaysTable,4)))</f>
        <v> </v>
      </c>
    </row>
    <row r="198" customFormat="false" ht="12.75" hidden="false" customHeight="false" outlineLevel="0" collapsed="false">
      <c r="A198" s="315" t="str">
        <f aca="false">IF(A197="N/A","N/A",IF(EDATE(A197,1)&gt;Inputs!$R$5,"N/A",EDATE(A197,1)))</f>
        <v>N/A</v>
      </c>
      <c r="B198" s="316" t="str">
        <f aca="false">IF(A198="N/A"," ",YEAR(A198))</f>
        <v> </v>
      </c>
      <c r="C198" s="317" t="str">
        <f aca="false">IF($A198="N/A"," ",IF(Dayrun4=10,0,IF(Scaler4=1,(VLOOKUP(A198,ScaledPrice4,4)),(VLOOKUP(A198,ScaledPrice4,2)))))</f>
        <v> </v>
      </c>
      <c r="D198" s="317" t="str">
        <f aca="false">IF(A198="N/A"," ",IF(Dayrun4&gt;=7,0,IF(Scaler4=2,VLOOKUP(A198,ScaledPrice4,2),(VLOOKUP(A198,ScaledPrice4,2))*(2-(VLOOKUP(A198,ScaledPrice4,3))))))</f>
        <v> </v>
      </c>
      <c r="E198" s="317" t="str">
        <f aca="false">IF($A198="N/A"," ",IF(AND(Dayrun4&gt;=4,Dayrun4&lt;=9),0,VLOOKUP($A198,ScaledPrice4,9)))</f>
        <v> </v>
      </c>
      <c r="F198" s="317" t="str">
        <f aca="false">IF(A198="N/A"," ",IF(OR(Dayrun4=2,Dayrun4=3,Dayrun4=5,Dayrun4=6,Dayrun4=8,Dayrun4=9),VLOOKUP(A198,ScaledPrice4,IF(Scaler4=1,6,5)),0))</f>
        <v> </v>
      </c>
      <c r="G198" s="317" t="str">
        <f aca="false">IF(A198="N/A"," ",IF(OR(Dayrun4=2,Dayrun4=3,Dayrun4=5,Dayrun4=6),IF(Scaler4=2,F198,(VLOOKUP(A198,ScaledPrice4,5))*(2-(VLOOKUP(A198,ScaledPrice4,3)))),0))</f>
        <v> </v>
      </c>
      <c r="H198" s="317" t="str">
        <f aca="false">IF($A198="N/A"," ",IF(OR(Dayrun4=2,Dayrun4=3,Dayrun4=10),VLOOKUP($A198,ScaledPrice4,9),0))</f>
        <v> </v>
      </c>
      <c r="I198" s="317" t="str">
        <f aca="false">IF(A198="N/A"," ",IF(OR(Dayrun4=3,Dayrun4=6,Dayrun4=9),(VLOOKUP(A198,ScaledPrice4,IF(Scaler4=2,7,8))),0))</f>
        <v> </v>
      </c>
      <c r="J198" s="317" t="str">
        <f aca="false">IF(A198="N/A"," ",IF(OR(Dayrun4=3,Dayrun4=6),IF(Scaler4=2,I198,(VLOOKUP(A198,ScaledPrice4,7))*(2-(VLOOKUP(A198,ScaledPrice4,3)))),0))</f>
        <v> </v>
      </c>
      <c r="K198" s="317" t="str">
        <f aca="false">IF($A198="N/A"," ",IF(OR(Dayrun4=3,Dayrun4=10),VLOOKUP($A198,ScaledPrice4,9),0))</f>
        <v> </v>
      </c>
      <c r="L198" s="318" t="str">
        <f aca="false">IF($A198="N/A"," ",IF(Pricetype4=2,MAX(C198,0),IF(OR(Pricetype4=1,Pricetype4=4),IF(C198=0,0,(EURO(C198,Strikeprice4,0,0,($AH198+IF(Smile=TRUE(),VLOOKUP(MAX(-5,Strikeprice4-C198),Volsmile,2),0)),($A198-DateToday)+15,IF(Pricetype4=1,1,0),0))),C198)))</f>
        <v> </v>
      </c>
      <c r="M198" s="318" t="str">
        <f aca="false">IF($A198="N/A"," ",IF(Pricetype4=2,MAX(D198,0),IF(OR(Pricetype4=1,Pricetype4=4),IF(D198=0,0,(EURO(D198,Strikeprice4,0,0,($AH198+IF(Smile=TRUE(),VLOOKUP(MAX(-5,Strikeprice4-D198),Volsmile,2),0)),($A198-DateToday)+15,IF(Pricetype4=1,1,0),0))),D198)))</f>
        <v> </v>
      </c>
      <c r="N198" s="318" t="str">
        <f aca="false">IF($A198="N/A"," ",IF(Pricetype4=2,MAX(E198,0),IF(OR(Pricetype4=1,Pricetype4=4),IF(E198=0,0,(EURO(E198,Strikeprice4,0,0,($AK198+IF(Smile=TRUE(),VLOOKUP(MAX(-5,Strikeprice4-E198),Volsmile,2),0)),($A198-DateToday)+15,IF(Pricetype4=1,1,0),0))),E198)))</f>
        <v> </v>
      </c>
      <c r="O198" s="318" t="str">
        <f aca="false">IF($A198="N/A"," ",IF(Pricetype4=2,MAX(F198,0),IF(OR(Pricetype4=1,Pricetype4=4),IF(F198=0,0,(EURO(F198,Strikeprice4,0,0,($AK198+IF(Smile=TRUE(),VLOOKUP(MAX(-5,Strikeprice4-F198),Volsmile,2),0)),($A198-DateToday)+15,IF(Pricetype4=1,1,0),0))),F198)))</f>
        <v> </v>
      </c>
      <c r="P198" s="318" t="str">
        <f aca="false">IF($A198="N/A"," ",IF(Pricetype4=2,MAX(G198,0),IF(OR(Pricetype4=1,Pricetype4=4),IF(G198=0,0,(EURO(G198,Strikeprice4,0,0,($AK198+IF(Smile=TRUE(),VLOOKUP(MAX(-5,Strikeprice4-G198),Volsmile,2),0)),($A198-DateToday)+15,IF(Pricetype4=1,1,0),0))),G198)))</f>
        <v> </v>
      </c>
      <c r="Q198" s="318" t="str">
        <f aca="false">IF($A198="N/A"," ",IF(Pricetype4=2,MAX(H198,0),IF(OR(Pricetype4=1,Pricetype4=4),IF(H198=0,0,(EURO(H198,Strikeprice4,0,0,($AK198+IF(Smile=TRUE(),VLOOKUP(MAX(-5,Strikeprice4-H198),Volsmile,2),0)),($A198-DateToday)+15,IF(Pricetype4=1,1,0),0))),H198)))</f>
        <v> </v>
      </c>
      <c r="R198" s="318" t="str">
        <f aca="false">IF($A198="N/A"," ",IF(Pricetype4=2,MAX(I198,0),IF(OR(Pricetype4=1,Pricetype4=4),IF(I198=0,0,(EURO(I198,Strikeprice4,0,0,($AK198+IF(Smile=TRUE(),VLOOKUP(MAX(-5,Strikeprice4-I198),Volsmile,2),0)),($A198-DateToday)+15,IF(Pricetype4=1,1,0),0))),I198)))</f>
        <v> </v>
      </c>
      <c r="S198" s="318" t="str">
        <f aca="false">IF($A198="N/A"," ",IF(Pricetype4=2,MAX(J198,0),IF(OR(Pricetype4=1,Pricetype4=4),IF(J198=0,0,(EURO(J198,Strikeprice4,0,0,($AK198+IF(Smile=TRUE(),VLOOKUP(MAX(-5,Strikeprice4-J198),Volsmile,2),0)),($A198-DateToday)+15,IF(Pricetype4=1,1,0),0))),J198)))</f>
        <v> </v>
      </c>
      <c r="T198" s="318" t="str">
        <f aca="false">IF($A198="N/A"," ",IF(Pricetype4=2,MAX(K198,0),IF(OR(Pricetype4=1,Pricetype4=4),IF(K198=0,0,(EURO(K198,Strikeprice4,0,0,($AK198+IF(Smile=TRUE(),VLOOKUP(MAX(-5,Strikeprice4-K198),Volsmile,2),0)),($A198-DateToday)+15,IF(Pricetype4=1,1,0),0))),K198)))</f>
        <v> </v>
      </c>
      <c r="U198" s="319" t="str">
        <f aca="false">IF($A198="N/A"," ",Volume4*$AM198)</f>
        <v> </v>
      </c>
      <c r="V198" s="320" t="str">
        <f aca="false">IF($A198="N/A"," ",$U198*(8*($BQ198))*L198)</f>
        <v> </v>
      </c>
      <c r="W198" s="320" t="str">
        <f aca="false">IF($A198="N/A"," ",$U198*(8*($BQ198))*M198)</f>
        <v> </v>
      </c>
      <c r="X198" s="320" t="str">
        <f aca="false">IF($A198="N/A"," ",$U198*(8*($BQ198))*N198)</f>
        <v> </v>
      </c>
      <c r="Y198" s="320" t="str">
        <f aca="false">IF($A198="N/A"," ",$U198*(8*($BR198))*O198)</f>
        <v> </v>
      </c>
      <c r="Z198" s="320" t="str">
        <f aca="false">IF($A198="N/A"," ",$U198*(8*($BR198))*P198)</f>
        <v> </v>
      </c>
      <c r="AA198" s="320" t="str">
        <f aca="false">IF($A198="N/A"," ",$U198*(8*($BR198))*Q198)</f>
        <v> </v>
      </c>
      <c r="AB198" s="320" t="str">
        <f aca="false">IF($A198="N/A"," ",$U198*(8*($BS198))*R198)</f>
        <v> </v>
      </c>
      <c r="AC198" s="320" t="str">
        <f aca="false">IF($A198="N/A"," ",$U198*(8*($BS198))*S198)</f>
        <v> </v>
      </c>
      <c r="AD198" s="320" t="str">
        <f aca="false">IF($A198="N/A"," ",$U198*(8*($BS198))*T198)</f>
        <v> </v>
      </c>
      <c r="AE198" s="320" t="str">
        <f aca="false">IF($A198="N/A"," ",SUM(V198:AD198))</f>
        <v> </v>
      </c>
      <c r="AF198" s="321" t="str">
        <f aca="false">IF(A198="N/A"," ",(VLOOKUP(A198,PowerVolTable,(IF(VolBMO4=2,7,IF(VolBMO4=1,6,8))),FALSE())))</f>
        <v> </v>
      </c>
      <c r="AG198" s="321" t="str">
        <f aca="false">IF(A198="N/A"," ",(VLOOKUP(A198,IntraPowerVol,(IF(VolBMO4=2,3,IF(VolBMO4=1,2,4))),FALSE())*VLOOKUP(MONTH($A198),Volscale,2)))</f>
        <v> </v>
      </c>
      <c r="AH198" s="321" t="str">
        <f aca="false">IF($A198="N/A"," ",IF(VolType4=1,AG198,AF198))</f>
        <v> </v>
      </c>
      <c r="AI198" s="321" t="str">
        <f aca="false">IF($A198="N/A"," ",(VLOOKUP($A198,OffPwrVolTable,(IF(VolBMO4=2,7,IF(VolBMO4=1,6,8))),FALSE())))</f>
        <v> </v>
      </c>
      <c r="AJ198" s="321" t="str">
        <f aca="false">IF($A198="N/A"," ",(VLOOKUP($A198,OffPwrVolTable,(IF(VolBMO4=2,3,IF(VolBMO4=1,2,4))),FALSE())*VLOOKUP(MONTH($A198),Volscale,2)))</f>
        <v> </v>
      </c>
      <c r="AK198" s="321" t="str">
        <f aca="false">IF($A198="N/A"," ",IF(VolType4=1,AJ198,AI198))</f>
        <v> </v>
      </c>
      <c r="AL198" s="321" t="str">
        <f aca="false">IF($A198="N/A"," ",IF(PV=1,0,'Pricing Inputs4'!R231))</f>
        <v> </v>
      </c>
      <c r="AM198" s="323" t="str">
        <f aca="false">IF($A198="N/A"," ",(1+AL198/2)^(-2*((EOMONTH(A198,0)+20)-DateToday)/365.25))</f>
        <v> </v>
      </c>
      <c r="BQ198" s="0" t="str">
        <f aca="false">IF($A198="N/A"," ",(VLOOKUP($A198,NumberofDaysTable,2)))</f>
        <v> </v>
      </c>
      <c r="BR198" s="0" t="str">
        <f aca="false">IF($A198="N/A"," ",(VLOOKUP($A198,NumberofDaysTable,3)))</f>
        <v> </v>
      </c>
      <c r="BS198" s="0" t="str">
        <f aca="false">IF($A198="N/A"," ",(VLOOKUP($A198,NumberofDaysTable,4)))</f>
        <v> </v>
      </c>
    </row>
    <row r="199" customFormat="false" ht="12.75" hidden="false" customHeight="false" outlineLevel="0" collapsed="false">
      <c r="A199" s="315" t="str">
        <f aca="false">IF(A198="N/A","N/A",IF(EDATE(A198,1)&gt;Inputs!$R$5,"N/A",EDATE(A198,1)))</f>
        <v>N/A</v>
      </c>
      <c r="B199" s="316" t="str">
        <f aca="false">IF(A199="N/A"," ",YEAR(A199))</f>
        <v> </v>
      </c>
      <c r="C199" s="317" t="str">
        <f aca="false">IF($A199="N/A"," ",IF(Dayrun4=10,0,IF(Scaler4=1,(VLOOKUP(A199,ScaledPrice4,4)),(VLOOKUP(A199,ScaledPrice4,2)))))</f>
        <v> </v>
      </c>
      <c r="D199" s="317" t="str">
        <f aca="false">IF(A199="N/A"," ",IF(Dayrun4&gt;=7,0,IF(Scaler4=2,VLOOKUP(A199,ScaledPrice4,2),(VLOOKUP(A199,ScaledPrice4,2))*(2-(VLOOKUP(A199,ScaledPrice4,3))))))</f>
        <v> </v>
      </c>
      <c r="E199" s="317" t="str">
        <f aca="false">IF($A199="N/A"," ",IF(AND(Dayrun4&gt;=4,Dayrun4&lt;=9),0,VLOOKUP($A199,ScaledPrice4,9)))</f>
        <v> </v>
      </c>
      <c r="F199" s="317" t="str">
        <f aca="false">IF(A199="N/A"," ",IF(OR(Dayrun4=2,Dayrun4=3,Dayrun4=5,Dayrun4=6,Dayrun4=8,Dayrun4=9),VLOOKUP(A199,ScaledPrice4,IF(Scaler4=1,6,5)),0))</f>
        <v> </v>
      </c>
      <c r="G199" s="317" t="str">
        <f aca="false">IF(A199="N/A"," ",IF(OR(Dayrun4=2,Dayrun4=3,Dayrun4=5,Dayrun4=6),IF(Scaler4=2,F199,(VLOOKUP(A199,ScaledPrice4,5))*(2-(VLOOKUP(A199,ScaledPrice4,3)))),0))</f>
        <v> </v>
      </c>
      <c r="H199" s="317" t="str">
        <f aca="false">IF($A199="N/A"," ",IF(OR(Dayrun4=2,Dayrun4=3,Dayrun4=10),VLOOKUP($A199,ScaledPrice4,9),0))</f>
        <v> </v>
      </c>
      <c r="I199" s="317" t="str">
        <f aca="false">IF(A199="N/A"," ",IF(OR(Dayrun4=3,Dayrun4=6,Dayrun4=9),(VLOOKUP(A199,ScaledPrice4,IF(Scaler4=2,7,8))),0))</f>
        <v> </v>
      </c>
      <c r="J199" s="317" t="str">
        <f aca="false">IF(A199="N/A"," ",IF(OR(Dayrun4=3,Dayrun4=6),IF(Scaler4=2,I199,(VLOOKUP(A199,ScaledPrice4,7))*(2-(VLOOKUP(A199,ScaledPrice4,3)))),0))</f>
        <v> </v>
      </c>
      <c r="K199" s="317" t="str">
        <f aca="false">IF($A199="N/A"," ",IF(OR(Dayrun4=3,Dayrun4=10),VLOOKUP($A199,ScaledPrice4,9),0))</f>
        <v> </v>
      </c>
      <c r="L199" s="318" t="str">
        <f aca="false">IF($A199="N/A"," ",IF(Pricetype4=2,MAX(C199,0),IF(OR(Pricetype4=1,Pricetype4=4),IF(C199=0,0,(EURO(C199,Strikeprice4,0,0,($AH199+IF(Smile=TRUE(),VLOOKUP(MAX(-5,Strikeprice4-C199),Volsmile,2),0)),($A199-DateToday)+15,IF(Pricetype4=1,1,0),0))),C199)))</f>
        <v> </v>
      </c>
      <c r="M199" s="318" t="str">
        <f aca="false">IF($A199="N/A"," ",IF(Pricetype4=2,MAX(D199,0),IF(OR(Pricetype4=1,Pricetype4=4),IF(D199=0,0,(EURO(D199,Strikeprice4,0,0,($AH199+IF(Smile=TRUE(),VLOOKUP(MAX(-5,Strikeprice4-D199),Volsmile,2),0)),($A199-DateToday)+15,IF(Pricetype4=1,1,0),0))),D199)))</f>
        <v> </v>
      </c>
      <c r="N199" s="318" t="str">
        <f aca="false">IF($A199="N/A"," ",IF(Pricetype4=2,MAX(E199,0),IF(OR(Pricetype4=1,Pricetype4=4),IF(E199=0,0,(EURO(E199,Strikeprice4,0,0,($AK199+IF(Smile=TRUE(),VLOOKUP(MAX(-5,Strikeprice4-E199),Volsmile,2),0)),($A199-DateToday)+15,IF(Pricetype4=1,1,0),0))),E199)))</f>
        <v> </v>
      </c>
      <c r="O199" s="318" t="str">
        <f aca="false">IF($A199="N/A"," ",IF(Pricetype4=2,MAX(F199,0),IF(OR(Pricetype4=1,Pricetype4=4),IF(F199=0,0,(EURO(F199,Strikeprice4,0,0,($AK199+IF(Smile=TRUE(),VLOOKUP(MAX(-5,Strikeprice4-F199),Volsmile,2),0)),($A199-DateToday)+15,IF(Pricetype4=1,1,0),0))),F199)))</f>
        <v> </v>
      </c>
      <c r="P199" s="318" t="str">
        <f aca="false">IF($A199="N/A"," ",IF(Pricetype4=2,MAX(G199,0),IF(OR(Pricetype4=1,Pricetype4=4),IF(G199=0,0,(EURO(G199,Strikeprice4,0,0,($AK199+IF(Smile=TRUE(),VLOOKUP(MAX(-5,Strikeprice4-G199),Volsmile,2),0)),($A199-DateToday)+15,IF(Pricetype4=1,1,0),0))),G199)))</f>
        <v> </v>
      </c>
      <c r="Q199" s="318" t="str">
        <f aca="false">IF($A199="N/A"," ",IF(Pricetype4=2,MAX(H199,0),IF(OR(Pricetype4=1,Pricetype4=4),IF(H199=0,0,(EURO(H199,Strikeprice4,0,0,($AK199+IF(Smile=TRUE(),VLOOKUP(MAX(-5,Strikeprice4-H199),Volsmile,2),0)),($A199-DateToday)+15,IF(Pricetype4=1,1,0),0))),H199)))</f>
        <v> </v>
      </c>
      <c r="R199" s="318" t="str">
        <f aca="false">IF($A199="N/A"," ",IF(Pricetype4=2,MAX(I199,0),IF(OR(Pricetype4=1,Pricetype4=4),IF(I199=0,0,(EURO(I199,Strikeprice4,0,0,($AK199+IF(Smile=TRUE(),VLOOKUP(MAX(-5,Strikeprice4-I199),Volsmile,2),0)),($A199-DateToday)+15,IF(Pricetype4=1,1,0),0))),I199)))</f>
        <v> </v>
      </c>
      <c r="S199" s="318" t="str">
        <f aca="false">IF($A199="N/A"," ",IF(Pricetype4=2,MAX(J199,0),IF(OR(Pricetype4=1,Pricetype4=4),IF(J199=0,0,(EURO(J199,Strikeprice4,0,0,($AK199+IF(Smile=TRUE(),VLOOKUP(MAX(-5,Strikeprice4-J199),Volsmile,2),0)),($A199-DateToday)+15,IF(Pricetype4=1,1,0),0))),J199)))</f>
        <v> </v>
      </c>
      <c r="T199" s="318" t="str">
        <f aca="false">IF($A199="N/A"," ",IF(Pricetype4=2,MAX(K199,0),IF(OR(Pricetype4=1,Pricetype4=4),IF(K199=0,0,(EURO(K199,Strikeprice4,0,0,($AK199+IF(Smile=TRUE(),VLOOKUP(MAX(-5,Strikeprice4-K199),Volsmile,2),0)),($A199-DateToday)+15,IF(Pricetype4=1,1,0),0))),K199)))</f>
        <v> </v>
      </c>
      <c r="U199" s="319" t="str">
        <f aca="false">IF($A199="N/A"," ",Volume4*$AM199)</f>
        <v> </v>
      </c>
      <c r="V199" s="320" t="str">
        <f aca="false">IF($A199="N/A"," ",$U199*(8*($BQ199))*L199)</f>
        <v> </v>
      </c>
      <c r="W199" s="320" t="str">
        <f aca="false">IF($A199="N/A"," ",$U199*(8*($BQ199))*M199)</f>
        <v> </v>
      </c>
      <c r="X199" s="320" t="str">
        <f aca="false">IF($A199="N/A"," ",$U199*(8*($BQ199))*N199)</f>
        <v> </v>
      </c>
      <c r="Y199" s="320" t="str">
        <f aca="false">IF($A199="N/A"," ",$U199*(8*($BR199))*O199)</f>
        <v> </v>
      </c>
      <c r="Z199" s="320" t="str">
        <f aca="false">IF($A199="N/A"," ",$U199*(8*($BR199))*P199)</f>
        <v> </v>
      </c>
      <c r="AA199" s="320" t="str">
        <f aca="false">IF($A199="N/A"," ",$U199*(8*($BR199))*Q199)</f>
        <v> </v>
      </c>
      <c r="AB199" s="320" t="str">
        <f aca="false">IF($A199="N/A"," ",$U199*(8*($BS199))*R199)</f>
        <v> </v>
      </c>
      <c r="AC199" s="320" t="str">
        <f aca="false">IF($A199="N/A"," ",$U199*(8*($BS199))*S199)</f>
        <v> </v>
      </c>
      <c r="AD199" s="320" t="str">
        <f aca="false">IF($A199="N/A"," ",$U199*(8*($BS199))*T199)</f>
        <v> </v>
      </c>
      <c r="AE199" s="320" t="str">
        <f aca="false">IF($A199="N/A"," ",SUM(V199:AD199))</f>
        <v> </v>
      </c>
      <c r="AF199" s="321" t="str">
        <f aca="false">IF(A199="N/A"," ",(VLOOKUP(A199,PowerVolTable,(IF(VolBMO4=2,7,IF(VolBMO4=1,6,8))),FALSE())))</f>
        <v> </v>
      </c>
      <c r="AG199" s="321" t="str">
        <f aca="false">IF(A199="N/A"," ",(VLOOKUP(A199,IntraPowerVol,(IF(VolBMO4=2,3,IF(VolBMO4=1,2,4))),FALSE())*VLOOKUP(MONTH($A199),Volscale,2)))</f>
        <v> </v>
      </c>
      <c r="AH199" s="321" t="str">
        <f aca="false">IF($A199="N/A"," ",IF(VolType4=1,AG199,AF199))</f>
        <v> </v>
      </c>
      <c r="AI199" s="321" t="str">
        <f aca="false">IF($A199="N/A"," ",(VLOOKUP($A199,OffPwrVolTable,(IF(VolBMO4=2,7,IF(VolBMO4=1,6,8))),FALSE())))</f>
        <v> </v>
      </c>
      <c r="AJ199" s="321" t="str">
        <f aca="false">IF($A199="N/A"," ",(VLOOKUP($A199,OffPwrVolTable,(IF(VolBMO4=2,3,IF(VolBMO4=1,2,4))),FALSE())*VLOOKUP(MONTH($A199),Volscale,2)))</f>
        <v> </v>
      </c>
      <c r="AK199" s="321" t="str">
        <f aca="false">IF($A199="N/A"," ",IF(VolType4=1,AJ199,AI199))</f>
        <v> </v>
      </c>
      <c r="AL199" s="321" t="str">
        <f aca="false">IF($A199="N/A"," ",IF(PV=1,0,'Pricing Inputs4'!R232))</f>
        <v> </v>
      </c>
      <c r="AM199" s="323" t="str">
        <f aca="false">IF($A199="N/A"," ",(1+AL199/2)^(-2*((EOMONTH(A199,0)+20)-DateToday)/365.25))</f>
        <v> </v>
      </c>
      <c r="BQ199" s="0" t="str">
        <f aca="false">IF($A199="N/A"," ",(VLOOKUP($A199,NumberofDaysTable,2)))</f>
        <v> </v>
      </c>
      <c r="BR199" s="0" t="str">
        <f aca="false">IF($A199="N/A"," ",(VLOOKUP($A199,NumberofDaysTable,3)))</f>
        <v> </v>
      </c>
      <c r="BS199" s="0" t="str">
        <f aca="false">IF($A199="N/A"," ",(VLOOKUP($A199,NumberofDaysTable,4)))</f>
        <v> </v>
      </c>
    </row>
    <row r="200" customFormat="false" ht="12.75" hidden="false" customHeight="false" outlineLevel="0" collapsed="false">
      <c r="A200" s="315" t="str">
        <f aca="false">IF(A199="N/A","N/A",IF(EDATE(A199,1)&gt;Inputs!$R$5,"N/A",EDATE(A199,1)))</f>
        <v>N/A</v>
      </c>
      <c r="B200" s="316" t="str">
        <f aca="false">IF(A200="N/A"," ",YEAR(A200))</f>
        <v> </v>
      </c>
      <c r="C200" s="317" t="str">
        <f aca="false">IF($A200="N/A"," ",IF(Dayrun4=10,0,IF(Scaler4=1,(VLOOKUP(A200,ScaledPrice4,4)),(VLOOKUP(A200,ScaledPrice4,2)))))</f>
        <v> </v>
      </c>
      <c r="D200" s="317" t="str">
        <f aca="false">IF(A200="N/A"," ",IF(Dayrun4&gt;=7,0,IF(Scaler4=2,VLOOKUP(A200,ScaledPrice4,2),(VLOOKUP(A200,ScaledPrice4,2))*(2-(VLOOKUP(A200,ScaledPrice4,3))))))</f>
        <v> </v>
      </c>
      <c r="E200" s="317" t="str">
        <f aca="false">IF($A200="N/A"," ",IF(AND(Dayrun4&gt;=4,Dayrun4&lt;=9),0,VLOOKUP($A200,ScaledPrice4,9)))</f>
        <v> </v>
      </c>
      <c r="F200" s="317" t="str">
        <f aca="false">IF(A200="N/A"," ",IF(OR(Dayrun4=2,Dayrun4=3,Dayrun4=5,Dayrun4=6,Dayrun4=8,Dayrun4=9),VLOOKUP(A200,ScaledPrice4,IF(Scaler4=1,6,5)),0))</f>
        <v> </v>
      </c>
      <c r="G200" s="317" t="str">
        <f aca="false">IF(A200="N/A"," ",IF(OR(Dayrun4=2,Dayrun4=3,Dayrun4=5,Dayrun4=6),IF(Scaler4=2,F200,(VLOOKUP(A200,ScaledPrice4,5))*(2-(VLOOKUP(A200,ScaledPrice4,3)))),0))</f>
        <v> </v>
      </c>
      <c r="H200" s="317" t="str">
        <f aca="false">IF($A200="N/A"," ",IF(OR(Dayrun4=2,Dayrun4=3,Dayrun4=10),VLOOKUP($A200,ScaledPrice4,9),0))</f>
        <v> </v>
      </c>
      <c r="I200" s="317" t="str">
        <f aca="false">IF(A200="N/A"," ",IF(OR(Dayrun4=3,Dayrun4=6,Dayrun4=9),(VLOOKUP(A200,ScaledPrice4,IF(Scaler4=2,7,8))),0))</f>
        <v> </v>
      </c>
      <c r="J200" s="317" t="str">
        <f aca="false">IF(A200="N/A"," ",IF(OR(Dayrun4=3,Dayrun4=6),IF(Scaler4=2,I200,(VLOOKUP(A200,ScaledPrice4,7))*(2-(VLOOKUP(A200,ScaledPrice4,3)))),0))</f>
        <v> </v>
      </c>
      <c r="K200" s="317" t="str">
        <f aca="false">IF($A200="N/A"," ",IF(OR(Dayrun4=3,Dayrun4=10),VLOOKUP($A200,ScaledPrice4,9),0))</f>
        <v> </v>
      </c>
      <c r="L200" s="318" t="str">
        <f aca="false">IF($A200="N/A"," ",IF(Pricetype4=2,MAX(C200,0),IF(OR(Pricetype4=1,Pricetype4=4),IF(C200=0,0,(EURO(C200,Strikeprice4,0,0,($AH200+IF(Smile=TRUE(),VLOOKUP(MAX(-5,Strikeprice4-C200),Volsmile,2),0)),($A200-DateToday)+15,IF(Pricetype4=1,1,0),0))),C200)))</f>
        <v> </v>
      </c>
      <c r="M200" s="318" t="str">
        <f aca="false">IF($A200="N/A"," ",IF(Pricetype4=2,MAX(D200,0),IF(OR(Pricetype4=1,Pricetype4=4),IF(D200=0,0,(EURO(D200,Strikeprice4,0,0,($AH200+IF(Smile=TRUE(),VLOOKUP(MAX(-5,Strikeprice4-D200),Volsmile,2),0)),($A200-DateToday)+15,IF(Pricetype4=1,1,0),0))),D200)))</f>
        <v> </v>
      </c>
      <c r="N200" s="318" t="str">
        <f aca="false">IF($A200="N/A"," ",IF(Pricetype4=2,MAX(E200,0),IF(OR(Pricetype4=1,Pricetype4=4),IF(E200=0,0,(EURO(E200,Strikeprice4,0,0,($AK200+IF(Smile=TRUE(),VLOOKUP(MAX(-5,Strikeprice4-E200),Volsmile,2),0)),($A200-DateToday)+15,IF(Pricetype4=1,1,0),0))),E200)))</f>
        <v> </v>
      </c>
      <c r="O200" s="318" t="str">
        <f aca="false">IF($A200="N/A"," ",IF(Pricetype4=2,MAX(F200,0),IF(OR(Pricetype4=1,Pricetype4=4),IF(F200=0,0,(EURO(F200,Strikeprice4,0,0,($AK200+IF(Smile=TRUE(),VLOOKUP(MAX(-5,Strikeprice4-F200),Volsmile,2),0)),($A200-DateToday)+15,IF(Pricetype4=1,1,0),0))),F200)))</f>
        <v> </v>
      </c>
      <c r="P200" s="318" t="str">
        <f aca="false">IF($A200="N/A"," ",IF(Pricetype4=2,MAX(G200,0),IF(OR(Pricetype4=1,Pricetype4=4),IF(G200=0,0,(EURO(G200,Strikeprice4,0,0,($AK200+IF(Smile=TRUE(),VLOOKUP(MAX(-5,Strikeprice4-G200),Volsmile,2),0)),($A200-DateToday)+15,IF(Pricetype4=1,1,0),0))),G200)))</f>
        <v> </v>
      </c>
      <c r="Q200" s="318" t="str">
        <f aca="false">IF($A200="N/A"," ",IF(Pricetype4=2,MAX(H200,0),IF(OR(Pricetype4=1,Pricetype4=4),IF(H200=0,0,(EURO(H200,Strikeprice4,0,0,($AK200+IF(Smile=TRUE(),VLOOKUP(MAX(-5,Strikeprice4-H200),Volsmile,2),0)),($A200-DateToday)+15,IF(Pricetype4=1,1,0),0))),H200)))</f>
        <v> </v>
      </c>
      <c r="R200" s="318" t="str">
        <f aca="false">IF($A200="N/A"," ",IF(Pricetype4=2,MAX(I200,0),IF(OR(Pricetype4=1,Pricetype4=4),IF(I200=0,0,(EURO(I200,Strikeprice4,0,0,($AK200+IF(Smile=TRUE(),VLOOKUP(MAX(-5,Strikeprice4-I200),Volsmile,2),0)),($A200-DateToday)+15,IF(Pricetype4=1,1,0),0))),I200)))</f>
        <v> </v>
      </c>
      <c r="S200" s="318" t="str">
        <f aca="false">IF($A200="N/A"," ",IF(Pricetype4=2,MAX(J200,0),IF(OR(Pricetype4=1,Pricetype4=4),IF(J200=0,0,(EURO(J200,Strikeprice4,0,0,($AK200+IF(Smile=TRUE(),VLOOKUP(MAX(-5,Strikeprice4-J200),Volsmile,2),0)),($A200-DateToday)+15,IF(Pricetype4=1,1,0),0))),J200)))</f>
        <v> </v>
      </c>
      <c r="T200" s="318" t="str">
        <f aca="false">IF($A200="N/A"," ",IF(Pricetype4=2,MAX(K200,0),IF(OR(Pricetype4=1,Pricetype4=4),IF(K200=0,0,(EURO(K200,Strikeprice4,0,0,($AK200+IF(Smile=TRUE(),VLOOKUP(MAX(-5,Strikeprice4-K200),Volsmile,2),0)),($A200-DateToday)+15,IF(Pricetype4=1,1,0),0))),K200)))</f>
        <v> </v>
      </c>
      <c r="U200" s="319" t="str">
        <f aca="false">IF($A200="N/A"," ",Volume4*$AM200)</f>
        <v> </v>
      </c>
      <c r="V200" s="320" t="str">
        <f aca="false">IF($A200="N/A"," ",$U200*(8*($BQ200))*L200)</f>
        <v> </v>
      </c>
      <c r="W200" s="320" t="str">
        <f aca="false">IF($A200="N/A"," ",$U200*(8*($BQ200))*M200)</f>
        <v> </v>
      </c>
      <c r="X200" s="320" t="str">
        <f aca="false">IF($A200="N/A"," ",$U200*(8*($BQ200))*N200)</f>
        <v> </v>
      </c>
      <c r="Y200" s="320" t="str">
        <f aca="false">IF($A200="N/A"," ",$U200*(8*($BR200))*O200)</f>
        <v> </v>
      </c>
      <c r="Z200" s="320" t="str">
        <f aca="false">IF($A200="N/A"," ",$U200*(8*($BR200))*P200)</f>
        <v> </v>
      </c>
      <c r="AA200" s="320" t="str">
        <f aca="false">IF($A200="N/A"," ",$U200*(8*($BR200))*Q200)</f>
        <v> </v>
      </c>
      <c r="AB200" s="320" t="str">
        <f aca="false">IF($A200="N/A"," ",$U200*(8*($BS200))*R200)</f>
        <v> </v>
      </c>
      <c r="AC200" s="320" t="str">
        <f aca="false">IF($A200="N/A"," ",$U200*(8*($BS200))*S200)</f>
        <v> </v>
      </c>
      <c r="AD200" s="320" t="str">
        <f aca="false">IF($A200="N/A"," ",$U200*(8*($BS200))*T200)</f>
        <v> </v>
      </c>
      <c r="AE200" s="320" t="str">
        <f aca="false">IF($A200="N/A"," ",SUM(V200:AD200))</f>
        <v> </v>
      </c>
      <c r="AF200" s="321" t="str">
        <f aca="false">IF(A200="N/A"," ",(VLOOKUP(A200,PowerVolTable,(IF(VolBMO4=2,7,IF(VolBMO4=1,6,8))),FALSE())))</f>
        <v> </v>
      </c>
      <c r="AG200" s="321" t="str">
        <f aca="false">IF(A200="N/A"," ",(VLOOKUP(A200,IntraPowerVol,(IF(VolBMO4=2,3,IF(VolBMO4=1,2,4))),FALSE())*VLOOKUP(MONTH($A200),Volscale,2)))</f>
        <v> </v>
      </c>
      <c r="AH200" s="321" t="str">
        <f aca="false">IF($A200="N/A"," ",IF(VolType4=1,AG200,AF200))</f>
        <v> </v>
      </c>
      <c r="AI200" s="321" t="str">
        <f aca="false">IF($A200="N/A"," ",(VLOOKUP($A200,OffPwrVolTable,(IF(VolBMO4=2,7,IF(VolBMO4=1,6,8))),FALSE())))</f>
        <v> </v>
      </c>
      <c r="AJ200" s="321" t="str">
        <f aca="false">IF($A200="N/A"," ",(VLOOKUP($A200,OffPwrVolTable,(IF(VolBMO4=2,3,IF(VolBMO4=1,2,4))),FALSE())*VLOOKUP(MONTH($A200),Volscale,2)))</f>
        <v> </v>
      </c>
      <c r="AK200" s="321" t="str">
        <f aca="false">IF($A200="N/A"," ",IF(VolType4=1,AJ200,AI200))</f>
        <v> </v>
      </c>
      <c r="AL200" s="321" t="str">
        <f aca="false">IF($A200="N/A"," ",IF(PV=1,0,'Pricing Inputs4'!R233))</f>
        <v> </v>
      </c>
      <c r="AM200" s="323" t="str">
        <f aca="false">IF($A200="N/A"," ",(1+AL200/2)^(-2*((EOMONTH(A200,0)+20)-DateToday)/365.25))</f>
        <v> </v>
      </c>
      <c r="BQ200" s="0" t="str">
        <f aca="false">IF($A200="N/A"," ",(VLOOKUP($A200,NumberofDaysTable,2)))</f>
        <v> </v>
      </c>
      <c r="BR200" s="0" t="str">
        <f aca="false">IF($A200="N/A"," ",(VLOOKUP($A200,NumberofDaysTable,3)))</f>
        <v> </v>
      </c>
      <c r="BS200" s="0" t="str">
        <f aca="false">IF($A200="N/A"," ",(VLOOKUP($A200,NumberofDaysTable,4)))</f>
        <v> </v>
      </c>
    </row>
    <row r="201" customFormat="false" ht="12.75" hidden="false" customHeight="false" outlineLevel="0" collapsed="false">
      <c r="A201" s="315" t="str">
        <f aca="false">IF(A200="N/A","N/A",IF(EDATE(A200,1)&gt;Inputs!$R$5,"N/A",EDATE(A200,1)))</f>
        <v>N/A</v>
      </c>
      <c r="B201" s="316" t="str">
        <f aca="false">IF(A201="N/A"," ",YEAR(A201))</f>
        <v> </v>
      </c>
      <c r="C201" s="317" t="str">
        <f aca="false">IF($A201="N/A"," ",IF(Dayrun4=10,0,IF(Scaler4=1,(VLOOKUP(A201,ScaledPrice4,4)),(VLOOKUP(A201,ScaledPrice4,2)))))</f>
        <v> </v>
      </c>
      <c r="D201" s="317" t="str">
        <f aca="false">IF(A201="N/A"," ",IF(Dayrun4&gt;=7,0,IF(Scaler4=2,VLOOKUP(A201,ScaledPrice4,2),(VLOOKUP(A201,ScaledPrice4,2))*(2-(VLOOKUP(A201,ScaledPrice4,3))))))</f>
        <v> </v>
      </c>
      <c r="E201" s="317" t="str">
        <f aca="false">IF($A201="N/A"," ",IF(AND(Dayrun4&gt;=4,Dayrun4&lt;=9),0,VLOOKUP($A201,ScaledPrice4,9)))</f>
        <v> </v>
      </c>
      <c r="F201" s="317" t="str">
        <f aca="false">IF(A201="N/A"," ",IF(OR(Dayrun4=2,Dayrun4=3,Dayrun4=5,Dayrun4=6,Dayrun4=8,Dayrun4=9),VLOOKUP(A201,ScaledPrice4,IF(Scaler4=1,6,5)),0))</f>
        <v> </v>
      </c>
      <c r="G201" s="317" t="str">
        <f aca="false">IF(A201="N/A"," ",IF(OR(Dayrun4=2,Dayrun4=3,Dayrun4=5,Dayrun4=6),IF(Scaler4=2,F201,(VLOOKUP(A201,ScaledPrice4,5))*(2-(VLOOKUP(A201,ScaledPrice4,3)))),0))</f>
        <v> </v>
      </c>
      <c r="H201" s="317" t="str">
        <f aca="false">IF($A201="N/A"," ",IF(OR(Dayrun4=2,Dayrun4=3,Dayrun4=10),VLOOKUP($A201,ScaledPrice4,9),0))</f>
        <v> </v>
      </c>
      <c r="I201" s="317" t="str">
        <f aca="false">IF(A201="N/A"," ",IF(OR(Dayrun4=3,Dayrun4=6,Dayrun4=9),(VLOOKUP(A201,ScaledPrice4,IF(Scaler4=2,7,8))),0))</f>
        <v> </v>
      </c>
      <c r="J201" s="317" t="str">
        <f aca="false">IF(A201="N/A"," ",IF(OR(Dayrun4=3,Dayrun4=6),IF(Scaler4=2,I201,(VLOOKUP(A201,ScaledPrice4,7))*(2-(VLOOKUP(A201,ScaledPrice4,3)))),0))</f>
        <v> </v>
      </c>
      <c r="K201" s="317" t="str">
        <f aca="false">IF($A201="N/A"," ",IF(OR(Dayrun4=3,Dayrun4=10),VLOOKUP($A201,ScaledPrice4,9),0))</f>
        <v> </v>
      </c>
      <c r="L201" s="318" t="str">
        <f aca="false">IF($A201="N/A"," ",IF(Pricetype4=2,MAX(C201,0),IF(OR(Pricetype4=1,Pricetype4=4),IF(C201=0,0,(EURO(C201,Strikeprice4,0,0,($AH201+IF(Smile=TRUE(),VLOOKUP(MAX(-5,Strikeprice4-C201),Volsmile,2),0)),($A201-DateToday)+15,IF(Pricetype4=1,1,0),0))),C201)))</f>
        <v> </v>
      </c>
      <c r="M201" s="318" t="str">
        <f aca="false">IF($A201="N/A"," ",IF(Pricetype4=2,MAX(D201,0),IF(OR(Pricetype4=1,Pricetype4=4),IF(D201=0,0,(EURO(D201,Strikeprice4,0,0,($AH201+IF(Smile=TRUE(),VLOOKUP(MAX(-5,Strikeprice4-D201),Volsmile,2),0)),($A201-DateToday)+15,IF(Pricetype4=1,1,0),0))),D201)))</f>
        <v> </v>
      </c>
      <c r="N201" s="318" t="str">
        <f aca="false">IF($A201="N/A"," ",IF(Pricetype4=2,MAX(E201,0),IF(OR(Pricetype4=1,Pricetype4=4),IF(E201=0,0,(EURO(E201,Strikeprice4,0,0,($AK201+IF(Smile=TRUE(),VLOOKUP(MAX(-5,Strikeprice4-E201),Volsmile,2),0)),($A201-DateToday)+15,IF(Pricetype4=1,1,0),0))),E201)))</f>
        <v> </v>
      </c>
      <c r="O201" s="318" t="str">
        <f aca="false">IF($A201="N/A"," ",IF(Pricetype4=2,MAX(F201,0),IF(OR(Pricetype4=1,Pricetype4=4),IF(F201=0,0,(EURO(F201,Strikeprice4,0,0,($AK201+IF(Smile=TRUE(),VLOOKUP(MAX(-5,Strikeprice4-F201),Volsmile,2),0)),($A201-DateToday)+15,IF(Pricetype4=1,1,0),0))),F201)))</f>
        <v> </v>
      </c>
      <c r="P201" s="318" t="str">
        <f aca="false">IF($A201="N/A"," ",IF(Pricetype4=2,MAX(G201,0),IF(OR(Pricetype4=1,Pricetype4=4),IF(G201=0,0,(EURO(G201,Strikeprice4,0,0,($AK201+IF(Smile=TRUE(),VLOOKUP(MAX(-5,Strikeprice4-G201),Volsmile,2),0)),($A201-DateToday)+15,IF(Pricetype4=1,1,0),0))),G201)))</f>
        <v> </v>
      </c>
      <c r="Q201" s="318" t="str">
        <f aca="false">IF($A201="N/A"," ",IF(Pricetype4=2,MAX(H201,0),IF(OR(Pricetype4=1,Pricetype4=4),IF(H201=0,0,(EURO(H201,Strikeprice4,0,0,($AK201+IF(Smile=TRUE(),VLOOKUP(MAX(-5,Strikeprice4-H201),Volsmile,2),0)),($A201-DateToday)+15,IF(Pricetype4=1,1,0),0))),H201)))</f>
        <v> </v>
      </c>
      <c r="R201" s="318" t="str">
        <f aca="false">IF($A201="N/A"," ",IF(Pricetype4=2,MAX(I201,0),IF(OR(Pricetype4=1,Pricetype4=4),IF(I201=0,0,(EURO(I201,Strikeprice4,0,0,($AK201+IF(Smile=TRUE(),VLOOKUP(MAX(-5,Strikeprice4-I201),Volsmile,2),0)),($A201-DateToday)+15,IF(Pricetype4=1,1,0),0))),I201)))</f>
        <v> </v>
      </c>
      <c r="S201" s="318" t="str">
        <f aca="false">IF($A201="N/A"," ",IF(Pricetype4=2,MAX(J201,0),IF(OR(Pricetype4=1,Pricetype4=4),IF(J201=0,0,(EURO(J201,Strikeprice4,0,0,($AK201+IF(Smile=TRUE(),VLOOKUP(MAX(-5,Strikeprice4-J201),Volsmile,2),0)),($A201-DateToday)+15,IF(Pricetype4=1,1,0),0))),J201)))</f>
        <v> </v>
      </c>
      <c r="T201" s="318" t="str">
        <f aca="false">IF($A201="N/A"," ",IF(Pricetype4=2,MAX(K201,0),IF(OR(Pricetype4=1,Pricetype4=4),IF(K201=0,0,(EURO(K201,Strikeprice4,0,0,($AK201+IF(Smile=TRUE(),VLOOKUP(MAX(-5,Strikeprice4-K201),Volsmile,2),0)),($A201-DateToday)+15,IF(Pricetype4=1,1,0),0))),K201)))</f>
        <v> </v>
      </c>
      <c r="U201" s="319" t="str">
        <f aca="false">IF($A201="N/A"," ",Volume4*$AM201)</f>
        <v> </v>
      </c>
      <c r="V201" s="320" t="str">
        <f aca="false">IF($A201="N/A"," ",$U201*(8*($BQ201))*L201)</f>
        <v> </v>
      </c>
      <c r="W201" s="320" t="str">
        <f aca="false">IF($A201="N/A"," ",$U201*(8*($BQ201))*M201)</f>
        <v> </v>
      </c>
      <c r="X201" s="320" t="str">
        <f aca="false">IF($A201="N/A"," ",$U201*(8*($BQ201))*N201)</f>
        <v> </v>
      </c>
      <c r="Y201" s="320" t="str">
        <f aca="false">IF($A201="N/A"," ",$U201*(8*($BR201))*O201)</f>
        <v> </v>
      </c>
      <c r="Z201" s="320" t="str">
        <f aca="false">IF($A201="N/A"," ",$U201*(8*($BR201))*P201)</f>
        <v> </v>
      </c>
      <c r="AA201" s="320" t="str">
        <f aca="false">IF($A201="N/A"," ",$U201*(8*($BR201))*Q201)</f>
        <v> </v>
      </c>
      <c r="AB201" s="320" t="str">
        <f aca="false">IF($A201="N/A"," ",$U201*(8*($BS201))*R201)</f>
        <v> </v>
      </c>
      <c r="AC201" s="320" t="str">
        <f aca="false">IF($A201="N/A"," ",$U201*(8*($BS201))*S201)</f>
        <v> </v>
      </c>
      <c r="AD201" s="320" t="str">
        <f aca="false">IF($A201="N/A"," ",$U201*(8*($BS201))*T201)</f>
        <v> </v>
      </c>
      <c r="AE201" s="320" t="str">
        <f aca="false">IF($A201="N/A"," ",SUM(V201:AD201))</f>
        <v> </v>
      </c>
      <c r="AF201" s="321" t="str">
        <f aca="false">IF(A201="N/A"," ",(VLOOKUP(A201,PowerVolTable,(IF(VolBMO4=2,7,IF(VolBMO4=1,6,8))),FALSE())))</f>
        <v> </v>
      </c>
      <c r="AG201" s="321" t="str">
        <f aca="false">IF(A201="N/A"," ",(VLOOKUP(A201,IntraPowerVol,(IF(VolBMO4=2,3,IF(VolBMO4=1,2,4))),FALSE())*VLOOKUP(MONTH($A201),Volscale,2)))</f>
        <v> </v>
      </c>
      <c r="AH201" s="321" t="str">
        <f aca="false">IF($A201="N/A"," ",IF(VolType4=1,AG201,AF201))</f>
        <v> </v>
      </c>
      <c r="AI201" s="321" t="str">
        <f aca="false">IF($A201="N/A"," ",(VLOOKUP($A201,OffPwrVolTable,(IF(VolBMO4=2,7,IF(VolBMO4=1,6,8))),FALSE())))</f>
        <v> </v>
      </c>
      <c r="AJ201" s="321" t="str">
        <f aca="false">IF($A201="N/A"," ",(VLOOKUP($A201,OffPwrVolTable,(IF(VolBMO4=2,3,IF(VolBMO4=1,2,4))),FALSE())*VLOOKUP(MONTH($A201),Volscale,2)))</f>
        <v> </v>
      </c>
      <c r="AK201" s="321" t="str">
        <f aca="false">IF($A201="N/A"," ",IF(VolType4=1,AJ201,AI201))</f>
        <v> </v>
      </c>
      <c r="AL201" s="321" t="str">
        <f aca="false">IF($A201="N/A"," ",IF(PV=1,0,'Pricing Inputs4'!R234))</f>
        <v> </v>
      </c>
      <c r="AM201" s="323" t="str">
        <f aca="false">IF($A201="N/A"," ",(1+AL201/2)^(-2*((EOMONTH(A201,0)+20)-DateToday)/365.25))</f>
        <v> </v>
      </c>
      <c r="BQ201" s="0" t="str">
        <f aca="false">IF($A201="N/A"," ",(VLOOKUP($A201,NumberofDaysTable,2)))</f>
        <v> </v>
      </c>
      <c r="BR201" s="0" t="str">
        <f aca="false">IF($A201="N/A"," ",(VLOOKUP($A201,NumberofDaysTable,3)))</f>
        <v> </v>
      </c>
      <c r="BS201" s="0" t="str">
        <f aca="false">IF($A201="N/A"," ",(VLOOKUP($A201,NumberofDaysTable,4)))</f>
        <v> </v>
      </c>
    </row>
    <row r="202" customFormat="false" ht="12.75" hidden="false" customHeight="false" outlineLevel="0" collapsed="false">
      <c r="A202" s="315" t="str">
        <f aca="false">IF(A201="N/A","N/A",IF(EDATE(A201,1)&gt;Inputs!$R$5,"N/A",EDATE(A201,1)))</f>
        <v>N/A</v>
      </c>
      <c r="B202" s="316" t="str">
        <f aca="false">IF(A202="N/A"," ",YEAR(A202))</f>
        <v> </v>
      </c>
      <c r="C202" s="317" t="str">
        <f aca="false">IF($A202="N/A"," ",IF(Dayrun4=10,0,IF(Scaler4=1,(VLOOKUP(A202,ScaledPrice4,4)),(VLOOKUP(A202,ScaledPrice4,2)))))</f>
        <v> </v>
      </c>
      <c r="D202" s="317" t="str">
        <f aca="false">IF(A202="N/A"," ",IF(Dayrun4&gt;=7,0,IF(Scaler4=2,VLOOKUP(A202,ScaledPrice4,2),(VLOOKUP(A202,ScaledPrice4,2))*(2-(VLOOKUP(A202,ScaledPrice4,3))))))</f>
        <v> </v>
      </c>
      <c r="E202" s="317" t="str">
        <f aca="false">IF($A202="N/A"," ",IF(AND(Dayrun4&gt;=4,Dayrun4&lt;=9),0,VLOOKUP($A202,ScaledPrice4,9)))</f>
        <v> </v>
      </c>
      <c r="F202" s="317" t="str">
        <f aca="false">IF(A202="N/A"," ",IF(OR(Dayrun4=2,Dayrun4=3,Dayrun4=5,Dayrun4=6,Dayrun4=8,Dayrun4=9),VLOOKUP(A202,ScaledPrice4,IF(Scaler4=1,6,5)),0))</f>
        <v> </v>
      </c>
      <c r="G202" s="317" t="str">
        <f aca="false">IF(A202="N/A"," ",IF(OR(Dayrun4=2,Dayrun4=3,Dayrun4=5,Dayrun4=6),IF(Scaler4=2,F202,(VLOOKUP(A202,ScaledPrice4,5))*(2-(VLOOKUP(A202,ScaledPrice4,3)))),0))</f>
        <v> </v>
      </c>
      <c r="H202" s="317" t="str">
        <f aca="false">IF($A202="N/A"," ",IF(OR(Dayrun4=2,Dayrun4=3,Dayrun4=10),VLOOKUP($A202,ScaledPrice4,9),0))</f>
        <v> </v>
      </c>
      <c r="I202" s="317" t="str">
        <f aca="false">IF(A202="N/A"," ",IF(OR(Dayrun4=3,Dayrun4=6,Dayrun4=9),(VLOOKUP(A202,ScaledPrice4,IF(Scaler4=2,7,8))),0))</f>
        <v> </v>
      </c>
      <c r="J202" s="317" t="str">
        <f aca="false">IF(A202="N/A"," ",IF(OR(Dayrun4=3,Dayrun4=6),IF(Scaler4=2,I202,(VLOOKUP(A202,ScaledPrice4,7))*(2-(VLOOKUP(A202,ScaledPrice4,3)))),0))</f>
        <v> </v>
      </c>
      <c r="K202" s="317" t="str">
        <f aca="false">IF($A202="N/A"," ",IF(OR(Dayrun4=3,Dayrun4=10),VLOOKUP($A202,ScaledPrice4,9),0))</f>
        <v> </v>
      </c>
      <c r="L202" s="318" t="str">
        <f aca="false">IF($A202="N/A"," ",IF(Pricetype4=2,MAX(C202,0),IF(OR(Pricetype4=1,Pricetype4=4),IF(C202=0,0,(EURO(C202,Strikeprice4,0,0,($AH202+IF(Smile=TRUE(),VLOOKUP(MAX(-5,Strikeprice4-C202),Volsmile,2),0)),($A202-DateToday)+15,IF(Pricetype4=1,1,0),0))),C202)))</f>
        <v> </v>
      </c>
      <c r="M202" s="318" t="str">
        <f aca="false">IF($A202="N/A"," ",IF(Pricetype4=2,MAX(D202,0),IF(OR(Pricetype4=1,Pricetype4=4),IF(D202=0,0,(EURO(D202,Strikeprice4,0,0,($AH202+IF(Smile=TRUE(),VLOOKUP(MAX(-5,Strikeprice4-D202),Volsmile,2),0)),($A202-DateToday)+15,IF(Pricetype4=1,1,0),0))),D202)))</f>
        <v> </v>
      </c>
      <c r="N202" s="318" t="str">
        <f aca="false">IF($A202="N/A"," ",IF(Pricetype4=2,MAX(E202,0),IF(OR(Pricetype4=1,Pricetype4=4),IF(E202=0,0,(EURO(E202,Strikeprice4,0,0,($AK202+IF(Smile=TRUE(),VLOOKUP(MAX(-5,Strikeprice4-E202),Volsmile,2),0)),($A202-DateToday)+15,IF(Pricetype4=1,1,0),0))),E202)))</f>
        <v> </v>
      </c>
      <c r="O202" s="318" t="str">
        <f aca="false">IF($A202="N/A"," ",IF(Pricetype4=2,MAX(F202,0),IF(OR(Pricetype4=1,Pricetype4=4),IF(F202=0,0,(EURO(F202,Strikeprice4,0,0,($AK202+IF(Smile=TRUE(),VLOOKUP(MAX(-5,Strikeprice4-F202),Volsmile,2),0)),($A202-DateToday)+15,IF(Pricetype4=1,1,0),0))),F202)))</f>
        <v> </v>
      </c>
      <c r="P202" s="318" t="str">
        <f aca="false">IF($A202="N/A"," ",IF(Pricetype4=2,MAX(G202,0),IF(OR(Pricetype4=1,Pricetype4=4),IF(G202=0,0,(EURO(G202,Strikeprice4,0,0,($AK202+IF(Smile=TRUE(),VLOOKUP(MAX(-5,Strikeprice4-G202),Volsmile,2),0)),($A202-DateToday)+15,IF(Pricetype4=1,1,0),0))),G202)))</f>
        <v> </v>
      </c>
      <c r="Q202" s="318" t="str">
        <f aca="false">IF($A202="N/A"," ",IF(Pricetype4=2,MAX(H202,0),IF(OR(Pricetype4=1,Pricetype4=4),IF(H202=0,0,(EURO(H202,Strikeprice4,0,0,($AK202+IF(Smile=TRUE(),VLOOKUP(MAX(-5,Strikeprice4-H202),Volsmile,2),0)),($A202-DateToday)+15,IF(Pricetype4=1,1,0),0))),H202)))</f>
        <v> </v>
      </c>
      <c r="R202" s="318" t="str">
        <f aca="false">IF($A202="N/A"," ",IF(Pricetype4=2,MAX(I202,0),IF(OR(Pricetype4=1,Pricetype4=4),IF(I202=0,0,(EURO(I202,Strikeprice4,0,0,($AK202+IF(Smile=TRUE(),VLOOKUP(MAX(-5,Strikeprice4-I202),Volsmile,2),0)),($A202-DateToday)+15,IF(Pricetype4=1,1,0),0))),I202)))</f>
        <v> </v>
      </c>
      <c r="S202" s="318" t="str">
        <f aca="false">IF($A202="N/A"," ",IF(Pricetype4=2,MAX(J202,0),IF(OR(Pricetype4=1,Pricetype4=4),IF(J202=0,0,(EURO(J202,Strikeprice4,0,0,($AK202+IF(Smile=TRUE(),VLOOKUP(MAX(-5,Strikeprice4-J202),Volsmile,2),0)),($A202-DateToday)+15,IF(Pricetype4=1,1,0),0))),J202)))</f>
        <v> </v>
      </c>
      <c r="T202" s="318" t="str">
        <f aca="false">IF($A202="N/A"," ",IF(Pricetype4=2,MAX(K202,0),IF(OR(Pricetype4=1,Pricetype4=4),IF(K202=0,0,(EURO(K202,Strikeprice4,0,0,($AK202+IF(Smile=TRUE(),VLOOKUP(MAX(-5,Strikeprice4-K202),Volsmile,2),0)),($A202-DateToday)+15,IF(Pricetype4=1,1,0),0))),K202)))</f>
        <v> </v>
      </c>
      <c r="U202" s="319" t="str">
        <f aca="false">IF($A202="N/A"," ",Volume4*$AM202)</f>
        <v> </v>
      </c>
      <c r="V202" s="320" t="str">
        <f aca="false">IF($A202="N/A"," ",$U202*(8*($BQ202))*L202)</f>
        <v> </v>
      </c>
      <c r="W202" s="320" t="str">
        <f aca="false">IF($A202="N/A"," ",$U202*(8*($BQ202))*M202)</f>
        <v> </v>
      </c>
      <c r="X202" s="320" t="str">
        <f aca="false">IF($A202="N/A"," ",$U202*(8*($BQ202))*N202)</f>
        <v> </v>
      </c>
      <c r="Y202" s="320" t="str">
        <f aca="false">IF($A202="N/A"," ",$U202*(8*($BR202))*O202)</f>
        <v> </v>
      </c>
      <c r="Z202" s="320" t="str">
        <f aca="false">IF($A202="N/A"," ",$U202*(8*($BR202))*P202)</f>
        <v> </v>
      </c>
      <c r="AA202" s="320" t="str">
        <f aca="false">IF($A202="N/A"," ",$U202*(8*($BR202))*Q202)</f>
        <v> </v>
      </c>
      <c r="AB202" s="320" t="str">
        <f aca="false">IF($A202="N/A"," ",$U202*(8*($BS202))*R202)</f>
        <v> </v>
      </c>
      <c r="AC202" s="320" t="str">
        <f aca="false">IF($A202="N/A"," ",$U202*(8*($BS202))*S202)</f>
        <v> </v>
      </c>
      <c r="AD202" s="320" t="str">
        <f aca="false">IF($A202="N/A"," ",$U202*(8*($BS202))*T202)</f>
        <v> </v>
      </c>
      <c r="AE202" s="320" t="str">
        <f aca="false">IF($A202="N/A"," ",SUM(V202:AD202))</f>
        <v> </v>
      </c>
      <c r="AF202" s="321" t="str">
        <f aca="false">IF(A202="N/A"," ",(VLOOKUP(A202,PowerVolTable,(IF(VolBMO4=2,7,IF(VolBMO4=1,6,8))),FALSE())))</f>
        <v> </v>
      </c>
      <c r="AG202" s="321" t="str">
        <f aca="false">IF(A202="N/A"," ",(VLOOKUP(A202,IntraPowerVol,(IF(VolBMO4=2,3,IF(VolBMO4=1,2,4))),FALSE())*VLOOKUP(MONTH($A202),Volscale,2)))</f>
        <v> </v>
      </c>
      <c r="AH202" s="321" t="str">
        <f aca="false">IF($A202="N/A"," ",IF(VolType4=1,AG202,AF202))</f>
        <v> </v>
      </c>
      <c r="AI202" s="321" t="str">
        <f aca="false">IF($A202="N/A"," ",(VLOOKUP($A202,OffPwrVolTable,(IF(VolBMO4=2,7,IF(VolBMO4=1,6,8))),FALSE())))</f>
        <v> </v>
      </c>
      <c r="AJ202" s="321" t="str">
        <f aca="false">IF($A202="N/A"," ",(VLOOKUP($A202,OffPwrVolTable,(IF(VolBMO4=2,3,IF(VolBMO4=1,2,4))),FALSE())*VLOOKUP(MONTH($A202),Volscale,2)))</f>
        <v> </v>
      </c>
      <c r="AK202" s="321" t="str">
        <f aca="false">IF($A202="N/A"," ",IF(VolType4=1,AJ202,AI202))</f>
        <v> </v>
      </c>
      <c r="AL202" s="321" t="str">
        <f aca="false">IF($A202="N/A"," ",IF(PV=1,0,'Pricing Inputs4'!R235))</f>
        <v> </v>
      </c>
      <c r="AM202" s="323" t="str">
        <f aca="false">IF($A202="N/A"," ",(1+AL202/2)^(-2*((EOMONTH(A202,0)+20)-DateToday)/365.25))</f>
        <v> </v>
      </c>
      <c r="BQ202" s="0" t="str">
        <f aca="false">IF($A202="N/A"," ",(VLOOKUP($A202,NumberofDaysTable,2)))</f>
        <v> </v>
      </c>
      <c r="BR202" s="0" t="str">
        <f aca="false">IF($A202="N/A"," ",(VLOOKUP($A202,NumberofDaysTable,3)))</f>
        <v> </v>
      </c>
      <c r="BS202" s="0" t="str">
        <f aca="false">IF($A202="N/A"," ",(VLOOKUP($A202,NumberofDaysTable,4)))</f>
        <v> </v>
      </c>
    </row>
    <row r="203" customFormat="false" ht="12.75" hidden="false" customHeight="false" outlineLevel="0" collapsed="false">
      <c r="A203" s="315" t="str">
        <f aca="false">IF(A202="N/A","N/A",IF(EDATE(A202,1)&gt;Inputs!$R$5,"N/A",EDATE(A202,1)))</f>
        <v>N/A</v>
      </c>
      <c r="B203" s="316" t="str">
        <f aca="false">IF(A203="N/A"," ",YEAR(A203))</f>
        <v> </v>
      </c>
      <c r="C203" s="317" t="str">
        <f aca="false">IF($A203="N/A"," ",IF(Dayrun4=10,0,IF(Scaler4=1,(VLOOKUP(A203,ScaledPrice4,4)),(VLOOKUP(A203,ScaledPrice4,2)))))</f>
        <v> </v>
      </c>
      <c r="D203" s="317" t="str">
        <f aca="false">IF(A203="N/A"," ",IF(Dayrun4&gt;=7,0,IF(Scaler4=2,VLOOKUP(A203,ScaledPrice4,2),(VLOOKUP(A203,ScaledPrice4,2))*(2-(VLOOKUP(A203,ScaledPrice4,3))))))</f>
        <v> </v>
      </c>
      <c r="E203" s="317" t="str">
        <f aca="false">IF($A203="N/A"," ",IF(AND(Dayrun4&gt;=4,Dayrun4&lt;=9),0,VLOOKUP($A203,ScaledPrice4,9)))</f>
        <v> </v>
      </c>
      <c r="F203" s="317" t="str">
        <f aca="false">IF(A203="N/A"," ",IF(OR(Dayrun4=2,Dayrun4=3,Dayrun4=5,Dayrun4=6,Dayrun4=8,Dayrun4=9),VLOOKUP(A203,ScaledPrice4,IF(Scaler4=1,6,5)),0))</f>
        <v> </v>
      </c>
      <c r="G203" s="317" t="str">
        <f aca="false">IF(A203="N/A"," ",IF(OR(Dayrun4=2,Dayrun4=3,Dayrun4=5,Dayrun4=6),IF(Scaler4=2,F203,(VLOOKUP(A203,ScaledPrice4,5))*(2-(VLOOKUP(A203,ScaledPrice4,3)))),0))</f>
        <v> </v>
      </c>
      <c r="H203" s="317" t="str">
        <f aca="false">IF($A203="N/A"," ",IF(OR(Dayrun4=2,Dayrun4=3,Dayrun4=10),VLOOKUP($A203,ScaledPrice4,9),0))</f>
        <v> </v>
      </c>
      <c r="I203" s="317" t="str">
        <f aca="false">IF(A203="N/A"," ",IF(OR(Dayrun4=3,Dayrun4=6,Dayrun4=9),(VLOOKUP(A203,ScaledPrice4,IF(Scaler4=2,7,8))),0))</f>
        <v> </v>
      </c>
      <c r="J203" s="317" t="str">
        <f aca="false">IF(A203="N/A"," ",IF(OR(Dayrun4=3,Dayrun4=6),IF(Scaler4=2,I203,(VLOOKUP(A203,ScaledPrice4,7))*(2-(VLOOKUP(A203,ScaledPrice4,3)))),0))</f>
        <v> </v>
      </c>
      <c r="K203" s="317" t="str">
        <f aca="false">IF($A203="N/A"," ",IF(OR(Dayrun4=3,Dayrun4=10),VLOOKUP($A203,ScaledPrice4,9),0))</f>
        <v> </v>
      </c>
      <c r="L203" s="318" t="str">
        <f aca="false">IF($A203="N/A"," ",IF(Pricetype4=2,MAX(C203,0),IF(OR(Pricetype4=1,Pricetype4=4),IF(C203=0,0,(EURO(C203,Strikeprice4,0,0,($AH203+IF(Smile=TRUE(),VLOOKUP(MAX(-5,Strikeprice4-C203),Volsmile,2),0)),($A203-DateToday)+15,IF(Pricetype4=1,1,0),0))),C203)))</f>
        <v> </v>
      </c>
      <c r="M203" s="318" t="str">
        <f aca="false">IF($A203="N/A"," ",IF(Pricetype4=2,MAX(D203,0),IF(OR(Pricetype4=1,Pricetype4=4),IF(D203=0,0,(EURO(D203,Strikeprice4,0,0,($AH203+IF(Smile=TRUE(),VLOOKUP(MAX(-5,Strikeprice4-D203),Volsmile,2),0)),($A203-DateToday)+15,IF(Pricetype4=1,1,0),0))),D203)))</f>
        <v> </v>
      </c>
      <c r="N203" s="318" t="str">
        <f aca="false">IF($A203="N/A"," ",IF(Pricetype4=2,MAX(E203,0),IF(OR(Pricetype4=1,Pricetype4=4),IF(E203=0,0,(EURO(E203,Strikeprice4,0,0,($AK203+IF(Smile=TRUE(),VLOOKUP(MAX(-5,Strikeprice4-E203),Volsmile,2),0)),($A203-DateToday)+15,IF(Pricetype4=1,1,0),0))),E203)))</f>
        <v> </v>
      </c>
      <c r="O203" s="318" t="str">
        <f aca="false">IF($A203="N/A"," ",IF(Pricetype4=2,MAX(F203,0),IF(OR(Pricetype4=1,Pricetype4=4),IF(F203=0,0,(EURO(F203,Strikeprice4,0,0,($AK203+IF(Smile=TRUE(),VLOOKUP(MAX(-5,Strikeprice4-F203),Volsmile,2),0)),($A203-DateToday)+15,IF(Pricetype4=1,1,0),0))),F203)))</f>
        <v> </v>
      </c>
      <c r="P203" s="318" t="str">
        <f aca="false">IF($A203="N/A"," ",IF(Pricetype4=2,MAX(G203,0),IF(OR(Pricetype4=1,Pricetype4=4),IF(G203=0,0,(EURO(G203,Strikeprice4,0,0,($AK203+IF(Smile=TRUE(),VLOOKUP(MAX(-5,Strikeprice4-G203),Volsmile,2),0)),($A203-DateToday)+15,IF(Pricetype4=1,1,0),0))),G203)))</f>
        <v> </v>
      </c>
      <c r="Q203" s="318" t="str">
        <f aca="false">IF($A203="N/A"," ",IF(Pricetype4=2,MAX(H203,0),IF(OR(Pricetype4=1,Pricetype4=4),IF(H203=0,0,(EURO(H203,Strikeprice4,0,0,($AK203+IF(Smile=TRUE(),VLOOKUP(MAX(-5,Strikeprice4-H203),Volsmile,2),0)),($A203-DateToday)+15,IF(Pricetype4=1,1,0),0))),H203)))</f>
        <v> </v>
      </c>
      <c r="R203" s="318" t="str">
        <f aca="false">IF($A203="N/A"," ",IF(Pricetype4=2,MAX(I203,0),IF(OR(Pricetype4=1,Pricetype4=4),IF(I203=0,0,(EURO(I203,Strikeprice4,0,0,($AK203+IF(Smile=TRUE(),VLOOKUP(MAX(-5,Strikeprice4-I203),Volsmile,2),0)),($A203-DateToday)+15,IF(Pricetype4=1,1,0),0))),I203)))</f>
        <v> </v>
      </c>
      <c r="S203" s="318" t="str">
        <f aca="false">IF($A203="N/A"," ",IF(Pricetype4=2,MAX(J203,0),IF(OR(Pricetype4=1,Pricetype4=4),IF(J203=0,0,(EURO(J203,Strikeprice4,0,0,($AK203+IF(Smile=TRUE(),VLOOKUP(MAX(-5,Strikeprice4-J203),Volsmile,2),0)),($A203-DateToday)+15,IF(Pricetype4=1,1,0),0))),J203)))</f>
        <v> </v>
      </c>
      <c r="T203" s="318" t="str">
        <f aca="false">IF($A203="N/A"," ",IF(Pricetype4=2,MAX(K203,0),IF(OR(Pricetype4=1,Pricetype4=4),IF(K203=0,0,(EURO(K203,Strikeprice4,0,0,($AK203+IF(Smile=TRUE(),VLOOKUP(MAX(-5,Strikeprice4-K203),Volsmile,2),0)),($A203-DateToday)+15,IF(Pricetype4=1,1,0),0))),K203)))</f>
        <v> </v>
      </c>
      <c r="U203" s="319" t="str">
        <f aca="false">IF($A203="N/A"," ",Volume4*$AM203)</f>
        <v> </v>
      </c>
      <c r="V203" s="320" t="str">
        <f aca="false">IF($A203="N/A"," ",$U203*(8*($BQ203))*L203)</f>
        <v> </v>
      </c>
      <c r="W203" s="320" t="str">
        <f aca="false">IF($A203="N/A"," ",$U203*(8*($BQ203))*M203)</f>
        <v> </v>
      </c>
      <c r="X203" s="320" t="str">
        <f aca="false">IF($A203="N/A"," ",$U203*(8*($BQ203))*N203)</f>
        <v> </v>
      </c>
      <c r="Y203" s="320" t="str">
        <f aca="false">IF($A203="N/A"," ",$U203*(8*($BR203))*O203)</f>
        <v> </v>
      </c>
      <c r="Z203" s="320" t="str">
        <f aca="false">IF($A203="N/A"," ",$U203*(8*($BR203))*P203)</f>
        <v> </v>
      </c>
      <c r="AA203" s="320" t="str">
        <f aca="false">IF($A203="N/A"," ",$U203*(8*($BR203))*Q203)</f>
        <v> </v>
      </c>
      <c r="AB203" s="320" t="str">
        <f aca="false">IF($A203="N/A"," ",$U203*(8*($BS203))*R203)</f>
        <v> </v>
      </c>
      <c r="AC203" s="320" t="str">
        <f aca="false">IF($A203="N/A"," ",$U203*(8*($BS203))*S203)</f>
        <v> </v>
      </c>
      <c r="AD203" s="320" t="str">
        <f aca="false">IF($A203="N/A"," ",$U203*(8*($BS203))*T203)</f>
        <v> </v>
      </c>
      <c r="AE203" s="320" t="str">
        <f aca="false">IF($A203="N/A"," ",SUM(V203:AD203))</f>
        <v> </v>
      </c>
      <c r="AF203" s="321" t="str">
        <f aca="false">IF(A203="N/A"," ",(VLOOKUP(A203,PowerVolTable,(IF(VolBMO4=2,7,IF(VolBMO4=1,6,8))),FALSE())))</f>
        <v> </v>
      </c>
      <c r="AG203" s="321" t="str">
        <f aca="false">IF(A203="N/A"," ",(VLOOKUP(A203,IntraPowerVol,(IF(VolBMO4=2,3,IF(VolBMO4=1,2,4))),FALSE())*VLOOKUP(MONTH($A203),Volscale,2)))</f>
        <v> </v>
      </c>
      <c r="AH203" s="321" t="str">
        <f aca="false">IF($A203="N/A"," ",IF(VolType4=1,AG203,AF203))</f>
        <v> </v>
      </c>
      <c r="AI203" s="321" t="str">
        <f aca="false">IF($A203="N/A"," ",(VLOOKUP($A203,OffPwrVolTable,(IF(VolBMO4=2,7,IF(VolBMO4=1,6,8))),FALSE())))</f>
        <v> </v>
      </c>
      <c r="AJ203" s="321" t="str">
        <f aca="false">IF($A203="N/A"," ",(VLOOKUP($A203,OffPwrVolTable,(IF(VolBMO4=2,3,IF(VolBMO4=1,2,4))),FALSE())*VLOOKUP(MONTH($A203),Volscale,2)))</f>
        <v> </v>
      </c>
      <c r="AK203" s="321" t="str">
        <f aca="false">IF($A203="N/A"," ",IF(VolType4=1,AJ203,AI203))</f>
        <v> </v>
      </c>
      <c r="AL203" s="321" t="str">
        <f aca="false">IF($A203="N/A"," ",IF(PV=1,0,'Pricing Inputs4'!R236))</f>
        <v> </v>
      </c>
      <c r="AM203" s="323" t="str">
        <f aca="false">IF($A203="N/A"," ",(1+AL203/2)^(-2*((EOMONTH(A203,0)+20)-DateToday)/365.25))</f>
        <v> </v>
      </c>
      <c r="BQ203" s="0" t="str">
        <f aca="false">IF($A203="N/A"," ",(VLOOKUP($A203,NumberofDaysTable,2)))</f>
        <v> </v>
      </c>
      <c r="BR203" s="0" t="str">
        <f aca="false">IF($A203="N/A"," ",(VLOOKUP($A203,NumberofDaysTable,3)))</f>
        <v> </v>
      </c>
      <c r="BS203" s="0" t="str">
        <f aca="false">IF($A203="N/A"," ",(VLOOKUP($A203,NumberofDaysTable,4)))</f>
        <v> </v>
      </c>
    </row>
    <row r="204" customFormat="false" ht="12.75" hidden="false" customHeight="false" outlineLevel="0" collapsed="false">
      <c r="A204" s="315" t="str">
        <f aca="false">IF(A203="N/A","N/A",IF(EDATE(A203,1)&gt;Inputs!$R$5,"N/A",EDATE(A203,1)))</f>
        <v>N/A</v>
      </c>
      <c r="B204" s="316" t="str">
        <f aca="false">IF(A204="N/A"," ",YEAR(A204))</f>
        <v> </v>
      </c>
      <c r="C204" s="317" t="str">
        <f aca="false">IF($A204="N/A"," ",IF(Dayrun4=10,0,IF(Scaler4=1,(VLOOKUP(A204,ScaledPrice4,4)),(VLOOKUP(A204,ScaledPrice4,2)))))</f>
        <v> </v>
      </c>
      <c r="D204" s="317" t="str">
        <f aca="false">IF(A204="N/A"," ",IF(Dayrun4&gt;=7,0,IF(Scaler4=2,VLOOKUP(A204,ScaledPrice4,2),(VLOOKUP(A204,ScaledPrice4,2))*(2-(VLOOKUP(A204,ScaledPrice4,3))))))</f>
        <v> </v>
      </c>
      <c r="E204" s="317" t="str">
        <f aca="false">IF($A204="N/A"," ",IF(AND(Dayrun4&gt;=4,Dayrun4&lt;=9),0,VLOOKUP($A204,ScaledPrice4,9)))</f>
        <v> </v>
      </c>
      <c r="F204" s="317" t="str">
        <f aca="false">IF(A204="N/A"," ",IF(OR(Dayrun4=2,Dayrun4=3,Dayrun4=5,Dayrun4=6,Dayrun4=8,Dayrun4=9),VLOOKUP(A204,ScaledPrice4,IF(Scaler4=1,6,5)),0))</f>
        <v> </v>
      </c>
      <c r="G204" s="317" t="str">
        <f aca="false">IF(A204="N/A"," ",IF(OR(Dayrun4=2,Dayrun4=3,Dayrun4=5,Dayrun4=6),IF(Scaler4=2,F204,(VLOOKUP(A204,ScaledPrice4,5))*(2-(VLOOKUP(A204,ScaledPrice4,3)))),0))</f>
        <v> </v>
      </c>
      <c r="H204" s="317" t="str">
        <f aca="false">IF($A204="N/A"," ",IF(OR(Dayrun4=2,Dayrun4=3,Dayrun4=10),VLOOKUP($A204,ScaledPrice4,9),0))</f>
        <v> </v>
      </c>
      <c r="I204" s="317" t="str">
        <f aca="false">IF(A204="N/A"," ",IF(OR(Dayrun4=3,Dayrun4=6,Dayrun4=9),(VLOOKUP(A204,ScaledPrice4,IF(Scaler4=2,7,8))),0))</f>
        <v> </v>
      </c>
      <c r="J204" s="317" t="str">
        <f aca="false">IF(A204="N/A"," ",IF(OR(Dayrun4=3,Dayrun4=6),IF(Scaler4=2,I204,(VLOOKUP(A204,ScaledPrice4,7))*(2-(VLOOKUP(A204,ScaledPrice4,3)))),0))</f>
        <v> </v>
      </c>
      <c r="K204" s="317" t="str">
        <f aca="false">IF($A204="N/A"," ",IF(OR(Dayrun4=3,Dayrun4=10),VLOOKUP($A204,ScaledPrice4,9),0))</f>
        <v> </v>
      </c>
      <c r="L204" s="318" t="str">
        <f aca="false">IF($A204="N/A"," ",IF(Pricetype4=2,MAX(C204,0),IF(OR(Pricetype4=1,Pricetype4=4),IF(C204=0,0,(EURO(C204,Strikeprice4,0,0,($AH204+IF(Smile=TRUE(),VLOOKUP(MAX(-5,Strikeprice4-C204),Volsmile,2),0)),($A204-DateToday)+15,IF(Pricetype4=1,1,0),0))),C204)))</f>
        <v> </v>
      </c>
      <c r="M204" s="318" t="str">
        <f aca="false">IF($A204="N/A"," ",IF(Pricetype4=2,MAX(D204,0),IF(OR(Pricetype4=1,Pricetype4=4),IF(D204=0,0,(EURO(D204,Strikeprice4,0,0,($AH204+IF(Smile=TRUE(),VLOOKUP(MAX(-5,Strikeprice4-D204),Volsmile,2),0)),($A204-DateToday)+15,IF(Pricetype4=1,1,0),0))),D204)))</f>
        <v> </v>
      </c>
      <c r="N204" s="318" t="str">
        <f aca="false">IF($A204="N/A"," ",IF(Pricetype4=2,MAX(E204,0),IF(OR(Pricetype4=1,Pricetype4=4),IF(E204=0,0,(EURO(E204,Strikeprice4,0,0,($AK204+IF(Smile=TRUE(),VLOOKUP(MAX(-5,Strikeprice4-E204),Volsmile,2),0)),($A204-DateToday)+15,IF(Pricetype4=1,1,0),0))),E204)))</f>
        <v> </v>
      </c>
      <c r="O204" s="318" t="str">
        <f aca="false">IF($A204="N/A"," ",IF(Pricetype4=2,MAX(F204,0),IF(OR(Pricetype4=1,Pricetype4=4),IF(F204=0,0,(EURO(F204,Strikeprice4,0,0,($AK204+IF(Smile=TRUE(),VLOOKUP(MAX(-5,Strikeprice4-F204),Volsmile,2),0)),($A204-DateToday)+15,IF(Pricetype4=1,1,0),0))),F204)))</f>
        <v> </v>
      </c>
      <c r="P204" s="318" t="str">
        <f aca="false">IF($A204="N/A"," ",IF(Pricetype4=2,MAX(G204,0),IF(OR(Pricetype4=1,Pricetype4=4),IF(G204=0,0,(EURO(G204,Strikeprice4,0,0,($AK204+IF(Smile=TRUE(),VLOOKUP(MAX(-5,Strikeprice4-G204),Volsmile,2),0)),($A204-DateToday)+15,IF(Pricetype4=1,1,0),0))),G204)))</f>
        <v> </v>
      </c>
      <c r="Q204" s="318" t="str">
        <f aca="false">IF($A204="N/A"," ",IF(Pricetype4=2,MAX(H204,0),IF(OR(Pricetype4=1,Pricetype4=4),IF(H204=0,0,(EURO(H204,Strikeprice4,0,0,($AK204+IF(Smile=TRUE(),VLOOKUP(MAX(-5,Strikeprice4-H204),Volsmile,2),0)),($A204-DateToday)+15,IF(Pricetype4=1,1,0),0))),H204)))</f>
        <v> </v>
      </c>
      <c r="R204" s="318" t="str">
        <f aca="false">IF($A204="N/A"," ",IF(Pricetype4=2,MAX(I204,0),IF(OR(Pricetype4=1,Pricetype4=4),IF(I204=0,0,(EURO(I204,Strikeprice4,0,0,($AK204+IF(Smile=TRUE(),VLOOKUP(MAX(-5,Strikeprice4-I204),Volsmile,2),0)),($A204-DateToday)+15,IF(Pricetype4=1,1,0),0))),I204)))</f>
        <v> </v>
      </c>
      <c r="S204" s="318" t="str">
        <f aca="false">IF($A204="N/A"," ",IF(Pricetype4=2,MAX(J204,0),IF(OR(Pricetype4=1,Pricetype4=4),IF(J204=0,0,(EURO(J204,Strikeprice4,0,0,($AK204+IF(Smile=TRUE(),VLOOKUP(MAX(-5,Strikeprice4-J204),Volsmile,2),0)),($A204-DateToday)+15,IF(Pricetype4=1,1,0),0))),J204)))</f>
        <v> </v>
      </c>
      <c r="T204" s="318" t="str">
        <f aca="false">IF($A204="N/A"," ",IF(Pricetype4=2,MAX(K204,0),IF(OR(Pricetype4=1,Pricetype4=4),IF(K204=0,0,(EURO(K204,Strikeprice4,0,0,($AK204+IF(Smile=TRUE(),VLOOKUP(MAX(-5,Strikeprice4-K204),Volsmile,2),0)),($A204-DateToday)+15,IF(Pricetype4=1,1,0),0))),K204)))</f>
        <v> </v>
      </c>
      <c r="U204" s="319" t="str">
        <f aca="false">IF($A204="N/A"," ",Volume4*$AM204)</f>
        <v> </v>
      </c>
      <c r="V204" s="320" t="str">
        <f aca="false">IF($A204="N/A"," ",$U204*(8*($BQ204))*L204)</f>
        <v> </v>
      </c>
      <c r="W204" s="320" t="str">
        <f aca="false">IF($A204="N/A"," ",$U204*(8*($BQ204))*M204)</f>
        <v> </v>
      </c>
      <c r="X204" s="320" t="str">
        <f aca="false">IF($A204="N/A"," ",$U204*(8*($BQ204))*N204)</f>
        <v> </v>
      </c>
      <c r="Y204" s="320" t="str">
        <f aca="false">IF($A204="N/A"," ",$U204*(8*($BR204))*O204)</f>
        <v> </v>
      </c>
      <c r="Z204" s="320" t="str">
        <f aca="false">IF($A204="N/A"," ",$U204*(8*($BR204))*P204)</f>
        <v> </v>
      </c>
      <c r="AA204" s="320" t="str">
        <f aca="false">IF($A204="N/A"," ",$U204*(8*($BR204))*Q204)</f>
        <v> </v>
      </c>
      <c r="AB204" s="320" t="str">
        <f aca="false">IF($A204="N/A"," ",$U204*(8*($BS204))*R204)</f>
        <v> </v>
      </c>
      <c r="AC204" s="320" t="str">
        <f aca="false">IF($A204="N/A"," ",$U204*(8*($BS204))*S204)</f>
        <v> </v>
      </c>
      <c r="AD204" s="320" t="str">
        <f aca="false">IF($A204="N/A"," ",$U204*(8*($BS204))*T204)</f>
        <v> </v>
      </c>
      <c r="AE204" s="320" t="str">
        <f aca="false">IF($A204="N/A"," ",SUM(V204:AD204))</f>
        <v> </v>
      </c>
      <c r="AF204" s="321" t="str">
        <f aca="false">IF(A204="N/A"," ",(VLOOKUP(A204,PowerVolTable,(IF(VolBMO4=2,7,IF(VolBMO4=1,6,8))),FALSE())))</f>
        <v> </v>
      </c>
      <c r="AG204" s="321" t="str">
        <f aca="false">IF(A204="N/A"," ",(VLOOKUP(A204,IntraPowerVol,(IF(VolBMO4=2,3,IF(VolBMO4=1,2,4))),FALSE())*VLOOKUP(MONTH($A204),Volscale,2)))</f>
        <v> </v>
      </c>
      <c r="AH204" s="321" t="str">
        <f aca="false">IF($A204="N/A"," ",IF(VolType4=1,AG204,AF204))</f>
        <v> </v>
      </c>
      <c r="AI204" s="321" t="str">
        <f aca="false">IF($A204="N/A"," ",(VLOOKUP($A204,OffPwrVolTable,(IF(VolBMO4=2,7,IF(VolBMO4=1,6,8))),FALSE())))</f>
        <v> </v>
      </c>
      <c r="AJ204" s="321" t="str">
        <f aca="false">IF($A204="N/A"," ",(VLOOKUP($A204,OffPwrVolTable,(IF(VolBMO4=2,3,IF(VolBMO4=1,2,4))),FALSE())*VLOOKUP(MONTH($A204),Volscale,2)))</f>
        <v> </v>
      </c>
      <c r="AK204" s="321" t="str">
        <f aca="false">IF($A204="N/A"," ",IF(VolType4=1,AJ204,AI204))</f>
        <v> </v>
      </c>
      <c r="AL204" s="321" t="str">
        <f aca="false">IF($A204="N/A"," ",IF(PV=1,0,'Pricing Inputs4'!R237))</f>
        <v> </v>
      </c>
      <c r="AM204" s="323" t="str">
        <f aca="false">IF($A204="N/A"," ",(1+AL204/2)^(-2*((EOMONTH(A204,0)+20)-DateToday)/365.25))</f>
        <v> </v>
      </c>
      <c r="BQ204" s="0" t="str">
        <f aca="false">IF($A204="N/A"," ",(VLOOKUP($A204,NumberofDaysTable,2)))</f>
        <v> </v>
      </c>
      <c r="BR204" s="0" t="str">
        <f aca="false">IF($A204="N/A"," ",(VLOOKUP($A204,NumberofDaysTable,3)))</f>
        <v> </v>
      </c>
      <c r="BS204" s="0" t="str">
        <f aca="false">IF($A204="N/A"," ",(VLOOKUP($A204,NumberofDaysTable,4)))</f>
        <v> </v>
      </c>
    </row>
    <row r="205" customFormat="false" ht="12.75" hidden="false" customHeight="false" outlineLevel="0" collapsed="false">
      <c r="A205" s="315" t="str">
        <f aca="false">IF(A204="N/A","N/A",IF(EDATE(A204,1)&gt;Inputs!$R$5,"N/A",EDATE(A204,1)))</f>
        <v>N/A</v>
      </c>
      <c r="B205" s="316" t="str">
        <f aca="false">IF(A205="N/A"," ",YEAR(A205))</f>
        <v> </v>
      </c>
      <c r="C205" s="317" t="str">
        <f aca="false">IF($A205="N/A"," ",IF(Dayrun4=10,0,IF(Scaler4=1,(VLOOKUP(A205,ScaledPrice4,4)),(VLOOKUP(A205,ScaledPrice4,2)))))</f>
        <v> </v>
      </c>
      <c r="D205" s="317" t="str">
        <f aca="false">IF(A205="N/A"," ",IF(Dayrun4&gt;=7,0,IF(Scaler4=2,VLOOKUP(A205,ScaledPrice4,2),(VLOOKUP(A205,ScaledPrice4,2))*(2-(VLOOKUP(A205,ScaledPrice4,3))))))</f>
        <v> </v>
      </c>
      <c r="E205" s="317" t="str">
        <f aca="false">IF($A205="N/A"," ",IF(AND(Dayrun4&gt;=4,Dayrun4&lt;=9),0,VLOOKUP($A205,ScaledPrice4,9)))</f>
        <v> </v>
      </c>
      <c r="F205" s="317" t="str">
        <f aca="false">IF(A205="N/A"," ",IF(OR(Dayrun4=2,Dayrun4=3,Dayrun4=5,Dayrun4=6,Dayrun4=8,Dayrun4=9),VLOOKUP(A205,ScaledPrice4,IF(Scaler4=1,6,5)),0))</f>
        <v> </v>
      </c>
      <c r="G205" s="317" t="str">
        <f aca="false">IF(A205="N/A"," ",IF(OR(Dayrun4=2,Dayrun4=3,Dayrun4=5,Dayrun4=6),IF(Scaler4=2,F205,(VLOOKUP(A205,ScaledPrice4,5))*(2-(VLOOKUP(A205,ScaledPrice4,3)))),0))</f>
        <v> </v>
      </c>
      <c r="H205" s="317" t="str">
        <f aca="false">IF($A205="N/A"," ",IF(OR(Dayrun4=2,Dayrun4=3,Dayrun4=10),VLOOKUP($A205,ScaledPrice4,9),0))</f>
        <v> </v>
      </c>
      <c r="I205" s="317" t="str">
        <f aca="false">IF(A205="N/A"," ",IF(OR(Dayrun4=3,Dayrun4=6,Dayrun4=9),(VLOOKUP(A205,ScaledPrice4,IF(Scaler4=2,7,8))),0))</f>
        <v> </v>
      </c>
      <c r="J205" s="317" t="str">
        <f aca="false">IF(A205="N/A"," ",IF(OR(Dayrun4=3,Dayrun4=6),IF(Scaler4=2,I205,(VLOOKUP(A205,ScaledPrice4,7))*(2-(VLOOKUP(A205,ScaledPrice4,3)))),0))</f>
        <v> </v>
      </c>
      <c r="K205" s="317" t="str">
        <f aca="false">IF($A205="N/A"," ",IF(OR(Dayrun4=3,Dayrun4=10),VLOOKUP($A205,ScaledPrice4,9),0))</f>
        <v> </v>
      </c>
      <c r="L205" s="318" t="str">
        <f aca="false">IF($A205="N/A"," ",IF(Pricetype4=2,MAX(C205,0),IF(OR(Pricetype4=1,Pricetype4=4),IF(C205=0,0,(EURO(C205,Strikeprice4,0,0,($AH205+IF(Smile=TRUE(),VLOOKUP(MAX(-5,Strikeprice4-C205),Volsmile,2),0)),($A205-DateToday)+15,IF(Pricetype4=1,1,0),0))),C205)))</f>
        <v> </v>
      </c>
      <c r="M205" s="318" t="str">
        <f aca="false">IF($A205="N/A"," ",IF(Pricetype4=2,MAX(D205,0),IF(OR(Pricetype4=1,Pricetype4=4),IF(D205=0,0,(EURO(D205,Strikeprice4,0,0,($AH205+IF(Smile=TRUE(),VLOOKUP(MAX(-5,Strikeprice4-D205),Volsmile,2),0)),($A205-DateToday)+15,IF(Pricetype4=1,1,0),0))),D205)))</f>
        <v> </v>
      </c>
      <c r="N205" s="318" t="str">
        <f aca="false">IF($A205="N/A"," ",IF(Pricetype4=2,MAX(E205,0),IF(OR(Pricetype4=1,Pricetype4=4),IF(E205=0,0,(EURO(E205,Strikeprice4,0,0,($AK205+IF(Smile=TRUE(),VLOOKUP(MAX(-5,Strikeprice4-E205),Volsmile,2),0)),($A205-DateToday)+15,IF(Pricetype4=1,1,0),0))),E205)))</f>
        <v> </v>
      </c>
      <c r="O205" s="318" t="str">
        <f aca="false">IF($A205="N/A"," ",IF(Pricetype4=2,MAX(F205,0),IF(OR(Pricetype4=1,Pricetype4=4),IF(F205=0,0,(EURO(F205,Strikeprice4,0,0,($AK205+IF(Smile=TRUE(),VLOOKUP(MAX(-5,Strikeprice4-F205),Volsmile,2),0)),($A205-DateToday)+15,IF(Pricetype4=1,1,0),0))),F205)))</f>
        <v> </v>
      </c>
      <c r="P205" s="318" t="str">
        <f aca="false">IF($A205="N/A"," ",IF(Pricetype4=2,MAX(G205,0),IF(OR(Pricetype4=1,Pricetype4=4),IF(G205=0,0,(EURO(G205,Strikeprice4,0,0,($AK205+IF(Smile=TRUE(),VLOOKUP(MAX(-5,Strikeprice4-G205),Volsmile,2),0)),($A205-DateToday)+15,IF(Pricetype4=1,1,0),0))),G205)))</f>
        <v> </v>
      </c>
      <c r="Q205" s="318" t="str">
        <f aca="false">IF($A205="N/A"," ",IF(Pricetype4=2,MAX(H205,0),IF(OR(Pricetype4=1,Pricetype4=4),IF(H205=0,0,(EURO(H205,Strikeprice4,0,0,($AK205+IF(Smile=TRUE(),VLOOKUP(MAX(-5,Strikeprice4-H205),Volsmile,2),0)),($A205-DateToday)+15,IF(Pricetype4=1,1,0),0))),H205)))</f>
        <v> </v>
      </c>
      <c r="R205" s="318" t="str">
        <f aca="false">IF($A205="N/A"," ",IF(Pricetype4=2,MAX(I205,0),IF(OR(Pricetype4=1,Pricetype4=4),IF(I205=0,0,(EURO(I205,Strikeprice4,0,0,($AK205+IF(Smile=TRUE(),VLOOKUP(MAX(-5,Strikeprice4-I205),Volsmile,2),0)),($A205-DateToday)+15,IF(Pricetype4=1,1,0),0))),I205)))</f>
        <v> </v>
      </c>
      <c r="S205" s="318" t="str">
        <f aca="false">IF($A205="N/A"," ",IF(Pricetype4=2,MAX(J205,0),IF(OR(Pricetype4=1,Pricetype4=4),IF(J205=0,0,(EURO(J205,Strikeprice4,0,0,($AK205+IF(Smile=TRUE(),VLOOKUP(MAX(-5,Strikeprice4-J205),Volsmile,2),0)),($A205-DateToday)+15,IF(Pricetype4=1,1,0),0))),J205)))</f>
        <v> </v>
      </c>
      <c r="T205" s="318" t="str">
        <f aca="false">IF($A205="N/A"," ",IF(Pricetype4=2,MAX(K205,0),IF(OR(Pricetype4=1,Pricetype4=4),IF(K205=0,0,(EURO(K205,Strikeprice4,0,0,($AK205+IF(Smile=TRUE(),VLOOKUP(MAX(-5,Strikeprice4-K205),Volsmile,2),0)),($A205-DateToday)+15,IF(Pricetype4=1,1,0),0))),K205)))</f>
        <v> </v>
      </c>
      <c r="U205" s="319" t="str">
        <f aca="false">IF($A205="N/A"," ",Volume4*$AM205)</f>
        <v> </v>
      </c>
      <c r="V205" s="320" t="str">
        <f aca="false">IF($A205="N/A"," ",$U205*(8*($BQ205))*L205)</f>
        <v> </v>
      </c>
      <c r="W205" s="320" t="str">
        <f aca="false">IF($A205="N/A"," ",$U205*(8*($BQ205))*M205)</f>
        <v> </v>
      </c>
      <c r="X205" s="320" t="str">
        <f aca="false">IF($A205="N/A"," ",$U205*(8*($BQ205))*N205)</f>
        <v> </v>
      </c>
      <c r="Y205" s="320" t="str">
        <f aca="false">IF($A205="N/A"," ",$U205*(8*($BR205))*O205)</f>
        <v> </v>
      </c>
      <c r="Z205" s="320" t="str">
        <f aca="false">IF($A205="N/A"," ",$U205*(8*($BR205))*P205)</f>
        <v> </v>
      </c>
      <c r="AA205" s="320" t="str">
        <f aca="false">IF($A205="N/A"," ",$U205*(8*($BR205))*Q205)</f>
        <v> </v>
      </c>
      <c r="AB205" s="320" t="str">
        <f aca="false">IF($A205="N/A"," ",$U205*(8*($BS205))*R205)</f>
        <v> </v>
      </c>
      <c r="AC205" s="320" t="str">
        <f aca="false">IF($A205="N/A"," ",$U205*(8*($BS205))*S205)</f>
        <v> </v>
      </c>
      <c r="AD205" s="320" t="str">
        <f aca="false">IF($A205="N/A"," ",$U205*(8*($BS205))*T205)</f>
        <v> </v>
      </c>
      <c r="AE205" s="320" t="str">
        <f aca="false">IF($A205="N/A"," ",SUM(V205:AD205))</f>
        <v> </v>
      </c>
      <c r="AF205" s="321" t="str">
        <f aca="false">IF(A205="N/A"," ",(VLOOKUP(A205,PowerVolTable,(IF(VolBMO4=2,7,IF(VolBMO4=1,6,8))),FALSE())))</f>
        <v> </v>
      </c>
      <c r="AG205" s="321" t="str">
        <f aca="false">IF(A205="N/A"," ",(VLOOKUP(A205,IntraPowerVol,(IF(VolBMO4=2,3,IF(VolBMO4=1,2,4))),FALSE())*VLOOKUP(MONTH($A205),Volscale,2)))</f>
        <v> </v>
      </c>
      <c r="AH205" s="321" t="str">
        <f aca="false">IF($A205="N/A"," ",IF(VolType4=1,AG205,AF205))</f>
        <v> </v>
      </c>
      <c r="AI205" s="321" t="str">
        <f aca="false">IF($A205="N/A"," ",(VLOOKUP($A205,OffPwrVolTable,(IF(VolBMO4=2,7,IF(VolBMO4=1,6,8))),FALSE())))</f>
        <v> </v>
      </c>
      <c r="AJ205" s="321" t="str">
        <f aca="false">IF($A205="N/A"," ",(VLOOKUP($A205,OffPwrVolTable,(IF(VolBMO4=2,3,IF(VolBMO4=1,2,4))),FALSE())*VLOOKUP(MONTH($A205),Volscale,2)))</f>
        <v> </v>
      </c>
      <c r="AK205" s="321" t="str">
        <f aca="false">IF($A205="N/A"," ",IF(VolType4=1,AJ205,AI205))</f>
        <v> </v>
      </c>
      <c r="AL205" s="321" t="str">
        <f aca="false">IF($A205="N/A"," ",IF(PV=1,0,'Pricing Inputs4'!R238))</f>
        <v> </v>
      </c>
      <c r="AM205" s="323" t="str">
        <f aca="false">IF($A205="N/A"," ",(1+AL205/2)^(-2*((EOMONTH(A205,0)+20)-DateToday)/365.25))</f>
        <v> </v>
      </c>
      <c r="BQ205" s="0" t="str">
        <f aca="false">IF($A205="N/A"," ",(VLOOKUP($A205,NumberofDaysTable,2)))</f>
        <v> </v>
      </c>
      <c r="BR205" s="0" t="str">
        <f aca="false">IF($A205="N/A"," ",(VLOOKUP($A205,NumberofDaysTable,3)))</f>
        <v> </v>
      </c>
      <c r="BS205" s="0" t="str">
        <f aca="false">IF($A205="N/A"," ",(VLOOKUP($A205,NumberofDaysTable,4)))</f>
        <v> </v>
      </c>
    </row>
    <row r="206" customFormat="false" ht="12.75" hidden="false" customHeight="false" outlineLevel="0" collapsed="false">
      <c r="A206" s="315" t="str">
        <f aca="false">IF(A205="N/A","N/A",IF(EDATE(A205,1)&gt;Inputs!$R$5,"N/A",EDATE(A205,1)))</f>
        <v>N/A</v>
      </c>
      <c r="B206" s="316" t="str">
        <f aca="false">IF(A206="N/A"," ",YEAR(A206))</f>
        <v> </v>
      </c>
      <c r="C206" s="317" t="str">
        <f aca="false">IF($A206="N/A"," ",IF(Dayrun4=10,0,IF(Scaler4=1,(VLOOKUP(A206,ScaledPrice4,4)),(VLOOKUP(A206,ScaledPrice4,2)))))</f>
        <v> </v>
      </c>
      <c r="D206" s="317" t="str">
        <f aca="false">IF(A206="N/A"," ",IF(Dayrun4&gt;=7,0,IF(Scaler4=2,VLOOKUP(A206,ScaledPrice4,2),(VLOOKUP(A206,ScaledPrice4,2))*(2-(VLOOKUP(A206,ScaledPrice4,3))))))</f>
        <v> </v>
      </c>
      <c r="E206" s="317" t="str">
        <f aca="false">IF($A206="N/A"," ",IF(AND(Dayrun4&gt;=4,Dayrun4&lt;=9),0,VLOOKUP($A206,ScaledPrice4,9)))</f>
        <v> </v>
      </c>
      <c r="F206" s="317" t="str">
        <f aca="false">IF(A206="N/A"," ",IF(OR(Dayrun4=2,Dayrun4=3,Dayrun4=5,Dayrun4=6,Dayrun4=8,Dayrun4=9),VLOOKUP(A206,ScaledPrice4,IF(Scaler4=1,6,5)),0))</f>
        <v> </v>
      </c>
      <c r="G206" s="317" t="str">
        <f aca="false">IF(A206="N/A"," ",IF(OR(Dayrun4=2,Dayrun4=3,Dayrun4=5,Dayrun4=6),IF(Scaler4=2,F206,(VLOOKUP(A206,ScaledPrice4,5))*(2-(VLOOKUP(A206,ScaledPrice4,3)))),0))</f>
        <v> </v>
      </c>
      <c r="H206" s="317" t="str">
        <f aca="false">IF($A206="N/A"," ",IF(OR(Dayrun4=2,Dayrun4=3,Dayrun4=10),VLOOKUP($A206,ScaledPrice4,9),0))</f>
        <v> </v>
      </c>
      <c r="I206" s="317" t="str">
        <f aca="false">IF(A206="N/A"," ",IF(OR(Dayrun4=3,Dayrun4=6,Dayrun4=9),(VLOOKUP(A206,ScaledPrice4,IF(Scaler4=2,7,8))),0))</f>
        <v> </v>
      </c>
      <c r="J206" s="317" t="str">
        <f aca="false">IF(A206="N/A"," ",IF(OR(Dayrun4=3,Dayrun4=6),IF(Scaler4=2,I206,(VLOOKUP(A206,ScaledPrice4,7))*(2-(VLOOKUP(A206,ScaledPrice4,3)))),0))</f>
        <v> </v>
      </c>
      <c r="K206" s="317" t="str">
        <f aca="false">IF($A206="N/A"," ",IF(OR(Dayrun4=3,Dayrun4=10),VLOOKUP($A206,ScaledPrice4,9),0))</f>
        <v> </v>
      </c>
      <c r="L206" s="318" t="str">
        <f aca="false">IF($A206="N/A"," ",IF(Pricetype4=2,MAX(C206,0),IF(OR(Pricetype4=1,Pricetype4=4),IF(C206=0,0,(EURO(C206,Strikeprice4,0,0,($AH206+IF(Smile=TRUE(),VLOOKUP(MAX(-5,Strikeprice4-C206),Volsmile,2),0)),($A206-DateToday)+15,IF(Pricetype4=1,1,0),0))),C206)))</f>
        <v> </v>
      </c>
      <c r="M206" s="318" t="str">
        <f aca="false">IF($A206="N/A"," ",IF(Pricetype4=2,MAX(D206,0),IF(OR(Pricetype4=1,Pricetype4=4),IF(D206=0,0,(EURO(D206,Strikeprice4,0,0,($AH206+IF(Smile=TRUE(),VLOOKUP(MAX(-5,Strikeprice4-D206),Volsmile,2),0)),($A206-DateToday)+15,IF(Pricetype4=1,1,0),0))),D206)))</f>
        <v> </v>
      </c>
      <c r="N206" s="318" t="str">
        <f aca="false">IF($A206="N/A"," ",IF(Pricetype4=2,MAX(E206,0),IF(OR(Pricetype4=1,Pricetype4=4),IF(E206=0,0,(EURO(E206,Strikeprice4,0,0,($AK206+IF(Smile=TRUE(),VLOOKUP(MAX(-5,Strikeprice4-E206),Volsmile,2),0)),($A206-DateToday)+15,IF(Pricetype4=1,1,0),0))),E206)))</f>
        <v> </v>
      </c>
      <c r="O206" s="318" t="str">
        <f aca="false">IF($A206="N/A"," ",IF(Pricetype4=2,MAX(F206,0),IF(OR(Pricetype4=1,Pricetype4=4),IF(F206=0,0,(EURO(F206,Strikeprice4,0,0,($AK206+IF(Smile=TRUE(),VLOOKUP(MAX(-5,Strikeprice4-F206),Volsmile,2),0)),($A206-DateToday)+15,IF(Pricetype4=1,1,0),0))),F206)))</f>
        <v> </v>
      </c>
      <c r="P206" s="318" t="str">
        <f aca="false">IF($A206="N/A"," ",IF(Pricetype4=2,MAX(G206,0),IF(OR(Pricetype4=1,Pricetype4=4),IF(G206=0,0,(EURO(G206,Strikeprice4,0,0,($AK206+IF(Smile=TRUE(),VLOOKUP(MAX(-5,Strikeprice4-G206),Volsmile,2),0)),($A206-DateToday)+15,IF(Pricetype4=1,1,0),0))),G206)))</f>
        <v> </v>
      </c>
      <c r="Q206" s="318" t="str">
        <f aca="false">IF($A206="N/A"," ",IF(Pricetype4=2,MAX(H206,0),IF(OR(Pricetype4=1,Pricetype4=4),IF(H206=0,0,(EURO(H206,Strikeprice4,0,0,($AK206+IF(Smile=TRUE(),VLOOKUP(MAX(-5,Strikeprice4-H206),Volsmile,2),0)),($A206-DateToday)+15,IF(Pricetype4=1,1,0),0))),H206)))</f>
        <v> </v>
      </c>
      <c r="R206" s="318" t="str">
        <f aca="false">IF($A206="N/A"," ",IF(Pricetype4=2,MAX(I206,0),IF(OR(Pricetype4=1,Pricetype4=4),IF(I206=0,0,(EURO(I206,Strikeprice4,0,0,($AK206+IF(Smile=TRUE(),VLOOKUP(MAX(-5,Strikeprice4-I206),Volsmile,2),0)),($A206-DateToday)+15,IF(Pricetype4=1,1,0),0))),I206)))</f>
        <v> </v>
      </c>
      <c r="S206" s="318" t="str">
        <f aca="false">IF($A206="N/A"," ",IF(Pricetype4=2,MAX(J206,0),IF(OR(Pricetype4=1,Pricetype4=4),IF(J206=0,0,(EURO(J206,Strikeprice4,0,0,($AK206+IF(Smile=TRUE(),VLOOKUP(MAX(-5,Strikeprice4-J206),Volsmile,2),0)),($A206-DateToday)+15,IF(Pricetype4=1,1,0),0))),J206)))</f>
        <v> </v>
      </c>
      <c r="T206" s="318" t="str">
        <f aca="false">IF($A206="N/A"," ",IF(Pricetype4=2,MAX(K206,0),IF(OR(Pricetype4=1,Pricetype4=4),IF(K206=0,0,(EURO(K206,Strikeprice4,0,0,($AK206+IF(Smile=TRUE(),VLOOKUP(MAX(-5,Strikeprice4-K206),Volsmile,2),0)),($A206-DateToday)+15,IF(Pricetype4=1,1,0),0))),K206)))</f>
        <v> </v>
      </c>
      <c r="U206" s="319" t="str">
        <f aca="false">IF($A206="N/A"," ",Volume4*$AM206)</f>
        <v> </v>
      </c>
      <c r="V206" s="320" t="str">
        <f aca="false">IF($A206="N/A"," ",$U206*(8*($BQ206))*L206)</f>
        <v> </v>
      </c>
      <c r="W206" s="320" t="str">
        <f aca="false">IF($A206="N/A"," ",$U206*(8*($BQ206))*M206)</f>
        <v> </v>
      </c>
      <c r="X206" s="320" t="str">
        <f aca="false">IF($A206="N/A"," ",$U206*(8*($BQ206))*N206)</f>
        <v> </v>
      </c>
      <c r="Y206" s="320" t="str">
        <f aca="false">IF($A206="N/A"," ",$U206*(8*($BR206))*O206)</f>
        <v> </v>
      </c>
      <c r="Z206" s="320" t="str">
        <f aca="false">IF($A206="N/A"," ",$U206*(8*($BR206))*P206)</f>
        <v> </v>
      </c>
      <c r="AA206" s="320" t="str">
        <f aca="false">IF($A206="N/A"," ",$U206*(8*($BR206))*Q206)</f>
        <v> </v>
      </c>
      <c r="AB206" s="320" t="str">
        <f aca="false">IF($A206="N/A"," ",$U206*(8*($BS206))*R206)</f>
        <v> </v>
      </c>
      <c r="AC206" s="320" t="str">
        <f aca="false">IF($A206="N/A"," ",$U206*(8*($BS206))*S206)</f>
        <v> </v>
      </c>
      <c r="AD206" s="320" t="str">
        <f aca="false">IF($A206="N/A"," ",$U206*(8*($BS206))*T206)</f>
        <v> </v>
      </c>
      <c r="AE206" s="320" t="str">
        <f aca="false">IF($A206="N/A"," ",SUM(V206:AD206))</f>
        <v> </v>
      </c>
      <c r="AF206" s="321" t="str">
        <f aca="false">IF(A206="N/A"," ",(VLOOKUP(A206,PowerVolTable,(IF(VolBMO4=2,7,IF(VolBMO4=1,6,8))),FALSE())))</f>
        <v> </v>
      </c>
      <c r="AG206" s="321" t="str">
        <f aca="false">IF(A206="N/A"," ",(VLOOKUP(A206,IntraPowerVol,(IF(VolBMO4=2,3,IF(VolBMO4=1,2,4))),FALSE())*VLOOKUP(MONTH($A206),Volscale,2)))</f>
        <v> </v>
      </c>
      <c r="AH206" s="321" t="str">
        <f aca="false">IF($A206="N/A"," ",IF(VolType4=1,AG206,AF206))</f>
        <v> </v>
      </c>
      <c r="AI206" s="321" t="str">
        <f aca="false">IF($A206="N/A"," ",(VLOOKUP($A206,OffPwrVolTable,(IF(VolBMO4=2,7,IF(VolBMO4=1,6,8))),FALSE())))</f>
        <v> </v>
      </c>
      <c r="AJ206" s="321" t="str">
        <f aca="false">IF($A206="N/A"," ",(VLOOKUP($A206,OffPwrVolTable,(IF(VolBMO4=2,3,IF(VolBMO4=1,2,4))),FALSE())*VLOOKUP(MONTH($A206),Volscale,2)))</f>
        <v> </v>
      </c>
      <c r="AK206" s="321" t="str">
        <f aca="false">IF($A206="N/A"," ",IF(VolType4=1,AJ206,AI206))</f>
        <v> </v>
      </c>
      <c r="AL206" s="321" t="str">
        <f aca="false">IF($A206="N/A"," ",IF(PV=1,0,'Pricing Inputs4'!R239))</f>
        <v> </v>
      </c>
      <c r="AM206" s="323" t="str">
        <f aca="false">IF($A206="N/A"," ",(1+AL206/2)^(-2*((EOMONTH(A206,0)+20)-DateToday)/365.25))</f>
        <v> </v>
      </c>
      <c r="BQ206" s="0" t="str">
        <f aca="false">IF($A206="N/A"," ",(VLOOKUP($A206,NumberofDaysTable,2)))</f>
        <v> </v>
      </c>
      <c r="BR206" s="0" t="str">
        <f aca="false">IF($A206="N/A"," ",(VLOOKUP($A206,NumberofDaysTable,3)))</f>
        <v> </v>
      </c>
      <c r="BS206" s="0" t="str">
        <f aca="false">IF($A206="N/A"," ",(VLOOKUP($A206,NumberofDaysTable,4)))</f>
        <v> </v>
      </c>
    </row>
    <row r="207" customFormat="false" ht="12.75" hidden="false" customHeight="false" outlineLevel="0" collapsed="false">
      <c r="A207" s="315" t="str">
        <f aca="false">IF(A206="N/A","N/A",IF(EDATE(A206,1)&gt;Inputs!$R$5,"N/A",EDATE(A206,1)))</f>
        <v>N/A</v>
      </c>
      <c r="B207" s="316" t="str">
        <f aca="false">IF(A207="N/A"," ",YEAR(A207))</f>
        <v> </v>
      </c>
      <c r="C207" s="317" t="str">
        <f aca="false">IF($A207="N/A"," ",IF(Dayrun4=10,0,IF(Scaler4=1,(VLOOKUP(A207,ScaledPrice4,4)),(VLOOKUP(A207,ScaledPrice4,2)))))</f>
        <v> </v>
      </c>
      <c r="D207" s="317" t="str">
        <f aca="false">IF(A207="N/A"," ",IF(Dayrun4&gt;=7,0,IF(Scaler4=2,VLOOKUP(A207,ScaledPrice4,2),(VLOOKUP(A207,ScaledPrice4,2))*(2-(VLOOKUP(A207,ScaledPrice4,3))))))</f>
        <v> </v>
      </c>
      <c r="E207" s="317" t="str">
        <f aca="false">IF($A207="N/A"," ",IF(AND(Dayrun4&gt;=4,Dayrun4&lt;=9),0,VLOOKUP($A207,ScaledPrice4,9)))</f>
        <v> </v>
      </c>
      <c r="F207" s="317" t="str">
        <f aca="false">IF(A207="N/A"," ",IF(OR(Dayrun4=2,Dayrun4=3,Dayrun4=5,Dayrun4=6,Dayrun4=8,Dayrun4=9),VLOOKUP(A207,ScaledPrice4,IF(Scaler4=1,6,5)),0))</f>
        <v> </v>
      </c>
      <c r="G207" s="317" t="str">
        <f aca="false">IF(A207="N/A"," ",IF(OR(Dayrun4=2,Dayrun4=3,Dayrun4=5,Dayrun4=6),IF(Scaler4=2,F207,(VLOOKUP(A207,ScaledPrice4,5))*(2-(VLOOKUP(A207,ScaledPrice4,3)))),0))</f>
        <v> </v>
      </c>
      <c r="H207" s="317" t="str">
        <f aca="false">IF($A207="N/A"," ",IF(OR(Dayrun4=2,Dayrun4=3,Dayrun4=10),VLOOKUP($A207,ScaledPrice4,9),0))</f>
        <v> </v>
      </c>
      <c r="I207" s="317" t="str">
        <f aca="false">IF(A207="N/A"," ",IF(OR(Dayrun4=3,Dayrun4=6,Dayrun4=9),(VLOOKUP(A207,ScaledPrice4,IF(Scaler4=2,7,8))),0))</f>
        <v> </v>
      </c>
      <c r="J207" s="317" t="str">
        <f aca="false">IF(A207="N/A"," ",IF(OR(Dayrun4=3,Dayrun4=6),IF(Scaler4=2,I207,(VLOOKUP(A207,ScaledPrice4,7))*(2-(VLOOKUP(A207,ScaledPrice4,3)))),0))</f>
        <v> </v>
      </c>
      <c r="K207" s="317" t="str">
        <f aca="false">IF($A207="N/A"," ",IF(OR(Dayrun4=3,Dayrun4=10),VLOOKUP($A207,ScaledPrice4,9),0))</f>
        <v> </v>
      </c>
      <c r="L207" s="318" t="str">
        <f aca="false">IF($A207="N/A"," ",IF(Pricetype4=2,MAX(C207,0),IF(OR(Pricetype4=1,Pricetype4=4),IF(C207=0,0,(EURO(C207,Strikeprice4,0,0,($AH207+IF(Smile=TRUE(),VLOOKUP(MAX(-5,Strikeprice4-C207),Volsmile,2),0)),($A207-DateToday)+15,IF(Pricetype4=1,1,0),0))),C207)))</f>
        <v> </v>
      </c>
      <c r="M207" s="318" t="str">
        <f aca="false">IF($A207="N/A"," ",IF(Pricetype4=2,MAX(D207,0),IF(OR(Pricetype4=1,Pricetype4=4),IF(D207=0,0,(EURO(D207,Strikeprice4,0,0,($AH207+IF(Smile=TRUE(),VLOOKUP(MAX(-5,Strikeprice4-D207),Volsmile,2),0)),($A207-DateToday)+15,IF(Pricetype4=1,1,0),0))),D207)))</f>
        <v> </v>
      </c>
      <c r="N207" s="318" t="str">
        <f aca="false">IF($A207="N/A"," ",IF(Pricetype4=2,MAX(E207,0),IF(OR(Pricetype4=1,Pricetype4=4),IF(E207=0,0,(EURO(E207,Strikeprice4,0,0,($AK207+IF(Smile=TRUE(),VLOOKUP(MAX(-5,Strikeprice4-E207),Volsmile,2),0)),($A207-DateToday)+15,IF(Pricetype4=1,1,0),0))),E207)))</f>
        <v> </v>
      </c>
      <c r="O207" s="318" t="str">
        <f aca="false">IF($A207="N/A"," ",IF(Pricetype4=2,MAX(F207,0),IF(OR(Pricetype4=1,Pricetype4=4),IF(F207=0,0,(EURO(F207,Strikeprice4,0,0,($AK207+IF(Smile=TRUE(),VLOOKUP(MAX(-5,Strikeprice4-F207),Volsmile,2),0)),($A207-DateToday)+15,IF(Pricetype4=1,1,0),0))),F207)))</f>
        <v> </v>
      </c>
      <c r="P207" s="318" t="str">
        <f aca="false">IF($A207="N/A"," ",IF(Pricetype4=2,MAX(G207,0),IF(OR(Pricetype4=1,Pricetype4=4),IF(G207=0,0,(EURO(G207,Strikeprice4,0,0,($AK207+IF(Smile=TRUE(),VLOOKUP(MAX(-5,Strikeprice4-G207),Volsmile,2),0)),($A207-DateToday)+15,IF(Pricetype4=1,1,0),0))),G207)))</f>
        <v> </v>
      </c>
      <c r="Q207" s="318" t="str">
        <f aca="false">IF($A207="N/A"," ",IF(Pricetype4=2,MAX(H207,0),IF(OR(Pricetype4=1,Pricetype4=4),IF(H207=0,0,(EURO(H207,Strikeprice4,0,0,($AK207+IF(Smile=TRUE(),VLOOKUP(MAX(-5,Strikeprice4-H207),Volsmile,2),0)),($A207-DateToday)+15,IF(Pricetype4=1,1,0),0))),H207)))</f>
        <v> </v>
      </c>
      <c r="R207" s="318" t="str">
        <f aca="false">IF($A207="N/A"," ",IF(Pricetype4=2,MAX(I207,0),IF(OR(Pricetype4=1,Pricetype4=4),IF(I207=0,0,(EURO(I207,Strikeprice4,0,0,($AK207+IF(Smile=TRUE(),VLOOKUP(MAX(-5,Strikeprice4-I207),Volsmile,2),0)),($A207-DateToday)+15,IF(Pricetype4=1,1,0),0))),I207)))</f>
        <v> </v>
      </c>
      <c r="S207" s="318" t="str">
        <f aca="false">IF($A207="N/A"," ",IF(Pricetype4=2,MAX(J207,0),IF(OR(Pricetype4=1,Pricetype4=4),IF(J207=0,0,(EURO(J207,Strikeprice4,0,0,($AK207+IF(Smile=TRUE(),VLOOKUP(MAX(-5,Strikeprice4-J207),Volsmile,2),0)),($A207-DateToday)+15,IF(Pricetype4=1,1,0),0))),J207)))</f>
        <v> </v>
      </c>
      <c r="T207" s="318" t="str">
        <f aca="false">IF($A207="N/A"," ",IF(Pricetype4=2,MAX(K207,0),IF(OR(Pricetype4=1,Pricetype4=4),IF(K207=0,0,(EURO(K207,Strikeprice4,0,0,($AK207+IF(Smile=TRUE(),VLOOKUP(MAX(-5,Strikeprice4-K207),Volsmile,2),0)),($A207-DateToday)+15,IF(Pricetype4=1,1,0),0))),K207)))</f>
        <v> </v>
      </c>
      <c r="U207" s="319" t="str">
        <f aca="false">IF($A207="N/A"," ",Volume4*$AM207)</f>
        <v> </v>
      </c>
      <c r="V207" s="320" t="str">
        <f aca="false">IF($A207="N/A"," ",$U207*(8*($BQ207))*L207)</f>
        <v> </v>
      </c>
      <c r="W207" s="320" t="str">
        <f aca="false">IF($A207="N/A"," ",$U207*(8*($BQ207))*M207)</f>
        <v> </v>
      </c>
      <c r="X207" s="320" t="str">
        <f aca="false">IF($A207="N/A"," ",$U207*(8*($BQ207))*N207)</f>
        <v> </v>
      </c>
      <c r="Y207" s="320" t="str">
        <f aca="false">IF($A207="N/A"," ",$U207*(8*($BR207))*O207)</f>
        <v> </v>
      </c>
      <c r="Z207" s="320" t="str">
        <f aca="false">IF($A207="N/A"," ",$U207*(8*($BR207))*P207)</f>
        <v> </v>
      </c>
      <c r="AA207" s="320" t="str">
        <f aca="false">IF($A207="N/A"," ",$U207*(8*($BR207))*Q207)</f>
        <v> </v>
      </c>
      <c r="AB207" s="320" t="str">
        <f aca="false">IF($A207="N/A"," ",$U207*(8*($BS207))*R207)</f>
        <v> </v>
      </c>
      <c r="AC207" s="320" t="str">
        <f aca="false">IF($A207="N/A"," ",$U207*(8*($BS207))*S207)</f>
        <v> </v>
      </c>
      <c r="AD207" s="320" t="str">
        <f aca="false">IF($A207="N/A"," ",$U207*(8*($BS207))*T207)</f>
        <v> </v>
      </c>
      <c r="AE207" s="320" t="str">
        <f aca="false">IF($A207="N/A"," ",SUM(V207:AD207))</f>
        <v> </v>
      </c>
      <c r="AF207" s="321" t="str">
        <f aca="false">IF(A207="N/A"," ",(VLOOKUP(A207,PowerVolTable,(IF(VolBMO4=2,7,IF(VolBMO4=1,6,8))),FALSE())))</f>
        <v> </v>
      </c>
      <c r="AG207" s="321" t="str">
        <f aca="false">IF(A207="N/A"," ",(VLOOKUP(A207,IntraPowerVol,(IF(VolBMO4=2,3,IF(VolBMO4=1,2,4))),FALSE())*VLOOKUP(MONTH($A207),Volscale,2)))</f>
        <v> </v>
      </c>
      <c r="AH207" s="321" t="str">
        <f aca="false">IF($A207="N/A"," ",IF(VolType4=1,AG207,AF207))</f>
        <v> </v>
      </c>
      <c r="AI207" s="321" t="str">
        <f aca="false">IF($A207="N/A"," ",(VLOOKUP($A207,OffPwrVolTable,(IF(VolBMO4=2,7,IF(VolBMO4=1,6,8))),FALSE())))</f>
        <v> </v>
      </c>
      <c r="AJ207" s="321" t="str">
        <f aca="false">IF($A207="N/A"," ",(VLOOKUP($A207,OffPwrVolTable,(IF(VolBMO4=2,3,IF(VolBMO4=1,2,4))),FALSE())*VLOOKUP(MONTH($A207),Volscale,2)))</f>
        <v> </v>
      </c>
      <c r="AK207" s="321" t="str">
        <f aca="false">IF($A207="N/A"," ",IF(VolType4=1,AJ207,AI207))</f>
        <v> </v>
      </c>
      <c r="AL207" s="321" t="str">
        <f aca="false">IF($A207="N/A"," ",IF(PV=1,0,'Pricing Inputs4'!R240))</f>
        <v> </v>
      </c>
      <c r="AM207" s="323" t="str">
        <f aca="false">IF($A207="N/A"," ",(1+AL207/2)^(-2*((EOMONTH(A207,0)+20)-DateToday)/365.25))</f>
        <v> </v>
      </c>
      <c r="BQ207" s="0" t="str">
        <f aca="false">IF($A207="N/A"," ",(VLOOKUP($A207,NumberofDaysTable,2)))</f>
        <v> </v>
      </c>
      <c r="BR207" s="0" t="str">
        <f aca="false">IF($A207="N/A"," ",(VLOOKUP($A207,NumberofDaysTable,3)))</f>
        <v> </v>
      </c>
      <c r="BS207" s="0" t="str">
        <f aca="false">IF($A207="N/A"," ",(VLOOKUP($A207,NumberofDaysTable,4)))</f>
        <v> </v>
      </c>
    </row>
    <row r="208" customFormat="false" ht="12.75" hidden="false" customHeight="false" outlineLevel="0" collapsed="false">
      <c r="A208" s="315" t="str">
        <f aca="false">IF(A207="N/A","N/A",IF(EDATE(A207,1)&gt;Inputs!$R$5,"N/A",EDATE(A207,1)))</f>
        <v>N/A</v>
      </c>
      <c r="B208" s="316" t="str">
        <f aca="false">IF(A208="N/A"," ",YEAR(A208))</f>
        <v> </v>
      </c>
      <c r="C208" s="317" t="str">
        <f aca="false">IF($A208="N/A"," ",IF(Dayrun4=10,0,IF(Scaler4=1,(VLOOKUP(A208,ScaledPrice4,4)),(VLOOKUP(A208,ScaledPrice4,2)))))</f>
        <v> </v>
      </c>
      <c r="D208" s="317" t="str">
        <f aca="false">IF(A208="N/A"," ",IF(Dayrun4&gt;=7,0,IF(Scaler4=2,VLOOKUP(A208,ScaledPrice4,2),(VLOOKUP(A208,ScaledPrice4,2))*(2-(VLOOKUP(A208,ScaledPrice4,3))))))</f>
        <v> </v>
      </c>
      <c r="E208" s="317" t="str">
        <f aca="false">IF($A208="N/A"," ",IF(AND(Dayrun4&gt;=4,Dayrun4&lt;=9),0,VLOOKUP($A208,ScaledPrice4,9)))</f>
        <v> </v>
      </c>
      <c r="F208" s="317" t="str">
        <f aca="false">IF(A208="N/A"," ",IF(OR(Dayrun4=2,Dayrun4=3,Dayrun4=5,Dayrun4=6,Dayrun4=8,Dayrun4=9),VLOOKUP(A208,ScaledPrice4,IF(Scaler4=1,6,5)),0))</f>
        <v> </v>
      </c>
      <c r="G208" s="317" t="str">
        <f aca="false">IF(A208="N/A"," ",IF(OR(Dayrun4=2,Dayrun4=3,Dayrun4=5,Dayrun4=6),IF(Scaler4=2,F208,(VLOOKUP(A208,ScaledPrice4,5))*(2-(VLOOKUP(A208,ScaledPrice4,3)))),0))</f>
        <v> </v>
      </c>
      <c r="H208" s="317" t="str">
        <f aca="false">IF($A208="N/A"," ",IF(OR(Dayrun4=2,Dayrun4=3,Dayrun4=10),VLOOKUP($A208,ScaledPrice4,9),0))</f>
        <v> </v>
      </c>
      <c r="I208" s="317" t="str">
        <f aca="false">IF(A208="N/A"," ",IF(OR(Dayrun4=3,Dayrun4=6,Dayrun4=9),(VLOOKUP(A208,ScaledPrice4,IF(Scaler4=2,7,8))),0))</f>
        <v> </v>
      </c>
      <c r="J208" s="317" t="str">
        <f aca="false">IF(A208="N/A"," ",IF(OR(Dayrun4=3,Dayrun4=6),IF(Scaler4=2,I208,(VLOOKUP(A208,ScaledPrice4,7))*(2-(VLOOKUP(A208,ScaledPrice4,3)))),0))</f>
        <v> </v>
      </c>
      <c r="K208" s="317" t="str">
        <f aca="false">IF($A208="N/A"," ",IF(OR(Dayrun4=3,Dayrun4=10),VLOOKUP($A208,ScaledPrice4,9),0))</f>
        <v> </v>
      </c>
      <c r="L208" s="318" t="str">
        <f aca="false">IF($A208="N/A"," ",IF(Pricetype4=2,MAX(C208,0),IF(OR(Pricetype4=1,Pricetype4=4),IF(C208=0,0,(EURO(C208,Strikeprice4,0,0,($AH208+IF(Smile=TRUE(),VLOOKUP(MAX(-5,Strikeprice4-C208),Volsmile,2),0)),($A208-DateToday)+15,IF(Pricetype4=1,1,0),0))),C208)))</f>
        <v> </v>
      </c>
      <c r="M208" s="318" t="str">
        <f aca="false">IF($A208="N/A"," ",IF(Pricetype4=2,MAX(D208,0),IF(OR(Pricetype4=1,Pricetype4=4),IF(D208=0,0,(EURO(D208,Strikeprice4,0,0,($AH208+IF(Smile=TRUE(),VLOOKUP(MAX(-5,Strikeprice4-D208),Volsmile,2),0)),($A208-DateToday)+15,IF(Pricetype4=1,1,0),0))),D208)))</f>
        <v> </v>
      </c>
      <c r="N208" s="318" t="str">
        <f aca="false">IF($A208="N/A"," ",IF(Pricetype4=2,MAX(E208,0),IF(OR(Pricetype4=1,Pricetype4=4),IF(E208=0,0,(EURO(E208,Strikeprice4,0,0,($AK208+IF(Smile=TRUE(),VLOOKUP(MAX(-5,Strikeprice4-E208),Volsmile,2),0)),($A208-DateToday)+15,IF(Pricetype4=1,1,0),0))),E208)))</f>
        <v> </v>
      </c>
      <c r="O208" s="318" t="str">
        <f aca="false">IF($A208="N/A"," ",IF(Pricetype4=2,MAX(F208,0),IF(OR(Pricetype4=1,Pricetype4=4),IF(F208=0,0,(EURO(F208,Strikeprice4,0,0,($AK208+IF(Smile=TRUE(),VLOOKUP(MAX(-5,Strikeprice4-F208),Volsmile,2),0)),($A208-DateToday)+15,IF(Pricetype4=1,1,0),0))),F208)))</f>
        <v> </v>
      </c>
      <c r="P208" s="318" t="str">
        <f aca="false">IF($A208="N/A"," ",IF(Pricetype4=2,MAX(G208,0),IF(OR(Pricetype4=1,Pricetype4=4),IF(G208=0,0,(EURO(G208,Strikeprice4,0,0,($AK208+IF(Smile=TRUE(),VLOOKUP(MAX(-5,Strikeprice4-G208),Volsmile,2),0)),($A208-DateToday)+15,IF(Pricetype4=1,1,0),0))),G208)))</f>
        <v> </v>
      </c>
      <c r="Q208" s="318" t="str">
        <f aca="false">IF($A208="N/A"," ",IF(Pricetype4=2,MAX(H208,0),IF(OR(Pricetype4=1,Pricetype4=4),IF(H208=0,0,(EURO(H208,Strikeprice4,0,0,($AK208+IF(Smile=TRUE(),VLOOKUP(MAX(-5,Strikeprice4-H208),Volsmile,2),0)),($A208-DateToday)+15,IF(Pricetype4=1,1,0),0))),H208)))</f>
        <v> </v>
      </c>
      <c r="R208" s="318" t="str">
        <f aca="false">IF($A208="N/A"," ",IF(Pricetype4=2,MAX(I208,0),IF(OR(Pricetype4=1,Pricetype4=4),IF(I208=0,0,(EURO(I208,Strikeprice4,0,0,($AK208+IF(Smile=TRUE(),VLOOKUP(MAX(-5,Strikeprice4-I208),Volsmile,2),0)),($A208-DateToday)+15,IF(Pricetype4=1,1,0),0))),I208)))</f>
        <v> </v>
      </c>
      <c r="S208" s="318" t="str">
        <f aca="false">IF($A208="N/A"," ",IF(Pricetype4=2,MAX(J208,0),IF(OR(Pricetype4=1,Pricetype4=4),IF(J208=0,0,(EURO(J208,Strikeprice4,0,0,($AK208+IF(Smile=TRUE(),VLOOKUP(MAX(-5,Strikeprice4-J208),Volsmile,2),0)),($A208-DateToday)+15,IF(Pricetype4=1,1,0),0))),J208)))</f>
        <v> </v>
      </c>
      <c r="T208" s="318" t="str">
        <f aca="false">IF($A208="N/A"," ",IF(Pricetype4=2,MAX(K208,0),IF(OR(Pricetype4=1,Pricetype4=4),IF(K208=0,0,(EURO(K208,Strikeprice4,0,0,($AK208+IF(Smile=TRUE(),VLOOKUP(MAX(-5,Strikeprice4-K208),Volsmile,2),0)),($A208-DateToday)+15,IF(Pricetype4=1,1,0),0))),K208)))</f>
        <v> </v>
      </c>
      <c r="U208" s="319" t="str">
        <f aca="false">IF($A208="N/A"," ",Volume4*$AM208)</f>
        <v> </v>
      </c>
      <c r="V208" s="320" t="str">
        <f aca="false">IF($A208="N/A"," ",$U208*(8*($BQ208))*L208)</f>
        <v> </v>
      </c>
      <c r="W208" s="320" t="str">
        <f aca="false">IF($A208="N/A"," ",$U208*(8*($BQ208))*M208)</f>
        <v> </v>
      </c>
      <c r="X208" s="320" t="str">
        <f aca="false">IF($A208="N/A"," ",$U208*(8*($BQ208))*N208)</f>
        <v> </v>
      </c>
      <c r="Y208" s="320" t="str">
        <f aca="false">IF($A208="N/A"," ",$U208*(8*($BR208))*O208)</f>
        <v> </v>
      </c>
      <c r="Z208" s="320" t="str">
        <f aca="false">IF($A208="N/A"," ",$U208*(8*($BR208))*P208)</f>
        <v> </v>
      </c>
      <c r="AA208" s="320" t="str">
        <f aca="false">IF($A208="N/A"," ",$U208*(8*($BR208))*Q208)</f>
        <v> </v>
      </c>
      <c r="AB208" s="320" t="str">
        <f aca="false">IF($A208="N/A"," ",$U208*(8*($BS208))*R208)</f>
        <v> </v>
      </c>
      <c r="AC208" s="320" t="str">
        <f aca="false">IF($A208="N/A"," ",$U208*(8*($BS208))*S208)</f>
        <v> </v>
      </c>
      <c r="AD208" s="320" t="str">
        <f aca="false">IF($A208="N/A"," ",$U208*(8*($BS208))*T208)</f>
        <v> </v>
      </c>
      <c r="AE208" s="320" t="str">
        <f aca="false">IF($A208="N/A"," ",SUM(V208:AD208))</f>
        <v> </v>
      </c>
      <c r="AF208" s="321" t="str">
        <f aca="false">IF(A208="N/A"," ",(VLOOKUP(A208,PowerVolTable,(IF(VolBMO4=2,7,IF(VolBMO4=1,6,8))),FALSE())))</f>
        <v> </v>
      </c>
      <c r="AG208" s="321" t="str">
        <f aca="false">IF(A208="N/A"," ",(VLOOKUP(A208,IntraPowerVol,(IF(VolBMO4=2,3,IF(VolBMO4=1,2,4))),FALSE())*VLOOKUP(MONTH($A208),Volscale,2)))</f>
        <v> </v>
      </c>
      <c r="AH208" s="321" t="str">
        <f aca="false">IF($A208="N/A"," ",IF(VolType4=1,AG208,AF208))</f>
        <v> </v>
      </c>
      <c r="AI208" s="321" t="str">
        <f aca="false">IF($A208="N/A"," ",(VLOOKUP($A208,OffPwrVolTable,(IF(VolBMO4=2,7,IF(VolBMO4=1,6,8))),FALSE())))</f>
        <v> </v>
      </c>
      <c r="AJ208" s="321" t="str">
        <f aca="false">IF($A208="N/A"," ",(VLOOKUP($A208,OffPwrVolTable,(IF(VolBMO4=2,3,IF(VolBMO4=1,2,4))),FALSE())*VLOOKUP(MONTH($A208),Volscale,2)))</f>
        <v> </v>
      </c>
      <c r="AK208" s="321" t="str">
        <f aca="false">IF($A208="N/A"," ",IF(VolType4=1,AJ208,AI208))</f>
        <v> </v>
      </c>
      <c r="AL208" s="321" t="str">
        <f aca="false">IF($A208="N/A"," ",IF(PV=1,0,'Pricing Inputs4'!R241))</f>
        <v> </v>
      </c>
      <c r="AM208" s="323" t="str">
        <f aca="false">IF($A208="N/A"," ",(1+AL208/2)^(-2*((EOMONTH(A208,0)+20)-DateToday)/365.25))</f>
        <v> </v>
      </c>
      <c r="BQ208" s="0" t="str">
        <f aca="false">IF($A208="N/A"," ",(VLOOKUP($A208,NumberofDaysTable,2)))</f>
        <v> </v>
      </c>
      <c r="BR208" s="0" t="str">
        <f aca="false">IF($A208="N/A"," ",(VLOOKUP($A208,NumberofDaysTable,3)))</f>
        <v> </v>
      </c>
      <c r="BS208" s="0" t="str">
        <f aca="false">IF($A208="N/A"," ",(VLOOKUP($A208,NumberofDaysTable,4)))</f>
        <v> </v>
      </c>
    </row>
    <row r="209" customFormat="false" ht="12.75" hidden="false" customHeight="false" outlineLevel="0" collapsed="false">
      <c r="A209" s="315" t="str">
        <f aca="false">IF(A208="N/A","N/A",IF(EDATE(A208,1)&gt;Inputs!$R$5,"N/A",EDATE(A208,1)))</f>
        <v>N/A</v>
      </c>
      <c r="B209" s="316" t="str">
        <f aca="false">IF(A209="N/A"," ",YEAR(A209))</f>
        <v> </v>
      </c>
      <c r="C209" s="317" t="str">
        <f aca="false">IF($A209="N/A"," ",IF(Dayrun4=10,0,IF(Scaler4=1,(VLOOKUP(A209,ScaledPrice4,4)),(VLOOKUP(A209,ScaledPrice4,2)))))</f>
        <v> </v>
      </c>
      <c r="D209" s="317" t="str">
        <f aca="false">IF(A209="N/A"," ",IF(Dayrun4&gt;=7,0,IF(Scaler4=2,VLOOKUP(A209,ScaledPrice4,2),(VLOOKUP(A209,ScaledPrice4,2))*(2-(VLOOKUP(A209,ScaledPrice4,3))))))</f>
        <v> </v>
      </c>
      <c r="E209" s="317" t="str">
        <f aca="false">IF($A209="N/A"," ",IF(AND(Dayrun4&gt;=4,Dayrun4&lt;=9),0,VLOOKUP($A209,ScaledPrice4,9)))</f>
        <v> </v>
      </c>
      <c r="F209" s="317" t="str">
        <f aca="false">IF(A209="N/A"," ",IF(OR(Dayrun4=2,Dayrun4=3,Dayrun4=5,Dayrun4=6,Dayrun4=8,Dayrun4=9),VLOOKUP(A209,ScaledPrice4,IF(Scaler4=1,6,5)),0))</f>
        <v> </v>
      </c>
      <c r="G209" s="317" t="str">
        <f aca="false">IF(A209="N/A"," ",IF(OR(Dayrun4=2,Dayrun4=3,Dayrun4=5,Dayrun4=6),IF(Scaler4=2,F209,(VLOOKUP(A209,ScaledPrice4,5))*(2-(VLOOKUP(A209,ScaledPrice4,3)))),0))</f>
        <v> </v>
      </c>
      <c r="H209" s="317" t="str">
        <f aca="false">IF($A209="N/A"," ",IF(OR(Dayrun4=2,Dayrun4=3,Dayrun4=10),VLOOKUP($A209,ScaledPrice4,9),0))</f>
        <v> </v>
      </c>
      <c r="I209" s="317" t="str">
        <f aca="false">IF(A209="N/A"," ",IF(OR(Dayrun4=3,Dayrun4=6,Dayrun4=9),(VLOOKUP(A209,ScaledPrice4,IF(Scaler4=2,7,8))),0))</f>
        <v> </v>
      </c>
      <c r="J209" s="317" t="str">
        <f aca="false">IF(A209="N/A"," ",IF(OR(Dayrun4=3,Dayrun4=6),IF(Scaler4=2,I209,(VLOOKUP(A209,ScaledPrice4,7))*(2-(VLOOKUP(A209,ScaledPrice4,3)))),0))</f>
        <v> </v>
      </c>
      <c r="K209" s="317" t="str">
        <f aca="false">IF($A209="N/A"," ",IF(OR(Dayrun4=3,Dayrun4=10),VLOOKUP($A209,ScaledPrice4,9),0))</f>
        <v> </v>
      </c>
      <c r="L209" s="318" t="str">
        <f aca="false">IF($A209="N/A"," ",IF(Pricetype4=2,MAX(C209,0),IF(OR(Pricetype4=1,Pricetype4=4),IF(C209=0,0,(EURO(C209,Strikeprice4,0,0,($AH209+IF(Smile=TRUE(),VLOOKUP(MAX(-5,Strikeprice4-C209),Volsmile,2),0)),($A209-DateToday)+15,IF(Pricetype4=1,1,0),0))),C209)))</f>
        <v> </v>
      </c>
      <c r="M209" s="318" t="str">
        <f aca="false">IF($A209="N/A"," ",IF(Pricetype4=2,MAX(D209,0),IF(OR(Pricetype4=1,Pricetype4=4),IF(D209=0,0,(EURO(D209,Strikeprice4,0,0,($AH209+IF(Smile=TRUE(),VLOOKUP(MAX(-5,Strikeprice4-D209),Volsmile,2),0)),($A209-DateToday)+15,IF(Pricetype4=1,1,0),0))),D209)))</f>
        <v> </v>
      </c>
      <c r="N209" s="318" t="str">
        <f aca="false">IF($A209="N/A"," ",IF(Pricetype4=2,MAX(E209,0),IF(OR(Pricetype4=1,Pricetype4=4),IF(E209=0,0,(EURO(E209,Strikeprice4,0,0,($AK209+IF(Smile=TRUE(),VLOOKUP(MAX(-5,Strikeprice4-E209),Volsmile,2),0)),($A209-DateToday)+15,IF(Pricetype4=1,1,0),0))),E209)))</f>
        <v> </v>
      </c>
      <c r="O209" s="318" t="str">
        <f aca="false">IF($A209="N/A"," ",IF(Pricetype4=2,MAX(F209,0),IF(OR(Pricetype4=1,Pricetype4=4),IF(F209=0,0,(EURO(F209,Strikeprice4,0,0,($AK209+IF(Smile=TRUE(),VLOOKUP(MAX(-5,Strikeprice4-F209),Volsmile,2),0)),($A209-DateToday)+15,IF(Pricetype4=1,1,0),0))),F209)))</f>
        <v> </v>
      </c>
      <c r="P209" s="318" t="str">
        <f aca="false">IF($A209="N/A"," ",IF(Pricetype4=2,MAX(G209,0),IF(OR(Pricetype4=1,Pricetype4=4),IF(G209=0,0,(EURO(G209,Strikeprice4,0,0,($AK209+IF(Smile=TRUE(),VLOOKUP(MAX(-5,Strikeprice4-G209),Volsmile,2),0)),($A209-DateToday)+15,IF(Pricetype4=1,1,0),0))),G209)))</f>
        <v> </v>
      </c>
      <c r="Q209" s="318" t="str">
        <f aca="false">IF($A209="N/A"," ",IF(Pricetype4=2,MAX(H209,0),IF(OR(Pricetype4=1,Pricetype4=4),IF(H209=0,0,(EURO(H209,Strikeprice4,0,0,($AK209+IF(Smile=TRUE(),VLOOKUP(MAX(-5,Strikeprice4-H209),Volsmile,2),0)),($A209-DateToday)+15,IF(Pricetype4=1,1,0),0))),H209)))</f>
        <v> </v>
      </c>
      <c r="R209" s="318" t="str">
        <f aca="false">IF($A209="N/A"," ",IF(Pricetype4=2,MAX(I209,0),IF(OR(Pricetype4=1,Pricetype4=4),IF(I209=0,0,(EURO(I209,Strikeprice4,0,0,($AK209+IF(Smile=TRUE(),VLOOKUP(MAX(-5,Strikeprice4-I209),Volsmile,2),0)),($A209-DateToday)+15,IF(Pricetype4=1,1,0),0))),I209)))</f>
        <v> </v>
      </c>
      <c r="S209" s="318" t="str">
        <f aca="false">IF($A209="N/A"," ",IF(Pricetype4=2,MAX(J209,0),IF(OR(Pricetype4=1,Pricetype4=4),IF(J209=0,0,(EURO(J209,Strikeprice4,0,0,($AK209+IF(Smile=TRUE(),VLOOKUP(MAX(-5,Strikeprice4-J209),Volsmile,2),0)),($A209-DateToday)+15,IF(Pricetype4=1,1,0),0))),J209)))</f>
        <v> </v>
      </c>
      <c r="T209" s="318" t="str">
        <f aca="false">IF($A209="N/A"," ",IF(Pricetype4=2,MAX(K209,0),IF(OR(Pricetype4=1,Pricetype4=4),IF(K209=0,0,(EURO(K209,Strikeprice4,0,0,($AK209+IF(Smile=TRUE(),VLOOKUP(MAX(-5,Strikeprice4-K209),Volsmile,2),0)),($A209-DateToday)+15,IF(Pricetype4=1,1,0),0))),K209)))</f>
        <v> </v>
      </c>
      <c r="U209" s="319" t="str">
        <f aca="false">IF($A209="N/A"," ",Volume4*$AM209)</f>
        <v> </v>
      </c>
      <c r="V209" s="320" t="str">
        <f aca="false">IF($A209="N/A"," ",$U209*(8*($BQ209))*L209)</f>
        <v> </v>
      </c>
      <c r="W209" s="320" t="str">
        <f aca="false">IF($A209="N/A"," ",$U209*(8*($BQ209))*M209)</f>
        <v> </v>
      </c>
      <c r="X209" s="320" t="str">
        <f aca="false">IF($A209="N/A"," ",$U209*(8*($BQ209))*N209)</f>
        <v> </v>
      </c>
      <c r="Y209" s="320" t="str">
        <f aca="false">IF($A209="N/A"," ",$U209*(8*($BR209))*O209)</f>
        <v> </v>
      </c>
      <c r="Z209" s="320" t="str">
        <f aca="false">IF($A209="N/A"," ",$U209*(8*($BR209))*P209)</f>
        <v> </v>
      </c>
      <c r="AA209" s="320" t="str">
        <f aca="false">IF($A209="N/A"," ",$U209*(8*($BR209))*Q209)</f>
        <v> </v>
      </c>
      <c r="AB209" s="320" t="str">
        <f aca="false">IF($A209="N/A"," ",$U209*(8*($BS209))*R209)</f>
        <v> </v>
      </c>
      <c r="AC209" s="320" t="str">
        <f aca="false">IF($A209="N/A"," ",$U209*(8*($BS209))*S209)</f>
        <v> </v>
      </c>
      <c r="AD209" s="320" t="str">
        <f aca="false">IF($A209="N/A"," ",$U209*(8*($BS209))*T209)</f>
        <v> </v>
      </c>
      <c r="AE209" s="320" t="str">
        <f aca="false">IF($A209="N/A"," ",SUM(V209:AD209))</f>
        <v> </v>
      </c>
      <c r="AF209" s="321" t="str">
        <f aca="false">IF(A209="N/A"," ",(VLOOKUP(A209,PowerVolTable,(IF(VolBMO4=2,7,IF(VolBMO4=1,6,8))),FALSE())))</f>
        <v> </v>
      </c>
      <c r="AG209" s="321" t="str">
        <f aca="false">IF(A209="N/A"," ",(VLOOKUP(A209,IntraPowerVol,(IF(VolBMO4=2,3,IF(VolBMO4=1,2,4))),FALSE())*VLOOKUP(MONTH($A209),Volscale,2)))</f>
        <v> </v>
      </c>
      <c r="AH209" s="321" t="str">
        <f aca="false">IF($A209="N/A"," ",IF(VolType4=1,AG209,AF209))</f>
        <v> </v>
      </c>
      <c r="AI209" s="321" t="str">
        <f aca="false">IF($A209="N/A"," ",(VLOOKUP($A209,OffPwrVolTable,(IF(VolBMO4=2,7,IF(VolBMO4=1,6,8))),FALSE())))</f>
        <v> </v>
      </c>
      <c r="AJ209" s="321" t="str">
        <f aca="false">IF($A209="N/A"," ",(VLOOKUP($A209,OffPwrVolTable,(IF(VolBMO4=2,3,IF(VolBMO4=1,2,4))),FALSE())*VLOOKUP(MONTH($A209),Volscale,2)))</f>
        <v> </v>
      </c>
      <c r="AK209" s="321" t="str">
        <f aca="false">IF($A209="N/A"," ",IF(VolType4=1,AJ209,AI209))</f>
        <v> </v>
      </c>
      <c r="AL209" s="321" t="str">
        <f aca="false">IF($A209="N/A"," ",IF(PV=1,0,'Pricing Inputs4'!R242))</f>
        <v> </v>
      </c>
      <c r="AM209" s="323" t="str">
        <f aca="false">IF($A209="N/A"," ",(1+AL209/2)^(-2*((EOMONTH(A209,0)+20)-DateToday)/365.25))</f>
        <v> </v>
      </c>
      <c r="BQ209" s="0" t="str">
        <f aca="false">IF($A209="N/A"," ",(VLOOKUP($A209,NumberofDaysTable,2)))</f>
        <v> </v>
      </c>
      <c r="BR209" s="0" t="str">
        <f aca="false">IF($A209="N/A"," ",(VLOOKUP($A209,NumberofDaysTable,3)))</f>
        <v> </v>
      </c>
      <c r="BS209" s="0" t="str">
        <f aca="false">IF($A209="N/A"," ",(VLOOKUP($A209,NumberofDaysTable,4)))</f>
        <v> </v>
      </c>
    </row>
    <row r="210" customFormat="false" ht="12.75" hidden="false" customHeight="false" outlineLevel="0" collapsed="false">
      <c r="A210" s="315" t="str">
        <f aca="false">IF(A209="N/A","N/A",IF(EDATE(A209,1)&gt;Inputs!$R$5,"N/A",EDATE(A209,1)))</f>
        <v>N/A</v>
      </c>
      <c r="B210" s="316" t="str">
        <f aca="false">IF(A210="N/A"," ",YEAR(A210))</f>
        <v> </v>
      </c>
      <c r="C210" s="317" t="str">
        <f aca="false">IF($A210="N/A"," ",IF(Dayrun4=10,0,IF(Scaler4=1,(VLOOKUP(A210,ScaledPrice4,4)),(VLOOKUP(A210,ScaledPrice4,2)))))</f>
        <v> </v>
      </c>
      <c r="D210" s="317" t="str">
        <f aca="false">IF(A210="N/A"," ",IF(Dayrun4&gt;=7,0,IF(Scaler4=2,VLOOKUP(A210,ScaledPrice4,2),(VLOOKUP(A210,ScaledPrice4,2))*(2-(VLOOKUP(A210,ScaledPrice4,3))))))</f>
        <v> </v>
      </c>
      <c r="E210" s="317" t="str">
        <f aca="false">IF($A210="N/A"," ",IF(AND(Dayrun4&gt;=4,Dayrun4&lt;=9),0,VLOOKUP($A210,ScaledPrice4,9)))</f>
        <v> </v>
      </c>
      <c r="F210" s="317" t="str">
        <f aca="false">IF(A210="N/A"," ",IF(OR(Dayrun4=2,Dayrun4=3,Dayrun4=5,Dayrun4=6,Dayrun4=8,Dayrun4=9),VLOOKUP(A210,ScaledPrice4,IF(Scaler4=1,6,5)),0))</f>
        <v> </v>
      </c>
      <c r="G210" s="317" t="str">
        <f aca="false">IF(A210="N/A"," ",IF(OR(Dayrun4=2,Dayrun4=3,Dayrun4=5,Dayrun4=6),IF(Scaler4=2,F210,(VLOOKUP(A210,ScaledPrice4,5))*(2-(VLOOKUP(A210,ScaledPrice4,3)))),0))</f>
        <v> </v>
      </c>
      <c r="H210" s="317" t="str">
        <f aca="false">IF($A210="N/A"," ",IF(OR(Dayrun4=2,Dayrun4=3,Dayrun4=10),VLOOKUP($A210,ScaledPrice4,9),0))</f>
        <v> </v>
      </c>
      <c r="I210" s="317" t="str">
        <f aca="false">IF(A210="N/A"," ",IF(OR(Dayrun4=3,Dayrun4=6,Dayrun4=9),(VLOOKUP(A210,ScaledPrice4,IF(Scaler4=2,7,8))),0))</f>
        <v> </v>
      </c>
      <c r="J210" s="317" t="str">
        <f aca="false">IF(A210="N/A"," ",IF(OR(Dayrun4=3,Dayrun4=6),IF(Scaler4=2,I210,(VLOOKUP(A210,ScaledPrice4,7))*(2-(VLOOKUP(A210,ScaledPrice4,3)))),0))</f>
        <v> </v>
      </c>
      <c r="K210" s="317" t="str">
        <f aca="false">IF($A210="N/A"," ",IF(OR(Dayrun4=3,Dayrun4=10),VLOOKUP($A210,ScaledPrice4,9),0))</f>
        <v> </v>
      </c>
      <c r="L210" s="318" t="str">
        <f aca="false">IF($A210="N/A"," ",IF(Pricetype4=2,MAX(C210,0),IF(OR(Pricetype4=1,Pricetype4=4),IF(C210=0,0,(EURO(C210,Strikeprice4,0,0,($AH210+IF(Smile=TRUE(),VLOOKUP(MAX(-5,Strikeprice4-C210),Volsmile,2),0)),($A210-DateToday)+15,IF(Pricetype4=1,1,0),0))),C210)))</f>
        <v> </v>
      </c>
      <c r="M210" s="318" t="str">
        <f aca="false">IF($A210="N/A"," ",IF(Pricetype4=2,MAX(D210,0),IF(OR(Pricetype4=1,Pricetype4=4),IF(D210=0,0,(EURO(D210,Strikeprice4,0,0,($AH210+IF(Smile=TRUE(),VLOOKUP(MAX(-5,Strikeprice4-D210),Volsmile,2),0)),($A210-DateToday)+15,IF(Pricetype4=1,1,0),0))),D210)))</f>
        <v> </v>
      </c>
      <c r="N210" s="318" t="str">
        <f aca="false">IF($A210="N/A"," ",IF(Pricetype4=2,MAX(E210,0),IF(OR(Pricetype4=1,Pricetype4=4),IF(E210=0,0,(EURO(E210,Strikeprice4,0,0,($AK210+IF(Smile=TRUE(),VLOOKUP(MAX(-5,Strikeprice4-E210),Volsmile,2),0)),($A210-DateToday)+15,IF(Pricetype4=1,1,0),0))),E210)))</f>
        <v> </v>
      </c>
      <c r="O210" s="318" t="str">
        <f aca="false">IF($A210="N/A"," ",IF(Pricetype4=2,MAX(F210,0),IF(OR(Pricetype4=1,Pricetype4=4),IF(F210=0,0,(EURO(F210,Strikeprice4,0,0,($AK210+IF(Smile=TRUE(),VLOOKUP(MAX(-5,Strikeprice4-F210),Volsmile,2),0)),($A210-DateToday)+15,IF(Pricetype4=1,1,0),0))),F210)))</f>
        <v> </v>
      </c>
      <c r="P210" s="318" t="str">
        <f aca="false">IF($A210="N/A"," ",IF(Pricetype4=2,MAX(G210,0),IF(OR(Pricetype4=1,Pricetype4=4),IF(G210=0,0,(EURO(G210,Strikeprice4,0,0,($AK210+IF(Smile=TRUE(),VLOOKUP(MAX(-5,Strikeprice4-G210),Volsmile,2),0)),($A210-DateToday)+15,IF(Pricetype4=1,1,0),0))),G210)))</f>
        <v> </v>
      </c>
      <c r="Q210" s="318" t="str">
        <f aca="false">IF($A210="N/A"," ",IF(Pricetype4=2,MAX(H210,0),IF(OR(Pricetype4=1,Pricetype4=4),IF(H210=0,0,(EURO(H210,Strikeprice4,0,0,($AK210+IF(Smile=TRUE(),VLOOKUP(MAX(-5,Strikeprice4-H210),Volsmile,2),0)),($A210-DateToday)+15,IF(Pricetype4=1,1,0),0))),H210)))</f>
        <v> </v>
      </c>
      <c r="R210" s="318" t="str">
        <f aca="false">IF($A210="N/A"," ",IF(Pricetype4=2,MAX(I210,0),IF(OR(Pricetype4=1,Pricetype4=4),IF(I210=0,0,(EURO(I210,Strikeprice4,0,0,($AK210+IF(Smile=TRUE(),VLOOKUP(MAX(-5,Strikeprice4-I210),Volsmile,2),0)),($A210-DateToday)+15,IF(Pricetype4=1,1,0),0))),I210)))</f>
        <v> </v>
      </c>
      <c r="S210" s="318" t="str">
        <f aca="false">IF($A210="N/A"," ",IF(Pricetype4=2,MAX(J210,0),IF(OR(Pricetype4=1,Pricetype4=4),IF(J210=0,0,(EURO(J210,Strikeprice4,0,0,($AK210+IF(Smile=TRUE(),VLOOKUP(MAX(-5,Strikeprice4-J210),Volsmile,2),0)),($A210-DateToday)+15,IF(Pricetype4=1,1,0),0))),J210)))</f>
        <v> </v>
      </c>
      <c r="T210" s="318" t="str">
        <f aca="false">IF($A210="N/A"," ",IF(Pricetype4=2,MAX(K210,0),IF(OR(Pricetype4=1,Pricetype4=4),IF(K210=0,0,(EURO(K210,Strikeprice4,0,0,($AK210+IF(Smile=TRUE(),VLOOKUP(MAX(-5,Strikeprice4-K210),Volsmile,2),0)),($A210-DateToday)+15,IF(Pricetype4=1,1,0),0))),K210)))</f>
        <v> </v>
      </c>
      <c r="U210" s="319" t="str">
        <f aca="false">IF($A210="N/A"," ",Volume4*$AM210)</f>
        <v> </v>
      </c>
      <c r="V210" s="320" t="str">
        <f aca="false">IF($A210="N/A"," ",$U210*(8*($BQ210))*L210)</f>
        <v> </v>
      </c>
      <c r="W210" s="320" t="str">
        <f aca="false">IF($A210="N/A"," ",$U210*(8*($BQ210))*M210)</f>
        <v> </v>
      </c>
      <c r="X210" s="320" t="str">
        <f aca="false">IF($A210="N/A"," ",$U210*(8*($BQ210))*N210)</f>
        <v> </v>
      </c>
      <c r="Y210" s="320" t="str">
        <f aca="false">IF($A210="N/A"," ",$U210*(8*($BR210))*O210)</f>
        <v> </v>
      </c>
      <c r="Z210" s="320" t="str">
        <f aca="false">IF($A210="N/A"," ",$U210*(8*($BR210))*P210)</f>
        <v> </v>
      </c>
      <c r="AA210" s="320" t="str">
        <f aca="false">IF($A210="N/A"," ",$U210*(8*($BR210))*Q210)</f>
        <v> </v>
      </c>
      <c r="AB210" s="320" t="str">
        <f aca="false">IF($A210="N/A"," ",$U210*(8*($BS210))*R210)</f>
        <v> </v>
      </c>
      <c r="AC210" s="320" t="str">
        <f aca="false">IF($A210="N/A"," ",$U210*(8*($BS210))*S210)</f>
        <v> </v>
      </c>
      <c r="AD210" s="320" t="str">
        <f aca="false">IF($A210="N/A"," ",$U210*(8*($BS210))*T210)</f>
        <v> </v>
      </c>
      <c r="AE210" s="320" t="str">
        <f aca="false">IF($A210="N/A"," ",SUM(V210:AD210))</f>
        <v> </v>
      </c>
      <c r="AF210" s="321" t="str">
        <f aca="false">IF(A210="N/A"," ",(VLOOKUP(A210,PowerVolTable,(IF(VolBMO4=2,7,IF(VolBMO4=1,6,8))),FALSE())))</f>
        <v> </v>
      </c>
      <c r="AG210" s="321" t="str">
        <f aca="false">IF(A210="N/A"," ",(VLOOKUP(A210,IntraPowerVol,(IF(VolBMO4=2,3,IF(VolBMO4=1,2,4))),FALSE())*VLOOKUP(MONTH($A210),Volscale,2)))</f>
        <v> </v>
      </c>
      <c r="AH210" s="321" t="str">
        <f aca="false">IF($A210="N/A"," ",IF(VolType4=1,AG210,AF210))</f>
        <v> </v>
      </c>
      <c r="AI210" s="321" t="str">
        <f aca="false">IF($A210="N/A"," ",(VLOOKUP($A210,OffPwrVolTable,(IF(VolBMO4=2,7,IF(VolBMO4=1,6,8))),FALSE())))</f>
        <v> </v>
      </c>
      <c r="AJ210" s="321" t="str">
        <f aca="false">IF($A210="N/A"," ",(VLOOKUP($A210,OffPwrVolTable,(IF(VolBMO4=2,3,IF(VolBMO4=1,2,4))),FALSE())*VLOOKUP(MONTH($A210),Volscale,2)))</f>
        <v> </v>
      </c>
      <c r="AK210" s="321" t="str">
        <f aca="false">IF($A210="N/A"," ",IF(VolType4=1,AJ210,AI210))</f>
        <v> </v>
      </c>
      <c r="AL210" s="321" t="str">
        <f aca="false">IF($A210="N/A"," ",IF(PV=1,0,'Pricing Inputs4'!R243))</f>
        <v> </v>
      </c>
      <c r="AM210" s="323" t="str">
        <f aca="false">IF($A210="N/A"," ",(1+AL210/2)^(-2*((EOMONTH(A210,0)+20)-DateToday)/365.25))</f>
        <v> </v>
      </c>
      <c r="BQ210" s="0" t="str">
        <f aca="false">IF($A210="N/A"," ",(VLOOKUP($A210,NumberofDaysTable,2)))</f>
        <v> </v>
      </c>
      <c r="BR210" s="0" t="str">
        <f aca="false">IF($A210="N/A"," ",(VLOOKUP($A210,NumberofDaysTable,3)))</f>
        <v> </v>
      </c>
      <c r="BS210" s="0" t="str">
        <f aca="false">IF($A210="N/A"," ",(VLOOKUP($A210,NumberofDaysTable,4)))</f>
        <v> </v>
      </c>
    </row>
    <row r="211" customFormat="false" ht="12.75" hidden="false" customHeight="false" outlineLevel="0" collapsed="false">
      <c r="A211" s="315" t="str">
        <f aca="false">IF(A210="N/A","N/A",IF(EDATE(A210,1)&gt;Inputs!$R$5,"N/A",EDATE(A210,1)))</f>
        <v>N/A</v>
      </c>
      <c r="B211" s="316" t="str">
        <f aca="false">IF(A211="N/A"," ",YEAR(A211))</f>
        <v> </v>
      </c>
      <c r="C211" s="317" t="str">
        <f aca="false">IF($A211="N/A"," ",IF(Dayrun4=10,0,IF(Scaler4=1,(VLOOKUP(A211,ScaledPrice4,4)),(VLOOKUP(A211,ScaledPrice4,2)))))</f>
        <v> </v>
      </c>
      <c r="D211" s="317" t="str">
        <f aca="false">IF(A211="N/A"," ",IF(Dayrun4&gt;=7,0,IF(Scaler4=2,VLOOKUP(A211,ScaledPrice4,2),(VLOOKUP(A211,ScaledPrice4,2))*(2-(VLOOKUP(A211,ScaledPrice4,3))))))</f>
        <v> </v>
      </c>
      <c r="E211" s="317" t="str">
        <f aca="false">IF($A211="N/A"," ",IF(AND(Dayrun4&gt;=4,Dayrun4&lt;=9),0,VLOOKUP($A211,ScaledPrice4,9)))</f>
        <v> </v>
      </c>
      <c r="F211" s="317" t="str">
        <f aca="false">IF(A211="N/A"," ",IF(OR(Dayrun4=2,Dayrun4=3,Dayrun4=5,Dayrun4=6,Dayrun4=8,Dayrun4=9),VLOOKUP(A211,ScaledPrice4,IF(Scaler4=1,6,5)),0))</f>
        <v> </v>
      </c>
      <c r="G211" s="317" t="str">
        <f aca="false">IF(A211="N/A"," ",IF(OR(Dayrun4=2,Dayrun4=3,Dayrun4=5,Dayrun4=6),IF(Scaler4=2,F211,(VLOOKUP(A211,ScaledPrice4,5))*(2-(VLOOKUP(A211,ScaledPrice4,3)))),0))</f>
        <v> </v>
      </c>
      <c r="H211" s="317" t="str">
        <f aca="false">IF($A211="N/A"," ",IF(OR(Dayrun4=2,Dayrun4=3,Dayrun4=10),VLOOKUP($A211,ScaledPrice4,9),0))</f>
        <v> </v>
      </c>
      <c r="I211" s="317" t="str">
        <f aca="false">IF(A211="N/A"," ",IF(OR(Dayrun4=3,Dayrun4=6,Dayrun4=9),(VLOOKUP(A211,ScaledPrice4,IF(Scaler4=2,7,8))),0))</f>
        <v> </v>
      </c>
      <c r="J211" s="317" t="str">
        <f aca="false">IF(A211="N/A"," ",IF(OR(Dayrun4=3,Dayrun4=6),IF(Scaler4=2,I211,(VLOOKUP(A211,ScaledPrice4,7))*(2-(VLOOKUP(A211,ScaledPrice4,3)))),0))</f>
        <v> </v>
      </c>
      <c r="K211" s="317" t="str">
        <f aca="false">IF($A211="N/A"," ",IF(OR(Dayrun4=3,Dayrun4=10),VLOOKUP($A211,ScaledPrice4,9),0))</f>
        <v> </v>
      </c>
      <c r="L211" s="318" t="str">
        <f aca="false">IF($A211="N/A"," ",IF(Pricetype4=2,MAX(C211,0),IF(OR(Pricetype4=1,Pricetype4=4),IF(C211=0,0,(EURO(C211,Strikeprice4,0,0,($AH211+IF(Smile=TRUE(),VLOOKUP(MAX(-5,Strikeprice4-C211),Volsmile,2),0)),($A211-DateToday)+15,IF(Pricetype4=1,1,0),0))),C211)))</f>
        <v> </v>
      </c>
      <c r="M211" s="318" t="str">
        <f aca="false">IF($A211="N/A"," ",IF(Pricetype4=2,MAX(D211,0),IF(OR(Pricetype4=1,Pricetype4=4),IF(D211=0,0,(EURO(D211,Strikeprice4,0,0,($AH211+IF(Smile=TRUE(),VLOOKUP(MAX(-5,Strikeprice4-D211),Volsmile,2),0)),($A211-DateToday)+15,IF(Pricetype4=1,1,0),0))),D211)))</f>
        <v> </v>
      </c>
      <c r="N211" s="318" t="str">
        <f aca="false">IF($A211="N/A"," ",IF(Pricetype4=2,MAX(E211,0),IF(OR(Pricetype4=1,Pricetype4=4),IF(E211=0,0,(EURO(E211,Strikeprice4,0,0,($AK211+IF(Smile=TRUE(),VLOOKUP(MAX(-5,Strikeprice4-E211),Volsmile,2),0)),($A211-DateToday)+15,IF(Pricetype4=1,1,0),0))),E211)))</f>
        <v> </v>
      </c>
      <c r="O211" s="318" t="str">
        <f aca="false">IF($A211="N/A"," ",IF(Pricetype4=2,MAX(F211,0),IF(OR(Pricetype4=1,Pricetype4=4),IF(F211=0,0,(EURO(F211,Strikeprice4,0,0,($AK211+IF(Smile=TRUE(),VLOOKUP(MAX(-5,Strikeprice4-F211),Volsmile,2),0)),($A211-DateToday)+15,IF(Pricetype4=1,1,0),0))),F211)))</f>
        <v> </v>
      </c>
      <c r="P211" s="318" t="str">
        <f aca="false">IF($A211="N/A"," ",IF(Pricetype4=2,MAX(G211,0),IF(OR(Pricetype4=1,Pricetype4=4),IF(G211=0,0,(EURO(G211,Strikeprice4,0,0,($AK211+IF(Smile=TRUE(),VLOOKUP(MAX(-5,Strikeprice4-G211),Volsmile,2),0)),($A211-DateToday)+15,IF(Pricetype4=1,1,0),0))),G211)))</f>
        <v> </v>
      </c>
      <c r="Q211" s="318" t="str">
        <f aca="false">IF($A211="N/A"," ",IF(Pricetype4=2,MAX(H211,0),IF(OR(Pricetype4=1,Pricetype4=4),IF(H211=0,0,(EURO(H211,Strikeprice4,0,0,($AK211+IF(Smile=TRUE(),VLOOKUP(MAX(-5,Strikeprice4-H211),Volsmile,2),0)),($A211-DateToday)+15,IF(Pricetype4=1,1,0),0))),H211)))</f>
        <v> </v>
      </c>
      <c r="R211" s="318" t="str">
        <f aca="false">IF($A211="N/A"," ",IF(Pricetype4=2,MAX(I211,0),IF(OR(Pricetype4=1,Pricetype4=4),IF(I211=0,0,(EURO(I211,Strikeprice4,0,0,($AK211+IF(Smile=TRUE(),VLOOKUP(MAX(-5,Strikeprice4-I211),Volsmile,2),0)),($A211-DateToday)+15,IF(Pricetype4=1,1,0),0))),I211)))</f>
        <v> </v>
      </c>
      <c r="S211" s="318" t="str">
        <f aca="false">IF($A211="N/A"," ",IF(Pricetype4=2,MAX(J211,0),IF(OR(Pricetype4=1,Pricetype4=4),IF(J211=0,0,(EURO(J211,Strikeprice4,0,0,($AK211+IF(Smile=TRUE(),VLOOKUP(MAX(-5,Strikeprice4-J211),Volsmile,2),0)),($A211-DateToday)+15,IF(Pricetype4=1,1,0),0))),J211)))</f>
        <v> </v>
      </c>
      <c r="T211" s="318" t="str">
        <f aca="false">IF($A211="N/A"," ",IF(Pricetype4=2,MAX(K211,0),IF(OR(Pricetype4=1,Pricetype4=4),IF(K211=0,0,(EURO(K211,Strikeprice4,0,0,($AK211+IF(Smile=TRUE(),VLOOKUP(MAX(-5,Strikeprice4-K211),Volsmile,2),0)),($A211-DateToday)+15,IF(Pricetype4=1,1,0),0))),K211)))</f>
        <v> </v>
      </c>
      <c r="U211" s="319" t="str">
        <f aca="false">IF($A211="N/A"," ",Volume4*$AM211)</f>
        <v> </v>
      </c>
      <c r="V211" s="320" t="str">
        <f aca="false">IF($A211="N/A"," ",$U211*(8*($BQ211))*L211)</f>
        <v> </v>
      </c>
      <c r="W211" s="320" t="str">
        <f aca="false">IF($A211="N/A"," ",$U211*(8*($BQ211))*M211)</f>
        <v> </v>
      </c>
      <c r="X211" s="320" t="str">
        <f aca="false">IF($A211="N/A"," ",$U211*(8*($BQ211))*N211)</f>
        <v> </v>
      </c>
      <c r="Y211" s="320" t="str">
        <f aca="false">IF($A211="N/A"," ",$U211*(8*($BR211))*O211)</f>
        <v> </v>
      </c>
      <c r="Z211" s="320" t="str">
        <f aca="false">IF($A211="N/A"," ",$U211*(8*($BR211))*P211)</f>
        <v> </v>
      </c>
      <c r="AA211" s="320" t="str">
        <f aca="false">IF($A211="N/A"," ",$U211*(8*($BR211))*Q211)</f>
        <v> </v>
      </c>
      <c r="AB211" s="320" t="str">
        <f aca="false">IF($A211="N/A"," ",$U211*(8*($BS211))*R211)</f>
        <v> </v>
      </c>
      <c r="AC211" s="320" t="str">
        <f aca="false">IF($A211="N/A"," ",$U211*(8*($BS211))*S211)</f>
        <v> </v>
      </c>
      <c r="AD211" s="320" t="str">
        <f aca="false">IF($A211="N/A"," ",$U211*(8*($BS211))*T211)</f>
        <v> </v>
      </c>
      <c r="AE211" s="320" t="str">
        <f aca="false">IF($A211="N/A"," ",SUM(V211:AD211))</f>
        <v> </v>
      </c>
      <c r="AF211" s="321" t="str">
        <f aca="false">IF(A211="N/A"," ",(VLOOKUP(A211,PowerVolTable,(IF(VolBMO4=2,7,IF(VolBMO4=1,6,8))),FALSE())))</f>
        <v> </v>
      </c>
      <c r="AG211" s="321" t="str">
        <f aca="false">IF(A211="N/A"," ",(VLOOKUP(A211,IntraPowerVol,(IF(VolBMO4=2,3,IF(VolBMO4=1,2,4))),FALSE())*VLOOKUP(MONTH($A211),Volscale,2)))</f>
        <v> </v>
      </c>
      <c r="AH211" s="321" t="str">
        <f aca="false">IF($A211="N/A"," ",IF(VolType4=1,AG211,AF211))</f>
        <v> </v>
      </c>
      <c r="AI211" s="321" t="str">
        <f aca="false">IF($A211="N/A"," ",(VLOOKUP($A211,OffPwrVolTable,(IF(VolBMO4=2,7,IF(VolBMO4=1,6,8))),FALSE())))</f>
        <v> </v>
      </c>
      <c r="AJ211" s="321" t="str">
        <f aca="false">IF($A211="N/A"," ",(VLOOKUP($A211,OffPwrVolTable,(IF(VolBMO4=2,3,IF(VolBMO4=1,2,4))),FALSE())*VLOOKUP(MONTH($A211),Volscale,2)))</f>
        <v> </v>
      </c>
      <c r="AK211" s="321" t="str">
        <f aca="false">IF($A211="N/A"," ",IF(VolType4=1,AJ211,AI211))</f>
        <v> </v>
      </c>
      <c r="AL211" s="321" t="str">
        <f aca="false">IF($A211="N/A"," ",IF(PV=1,0,'Pricing Inputs4'!R244))</f>
        <v> </v>
      </c>
      <c r="AM211" s="323" t="str">
        <f aca="false">IF($A211="N/A"," ",(1+AL211/2)^(-2*((EOMONTH(A211,0)+20)-DateToday)/365.25))</f>
        <v> </v>
      </c>
      <c r="BQ211" s="0" t="str">
        <f aca="false">IF($A211="N/A"," ",(VLOOKUP($A211,NumberofDaysTable,2)))</f>
        <v> </v>
      </c>
      <c r="BR211" s="0" t="str">
        <f aca="false">IF($A211="N/A"," ",(VLOOKUP($A211,NumberofDaysTable,3)))</f>
        <v> </v>
      </c>
      <c r="BS211" s="0" t="str">
        <f aca="false">IF($A211="N/A"," ",(VLOOKUP($A211,NumberofDaysTable,4)))</f>
        <v> </v>
      </c>
    </row>
    <row r="212" customFormat="false" ht="12.75" hidden="false" customHeight="false" outlineLevel="0" collapsed="false">
      <c r="A212" s="315" t="str">
        <f aca="false">IF(A211="N/A","N/A",IF(EDATE(A211,1)&gt;Inputs!$R$5,"N/A",EDATE(A211,1)))</f>
        <v>N/A</v>
      </c>
      <c r="B212" s="316" t="str">
        <f aca="false">IF(A212="N/A"," ",YEAR(A212))</f>
        <v> </v>
      </c>
      <c r="C212" s="317" t="str">
        <f aca="false">IF($A212="N/A"," ",IF(Dayrun4=10,0,IF(Scaler4=1,(VLOOKUP(A212,ScaledPrice4,4)),(VLOOKUP(A212,ScaledPrice4,2)))))</f>
        <v> </v>
      </c>
      <c r="D212" s="317" t="str">
        <f aca="false">IF(A212="N/A"," ",IF(Dayrun4&gt;=7,0,IF(Scaler4=2,VLOOKUP(A212,ScaledPrice4,2),(VLOOKUP(A212,ScaledPrice4,2))*(2-(VLOOKUP(A212,ScaledPrice4,3))))))</f>
        <v> </v>
      </c>
      <c r="E212" s="317" t="str">
        <f aca="false">IF($A212="N/A"," ",IF(AND(Dayrun4&gt;=4,Dayrun4&lt;=9),0,VLOOKUP($A212,ScaledPrice4,9)))</f>
        <v> </v>
      </c>
      <c r="F212" s="317" t="str">
        <f aca="false">IF(A212="N/A"," ",IF(OR(Dayrun4=2,Dayrun4=3,Dayrun4=5,Dayrun4=6,Dayrun4=8,Dayrun4=9),VLOOKUP(A212,ScaledPrice4,IF(Scaler4=1,6,5)),0))</f>
        <v> </v>
      </c>
      <c r="G212" s="317" t="str">
        <f aca="false">IF(A212="N/A"," ",IF(OR(Dayrun4=2,Dayrun4=3,Dayrun4=5,Dayrun4=6),IF(Scaler4=2,F212,(VLOOKUP(A212,ScaledPrice4,5))*(2-(VLOOKUP(A212,ScaledPrice4,3)))),0))</f>
        <v> </v>
      </c>
      <c r="H212" s="317" t="str">
        <f aca="false">IF($A212="N/A"," ",IF(OR(Dayrun4=2,Dayrun4=3,Dayrun4=10),VLOOKUP($A212,ScaledPrice4,9),0))</f>
        <v> </v>
      </c>
      <c r="I212" s="317" t="str">
        <f aca="false">IF(A212="N/A"," ",IF(OR(Dayrun4=3,Dayrun4=6,Dayrun4=9),(VLOOKUP(A212,ScaledPrice4,IF(Scaler4=2,7,8))),0))</f>
        <v> </v>
      </c>
      <c r="J212" s="317" t="str">
        <f aca="false">IF(A212="N/A"," ",IF(OR(Dayrun4=3,Dayrun4=6),IF(Scaler4=2,I212,(VLOOKUP(A212,ScaledPrice4,7))*(2-(VLOOKUP(A212,ScaledPrice4,3)))),0))</f>
        <v> </v>
      </c>
      <c r="K212" s="317" t="str">
        <f aca="false">IF($A212="N/A"," ",IF(OR(Dayrun4=3,Dayrun4=10),VLOOKUP($A212,ScaledPrice4,9),0))</f>
        <v> </v>
      </c>
      <c r="L212" s="318" t="str">
        <f aca="false">IF($A212="N/A"," ",IF(Pricetype4=2,MAX(C212,0),IF(OR(Pricetype4=1,Pricetype4=4),IF(C212=0,0,(EURO(C212,Strikeprice4,0,0,($AH212+IF(Smile=TRUE(),VLOOKUP(MAX(-5,Strikeprice4-C212),Volsmile,2),0)),($A212-DateToday)+15,IF(Pricetype4=1,1,0),0))),C212)))</f>
        <v> </v>
      </c>
      <c r="M212" s="318" t="str">
        <f aca="false">IF($A212="N/A"," ",IF(Pricetype4=2,MAX(D212,0),IF(OR(Pricetype4=1,Pricetype4=4),IF(D212=0,0,(EURO(D212,Strikeprice4,0,0,($AH212+IF(Smile=TRUE(),VLOOKUP(MAX(-5,Strikeprice4-D212),Volsmile,2),0)),($A212-DateToday)+15,IF(Pricetype4=1,1,0),0))),D212)))</f>
        <v> </v>
      </c>
      <c r="N212" s="318" t="str">
        <f aca="false">IF($A212="N/A"," ",IF(Pricetype4=2,MAX(E212,0),IF(OR(Pricetype4=1,Pricetype4=4),IF(E212=0,0,(EURO(E212,Strikeprice4,0,0,($AK212+IF(Smile=TRUE(),VLOOKUP(MAX(-5,Strikeprice4-E212),Volsmile,2),0)),($A212-DateToday)+15,IF(Pricetype4=1,1,0),0))),E212)))</f>
        <v> </v>
      </c>
      <c r="O212" s="318" t="str">
        <f aca="false">IF($A212="N/A"," ",IF(Pricetype4=2,MAX(F212,0),IF(OR(Pricetype4=1,Pricetype4=4),IF(F212=0,0,(EURO(F212,Strikeprice4,0,0,($AK212+IF(Smile=TRUE(),VLOOKUP(MAX(-5,Strikeprice4-F212),Volsmile,2),0)),($A212-DateToday)+15,IF(Pricetype4=1,1,0),0))),F212)))</f>
        <v> </v>
      </c>
      <c r="P212" s="318" t="str">
        <f aca="false">IF($A212="N/A"," ",IF(Pricetype4=2,MAX(G212,0),IF(OR(Pricetype4=1,Pricetype4=4),IF(G212=0,0,(EURO(G212,Strikeprice4,0,0,($AK212+IF(Smile=TRUE(),VLOOKUP(MAX(-5,Strikeprice4-G212),Volsmile,2),0)),($A212-DateToday)+15,IF(Pricetype4=1,1,0),0))),G212)))</f>
        <v> </v>
      </c>
      <c r="Q212" s="318" t="str">
        <f aca="false">IF($A212="N/A"," ",IF(Pricetype4=2,MAX(H212,0),IF(OR(Pricetype4=1,Pricetype4=4),IF(H212=0,0,(EURO(H212,Strikeprice4,0,0,($AK212+IF(Smile=TRUE(),VLOOKUP(MAX(-5,Strikeprice4-H212),Volsmile,2),0)),($A212-DateToday)+15,IF(Pricetype4=1,1,0),0))),H212)))</f>
        <v> </v>
      </c>
      <c r="R212" s="318" t="str">
        <f aca="false">IF($A212="N/A"," ",IF(Pricetype4=2,MAX(I212,0),IF(OR(Pricetype4=1,Pricetype4=4),IF(I212=0,0,(EURO(I212,Strikeprice4,0,0,($AK212+IF(Smile=TRUE(),VLOOKUP(MAX(-5,Strikeprice4-I212),Volsmile,2),0)),($A212-DateToday)+15,IF(Pricetype4=1,1,0),0))),I212)))</f>
        <v> </v>
      </c>
      <c r="S212" s="318" t="str">
        <f aca="false">IF($A212="N/A"," ",IF(Pricetype4=2,MAX(J212,0),IF(OR(Pricetype4=1,Pricetype4=4),IF(J212=0,0,(EURO(J212,Strikeprice4,0,0,($AK212+IF(Smile=TRUE(),VLOOKUP(MAX(-5,Strikeprice4-J212),Volsmile,2),0)),($A212-DateToday)+15,IF(Pricetype4=1,1,0),0))),J212)))</f>
        <v> </v>
      </c>
      <c r="T212" s="318" t="str">
        <f aca="false">IF($A212="N/A"," ",IF(Pricetype4=2,MAX(K212,0),IF(OR(Pricetype4=1,Pricetype4=4),IF(K212=0,0,(EURO(K212,Strikeprice4,0,0,($AK212+IF(Smile=TRUE(),VLOOKUP(MAX(-5,Strikeprice4-K212),Volsmile,2),0)),($A212-DateToday)+15,IF(Pricetype4=1,1,0),0))),K212)))</f>
        <v> </v>
      </c>
      <c r="U212" s="319" t="str">
        <f aca="false">IF($A212="N/A"," ",Volume4*$AM212)</f>
        <v> </v>
      </c>
      <c r="V212" s="320" t="str">
        <f aca="false">IF($A212="N/A"," ",$U212*(8*($BQ212))*L212)</f>
        <v> </v>
      </c>
      <c r="W212" s="320" t="str">
        <f aca="false">IF($A212="N/A"," ",$U212*(8*($BQ212))*M212)</f>
        <v> </v>
      </c>
      <c r="X212" s="320" t="str">
        <f aca="false">IF($A212="N/A"," ",$U212*(8*($BQ212))*N212)</f>
        <v> </v>
      </c>
      <c r="Y212" s="320" t="str">
        <f aca="false">IF($A212="N/A"," ",$U212*(8*($BR212))*O212)</f>
        <v> </v>
      </c>
      <c r="Z212" s="320" t="str">
        <f aca="false">IF($A212="N/A"," ",$U212*(8*($BR212))*P212)</f>
        <v> </v>
      </c>
      <c r="AA212" s="320" t="str">
        <f aca="false">IF($A212="N/A"," ",$U212*(8*($BR212))*Q212)</f>
        <v> </v>
      </c>
      <c r="AB212" s="320" t="str">
        <f aca="false">IF($A212="N/A"," ",$U212*(8*($BS212))*R212)</f>
        <v> </v>
      </c>
      <c r="AC212" s="320" t="str">
        <f aca="false">IF($A212="N/A"," ",$U212*(8*($BS212))*S212)</f>
        <v> </v>
      </c>
      <c r="AD212" s="320" t="str">
        <f aca="false">IF($A212="N/A"," ",$U212*(8*($BS212))*T212)</f>
        <v> </v>
      </c>
      <c r="AE212" s="320" t="str">
        <f aca="false">IF($A212="N/A"," ",SUM(V212:AD212))</f>
        <v> </v>
      </c>
      <c r="AF212" s="321" t="str">
        <f aca="false">IF(A212="N/A"," ",(VLOOKUP(A212,PowerVolTable,(IF(VolBMO4=2,7,IF(VolBMO4=1,6,8))),FALSE())))</f>
        <v> </v>
      </c>
      <c r="AG212" s="321" t="str">
        <f aca="false">IF(A212="N/A"," ",(VLOOKUP(A212,IntraPowerVol,(IF(VolBMO4=2,3,IF(VolBMO4=1,2,4))),FALSE())*VLOOKUP(MONTH($A212),Volscale,2)))</f>
        <v> </v>
      </c>
      <c r="AH212" s="321" t="str">
        <f aca="false">IF($A212="N/A"," ",IF(VolType4=1,AG212,AF212))</f>
        <v> </v>
      </c>
      <c r="AI212" s="321" t="str">
        <f aca="false">IF($A212="N/A"," ",(VLOOKUP($A212,OffPwrVolTable,(IF(VolBMO4=2,7,IF(VolBMO4=1,6,8))),FALSE())))</f>
        <v> </v>
      </c>
      <c r="AJ212" s="321" t="str">
        <f aca="false">IF($A212="N/A"," ",(VLOOKUP($A212,OffPwrVolTable,(IF(VolBMO4=2,3,IF(VolBMO4=1,2,4))),FALSE())*VLOOKUP(MONTH($A212),Volscale,2)))</f>
        <v> </v>
      </c>
      <c r="AK212" s="321" t="str">
        <f aca="false">IF($A212="N/A"," ",IF(VolType4=1,AJ212,AI212))</f>
        <v> </v>
      </c>
      <c r="AL212" s="321" t="str">
        <f aca="false">IF($A212="N/A"," ",IF(PV=1,0,'Pricing Inputs4'!R245))</f>
        <v> </v>
      </c>
      <c r="AM212" s="323" t="str">
        <f aca="false">IF($A212="N/A"," ",(1+AL212/2)^(-2*((EOMONTH(A212,0)+20)-DateToday)/365.25))</f>
        <v> </v>
      </c>
      <c r="BQ212" s="0" t="str">
        <f aca="false">IF($A212="N/A"," ",(VLOOKUP($A212,NumberofDaysTable,2)))</f>
        <v> </v>
      </c>
      <c r="BR212" s="0" t="str">
        <f aca="false">IF($A212="N/A"," ",(VLOOKUP($A212,NumberofDaysTable,3)))</f>
        <v> </v>
      </c>
      <c r="BS212" s="0" t="str">
        <f aca="false">IF($A212="N/A"," ",(VLOOKUP($A212,NumberofDaysTable,4)))</f>
        <v> </v>
      </c>
    </row>
    <row r="213" customFormat="false" ht="12.75" hidden="false" customHeight="false" outlineLevel="0" collapsed="false">
      <c r="A213" s="315" t="str">
        <f aca="false">IF(A212="N/A","N/A",IF(EDATE(A212,1)&gt;Inputs!$R$5,"N/A",EDATE(A212,1)))</f>
        <v>N/A</v>
      </c>
      <c r="B213" s="316" t="str">
        <f aca="false">IF(A213="N/A"," ",YEAR(A213))</f>
        <v> </v>
      </c>
      <c r="C213" s="317" t="str">
        <f aca="false">IF($A213="N/A"," ",IF(Dayrun4=10,0,IF(Scaler4=1,(VLOOKUP(A213,ScaledPrice4,4)),(VLOOKUP(A213,ScaledPrice4,2)))))</f>
        <v> </v>
      </c>
      <c r="D213" s="317" t="str">
        <f aca="false">IF(A213="N/A"," ",IF(Dayrun4&gt;=7,0,IF(Scaler4=2,VLOOKUP(A213,ScaledPrice4,2),(VLOOKUP(A213,ScaledPrice4,2))*(2-(VLOOKUP(A213,ScaledPrice4,3))))))</f>
        <v> </v>
      </c>
      <c r="E213" s="317" t="str">
        <f aca="false">IF($A213="N/A"," ",IF(AND(Dayrun4&gt;=4,Dayrun4&lt;=9),0,VLOOKUP($A213,ScaledPrice4,9)))</f>
        <v> </v>
      </c>
      <c r="F213" s="317" t="str">
        <f aca="false">IF(A213="N/A"," ",IF(OR(Dayrun4=2,Dayrun4=3,Dayrun4=5,Dayrun4=6,Dayrun4=8,Dayrun4=9),VLOOKUP(A213,ScaledPrice4,IF(Scaler4=1,6,5)),0))</f>
        <v> </v>
      </c>
      <c r="G213" s="317" t="str">
        <f aca="false">IF(A213="N/A"," ",IF(OR(Dayrun4=2,Dayrun4=3,Dayrun4=5,Dayrun4=6),IF(Scaler4=2,F213,(VLOOKUP(A213,ScaledPrice4,5))*(2-(VLOOKUP(A213,ScaledPrice4,3)))),0))</f>
        <v> </v>
      </c>
      <c r="H213" s="317" t="str">
        <f aca="false">IF($A213="N/A"," ",IF(OR(Dayrun4=2,Dayrun4=3,Dayrun4=10),VLOOKUP($A213,ScaledPrice4,9),0))</f>
        <v> </v>
      </c>
      <c r="I213" s="317" t="str">
        <f aca="false">IF(A213="N/A"," ",IF(OR(Dayrun4=3,Dayrun4=6,Dayrun4=9),(VLOOKUP(A213,ScaledPrice4,IF(Scaler4=2,7,8))),0))</f>
        <v> </v>
      </c>
      <c r="J213" s="317" t="str">
        <f aca="false">IF(A213="N/A"," ",IF(OR(Dayrun4=3,Dayrun4=6),IF(Scaler4=2,I213,(VLOOKUP(A213,ScaledPrice4,7))*(2-(VLOOKUP(A213,ScaledPrice4,3)))),0))</f>
        <v> </v>
      </c>
      <c r="K213" s="317" t="str">
        <f aca="false">IF($A213="N/A"," ",IF(OR(Dayrun4=3,Dayrun4=10),VLOOKUP($A213,ScaledPrice4,9),0))</f>
        <v> </v>
      </c>
      <c r="L213" s="318" t="str">
        <f aca="false">IF($A213="N/A"," ",IF(Pricetype4=2,MAX(C213,0),IF(OR(Pricetype4=1,Pricetype4=4),IF(C213=0,0,(EURO(C213,Strikeprice4,0,0,($AH213+IF(Smile=TRUE(),VLOOKUP(MAX(-5,Strikeprice4-C213),Volsmile,2),0)),($A213-DateToday)+15,IF(Pricetype4=1,1,0),0))),C213)))</f>
        <v> </v>
      </c>
      <c r="M213" s="318" t="str">
        <f aca="false">IF($A213="N/A"," ",IF(Pricetype4=2,MAX(D213,0),IF(OR(Pricetype4=1,Pricetype4=4),IF(D213=0,0,(EURO(D213,Strikeprice4,0,0,($AH213+IF(Smile=TRUE(),VLOOKUP(MAX(-5,Strikeprice4-D213),Volsmile,2),0)),($A213-DateToday)+15,IF(Pricetype4=1,1,0),0))),D213)))</f>
        <v> </v>
      </c>
      <c r="N213" s="318" t="str">
        <f aca="false">IF($A213="N/A"," ",IF(Pricetype4=2,MAX(E213,0),IF(OR(Pricetype4=1,Pricetype4=4),IF(E213=0,0,(EURO(E213,Strikeprice4,0,0,($AK213+IF(Smile=TRUE(),VLOOKUP(MAX(-5,Strikeprice4-E213),Volsmile,2),0)),($A213-DateToday)+15,IF(Pricetype4=1,1,0),0))),E213)))</f>
        <v> </v>
      </c>
      <c r="O213" s="318" t="str">
        <f aca="false">IF($A213="N/A"," ",IF(Pricetype4=2,MAX(F213,0),IF(OR(Pricetype4=1,Pricetype4=4),IF(F213=0,0,(EURO(F213,Strikeprice4,0,0,($AK213+IF(Smile=TRUE(),VLOOKUP(MAX(-5,Strikeprice4-F213),Volsmile,2),0)),($A213-DateToday)+15,IF(Pricetype4=1,1,0),0))),F213)))</f>
        <v> </v>
      </c>
      <c r="P213" s="318" t="str">
        <f aca="false">IF($A213="N/A"," ",IF(Pricetype4=2,MAX(G213,0),IF(OR(Pricetype4=1,Pricetype4=4),IF(G213=0,0,(EURO(G213,Strikeprice4,0,0,($AK213+IF(Smile=TRUE(),VLOOKUP(MAX(-5,Strikeprice4-G213),Volsmile,2),0)),($A213-DateToday)+15,IF(Pricetype4=1,1,0),0))),G213)))</f>
        <v> </v>
      </c>
      <c r="Q213" s="318" t="str">
        <f aca="false">IF($A213="N/A"," ",IF(Pricetype4=2,MAX(H213,0),IF(OR(Pricetype4=1,Pricetype4=4),IF(H213=0,0,(EURO(H213,Strikeprice4,0,0,($AK213+IF(Smile=TRUE(),VLOOKUP(MAX(-5,Strikeprice4-H213),Volsmile,2),0)),($A213-DateToday)+15,IF(Pricetype4=1,1,0),0))),H213)))</f>
        <v> </v>
      </c>
      <c r="R213" s="318" t="str">
        <f aca="false">IF($A213="N/A"," ",IF(Pricetype4=2,MAX(I213,0),IF(OR(Pricetype4=1,Pricetype4=4),IF(I213=0,0,(EURO(I213,Strikeprice4,0,0,($AK213+IF(Smile=TRUE(),VLOOKUP(MAX(-5,Strikeprice4-I213),Volsmile,2),0)),($A213-DateToday)+15,IF(Pricetype4=1,1,0),0))),I213)))</f>
        <v> </v>
      </c>
      <c r="S213" s="318" t="str">
        <f aca="false">IF($A213="N/A"," ",IF(Pricetype4=2,MAX(J213,0),IF(OR(Pricetype4=1,Pricetype4=4),IF(J213=0,0,(EURO(J213,Strikeprice4,0,0,($AK213+IF(Smile=TRUE(),VLOOKUP(MAX(-5,Strikeprice4-J213),Volsmile,2),0)),($A213-DateToday)+15,IF(Pricetype4=1,1,0),0))),J213)))</f>
        <v> </v>
      </c>
      <c r="T213" s="318" t="str">
        <f aca="false">IF($A213="N/A"," ",IF(Pricetype4=2,MAX(K213,0),IF(OR(Pricetype4=1,Pricetype4=4),IF(K213=0,0,(EURO(K213,Strikeprice4,0,0,($AK213+IF(Smile=TRUE(),VLOOKUP(MAX(-5,Strikeprice4-K213),Volsmile,2),0)),($A213-DateToday)+15,IF(Pricetype4=1,1,0),0))),K213)))</f>
        <v> </v>
      </c>
      <c r="U213" s="319" t="str">
        <f aca="false">IF($A213="N/A"," ",Volume4*$AM213)</f>
        <v> </v>
      </c>
      <c r="V213" s="320" t="str">
        <f aca="false">IF($A213="N/A"," ",$U213*(8*($BQ213))*L213)</f>
        <v> </v>
      </c>
      <c r="W213" s="320" t="str">
        <f aca="false">IF($A213="N/A"," ",$U213*(8*($BQ213))*M213)</f>
        <v> </v>
      </c>
      <c r="X213" s="320" t="str">
        <f aca="false">IF($A213="N/A"," ",$U213*(8*($BQ213))*N213)</f>
        <v> </v>
      </c>
      <c r="Y213" s="320" t="str">
        <f aca="false">IF($A213="N/A"," ",$U213*(8*($BR213))*O213)</f>
        <v> </v>
      </c>
      <c r="Z213" s="320" t="str">
        <f aca="false">IF($A213="N/A"," ",$U213*(8*($BR213))*P213)</f>
        <v> </v>
      </c>
      <c r="AA213" s="320" t="str">
        <f aca="false">IF($A213="N/A"," ",$U213*(8*($BR213))*Q213)</f>
        <v> </v>
      </c>
      <c r="AB213" s="320" t="str">
        <f aca="false">IF($A213="N/A"," ",$U213*(8*($BS213))*R213)</f>
        <v> </v>
      </c>
      <c r="AC213" s="320" t="str">
        <f aca="false">IF($A213="N/A"," ",$U213*(8*($BS213))*S213)</f>
        <v> </v>
      </c>
      <c r="AD213" s="320" t="str">
        <f aca="false">IF($A213="N/A"," ",$U213*(8*($BS213))*T213)</f>
        <v> </v>
      </c>
      <c r="AE213" s="320" t="str">
        <f aca="false">IF($A213="N/A"," ",SUM(V213:AD213))</f>
        <v> </v>
      </c>
      <c r="AF213" s="321" t="str">
        <f aca="false">IF(A213="N/A"," ",(VLOOKUP(A213,PowerVolTable,(IF(VolBMO4=2,7,IF(VolBMO4=1,6,8))),FALSE())))</f>
        <v> </v>
      </c>
      <c r="AG213" s="321" t="str">
        <f aca="false">IF(A213="N/A"," ",(VLOOKUP(A213,IntraPowerVol,(IF(VolBMO4=2,3,IF(VolBMO4=1,2,4))),FALSE())*VLOOKUP(MONTH($A213),Volscale,2)))</f>
        <v> </v>
      </c>
      <c r="AH213" s="321" t="str">
        <f aca="false">IF($A213="N/A"," ",IF(VolType4=1,AG213,AF213))</f>
        <v> </v>
      </c>
      <c r="AI213" s="321" t="str">
        <f aca="false">IF($A213="N/A"," ",(VLOOKUP($A213,OffPwrVolTable,(IF(VolBMO4=2,7,IF(VolBMO4=1,6,8))),FALSE())))</f>
        <v> </v>
      </c>
      <c r="AJ213" s="321" t="str">
        <f aca="false">IF($A213="N/A"," ",(VLOOKUP($A213,OffPwrVolTable,(IF(VolBMO4=2,3,IF(VolBMO4=1,2,4))),FALSE())*VLOOKUP(MONTH($A213),Volscale,2)))</f>
        <v> </v>
      </c>
      <c r="AK213" s="321" t="str">
        <f aca="false">IF($A213="N/A"," ",IF(VolType4=1,AJ213,AI213))</f>
        <v> </v>
      </c>
      <c r="AL213" s="321" t="str">
        <f aca="false">IF($A213="N/A"," ",IF(PV=1,0,'Pricing Inputs4'!R246))</f>
        <v> </v>
      </c>
      <c r="AM213" s="323" t="str">
        <f aca="false">IF($A213="N/A"," ",(1+AL213/2)^(-2*((EOMONTH(A213,0)+20)-DateToday)/365.25))</f>
        <v> </v>
      </c>
      <c r="BQ213" s="0" t="str">
        <f aca="false">IF($A213="N/A"," ",(VLOOKUP($A213,NumberofDaysTable,2)))</f>
        <v> </v>
      </c>
      <c r="BR213" s="0" t="str">
        <f aca="false">IF($A213="N/A"," ",(VLOOKUP($A213,NumberofDaysTable,3)))</f>
        <v> </v>
      </c>
      <c r="BS213" s="0" t="str">
        <f aca="false">IF($A213="N/A"," ",(VLOOKUP($A213,NumberofDaysTable,4)))</f>
        <v> </v>
      </c>
    </row>
    <row r="214" customFormat="false" ht="12.75" hidden="false" customHeight="false" outlineLevel="0" collapsed="false">
      <c r="A214" s="315" t="str">
        <f aca="false">IF(A213="N/A","N/A",IF(EDATE(A213,1)&gt;Inputs!$R$5,"N/A",EDATE(A213,1)))</f>
        <v>N/A</v>
      </c>
      <c r="B214" s="316" t="str">
        <f aca="false">IF(A214="N/A"," ",YEAR(A214))</f>
        <v> </v>
      </c>
      <c r="C214" s="317" t="str">
        <f aca="false">IF($A214="N/A"," ",IF(Dayrun4=10,0,IF(Scaler4=1,(VLOOKUP(A214,ScaledPrice4,4)),(VLOOKUP(A214,ScaledPrice4,2)))))</f>
        <v> </v>
      </c>
      <c r="D214" s="317" t="str">
        <f aca="false">IF(A214="N/A"," ",IF(Dayrun4&gt;=7,0,IF(Scaler4=2,VLOOKUP(A214,ScaledPrice4,2),(VLOOKUP(A214,ScaledPrice4,2))*(2-(VLOOKUP(A214,ScaledPrice4,3))))))</f>
        <v> </v>
      </c>
      <c r="E214" s="317" t="str">
        <f aca="false">IF($A214="N/A"," ",IF(AND(Dayrun4&gt;=4,Dayrun4&lt;=9),0,VLOOKUP($A214,ScaledPrice4,9)))</f>
        <v> </v>
      </c>
      <c r="F214" s="317" t="str">
        <f aca="false">IF(A214="N/A"," ",IF(OR(Dayrun4=2,Dayrun4=3,Dayrun4=5,Dayrun4=6,Dayrun4=8,Dayrun4=9),VLOOKUP(A214,ScaledPrice4,IF(Scaler4=1,6,5)),0))</f>
        <v> </v>
      </c>
      <c r="G214" s="317" t="str">
        <f aca="false">IF(A214="N/A"," ",IF(OR(Dayrun4=2,Dayrun4=3,Dayrun4=5,Dayrun4=6),IF(Scaler4=2,F214,(VLOOKUP(A214,ScaledPrice4,5))*(2-(VLOOKUP(A214,ScaledPrice4,3)))),0))</f>
        <v> </v>
      </c>
      <c r="H214" s="317" t="str">
        <f aca="false">IF($A214="N/A"," ",IF(OR(Dayrun4=2,Dayrun4=3,Dayrun4=10),VLOOKUP($A214,ScaledPrice4,9),0))</f>
        <v> </v>
      </c>
      <c r="I214" s="317" t="str">
        <f aca="false">IF(A214="N/A"," ",IF(OR(Dayrun4=3,Dayrun4=6,Dayrun4=9),(VLOOKUP(A214,ScaledPrice4,IF(Scaler4=2,7,8))),0))</f>
        <v> </v>
      </c>
      <c r="J214" s="317" t="str">
        <f aca="false">IF(A214="N/A"," ",IF(OR(Dayrun4=3,Dayrun4=6),IF(Scaler4=2,I214,(VLOOKUP(A214,ScaledPrice4,7))*(2-(VLOOKUP(A214,ScaledPrice4,3)))),0))</f>
        <v> </v>
      </c>
      <c r="K214" s="317" t="str">
        <f aca="false">IF($A214="N/A"," ",IF(OR(Dayrun4=3,Dayrun4=10),VLOOKUP($A214,ScaledPrice4,9),0))</f>
        <v> </v>
      </c>
      <c r="L214" s="318" t="str">
        <f aca="false">IF($A214="N/A"," ",IF(Pricetype4=2,MAX(C214,0),IF(OR(Pricetype4=1,Pricetype4=4),IF(C214=0,0,(EURO(C214,Strikeprice4,0,0,($AH214+IF(Smile=TRUE(),VLOOKUP(MAX(-5,Strikeprice4-C214),Volsmile,2),0)),($A214-DateToday)+15,IF(Pricetype4=1,1,0),0))),C214)))</f>
        <v> </v>
      </c>
      <c r="M214" s="318" t="str">
        <f aca="false">IF($A214="N/A"," ",IF(Pricetype4=2,MAX(D214,0),IF(OR(Pricetype4=1,Pricetype4=4),IF(D214=0,0,(EURO(D214,Strikeprice4,0,0,($AH214+IF(Smile=TRUE(),VLOOKUP(MAX(-5,Strikeprice4-D214),Volsmile,2),0)),($A214-DateToday)+15,IF(Pricetype4=1,1,0),0))),D214)))</f>
        <v> </v>
      </c>
      <c r="N214" s="318" t="str">
        <f aca="false">IF($A214="N/A"," ",IF(Pricetype4=2,MAX(E214,0),IF(OR(Pricetype4=1,Pricetype4=4),IF(E214=0,0,(EURO(E214,Strikeprice4,0,0,($AK214+IF(Smile=TRUE(),VLOOKUP(MAX(-5,Strikeprice4-E214),Volsmile,2),0)),($A214-DateToday)+15,IF(Pricetype4=1,1,0),0))),E214)))</f>
        <v> </v>
      </c>
      <c r="O214" s="318" t="str">
        <f aca="false">IF($A214="N/A"," ",IF(Pricetype4=2,MAX(F214,0),IF(OR(Pricetype4=1,Pricetype4=4),IF(F214=0,0,(EURO(F214,Strikeprice4,0,0,($AK214+IF(Smile=TRUE(),VLOOKUP(MAX(-5,Strikeprice4-F214),Volsmile,2),0)),($A214-DateToday)+15,IF(Pricetype4=1,1,0),0))),F214)))</f>
        <v> </v>
      </c>
      <c r="P214" s="318" t="str">
        <f aca="false">IF($A214="N/A"," ",IF(Pricetype4=2,MAX(G214,0),IF(OR(Pricetype4=1,Pricetype4=4),IF(G214=0,0,(EURO(G214,Strikeprice4,0,0,($AK214+IF(Smile=TRUE(),VLOOKUP(MAX(-5,Strikeprice4-G214),Volsmile,2),0)),($A214-DateToday)+15,IF(Pricetype4=1,1,0),0))),G214)))</f>
        <v> </v>
      </c>
      <c r="Q214" s="318" t="str">
        <f aca="false">IF($A214="N/A"," ",IF(Pricetype4=2,MAX(H214,0),IF(OR(Pricetype4=1,Pricetype4=4),IF(H214=0,0,(EURO(H214,Strikeprice4,0,0,($AK214+IF(Smile=TRUE(),VLOOKUP(MAX(-5,Strikeprice4-H214),Volsmile,2),0)),($A214-DateToday)+15,IF(Pricetype4=1,1,0),0))),H214)))</f>
        <v> </v>
      </c>
      <c r="R214" s="318" t="str">
        <f aca="false">IF($A214="N/A"," ",IF(Pricetype4=2,MAX(I214,0),IF(OR(Pricetype4=1,Pricetype4=4),IF(I214=0,0,(EURO(I214,Strikeprice4,0,0,($AK214+IF(Smile=TRUE(),VLOOKUP(MAX(-5,Strikeprice4-I214),Volsmile,2),0)),($A214-DateToday)+15,IF(Pricetype4=1,1,0),0))),I214)))</f>
        <v> </v>
      </c>
      <c r="S214" s="318" t="str">
        <f aca="false">IF($A214="N/A"," ",IF(Pricetype4=2,MAX(J214,0),IF(OR(Pricetype4=1,Pricetype4=4),IF(J214=0,0,(EURO(J214,Strikeprice4,0,0,($AK214+IF(Smile=TRUE(),VLOOKUP(MAX(-5,Strikeprice4-J214),Volsmile,2),0)),($A214-DateToday)+15,IF(Pricetype4=1,1,0),0))),J214)))</f>
        <v> </v>
      </c>
      <c r="T214" s="318" t="str">
        <f aca="false">IF($A214="N/A"," ",IF(Pricetype4=2,MAX(K214,0),IF(OR(Pricetype4=1,Pricetype4=4),IF(K214=0,0,(EURO(K214,Strikeprice4,0,0,($AK214+IF(Smile=TRUE(),VLOOKUP(MAX(-5,Strikeprice4-K214),Volsmile,2),0)),($A214-DateToday)+15,IF(Pricetype4=1,1,0),0))),K214)))</f>
        <v> </v>
      </c>
      <c r="U214" s="319" t="str">
        <f aca="false">IF($A214="N/A"," ",Volume4*$AM214)</f>
        <v> </v>
      </c>
      <c r="V214" s="320" t="str">
        <f aca="false">IF($A214="N/A"," ",$U214*(8*($BQ214))*L214)</f>
        <v> </v>
      </c>
      <c r="W214" s="320" t="str">
        <f aca="false">IF($A214="N/A"," ",$U214*(8*($BQ214))*M214)</f>
        <v> </v>
      </c>
      <c r="X214" s="320" t="str">
        <f aca="false">IF($A214="N/A"," ",$U214*(8*($BQ214))*N214)</f>
        <v> </v>
      </c>
      <c r="Y214" s="320" t="str">
        <f aca="false">IF($A214="N/A"," ",$U214*(8*($BR214))*O214)</f>
        <v> </v>
      </c>
      <c r="Z214" s="320" t="str">
        <f aca="false">IF($A214="N/A"," ",$U214*(8*($BR214))*P214)</f>
        <v> </v>
      </c>
      <c r="AA214" s="320" t="str">
        <f aca="false">IF($A214="N/A"," ",$U214*(8*($BR214))*Q214)</f>
        <v> </v>
      </c>
      <c r="AB214" s="320" t="str">
        <f aca="false">IF($A214="N/A"," ",$U214*(8*($BS214))*R214)</f>
        <v> </v>
      </c>
      <c r="AC214" s="320" t="str">
        <f aca="false">IF($A214="N/A"," ",$U214*(8*($BS214))*S214)</f>
        <v> </v>
      </c>
      <c r="AD214" s="320" t="str">
        <f aca="false">IF($A214="N/A"," ",$U214*(8*($BS214))*T214)</f>
        <v> </v>
      </c>
      <c r="AE214" s="320" t="str">
        <f aca="false">IF($A214="N/A"," ",SUM(V214:AD214))</f>
        <v> </v>
      </c>
      <c r="AF214" s="321" t="str">
        <f aca="false">IF(A214="N/A"," ",(VLOOKUP(A214,PowerVolTable,(IF(VolBMO4=2,7,IF(VolBMO4=1,6,8))),FALSE())))</f>
        <v> </v>
      </c>
      <c r="AG214" s="321" t="str">
        <f aca="false">IF(A214="N/A"," ",(VLOOKUP(A214,IntraPowerVol,(IF(VolBMO4=2,3,IF(VolBMO4=1,2,4))),FALSE())*VLOOKUP(MONTH($A214),Volscale,2)))</f>
        <v> </v>
      </c>
      <c r="AH214" s="321" t="str">
        <f aca="false">IF($A214="N/A"," ",IF(VolType4=1,AG214,AF214))</f>
        <v> </v>
      </c>
      <c r="AI214" s="321" t="str">
        <f aca="false">IF($A214="N/A"," ",(VLOOKUP($A214,OffPwrVolTable,(IF(VolBMO4=2,7,IF(VolBMO4=1,6,8))),FALSE())))</f>
        <v> </v>
      </c>
      <c r="AJ214" s="321" t="str">
        <f aca="false">IF($A214="N/A"," ",(VLOOKUP($A214,OffPwrVolTable,(IF(VolBMO4=2,3,IF(VolBMO4=1,2,4))),FALSE())*VLOOKUP(MONTH($A214),Volscale,2)))</f>
        <v> </v>
      </c>
      <c r="AK214" s="321" t="str">
        <f aca="false">IF($A214="N/A"," ",IF(VolType4=1,AJ214,AI214))</f>
        <v> </v>
      </c>
      <c r="AL214" s="321" t="str">
        <f aca="false">IF($A214="N/A"," ",IF(PV=1,0,'Pricing Inputs4'!R247))</f>
        <v> </v>
      </c>
      <c r="AM214" s="323" t="str">
        <f aca="false">IF($A214="N/A"," ",(1+AL214/2)^(-2*((EOMONTH(A214,0)+20)-DateToday)/365.25))</f>
        <v> </v>
      </c>
      <c r="BQ214" s="0" t="str">
        <f aca="false">IF($A214="N/A"," ",(VLOOKUP($A214,NumberofDaysTable,2)))</f>
        <v> </v>
      </c>
      <c r="BR214" s="0" t="str">
        <f aca="false">IF($A214="N/A"," ",(VLOOKUP($A214,NumberofDaysTable,3)))</f>
        <v> </v>
      </c>
      <c r="BS214" s="0" t="str">
        <f aca="false">IF($A214="N/A"," ",(VLOOKUP($A214,NumberofDaysTable,4)))</f>
        <v> </v>
      </c>
    </row>
    <row r="215" customFormat="false" ht="12.75" hidden="false" customHeight="false" outlineLevel="0" collapsed="false">
      <c r="A215" s="315" t="str">
        <f aca="false">IF(A214="N/A","N/A",IF(EDATE(A214,1)&gt;Inputs!$R$5,"N/A",EDATE(A214,1)))</f>
        <v>N/A</v>
      </c>
      <c r="B215" s="316" t="str">
        <f aca="false">IF(A215="N/A"," ",YEAR(A215))</f>
        <v> </v>
      </c>
      <c r="C215" s="317" t="str">
        <f aca="false">IF($A215="N/A"," ",IF(Dayrun4=10,0,IF(Scaler4=1,(VLOOKUP(A215,ScaledPrice4,4)),(VLOOKUP(A215,ScaledPrice4,2)))))</f>
        <v> </v>
      </c>
      <c r="D215" s="317" t="str">
        <f aca="false">IF(A215="N/A"," ",IF(Dayrun4&gt;=7,0,IF(Scaler4=2,VLOOKUP(A215,ScaledPrice4,2),(VLOOKUP(A215,ScaledPrice4,2))*(2-(VLOOKUP(A215,ScaledPrice4,3))))))</f>
        <v> </v>
      </c>
      <c r="E215" s="317" t="str">
        <f aca="false">IF($A215="N/A"," ",IF(AND(Dayrun4&gt;=4,Dayrun4&lt;=9),0,VLOOKUP($A215,ScaledPrice4,9)))</f>
        <v> </v>
      </c>
      <c r="F215" s="317" t="str">
        <f aca="false">IF(A215="N/A"," ",IF(OR(Dayrun4=2,Dayrun4=3,Dayrun4=5,Dayrun4=6,Dayrun4=8,Dayrun4=9),VLOOKUP(A215,ScaledPrice4,IF(Scaler4=1,6,5)),0))</f>
        <v> </v>
      </c>
      <c r="G215" s="317" t="str">
        <f aca="false">IF(A215="N/A"," ",IF(OR(Dayrun4=2,Dayrun4=3,Dayrun4=5,Dayrun4=6),IF(Scaler4=2,F215,(VLOOKUP(A215,ScaledPrice4,5))*(2-(VLOOKUP(A215,ScaledPrice4,3)))),0))</f>
        <v> </v>
      </c>
      <c r="H215" s="317" t="str">
        <f aca="false">IF($A215="N/A"," ",IF(OR(Dayrun4=2,Dayrun4=3,Dayrun4=10),VLOOKUP($A215,ScaledPrice4,9),0))</f>
        <v> </v>
      </c>
      <c r="I215" s="317" t="str">
        <f aca="false">IF(A215="N/A"," ",IF(OR(Dayrun4=3,Dayrun4=6,Dayrun4=9),(VLOOKUP(A215,ScaledPrice4,IF(Scaler4=2,7,8))),0))</f>
        <v> </v>
      </c>
      <c r="J215" s="317" t="str">
        <f aca="false">IF(A215="N/A"," ",IF(OR(Dayrun4=3,Dayrun4=6),IF(Scaler4=2,I215,(VLOOKUP(A215,ScaledPrice4,7))*(2-(VLOOKUP(A215,ScaledPrice4,3)))),0))</f>
        <v> </v>
      </c>
      <c r="K215" s="317" t="str">
        <f aca="false">IF($A215="N/A"," ",IF(OR(Dayrun4=3,Dayrun4=10),VLOOKUP($A215,ScaledPrice4,9),0))</f>
        <v> </v>
      </c>
      <c r="L215" s="318" t="str">
        <f aca="false">IF($A215="N/A"," ",IF(Pricetype4=2,MAX(C215,0),IF(OR(Pricetype4=1,Pricetype4=4),IF(C215=0,0,(EURO(C215,Strikeprice4,0,0,($AH215+IF(Smile=TRUE(),VLOOKUP(MAX(-5,Strikeprice4-C215),Volsmile,2),0)),($A215-DateToday)+15,IF(Pricetype4=1,1,0),0))),C215)))</f>
        <v> </v>
      </c>
      <c r="M215" s="318" t="str">
        <f aca="false">IF($A215="N/A"," ",IF(Pricetype4=2,MAX(D215,0),IF(OR(Pricetype4=1,Pricetype4=4),IF(D215=0,0,(EURO(D215,Strikeprice4,0,0,($AH215+IF(Smile=TRUE(),VLOOKUP(MAX(-5,Strikeprice4-D215),Volsmile,2),0)),($A215-DateToday)+15,IF(Pricetype4=1,1,0),0))),D215)))</f>
        <v> </v>
      </c>
      <c r="N215" s="318" t="str">
        <f aca="false">IF($A215="N/A"," ",IF(Pricetype4=2,MAX(E215,0),IF(OR(Pricetype4=1,Pricetype4=4),IF(E215=0,0,(EURO(E215,Strikeprice4,0,0,($AK215+IF(Smile=TRUE(),VLOOKUP(MAX(-5,Strikeprice4-E215),Volsmile,2),0)),($A215-DateToday)+15,IF(Pricetype4=1,1,0),0))),E215)))</f>
        <v> </v>
      </c>
      <c r="O215" s="318" t="str">
        <f aca="false">IF($A215="N/A"," ",IF(Pricetype4=2,MAX(F215,0),IF(OR(Pricetype4=1,Pricetype4=4),IF(F215=0,0,(EURO(F215,Strikeprice4,0,0,($AK215+IF(Smile=TRUE(),VLOOKUP(MAX(-5,Strikeprice4-F215),Volsmile,2),0)),($A215-DateToday)+15,IF(Pricetype4=1,1,0),0))),F215)))</f>
        <v> </v>
      </c>
      <c r="P215" s="318" t="str">
        <f aca="false">IF($A215="N/A"," ",IF(Pricetype4=2,MAX(G215,0),IF(OR(Pricetype4=1,Pricetype4=4),IF(G215=0,0,(EURO(G215,Strikeprice4,0,0,($AK215+IF(Smile=TRUE(),VLOOKUP(MAX(-5,Strikeprice4-G215),Volsmile,2),0)),($A215-DateToday)+15,IF(Pricetype4=1,1,0),0))),G215)))</f>
        <v> </v>
      </c>
      <c r="Q215" s="318" t="str">
        <f aca="false">IF($A215="N/A"," ",IF(Pricetype4=2,MAX(H215,0),IF(OR(Pricetype4=1,Pricetype4=4),IF(H215=0,0,(EURO(H215,Strikeprice4,0,0,($AK215+IF(Smile=TRUE(),VLOOKUP(MAX(-5,Strikeprice4-H215),Volsmile,2),0)),($A215-DateToday)+15,IF(Pricetype4=1,1,0),0))),H215)))</f>
        <v> </v>
      </c>
      <c r="R215" s="318" t="str">
        <f aca="false">IF($A215="N/A"," ",IF(Pricetype4=2,MAX(I215,0),IF(OR(Pricetype4=1,Pricetype4=4),IF(I215=0,0,(EURO(I215,Strikeprice4,0,0,($AK215+IF(Smile=TRUE(),VLOOKUP(MAX(-5,Strikeprice4-I215),Volsmile,2),0)),($A215-DateToday)+15,IF(Pricetype4=1,1,0),0))),I215)))</f>
        <v> </v>
      </c>
      <c r="S215" s="318" t="str">
        <f aca="false">IF($A215="N/A"," ",IF(Pricetype4=2,MAX(J215,0),IF(OR(Pricetype4=1,Pricetype4=4),IF(J215=0,0,(EURO(J215,Strikeprice4,0,0,($AK215+IF(Smile=TRUE(),VLOOKUP(MAX(-5,Strikeprice4-J215),Volsmile,2),0)),($A215-DateToday)+15,IF(Pricetype4=1,1,0),0))),J215)))</f>
        <v> </v>
      </c>
      <c r="T215" s="318" t="str">
        <f aca="false">IF($A215="N/A"," ",IF(Pricetype4=2,MAX(K215,0),IF(OR(Pricetype4=1,Pricetype4=4),IF(K215=0,0,(EURO(K215,Strikeprice4,0,0,($AK215+IF(Smile=TRUE(),VLOOKUP(MAX(-5,Strikeprice4-K215),Volsmile,2),0)),($A215-DateToday)+15,IF(Pricetype4=1,1,0),0))),K215)))</f>
        <v> </v>
      </c>
      <c r="U215" s="319" t="str">
        <f aca="false">IF($A215="N/A"," ",Volume4*$AM215)</f>
        <v> </v>
      </c>
      <c r="V215" s="320" t="str">
        <f aca="false">IF($A215="N/A"," ",$U215*(8*($BQ215))*L215)</f>
        <v> </v>
      </c>
      <c r="W215" s="320" t="str">
        <f aca="false">IF($A215="N/A"," ",$U215*(8*($BQ215))*M215)</f>
        <v> </v>
      </c>
      <c r="X215" s="320" t="str">
        <f aca="false">IF($A215="N/A"," ",$U215*(8*($BQ215))*N215)</f>
        <v> </v>
      </c>
      <c r="Y215" s="320" t="str">
        <f aca="false">IF($A215="N/A"," ",$U215*(8*($BR215))*O215)</f>
        <v> </v>
      </c>
      <c r="Z215" s="320" t="str">
        <f aca="false">IF($A215="N/A"," ",$U215*(8*($BR215))*P215)</f>
        <v> </v>
      </c>
      <c r="AA215" s="320" t="str">
        <f aca="false">IF($A215="N/A"," ",$U215*(8*($BR215))*Q215)</f>
        <v> </v>
      </c>
      <c r="AB215" s="320" t="str">
        <f aca="false">IF($A215="N/A"," ",$U215*(8*($BS215))*R215)</f>
        <v> </v>
      </c>
      <c r="AC215" s="320" t="str">
        <f aca="false">IF($A215="N/A"," ",$U215*(8*($BS215))*S215)</f>
        <v> </v>
      </c>
      <c r="AD215" s="320" t="str">
        <f aca="false">IF($A215="N/A"," ",$U215*(8*($BS215))*T215)</f>
        <v> </v>
      </c>
      <c r="AE215" s="320" t="str">
        <f aca="false">IF($A215="N/A"," ",SUM(V215:AD215))</f>
        <v> </v>
      </c>
      <c r="AF215" s="321" t="str">
        <f aca="false">IF(A215="N/A"," ",(VLOOKUP(A215,PowerVolTable,(IF(VolBMO4=2,7,IF(VolBMO4=1,6,8))),FALSE())))</f>
        <v> </v>
      </c>
      <c r="AG215" s="321" t="str">
        <f aca="false">IF(A215="N/A"," ",(VLOOKUP(A215,IntraPowerVol,(IF(VolBMO4=2,3,IF(VolBMO4=1,2,4))),FALSE())*VLOOKUP(MONTH($A215),Volscale,2)))</f>
        <v> </v>
      </c>
      <c r="AH215" s="321" t="str">
        <f aca="false">IF($A215="N/A"," ",IF(VolType4=1,AG215,AF215))</f>
        <v> </v>
      </c>
      <c r="AI215" s="321" t="str">
        <f aca="false">IF($A215="N/A"," ",(VLOOKUP($A215,OffPwrVolTable,(IF(VolBMO4=2,7,IF(VolBMO4=1,6,8))),FALSE())))</f>
        <v> </v>
      </c>
      <c r="AJ215" s="321" t="str">
        <f aca="false">IF($A215="N/A"," ",(VLOOKUP($A215,OffPwrVolTable,(IF(VolBMO4=2,3,IF(VolBMO4=1,2,4))),FALSE())*VLOOKUP(MONTH($A215),Volscale,2)))</f>
        <v> </v>
      </c>
      <c r="AK215" s="321" t="str">
        <f aca="false">IF($A215="N/A"," ",IF(VolType4=1,AJ215,AI215))</f>
        <v> </v>
      </c>
      <c r="AL215" s="321" t="str">
        <f aca="false">IF($A215="N/A"," ",IF(PV=1,0,'Pricing Inputs4'!R248))</f>
        <v> </v>
      </c>
      <c r="AM215" s="323" t="str">
        <f aca="false">IF($A215="N/A"," ",(1+AL215/2)^(-2*((EOMONTH(A215,0)+20)-DateToday)/365.25))</f>
        <v> </v>
      </c>
      <c r="BQ215" s="0" t="str">
        <f aca="false">IF($A215="N/A"," ",(VLOOKUP($A215,NumberofDaysTable,2)))</f>
        <v> </v>
      </c>
      <c r="BR215" s="0" t="str">
        <f aca="false">IF($A215="N/A"," ",(VLOOKUP($A215,NumberofDaysTable,3)))</f>
        <v> </v>
      </c>
      <c r="BS215" s="0" t="str">
        <f aca="false">IF($A215="N/A"," ",(VLOOKUP($A215,NumberofDaysTable,4)))</f>
        <v> </v>
      </c>
    </row>
    <row r="216" customFormat="false" ht="12.75" hidden="false" customHeight="false" outlineLevel="0" collapsed="false">
      <c r="A216" s="315" t="str">
        <f aca="false">IF(A215="N/A","N/A",IF(EDATE(A215,1)&gt;Inputs!$R$5,"N/A",EDATE(A215,1)))</f>
        <v>N/A</v>
      </c>
      <c r="B216" s="316" t="str">
        <f aca="false">IF(A216="N/A"," ",YEAR(A216))</f>
        <v> </v>
      </c>
      <c r="C216" s="317" t="str">
        <f aca="false">IF($A216="N/A"," ",IF(Dayrun4=10,0,IF(Scaler4=1,(VLOOKUP(A216,ScaledPrice4,4)),(VLOOKUP(A216,ScaledPrice4,2)))))</f>
        <v> </v>
      </c>
      <c r="D216" s="317" t="str">
        <f aca="false">IF(A216="N/A"," ",IF(Dayrun4&gt;=7,0,IF(Scaler4=2,VLOOKUP(A216,ScaledPrice4,2),(VLOOKUP(A216,ScaledPrice4,2))*(2-(VLOOKUP(A216,ScaledPrice4,3))))))</f>
        <v> </v>
      </c>
      <c r="E216" s="317" t="str">
        <f aca="false">IF($A216="N/A"," ",IF(AND(Dayrun4&gt;=4,Dayrun4&lt;=9),0,VLOOKUP($A216,ScaledPrice4,9)))</f>
        <v> </v>
      </c>
      <c r="F216" s="317" t="str">
        <f aca="false">IF(A216="N/A"," ",IF(OR(Dayrun4=2,Dayrun4=3,Dayrun4=5,Dayrun4=6,Dayrun4=8,Dayrun4=9),VLOOKUP(A216,ScaledPrice4,IF(Scaler4=1,6,5)),0))</f>
        <v> </v>
      </c>
      <c r="G216" s="317" t="str">
        <f aca="false">IF(A216="N/A"," ",IF(OR(Dayrun4=2,Dayrun4=3,Dayrun4=5,Dayrun4=6),IF(Scaler4=2,F216,(VLOOKUP(A216,ScaledPrice4,5))*(2-(VLOOKUP(A216,ScaledPrice4,3)))),0))</f>
        <v> </v>
      </c>
      <c r="H216" s="317" t="str">
        <f aca="false">IF($A216="N/A"," ",IF(OR(Dayrun4=2,Dayrun4=3,Dayrun4=10),VLOOKUP($A216,ScaledPrice4,9),0))</f>
        <v> </v>
      </c>
      <c r="I216" s="317" t="str">
        <f aca="false">IF(A216="N/A"," ",IF(OR(Dayrun4=3,Dayrun4=6,Dayrun4=9),(VLOOKUP(A216,ScaledPrice4,IF(Scaler4=2,7,8))),0))</f>
        <v> </v>
      </c>
      <c r="J216" s="317" t="str">
        <f aca="false">IF(A216="N/A"," ",IF(OR(Dayrun4=3,Dayrun4=6),IF(Scaler4=2,I216,(VLOOKUP(A216,ScaledPrice4,7))*(2-(VLOOKUP(A216,ScaledPrice4,3)))),0))</f>
        <v> </v>
      </c>
      <c r="K216" s="317" t="str">
        <f aca="false">IF($A216="N/A"," ",IF(OR(Dayrun4=3,Dayrun4=10),VLOOKUP($A216,ScaledPrice4,9),0))</f>
        <v> </v>
      </c>
      <c r="L216" s="318" t="str">
        <f aca="false">IF($A216="N/A"," ",IF(Pricetype4=2,MAX(C216,0),IF(OR(Pricetype4=1,Pricetype4=4),IF(C216=0,0,(EURO(C216,Strikeprice4,0,0,($AH216+IF(Smile=TRUE(),VLOOKUP(MAX(-5,Strikeprice4-C216),Volsmile,2),0)),($A216-DateToday)+15,IF(Pricetype4=1,1,0),0))),C216)))</f>
        <v> </v>
      </c>
      <c r="M216" s="318" t="str">
        <f aca="false">IF($A216="N/A"," ",IF(Pricetype4=2,MAX(D216,0),IF(OR(Pricetype4=1,Pricetype4=4),IF(D216=0,0,(EURO(D216,Strikeprice4,0,0,($AH216+IF(Smile=TRUE(),VLOOKUP(MAX(-5,Strikeprice4-D216),Volsmile,2),0)),($A216-DateToday)+15,IF(Pricetype4=1,1,0),0))),D216)))</f>
        <v> </v>
      </c>
      <c r="N216" s="318" t="str">
        <f aca="false">IF($A216="N/A"," ",IF(Pricetype4=2,MAX(E216,0),IF(OR(Pricetype4=1,Pricetype4=4),IF(E216=0,0,(EURO(E216,Strikeprice4,0,0,($AK216+IF(Smile=TRUE(),VLOOKUP(MAX(-5,Strikeprice4-E216),Volsmile,2),0)),($A216-DateToday)+15,IF(Pricetype4=1,1,0),0))),E216)))</f>
        <v> </v>
      </c>
      <c r="O216" s="318" t="str">
        <f aca="false">IF($A216="N/A"," ",IF(Pricetype4=2,MAX(F216,0),IF(OR(Pricetype4=1,Pricetype4=4),IF(F216=0,0,(EURO(F216,Strikeprice4,0,0,($AK216+IF(Smile=TRUE(),VLOOKUP(MAX(-5,Strikeprice4-F216),Volsmile,2),0)),($A216-DateToday)+15,IF(Pricetype4=1,1,0),0))),F216)))</f>
        <v> </v>
      </c>
      <c r="P216" s="318" t="str">
        <f aca="false">IF($A216="N/A"," ",IF(Pricetype4=2,MAX(G216,0),IF(OR(Pricetype4=1,Pricetype4=4),IF(G216=0,0,(EURO(G216,Strikeprice4,0,0,($AK216+IF(Smile=TRUE(),VLOOKUP(MAX(-5,Strikeprice4-G216),Volsmile,2),0)),($A216-DateToday)+15,IF(Pricetype4=1,1,0),0))),G216)))</f>
        <v> </v>
      </c>
      <c r="Q216" s="318" t="str">
        <f aca="false">IF($A216="N/A"," ",IF(Pricetype4=2,MAX(H216,0),IF(OR(Pricetype4=1,Pricetype4=4),IF(H216=0,0,(EURO(H216,Strikeprice4,0,0,($AK216+IF(Smile=TRUE(),VLOOKUP(MAX(-5,Strikeprice4-H216),Volsmile,2),0)),($A216-DateToday)+15,IF(Pricetype4=1,1,0),0))),H216)))</f>
        <v> </v>
      </c>
      <c r="R216" s="318" t="str">
        <f aca="false">IF($A216="N/A"," ",IF(Pricetype4=2,MAX(I216,0),IF(OR(Pricetype4=1,Pricetype4=4),IF(I216=0,0,(EURO(I216,Strikeprice4,0,0,($AK216+IF(Smile=TRUE(),VLOOKUP(MAX(-5,Strikeprice4-I216),Volsmile,2),0)),($A216-DateToday)+15,IF(Pricetype4=1,1,0),0))),I216)))</f>
        <v> </v>
      </c>
      <c r="S216" s="318" t="str">
        <f aca="false">IF($A216="N/A"," ",IF(Pricetype4=2,MAX(J216,0),IF(OR(Pricetype4=1,Pricetype4=4),IF(J216=0,0,(EURO(J216,Strikeprice4,0,0,($AK216+IF(Smile=TRUE(),VLOOKUP(MAX(-5,Strikeprice4-J216),Volsmile,2),0)),($A216-DateToday)+15,IF(Pricetype4=1,1,0),0))),J216)))</f>
        <v> </v>
      </c>
      <c r="T216" s="318" t="str">
        <f aca="false">IF($A216="N/A"," ",IF(Pricetype4=2,MAX(K216,0),IF(OR(Pricetype4=1,Pricetype4=4),IF(K216=0,0,(EURO(K216,Strikeprice4,0,0,($AK216+IF(Smile=TRUE(),VLOOKUP(MAX(-5,Strikeprice4-K216),Volsmile,2),0)),($A216-DateToday)+15,IF(Pricetype4=1,1,0),0))),K216)))</f>
        <v> </v>
      </c>
      <c r="U216" s="319" t="str">
        <f aca="false">IF($A216="N/A"," ",Volume4*$AM216)</f>
        <v> </v>
      </c>
      <c r="V216" s="320" t="str">
        <f aca="false">IF($A216="N/A"," ",$U216*(8*($BQ216))*L216)</f>
        <v> </v>
      </c>
      <c r="W216" s="320" t="str">
        <f aca="false">IF($A216="N/A"," ",$U216*(8*($BQ216))*M216)</f>
        <v> </v>
      </c>
      <c r="X216" s="320" t="str">
        <f aca="false">IF($A216="N/A"," ",$U216*(8*($BQ216))*N216)</f>
        <v> </v>
      </c>
      <c r="Y216" s="320" t="str">
        <f aca="false">IF($A216="N/A"," ",$U216*(8*($BR216))*O216)</f>
        <v> </v>
      </c>
      <c r="Z216" s="320" t="str">
        <f aca="false">IF($A216="N/A"," ",$U216*(8*($BR216))*P216)</f>
        <v> </v>
      </c>
      <c r="AA216" s="320" t="str">
        <f aca="false">IF($A216="N/A"," ",$U216*(8*($BR216))*Q216)</f>
        <v> </v>
      </c>
      <c r="AB216" s="320" t="str">
        <f aca="false">IF($A216="N/A"," ",$U216*(8*($BS216))*R216)</f>
        <v> </v>
      </c>
      <c r="AC216" s="320" t="str">
        <f aca="false">IF($A216="N/A"," ",$U216*(8*($BS216))*S216)</f>
        <v> </v>
      </c>
      <c r="AD216" s="320" t="str">
        <f aca="false">IF($A216="N/A"," ",$U216*(8*($BS216))*T216)</f>
        <v> </v>
      </c>
      <c r="AE216" s="320" t="str">
        <f aca="false">IF($A216="N/A"," ",SUM(V216:AD216))</f>
        <v> </v>
      </c>
      <c r="AF216" s="321" t="str">
        <f aca="false">IF(A216="N/A"," ",(VLOOKUP(A216,PowerVolTable,(IF(VolBMO4=2,7,IF(VolBMO4=1,6,8))),FALSE())))</f>
        <v> </v>
      </c>
      <c r="AG216" s="321" t="str">
        <f aca="false">IF(A216="N/A"," ",(VLOOKUP(A216,IntraPowerVol,(IF(VolBMO4=2,3,IF(VolBMO4=1,2,4))),FALSE())*VLOOKUP(MONTH($A216),Volscale,2)))</f>
        <v> </v>
      </c>
      <c r="AH216" s="321" t="str">
        <f aca="false">IF($A216="N/A"," ",IF(VolType4=1,AG216,AF216))</f>
        <v> </v>
      </c>
      <c r="AI216" s="321" t="str">
        <f aca="false">IF($A216="N/A"," ",(VLOOKUP($A216,OffPwrVolTable,(IF(VolBMO4=2,7,IF(VolBMO4=1,6,8))),FALSE())))</f>
        <v> </v>
      </c>
      <c r="AJ216" s="321" t="str">
        <f aca="false">IF($A216="N/A"," ",(VLOOKUP($A216,OffPwrVolTable,(IF(VolBMO4=2,3,IF(VolBMO4=1,2,4))),FALSE())*VLOOKUP(MONTH($A216),Volscale,2)))</f>
        <v> </v>
      </c>
      <c r="AK216" s="321" t="str">
        <f aca="false">IF($A216="N/A"," ",IF(VolType4=1,AJ216,AI216))</f>
        <v> </v>
      </c>
      <c r="AL216" s="321" t="str">
        <f aca="false">IF($A216="N/A"," ",IF(PV=1,0,'Pricing Inputs4'!R249))</f>
        <v> </v>
      </c>
      <c r="AM216" s="323" t="str">
        <f aca="false">IF($A216="N/A"," ",(1+AL216/2)^(-2*((EOMONTH(A216,0)+20)-DateToday)/365.25))</f>
        <v> </v>
      </c>
      <c r="BQ216" s="0" t="str">
        <f aca="false">IF($A216="N/A"," ",(VLOOKUP($A216,NumberofDaysTable,2)))</f>
        <v> </v>
      </c>
      <c r="BR216" s="0" t="str">
        <f aca="false">IF($A216="N/A"," ",(VLOOKUP($A216,NumberofDaysTable,3)))</f>
        <v> </v>
      </c>
      <c r="BS216" s="0" t="str">
        <f aca="false">IF($A216="N/A"," ",(VLOOKUP($A216,NumberofDaysTable,4)))</f>
        <v> </v>
      </c>
    </row>
    <row r="217" customFormat="false" ht="12.75" hidden="false" customHeight="false" outlineLevel="0" collapsed="false">
      <c r="A217" s="315" t="str">
        <f aca="false">IF(A216="N/A","N/A",IF(EDATE(A216,1)&gt;Inputs!$R$5,"N/A",EDATE(A216,1)))</f>
        <v>N/A</v>
      </c>
      <c r="B217" s="316" t="str">
        <f aca="false">IF(A217="N/A"," ",YEAR(A217))</f>
        <v> </v>
      </c>
      <c r="C217" s="317" t="str">
        <f aca="false">IF($A217="N/A"," ",IF(Dayrun4=10,0,IF(Scaler4=1,(VLOOKUP(A217,ScaledPrice4,4)),(VLOOKUP(A217,ScaledPrice4,2)))))</f>
        <v> </v>
      </c>
      <c r="D217" s="317" t="str">
        <f aca="false">IF(A217="N/A"," ",IF(Dayrun4&gt;=7,0,IF(Scaler4=2,VLOOKUP(A217,ScaledPrice4,2),(VLOOKUP(A217,ScaledPrice4,2))*(2-(VLOOKUP(A217,ScaledPrice4,3))))))</f>
        <v> </v>
      </c>
      <c r="E217" s="317" t="str">
        <f aca="false">IF($A217="N/A"," ",IF(AND(Dayrun4&gt;=4,Dayrun4&lt;=9),0,VLOOKUP($A217,ScaledPrice4,9)))</f>
        <v> </v>
      </c>
      <c r="F217" s="317" t="str">
        <f aca="false">IF(A217="N/A"," ",IF(OR(Dayrun4=2,Dayrun4=3,Dayrun4=5,Dayrun4=6,Dayrun4=8,Dayrun4=9),VLOOKUP(A217,ScaledPrice4,IF(Scaler4=1,6,5)),0))</f>
        <v> </v>
      </c>
      <c r="G217" s="317" t="str">
        <f aca="false">IF(A217="N/A"," ",IF(OR(Dayrun4=2,Dayrun4=3,Dayrun4=5,Dayrun4=6),IF(Scaler4=2,F217,(VLOOKUP(A217,ScaledPrice4,5))*(2-(VLOOKUP(A217,ScaledPrice4,3)))),0))</f>
        <v> </v>
      </c>
      <c r="H217" s="317" t="str">
        <f aca="false">IF($A217="N/A"," ",IF(OR(Dayrun4=2,Dayrun4=3,Dayrun4=10),VLOOKUP($A217,ScaledPrice4,9),0))</f>
        <v> </v>
      </c>
      <c r="I217" s="317" t="str">
        <f aca="false">IF(A217="N/A"," ",IF(OR(Dayrun4=3,Dayrun4=6,Dayrun4=9),(VLOOKUP(A217,ScaledPrice4,IF(Scaler4=2,7,8))),0))</f>
        <v> </v>
      </c>
      <c r="J217" s="317" t="str">
        <f aca="false">IF(A217="N/A"," ",IF(OR(Dayrun4=3,Dayrun4=6),IF(Scaler4=2,I217,(VLOOKUP(A217,ScaledPrice4,7))*(2-(VLOOKUP(A217,ScaledPrice4,3)))),0))</f>
        <v> </v>
      </c>
      <c r="K217" s="317" t="str">
        <f aca="false">IF($A217="N/A"," ",IF(OR(Dayrun4=3,Dayrun4=10),VLOOKUP($A217,ScaledPrice4,9),0))</f>
        <v> </v>
      </c>
      <c r="L217" s="318" t="str">
        <f aca="false">IF($A217="N/A"," ",IF(Pricetype4=2,MAX(C217,0),IF(OR(Pricetype4=1,Pricetype4=4),IF(C217=0,0,(EURO(C217,Strikeprice4,0,0,($AH217+IF(Smile=TRUE(),VLOOKUP(MAX(-5,Strikeprice4-C217),Volsmile,2),0)),($A217-DateToday)+15,IF(Pricetype4=1,1,0),0))),C217)))</f>
        <v> </v>
      </c>
      <c r="M217" s="318" t="str">
        <f aca="false">IF($A217="N/A"," ",IF(Pricetype4=2,MAX(D217,0),IF(OR(Pricetype4=1,Pricetype4=4),IF(D217=0,0,(EURO(D217,Strikeprice4,0,0,($AH217+IF(Smile=TRUE(),VLOOKUP(MAX(-5,Strikeprice4-D217),Volsmile,2),0)),($A217-DateToday)+15,IF(Pricetype4=1,1,0),0))),D217)))</f>
        <v> </v>
      </c>
      <c r="N217" s="318" t="str">
        <f aca="false">IF($A217="N/A"," ",IF(Pricetype4=2,MAX(E217,0),IF(OR(Pricetype4=1,Pricetype4=4),IF(E217=0,0,(EURO(E217,Strikeprice4,0,0,($AK217+IF(Smile=TRUE(),VLOOKUP(MAX(-5,Strikeprice4-E217),Volsmile,2),0)),($A217-DateToday)+15,IF(Pricetype4=1,1,0),0))),E217)))</f>
        <v> </v>
      </c>
      <c r="O217" s="318" t="str">
        <f aca="false">IF($A217="N/A"," ",IF(Pricetype4=2,MAX(F217,0),IF(OR(Pricetype4=1,Pricetype4=4),IF(F217=0,0,(EURO(F217,Strikeprice4,0,0,($AK217+IF(Smile=TRUE(),VLOOKUP(MAX(-5,Strikeprice4-F217),Volsmile,2),0)),($A217-DateToday)+15,IF(Pricetype4=1,1,0),0))),F217)))</f>
        <v> </v>
      </c>
      <c r="P217" s="318" t="str">
        <f aca="false">IF($A217="N/A"," ",IF(Pricetype4=2,MAX(G217,0),IF(OR(Pricetype4=1,Pricetype4=4),IF(G217=0,0,(EURO(G217,Strikeprice4,0,0,($AK217+IF(Smile=TRUE(),VLOOKUP(MAX(-5,Strikeprice4-G217),Volsmile,2),0)),($A217-DateToday)+15,IF(Pricetype4=1,1,0),0))),G217)))</f>
        <v> </v>
      </c>
      <c r="Q217" s="318" t="str">
        <f aca="false">IF($A217="N/A"," ",IF(Pricetype4=2,MAX(H217,0),IF(OR(Pricetype4=1,Pricetype4=4),IF(H217=0,0,(EURO(H217,Strikeprice4,0,0,($AK217+IF(Smile=TRUE(),VLOOKUP(MAX(-5,Strikeprice4-H217),Volsmile,2),0)),($A217-DateToday)+15,IF(Pricetype4=1,1,0),0))),H217)))</f>
        <v> </v>
      </c>
      <c r="R217" s="318" t="str">
        <f aca="false">IF($A217="N/A"," ",IF(Pricetype4=2,MAX(I217,0),IF(OR(Pricetype4=1,Pricetype4=4),IF(I217=0,0,(EURO(I217,Strikeprice4,0,0,($AK217+IF(Smile=TRUE(),VLOOKUP(MAX(-5,Strikeprice4-I217),Volsmile,2),0)),($A217-DateToday)+15,IF(Pricetype4=1,1,0),0))),I217)))</f>
        <v> </v>
      </c>
      <c r="S217" s="318" t="str">
        <f aca="false">IF($A217="N/A"," ",IF(Pricetype4=2,MAX(J217,0),IF(OR(Pricetype4=1,Pricetype4=4),IF(J217=0,0,(EURO(J217,Strikeprice4,0,0,($AK217+IF(Smile=TRUE(),VLOOKUP(MAX(-5,Strikeprice4-J217),Volsmile,2),0)),($A217-DateToday)+15,IF(Pricetype4=1,1,0),0))),J217)))</f>
        <v> </v>
      </c>
      <c r="T217" s="318" t="str">
        <f aca="false">IF($A217="N/A"," ",IF(Pricetype4=2,MAX(K217,0),IF(OR(Pricetype4=1,Pricetype4=4),IF(K217=0,0,(EURO(K217,Strikeprice4,0,0,($AK217+IF(Smile=TRUE(),VLOOKUP(MAX(-5,Strikeprice4-K217),Volsmile,2),0)),($A217-DateToday)+15,IF(Pricetype4=1,1,0),0))),K217)))</f>
        <v> </v>
      </c>
      <c r="U217" s="319" t="str">
        <f aca="false">IF($A217="N/A"," ",Volume4*$AM217)</f>
        <v> </v>
      </c>
      <c r="V217" s="320" t="str">
        <f aca="false">IF($A217="N/A"," ",$U217*(8*($BQ217))*L217)</f>
        <v> </v>
      </c>
      <c r="W217" s="320" t="str">
        <f aca="false">IF($A217="N/A"," ",$U217*(8*($BQ217))*M217)</f>
        <v> </v>
      </c>
      <c r="X217" s="320" t="str">
        <f aca="false">IF($A217="N/A"," ",$U217*(8*($BQ217))*N217)</f>
        <v> </v>
      </c>
      <c r="Y217" s="320" t="str">
        <f aca="false">IF($A217="N/A"," ",$U217*(8*($BR217))*O217)</f>
        <v> </v>
      </c>
      <c r="Z217" s="320" t="str">
        <f aca="false">IF($A217="N/A"," ",$U217*(8*($BR217))*P217)</f>
        <v> </v>
      </c>
      <c r="AA217" s="320" t="str">
        <f aca="false">IF($A217="N/A"," ",$U217*(8*($BR217))*Q217)</f>
        <v> </v>
      </c>
      <c r="AB217" s="320" t="str">
        <f aca="false">IF($A217="N/A"," ",$U217*(8*($BS217))*R217)</f>
        <v> </v>
      </c>
      <c r="AC217" s="320" t="str">
        <f aca="false">IF($A217="N/A"," ",$U217*(8*($BS217))*S217)</f>
        <v> </v>
      </c>
      <c r="AD217" s="320" t="str">
        <f aca="false">IF($A217="N/A"," ",$U217*(8*($BS217))*T217)</f>
        <v> </v>
      </c>
      <c r="AE217" s="320" t="str">
        <f aca="false">IF($A217="N/A"," ",SUM(V217:AD217))</f>
        <v> </v>
      </c>
      <c r="AF217" s="321" t="str">
        <f aca="false">IF(A217="N/A"," ",(VLOOKUP(A217,PowerVolTable,(IF(VolBMO4=2,7,IF(VolBMO4=1,6,8))),FALSE())))</f>
        <v> </v>
      </c>
      <c r="AG217" s="321" t="str">
        <f aca="false">IF(A217="N/A"," ",(VLOOKUP(A217,IntraPowerVol,(IF(VolBMO4=2,3,IF(VolBMO4=1,2,4))),FALSE())*VLOOKUP(MONTH($A217),Volscale,2)))</f>
        <v> </v>
      </c>
      <c r="AH217" s="321" t="str">
        <f aca="false">IF($A217="N/A"," ",IF(VolType4=1,AG217,AF217))</f>
        <v> </v>
      </c>
      <c r="AI217" s="321" t="str">
        <f aca="false">IF($A217="N/A"," ",(VLOOKUP($A217,OffPwrVolTable,(IF(VolBMO4=2,7,IF(VolBMO4=1,6,8))),FALSE())))</f>
        <v> </v>
      </c>
      <c r="AJ217" s="321" t="str">
        <f aca="false">IF($A217="N/A"," ",(VLOOKUP($A217,OffPwrVolTable,(IF(VolBMO4=2,3,IF(VolBMO4=1,2,4))),FALSE())*VLOOKUP(MONTH($A217),Volscale,2)))</f>
        <v> </v>
      </c>
      <c r="AK217" s="321" t="str">
        <f aca="false">IF($A217="N/A"," ",IF(VolType4=1,AJ217,AI217))</f>
        <v> </v>
      </c>
      <c r="AL217" s="321" t="str">
        <f aca="false">IF($A217="N/A"," ",IF(PV=1,0,'Pricing Inputs4'!R250))</f>
        <v> </v>
      </c>
      <c r="AM217" s="323" t="str">
        <f aca="false">IF($A217="N/A"," ",(1+AL217/2)^(-2*((EOMONTH(A217,0)+20)-DateToday)/365.25))</f>
        <v> </v>
      </c>
      <c r="BQ217" s="0" t="str">
        <f aca="false">IF($A217="N/A"," ",(VLOOKUP($A217,NumberofDaysTable,2)))</f>
        <v> </v>
      </c>
      <c r="BR217" s="0" t="str">
        <f aca="false">IF($A217="N/A"," ",(VLOOKUP($A217,NumberofDaysTable,3)))</f>
        <v> </v>
      </c>
      <c r="BS217" s="0" t="str">
        <f aca="false">IF($A217="N/A"," ",(VLOOKUP($A217,NumberofDaysTable,4)))</f>
        <v> </v>
      </c>
    </row>
    <row r="218" customFormat="false" ht="12.75" hidden="false" customHeight="false" outlineLevel="0" collapsed="false">
      <c r="A218" s="315" t="str">
        <f aca="false">IF(A217="N/A","N/A",IF(EDATE(A217,1)&gt;Inputs!$R$5,"N/A",EDATE(A217,1)))</f>
        <v>N/A</v>
      </c>
      <c r="B218" s="316" t="str">
        <f aca="false">IF(A218="N/A"," ",YEAR(A218))</f>
        <v> </v>
      </c>
      <c r="C218" s="317" t="str">
        <f aca="false">IF($A218="N/A"," ",IF(Dayrun4=10,0,IF(Scaler4=1,(VLOOKUP(A218,ScaledPrice4,4)),(VLOOKUP(A218,ScaledPrice4,2)))))</f>
        <v> </v>
      </c>
      <c r="D218" s="317" t="str">
        <f aca="false">IF(A218="N/A"," ",IF(Dayrun4&gt;=7,0,IF(Scaler4=2,VLOOKUP(A218,ScaledPrice4,2),(VLOOKUP(A218,ScaledPrice4,2))*(2-(VLOOKUP(A218,ScaledPrice4,3))))))</f>
        <v> </v>
      </c>
      <c r="E218" s="317" t="str">
        <f aca="false">IF($A218="N/A"," ",IF(AND(Dayrun4&gt;=4,Dayrun4&lt;=9),0,VLOOKUP($A218,ScaledPrice4,9)))</f>
        <v> </v>
      </c>
      <c r="F218" s="317" t="str">
        <f aca="false">IF(A218="N/A"," ",IF(OR(Dayrun4=2,Dayrun4=3,Dayrun4=5,Dayrun4=6,Dayrun4=8,Dayrun4=9),VLOOKUP(A218,ScaledPrice4,IF(Scaler4=1,6,5)),0))</f>
        <v> </v>
      </c>
      <c r="G218" s="317" t="str">
        <f aca="false">IF(A218="N/A"," ",IF(OR(Dayrun4=2,Dayrun4=3,Dayrun4=5,Dayrun4=6),IF(Scaler4=2,F218,(VLOOKUP(A218,ScaledPrice4,5))*(2-(VLOOKUP(A218,ScaledPrice4,3)))),0))</f>
        <v> </v>
      </c>
      <c r="H218" s="317" t="str">
        <f aca="false">IF($A218="N/A"," ",IF(OR(Dayrun4=2,Dayrun4=3,Dayrun4=10),VLOOKUP($A218,ScaledPrice4,9),0))</f>
        <v> </v>
      </c>
      <c r="I218" s="317" t="str">
        <f aca="false">IF(A218="N/A"," ",IF(OR(Dayrun4=3,Dayrun4=6,Dayrun4=9),(VLOOKUP(A218,ScaledPrice4,IF(Scaler4=2,7,8))),0))</f>
        <v> </v>
      </c>
      <c r="J218" s="317" t="str">
        <f aca="false">IF(A218="N/A"," ",IF(OR(Dayrun4=3,Dayrun4=6),IF(Scaler4=2,I218,(VLOOKUP(A218,ScaledPrice4,7))*(2-(VLOOKUP(A218,ScaledPrice4,3)))),0))</f>
        <v> </v>
      </c>
      <c r="K218" s="317" t="str">
        <f aca="false">IF($A218="N/A"," ",IF(OR(Dayrun4=3,Dayrun4=10),VLOOKUP($A218,ScaledPrice4,9),0))</f>
        <v> </v>
      </c>
      <c r="L218" s="318" t="str">
        <f aca="false">IF($A218="N/A"," ",IF(Pricetype4=2,MAX(C218,0),IF(OR(Pricetype4=1,Pricetype4=4),IF(C218=0,0,(EURO(C218,Strikeprice4,0,0,($AH218+IF(Smile=TRUE(),VLOOKUP(MAX(-5,Strikeprice4-C218),Volsmile,2),0)),($A218-DateToday)+15,IF(Pricetype4=1,1,0),0))),C218)))</f>
        <v> </v>
      </c>
      <c r="M218" s="318" t="str">
        <f aca="false">IF($A218="N/A"," ",IF(Pricetype4=2,MAX(D218,0),IF(OR(Pricetype4=1,Pricetype4=4),IF(D218=0,0,(EURO(D218,Strikeprice4,0,0,($AH218+IF(Smile=TRUE(),VLOOKUP(MAX(-5,Strikeprice4-D218),Volsmile,2),0)),($A218-DateToday)+15,IF(Pricetype4=1,1,0),0))),D218)))</f>
        <v> </v>
      </c>
      <c r="N218" s="318" t="str">
        <f aca="false">IF($A218="N/A"," ",IF(Pricetype4=2,MAX(E218,0),IF(OR(Pricetype4=1,Pricetype4=4),IF(E218=0,0,(EURO(E218,Strikeprice4,0,0,($AK218+IF(Smile=TRUE(),VLOOKUP(MAX(-5,Strikeprice4-E218),Volsmile,2),0)),($A218-DateToday)+15,IF(Pricetype4=1,1,0),0))),E218)))</f>
        <v> </v>
      </c>
      <c r="O218" s="318" t="str">
        <f aca="false">IF($A218="N/A"," ",IF(Pricetype4=2,MAX(F218,0),IF(OR(Pricetype4=1,Pricetype4=4),IF(F218=0,0,(EURO(F218,Strikeprice4,0,0,($AK218+IF(Smile=TRUE(),VLOOKUP(MAX(-5,Strikeprice4-F218),Volsmile,2),0)),($A218-DateToday)+15,IF(Pricetype4=1,1,0),0))),F218)))</f>
        <v> </v>
      </c>
      <c r="P218" s="318" t="str">
        <f aca="false">IF($A218="N/A"," ",IF(Pricetype4=2,MAX(G218,0),IF(OR(Pricetype4=1,Pricetype4=4),IF(G218=0,0,(EURO(G218,Strikeprice4,0,0,($AK218+IF(Smile=TRUE(),VLOOKUP(MAX(-5,Strikeprice4-G218),Volsmile,2),0)),($A218-DateToday)+15,IF(Pricetype4=1,1,0),0))),G218)))</f>
        <v> </v>
      </c>
      <c r="Q218" s="318" t="str">
        <f aca="false">IF($A218="N/A"," ",IF(Pricetype4=2,MAX(H218,0),IF(OR(Pricetype4=1,Pricetype4=4),IF(H218=0,0,(EURO(H218,Strikeprice4,0,0,($AK218+IF(Smile=TRUE(),VLOOKUP(MAX(-5,Strikeprice4-H218),Volsmile,2),0)),($A218-DateToday)+15,IF(Pricetype4=1,1,0),0))),H218)))</f>
        <v> </v>
      </c>
      <c r="R218" s="318" t="str">
        <f aca="false">IF($A218="N/A"," ",IF(Pricetype4=2,MAX(I218,0),IF(OR(Pricetype4=1,Pricetype4=4),IF(I218=0,0,(EURO(I218,Strikeprice4,0,0,($AK218+IF(Smile=TRUE(),VLOOKUP(MAX(-5,Strikeprice4-I218),Volsmile,2),0)),($A218-DateToday)+15,IF(Pricetype4=1,1,0),0))),I218)))</f>
        <v> </v>
      </c>
      <c r="S218" s="318" t="str">
        <f aca="false">IF($A218="N/A"," ",IF(Pricetype4=2,MAX(J218,0),IF(OR(Pricetype4=1,Pricetype4=4),IF(J218=0,0,(EURO(J218,Strikeprice4,0,0,($AK218+IF(Smile=TRUE(),VLOOKUP(MAX(-5,Strikeprice4-J218),Volsmile,2),0)),($A218-DateToday)+15,IF(Pricetype4=1,1,0),0))),J218)))</f>
        <v> </v>
      </c>
      <c r="T218" s="318" t="str">
        <f aca="false">IF($A218="N/A"," ",IF(Pricetype4=2,MAX(K218,0),IF(OR(Pricetype4=1,Pricetype4=4),IF(K218=0,0,(EURO(K218,Strikeprice4,0,0,($AK218+IF(Smile=TRUE(),VLOOKUP(MAX(-5,Strikeprice4-K218),Volsmile,2),0)),($A218-DateToday)+15,IF(Pricetype4=1,1,0),0))),K218)))</f>
        <v> </v>
      </c>
      <c r="U218" s="319" t="str">
        <f aca="false">IF($A218="N/A"," ",Volume4*$AM218)</f>
        <v> </v>
      </c>
      <c r="V218" s="320" t="str">
        <f aca="false">IF($A218="N/A"," ",$U218*(8*($BQ218))*L218)</f>
        <v> </v>
      </c>
      <c r="W218" s="320" t="str">
        <f aca="false">IF($A218="N/A"," ",$U218*(8*($BQ218))*M218)</f>
        <v> </v>
      </c>
      <c r="X218" s="320" t="str">
        <f aca="false">IF($A218="N/A"," ",$U218*(8*($BQ218))*N218)</f>
        <v> </v>
      </c>
      <c r="Y218" s="320" t="str">
        <f aca="false">IF($A218="N/A"," ",$U218*(8*($BR218))*O218)</f>
        <v> </v>
      </c>
      <c r="Z218" s="320" t="str">
        <f aca="false">IF($A218="N/A"," ",$U218*(8*($BR218))*P218)</f>
        <v> </v>
      </c>
      <c r="AA218" s="320" t="str">
        <f aca="false">IF($A218="N/A"," ",$U218*(8*($BR218))*Q218)</f>
        <v> </v>
      </c>
      <c r="AB218" s="320" t="str">
        <f aca="false">IF($A218="N/A"," ",$U218*(8*($BS218))*R218)</f>
        <v> </v>
      </c>
      <c r="AC218" s="320" t="str">
        <f aca="false">IF($A218="N/A"," ",$U218*(8*($BS218))*S218)</f>
        <v> </v>
      </c>
      <c r="AD218" s="320" t="str">
        <f aca="false">IF($A218="N/A"," ",$U218*(8*($BS218))*T218)</f>
        <v> </v>
      </c>
      <c r="AE218" s="320" t="str">
        <f aca="false">IF($A218="N/A"," ",SUM(V218:AD218))</f>
        <v> </v>
      </c>
      <c r="AF218" s="321" t="str">
        <f aca="false">IF(A218="N/A"," ",(VLOOKUP(A218,PowerVolTable,(IF(VolBMO4=2,7,IF(VolBMO4=1,6,8))),FALSE())))</f>
        <v> </v>
      </c>
      <c r="AG218" s="321" t="str">
        <f aca="false">IF(A218="N/A"," ",(VLOOKUP(A218,IntraPowerVol,(IF(VolBMO4=2,3,IF(VolBMO4=1,2,4))),FALSE())*VLOOKUP(MONTH($A218),Volscale,2)))</f>
        <v> </v>
      </c>
      <c r="AH218" s="321" t="str">
        <f aca="false">IF($A218="N/A"," ",IF(VolType4=1,AG218,AF218))</f>
        <v> </v>
      </c>
      <c r="AI218" s="321" t="str">
        <f aca="false">IF($A218="N/A"," ",(VLOOKUP($A218,OffPwrVolTable,(IF(VolBMO4=2,7,IF(VolBMO4=1,6,8))),FALSE())))</f>
        <v> </v>
      </c>
      <c r="AJ218" s="321" t="str">
        <f aca="false">IF($A218="N/A"," ",(VLOOKUP($A218,OffPwrVolTable,(IF(VolBMO4=2,3,IF(VolBMO4=1,2,4))),FALSE())*VLOOKUP(MONTH($A218),Volscale,2)))</f>
        <v> </v>
      </c>
      <c r="AK218" s="321" t="str">
        <f aca="false">IF($A218="N/A"," ",IF(VolType4=1,AJ218,AI218))</f>
        <v> </v>
      </c>
      <c r="AL218" s="321" t="str">
        <f aca="false">IF($A218="N/A"," ",IF(PV=1,0,'Pricing Inputs4'!R251))</f>
        <v> </v>
      </c>
      <c r="AM218" s="323" t="str">
        <f aca="false">IF($A218="N/A"," ",(1+AL218/2)^(-2*((EOMONTH(A218,0)+20)-DateToday)/365.25))</f>
        <v> </v>
      </c>
      <c r="BQ218" s="0" t="str">
        <f aca="false">IF($A218="N/A"," ",(VLOOKUP($A218,NumberofDaysTable,2)))</f>
        <v> </v>
      </c>
      <c r="BR218" s="0" t="str">
        <f aca="false">IF($A218="N/A"," ",(VLOOKUP($A218,NumberofDaysTable,3)))</f>
        <v> </v>
      </c>
      <c r="BS218" s="0" t="str">
        <f aca="false">IF($A218="N/A"," ",(VLOOKUP($A218,NumberofDaysTable,4)))</f>
        <v> </v>
      </c>
    </row>
    <row r="219" customFormat="false" ht="12.75" hidden="false" customHeight="false" outlineLevel="0" collapsed="false">
      <c r="A219" s="315" t="str">
        <f aca="false">IF(A218="N/A","N/A",IF(EDATE(A218,1)&gt;Inputs!$R$5,"N/A",EDATE(A218,1)))</f>
        <v>N/A</v>
      </c>
      <c r="B219" s="316" t="str">
        <f aca="false">IF(A219="N/A"," ",YEAR(A219))</f>
        <v> </v>
      </c>
      <c r="C219" s="317" t="str">
        <f aca="false">IF($A219="N/A"," ",IF(Dayrun4=10,0,IF(Scaler4=1,(VLOOKUP(A219,ScaledPrice4,4)),(VLOOKUP(A219,ScaledPrice4,2)))))</f>
        <v> </v>
      </c>
      <c r="D219" s="317" t="str">
        <f aca="false">IF(A219="N/A"," ",IF(Dayrun4&gt;=7,0,IF(Scaler4=2,VLOOKUP(A219,ScaledPrice4,2),(VLOOKUP(A219,ScaledPrice4,2))*(2-(VLOOKUP(A219,ScaledPrice4,3))))))</f>
        <v> </v>
      </c>
      <c r="E219" s="317" t="str">
        <f aca="false">IF($A219="N/A"," ",IF(AND(Dayrun4&gt;=4,Dayrun4&lt;=9),0,VLOOKUP($A219,ScaledPrice4,9)))</f>
        <v> </v>
      </c>
      <c r="F219" s="317" t="str">
        <f aca="false">IF(A219="N/A"," ",IF(OR(Dayrun4=2,Dayrun4=3,Dayrun4=5,Dayrun4=6,Dayrun4=8,Dayrun4=9),VLOOKUP(A219,ScaledPrice4,IF(Scaler4=1,6,5)),0))</f>
        <v> </v>
      </c>
      <c r="G219" s="317" t="str">
        <f aca="false">IF(A219="N/A"," ",IF(OR(Dayrun4=2,Dayrun4=3,Dayrun4=5,Dayrun4=6),IF(Scaler4=2,F219,(VLOOKUP(A219,ScaledPrice4,5))*(2-(VLOOKUP(A219,ScaledPrice4,3)))),0))</f>
        <v> </v>
      </c>
      <c r="H219" s="317" t="str">
        <f aca="false">IF($A219="N/A"," ",IF(OR(Dayrun4=2,Dayrun4=3,Dayrun4=10),VLOOKUP($A219,ScaledPrice4,9),0))</f>
        <v> </v>
      </c>
      <c r="I219" s="317" t="str">
        <f aca="false">IF(A219="N/A"," ",IF(OR(Dayrun4=3,Dayrun4=6,Dayrun4=9),(VLOOKUP(A219,ScaledPrice4,IF(Scaler4=2,7,8))),0))</f>
        <v> </v>
      </c>
      <c r="J219" s="317" t="str">
        <f aca="false">IF(A219="N/A"," ",IF(OR(Dayrun4=3,Dayrun4=6),IF(Scaler4=2,I219,(VLOOKUP(A219,ScaledPrice4,7))*(2-(VLOOKUP(A219,ScaledPrice4,3)))),0))</f>
        <v> </v>
      </c>
      <c r="K219" s="317" t="str">
        <f aca="false">IF($A219="N/A"," ",IF(OR(Dayrun4=3,Dayrun4=10),VLOOKUP($A219,ScaledPrice4,9),0))</f>
        <v> </v>
      </c>
      <c r="L219" s="318" t="str">
        <f aca="false">IF($A219="N/A"," ",IF(Pricetype4=2,MAX(C219,0),IF(OR(Pricetype4=1,Pricetype4=4),IF(C219=0,0,(EURO(C219,Strikeprice4,0,0,($AH219+IF(Smile=TRUE(),VLOOKUP(MAX(-5,Strikeprice4-C219),Volsmile,2),0)),($A219-DateToday)+15,IF(Pricetype4=1,1,0),0))),C219)))</f>
        <v> </v>
      </c>
      <c r="M219" s="318" t="str">
        <f aca="false">IF($A219="N/A"," ",IF(Pricetype4=2,MAX(D219,0),IF(OR(Pricetype4=1,Pricetype4=4),IF(D219=0,0,(EURO(D219,Strikeprice4,0,0,($AH219+IF(Smile=TRUE(),VLOOKUP(MAX(-5,Strikeprice4-D219),Volsmile,2),0)),($A219-DateToday)+15,IF(Pricetype4=1,1,0),0))),D219)))</f>
        <v> </v>
      </c>
      <c r="N219" s="318" t="str">
        <f aca="false">IF($A219="N/A"," ",IF(Pricetype4=2,MAX(E219,0),IF(OR(Pricetype4=1,Pricetype4=4),IF(E219=0,0,(EURO(E219,Strikeprice4,0,0,($AK219+IF(Smile=TRUE(),VLOOKUP(MAX(-5,Strikeprice4-E219),Volsmile,2),0)),($A219-DateToday)+15,IF(Pricetype4=1,1,0),0))),E219)))</f>
        <v> </v>
      </c>
      <c r="O219" s="318" t="str">
        <f aca="false">IF($A219="N/A"," ",IF(Pricetype4=2,MAX(F219,0),IF(OR(Pricetype4=1,Pricetype4=4),IF(F219=0,0,(EURO(F219,Strikeprice4,0,0,($AK219+IF(Smile=TRUE(),VLOOKUP(MAX(-5,Strikeprice4-F219),Volsmile,2),0)),($A219-DateToday)+15,IF(Pricetype4=1,1,0),0))),F219)))</f>
        <v> </v>
      </c>
      <c r="P219" s="318" t="str">
        <f aca="false">IF($A219="N/A"," ",IF(Pricetype4=2,MAX(G219,0),IF(OR(Pricetype4=1,Pricetype4=4),IF(G219=0,0,(EURO(G219,Strikeprice4,0,0,($AK219+IF(Smile=TRUE(),VLOOKUP(MAX(-5,Strikeprice4-G219),Volsmile,2),0)),($A219-DateToday)+15,IF(Pricetype4=1,1,0),0))),G219)))</f>
        <v> </v>
      </c>
      <c r="Q219" s="318" t="str">
        <f aca="false">IF($A219="N/A"," ",IF(Pricetype4=2,MAX(H219,0),IF(OR(Pricetype4=1,Pricetype4=4),IF(H219=0,0,(EURO(H219,Strikeprice4,0,0,($AK219+IF(Smile=TRUE(),VLOOKUP(MAX(-5,Strikeprice4-H219),Volsmile,2),0)),($A219-DateToday)+15,IF(Pricetype4=1,1,0),0))),H219)))</f>
        <v> </v>
      </c>
      <c r="R219" s="318" t="str">
        <f aca="false">IF($A219="N/A"," ",IF(Pricetype4=2,MAX(I219,0),IF(OR(Pricetype4=1,Pricetype4=4),IF(I219=0,0,(EURO(I219,Strikeprice4,0,0,($AK219+IF(Smile=TRUE(),VLOOKUP(MAX(-5,Strikeprice4-I219),Volsmile,2),0)),($A219-DateToday)+15,IF(Pricetype4=1,1,0),0))),I219)))</f>
        <v> </v>
      </c>
      <c r="S219" s="318" t="str">
        <f aca="false">IF($A219="N/A"," ",IF(Pricetype4=2,MAX(J219,0),IF(OR(Pricetype4=1,Pricetype4=4),IF(J219=0,0,(EURO(J219,Strikeprice4,0,0,($AK219+IF(Smile=TRUE(),VLOOKUP(MAX(-5,Strikeprice4-J219),Volsmile,2),0)),($A219-DateToday)+15,IF(Pricetype4=1,1,0),0))),J219)))</f>
        <v> </v>
      </c>
      <c r="T219" s="318" t="str">
        <f aca="false">IF($A219="N/A"," ",IF(Pricetype4=2,MAX(K219,0),IF(OR(Pricetype4=1,Pricetype4=4),IF(K219=0,0,(EURO(K219,Strikeprice4,0,0,($AK219+IF(Smile=TRUE(),VLOOKUP(MAX(-5,Strikeprice4-K219),Volsmile,2),0)),($A219-DateToday)+15,IF(Pricetype4=1,1,0),0))),K219)))</f>
        <v> </v>
      </c>
      <c r="U219" s="319" t="str">
        <f aca="false">IF($A219="N/A"," ",Volume4*$AM219)</f>
        <v> </v>
      </c>
      <c r="V219" s="320" t="str">
        <f aca="false">IF($A219="N/A"," ",$U219*(8*($BQ219))*L219)</f>
        <v> </v>
      </c>
      <c r="W219" s="320" t="str">
        <f aca="false">IF($A219="N/A"," ",$U219*(8*($BQ219))*M219)</f>
        <v> </v>
      </c>
      <c r="X219" s="320" t="str">
        <f aca="false">IF($A219="N/A"," ",$U219*(8*($BQ219))*N219)</f>
        <v> </v>
      </c>
      <c r="Y219" s="320" t="str">
        <f aca="false">IF($A219="N/A"," ",$U219*(8*($BR219))*O219)</f>
        <v> </v>
      </c>
      <c r="Z219" s="320" t="str">
        <f aca="false">IF($A219="N/A"," ",$U219*(8*($BR219))*P219)</f>
        <v> </v>
      </c>
      <c r="AA219" s="320" t="str">
        <f aca="false">IF($A219="N/A"," ",$U219*(8*($BR219))*Q219)</f>
        <v> </v>
      </c>
      <c r="AB219" s="320" t="str">
        <f aca="false">IF($A219="N/A"," ",$U219*(8*($BS219))*R219)</f>
        <v> </v>
      </c>
      <c r="AC219" s="320" t="str">
        <f aca="false">IF($A219="N/A"," ",$U219*(8*($BS219))*S219)</f>
        <v> </v>
      </c>
      <c r="AD219" s="320" t="str">
        <f aca="false">IF($A219="N/A"," ",$U219*(8*($BS219))*T219)</f>
        <v> </v>
      </c>
      <c r="AE219" s="320" t="str">
        <f aca="false">IF($A219="N/A"," ",SUM(V219:AD219))</f>
        <v> </v>
      </c>
      <c r="AF219" s="321" t="str">
        <f aca="false">IF(A219="N/A"," ",(VLOOKUP(A219,PowerVolTable,(IF(VolBMO4=2,7,IF(VolBMO4=1,6,8))),FALSE())))</f>
        <v> </v>
      </c>
      <c r="AG219" s="321" t="str">
        <f aca="false">IF(A219="N/A"," ",(VLOOKUP(A219,IntraPowerVol,(IF(VolBMO4=2,3,IF(VolBMO4=1,2,4))),FALSE())*VLOOKUP(MONTH($A219),Volscale,2)))</f>
        <v> </v>
      </c>
      <c r="AH219" s="321" t="str">
        <f aca="false">IF($A219="N/A"," ",IF(VolType4=1,AG219,AF219))</f>
        <v> </v>
      </c>
      <c r="AI219" s="321" t="str">
        <f aca="false">IF($A219="N/A"," ",(VLOOKUP($A219,OffPwrVolTable,(IF(VolBMO4=2,7,IF(VolBMO4=1,6,8))),FALSE())))</f>
        <v> </v>
      </c>
      <c r="AJ219" s="321" t="str">
        <f aca="false">IF($A219="N/A"," ",(VLOOKUP($A219,OffPwrVolTable,(IF(VolBMO4=2,3,IF(VolBMO4=1,2,4))),FALSE())*VLOOKUP(MONTH($A219),Volscale,2)))</f>
        <v> </v>
      </c>
      <c r="AK219" s="321" t="str">
        <f aca="false">IF($A219="N/A"," ",IF(VolType4=1,AJ219,AI219))</f>
        <v> </v>
      </c>
      <c r="AL219" s="321" t="str">
        <f aca="false">IF($A219="N/A"," ",IF(PV=1,0,'Pricing Inputs4'!R252))</f>
        <v> </v>
      </c>
      <c r="AM219" s="323" t="str">
        <f aca="false">IF($A219="N/A"," ",(1+AL219/2)^(-2*((EOMONTH(A219,0)+20)-DateToday)/365.25))</f>
        <v> </v>
      </c>
      <c r="BQ219" s="0" t="str">
        <f aca="false">IF($A219="N/A"," ",(VLOOKUP($A219,NumberofDaysTable,2)))</f>
        <v> </v>
      </c>
      <c r="BR219" s="0" t="str">
        <f aca="false">IF($A219="N/A"," ",(VLOOKUP($A219,NumberofDaysTable,3)))</f>
        <v> </v>
      </c>
      <c r="BS219" s="0" t="str">
        <f aca="false">IF($A219="N/A"," ",(VLOOKUP($A219,NumberofDaysTable,4)))</f>
        <v> </v>
      </c>
    </row>
    <row r="220" customFormat="false" ht="12.75" hidden="false" customHeight="false" outlineLevel="0" collapsed="false">
      <c r="A220" s="315" t="str">
        <f aca="false">IF(A219="N/A","N/A",IF(EDATE(A219,1)&gt;Inputs!$R$5,"N/A",EDATE(A219,1)))</f>
        <v>N/A</v>
      </c>
      <c r="B220" s="316" t="str">
        <f aca="false">IF(A220="N/A"," ",YEAR(A220))</f>
        <v> </v>
      </c>
      <c r="C220" s="317" t="str">
        <f aca="false">IF($A220="N/A"," ",IF(Dayrun4=10,0,IF(Scaler4=1,(VLOOKUP(A220,ScaledPrice4,4)),(VLOOKUP(A220,ScaledPrice4,2)))))</f>
        <v> </v>
      </c>
      <c r="D220" s="317" t="str">
        <f aca="false">IF(A220="N/A"," ",IF(Dayrun4&gt;=7,0,IF(Scaler4=2,VLOOKUP(A220,ScaledPrice4,2),(VLOOKUP(A220,ScaledPrice4,2))*(2-(VLOOKUP(A220,ScaledPrice4,3))))))</f>
        <v> </v>
      </c>
      <c r="E220" s="317" t="str">
        <f aca="false">IF($A220="N/A"," ",IF(AND(Dayrun4&gt;=4,Dayrun4&lt;=9),0,VLOOKUP($A220,ScaledPrice4,9)))</f>
        <v> </v>
      </c>
      <c r="F220" s="317" t="str">
        <f aca="false">IF(A220="N/A"," ",IF(OR(Dayrun4=2,Dayrun4=3,Dayrun4=5,Dayrun4=6,Dayrun4=8,Dayrun4=9),VLOOKUP(A220,ScaledPrice4,IF(Scaler4=1,6,5)),0))</f>
        <v> </v>
      </c>
      <c r="G220" s="317" t="str">
        <f aca="false">IF(A220="N/A"," ",IF(OR(Dayrun4=2,Dayrun4=3,Dayrun4=5,Dayrun4=6),IF(Scaler4=2,F220,(VLOOKUP(A220,ScaledPrice4,5))*(2-(VLOOKUP(A220,ScaledPrice4,3)))),0))</f>
        <v> </v>
      </c>
      <c r="H220" s="317" t="str">
        <f aca="false">IF($A220="N/A"," ",IF(OR(Dayrun4=2,Dayrun4=3,Dayrun4=10),VLOOKUP($A220,ScaledPrice4,9),0))</f>
        <v> </v>
      </c>
      <c r="I220" s="317" t="str">
        <f aca="false">IF(A220="N/A"," ",IF(OR(Dayrun4=3,Dayrun4=6,Dayrun4=9),(VLOOKUP(A220,ScaledPrice4,IF(Scaler4=2,7,8))),0))</f>
        <v> </v>
      </c>
      <c r="J220" s="317" t="str">
        <f aca="false">IF(A220="N/A"," ",IF(OR(Dayrun4=3,Dayrun4=6),IF(Scaler4=2,I220,(VLOOKUP(A220,ScaledPrice4,7))*(2-(VLOOKUP(A220,ScaledPrice4,3)))),0))</f>
        <v> </v>
      </c>
      <c r="K220" s="317" t="str">
        <f aca="false">IF($A220="N/A"," ",IF(OR(Dayrun4=3,Dayrun4=10),VLOOKUP($A220,ScaledPrice4,9),0))</f>
        <v> </v>
      </c>
      <c r="L220" s="318" t="str">
        <f aca="false">IF($A220="N/A"," ",IF(Pricetype4=2,MAX(C220,0),IF(OR(Pricetype4=1,Pricetype4=4),IF(C220=0,0,(EURO(C220,Strikeprice4,0,0,($AH220+IF(Smile=TRUE(),VLOOKUP(MAX(-5,Strikeprice4-C220),Volsmile,2),0)),($A220-DateToday)+15,IF(Pricetype4=1,1,0),0))),C220)))</f>
        <v> </v>
      </c>
      <c r="M220" s="318" t="str">
        <f aca="false">IF($A220="N/A"," ",IF(Pricetype4=2,MAX(D220,0),IF(OR(Pricetype4=1,Pricetype4=4),IF(D220=0,0,(EURO(D220,Strikeprice4,0,0,($AH220+IF(Smile=TRUE(),VLOOKUP(MAX(-5,Strikeprice4-D220),Volsmile,2),0)),($A220-DateToday)+15,IF(Pricetype4=1,1,0),0))),D220)))</f>
        <v> </v>
      </c>
      <c r="N220" s="318" t="str">
        <f aca="false">IF($A220="N/A"," ",IF(Pricetype4=2,MAX(E220,0),IF(OR(Pricetype4=1,Pricetype4=4),IF(E220=0,0,(EURO(E220,Strikeprice4,0,0,($AK220+IF(Smile=TRUE(),VLOOKUP(MAX(-5,Strikeprice4-E220),Volsmile,2),0)),($A220-DateToday)+15,IF(Pricetype4=1,1,0),0))),E220)))</f>
        <v> </v>
      </c>
      <c r="O220" s="318" t="str">
        <f aca="false">IF($A220="N/A"," ",IF(Pricetype4=2,MAX(F220,0),IF(OR(Pricetype4=1,Pricetype4=4),IF(F220=0,0,(EURO(F220,Strikeprice4,0,0,($AK220+IF(Smile=TRUE(),VLOOKUP(MAX(-5,Strikeprice4-F220),Volsmile,2),0)),($A220-DateToday)+15,IF(Pricetype4=1,1,0),0))),F220)))</f>
        <v> </v>
      </c>
      <c r="P220" s="318" t="str">
        <f aca="false">IF($A220="N/A"," ",IF(Pricetype4=2,MAX(G220,0),IF(OR(Pricetype4=1,Pricetype4=4),IF(G220=0,0,(EURO(G220,Strikeprice4,0,0,($AK220+IF(Smile=TRUE(),VLOOKUP(MAX(-5,Strikeprice4-G220),Volsmile,2),0)),($A220-DateToday)+15,IF(Pricetype4=1,1,0),0))),G220)))</f>
        <v> </v>
      </c>
      <c r="Q220" s="318" t="str">
        <f aca="false">IF($A220="N/A"," ",IF(Pricetype4=2,MAX(H220,0),IF(OR(Pricetype4=1,Pricetype4=4),IF(H220=0,0,(EURO(H220,Strikeprice4,0,0,($AK220+IF(Smile=TRUE(),VLOOKUP(MAX(-5,Strikeprice4-H220),Volsmile,2),0)),($A220-DateToday)+15,IF(Pricetype4=1,1,0),0))),H220)))</f>
        <v> </v>
      </c>
      <c r="R220" s="318" t="str">
        <f aca="false">IF($A220="N/A"," ",IF(Pricetype4=2,MAX(I220,0),IF(OR(Pricetype4=1,Pricetype4=4),IF(I220=0,0,(EURO(I220,Strikeprice4,0,0,($AK220+IF(Smile=TRUE(),VLOOKUP(MAX(-5,Strikeprice4-I220),Volsmile,2),0)),($A220-DateToday)+15,IF(Pricetype4=1,1,0),0))),I220)))</f>
        <v> </v>
      </c>
      <c r="S220" s="318" t="str">
        <f aca="false">IF($A220="N/A"," ",IF(Pricetype4=2,MAX(J220,0),IF(OR(Pricetype4=1,Pricetype4=4),IF(J220=0,0,(EURO(J220,Strikeprice4,0,0,($AK220+IF(Smile=TRUE(),VLOOKUP(MAX(-5,Strikeprice4-J220),Volsmile,2),0)),($A220-DateToday)+15,IF(Pricetype4=1,1,0),0))),J220)))</f>
        <v> </v>
      </c>
      <c r="T220" s="318" t="str">
        <f aca="false">IF($A220="N/A"," ",IF(Pricetype4=2,MAX(K220,0),IF(OR(Pricetype4=1,Pricetype4=4),IF(K220=0,0,(EURO(K220,Strikeprice4,0,0,($AK220+IF(Smile=TRUE(),VLOOKUP(MAX(-5,Strikeprice4-K220),Volsmile,2),0)),($A220-DateToday)+15,IF(Pricetype4=1,1,0),0))),K220)))</f>
        <v> </v>
      </c>
      <c r="U220" s="319" t="str">
        <f aca="false">IF($A220="N/A"," ",Volume4*$AM220)</f>
        <v> </v>
      </c>
      <c r="V220" s="320" t="str">
        <f aca="false">IF($A220="N/A"," ",$U220*(8*($BQ220))*L220)</f>
        <v> </v>
      </c>
      <c r="W220" s="320" t="str">
        <f aca="false">IF($A220="N/A"," ",$U220*(8*($BQ220))*M220)</f>
        <v> </v>
      </c>
      <c r="X220" s="320" t="str">
        <f aca="false">IF($A220="N/A"," ",$U220*(8*($BQ220))*N220)</f>
        <v> </v>
      </c>
      <c r="Y220" s="320" t="str">
        <f aca="false">IF($A220="N/A"," ",$U220*(8*($BR220))*O220)</f>
        <v> </v>
      </c>
      <c r="Z220" s="320" t="str">
        <f aca="false">IF($A220="N/A"," ",$U220*(8*($BR220))*P220)</f>
        <v> </v>
      </c>
      <c r="AA220" s="320" t="str">
        <f aca="false">IF($A220="N/A"," ",$U220*(8*($BR220))*Q220)</f>
        <v> </v>
      </c>
      <c r="AB220" s="320" t="str">
        <f aca="false">IF($A220="N/A"," ",$U220*(8*($BS220))*R220)</f>
        <v> </v>
      </c>
      <c r="AC220" s="320" t="str">
        <f aca="false">IF($A220="N/A"," ",$U220*(8*($BS220))*S220)</f>
        <v> </v>
      </c>
      <c r="AD220" s="320" t="str">
        <f aca="false">IF($A220="N/A"," ",$U220*(8*($BS220))*T220)</f>
        <v> </v>
      </c>
      <c r="AE220" s="320" t="str">
        <f aca="false">IF($A220="N/A"," ",SUM(V220:AD220))</f>
        <v> </v>
      </c>
      <c r="AF220" s="321" t="str">
        <f aca="false">IF(A220="N/A"," ",(VLOOKUP(A220,PowerVolTable,(IF(VolBMO4=2,7,IF(VolBMO4=1,6,8))),FALSE())))</f>
        <v> </v>
      </c>
      <c r="AG220" s="321" t="str">
        <f aca="false">IF(A220="N/A"," ",(VLOOKUP(A220,IntraPowerVol,(IF(VolBMO4=2,3,IF(VolBMO4=1,2,4))),FALSE())*VLOOKUP(MONTH($A220),Volscale,2)))</f>
        <v> </v>
      </c>
      <c r="AH220" s="321" t="str">
        <f aca="false">IF($A220="N/A"," ",IF(VolType4=1,AG220,AF220))</f>
        <v> </v>
      </c>
      <c r="AI220" s="321" t="str">
        <f aca="false">IF($A220="N/A"," ",(VLOOKUP($A220,OffPwrVolTable,(IF(VolBMO4=2,7,IF(VolBMO4=1,6,8))),FALSE())))</f>
        <v> </v>
      </c>
      <c r="AJ220" s="321" t="str">
        <f aca="false">IF($A220="N/A"," ",(VLOOKUP($A220,OffPwrVolTable,(IF(VolBMO4=2,3,IF(VolBMO4=1,2,4))),FALSE())*VLOOKUP(MONTH($A220),Volscale,2)))</f>
        <v> </v>
      </c>
      <c r="AK220" s="321" t="str">
        <f aca="false">IF($A220="N/A"," ",IF(VolType4=1,AJ220,AI220))</f>
        <v> </v>
      </c>
      <c r="AL220" s="321" t="str">
        <f aca="false">IF($A220="N/A"," ",IF(PV=1,0,'Pricing Inputs4'!R253))</f>
        <v> </v>
      </c>
      <c r="AM220" s="323" t="str">
        <f aca="false">IF($A220="N/A"," ",(1+AL220/2)^(-2*((EOMONTH(A220,0)+20)-DateToday)/365.25))</f>
        <v> </v>
      </c>
      <c r="BQ220" s="0" t="str">
        <f aca="false">IF($A220="N/A"," ",(VLOOKUP($A220,NumberofDaysTable,2)))</f>
        <v> </v>
      </c>
      <c r="BR220" s="0" t="str">
        <f aca="false">IF($A220="N/A"," ",(VLOOKUP($A220,NumberofDaysTable,3)))</f>
        <v> </v>
      </c>
      <c r="BS220" s="0" t="str">
        <f aca="false">IF($A220="N/A"," ",(VLOOKUP($A220,NumberofDaysTable,4)))</f>
        <v> </v>
      </c>
    </row>
    <row r="221" customFormat="false" ht="12.75" hidden="false" customHeight="false" outlineLevel="0" collapsed="false">
      <c r="A221" s="315" t="str">
        <f aca="false">IF(A220="N/A","N/A",IF(EDATE(A220,1)&gt;Inputs!$R$5,"N/A",EDATE(A220,1)))</f>
        <v>N/A</v>
      </c>
      <c r="B221" s="316" t="str">
        <f aca="false">IF(A221="N/A"," ",YEAR(A221))</f>
        <v> </v>
      </c>
      <c r="C221" s="317" t="str">
        <f aca="false">IF($A221="N/A"," ",IF(Dayrun4=10,0,IF(Scaler4=1,(VLOOKUP(A221,ScaledPrice4,4)),(VLOOKUP(A221,ScaledPrice4,2)))))</f>
        <v> </v>
      </c>
      <c r="D221" s="317" t="str">
        <f aca="false">IF(A221="N/A"," ",IF(Dayrun4&gt;=7,0,IF(Scaler4=2,VLOOKUP(A221,ScaledPrice4,2),(VLOOKUP(A221,ScaledPrice4,2))*(2-(VLOOKUP(A221,ScaledPrice4,3))))))</f>
        <v> </v>
      </c>
      <c r="E221" s="317" t="str">
        <f aca="false">IF($A221="N/A"," ",IF(AND(Dayrun4&gt;=4,Dayrun4&lt;=9),0,VLOOKUP($A221,ScaledPrice4,9)))</f>
        <v> </v>
      </c>
      <c r="F221" s="317" t="str">
        <f aca="false">IF(A221="N/A"," ",IF(OR(Dayrun4=2,Dayrun4=3,Dayrun4=5,Dayrun4=6,Dayrun4=8,Dayrun4=9),VLOOKUP(A221,ScaledPrice4,IF(Scaler4=1,6,5)),0))</f>
        <v> </v>
      </c>
      <c r="G221" s="317" t="str">
        <f aca="false">IF(A221="N/A"," ",IF(OR(Dayrun4=2,Dayrun4=3,Dayrun4=5,Dayrun4=6),IF(Scaler4=2,F221,(VLOOKUP(A221,ScaledPrice4,5))*(2-(VLOOKUP(A221,ScaledPrice4,3)))),0))</f>
        <v> </v>
      </c>
      <c r="H221" s="317" t="str">
        <f aca="false">IF($A221="N/A"," ",IF(OR(Dayrun4=2,Dayrun4=3,Dayrun4=10),VLOOKUP($A221,ScaledPrice4,9),0))</f>
        <v> </v>
      </c>
      <c r="I221" s="317" t="str">
        <f aca="false">IF(A221="N/A"," ",IF(OR(Dayrun4=3,Dayrun4=6,Dayrun4=9),(VLOOKUP(A221,ScaledPrice4,IF(Scaler4=2,7,8))),0))</f>
        <v> </v>
      </c>
      <c r="J221" s="317" t="str">
        <f aca="false">IF(A221="N/A"," ",IF(OR(Dayrun4=3,Dayrun4=6),IF(Scaler4=2,I221,(VLOOKUP(A221,ScaledPrice4,7))*(2-(VLOOKUP(A221,ScaledPrice4,3)))),0))</f>
        <v> </v>
      </c>
      <c r="K221" s="317" t="str">
        <f aca="false">IF($A221="N/A"," ",IF(OR(Dayrun4=3,Dayrun4=10),VLOOKUP($A221,ScaledPrice4,9),0))</f>
        <v> </v>
      </c>
      <c r="L221" s="318" t="str">
        <f aca="false">IF($A221="N/A"," ",IF(Pricetype4=2,MAX(C221,0),IF(OR(Pricetype4=1,Pricetype4=4),IF(C221=0,0,(EURO(C221,Strikeprice4,0,0,($AH221+IF(Smile=TRUE(),VLOOKUP(MAX(-5,Strikeprice4-C221),Volsmile,2),0)),($A221-DateToday)+15,IF(Pricetype4=1,1,0),0))),C221)))</f>
        <v> </v>
      </c>
      <c r="M221" s="318" t="str">
        <f aca="false">IF($A221="N/A"," ",IF(Pricetype4=2,MAX(D221,0),IF(OR(Pricetype4=1,Pricetype4=4),IF(D221=0,0,(EURO(D221,Strikeprice4,0,0,($AH221+IF(Smile=TRUE(),VLOOKUP(MAX(-5,Strikeprice4-D221),Volsmile,2),0)),($A221-DateToday)+15,IF(Pricetype4=1,1,0),0))),D221)))</f>
        <v> </v>
      </c>
      <c r="N221" s="318" t="str">
        <f aca="false">IF($A221="N/A"," ",IF(Pricetype4=2,MAX(E221,0),IF(OR(Pricetype4=1,Pricetype4=4),IF(E221=0,0,(EURO(E221,Strikeprice4,0,0,($AK221+IF(Smile=TRUE(),VLOOKUP(MAX(-5,Strikeprice4-E221),Volsmile,2),0)),($A221-DateToday)+15,IF(Pricetype4=1,1,0),0))),E221)))</f>
        <v> </v>
      </c>
      <c r="O221" s="318" t="str">
        <f aca="false">IF($A221="N/A"," ",IF(Pricetype4=2,MAX(F221,0),IF(OR(Pricetype4=1,Pricetype4=4),IF(F221=0,0,(EURO(F221,Strikeprice4,0,0,($AK221+IF(Smile=TRUE(),VLOOKUP(MAX(-5,Strikeprice4-F221),Volsmile,2),0)),($A221-DateToday)+15,IF(Pricetype4=1,1,0),0))),F221)))</f>
        <v> </v>
      </c>
      <c r="P221" s="318" t="str">
        <f aca="false">IF($A221="N/A"," ",IF(Pricetype4=2,MAX(G221,0),IF(OR(Pricetype4=1,Pricetype4=4),IF(G221=0,0,(EURO(G221,Strikeprice4,0,0,($AK221+IF(Smile=TRUE(),VLOOKUP(MAX(-5,Strikeprice4-G221),Volsmile,2),0)),($A221-DateToday)+15,IF(Pricetype4=1,1,0),0))),G221)))</f>
        <v> </v>
      </c>
      <c r="Q221" s="318" t="str">
        <f aca="false">IF($A221="N/A"," ",IF(Pricetype4=2,MAX(H221,0),IF(OR(Pricetype4=1,Pricetype4=4),IF(H221=0,0,(EURO(H221,Strikeprice4,0,0,($AK221+IF(Smile=TRUE(),VLOOKUP(MAX(-5,Strikeprice4-H221),Volsmile,2),0)),($A221-DateToday)+15,IF(Pricetype4=1,1,0),0))),H221)))</f>
        <v> </v>
      </c>
      <c r="R221" s="318" t="str">
        <f aca="false">IF($A221="N/A"," ",IF(Pricetype4=2,MAX(I221,0),IF(OR(Pricetype4=1,Pricetype4=4),IF(I221=0,0,(EURO(I221,Strikeprice4,0,0,($AK221+IF(Smile=TRUE(),VLOOKUP(MAX(-5,Strikeprice4-I221),Volsmile,2),0)),($A221-DateToday)+15,IF(Pricetype4=1,1,0),0))),I221)))</f>
        <v> </v>
      </c>
      <c r="S221" s="318" t="str">
        <f aca="false">IF($A221="N/A"," ",IF(Pricetype4=2,MAX(J221,0),IF(OR(Pricetype4=1,Pricetype4=4),IF(J221=0,0,(EURO(J221,Strikeprice4,0,0,($AK221+IF(Smile=TRUE(),VLOOKUP(MAX(-5,Strikeprice4-J221),Volsmile,2),0)),($A221-DateToday)+15,IF(Pricetype4=1,1,0),0))),J221)))</f>
        <v> </v>
      </c>
      <c r="T221" s="318" t="str">
        <f aca="false">IF($A221="N/A"," ",IF(Pricetype4=2,MAX(K221,0),IF(OR(Pricetype4=1,Pricetype4=4),IF(K221=0,0,(EURO(K221,Strikeprice4,0,0,($AK221+IF(Smile=TRUE(),VLOOKUP(MAX(-5,Strikeprice4-K221),Volsmile,2),0)),($A221-DateToday)+15,IF(Pricetype4=1,1,0),0))),K221)))</f>
        <v> </v>
      </c>
      <c r="U221" s="319" t="str">
        <f aca="false">IF($A221="N/A"," ",Volume4*$AM221)</f>
        <v> </v>
      </c>
      <c r="V221" s="320" t="str">
        <f aca="false">IF($A221="N/A"," ",$U221*(8*($BQ221))*L221)</f>
        <v> </v>
      </c>
      <c r="W221" s="320" t="str">
        <f aca="false">IF($A221="N/A"," ",$U221*(8*($BQ221))*M221)</f>
        <v> </v>
      </c>
      <c r="X221" s="320" t="str">
        <f aca="false">IF($A221="N/A"," ",$U221*(8*($BQ221))*N221)</f>
        <v> </v>
      </c>
      <c r="Y221" s="320" t="str">
        <f aca="false">IF($A221="N/A"," ",$U221*(8*($BR221))*O221)</f>
        <v> </v>
      </c>
      <c r="Z221" s="320" t="str">
        <f aca="false">IF($A221="N/A"," ",$U221*(8*($BR221))*P221)</f>
        <v> </v>
      </c>
      <c r="AA221" s="320" t="str">
        <f aca="false">IF($A221="N/A"," ",$U221*(8*($BR221))*Q221)</f>
        <v> </v>
      </c>
      <c r="AB221" s="320" t="str">
        <f aca="false">IF($A221="N/A"," ",$U221*(8*($BS221))*R221)</f>
        <v> </v>
      </c>
      <c r="AC221" s="320" t="str">
        <f aca="false">IF($A221="N/A"," ",$U221*(8*($BS221))*S221)</f>
        <v> </v>
      </c>
      <c r="AD221" s="320" t="str">
        <f aca="false">IF($A221="N/A"," ",$U221*(8*($BS221))*T221)</f>
        <v> </v>
      </c>
      <c r="AE221" s="320" t="str">
        <f aca="false">IF($A221="N/A"," ",SUM(V221:AD221))</f>
        <v> </v>
      </c>
      <c r="AF221" s="321" t="str">
        <f aca="false">IF(A221="N/A"," ",(VLOOKUP(A221,PowerVolTable,(IF(VolBMO4=2,7,IF(VolBMO4=1,6,8))),FALSE())))</f>
        <v> </v>
      </c>
      <c r="AG221" s="321" t="str">
        <f aca="false">IF(A221="N/A"," ",(VLOOKUP(A221,IntraPowerVol,(IF(VolBMO4=2,3,IF(VolBMO4=1,2,4))),FALSE())*VLOOKUP(MONTH($A221),Volscale,2)))</f>
        <v> </v>
      </c>
      <c r="AH221" s="321" t="str">
        <f aca="false">IF($A221="N/A"," ",IF(VolType4=1,AG221,AF221))</f>
        <v> </v>
      </c>
      <c r="AI221" s="321" t="str">
        <f aca="false">IF($A221="N/A"," ",(VLOOKUP($A221,OffPwrVolTable,(IF(VolBMO4=2,7,IF(VolBMO4=1,6,8))),FALSE())))</f>
        <v> </v>
      </c>
      <c r="AJ221" s="321" t="str">
        <f aca="false">IF($A221="N/A"," ",(VLOOKUP($A221,OffPwrVolTable,(IF(VolBMO4=2,3,IF(VolBMO4=1,2,4))),FALSE())*VLOOKUP(MONTH($A221),Volscale,2)))</f>
        <v> </v>
      </c>
      <c r="AK221" s="321" t="str">
        <f aca="false">IF($A221="N/A"," ",IF(VolType4=1,AJ221,AI221))</f>
        <v> </v>
      </c>
      <c r="AL221" s="321" t="str">
        <f aca="false">IF($A221="N/A"," ",IF(PV=1,0,'Pricing Inputs4'!R254))</f>
        <v> </v>
      </c>
      <c r="AM221" s="323" t="str">
        <f aca="false">IF($A221="N/A"," ",(1+AL221/2)^(-2*((EOMONTH(A221,0)+20)-DateToday)/365.25))</f>
        <v> </v>
      </c>
      <c r="BQ221" s="0" t="str">
        <f aca="false">IF($A221="N/A"," ",(VLOOKUP($A221,NumberofDaysTable,2)))</f>
        <v> </v>
      </c>
      <c r="BR221" s="0" t="str">
        <f aca="false">IF($A221="N/A"," ",(VLOOKUP($A221,NumberofDaysTable,3)))</f>
        <v> </v>
      </c>
      <c r="BS221" s="0" t="str">
        <f aca="false">IF($A221="N/A"," ",(VLOOKUP($A221,NumberofDaysTable,4)))</f>
        <v> </v>
      </c>
    </row>
    <row r="222" customFormat="false" ht="12.75" hidden="false" customHeight="false" outlineLevel="0" collapsed="false">
      <c r="A222" s="315" t="str">
        <f aca="false">IF(A221="N/A","N/A",IF(EDATE(A221,1)&gt;Inputs!$R$5,"N/A",EDATE(A221,1)))</f>
        <v>N/A</v>
      </c>
      <c r="B222" s="316" t="str">
        <f aca="false">IF(A222="N/A"," ",YEAR(A222))</f>
        <v> </v>
      </c>
      <c r="C222" s="317" t="str">
        <f aca="false">IF($A222="N/A"," ",IF(Dayrun4=10,0,IF(Scaler4=1,(VLOOKUP(A222,ScaledPrice4,4)),(VLOOKUP(A222,ScaledPrice4,2)))))</f>
        <v> </v>
      </c>
      <c r="D222" s="317" t="str">
        <f aca="false">IF(A222="N/A"," ",IF(Dayrun4&gt;=7,0,IF(Scaler4=2,VLOOKUP(A222,ScaledPrice4,2),(VLOOKUP(A222,ScaledPrice4,2))*(2-(VLOOKUP(A222,ScaledPrice4,3))))))</f>
        <v> </v>
      </c>
      <c r="E222" s="317" t="str">
        <f aca="false">IF($A222="N/A"," ",IF(AND(Dayrun4&gt;=4,Dayrun4&lt;=9),0,VLOOKUP($A222,ScaledPrice4,9)))</f>
        <v> </v>
      </c>
      <c r="F222" s="317" t="str">
        <f aca="false">IF(A222="N/A"," ",IF(OR(Dayrun4=2,Dayrun4=3,Dayrun4=5,Dayrun4=6,Dayrun4=8,Dayrun4=9),VLOOKUP(A222,ScaledPrice4,IF(Scaler4=1,6,5)),0))</f>
        <v> </v>
      </c>
      <c r="G222" s="317" t="str">
        <f aca="false">IF(A222="N/A"," ",IF(OR(Dayrun4=2,Dayrun4=3,Dayrun4=5,Dayrun4=6),IF(Scaler4=2,F222,(VLOOKUP(A222,ScaledPrice4,5))*(2-(VLOOKUP(A222,ScaledPrice4,3)))),0))</f>
        <v> </v>
      </c>
      <c r="H222" s="317" t="str">
        <f aca="false">IF($A222="N/A"," ",IF(OR(Dayrun4=2,Dayrun4=3,Dayrun4=10),VLOOKUP($A222,ScaledPrice4,9),0))</f>
        <v> </v>
      </c>
      <c r="I222" s="317" t="str">
        <f aca="false">IF(A222="N/A"," ",IF(OR(Dayrun4=3,Dayrun4=6,Dayrun4=9),(VLOOKUP(A222,ScaledPrice4,IF(Scaler4=2,7,8))),0))</f>
        <v> </v>
      </c>
      <c r="J222" s="317" t="str">
        <f aca="false">IF(A222="N/A"," ",IF(OR(Dayrun4=3,Dayrun4=6),IF(Scaler4=2,I222,(VLOOKUP(A222,ScaledPrice4,7))*(2-(VLOOKUP(A222,ScaledPrice4,3)))),0))</f>
        <v> </v>
      </c>
      <c r="K222" s="317" t="str">
        <f aca="false">IF($A222="N/A"," ",IF(OR(Dayrun4=3,Dayrun4=10),VLOOKUP($A222,ScaledPrice4,9),0))</f>
        <v> </v>
      </c>
      <c r="L222" s="318" t="str">
        <f aca="false">IF($A222="N/A"," ",IF(Pricetype4=2,MAX(C222,0),IF(OR(Pricetype4=1,Pricetype4=4),IF(C222=0,0,(EURO(C222,Strikeprice4,0,0,($AH222+IF(Smile=TRUE(),VLOOKUP(MAX(-5,Strikeprice4-C222),Volsmile,2),0)),($A222-DateToday)+15,IF(Pricetype4=1,1,0),0))),C222)))</f>
        <v> </v>
      </c>
      <c r="M222" s="318" t="str">
        <f aca="false">IF($A222="N/A"," ",IF(Pricetype4=2,MAX(D222,0),IF(OR(Pricetype4=1,Pricetype4=4),IF(D222=0,0,(EURO(D222,Strikeprice4,0,0,($AH222+IF(Smile=TRUE(),VLOOKUP(MAX(-5,Strikeprice4-D222),Volsmile,2),0)),($A222-DateToday)+15,IF(Pricetype4=1,1,0),0))),D222)))</f>
        <v> </v>
      </c>
      <c r="N222" s="318" t="str">
        <f aca="false">IF($A222="N/A"," ",IF(Pricetype4=2,MAX(E222,0),IF(OR(Pricetype4=1,Pricetype4=4),IF(E222=0,0,(EURO(E222,Strikeprice4,0,0,($AK222+IF(Smile=TRUE(),VLOOKUP(MAX(-5,Strikeprice4-E222),Volsmile,2),0)),($A222-DateToday)+15,IF(Pricetype4=1,1,0),0))),E222)))</f>
        <v> </v>
      </c>
      <c r="O222" s="318" t="str">
        <f aca="false">IF($A222="N/A"," ",IF(Pricetype4=2,MAX(F222,0),IF(OR(Pricetype4=1,Pricetype4=4),IF(F222=0,0,(EURO(F222,Strikeprice4,0,0,($AK222+IF(Smile=TRUE(),VLOOKUP(MAX(-5,Strikeprice4-F222),Volsmile,2),0)),($A222-DateToday)+15,IF(Pricetype4=1,1,0),0))),F222)))</f>
        <v> </v>
      </c>
      <c r="P222" s="318" t="str">
        <f aca="false">IF($A222="N/A"," ",IF(Pricetype4=2,MAX(G222,0),IF(OR(Pricetype4=1,Pricetype4=4),IF(G222=0,0,(EURO(G222,Strikeprice4,0,0,($AK222+IF(Smile=TRUE(),VLOOKUP(MAX(-5,Strikeprice4-G222),Volsmile,2),0)),($A222-DateToday)+15,IF(Pricetype4=1,1,0),0))),G222)))</f>
        <v> </v>
      </c>
      <c r="Q222" s="318" t="str">
        <f aca="false">IF($A222="N/A"," ",IF(Pricetype4=2,MAX(H222,0),IF(OR(Pricetype4=1,Pricetype4=4),IF(H222=0,0,(EURO(H222,Strikeprice4,0,0,($AK222+IF(Smile=TRUE(),VLOOKUP(MAX(-5,Strikeprice4-H222),Volsmile,2),0)),($A222-DateToday)+15,IF(Pricetype4=1,1,0),0))),H222)))</f>
        <v> </v>
      </c>
      <c r="R222" s="318" t="str">
        <f aca="false">IF($A222="N/A"," ",IF(Pricetype4=2,MAX(I222,0),IF(OR(Pricetype4=1,Pricetype4=4),IF(I222=0,0,(EURO(I222,Strikeprice4,0,0,($AK222+IF(Smile=TRUE(),VLOOKUP(MAX(-5,Strikeprice4-I222),Volsmile,2),0)),($A222-DateToday)+15,IF(Pricetype4=1,1,0),0))),I222)))</f>
        <v> </v>
      </c>
      <c r="S222" s="318" t="str">
        <f aca="false">IF($A222="N/A"," ",IF(Pricetype4=2,MAX(J222,0),IF(OR(Pricetype4=1,Pricetype4=4),IF(J222=0,0,(EURO(J222,Strikeprice4,0,0,($AK222+IF(Smile=TRUE(),VLOOKUP(MAX(-5,Strikeprice4-J222),Volsmile,2),0)),($A222-DateToday)+15,IF(Pricetype4=1,1,0),0))),J222)))</f>
        <v> </v>
      </c>
      <c r="T222" s="318" t="str">
        <f aca="false">IF($A222="N/A"," ",IF(Pricetype4=2,MAX(K222,0),IF(OR(Pricetype4=1,Pricetype4=4),IF(K222=0,0,(EURO(K222,Strikeprice4,0,0,($AK222+IF(Smile=TRUE(),VLOOKUP(MAX(-5,Strikeprice4-K222),Volsmile,2),0)),($A222-DateToday)+15,IF(Pricetype4=1,1,0),0))),K222)))</f>
        <v> </v>
      </c>
      <c r="U222" s="319" t="str">
        <f aca="false">IF($A222="N/A"," ",Volume4*$AM222)</f>
        <v> </v>
      </c>
      <c r="V222" s="320" t="str">
        <f aca="false">IF($A222="N/A"," ",$U222*(8*($BQ222))*L222)</f>
        <v> </v>
      </c>
      <c r="W222" s="320" t="str">
        <f aca="false">IF($A222="N/A"," ",$U222*(8*($BQ222))*M222)</f>
        <v> </v>
      </c>
      <c r="X222" s="320" t="str">
        <f aca="false">IF($A222="N/A"," ",$U222*(8*($BQ222))*N222)</f>
        <v> </v>
      </c>
      <c r="Y222" s="320" t="str">
        <f aca="false">IF($A222="N/A"," ",$U222*(8*($BR222))*O222)</f>
        <v> </v>
      </c>
      <c r="Z222" s="320" t="str">
        <f aca="false">IF($A222="N/A"," ",$U222*(8*($BR222))*P222)</f>
        <v> </v>
      </c>
      <c r="AA222" s="320" t="str">
        <f aca="false">IF($A222="N/A"," ",$U222*(8*($BR222))*Q222)</f>
        <v> </v>
      </c>
      <c r="AB222" s="320" t="str">
        <f aca="false">IF($A222="N/A"," ",$U222*(8*($BS222))*R222)</f>
        <v> </v>
      </c>
      <c r="AC222" s="320" t="str">
        <f aca="false">IF($A222="N/A"," ",$U222*(8*($BS222))*S222)</f>
        <v> </v>
      </c>
      <c r="AD222" s="320" t="str">
        <f aca="false">IF($A222="N/A"," ",$U222*(8*($BS222))*T222)</f>
        <v> </v>
      </c>
      <c r="AE222" s="320" t="str">
        <f aca="false">IF($A222="N/A"," ",SUM(V222:AD222))</f>
        <v> </v>
      </c>
      <c r="AF222" s="321" t="str">
        <f aca="false">IF(A222="N/A"," ",(VLOOKUP(A222,PowerVolTable,(IF(VolBMO4=2,7,IF(VolBMO4=1,6,8))),FALSE())))</f>
        <v> </v>
      </c>
      <c r="AG222" s="321" t="str">
        <f aca="false">IF(A222="N/A"," ",(VLOOKUP(A222,IntraPowerVol,(IF(VolBMO4=2,3,IF(VolBMO4=1,2,4))),FALSE())*VLOOKUP(MONTH($A222),Volscale,2)))</f>
        <v> </v>
      </c>
      <c r="AH222" s="321" t="str">
        <f aca="false">IF($A222="N/A"," ",IF(VolType4=1,AG222,AF222))</f>
        <v> </v>
      </c>
      <c r="AI222" s="321" t="str">
        <f aca="false">IF($A222="N/A"," ",(VLOOKUP($A222,OffPwrVolTable,(IF(VolBMO4=2,7,IF(VolBMO4=1,6,8))),FALSE())))</f>
        <v> </v>
      </c>
      <c r="AJ222" s="321" t="str">
        <f aca="false">IF($A222="N/A"," ",(VLOOKUP($A222,OffPwrVolTable,(IF(VolBMO4=2,3,IF(VolBMO4=1,2,4))),FALSE())*VLOOKUP(MONTH($A222),Volscale,2)))</f>
        <v> </v>
      </c>
      <c r="AK222" s="321" t="str">
        <f aca="false">IF($A222="N/A"," ",IF(VolType4=1,AJ222,AI222))</f>
        <v> </v>
      </c>
      <c r="AL222" s="321" t="str">
        <f aca="false">IF($A222="N/A"," ",IF(PV=1,0,'Pricing Inputs4'!R255))</f>
        <v> </v>
      </c>
      <c r="AM222" s="323" t="str">
        <f aca="false">IF($A222="N/A"," ",(1+AL222/2)^(-2*((EOMONTH(A222,0)+20)-DateToday)/365.25))</f>
        <v> </v>
      </c>
      <c r="BQ222" s="0" t="str">
        <f aca="false">IF($A222="N/A"," ",(VLOOKUP($A222,NumberofDaysTable,2)))</f>
        <v> </v>
      </c>
      <c r="BR222" s="0" t="str">
        <f aca="false">IF($A222="N/A"," ",(VLOOKUP($A222,NumberofDaysTable,3)))</f>
        <v> </v>
      </c>
      <c r="BS222" s="0" t="str">
        <f aca="false">IF($A222="N/A"," ",(VLOOKUP($A222,NumberofDaysTable,4)))</f>
        <v> </v>
      </c>
    </row>
    <row r="223" customFormat="false" ht="12.75" hidden="false" customHeight="false" outlineLevel="0" collapsed="false">
      <c r="A223" s="315" t="str">
        <f aca="false">IF(A222="N/A","N/A",IF(EDATE(A222,1)&gt;Inputs!$R$5,"N/A",EDATE(A222,1)))</f>
        <v>N/A</v>
      </c>
      <c r="B223" s="316" t="str">
        <f aca="false">IF(A223="N/A"," ",YEAR(A223))</f>
        <v> </v>
      </c>
      <c r="C223" s="317" t="str">
        <f aca="false">IF($A223="N/A"," ",IF(Dayrun4=10,0,IF(Scaler4=1,(VLOOKUP(A223,ScaledPrice4,4)),(VLOOKUP(A223,ScaledPrice4,2)))))</f>
        <v> </v>
      </c>
      <c r="D223" s="317" t="str">
        <f aca="false">IF(A223="N/A"," ",IF(Dayrun4&gt;=7,0,IF(Scaler4=2,VLOOKUP(A223,ScaledPrice4,2),(VLOOKUP(A223,ScaledPrice4,2))*(2-(VLOOKUP(A223,ScaledPrice4,3))))))</f>
        <v> </v>
      </c>
      <c r="E223" s="317" t="str">
        <f aca="false">IF($A223="N/A"," ",IF(AND(Dayrun4&gt;=4,Dayrun4&lt;=9),0,VLOOKUP($A223,ScaledPrice4,9)))</f>
        <v> </v>
      </c>
      <c r="F223" s="317" t="str">
        <f aca="false">IF(A223="N/A"," ",IF(OR(Dayrun4=2,Dayrun4=3,Dayrun4=5,Dayrun4=6,Dayrun4=8,Dayrun4=9),VLOOKUP(A223,ScaledPrice4,IF(Scaler4=1,6,5)),0))</f>
        <v> </v>
      </c>
      <c r="G223" s="317" t="str">
        <f aca="false">IF(A223="N/A"," ",IF(OR(Dayrun4=2,Dayrun4=3,Dayrun4=5,Dayrun4=6),IF(Scaler4=2,F223,(VLOOKUP(A223,ScaledPrice4,5))*(2-(VLOOKUP(A223,ScaledPrice4,3)))),0))</f>
        <v> </v>
      </c>
      <c r="H223" s="317" t="str">
        <f aca="false">IF($A223="N/A"," ",IF(OR(Dayrun4=2,Dayrun4=3,Dayrun4=10),VLOOKUP($A223,ScaledPrice4,9),0))</f>
        <v> </v>
      </c>
      <c r="I223" s="317" t="str">
        <f aca="false">IF(A223="N/A"," ",IF(OR(Dayrun4=3,Dayrun4=6,Dayrun4=9),(VLOOKUP(A223,ScaledPrice4,IF(Scaler4=2,7,8))),0))</f>
        <v> </v>
      </c>
      <c r="J223" s="317" t="str">
        <f aca="false">IF(A223="N/A"," ",IF(OR(Dayrun4=3,Dayrun4=6),IF(Scaler4=2,I223,(VLOOKUP(A223,ScaledPrice4,7))*(2-(VLOOKUP(A223,ScaledPrice4,3)))),0))</f>
        <v> </v>
      </c>
      <c r="K223" s="317" t="str">
        <f aca="false">IF($A223="N/A"," ",IF(OR(Dayrun4=3,Dayrun4=10),VLOOKUP($A223,ScaledPrice4,9),0))</f>
        <v> </v>
      </c>
      <c r="L223" s="318" t="str">
        <f aca="false">IF($A223="N/A"," ",IF(Pricetype4=2,MAX(C223,0),IF(OR(Pricetype4=1,Pricetype4=4),IF(C223=0,0,(EURO(C223,Strikeprice4,0,0,($AH223+IF(Smile=TRUE(),VLOOKUP(MAX(-5,Strikeprice4-C223),Volsmile,2),0)),($A223-DateToday)+15,IF(Pricetype4=1,1,0),0))),C223)))</f>
        <v> </v>
      </c>
      <c r="M223" s="318" t="str">
        <f aca="false">IF($A223="N/A"," ",IF(Pricetype4=2,MAX(D223,0),IF(OR(Pricetype4=1,Pricetype4=4),IF(D223=0,0,(EURO(D223,Strikeprice4,0,0,($AH223+IF(Smile=TRUE(),VLOOKUP(MAX(-5,Strikeprice4-D223),Volsmile,2),0)),($A223-DateToday)+15,IF(Pricetype4=1,1,0),0))),D223)))</f>
        <v> </v>
      </c>
      <c r="N223" s="318" t="str">
        <f aca="false">IF($A223="N/A"," ",IF(Pricetype4=2,MAX(E223,0),IF(OR(Pricetype4=1,Pricetype4=4),IF(E223=0,0,(EURO(E223,Strikeprice4,0,0,($AK223+IF(Smile=TRUE(),VLOOKUP(MAX(-5,Strikeprice4-E223),Volsmile,2),0)),($A223-DateToday)+15,IF(Pricetype4=1,1,0),0))),E223)))</f>
        <v> </v>
      </c>
      <c r="O223" s="318" t="str">
        <f aca="false">IF($A223="N/A"," ",IF(Pricetype4=2,MAX(F223,0),IF(OR(Pricetype4=1,Pricetype4=4),IF(F223=0,0,(EURO(F223,Strikeprice4,0,0,($AK223+IF(Smile=TRUE(),VLOOKUP(MAX(-5,Strikeprice4-F223),Volsmile,2),0)),($A223-DateToday)+15,IF(Pricetype4=1,1,0),0))),F223)))</f>
        <v> </v>
      </c>
      <c r="P223" s="318" t="str">
        <f aca="false">IF($A223="N/A"," ",IF(Pricetype4=2,MAX(G223,0),IF(OR(Pricetype4=1,Pricetype4=4),IF(G223=0,0,(EURO(G223,Strikeprice4,0,0,($AK223+IF(Smile=TRUE(),VLOOKUP(MAX(-5,Strikeprice4-G223),Volsmile,2),0)),($A223-DateToday)+15,IF(Pricetype4=1,1,0),0))),G223)))</f>
        <v> </v>
      </c>
      <c r="Q223" s="318" t="str">
        <f aca="false">IF($A223="N/A"," ",IF(Pricetype4=2,MAX(H223,0),IF(OR(Pricetype4=1,Pricetype4=4),IF(H223=0,0,(EURO(H223,Strikeprice4,0,0,($AK223+IF(Smile=TRUE(),VLOOKUP(MAX(-5,Strikeprice4-H223),Volsmile,2),0)),($A223-DateToday)+15,IF(Pricetype4=1,1,0),0))),H223)))</f>
        <v> </v>
      </c>
      <c r="R223" s="318" t="str">
        <f aca="false">IF($A223="N/A"," ",IF(Pricetype4=2,MAX(I223,0),IF(OR(Pricetype4=1,Pricetype4=4),IF(I223=0,0,(EURO(I223,Strikeprice4,0,0,($AK223+IF(Smile=TRUE(),VLOOKUP(MAX(-5,Strikeprice4-I223),Volsmile,2),0)),($A223-DateToday)+15,IF(Pricetype4=1,1,0),0))),I223)))</f>
        <v> </v>
      </c>
      <c r="S223" s="318" t="str">
        <f aca="false">IF($A223="N/A"," ",IF(Pricetype4=2,MAX(J223,0),IF(OR(Pricetype4=1,Pricetype4=4),IF(J223=0,0,(EURO(J223,Strikeprice4,0,0,($AK223+IF(Smile=TRUE(),VLOOKUP(MAX(-5,Strikeprice4-J223),Volsmile,2),0)),($A223-DateToday)+15,IF(Pricetype4=1,1,0),0))),J223)))</f>
        <v> </v>
      </c>
      <c r="T223" s="318" t="str">
        <f aca="false">IF($A223="N/A"," ",IF(Pricetype4=2,MAX(K223,0),IF(OR(Pricetype4=1,Pricetype4=4),IF(K223=0,0,(EURO(K223,Strikeprice4,0,0,($AK223+IF(Smile=TRUE(),VLOOKUP(MAX(-5,Strikeprice4-K223),Volsmile,2),0)),($A223-DateToday)+15,IF(Pricetype4=1,1,0),0))),K223)))</f>
        <v> </v>
      </c>
      <c r="U223" s="319" t="str">
        <f aca="false">IF($A223="N/A"," ",Volume4*$AM223)</f>
        <v> </v>
      </c>
      <c r="V223" s="320" t="str">
        <f aca="false">IF($A223="N/A"," ",$U223*(8*($BQ223))*L223)</f>
        <v> </v>
      </c>
      <c r="W223" s="320" t="str">
        <f aca="false">IF($A223="N/A"," ",$U223*(8*($BQ223))*M223)</f>
        <v> </v>
      </c>
      <c r="X223" s="320" t="str">
        <f aca="false">IF($A223="N/A"," ",$U223*(8*($BQ223))*N223)</f>
        <v> </v>
      </c>
      <c r="Y223" s="320" t="str">
        <f aca="false">IF($A223="N/A"," ",$U223*(8*($BR223))*O223)</f>
        <v> </v>
      </c>
      <c r="Z223" s="320" t="str">
        <f aca="false">IF($A223="N/A"," ",$U223*(8*($BR223))*P223)</f>
        <v> </v>
      </c>
      <c r="AA223" s="320" t="str">
        <f aca="false">IF($A223="N/A"," ",$U223*(8*($BR223))*Q223)</f>
        <v> </v>
      </c>
      <c r="AB223" s="320" t="str">
        <f aca="false">IF($A223="N/A"," ",$U223*(8*($BS223))*R223)</f>
        <v> </v>
      </c>
      <c r="AC223" s="320" t="str">
        <f aca="false">IF($A223="N/A"," ",$U223*(8*($BS223))*S223)</f>
        <v> </v>
      </c>
      <c r="AD223" s="320" t="str">
        <f aca="false">IF($A223="N/A"," ",$U223*(8*($BS223))*T223)</f>
        <v> </v>
      </c>
      <c r="AE223" s="320" t="str">
        <f aca="false">IF($A223="N/A"," ",SUM(V223:AD223))</f>
        <v> </v>
      </c>
      <c r="AF223" s="321" t="str">
        <f aca="false">IF(A223="N/A"," ",(VLOOKUP(A223,PowerVolTable,(IF(VolBMO4=2,7,IF(VolBMO4=1,6,8))),FALSE())))</f>
        <v> </v>
      </c>
      <c r="AG223" s="321" t="str">
        <f aca="false">IF(A223="N/A"," ",(VLOOKUP(A223,IntraPowerVol,(IF(VolBMO4=2,3,IF(VolBMO4=1,2,4))),FALSE())*VLOOKUP(MONTH($A223),Volscale,2)))</f>
        <v> </v>
      </c>
      <c r="AH223" s="321" t="str">
        <f aca="false">IF($A223="N/A"," ",IF(VolType4=1,AG223,AF223))</f>
        <v> </v>
      </c>
      <c r="AI223" s="321" t="str">
        <f aca="false">IF($A223="N/A"," ",(VLOOKUP($A223,OffPwrVolTable,(IF(VolBMO4=2,7,IF(VolBMO4=1,6,8))),FALSE())))</f>
        <v> </v>
      </c>
      <c r="AJ223" s="321" t="str">
        <f aca="false">IF($A223="N/A"," ",(VLOOKUP($A223,OffPwrVolTable,(IF(VolBMO4=2,3,IF(VolBMO4=1,2,4))),FALSE())*VLOOKUP(MONTH($A223),Volscale,2)))</f>
        <v> </v>
      </c>
      <c r="AK223" s="321" t="str">
        <f aca="false">IF($A223="N/A"," ",IF(VolType4=1,AJ223,AI223))</f>
        <v> </v>
      </c>
      <c r="AL223" s="321" t="str">
        <f aca="false">IF($A223="N/A"," ",IF(PV=1,0,'Pricing Inputs4'!R256))</f>
        <v> </v>
      </c>
      <c r="AM223" s="323" t="str">
        <f aca="false">IF($A223="N/A"," ",(1+AL223/2)^(-2*((EOMONTH(A223,0)+20)-DateToday)/365.25))</f>
        <v> </v>
      </c>
      <c r="BQ223" s="0" t="str">
        <f aca="false">IF($A223="N/A"," ",(VLOOKUP($A223,NumberofDaysTable,2)))</f>
        <v> </v>
      </c>
      <c r="BR223" s="0" t="str">
        <f aca="false">IF($A223="N/A"," ",(VLOOKUP($A223,NumberofDaysTable,3)))</f>
        <v> </v>
      </c>
      <c r="BS223" s="0" t="str">
        <f aca="false">IF($A223="N/A"," ",(VLOOKUP($A223,NumberofDaysTable,4)))</f>
        <v> </v>
      </c>
    </row>
    <row r="224" customFormat="false" ht="12.75" hidden="false" customHeight="false" outlineLevel="0" collapsed="false">
      <c r="A224" s="315" t="str">
        <f aca="false">IF(A223="N/A","N/A",IF(EDATE(A223,1)&gt;Inputs!$R$5,"N/A",EDATE(A223,1)))</f>
        <v>N/A</v>
      </c>
      <c r="B224" s="316" t="str">
        <f aca="false">IF(A224="N/A"," ",YEAR(A224))</f>
        <v> </v>
      </c>
      <c r="C224" s="317" t="str">
        <f aca="false">IF($A224="N/A"," ",IF(Dayrun4=10,0,IF(Scaler4=1,(VLOOKUP(A224,ScaledPrice4,4)),(VLOOKUP(A224,ScaledPrice4,2)))))</f>
        <v> </v>
      </c>
      <c r="D224" s="317" t="str">
        <f aca="false">IF(A224="N/A"," ",IF(Dayrun4&gt;=7,0,IF(Scaler4=2,VLOOKUP(A224,ScaledPrice4,2),(VLOOKUP(A224,ScaledPrice4,2))*(2-(VLOOKUP(A224,ScaledPrice4,3))))))</f>
        <v> </v>
      </c>
      <c r="E224" s="317" t="str">
        <f aca="false">IF($A224="N/A"," ",IF(AND(Dayrun4&gt;=4,Dayrun4&lt;=9),0,VLOOKUP($A224,ScaledPrice4,9)))</f>
        <v> </v>
      </c>
      <c r="F224" s="317" t="str">
        <f aca="false">IF(A224="N/A"," ",IF(OR(Dayrun4=2,Dayrun4=3,Dayrun4=5,Dayrun4=6,Dayrun4=8,Dayrun4=9),VLOOKUP(A224,ScaledPrice4,IF(Scaler4=1,6,5)),0))</f>
        <v> </v>
      </c>
      <c r="G224" s="317" t="str">
        <f aca="false">IF(A224="N/A"," ",IF(OR(Dayrun4=2,Dayrun4=3,Dayrun4=5,Dayrun4=6),IF(Scaler4=2,F224,(VLOOKUP(A224,ScaledPrice4,5))*(2-(VLOOKUP(A224,ScaledPrice4,3)))),0))</f>
        <v> </v>
      </c>
      <c r="H224" s="317" t="str">
        <f aca="false">IF($A224="N/A"," ",IF(OR(Dayrun4=2,Dayrun4=3,Dayrun4=10),VLOOKUP($A224,ScaledPrice4,9),0))</f>
        <v> </v>
      </c>
      <c r="I224" s="317" t="str">
        <f aca="false">IF(A224="N/A"," ",IF(OR(Dayrun4=3,Dayrun4=6,Dayrun4=9),(VLOOKUP(A224,ScaledPrice4,IF(Scaler4=2,7,8))),0))</f>
        <v> </v>
      </c>
      <c r="J224" s="317" t="str">
        <f aca="false">IF(A224="N/A"," ",IF(OR(Dayrun4=3,Dayrun4=6),IF(Scaler4=2,I224,(VLOOKUP(A224,ScaledPrice4,7))*(2-(VLOOKUP(A224,ScaledPrice4,3)))),0))</f>
        <v> </v>
      </c>
      <c r="K224" s="317" t="str">
        <f aca="false">IF($A224="N/A"," ",IF(OR(Dayrun4=3,Dayrun4=10),VLOOKUP($A224,ScaledPrice4,9),0))</f>
        <v> </v>
      </c>
      <c r="L224" s="318" t="str">
        <f aca="false">IF($A224="N/A"," ",IF(Pricetype4=2,MAX(C224,0),IF(OR(Pricetype4=1,Pricetype4=4),IF(C224=0,0,(EURO(C224,Strikeprice4,0,0,($AH224+IF(Smile=TRUE(),VLOOKUP(MAX(-5,Strikeprice4-C224),Volsmile,2),0)),($A224-DateToday)+15,IF(Pricetype4=1,1,0),0))),C224)))</f>
        <v> </v>
      </c>
      <c r="M224" s="318" t="str">
        <f aca="false">IF($A224="N/A"," ",IF(Pricetype4=2,MAX(D224,0),IF(OR(Pricetype4=1,Pricetype4=4),IF(D224=0,0,(EURO(D224,Strikeprice4,0,0,($AH224+IF(Smile=TRUE(),VLOOKUP(MAX(-5,Strikeprice4-D224),Volsmile,2),0)),($A224-DateToday)+15,IF(Pricetype4=1,1,0),0))),D224)))</f>
        <v> </v>
      </c>
      <c r="N224" s="318" t="str">
        <f aca="false">IF($A224="N/A"," ",IF(Pricetype4=2,MAX(E224,0),IF(OR(Pricetype4=1,Pricetype4=4),IF(E224=0,0,(EURO(E224,Strikeprice4,0,0,($AK224+IF(Smile=TRUE(),VLOOKUP(MAX(-5,Strikeprice4-E224),Volsmile,2),0)),($A224-DateToday)+15,IF(Pricetype4=1,1,0),0))),E224)))</f>
        <v> </v>
      </c>
      <c r="O224" s="318" t="str">
        <f aca="false">IF($A224="N/A"," ",IF(Pricetype4=2,MAX(F224,0),IF(OR(Pricetype4=1,Pricetype4=4),IF(F224=0,0,(EURO(F224,Strikeprice4,0,0,($AK224+IF(Smile=TRUE(),VLOOKUP(MAX(-5,Strikeprice4-F224),Volsmile,2),0)),($A224-DateToday)+15,IF(Pricetype4=1,1,0),0))),F224)))</f>
        <v> </v>
      </c>
      <c r="P224" s="318" t="str">
        <f aca="false">IF($A224="N/A"," ",IF(Pricetype4=2,MAX(G224,0),IF(OR(Pricetype4=1,Pricetype4=4),IF(G224=0,0,(EURO(G224,Strikeprice4,0,0,($AK224+IF(Smile=TRUE(),VLOOKUP(MAX(-5,Strikeprice4-G224),Volsmile,2),0)),($A224-DateToday)+15,IF(Pricetype4=1,1,0),0))),G224)))</f>
        <v> </v>
      </c>
      <c r="Q224" s="318" t="str">
        <f aca="false">IF($A224="N/A"," ",IF(Pricetype4=2,MAX(H224,0),IF(OR(Pricetype4=1,Pricetype4=4),IF(H224=0,0,(EURO(H224,Strikeprice4,0,0,($AK224+IF(Smile=TRUE(),VLOOKUP(MAX(-5,Strikeprice4-H224),Volsmile,2),0)),($A224-DateToday)+15,IF(Pricetype4=1,1,0),0))),H224)))</f>
        <v> </v>
      </c>
      <c r="R224" s="318" t="str">
        <f aca="false">IF($A224="N/A"," ",IF(Pricetype4=2,MAX(I224,0),IF(OR(Pricetype4=1,Pricetype4=4),IF(I224=0,0,(EURO(I224,Strikeprice4,0,0,($AK224+IF(Smile=TRUE(),VLOOKUP(MAX(-5,Strikeprice4-I224),Volsmile,2),0)),($A224-DateToday)+15,IF(Pricetype4=1,1,0),0))),I224)))</f>
        <v> </v>
      </c>
      <c r="S224" s="318" t="str">
        <f aca="false">IF($A224="N/A"," ",IF(Pricetype4=2,MAX(J224,0),IF(OR(Pricetype4=1,Pricetype4=4),IF(J224=0,0,(EURO(J224,Strikeprice4,0,0,($AK224+IF(Smile=TRUE(),VLOOKUP(MAX(-5,Strikeprice4-J224),Volsmile,2),0)),($A224-DateToday)+15,IF(Pricetype4=1,1,0),0))),J224)))</f>
        <v> </v>
      </c>
      <c r="T224" s="318" t="str">
        <f aca="false">IF($A224="N/A"," ",IF(Pricetype4=2,MAX(K224,0),IF(OR(Pricetype4=1,Pricetype4=4),IF(K224=0,0,(EURO(K224,Strikeprice4,0,0,($AK224+IF(Smile=TRUE(),VLOOKUP(MAX(-5,Strikeprice4-K224),Volsmile,2),0)),($A224-DateToday)+15,IF(Pricetype4=1,1,0),0))),K224)))</f>
        <v> </v>
      </c>
      <c r="U224" s="319" t="str">
        <f aca="false">IF($A224="N/A"," ",Volume4*$AM224)</f>
        <v> </v>
      </c>
      <c r="V224" s="320" t="str">
        <f aca="false">IF($A224="N/A"," ",$U224*(8*($BQ224))*L224)</f>
        <v> </v>
      </c>
      <c r="W224" s="320" t="str">
        <f aca="false">IF($A224="N/A"," ",$U224*(8*($BQ224))*M224)</f>
        <v> </v>
      </c>
      <c r="X224" s="320" t="str">
        <f aca="false">IF($A224="N/A"," ",$U224*(8*($BQ224))*N224)</f>
        <v> </v>
      </c>
      <c r="Y224" s="320" t="str">
        <f aca="false">IF($A224="N/A"," ",$U224*(8*($BR224))*O224)</f>
        <v> </v>
      </c>
      <c r="Z224" s="320" t="str">
        <f aca="false">IF($A224="N/A"," ",$U224*(8*($BR224))*P224)</f>
        <v> </v>
      </c>
      <c r="AA224" s="320" t="str">
        <f aca="false">IF($A224="N/A"," ",$U224*(8*($BR224))*Q224)</f>
        <v> </v>
      </c>
      <c r="AB224" s="320" t="str">
        <f aca="false">IF($A224="N/A"," ",$U224*(8*($BS224))*R224)</f>
        <v> </v>
      </c>
      <c r="AC224" s="320" t="str">
        <f aca="false">IF($A224="N/A"," ",$U224*(8*($BS224))*S224)</f>
        <v> </v>
      </c>
      <c r="AD224" s="320" t="str">
        <f aca="false">IF($A224="N/A"," ",$U224*(8*($BS224))*T224)</f>
        <v> </v>
      </c>
      <c r="AE224" s="320" t="str">
        <f aca="false">IF($A224="N/A"," ",SUM(V224:AD224))</f>
        <v> </v>
      </c>
      <c r="AF224" s="321" t="str">
        <f aca="false">IF(A224="N/A"," ",(VLOOKUP(A224,PowerVolTable,(IF(VolBMO4=2,7,IF(VolBMO4=1,6,8))),FALSE())))</f>
        <v> </v>
      </c>
      <c r="AG224" s="321" t="str">
        <f aca="false">IF(A224="N/A"," ",(VLOOKUP(A224,IntraPowerVol,(IF(VolBMO4=2,3,IF(VolBMO4=1,2,4))),FALSE())*VLOOKUP(MONTH($A224),Volscale,2)))</f>
        <v> </v>
      </c>
      <c r="AH224" s="321" t="str">
        <f aca="false">IF($A224="N/A"," ",IF(VolType4=1,AG224,AF224))</f>
        <v> </v>
      </c>
      <c r="AI224" s="321" t="str">
        <f aca="false">IF($A224="N/A"," ",(VLOOKUP($A224,OffPwrVolTable,(IF(VolBMO4=2,7,IF(VolBMO4=1,6,8))),FALSE())))</f>
        <v> </v>
      </c>
      <c r="AJ224" s="321" t="str">
        <f aca="false">IF($A224="N/A"," ",(VLOOKUP($A224,OffPwrVolTable,(IF(VolBMO4=2,3,IF(VolBMO4=1,2,4))),FALSE())*VLOOKUP(MONTH($A224),Volscale,2)))</f>
        <v> </v>
      </c>
      <c r="AK224" s="321" t="str">
        <f aca="false">IF($A224="N/A"," ",IF(VolType4=1,AJ224,AI224))</f>
        <v> </v>
      </c>
      <c r="AL224" s="321" t="str">
        <f aca="false">IF($A224="N/A"," ",IF(PV=1,0,'Pricing Inputs4'!R257))</f>
        <v> </v>
      </c>
      <c r="AM224" s="323" t="str">
        <f aca="false">IF($A224="N/A"," ",(1+AL224/2)^(-2*((EOMONTH(A224,0)+20)-DateToday)/365.25))</f>
        <v> </v>
      </c>
      <c r="BQ224" s="0" t="str">
        <f aca="false">IF($A224="N/A"," ",(VLOOKUP($A224,NumberofDaysTable,2)))</f>
        <v> </v>
      </c>
      <c r="BR224" s="0" t="str">
        <f aca="false">IF($A224="N/A"," ",(VLOOKUP($A224,NumberofDaysTable,3)))</f>
        <v> </v>
      </c>
      <c r="BS224" s="0" t="str">
        <f aca="false">IF($A224="N/A"," ",(VLOOKUP($A224,NumberofDaysTable,4)))</f>
        <v> </v>
      </c>
    </row>
    <row r="225" customFormat="false" ht="12.75" hidden="false" customHeight="false" outlineLevel="0" collapsed="false">
      <c r="A225" s="315" t="str">
        <f aca="false">IF(A224="N/A","N/A",IF(EDATE(A224,1)&gt;Inputs!$R$5,"N/A",EDATE(A224,1)))</f>
        <v>N/A</v>
      </c>
      <c r="B225" s="316" t="str">
        <f aca="false">IF(A225="N/A"," ",YEAR(A225))</f>
        <v> </v>
      </c>
      <c r="C225" s="317" t="str">
        <f aca="false">IF($A225="N/A"," ",IF(Dayrun4=10,0,IF(Scaler4=1,(VLOOKUP(A225,ScaledPrice4,4)),(VLOOKUP(A225,ScaledPrice4,2)))))</f>
        <v> </v>
      </c>
      <c r="D225" s="317" t="str">
        <f aca="false">IF(A225="N/A"," ",IF(Dayrun4&gt;=7,0,IF(Scaler4=2,VLOOKUP(A225,ScaledPrice4,2),(VLOOKUP(A225,ScaledPrice4,2))*(2-(VLOOKUP(A225,ScaledPrice4,3))))))</f>
        <v> </v>
      </c>
      <c r="E225" s="317" t="str">
        <f aca="false">IF($A225="N/A"," ",IF(AND(Dayrun4&gt;=4,Dayrun4&lt;=9),0,VLOOKUP($A225,ScaledPrice4,9)))</f>
        <v> </v>
      </c>
      <c r="F225" s="317" t="str">
        <f aca="false">IF(A225="N/A"," ",IF(OR(Dayrun4=2,Dayrun4=3,Dayrun4=5,Dayrun4=6,Dayrun4=8,Dayrun4=9),VLOOKUP(A225,ScaledPrice4,IF(Scaler4=1,6,5)),0))</f>
        <v> </v>
      </c>
      <c r="G225" s="317" t="str">
        <f aca="false">IF(A225="N/A"," ",IF(OR(Dayrun4=2,Dayrun4=3,Dayrun4=5,Dayrun4=6),IF(Scaler4=2,F225,(VLOOKUP(A225,ScaledPrice4,5))*(2-(VLOOKUP(A225,ScaledPrice4,3)))),0))</f>
        <v> </v>
      </c>
      <c r="H225" s="317" t="str">
        <f aca="false">IF($A225="N/A"," ",IF(OR(Dayrun4=2,Dayrun4=3,Dayrun4=10),VLOOKUP($A225,ScaledPrice4,9),0))</f>
        <v> </v>
      </c>
      <c r="I225" s="317" t="str">
        <f aca="false">IF(A225="N/A"," ",IF(OR(Dayrun4=3,Dayrun4=6,Dayrun4=9),(VLOOKUP(A225,ScaledPrice4,IF(Scaler4=2,7,8))),0))</f>
        <v> </v>
      </c>
      <c r="J225" s="317" t="str">
        <f aca="false">IF(A225="N/A"," ",IF(OR(Dayrun4=3,Dayrun4=6),IF(Scaler4=2,I225,(VLOOKUP(A225,ScaledPrice4,7))*(2-(VLOOKUP(A225,ScaledPrice4,3)))),0))</f>
        <v> </v>
      </c>
      <c r="K225" s="317" t="str">
        <f aca="false">IF($A225="N/A"," ",IF(OR(Dayrun4=3,Dayrun4=10),VLOOKUP($A225,ScaledPrice4,9),0))</f>
        <v> </v>
      </c>
      <c r="L225" s="318" t="str">
        <f aca="false">IF($A225="N/A"," ",IF(Pricetype4=2,MAX(C225,0),IF(OR(Pricetype4=1,Pricetype4=4),IF(C225=0,0,(EURO(C225,Strikeprice4,0,0,($AH225+IF(Smile=TRUE(),VLOOKUP(MAX(-5,Strikeprice4-C225),Volsmile,2),0)),($A225-DateToday)+15,IF(Pricetype4=1,1,0),0))),C225)))</f>
        <v> </v>
      </c>
      <c r="M225" s="318" t="str">
        <f aca="false">IF($A225="N/A"," ",IF(Pricetype4=2,MAX(D225,0),IF(OR(Pricetype4=1,Pricetype4=4),IF(D225=0,0,(EURO(D225,Strikeprice4,0,0,($AH225+IF(Smile=TRUE(),VLOOKUP(MAX(-5,Strikeprice4-D225),Volsmile,2),0)),($A225-DateToday)+15,IF(Pricetype4=1,1,0),0))),D225)))</f>
        <v> </v>
      </c>
      <c r="N225" s="318" t="str">
        <f aca="false">IF($A225="N/A"," ",IF(Pricetype4=2,MAX(E225,0),IF(OR(Pricetype4=1,Pricetype4=4),IF(E225=0,0,(EURO(E225,Strikeprice4,0,0,($AK225+IF(Smile=TRUE(),VLOOKUP(MAX(-5,Strikeprice4-E225),Volsmile,2),0)),($A225-DateToday)+15,IF(Pricetype4=1,1,0),0))),E225)))</f>
        <v> </v>
      </c>
      <c r="O225" s="318" t="str">
        <f aca="false">IF($A225="N/A"," ",IF(Pricetype4=2,MAX(F225,0),IF(OR(Pricetype4=1,Pricetype4=4),IF(F225=0,0,(EURO(F225,Strikeprice4,0,0,($AK225+IF(Smile=TRUE(),VLOOKUP(MAX(-5,Strikeprice4-F225),Volsmile,2),0)),($A225-DateToday)+15,IF(Pricetype4=1,1,0),0))),F225)))</f>
        <v> </v>
      </c>
      <c r="P225" s="318" t="str">
        <f aca="false">IF($A225="N/A"," ",IF(Pricetype4=2,MAX(G225,0),IF(OR(Pricetype4=1,Pricetype4=4),IF(G225=0,0,(EURO(G225,Strikeprice4,0,0,($AK225+IF(Smile=TRUE(),VLOOKUP(MAX(-5,Strikeprice4-G225),Volsmile,2),0)),($A225-DateToday)+15,IF(Pricetype4=1,1,0),0))),G225)))</f>
        <v> </v>
      </c>
      <c r="Q225" s="318" t="str">
        <f aca="false">IF($A225="N/A"," ",IF(Pricetype4=2,MAX(H225,0),IF(OR(Pricetype4=1,Pricetype4=4),IF(H225=0,0,(EURO(H225,Strikeprice4,0,0,($AK225+IF(Smile=TRUE(),VLOOKUP(MAX(-5,Strikeprice4-H225),Volsmile,2),0)),($A225-DateToday)+15,IF(Pricetype4=1,1,0),0))),H225)))</f>
        <v> </v>
      </c>
      <c r="R225" s="318" t="str">
        <f aca="false">IF($A225="N/A"," ",IF(Pricetype4=2,MAX(I225,0),IF(OR(Pricetype4=1,Pricetype4=4),IF(I225=0,0,(EURO(I225,Strikeprice4,0,0,($AK225+IF(Smile=TRUE(),VLOOKUP(MAX(-5,Strikeprice4-I225),Volsmile,2),0)),($A225-DateToday)+15,IF(Pricetype4=1,1,0),0))),I225)))</f>
        <v> </v>
      </c>
      <c r="S225" s="318" t="str">
        <f aca="false">IF($A225="N/A"," ",IF(Pricetype4=2,MAX(J225,0),IF(OR(Pricetype4=1,Pricetype4=4),IF(J225=0,0,(EURO(J225,Strikeprice4,0,0,($AK225+IF(Smile=TRUE(),VLOOKUP(MAX(-5,Strikeprice4-J225),Volsmile,2),0)),($A225-DateToday)+15,IF(Pricetype4=1,1,0),0))),J225)))</f>
        <v> </v>
      </c>
      <c r="T225" s="318" t="str">
        <f aca="false">IF($A225="N/A"," ",IF(Pricetype4=2,MAX(K225,0),IF(OR(Pricetype4=1,Pricetype4=4),IF(K225=0,0,(EURO(K225,Strikeprice4,0,0,($AK225+IF(Smile=TRUE(),VLOOKUP(MAX(-5,Strikeprice4-K225),Volsmile,2),0)),($A225-DateToday)+15,IF(Pricetype4=1,1,0),0))),K225)))</f>
        <v> </v>
      </c>
      <c r="U225" s="319" t="str">
        <f aca="false">IF($A225="N/A"," ",Volume4*$AM225)</f>
        <v> </v>
      </c>
      <c r="V225" s="320" t="str">
        <f aca="false">IF($A225="N/A"," ",$U225*(8*($BQ225))*L225)</f>
        <v> </v>
      </c>
      <c r="W225" s="320" t="str">
        <f aca="false">IF($A225="N/A"," ",$U225*(8*($BQ225))*M225)</f>
        <v> </v>
      </c>
      <c r="X225" s="320" t="str">
        <f aca="false">IF($A225="N/A"," ",$U225*(8*($BQ225))*N225)</f>
        <v> </v>
      </c>
      <c r="Y225" s="320" t="str">
        <f aca="false">IF($A225="N/A"," ",$U225*(8*($BR225))*O225)</f>
        <v> </v>
      </c>
      <c r="Z225" s="320" t="str">
        <f aca="false">IF($A225="N/A"," ",$U225*(8*($BR225))*P225)</f>
        <v> </v>
      </c>
      <c r="AA225" s="320" t="str">
        <f aca="false">IF($A225="N/A"," ",$U225*(8*($BR225))*Q225)</f>
        <v> </v>
      </c>
      <c r="AB225" s="320" t="str">
        <f aca="false">IF($A225="N/A"," ",$U225*(8*($BS225))*R225)</f>
        <v> </v>
      </c>
      <c r="AC225" s="320" t="str">
        <f aca="false">IF($A225="N/A"," ",$U225*(8*($BS225))*S225)</f>
        <v> </v>
      </c>
      <c r="AD225" s="320" t="str">
        <f aca="false">IF($A225="N/A"," ",$U225*(8*($BS225))*T225)</f>
        <v> </v>
      </c>
      <c r="AE225" s="320" t="str">
        <f aca="false">IF($A225="N/A"," ",SUM(V225:AD225))</f>
        <v> </v>
      </c>
      <c r="AF225" s="321" t="str">
        <f aca="false">IF(A225="N/A"," ",(VLOOKUP(A225,PowerVolTable,(IF(VolBMO4=2,7,IF(VolBMO4=1,6,8))),FALSE())))</f>
        <v> </v>
      </c>
      <c r="AG225" s="321" t="str">
        <f aca="false">IF(A225="N/A"," ",(VLOOKUP(A225,IntraPowerVol,(IF(VolBMO4=2,3,IF(VolBMO4=1,2,4))),FALSE())*VLOOKUP(MONTH($A225),Volscale,2)))</f>
        <v> </v>
      </c>
      <c r="AH225" s="321" t="str">
        <f aca="false">IF($A225="N/A"," ",IF(VolType4=1,AG225,AF225))</f>
        <v> </v>
      </c>
      <c r="AI225" s="321" t="str">
        <f aca="false">IF($A225="N/A"," ",(VLOOKUP($A225,OffPwrVolTable,(IF(VolBMO4=2,7,IF(VolBMO4=1,6,8))),FALSE())))</f>
        <v> </v>
      </c>
      <c r="AJ225" s="321" t="str">
        <f aca="false">IF($A225="N/A"," ",(VLOOKUP($A225,OffPwrVolTable,(IF(VolBMO4=2,3,IF(VolBMO4=1,2,4))),FALSE())*VLOOKUP(MONTH($A225),Volscale,2)))</f>
        <v> </v>
      </c>
      <c r="AK225" s="321" t="str">
        <f aca="false">IF($A225="N/A"," ",IF(VolType4=1,AJ225,AI225))</f>
        <v> </v>
      </c>
      <c r="AL225" s="321" t="str">
        <f aca="false">IF($A225="N/A"," ",IF(PV=1,0,'Pricing Inputs4'!R258))</f>
        <v> </v>
      </c>
      <c r="AM225" s="323" t="str">
        <f aca="false">IF($A225="N/A"," ",(1+AL225/2)^(-2*((EOMONTH(A225,0)+20)-DateToday)/365.25))</f>
        <v> </v>
      </c>
      <c r="BQ225" s="0" t="str">
        <f aca="false">IF($A225="N/A"," ",(VLOOKUP($A225,NumberofDaysTable,2)))</f>
        <v> </v>
      </c>
      <c r="BR225" s="0" t="str">
        <f aca="false">IF($A225="N/A"," ",(VLOOKUP($A225,NumberofDaysTable,3)))</f>
        <v> </v>
      </c>
      <c r="BS225" s="0" t="str">
        <f aca="false">IF($A225="N/A"," ",(VLOOKUP($A225,NumberofDaysTable,4)))</f>
        <v> </v>
      </c>
    </row>
    <row r="226" customFormat="false" ht="12.75" hidden="false" customHeight="false" outlineLevel="0" collapsed="false">
      <c r="A226" s="315" t="str">
        <f aca="false">IF(A225="N/A","N/A",IF(EDATE(A225,1)&gt;Inputs!$R$5,"N/A",EDATE(A225,1)))</f>
        <v>N/A</v>
      </c>
      <c r="B226" s="316" t="str">
        <f aca="false">IF(A226="N/A"," ",YEAR(A226))</f>
        <v> </v>
      </c>
      <c r="C226" s="317" t="str">
        <f aca="false">IF($A226="N/A"," ",IF(Dayrun4=10,0,IF(Scaler4=1,(VLOOKUP(A226,ScaledPrice4,4)),(VLOOKUP(A226,ScaledPrice4,2)))))</f>
        <v> </v>
      </c>
      <c r="D226" s="317" t="str">
        <f aca="false">IF(A226="N/A"," ",IF(Dayrun4&gt;=7,0,IF(Scaler4=2,VLOOKUP(A226,ScaledPrice4,2),(VLOOKUP(A226,ScaledPrice4,2))*(2-(VLOOKUP(A226,ScaledPrice4,3))))))</f>
        <v> </v>
      </c>
      <c r="E226" s="317" t="str">
        <f aca="false">IF($A226="N/A"," ",IF(AND(Dayrun4&gt;=4,Dayrun4&lt;=9),0,VLOOKUP($A226,ScaledPrice4,9)))</f>
        <v> </v>
      </c>
      <c r="F226" s="317" t="str">
        <f aca="false">IF(A226="N/A"," ",IF(OR(Dayrun4=2,Dayrun4=3,Dayrun4=5,Dayrun4=6,Dayrun4=8,Dayrun4=9),VLOOKUP(A226,ScaledPrice4,IF(Scaler4=1,6,5)),0))</f>
        <v> </v>
      </c>
      <c r="G226" s="317" t="str">
        <f aca="false">IF(A226="N/A"," ",IF(OR(Dayrun4=2,Dayrun4=3,Dayrun4=5,Dayrun4=6),IF(Scaler4=2,F226,(VLOOKUP(A226,ScaledPrice4,5))*(2-(VLOOKUP(A226,ScaledPrice4,3)))),0))</f>
        <v> </v>
      </c>
      <c r="H226" s="317" t="str">
        <f aca="false">IF($A226="N/A"," ",IF(OR(Dayrun4=2,Dayrun4=3,Dayrun4=10),VLOOKUP($A226,ScaledPrice4,9),0))</f>
        <v> </v>
      </c>
      <c r="I226" s="317" t="str">
        <f aca="false">IF(A226="N/A"," ",IF(OR(Dayrun4=3,Dayrun4=6,Dayrun4=9),(VLOOKUP(A226,ScaledPrice4,IF(Scaler4=2,7,8))),0))</f>
        <v> </v>
      </c>
      <c r="J226" s="317" t="str">
        <f aca="false">IF(A226="N/A"," ",IF(OR(Dayrun4=3,Dayrun4=6),IF(Scaler4=2,I226,(VLOOKUP(A226,ScaledPrice4,7))*(2-(VLOOKUP(A226,ScaledPrice4,3)))),0))</f>
        <v> </v>
      </c>
      <c r="K226" s="317" t="str">
        <f aca="false">IF($A226="N/A"," ",IF(OR(Dayrun4=3,Dayrun4=10),VLOOKUP($A226,ScaledPrice4,9),0))</f>
        <v> </v>
      </c>
      <c r="L226" s="318" t="str">
        <f aca="false">IF($A226="N/A"," ",IF(Pricetype4=2,MAX(C226,0),IF(OR(Pricetype4=1,Pricetype4=4),IF(C226=0,0,(EURO(C226,Strikeprice4,0,0,($AH226+IF(Smile=TRUE(),VLOOKUP(MAX(-5,Strikeprice4-C226),Volsmile,2),0)),($A226-DateToday)+15,IF(Pricetype4=1,1,0),0))),C226)))</f>
        <v> </v>
      </c>
      <c r="M226" s="318" t="str">
        <f aca="false">IF($A226="N/A"," ",IF(Pricetype4=2,MAX(D226,0),IF(OR(Pricetype4=1,Pricetype4=4),IF(D226=0,0,(EURO(D226,Strikeprice4,0,0,($AH226+IF(Smile=TRUE(),VLOOKUP(MAX(-5,Strikeprice4-D226),Volsmile,2),0)),($A226-DateToday)+15,IF(Pricetype4=1,1,0),0))),D226)))</f>
        <v> </v>
      </c>
      <c r="N226" s="318" t="str">
        <f aca="false">IF($A226="N/A"," ",IF(Pricetype4=2,MAX(E226,0),IF(OR(Pricetype4=1,Pricetype4=4),IF(E226=0,0,(EURO(E226,Strikeprice4,0,0,($AK226+IF(Smile=TRUE(),VLOOKUP(MAX(-5,Strikeprice4-E226),Volsmile,2),0)),($A226-DateToday)+15,IF(Pricetype4=1,1,0),0))),E226)))</f>
        <v> </v>
      </c>
      <c r="O226" s="318" t="str">
        <f aca="false">IF($A226="N/A"," ",IF(Pricetype4=2,MAX(F226,0),IF(OR(Pricetype4=1,Pricetype4=4),IF(F226=0,0,(EURO(F226,Strikeprice4,0,0,($AK226+IF(Smile=TRUE(),VLOOKUP(MAX(-5,Strikeprice4-F226),Volsmile,2),0)),($A226-DateToday)+15,IF(Pricetype4=1,1,0),0))),F226)))</f>
        <v> </v>
      </c>
      <c r="P226" s="318" t="str">
        <f aca="false">IF($A226="N/A"," ",IF(Pricetype4=2,MAX(G226,0),IF(OR(Pricetype4=1,Pricetype4=4),IF(G226=0,0,(EURO(G226,Strikeprice4,0,0,($AK226+IF(Smile=TRUE(),VLOOKUP(MAX(-5,Strikeprice4-G226),Volsmile,2),0)),($A226-DateToday)+15,IF(Pricetype4=1,1,0),0))),G226)))</f>
        <v> </v>
      </c>
      <c r="Q226" s="318" t="str">
        <f aca="false">IF($A226="N/A"," ",IF(Pricetype4=2,MAX(H226,0),IF(OR(Pricetype4=1,Pricetype4=4),IF(H226=0,0,(EURO(H226,Strikeprice4,0,0,($AK226+IF(Smile=TRUE(),VLOOKUP(MAX(-5,Strikeprice4-H226),Volsmile,2),0)),($A226-DateToday)+15,IF(Pricetype4=1,1,0),0))),H226)))</f>
        <v> </v>
      </c>
      <c r="R226" s="318" t="str">
        <f aca="false">IF($A226="N/A"," ",IF(Pricetype4=2,MAX(I226,0),IF(OR(Pricetype4=1,Pricetype4=4),IF(I226=0,0,(EURO(I226,Strikeprice4,0,0,($AK226+IF(Smile=TRUE(),VLOOKUP(MAX(-5,Strikeprice4-I226),Volsmile,2),0)),($A226-DateToday)+15,IF(Pricetype4=1,1,0),0))),I226)))</f>
        <v> </v>
      </c>
      <c r="S226" s="318" t="str">
        <f aca="false">IF($A226="N/A"," ",IF(Pricetype4=2,MAX(J226,0),IF(OR(Pricetype4=1,Pricetype4=4),IF(J226=0,0,(EURO(J226,Strikeprice4,0,0,($AK226+IF(Smile=TRUE(),VLOOKUP(MAX(-5,Strikeprice4-J226),Volsmile,2),0)),($A226-DateToday)+15,IF(Pricetype4=1,1,0),0))),J226)))</f>
        <v> </v>
      </c>
      <c r="T226" s="318" t="str">
        <f aca="false">IF($A226="N/A"," ",IF(Pricetype4=2,MAX(K226,0),IF(OR(Pricetype4=1,Pricetype4=4),IF(K226=0,0,(EURO(K226,Strikeprice4,0,0,($AK226+IF(Smile=TRUE(),VLOOKUP(MAX(-5,Strikeprice4-K226),Volsmile,2),0)),($A226-DateToday)+15,IF(Pricetype4=1,1,0),0))),K226)))</f>
        <v> </v>
      </c>
      <c r="U226" s="319" t="str">
        <f aca="false">IF($A226="N/A"," ",Volume4*$AM226)</f>
        <v> </v>
      </c>
      <c r="V226" s="320" t="str">
        <f aca="false">IF($A226="N/A"," ",$U226*(8*($BQ226))*L226)</f>
        <v> </v>
      </c>
      <c r="W226" s="320" t="str">
        <f aca="false">IF($A226="N/A"," ",$U226*(8*($BQ226))*M226)</f>
        <v> </v>
      </c>
      <c r="X226" s="320" t="str">
        <f aca="false">IF($A226="N/A"," ",$U226*(8*($BQ226))*N226)</f>
        <v> </v>
      </c>
      <c r="Y226" s="320" t="str">
        <f aca="false">IF($A226="N/A"," ",$U226*(8*($BR226))*O226)</f>
        <v> </v>
      </c>
      <c r="Z226" s="320" t="str">
        <f aca="false">IF($A226="N/A"," ",$U226*(8*($BR226))*P226)</f>
        <v> </v>
      </c>
      <c r="AA226" s="320" t="str">
        <f aca="false">IF($A226="N/A"," ",$U226*(8*($BR226))*Q226)</f>
        <v> </v>
      </c>
      <c r="AB226" s="320" t="str">
        <f aca="false">IF($A226="N/A"," ",$U226*(8*($BS226))*R226)</f>
        <v> </v>
      </c>
      <c r="AC226" s="320" t="str">
        <f aca="false">IF($A226="N/A"," ",$U226*(8*($BS226))*S226)</f>
        <v> </v>
      </c>
      <c r="AD226" s="320" t="str">
        <f aca="false">IF($A226="N/A"," ",$U226*(8*($BS226))*T226)</f>
        <v> </v>
      </c>
      <c r="AE226" s="320" t="str">
        <f aca="false">IF($A226="N/A"," ",SUM(V226:AD226))</f>
        <v> </v>
      </c>
      <c r="AF226" s="321" t="str">
        <f aca="false">IF(A226="N/A"," ",(VLOOKUP(A226,PowerVolTable,(IF(VolBMO4=2,7,IF(VolBMO4=1,6,8))),FALSE())))</f>
        <v> </v>
      </c>
      <c r="AG226" s="321" t="str">
        <f aca="false">IF(A226="N/A"," ",(VLOOKUP(A226,IntraPowerVol,(IF(VolBMO4=2,3,IF(VolBMO4=1,2,4))),FALSE())*VLOOKUP(MONTH($A226),Volscale,2)))</f>
        <v> </v>
      </c>
      <c r="AH226" s="321" t="str">
        <f aca="false">IF($A226="N/A"," ",IF(VolType4=1,AG226,AF226))</f>
        <v> </v>
      </c>
      <c r="AI226" s="321" t="str">
        <f aca="false">IF($A226="N/A"," ",(VLOOKUP($A226,OffPwrVolTable,(IF(VolBMO4=2,7,IF(VolBMO4=1,6,8))),FALSE())))</f>
        <v> </v>
      </c>
      <c r="AJ226" s="321" t="str">
        <f aca="false">IF($A226="N/A"," ",(VLOOKUP($A226,OffPwrVolTable,(IF(VolBMO4=2,3,IF(VolBMO4=1,2,4))),FALSE())*VLOOKUP(MONTH($A226),Volscale,2)))</f>
        <v> </v>
      </c>
      <c r="AK226" s="321" t="str">
        <f aca="false">IF($A226="N/A"," ",IF(VolType4=1,AJ226,AI226))</f>
        <v> </v>
      </c>
      <c r="AL226" s="321" t="str">
        <f aca="false">IF($A226="N/A"," ",IF(PV=1,0,'Pricing Inputs4'!R259))</f>
        <v> </v>
      </c>
      <c r="AM226" s="323" t="str">
        <f aca="false">IF($A226="N/A"," ",(1+AL226/2)^(-2*((EOMONTH(A226,0)+20)-DateToday)/365.25))</f>
        <v> </v>
      </c>
      <c r="BQ226" s="0" t="str">
        <f aca="false">IF($A226="N/A"," ",(VLOOKUP($A226,NumberofDaysTable,2)))</f>
        <v> </v>
      </c>
      <c r="BR226" s="0" t="str">
        <f aca="false">IF($A226="N/A"," ",(VLOOKUP($A226,NumberofDaysTable,3)))</f>
        <v> </v>
      </c>
      <c r="BS226" s="0" t="str">
        <f aca="false">IF($A226="N/A"," ",(VLOOKUP($A226,NumberofDaysTable,4)))</f>
        <v> </v>
      </c>
    </row>
    <row r="227" customFormat="false" ht="12.75" hidden="false" customHeight="false" outlineLevel="0" collapsed="false">
      <c r="A227" s="315" t="str">
        <f aca="false">IF(A226="N/A","N/A",IF(EDATE(A226,1)&gt;Inputs!$R$5,"N/A",EDATE(A226,1)))</f>
        <v>N/A</v>
      </c>
      <c r="B227" s="316" t="str">
        <f aca="false">IF(A227="N/A"," ",YEAR(A227))</f>
        <v> </v>
      </c>
      <c r="C227" s="317" t="str">
        <f aca="false">IF($A227="N/A"," ",IF(Dayrun4=10,0,IF(Scaler4=1,(VLOOKUP(A227,ScaledPrice4,4)),(VLOOKUP(A227,ScaledPrice4,2)))))</f>
        <v> </v>
      </c>
      <c r="D227" s="317" t="str">
        <f aca="false">IF(A227="N/A"," ",IF(Dayrun4&gt;=7,0,IF(Scaler4=2,VLOOKUP(A227,ScaledPrice4,2),(VLOOKUP(A227,ScaledPrice4,2))*(2-(VLOOKUP(A227,ScaledPrice4,3))))))</f>
        <v> </v>
      </c>
      <c r="E227" s="317" t="str">
        <f aca="false">IF($A227="N/A"," ",IF(AND(Dayrun4&gt;=4,Dayrun4&lt;=9),0,VLOOKUP($A227,ScaledPrice4,9)))</f>
        <v> </v>
      </c>
      <c r="F227" s="317" t="str">
        <f aca="false">IF(A227="N/A"," ",IF(OR(Dayrun4=2,Dayrun4=3,Dayrun4=5,Dayrun4=6,Dayrun4=8,Dayrun4=9),VLOOKUP(A227,ScaledPrice4,IF(Scaler4=1,6,5)),0))</f>
        <v> </v>
      </c>
      <c r="G227" s="317" t="str">
        <f aca="false">IF(A227="N/A"," ",IF(OR(Dayrun4=2,Dayrun4=3,Dayrun4=5,Dayrun4=6),IF(Scaler4=2,F227,(VLOOKUP(A227,ScaledPrice4,5))*(2-(VLOOKUP(A227,ScaledPrice4,3)))),0))</f>
        <v> </v>
      </c>
      <c r="H227" s="317" t="str">
        <f aca="false">IF($A227="N/A"," ",IF(OR(Dayrun4=2,Dayrun4=3,Dayrun4=10),VLOOKUP($A227,ScaledPrice4,9),0))</f>
        <v> </v>
      </c>
      <c r="I227" s="317" t="str">
        <f aca="false">IF(A227="N/A"," ",IF(OR(Dayrun4=3,Dayrun4=6,Dayrun4=9),(VLOOKUP(A227,ScaledPrice4,IF(Scaler4=2,7,8))),0))</f>
        <v> </v>
      </c>
      <c r="J227" s="317" t="str">
        <f aca="false">IF(A227="N/A"," ",IF(OR(Dayrun4=3,Dayrun4=6),IF(Scaler4=2,I227,(VLOOKUP(A227,ScaledPrice4,7))*(2-(VLOOKUP(A227,ScaledPrice4,3)))),0))</f>
        <v> </v>
      </c>
      <c r="K227" s="317" t="str">
        <f aca="false">IF($A227="N/A"," ",IF(OR(Dayrun4=3,Dayrun4=10),VLOOKUP($A227,ScaledPrice4,9),0))</f>
        <v> </v>
      </c>
      <c r="L227" s="318" t="str">
        <f aca="false">IF($A227="N/A"," ",IF(Pricetype4=2,MAX(C227,0),IF(OR(Pricetype4=1,Pricetype4=4),IF(C227=0,0,(EURO(C227,Strikeprice4,0,0,($AH227+IF(Smile=TRUE(),VLOOKUP(MAX(-5,Strikeprice4-C227),Volsmile,2),0)),($A227-DateToday)+15,IF(Pricetype4=1,1,0),0))),C227)))</f>
        <v> </v>
      </c>
      <c r="M227" s="318" t="str">
        <f aca="false">IF($A227="N/A"," ",IF(Pricetype4=2,MAX(D227,0),IF(OR(Pricetype4=1,Pricetype4=4),IF(D227=0,0,(EURO(D227,Strikeprice4,0,0,($AH227+IF(Smile=TRUE(),VLOOKUP(MAX(-5,Strikeprice4-D227),Volsmile,2),0)),($A227-DateToday)+15,IF(Pricetype4=1,1,0),0))),D227)))</f>
        <v> </v>
      </c>
      <c r="N227" s="318" t="str">
        <f aca="false">IF($A227="N/A"," ",IF(Pricetype4=2,MAX(E227,0),IF(OR(Pricetype4=1,Pricetype4=4),IF(E227=0,0,(EURO(E227,Strikeprice4,0,0,($AK227+IF(Smile=TRUE(),VLOOKUP(MAX(-5,Strikeprice4-E227),Volsmile,2),0)),($A227-DateToday)+15,IF(Pricetype4=1,1,0),0))),E227)))</f>
        <v> </v>
      </c>
      <c r="O227" s="318" t="str">
        <f aca="false">IF($A227="N/A"," ",IF(Pricetype4=2,MAX(F227,0),IF(OR(Pricetype4=1,Pricetype4=4),IF(F227=0,0,(EURO(F227,Strikeprice4,0,0,($AK227+IF(Smile=TRUE(),VLOOKUP(MAX(-5,Strikeprice4-F227),Volsmile,2),0)),($A227-DateToday)+15,IF(Pricetype4=1,1,0),0))),F227)))</f>
        <v> </v>
      </c>
      <c r="P227" s="318" t="str">
        <f aca="false">IF($A227="N/A"," ",IF(Pricetype4=2,MAX(G227,0),IF(OR(Pricetype4=1,Pricetype4=4),IF(G227=0,0,(EURO(G227,Strikeprice4,0,0,($AK227+IF(Smile=TRUE(),VLOOKUP(MAX(-5,Strikeprice4-G227),Volsmile,2),0)),($A227-DateToday)+15,IF(Pricetype4=1,1,0),0))),G227)))</f>
        <v> </v>
      </c>
      <c r="Q227" s="318" t="str">
        <f aca="false">IF($A227="N/A"," ",IF(Pricetype4=2,MAX(H227,0),IF(OR(Pricetype4=1,Pricetype4=4),IF(H227=0,0,(EURO(H227,Strikeprice4,0,0,($AK227+IF(Smile=TRUE(),VLOOKUP(MAX(-5,Strikeprice4-H227),Volsmile,2),0)),($A227-DateToday)+15,IF(Pricetype4=1,1,0),0))),H227)))</f>
        <v> </v>
      </c>
      <c r="R227" s="318" t="str">
        <f aca="false">IF($A227="N/A"," ",IF(Pricetype4=2,MAX(I227,0),IF(OR(Pricetype4=1,Pricetype4=4),IF(I227=0,0,(EURO(I227,Strikeprice4,0,0,($AK227+IF(Smile=TRUE(),VLOOKUP(MAX(-5,Strikeprice4-I227),Volsmile,2),0)),($A227-DateToday)+15,IF(Pricetype4=1,1,0),0))),I227)))</f>
        <v> </v>
      </c>
      <c r="S227" s="318" t="str">
        <f aca="false">IF($A227="N/A"," ",IF(Pricetype4=2,MAX(J227,0),IF(OR(Pricetype4=1,Pricetype4=4),IF(J227=0,0,(EURO(J227,Strikeprice4,0,0,($AK227+IF(Smile=TRUE(),VLOOKUP(MAX(-5,Strikeprice4-J227),Volsmile,2),0)),($A227-DateToday)+15,IF(Pricetype4=1,1,0),0))),J227)))</f>
        <v> </v>
      </c>
      <c r="T227" s="318" t="str">
        <f aca="false">IF($A227="N/A"," ",IF(Pricetype4=2,MAX(K227,0),IF(OR(Pricetype4=1,Pricetype4=4),IF(K227=0,0,(EURO(K227,Strikeprice4,0,0,($AK227+IF(Smile=TRUE(),VLOOKUP(MAX(-5,Strikeprice4-K227),Volsmile,2),0)),($A227-DateToday)+15,IF(Pricetype4=1,1,0),0))),K227)))</f>
        <v> </v>
      </c>
      <c r="U227" s="319" t="str">
        <f aca="false">IF($A227="N/A"," ",Volume4*$AM227)</f>
        <v> </v>
      </c>
      <c r="V227" s="320" t="str">
        <f aca="false">IF($A227="N/A"," ",$U227*(8*($BQ227))*L227)</f>
        <v> </v>
      </c>
      <c r="W227" s="320" t="str">
        <f aca="false">IF($A227="N/A"," ",$U227*(8*($BQ227))*M227)</f>
        <v> </v>
      </c>
      <c r="X227" s="320" t="str">
        <f aca="false">IF($A227="N/A"," ",$U227*(8*($BQ227))*N227)</f>
        <v> </v>
      </c>
      <c r="Y227" s="320" t="str">
        <f aca="false">IF($A227="N/A"," ",$U227*(8*($BR227))*O227)</f>
        <v> </v>
      </c>
      <c r="Z227" s="320" t="str">
        <f aca="false">IF($A227="N/A"," ",$U227*(8*($BR227))*P227)</f>
        <v> </v>
      </c>
      <c r="AA227" s="320" t="str">
        <f aca="false">IF($A227="N/A"," ",$U227*(8*($BR227))*Q227)</f>
        <v> </v>
      </c>
      <c r="AB227" s="320" t="str">
        <f aca="false">IF($A227="N/A"," ",$U227*(8*($BS227))*R227)</f>
        <v> </v>
      </c>
      <c r="AC227" s="320" t="str">
        <f aca="false">IF($A227="N/A"," ",$U227*(8*($BS227))*S227)</f>
        <v> </v>
      </c>
      <c r="AD227" s="320" t="str">
        <f aca="false">IF($A227="N/A"," ",$U227*(8*($BS227))*T227)</f>
        <v> </v>
      </c>
      <c r="AE227" s="320" t="str">
        <f aca="false">IF($A227="N/A"," ",SUM(V227:AD227))</f>
        <v> </v>
      </c>
      <c r="AF227" s="321" t="str">
        <f aca="false">IF(A227="N/A"," ",(VLOOKUP(A227,PowerVolTable,(IF(VolBMO4=2,7,IF(VolBMO4=1,6,8))),FALSE())))</f>
        <v> </v>
      </c>
      <c r="AG227" s="321" t="str">
        <f aca="false">IF(A227="N/A"," ",(VLOOKUP(A227,IntraPowerVol,(IF(VolBMO4=2,3,IF(VolBMO4=1,2,4))),FALSE())*VLOOKUP(MONTH($A227),Volscale,2)))</f>
        <v> </v>
      </c>
      <c r="AH227" s="321" t="str">
        <f aca="false">IF($A227="N/A"," ",IF(VolType4=1,AG227,AF227))</f>
        <v> </v>
      </c>
      <c r="AI227" s="321" t="str">
        <f aca="false">IF($A227="N/A"," ",(VLOOKUP($A227,OffPwrVolTable,(IF(VolBMO4=2,7,IF(VolBMO4=1,6,8))),FALSE())))</f>
        <v> </v>
      </c>
      <c r="AJ227" s="321" t="str">
        <f aca="false">IF($A227="N/A"," ",(VLOOKUP($A227,OffPwrVolTable,(IF(VolBMO4=2,3,IF(VolBMO4=1,2,4))),FALSE())*VLOOKUP(MONTH($A227),Volscale,2)))</f>
        <v> </v>
      </c>
      <c r="AK227" s="321" t="str">
        <f aca="false">IF($A227="N/A"," ",IF(VolType4=1,AJ227,AI227))</f>
        <v> </v>
      </c>
      <c r="AL227" s="321" t="str">
        <f aca="false">IF($A227="N/A"," ",IF(PV=1,0,'Pricing Inputs4'!R260))</f>
        <v> </v>
      </c>
      <c r="AM227" s="323" t="str">
        <f aca="false">IF($A227="N/A"," ",(1+AL227/2)^(-2*((EOMONTH(A227,0)+20)-DateToday)/365.25))</f>
        <v> </v>
      </c>
      <c r="BQ227" s="0" t="str">
        <f aca="false">IF($A227="N/A"," ",(VLOOKUP($A227,NumberofDaysTable,2)))</f>
        <v> </v>
      </c>
      <c r="BR227" s="0" t="str">
        <f aca="false">IF($A227="N/A"," ",(VLOOKUP($A227,NumberofDaysTable,3)))</f>
        <v> </v>
      </c>
      <c r="BS227" s="0" t="str">
        <f aca="false">IF($A227="N/A"," ",(VLOOKUP($A227,NumberofDaysTable,4)))</f>
        <v> </v>
      </c>
    </row>
    <row r="228" customFormat="false" ht="12.75" hidden="false" customHeight="false" outlineLevel="0" collapsed="false">
      <c r="A228" s="315" t="str">
        <f aca="false">IF(A227="N/A","N/A",IF(EDATE(A227,1)&gt;Inputs!$R$5,"N/A",EDATE(A227,1)))</f>
        <v>N/A</v>
      </c>
      <c r="B228" s="316" t="str">
        <f aca="false">IF(A228="N/A"," ",YEAR(A228))</f>
        <v> </v>
      </c>
      <c r="C228" s="317" t="str">
        <f aca="false">IF($A228="N/A"," ",IF(Dayrun4=10,0,IF(Scaler4=1,(VLOOKUP(A228,ScaledPrice4,4)),(VLOOKUP(A228,ScaledPrice4,2)))))</f>
        <v> </v>
      </c>
      <c r="D228" s="317" t="str">
        <f aca="false">IF(A228="N/A"," ",IF(Dayrun4&gt;=7,0,IF(Scaler4=2,VLOOKUP(A228,ScaledPrice4,2),(VLOOKUP(A228,ScaledPrice4,2))*(2-(VLOOKUP(A228,ScaledPrice4,3))))))</f>
        <v> </v>
      </c>
      <c r="E228" s="317" t="str">
        <f aca="false">IF($A228="N/A"," ",IF(AND(Dayrun4&gt;=4,Dayrun4&lt;=9),0,VLOOKUP($A228,ScaledPrice4,9)))</f>
        <v> </v>
      </c>
      <c r="F228" s="317" t="str">
        <f aca="false">IF(A228="N/A"," ",IF(OR(Dayrun4=2,Dayrun4=3,Dayrun4=5,Dayrun4=6,Dayrun4=8,Dayrun4=9),VLOOKUP(A228,ScaledPrice4,IF(Scaler4=1,6,5)),0))</f>
        <v> </v>
      </c>
      <c r="G228" s="317" t="str">
        <f aca="false">IF(A228="N/A"," ",IF(OR(Dayrun4=2,Dayrun4=3,Dayrun4=5,Dayrun4=6),IF(Scaler4=2,F228,(VLOOKUP(A228,ScaledPrice4,5))*(2-(VLOOKUP(A228,ScaledPrice4,3)))),0))</f>
        <v> </v>
      </c>
      <c r="H228" s="317" t="str">
        <f aca="false">IF($A228="N/A"," ",IF(OR(Dayrun4=2,Dayrun4=3,Dayrun4=10),VLOOKUP($A228,ScaledPrice4,9),0))</f>
        <v> </v>
      </c>
      <c r="I228" s="317" t="str">
        <f aca="false">IF(A228="N/A"," ",IF(OR(Dayrun4=3,Dayrun4=6,Dayrun4=9),(VLOOKUP(A228,ScaledPrice4,IF(Scaler4=2,7,8))),0))</f>
        <v> </v>
      </c>
      <c r="J228" s="317" t="str">
        <f aca="false">IF(A228="N/A"," ",IF(OR(Dayrun4=3,Dayrun4=6),IF(Scaler4=2,I228,(VLOOKUP(A228,ScaledPrice4,7))*(2-(VLOOKUP(A228,ScaledPrice4,3)))),0))</f>
        <v> </v>
      </c>
      <c r="K228" s="317" t="str">
        <f aca="false">IF($A228="N/A"," ",IF(OR(Dayrun4=3,Dayrun4=10),VLOOKUP($A228,ScaledPrice4,9),0))</f>
        <v> </v>
      </c>
      <c r="L228" s="318" t="str">
        <f aca="false">IF($A228="N/A"," ",IF(Pricetype4=2,MAX(C228,0),IF(OR(Pricetype4=1,Pricetype4=4),IF(C228=0,0,(EURO(C228,Strikeprice4,0,0,($AH228+IF(Smile=TRUE(),VLOOKUP(MAX(-5,Strikeprice4-C228),Volsmile,2),0)),($A228-DateToday)+15,IF(Pricetype4=1,1,0),0))),C228)))</f>
        <v> </v>
      </c>
      <c r="M228" s="318" t="str">
        <f aca="false">IF($A228="N/A"," ",IF(Pricetype4=2,MAX(D228,0),IF(OR(Pricetype4=1,Pricetype4=4),IF(D228=0,0,(EURO(D228,Strikeprice4,0,0,($AH228+IF(Smile=TRUE(),VLOOKUP(MAX(-5,Strikeprice4-D228),Volsmile,2),0)),($A228-DateToday)+15,IF(Pricetype4=1,1,0),0))),D228)))</f>
        <v> </v>
      </c>
      <c r="N228" s="318" t="str">
        <f aca="false">IF($A228="N/A"," ",IF(Pricetype4=2,MAX(E228,0),IF(OR(Pricetype4=1,Pricetype4=4),IF(E228=0,0,(EURO(E228,Strikeprice4,0,0,($AK228+IF(Smile=TRUE(),VLOOKUP(MAX(-5,Strikeprice4-E228),Volsmile,2),0)),($A228-DateToday)+15,IF(Pricetype4=1,1,0),0))),E228)))</f>
        <v> </v>
      </c>
      <c r="O228" s="318" t="str">
        <f aca="false">IF($A228="N/A"," ",IF(Pricetype4=2,MAX(F228,0),IF(OR(Pricetype4=1,Pricetype4=4),IF(F228=0,0,(EURO(F228,Strikeprice4,0,0,($AK228+IF(Smile=TRUE(),VLOOKUP(MAX(-5,Strikeprice4-F228),Volsmile,2),0)),($A228-DateToday)+15,IF(Pricetype4=1,1,0),0))),F228)))</f>
        <v> </v>
      </c>
      <c r="P228" s="318" t="str">
        <f aca="false">IF($A228="N/A"," ",IF(Pricetype4=2,MAX(G228,0),IF(OR(Pricetype4=1,Pricetype4=4),IF(G228=0,0,(EURO(G228,Strikeprice4,0,0,($AK228+IF(Smile=TRUE(),VLOOKUP(MAX(-5,Strikeprice4-G228),Volsmile,2),0)),($A228-DateToday)+15,IF(Pricetype4=1,1,0),0))),G228)))</f>
        <v> </v>
      </c>
      <c r="Q228" s="318" t="str">
        <f aca="false">IF($A228="N/A"," ",IF(Pricetype4=2,MAX(H228,0),IF(OR(Pricetype4=1,Pricetype4=4),IF(H228=0,0,(EURO(H228,Strikeprice4,0,0,($AK228+IF(Smile=TRUE(),VLOOKUP(MAX(-5,Strikeprice4-H228),Volsmile,2),0)),($A228-DateToday)+15,IF(Pricetype4=1,1,0),0))),H228)))</f>
        <v> </v>
      </c>
      <c r="R228" s="318" t="str">
        <f aca="false">IF($A228="N/A"," ",IF(Pricetype4=2,MAX(I228,0),IF(OR(Pricetype4=1,Pricetype4=4),IF(I228=0,0,(EURO(I228,Strikeprice4,0,0,($AK228+IF(Smile=TRUE(),VLOOKUP(MAX(-5,Strikeprice4-I228),Volsmile,2),0)),($A228-DateToday)+15,IF(Pricetype4=1,1,0),0))),I228)))</f>
        <v> </v>
      </c>
      <c r="S228" s="318" t="str">
        <f aca="false">IF($A228="N/A"," ",IF(Pricetype4=2,MAX(J228,0),IF(OR(Pricetype4=1,Pricetype4=4),IF(J228=0,0,(EURO(J228,Strikeprice4,0,0,($AK228+IF(Smile=TRUE(),VLOOKUP(MAX(-5,Strikeprice4-J228),Volsmile,2),0)),($A228-DateToday)+15,IF(Pricetype4=1,1,0),0))),J228)))</f>
        <v> </v>
      </c>
      <c r="T228" s="318" t="str">
        <f aca="false">IF($A228="N/A"," ",IF(Pricetype4=2,MAX(K228,0),IF(OR(Pricetype4=1,Pricetype4=4),IF(K228=0,0,(EURO(K228,Strikeprice4,0,0,($AK228+IF(Smile=TRUE(),VLOOKUP(MAX(-5,Strikeprice4-K228),Volsmile,2),0)),($A228-DateToday)+15,IF(Pricetype4=1,1,0),0))),K228)))</f>
        <v> </v>
      </c>
      <c r="U228" s="319" t="str">
        <f aca="false">IF($A228="N/A"," ",Volume4*$AM228)</f>
        <v> </v>
      </c>
      <c r="V228" s="320" t="str">
        <f aca="false">IF($A228="N/A"," ",$U228*(8*($BQ228))*L228)</f>
        <v> </v>
      </c>
      <c r="W228" s="320" t="str">
        <f aca="false">IF($A228="N/A"," ",$U228*(8*($BQ228))*M228)</f>
        <v> </v>
      </c>
      <c r="X228" s="320" t="str">
        <f aca="false">IF($A228="N/A"," ",$U228*(8*($BQ228))*N228)</f>
        <v> </v>
      </c>
      <c r="Y228" s="320" t="str">
        <f aca="false">IF($A228="N/A"," ",$U228*(8*($BR228))*O228)</f>
        <v> </v>
      </c>
      <c r="Z228" s="320" t="str">
        <f aca="false">IF($A228="N/A"," ",$U228*(8*($BR228))*P228)</f>
        <v> </v>
      </c>
      <c r="AA228" s="320" t="str">
        <f aca="false">IF($A228="N/A"," ",$U228*(8*($BR228))*Q228)</f>
        <v> </v>
      </c>
      <c r="AB228" s="320" t="str">
        <f aca="false">IF($A228="N/A"," ",$U228*(8*($BS228))*R228)</f>
        <v> </v>
      </c>
      <c r="AC228" s="320" t="str">
        <f aca="false">IF($A228="N/A"," ",$U228*(8*($BS228))*S228)</f>
        <v> </v>
      </c>
      <c r="AD228" s="320" t="str">
        <f aca="false">IF($A228="N/A"," ",$U228*(8*($BS228))*T228)</f>
        <v> </v>
      </c>
      <c r="AE228" s="320" t="str">
        <f aca="false">IF($A228="N/A"," ",SUM(V228:AD228))</f>
        <v> </v>
      </c>
      <c r="AF228" s="321" t="str">
        <f aca="false">IF(A228="N/A"," ",(VLOOKUP(A228,PowerVolTable,(IF(VolBMO4=2,7,IF(VolBMO4=1,6,8))),FALSE())))</f>
        <v> </v>
      </c>
      <c r="AG228" s="321" t="str">
        <f aca="false">IF(A228="N/A"," ",(VLOOKUP(A228,IntraPowerVol,(IF(VolBMO4=2,3,IF(VolBMO4=1,2,4))),FALSE())*VLOOKUP(MONTH($A228),Volscale,2)))</f>
        <v> </v>
      </c>
      <c r="AH228" s="321" t="str">
        <f aca="false">IF($A228="N/A"," ",IF(VolType4=1,AG228,AF228))</f>
        <v> </v>
      </c>
      <c r="AI228" s="321" t="str">
        <f aca="false">IF($A228="N/A"," ",(VLOOKUP($A228,OffPwrVolTable,(IF(VolBMO4=2,7,IF(VolBMO4=1,6,8))),FALSE())))</f>
        <v> </v>
      </c>
      <c r="AJ228" s="321" t="str">
        <f aca="false">IF($A228="N/A"," ",(VLOOKUP($A228,OffPwrVolTable,(IF(VolBMO4=2,3,IF(VolBMO4=1,2,4))),FALSE())*VLOOKUP(MONTH($A228),Volscale,2)))</f>
        <v> </v>
      </c>
      <c r="AK228" s="321" t="str">
        <f aca="false">IF($A228="N/A"," ",IF(VolType4=1,AJ228,AI228))</f>
        <v> </v>
      </c>
      <c r="AL228" s="321" t="str">
        <f aca="false">IF($A228="N/A"," ",IF(PV=1,0,'Pricing Inputs4'!R261))</f>
        <v> </v>
      </c>
      <c r="AM228" s="323" t="str">
        <f aca="false">IF($A228="N/A"," ",(1+AL228/2)^(-2*((EOMONTH(A228,0)+20)-DateToday)/365.25))</f>
        <v> </v>
      </c>
      <c r="BQ228" s="0" t="str">
        <f aca="false">IF($A228="N/A"," ",(VLOOKUP($A228,NumberofDaysTable,2)))</f>
        <v> </v>
      </c>
      <c r="BR228" s="0" t="str">
        <f aca="false">IF($A228="N/A"," ",(VLOOKUP($A228,NumberofDaysTable,3)))</f>
        <v> </v>
      </c>
      <c r="BS228" s="0" t="str">
        <f aca="false">IF($A228="N/A"," ",(VLOOKUP($A228,NumberofDaysTable,4)))</f>
        <v> </v>
      </c>
    </row>
    <row r="229" customFormat="false" ht="12.75" hidden="false" customHeight="false" outlineLevel="0" collapsed="false">
      <c r="A229" s="315" t="str">
        <f aca="false">IF(A228="N/A","N/A",IF(EDATE(A228,1)&gt;Inputs!$R$5,"N/A",EDATE(A228,1)))</f>
        <v>N/A</v>
      </c>
      <c r="B229" s="316" t="str">
        <f aca="false">IF(A229="N/A"," ",YEAR(A229))</f>
        <v> </v>
      </c>
      <c r="C229" s="317" t="str">
        <f aca="false">IF($A229="N/A"," ",IF(Dayrun4=10,0,IF(Scaler4=1,(VLOOKUP(A229,ScaledPrice4,4)),(VLOOKUP(A229,ScaledPrice4,2)))))</f>
        <v> </v>
      </c>
      <c r="D229" s="317" t="str">
        <f aca="false">IF(A229="N/A"," ",IF(Dayrun4&gt;=7,0,IF(Scaler4=2,VLOOKUP(A229,ScaledPrice4,2),(VLOOKUP(A229,ScaledPrice4,2))*(2-(VLOOKUP(A229,ScaledPrice4,3))))))</f>
        <v> </v>
      </c>
      <c r="E229" s="317" t="str">
        <f aca="false">IF($A229="N/A"," ",IF(AND(Dayrun4&gt;=4,Dayrun4&lt;=9),0,VLOOKUP($A229,ScaledPrice4,9)))</f>
        <v> </v>
      </c>
      <c r="F229" s="317" t="str">
        <f aca="false">IF(A229="N/A"," ",IF(OR(Dayrun4=2,Dayrun4=3,Dayrun4=5,Dayrun4=6,Dayrun4=8,Dayrun4=9),VLOOKUP(A229,ScaledPrice4,IF(Scaler4=1,6,5)),0))</f>
        <v> </v>
      </c>
      <c r="G229" s="317" t="str">
        <f aca="false">IF(A229="N/A"," ",IF(OR(Dayrun4=2,Dayrun4=3,Dayrun4=5,Dayrun4=6),IF(Scaler4=2,F229,(VLOOKUP(A229,ScaledPrice4,5))*(2-(VLOOKUP(A229,ScaledPrice4,3)))),0))</f>
        <v> </v>
      </c>
      <c r="H229" s="317" t="str">
        <f aca="false">IF($A229="N/A"," ",IF(OR(Dayrun4=2,Dayrun4=3,Dayrun4=10),VLOOKUP($A229,ScaledPrice4,9),0))</f>
        <v> </v>
      </c>
      <c r="I229" s="317" t="str">
        <f aca="false">IF(A229="N/A"," ",IF(OR(Dayrun4=3,Dayrun4=6,Dayrun4=9),(VLOOKUP(A229,ScaledPrice4,IF(Scaler4=2,7,8))),0))</f>
        <v> </v>
      </c>
      <c r="J229" s="317" t="str">
        <f aca="false">IF(A229="N/A"," ",IF(OR(Dayrun4=3,Dayrun4=6),IF(Scaler4=2,I229,(VLOOKUP(A229,ScaledPrice4,7))*(2-(VLOOKUP(A229,ScaledPrice4,3)))),0))</f>
        <v> </v>
      </c>
      <c r="K229" s="317" t="str">
        <f aca="false">IF($A229="N/A"," ",IF(OR(Dayrun4=3,Dayrun4=10),VLOOKUP($A229,ScaledPrice4,9),0))</f>
        <v> </v>
      </c>
      <c r="L229" s="318" t="str">
        <f aca="false">IF($A229="N/A"," ",IF(Pricetype4=2,MAX(C229,0),IF(OR(Pricetype4=1,Pricetype4=4),IF(C229=0,0,(EURO(C229,Strikeprice4,0,0,($AH229+IF(Smile=TRUE(),VLOOKUP(MAX(-5,Strikeprice4-C229),Volsmile,2),0)),($A229-DateToday)+15,IF(Pricetype4=1,1,0),0))),C229)))</f>
        <v> </v>
      </c>
      <c r="M229" s="318" t="str">
        <f aca="false">IF($A229="N/A"," ",IF(Pricetype4=2,MAX(D229,0),IF(OR(Pricetype4=1,Pricetype4=4),IF(D229=0,0,(EURO(D229,Strikeprice4,0,0,($AH229+IF(Smile=TRUE(),VLOOKUP(MAX(-5,Strikeprice4-D229),Volsmile,2),0)),($A229-DateToday)+15,IF(Pricetype4=1,1,0),0))),D229)))</f>
        <v> </v>
      </c>
      <c r="N229" s="318" t="str">
        <f aca="false">IF($A229="N/A"," ",IF(Pricetype4=2,MAX(E229,0),IF(OR(Pricetype4=1,Pricetype4=4),IF(E229=0,0,(EURO(E229,Strikeprice4,0,0,($AK229+IF(Smile=TRUE(),VLOOKUP(MAX(-5,Strikeprice4-E229),Volsmile,2),0)),($A229-DateToday)+15,IF(Pricetype4=1,1,0),0))),E229)))</f>
        <v> </v>
      </c>
      <c r="O229" s="318" t="str">
        <f aca="false">IF($A229="N/A"," ",IF(Pricetype4=2,MAX(F229,0),IF(OR(Pricetype4=1,Pricetype4=4),IF(F229=0,0,(EURO(F229,Strikeprice4,0,0,($AK229+IF(Smile=TRUE(),VLOOKUP(MAX(-5,Strikeprice4-F229),Volsmile,2),0)),($A229-DateToday)+15,IF(Pricetype4=1,1,0),0))),F229)))</f>
        <v> </v>
      </c>
      <c r="P229" s="318" t="str">
        <f aca="false">IF($A229="N/A"," ",IF(Pricetype4=2,MAX(G229,0),IF(OR(Pricetype4=1,Pricetype4=4),IF(G229=0,0,(EURO(G229,Strikeprice4,0,0,($AK229+IF(Smile=TRUE(),VLOOKUP(MAX(-5,Strikeprice4-G229),Volsmile,2),0)),($A229-DateToday)+15,IF(Pricetype4=1,1,0),0))),G229)))</f>
        <v> </v>
      </c>
      <c r="Q229" s="318" t="str">
        <f aca="false">IF($A229="N/A"," ",IF(Pricetype4=2,MAX(H229,0),IF(OR(Pricetype4=1,Pricetype4=4),IF(H229=0,0,(EURO(H229,Strikeprice4,0,0,($AK229+IF(Smile=TRUE(),VLOOKUP(MAX(-5,Strikeprice4-H229),Volsmile,2),0)),($A229-DateToday)+15,IF(Pricetype4=1,1,0),0))),H229)))</f>
        <v> </v>
      </c>
      <c r="R229" s="318" t="str">
        <f aca="false">IF($A229="N/A"," ",IF(Pricetype4=2,MAX(I229,0),IF(OR(Pricetype4=1,Pricetype4=4),IF(I229=0,0,(EURO(I229,Strikeprice4,0,0,($AK229+IF(Smile=TRUE(),VLOOKUP(MAX(-5,Strikeprice4-I229),Volsmile,2),0)),($A229-DateToday)+15,IF(Pricetype4=1,1,0),0))),I229)))</f>
        <v> </v>
      </c>
      <c r="S229" s="318" t="str">
        <f aca="false">IF($A229="N/A"," ",IF(Pricetype4=2,MAX(J229,0),IF(OR(Pricetype4=1,Pricetype4=4),IF(J229=0,0,(EURO(J229,Strikeprice4,0,0,($AK229+IF(Smile=TRUE(),VLOOKUP(MAX(-5,Strikeprice4-J229),Volsmile,2),0)),($A229-DateToday)+15,IF(Pricetype4=1,1,0),0))),J229)))</f>
        <v> </v>
      </c>
      <c r="T229" s="318" t="str">
        <f aca="false">IF($A229="N/A"," ",IF(Pricetype4=2,MAX(K229,0),IF(OR(Pricetype4=1,Pricetype4=4),IF(K229=0,0,(EURO(K229,Strikeprice4,0,0,($AK229+IF(Smile=TRUE(),VLOOKUP(MAX(-5,Strikeprice4-K229),Volsmile,2),0)),($A229-DateToday)+15,IF(Pricetype4=1,1,0),0))),K229)))</f>
        <v> </v>
      </c>
      <c r="U229" s="319" t="str">
        <f aca="false">IF($A229="N/A"," ",Volume4*$AM229)</f>
        <v> </v>
      </c>
      <c r="V229" s="320" t="str">
        <f aca="false">IF($A229="N/A"," ",$U229*(8*($BQ229))*L229)</f>
        <v> </v>
      </c>
      <c r="W229" s="320" t="str">
        <f aca="false">IF($A229="N/A"," ",$U229*(8*($BQ229))*M229)</f>
        <v> </v>
      </c>
      <c r="X229" s="320" t="str">
        <f aca="false">IF($A229="N/A"," ",$U229*(8*($BQ229))*N229)</f>
        <v> </v>
      </c>
      <c r="Y229" s="320" t="str">
        <f aca="false">IF($A229="N/A"," ",$U229*(8*($BR229))*O229)</f>
        <v> </v>
      </c>
      <c r="Z229" s="320" t="str">
        <f aca="false">IF($A229="N/A"," ",$U229*(8*($BR229))*P229)</f>
        <v> </v>
      </c>
      <c r="AA229" s="320" t="str">
        <f aca="false">IF($A229="N/A"," ",$U229*(8*($BR229))*Q229)</f>
        <v> </v>
      </c>
      <c r="AB229" s="320" t="str">
        <f aca="false">IF($A229="N/A"," ",$U229*(8*($BS229))*R229)</f>
        <v> </v>
      </c>
      <c r="AC229" s="320" t="str">
        <f aca="false">IF($A229="N/A"," ",$U229*(8*($BS229))*S229)</f>
        <v> </v>
      </c>
      <c r="AD229" s="320" t="str">
        <f aca="false">IF($A229="N/A"," ",$U229*(8*($BS229))*T229)</f>
        <v> </v>
      </c>
      <c r="AE229" s="320" t="str">
        <f aca="false">IF($A229="N/A"," ",SUM(V229:AD229))</f>
        <v> </v>
      </c>
      <c r="AF229" s="321" t="str">
        <f aca="false">IF(A229="N/A"," ",(VLOOKUP(A229,PowerVolTable,(IF(VolBMO4=2,7,IF(VolBMO4=1,6,8))),FALSE())))</f>
        <v> </v>
      </c>
      <c r="AG229" s="321" t="str">
        <f aca="false">IF(A229="N/A"," ",(VLOOKUP(A229,IntraPowerVol,(IF(VolBMO4=2,3,IF(VolBMO4=1,2,4))),FALSE())*VLOOKUP(MONTH($A229),Volscale,2)))</f>
        <v> </v>
      </c>
      <c r="AH229" s="321" t="str">
        <f aca="false">IF($A229="N/A"," ",IF(VolType4=1,AG229,AF229))</f>
        <v> </v>
      </c>
      <c r="AI229" s="321" t="str">
        <f aca="false">IF($A229="N/A"," ",(VLOOKUP($A229,OffPwrVolTable,(IF(VolBMO4=2,7,IF(VolBMO4=1,6,8))),FALSE())))</f>
        <v> </v>
      </c>
      <c r="AJ229" s="321" t="str">
        <f aca="false">IF($A229="N/A"," ",(VLOOKUP($A229,OffPwrVolTable,(IF(VolBMO4=2,3,IF(VolBMO4=1,2,4))),FALSE())*VLOOKUP(MONTH($A229),Volscale,2)))</f>
        <v> </v>
      </c>
      <c r="AK229" s="321" t="str">
        <f aca="false">IF($A229="N/A"," ",IF(VolType4=1,AJ229,AI229))</f>
        <v> </v>
      </c>
      <c r="AL229" s="321" t="str">
        <f aca="false">IF($A229="N/A"," ",IF(PV=1,0,'Pricing Inputs4'!R262))</f>
        <v> </v>
      </c>
      <c r="AM229" s="323" t="str">
        <f aca="false">IF($A229="N/A"," ",(1+AL229/2)^(-2*((EOMONTH(A229,0)+20)-DateToday)/365.25))</f>
        <v> </v>
      </c>
      <c r="BQ229" s="0" t="str">
        <f aca="false">IF($A229="N/A"," ",(VLOOKUP($A229,NumberofDaysTable,2)))</f>
        <v> </v>
      </c>
      <c r="BR229" s="0" t="str">
        <f aca="false">IF($A229="N/A"," ",(VLOOKUP($A229,NumberofDaysTable,3)))</f>
        <v> </v>
      </c>
      <c r="BS229" s="0" t="str">
        <f aca="false">IF($A229="N/A"," ",(VLOOKUP($A229,NumberofDaysTable,4)))</f>
        <v> </v>
      </c>
    </row>
    <row r="230" customFormat="false" ht="12.75" hidden="false" customHeight="false" outlineLevel="0" collapsed="false">
      <c r="A230" s="315" t="str">
        <f aca="false">IF(A229="N/A","N/A",IF(EDATE(A229,1)&gt;Inputs!$R$5,"N/A",EDATE(A229,1)))</f>
        <v>N/A</v>
      </c>
      <c r="B230" s="316" t="str">
        <f aca="false">IF(A230="N/A"," ",YEAR(A230))</f>
        <v> </v>
      </c>
      <c r="C230" s="317" t="str">
        <f aca="false">IF($A230="N/A"," ",IF(Dayrun4=10,0,IF(Scaler4=1,(VLOOKUP(A230,ScaledPrice4,4)),(VLOOKUP(A230,ScaledPrice4,2)))))</f>
        <v> </v>
      </c>
      <c r="D230" s="317" t="str">
        <f aca="false">IF(A230="N/A"," ",IF(Dayrun4&gt;=7,0,IF(Scaler4=2,VLOOKUP(A230,ScaledPrice4,2),(VLOOKUP(A230,ScaledPrice4,2))*(2-(VLOOKUP(A230,ScaledPrice4,3))))))</f>
        <v> </v>
      </c>
      <c r="E230" s="317" t="str">
        <f aca="false">IF($A230="N/A"," ",IF(AND(Dayrun4&gt;=4,Dayrun4&lt;=9),0,VLOOKUP($A230,ScaledPrice4,9)))</f>
        <v> </v>
      </c>
      <c r="F230" s="317" t="str">
        <f aca="false">IF(A230="N/A"," ",IF(OR(Dayrun4=2,Dayrun4=3,Dayrun4=5,Dayrun4=6,Dayrun4=8,Dayrun4=9),VLOOKUP(A230,ScaledPrice4,IF(Scaler4=1,6,5)),0))</f>
        <v> </v>
      </c>
      <c r="G230" s="317" t="str">
        <f aca="false">IF(A230="N/A"," ",IF(OR(Dayrun4=2,Dayrun4=3,Dayrun4=5,Dayrun4=6),IF(Scaler4=2,F230,(VLOOKUP(A230,ScaledPrice4,5))*(2-(VLOOKUP(A230,ScaledPrice4,3)))),0))</f>
        <v> </v>
      </c>
      <c r="H230" s="317" t="str">
        <f aca="false">IF($A230="N/A"," ",IF(OR(Dayrun4=2,Dayrun4=3,Dayrun4=10),VLOOKUP($A230,ScaledPrice4,9),0))</f>
        <v> </v>
      </c>
      <c r="I230" s="317" t="str">
        <f aca="false">IF(A230="N/A"," ",IF(OR(Dayrun4=3,Dayrun4=6,Dayrun4=9),(VLOOKUP(A230,ScaledPrice4,IF(Scaler4=2,7,8))),0))</f>
        <v> </v>
      </c>
      <c r="J230" s="317" t="str">
        <f aca="false">IF(A230="N/A"," ",IF(OR(Dayrun4=3,Dayrun4=6),IF(Scaler4=2,I230,(VLOOKUP(A230,ScaledPrice4,7))*(2-(VLOOKUP(A230,ScaledPrice4,3)))),0))</f>
        <v> </v>
      </c>
      <c r="K230" s="317" t="str">
        <f aca="false">IF($A230="N/A"," ",IF(OR(Dayrun4=3,Dayrun4=10),VLOOKUP($A230,ScaledPrice4,9),0))</f>
        <v> </v>
      </c>
      <c r="L230" s="318" t="str">
        <f aca="false">IF($A230="N/A"," ",IF(Pricetype4=2,MAX(C230,0),IF(OR(Pricetype4=1,Pricetype4=4),IF(C230=0,0,(EURO(C230,Strikeprice4,0,0,($AH230+IF(Smile=TRUE(),VLOOKUP(MAX(-5,Strikeprice4-C230),Volsmile,2),0)),($A230-DateToday)+15,IF(Pricetype4=1,1,0),0))),C230)))</f>
        <v> </v>
      </c>
      <c r="M230" s="318" t="str">
        <f aca="false">IF($A230="N/A"," ",IF(Pricetype4=2,MAX(D230,0),IF(OR(Pricetype4=1,Pricetype4=4),IF(D230=0,0,(EURO(D230,Strikeprice4,0,0,($AH230+IF(Smile=TRUE(),VLOOKUP(MAX(-5,Strikeprice4-D230),Volsmile,2),0)),($A230-DateToday)+15,IF(Pricetype4=1,1,0),0))),D230)))</f>
        <v> </v>
      </c>
      <c r="N230" s="318" t="str">
        <f aca="false">IF($A230="N/A"," ",IF(Pricetype4=2,MAX(E230,0),IF(OR(Pricetype4=1,Pricetype4=4),IF(E230=0,0,(EURO(E230,Strikeprice4,0,0,($AK230+IF(Smile=TRUE(),VLOOKUP(MAX(-5,Strikeprice4-E230),Volsmile,2),0)),($A230-DateToday)+15,IF(Pricetype4=1,1,0),0))),E230)))</f>
        <v> </v>
      </c>
      <c r="O230" s="318" t="str">
        <f aca="false">IF($A230="N/A"," ",IF(Pricetype4=2,MAX(F230,0),IF(OR(Pricetype4=1,Pricetype4=4),IF(F230=0,0,(EURO(F230,Strikeprice4,0,0,($AK230+IF(Smile=TRUE(),VLOOKUP(MAX(-5,Strikeprice4-F230),Volsmile,2),0)),($A230-DateToday)+15,IF(Pricetype4=1,1,0),0))),F230)))</f>
        <v> </v>
      </c>
      <c r="P230" s="318" t="str">
        <f aca="false">IF($A230="N/A"," ",IF(Pricetype4=2,MAX(G230,0),IF(OR(Pricetype4=1,Pricetype4=4),IF(G230=0,0,(EURO(G230,Strikeprice4,0,0,($AK230+IF(Smile=TRUE(),VLOOKUP(MAX(-5,Strikeprice4-G230),Volsmile,2),0)),($A230-DateToday)+15,IF(Pricetype4=1,1,0),0))),G230)))</f>
        <v> </v>
      </c>
      <c r="Q230" s="318" t="str">
        <f aca="false">IF($A230="N/A"," ",IF(Pricetype4=2,MAX(H230,0),IF(OR(Pricetype4=1,Pricetype4=4),IF(H230=0,0,(EURO(H230,Strikeprice4,0,0,($AK230+IF(Smile=TRUE(),VLOOKUP(MAX(-5,Strikeprice4-H230),Volsmile,2),0)),($A230-DateToday)+15,IF(Pricetype4=1,1,0),0))),H230)))</f>
        <v> </v>
      </c>
      <c r="R230" s="318" t="str">
        <f aca="false">IF($A230="N/A"," ",IF(Pricetype4=2,MAX(I230,0),IF(OR(Pricetype4=1,Pricetype4=4),IF(I230=0,0,(EURO(I230,Strikeprice4,0,0,($AK230+IF(Smile=TRUE(),VLOOKUP(MAX(-5,Strikeprice4-I230),Volsmile,2),0)),($A230-DateToday)+15,IF(Pricetype4=1,1,0),0))),I230)))</f>
        <v> </v>
      </c>
      <c r="S230" s="318" t="str">
        <f aca="false">IF($A230="N/A"," ",IF(Pricetype4=2,MAX(J230,0),IF(OR(Pricetype4=1,Pricetype4=4),IF(J230=0,0,(EURO(J230,Strikeprice4,0,0,($AK230+IF(Smile=TRUE(),VLOOKUP(MAX(-5,Strikeprice4-J230),Volsmile,2),0)),($A230-DateToday)+15,IF(Pricetype4=1,1,0),0))),J230)))</f>
        <v> </v>
      </c>
      <c r="T230" s="318" t="str">
        <f aca="false">IF($A230="N/A"," ",IF(Pricetype4=2,MAX(K230,0),IF(OR(Pricetype4=1,Pricetype4=4),IF(K230=0,0,(EURO(K230,Strikeprice4,0,0,($AK230+IF(Smile=TRUE(),VLOOKUP(MAX(-5,Strikeprice4-K230),Volsmile,2),0)),($A230-DateToday)+15,IF(Pricetype4=1,1,0),0))),K230)))</f>
        <v> </v>
      </c>
      <c r="U230" s="319" t="str">
        <f aca="false">IF($A230="N/A"," ",Volume4*$AM230)</f>
        <v> </v>
      </c>
      <c r="V230" s="320" t="str">
        <f aca="false">IF($A230="N/A"," ",$U230*(8*($BQ230))*L230)</f>
        <v> </v>
      </c>
      <c r="W230" s="320" t="str">
        <f aca="false">IF($A230="N/A"," ",$U230*(8*($BQ230))*M230)</f>
        <v> </v>
      </c>
      <c r="X230" s="320" t="str">
        <f aca="false">IF($A230="N/A"," ",$U230*(8*($BQ230))*N230)</f>
        <v> </v>
      </c>
      <c r="Y230" s="320" t="str">
        <f aca="false">IF($A230="N/A"," ",$U230*(8*($BR230))*O230)</f>
        <v> </v>
      </c>
      <c r="Z230" s="320" t="str">
        <f aca="false">IF($A230="N/A"," ",$U230*(8*($BR230))*P230)</f>
        <v> </v>
      </c>
      <c r="AA230" s="320" t="str">
        <f aca="false">IF($A230="N/A"," ",$U230*(8*($BR230))*Q230)</f>
        <v> </v>
      </c>
      <c r="AB230" s="320" t="str">
        <f aca="false">IF($A230="N/A"," ",$U230*(8*($BS230))*R230)</f>
        <v> </v>
      </c>
      <c r="AC230" s="320" t="str">
        <f aca="false">IF($A230="N/A"," ",$U230*(8*($BS230))*S230)</f>
        <v> </v>
      </c>
      <c r="AD230" s="320" t="str">
        <f aca="false">IF($A230="N/A"," ",$U230*(8*($BS230))*T230)</f>
        <v> </v>
      </c>
      <c r="AE230" s="320" t="str">
        <f aca="false">IF($A230="N/A"," ",SUM(V230:AD230))</f>
        <v> </v>
      </c>
      <c r="AF230" s="321" t="str">
        <f aca="false">IF(A230="N/A"," ",(VLOOKUP(A230,PowerVolTable,(IF(VolBMO4=2,7,IF(VolBMO4=1,6,8))),FALSE())))</f>
        <v> </v>
      </c>
      <c r="AG230" s="321" t="str">
        <f aca="false">IF(A230="N/A"," ",(VLOOKUP(A230,IntraPowerVol,(IF(VolBMO4=2,3,IF(VolBMO4=1,2,4))),FALSE())*VLOOKUP(MONTH($A230),Volscale,2)))</f>
        <v> </v>
      </c>
      <c r="AH230" s="321" t="str">
        <f aca="false">IF($A230="N/A"," ",IF(VolType4=1,AG230,AF230))</f>
        <v> </v>
      </c>
      <c r="AI230" s="321" t="str">
        <f aca="false">IF($A230="N/A"," ",(VLOOKUP($A230,OffPwrVolTable,(IF(VolBMO4=2,7,IF(VolBMO4=1,6,8))),FALSE())))</f>
        <v> </v>
      </c>
      <c r="AJ230" s="321" t="str">
        <f aca="false">IF($A230="N/A"," ",(VLOOKUP($A230,OffPwrVolTable,(IF(VolBMO4=2,3,IF(VolBMO4=1,2,4))),FALSE())*VLOOKUP(MONTH($A230),Volscale,2)))</f>
        <v> </v>
      </c>
      <c r="AK230" s="321" t="str">
        <f aca="false">IF($A230="N/A"," ",IF(VolType4=1,AJ230,AI230))</f>
        <v> </v>
      </c>
      <c r="AL230" s="321" t="str">
        <f aca="false">IF($A230="N/A"," ",IF(PV=1,0,'Pricing Inputs4'!R263))</f>
        <v> </v>
      </c>
      <c r="AM230" s="323" t="str">
        <f aca="false">IF($A230="N/A"," ",(1+AL230/2)^(-2*((EOMONTH(A230,0)+20)-DateToday)/365.25))</f>
        <v> </v>
      </c>
      <c r="BQ230" s="0" t="str">
        <f aca="false">IF($A230="N/A"," ",(VLOOKUP($A230,NumberofDaysTable,2)))</f>
        <v> </v>
      </c>
      <c r="BR230" s="0" t="str">
        <f aca="false">IF($A230="N/A"," ",(VLOOKUP($A230,NumberofDaysTable,3)))</f>
        <v> </v>
      </c>
      <c r="BS230" s="0" t="str">
        <f aca="false">IF($A230="N/A"," ",(VLOOKUP($A230,NumberofDaysTable,4)))</f>
        <v> </v>
      </c>
    </row>
    <row r="231" customFormat="false" ht="12.75" hidden="false" customHeight="false" outlineLevel="0" collapsed="false">
      <c r="A231" s="315" t="str">
        <f aca="false">IF(A230="N/A","N/A",IF(EDATE(A230,1)&gt;Inputs!$R$5,"N/A",EDATE(A230,1)))</f>
        <v>N/A</v>
      </c>
      <c r="B231" s="316" t="str">
        <f aca="false">IF(A231="N/A"," ",YEAR(A231))</f>
        <v> </v>
      </c>
      <c r="C231" s="317" t="str">
        <f aca="false">IF($A231="N/A"," ",IF(Dayrun4=10,0,IF(Scaler4=1,(VLOOKUP(A231,ScaledPrice4,4)),(VLOOKUP(A231,ScaledPrice4,2)))))</f>
        <v> </v>
      </c>
      <c r="D231" s="317" t="str">
        <f aca="false">IF(A231="N/A"," ",IF(Dayrun4&gt;=7,0,IF(Scaler4=2,VLOOKUP(A231,ScaledPrice4,2),(VLOOKUP(A231,ScaledPrice4,2))*(2-(VLOOKUP(A231,ScaledPrice4,3))))))</f>
        <v> </v>
      </c>
      <c r="E231" s="317" t="str">
        <f aca="false">IF($A231="N/A"," ",IF(AND(Dayrun4&gt;=4,Dayrun4&lt;=9),0,VLOOKUP($A231,ScaledPrice4,9)))</f>
        <v> </v>
      </c>
      <c r="F231" s="317" t="str">
        <f aca="false">IF(A231="N/A"," ",IF(OR(Dayrun4=2,Dayrun4=3,Dayrun4=5,Dayrun4=6,Dayrun4=8,Dayrun4=9),VLOOKUP(A231,ScaledPrice4,IF(Scaler4=1,6,5)),0))</f>
        <v> </v>
      </c>
      <c r="G231" s="317" t="str">
        <f aca="false">IF(A231="N/A"," ",IF(OR(Dayrun4=2,Dayrun4=3,Dayrun4=5,Dayrun4=6),IF(Scaler4=2,F231,(VLOOKUP(A231,ScaledPrice4,5))*(2-(VLOOKUP(A231,ScaledPrice4,3)))),0))</f>
        <v> </v>
      </c>
      <c r="H231" s="317" t="str">
        <f aca="false">IF($A231="N/A"," ",IF(OR(Dayrun4=2,Dayrun4=3,Dayrun4=10),VLOOKUP($A231,ScaledPrice4,9),0))</f>
        <v> </v>
      </c>
      <c r="I231" s="317" t="str">
        <f aca="false">IF(A231="N/A"," ",IF(OR(Dayrun4=3,Dayrun4=6,Dayrun4=9),(VLOOKUP(A231,ScaledPrice4,IF(Scaler4=2,7,8))),0))</f>
        <v> </v>
      </c>
      <c r="J231" s="317" t="str">
        <f aca="false">IF(A231="N/A"," ",IF(OR(Dayrun4=3,Dayrun4=6),IF(Scaler4=2,I231,(VLOOKUP(A231,ScaledPrice4,7))*(2-(VLOOKUP(A231,ScaledPrice4,3)))),0))</f>
        <v> </v>
      </c>
      <c r="K231" s="317" t="str">
        <f aca="false">IF($A231="N/A"," ",IF(OR(Dayrun4=3,Dayrun4=10),VLOOKUP($A231,ScaledPrice4,9),0))</f>
        <v> </v>
      </c>
      <c r="L231" s="318" t="str">
        <f aca="false">IF($A231="N/A"," ",IF(Pricetype4=2,MAX(C231,0),IF(OR(Pricetype4=1,Pricetype4=4),IF(C231=0,0,(EURO(C231,Strikeprice4,0,0,($AH231+IF(Smile=TRUE(),VLOOKUP(MAX(-5,Strikeprice4-C231),Volsmile,2),0)),($A231-DateToday)+15,IF(Pricetype4=1,1,0),0))),C231)))</f>
        <v> </v>
      </c>
      <c r="M231" s="318" t="str">
        <f aca="false">IF($A231="N/A"," ",IF(Pricetype4=2,MAX(D231,0),IF(OR(Pricetype4=1,Pricetype4=4),IF(D231=0,0,(EURO(D231,Strikeprice4,0,0,($AH231+IF(Smile=TRUE(),VLOOKUP(MAX(-5,Strikeprice4-D231),Volsmile,2),0)),($A231-DateToday)+15,IF(Pricetype4=1,1,0),0))),D231)))</f>
        <v> </v>
      </c>
      <c r="N231" s="318" t="str">
        <f aca="false">IF($A231="N/A"," ",IF(Pricetype4=2,MAX(E231,0),IF(OR(Pricetype4=1,Pricetype4=4),IF(E231=0,0,(EURO(E231,Strikeprice4,0,0,($AK231+IF(Smile=TRUE(),VLOOKUP(MAX(-5,Strikeprice4-E231),Volsmile,2),0)),($A231-DateToday)+15,IF(Pricetype4=1,1,0),0))),E231)))</f>
        <v> </v>
      </c>
      <c r="O231" s="318" t="str">
        <f aca="false">IF($A231="N/A"," ",IF(Pricetype4=2,MAX(F231,0),IF(OR(Pricetype4=1,Pricetype4=4),IF(F231=0,0,(EURO(F231,Strikeprice4,0,0,($AK231+IF(Smile=TRUE(),VLOOKUP(MAX(-5,Strikeprice4-F231),Volsmile,2),0)),($A231-DateToday)+15,IF(Pricetype4=1,1,0),0))),F231)))</f>
        <v> </v>
      </c>
      <c r="P231" s="318" t="str">
        <f aca="false">IF($A231="N/A"," ",IF(Pricetype4=2,MAX(G231,0),IF(OR(Pricetype4=1,Pricetype4=4),IF(G231=0,0,(EURO(G231,Strikeprice4,0,0,($AK231+IF(Smile=TRUE(),VLOOKUP(MAX(-5,Strikeprice4-G231),Volsmile,2),0)),($A231-DateToday)+15,IF(Pricetype4=1,1,0),0))),G231)))</f>
        <v> </v>
      </c>
      <c r="Q231" s="318" t="str">
        <f aca="false">IF($A231="N/A"," ",IF(Pricetype4=2,MAX(H231,0),IF(OR(Pricetype4=1,Pricetype4=4),IF(H231=0,0,(EURO(H231,Strikeprice4,0,0,($AK231+IF(Smile=TRUE(),VLOOKUP(MAX(-5,Strikeprice4-H231),Volsmile,2),0)),($A231-DateToday)+15,IF(Pricetype4=1,1,0),0))),H231)))</f>
        <v> </v>
      </c>
      <c r="R231" s="318" t="str">
        <f aca="false">IF($A231="N/A"," ",IF(Pricetype4=2,MAX(I231,0),IF(OR(Pricetype4=1,Pricetype4=4),IF(I231=0,0,(EURO(I231,Strikeprice4,0,0,($AK231+IF(Smile=TRUE(),VLOOKUP(MAX(-5,Strikeprice4-I231),Volsmile,2),0)),($A231-DateToday)+15,IF(Pricetype4=1,1,0),0))),I231)))</f>
        <v> </v>
      </c>
      <c r="S231" s="318" t="str">
        <f aca="false">IF($A231="N/A"," ",IF(Pricetype4=2,MAX(J231,0),IF(OR(Pricetype4=1,Pricetype4=4),IF(J231=0,0,(EURO(J231,Strikeprice4,0,0,($AK231+IF(Smile=TRUE(),VLOOKUP(MAX(-5,Strikeprice4-J231),Volsmile,2),0)),($A231-DateToday)+15,IF(Pricetype4=1,1,0),0))),J231)))</f>
        <v> </v>
      </c>
      <c r="T231" s="318" t="str">
        <f aca="false">IF($A231="N/A"," ",IF(Pricetype4=2,MAX(K231,0),IF(OR(Pricetype4=1,Pricetype4=4),IF(K231=0,0,(EURO(K231,Strikeprice4,0,0,($AK231+IF(Smile=TRUE(),VLOOKUP(MAX(-5,Strikeprice4-K231),Volsmile,2),0)),($A231-DateToday)+15,IF(Pricetype4=1,1,0),0))),K231)))</f>
        <v> </v>
      </c>
      <c r="U231" s="319" t="str">
        <f aca="false">IF($A231="N/A"," ",Volume4*$AM231)</f>
        <v> </v>
      </c>
      <c r="V231" s="320" t="str">
        <f aca="false">IF($A231="N/A"," ",$U231*(8*($BQ231))*L231)</f>
        <v> </v>
      </c>
      <c r="W231" s="320" t="str">
        <f aca="false">IF($A231="N/A"," ",$U231*(8*($BQ231))*M231)</f>
        <v> </v>
      </c>
      <c r="X231" s="320" t="str">
        <f aca="false">IF($A231="N/A"," ",$U231*(8*($BQ231))*N231)</f>
        <v> </v>
      </c>
      <c r="Y231" s="320" t="str">
        <f aca="false">IF($A231="N/A"," ",$U231*(8*($BR231))*O231)</f>
        <v> </v>
      </c>
      <c r="Z231" s="320" t="str">
        <f aca="false">IF($A231="N/A"," ",$U231*(8*($BR231))*P231)</f>
        <v> </v>
      </c>
      <c r="AA231" s="320" t="str">
        <f aca="false">IF($A231="N/A"," ",$U231*(8*($BR231))*Q231)</f>
        <v> </v>
      </c>
      <c r="AB231" s="320" t="str">
        <f aca="false">IF($A231="N/A"," ",$U231*(8*($BS231))*R231)</f>
        <v> </v>
      </c>
      <c r="AC231" s="320" t="str">
        <f aca="false">IF($A231="N/A"," ",$U231*(8*($BS231))*S231)</f>
        <v> </v>
      </c>
      <c r="AD231" s="320" t="str">
        <f aca="false">IF($A231="N/A"," ",$U231*(8*($BS231))*T231)</f>
        <v> </v>
      </c>
      <c r="AE231" s="320" t="str">
        <f aca="false">IF($A231="N/A"," ",SUM(V231:AD231))</f>
        <v> </v>
      </c>
      <c r="AF231" s="321" t="str">
        <f aca="false">IF(A231="N/A"," ",(VLOOKUP(A231,PowerVolTable,(IF(VolBMO4=2,7,IF(VolBMO4=1,6,8))),FALSE())))</f>
        <v> </v>
      </c>
      <c r="AG231" s="321" t="str">
        <f aca="false">IF(A231="N/A"," ",(VLOOKUP(A231,IntraPowerVol,(IF(VolBMO4=2,3,IF(VolBMO4=1,2,4))),FALSE())*VLOOKUP(MONTH($A231),Volscale,2)))</f>
        <v> </v>
      </c>
      <c r="AH231" s="321" t="str">
        <f aca="false">IF($A231="N/A"," ",IF(VolType4=1,AG231,AF231))</f>
        <v> </v>
      </c>
      <c r="AI231" s="321" t="str">
        <f aca="false">IF($A231="N/A"," ",(VLOOKUP($A231,OffPwrVolTable,(IF(VolBMO4=2,7,IF(VolBMO4=1,6,8))),FALSE())))</f>
        <v> </v>
      </c>
      <c r="AJ231" s="321" t="str">
        <f aca="false">IF($A231="N/A"," ",(VLOOKUP($A231,OffPwrVolTable,(IF(VolBMO4=2,3,IF(VolBMO4=1,2,4))),FALSE())*VLOOKUP(MONTH($A231),Volscale,2)))</f>
        <v> </v>
      </c>
      <c r="AK231" s="321" t="str">
        <f aca="false">IF($A231="N/A"," ",IF(VolType4=1,AJ231,AI231))</f>
        <v> </v>
      </c>
      <c r="AL231" s="321" t="str">
        <f aca="false">IF($A231="N/A"," ",IF(PV=1,0,'Pricing Inputs4'!R264))</f>
        <v> </v>
      </c>
      <c r="AM231" s="323" t="str">
        <f aca="false">IF($A231="N/A"," ",(1+AL231/2)^(-2*((EOMONTH(A231,0)+20)-DateToday)/365.25))</f>
        <v> </v>
      </c>
      <c r="BQ231" s="0" t="str">
        <f aca="false">IF($A231="N/A"," ",(VLOOKUP($A231,NumberofDaysTable,2)))</f>
        <v> </v>
      </c>
      <c r="BR231" s="0" t="str">
        <f aca="false">IF($A231="N/A"," ",(VLOOKUP($A231,NumberofDaysTable,3)))</f>
        <v> </v>
      </c>
      <c r="BS231" s="0" t="str">
        <f aca="false">IF($A231="N/A"," ",(VLOOKUP($A231,NumberofDaysTable,4)))</f>
        <v> </v>
      </c>
    </row>
    <row r="232" customFormat="false" ht="12.75" hidden="false" customHeight="false" outlineLevel="0" collapsed="false">
      <c r="A232" s="315" t="str">
        <f aca="false">IF(A231="N/A","N/A",IF(EDATE(A231,1)&gt;Inputs!$R$5,"N/A",EDATE(A231,1)))</f>
        <v>N/A</v>
      </c>
      <c r="B232" s="316" t="str">
        <f aca="false">IF(A232="N/A"," ",YEAR(A232))</f>
        <v> </v>
      </c>
      <c r="C232" s="317" t="str">
        <f aca="false">IF($A232="N/A"," ",IF(Dayrun4=10,0,IF(Scaler4=1,(VLOOKUP(A232,ScaledPrice4,4)),(VLOOKUP(A232,ScaledPrice4,2)))))</f>
        <v> </v>
      </c>
      <c r="D232" s="317" t="str">
        <f aca="false">IF(A232="N/A"," ",IF(Dayrun4&gt;=7,0,IF(Scaler4=2,VLOOKUP(A232,ScaledPrice4,2),(VLOOKUP(A232,ScaledPrice4,2))*(2-(VLOOKUP(A232,ScaledPrice4,3))))))</f>
        <v> </v>
      </c>
      <c r="E232" s="317" t="str">
        <f aca="false">IF($A232="N/A"," ",IF(AND(Dayrun4&gt;=4,Dayrun4&lt;=9),0,VLOOKUP($A232,ScaledPrice4,9)))</f>
        <v> </v>
      </c>
      <c r="F232" s="317" t="str">
        <f aca="false">IF(A232="N/A"," ",IF(OR(Dayrun4=2,Dayrun4=3,Dayrun4=5,Dayrun4=6,Dayrun4=8,Dayrun4=9),VLOOKUP(A232,ScaledPrice4,IF(Scaler4=1,6,5)),0))</f>
        <v> </v>
      </c>
      <c r="G232" s="317" t="str">
        <f aca="false">IF(A232="N/A"," ",IF(OR(Dayrun4=2,Dayrun4=3,Dayrun4=5,Dayrun4=6),IF(Scaler4=2,F232,(VLOOKUP(A232,ScaledPrice4,5))*(2-(VLOOKUP(A232,ScaledPrice4,3)))),0))</f>
        <v> </v>
      </c>
      <c r="H232" s="317" t="str">
        <f aca="false">IF($A232="N/A"," ",IF(OR(Dayrun4=2,Dayrun4=3,Dayrun4=10),VLOOKUP($A232,ScaledPrice4,9),0))</f>
        <v> </v>
      </c>
      <c r="I232" s="317" t="str">
        <f aca="false">IF(A232="N/A"," ",IF(OR(Dayrun4=3,Dayrun4=6,Dayrun4=9),(VLOOKUP(A232,ScaledPrice4,IF(Scaler4=2,7,8))),0))</f>
        <v> </v>
      </c>
      <c r="J232" s="317" t="str">
        <f aca="false">IF(A232="N/A"," ",IF(OR(Dayrun4=3,Dayrun4=6),IF(Scaler4=2,I232,(VLOOKUP(A232,ScaledPrice4,7))*(2-(VLOOKUP(A232,ScaledPrice4,3)))),0))</f>
        <v> </v>
      </c>
      <c r="K232" s="317" t="str">
        <f aca="false">IF($A232="N/A"," ",IF(OR(Dayrun4=3,Dayrun4=10),VLOOKUP($A232,ScaledPrice4,9),0))</f>
        <v> </v>
      </c>
      <c r="L232" s="318" t="str">
        <f aca="false">IF($A232="N/A"," ",IF(Pricetype4=2,MAX(C232,0),IF(OR(Pricetype4=1,Pricetype4=4),IF(C232=0,0,(EURO(C232,Strikeprice4,0,0,($AH232+IF(Smile=TRUE(),VLOOKUP(MAX(-5,Strikeprice4-C232),Volsmile,2),0)),($A232-DateToday)+15,IF(Pricetype4=1,1,0),0))),C232)))</f>
        <v> </v>
      </c>
      <c r="M232" s="318" t="str">
        <f aca="false">IF($A232="N/A"," ",IF(Pricetype4=2,MAX(D232,0),IF(OR(Pricetype4=1,Pricetype4=4),IF(D232=0,0,(EURO(D232,Strikeprice4,0,0,($AH232+IF(Smile=TRUE(),VLOOKUP(MAX(-5,Strikeprice4-D232),Volsmile,2),0)),($A232-DateToday)+15,IF(Pricetype4=1,1,0),0))),D232)))</f>
        <v> </v>
      </c>
      <c r="N232" s="318" t="str">
        <f aca="false">IF($A232="N/A"," ",IF(Pricetype4=2,MAX(E232,0),IF(OR(Pricetype4=1,Pricetype4=4),IF(E232=0,0,(EURO(E232,Strikeprice4,0,0,($AK232+IF(Smile=TRUE(),VLOOKUP(MAX(-5,Strikeprice4-E232),Volsmile,2),0)),($A232-DateToday)+15,IF(Pricetype4=1,1,0),0))),E232)))</f>
        <v> </v>
      </c>
      <c r="O232" s="318" t="str">
        <f aca="false">IF($A232="N/A"," ",IF(Pricetype4=2,MAX(F232,0),IF(OR(Pricetype4=1,Pricetype4=4),IF(F232=0,0,(EURO(F232,Strikeprice4,0,0,($AK232+IF(Smile=TRUE(),VLOOKUP(MAX(-5,Strikeprice4-F232),Volsmile,2),0)),($A232-DateToday)+15,IF(Pricetype4=1,1,0),0))),F232)))</f>
        <v> </v>
      </c>
      <c r="P232" s="318" t="str">
        <f aca="false">IF($A232="N/A"," ",IF(Pricetype4=2,MAX(G232,0),IF(OR(Pricetype4=1,Pricetype4=4),IF(G232=0,0,(EURO(G232,Strikeprice4,0,0,($AK232+IF(Smile=TRUE(),VLOOKUP(MAX(-5,Strikeprice4-G232),Volsmile,2),0)),($A232-DateToday)+15,IF(Pricetype4=1,1,0),0))),G232)))</f>
        <v> </v>
      </c>
      <c r="Q232" s="318" t="str">
        <f aca="false">IF($A232="N/A"," ",IF(Pricetype4=2,MAX(H232,0),IF(OR(Pricetype4=1,Pricetype4=4),IF(H232=0,0,(EURO(H232,Strikeprice4,0,0,($AK232+IF(Smile=TRUE(),VLOOKUP(MAX(-5,Strikeprice4-H232),Volsmile,2),0)),($A232-DateToday)+15,IF(Pricetype4=1,1,0),0))),H232)))</f>
        <v> </v>
      </c>
      <c r="R232" s="318" t="str">
        <f aca="false">IF($A232="N/A"," ",IF(Pricetype4=2,MAX(I232,0),IF(OR(Pricetype4=1,Pricetype4=4),IF(I232=0,0,(EURO(I232,Strikeprice4,0,0,($AK232+IF(Smile=TRUE(),VLOOKUP(MAX(-5,Strikeprice4-I232),Volsmile,2),0)),($A232-DateToday)+15,IF(Pricetype4=1,1,0),0))),I232)))</f>
        <v> </v>
      </c>
      <c r="S232" s="318" t="str">
        <f aca="false">IF($A232="N/A"," ",IF(Pricetype4=2,MAX(J232,0),IF(OR(Pricetype4=1,Pricetype4=4),IF(J232=0,0,(EURO(J232,Strikeprice4,0,0,($AK232+IF(Smile=TRUE(),VLOOKUP(MAX(-5,Strikeprice4-J232),Volsmile,2),0)),($A232-DateToday)+15,IF(Pricetype4=1,1,0),0))),J232)))</f>
        <v> </v>
      </c>
      <c r="T232" s="318" t="str">
        <f aca="false">IF($A232="N/A"," ",IF(Pricetype4=2,MAX(K232,0),IF(OR(Pricetype4=1,Pricetype4=4),IF(K232=0,0,(EURO(K232,Strikeprice4,0,0,($AK232+IF(Smile=TRUE(),VLOOKUP(MAX(-5,Strikeprice4-K232),Volsmile,2),0)),($A232-DateToday)+15,IF(Pricetype4=1,1,0),0))),K232)))</f>
        <v> </v>
      </c>
      <c r="U232" s="319" t="str">
        <f aca="false">IF($A232="N/A"," ",Volume4*$AM232)</f>
        <v> </v>
      </c>
      <c r="V232" s="320" t="str">
        <f aca="false">IF($A232="N/A"," ",$U232*(8*($BQ232))*L232)</f>
        <v> </v>
      </c>
      <c r="W232" s="320" t="str">
        <f aca="false">IF($A232="N/A"," ",$U232*(8*($BQ232))*M232)</f>
        <v> </v>
      </c>
      <c r="X232" s="320" t="str">
        <f aca="false">IF($A232="N/A"," ",$U232*(8*($BQ232))*N232)</f>
        <v> </v>
      </c>
      <c r="Y232" s="320" t="str">
        <f aca="false">IF($A232="N/A"," ",$U232*(8*($BR232))*O232)</f>
        <v> </v>
      </c>
      <c r="Z232" s="320" t="str">
        <f aca="false">IF($A232="N/A"," ",$U232*(8*($BR232))*P232)</f>
        <v> </v>
      </c>
      <c r="AA232" s="320" t="str">
        <f aca="false">IF($A232="N/A"," ",$U232*(8*($BR232))*Q232)</f>
        <v> </v>
      </c>
      <c r="AB232" s="320" t="str">
        <f aca="false">IF($A232="N/A"," ",$U232*(8*($BS232))*R232)</f>
        <v> </v>
      </c>
      <c r="AC232" s="320" t="str">
        <f aca="false">IF($A232="N/A"," ",$U232*(8*($BS232))*S232)</f>
        <v> </v>
      </c>
      <c r="AD232" s="320" t="str">
        <f aca="false">IF($A232="N/A"," ",$U232*(8*($BS232))*T232)</f>
        <v> </v>
      </c>
      <c r="AE232" s="320" t="str">
        <f aca="false">IF($A232="N/A"," ",SUM(V232:AD232))</f>
        <v> </v>
      </c>
      <c r="AF232" s="321" t="str">
        <f aca="false">IF(A232="N/A"," ",(VLOOKUP(A232,PowerVolTable,(IF(VolBMO4=2,7,IF(VolBMO4=1,6,8))),FALSE())))</f>
        <v> </v>
      </c>
      <c r="AG232" s="321" t="str">
        <f aca="false">IF(A232="N/A"," ",(VLOOKUP(A232,IntraPowerVol,(IF(VolBMO4=2,3,IF(VolBMO4=1,2,4))),FALSE())*VLOOKUP(MONTH($A232),Volscale,2)))</f>
        <v> </v>
      </c>
      <c r="AH232" s="321" t="str">
        <f aca="false">IF($A232="N/A"," ",IF(VolType4=1,AG232,AF232))</f>
        <v> </v>
      </c>
      <c r="AI232" s="321" t="str">
        <f aca="false">IF($A232="N/A"," ",(VLOOKUP($A232,OffPwrVolTable,(IF(VolBMO4=2,7,IF(VolBMO4=1,6,8))),FALSE())))</f>
        <v> </v>
      </c>
      <c r="AJ232" s="321" t="str">
        <f aca="false">IF($A232="N/A"," ",(VLOOKUP($A232,OffPwrVolTable,(IF(VolBMO4=2,3,IF(VolBMO4=1,2,4))),FALSE())*VLOOKUP(MONTH($A232),Volscale,2)))</f>
        <v> </v>
      </c>
      <c r="AK232" s="321" t="str">
        <f aca="false">IF($A232="N/A"," ",IF(VolType4=1,AJ232,AI232))</f>
        <v> </v>
      </c>
      <c r="AL232" s="321" t="str">
        <f aca="false">IF($A232="N/A"," ",IF(PV=1,0,'Pricing Inputs4'!R265))</f>
        <v> </v>
      </c>
      <c r="AM232" s="323" t="str">
        <f aca="false">IF($A232="N/A"," ",(1+AL232/2)^(-2*((EOMONTH(A232,0)+20)-DateToday)/365.25))</f>
        <v> </v>
      </c>
      <c r="BQ232" s="0" t="str">
        <f aca="false">IF($A232="N/A"," ",(VLOOKUP($A232,NumberofDaysTable,2)))</f>
        <v> </v>
      </c>
      <c r="BR232" s="0" t="str">
        <f aca="false">IF($A232="N/A"," ",(VLOOKUP($A232,NumberofDaysTable,3)))</f>
        <v> </v>
      </c>
      <c r="BS232" s="0" t="str">
        <f aca="false">IF($A232="N/A"," ",(VLOOKUP($A232,NumberofDaysTable,4)))</f>
        <v> </v>
      </c>
    </row>
    <row r="233" customFormat="false" ht="12.75" hidden="false" customHeight="false" outlineLevel="0" collapsed="false">
      <c r="A233" s="315" t="str">
        <f aca="false">IF(A232="N/A","N/A",IF(EDATE(A232,1)&gt;Inputs!$R$5,"N/A",EDATE(A232,1)))</f>
        <v>N/A</v>
      </c>
      <c r="B233" s="316" t="str">
        <f aca="false">IF(A233="N/A"," ",YEAR(A233))</f>
        <v> </v>
      </c>
      <c r="C233" s="317" t="str">
        <f aca="false">IF($A233="N/A"," ",IF(Dayrun4=10,0,IF(Scaler4=1,(VLOOKUP(A233,ScaledPrice4,4)),(VLOOKUP(A233,ScaledPrice4,2)))))</f>
        <v> </v>
      </c>
      <c r="D233" s="317" t="str">
        <f aca="false">IF(A233="N/A"," ",IF(Dayrun4&gt;=7,0,IF(Scaler4=2,VLOOKUP(A233,ScaledPrice4,2),(VLOOKUP(A233,ScaledPrice4,2))*(2-(VLOOKUP(A233,ScaledPrice4,3))))))</f>
        <v> </v>
      </c>
      <c r="E233" s="317" t="str">
        <f aca="false">IF($A233="N/A"," ",IF(AND(Dayrun4&gt;=4,Dayrun4&lt;=9),0,VLOOKUP($A233,ScaledPrice4,9)))</f>
        <v> </v>
      </c>
      <c r="F233" s="317" t="str">
        <f aca="false">IF(A233="N/A"," ",IF(OR(Dayrun4=2,Dayrun4=3,Dayrun4=5,Dayrun4=6,Dayrun4=8,Dayrun4=9),VLOOKUP(A233,ScaledPrice4,IF(Scaler4=1,6,5)),0))</f>
        <v> </v>
      </c>
      <c r="G233" s="317" t="str">
        <f aca="false">IF(A233="N/A"," ",IF(OR(Dayrun4=2,Dayrun4=3,Dayrun4=5,Dayrun4=6),IF(Scaler4=2,F233,(VLOOKUP(A233,ScaledPrice4,5))*(2-(VLOOKUP(A233,ScaledPrice4,3)))),0))</f>
        <v> </v>
      </c>
      <c r="H233" s="317" t="str">
        <f aca="false">IF($A233="N/A"," ",IF(OR(Dayrun4=2,Dayrun4=3,Dayrun4=10),VLOOKUP($A233,ScaledPrice4,9),0))</f>
        <v> </v>
      </c>
      <c r="I233" s="317" t="str">
        <f aca="false">IF(A233="N/A"," ",IF(OR(Dayrun4=3,Dayrun4=6,Dayrun4=9),(VLOOKUP(A233,ScaledPrice4,IF(Scaler4=2,7,8))),0))</f>
        <v> </v>
      </c>
      <c r="J233" s="317" t="str">
        <f aca="false">IF(A233="N/A"," ",IF(OR(Dayrun4=3,Dayrun4=6),IF(Scaler4=2,I233,(VLOOKUP(A233,ScaledPrice4,7))*(2-(VLOOKUP(A233,ScaledPrice4,3)))),0))</f>
        <v> </v>
      </c>
      <c r="K233" s="317" t="str">
        <f aca="false">IF($A233="N/A"," ",IF(OR(Dayrun4=3,Dayrun4=10),VLOOKUP($A233,ScaledPrice4,9),0))</f>
        <v> </v>
      </c>
      <c r="L233" s="318" t="str">
        <f aca="false">IF($A233="N/A"," ",IF(Pricetype4=2,MAX(C233,0),IF(OR(Pricetype4=1,Pricetype4=4),IF(C233=0,0,(EURO(C233,Strikeprice4,0,0,($AH233+IF(Smile=TRUE(),VLOOKUP(MAX(-5,Strikeprice4-C233),Volsmile,2),0)),($A233-DateToday)+15,IF(Pricetype4=1,1,0),0))),C233)))</f>
        <v> </v>
      </c>
      <c r="M233" s="318" t="str">
        <f aca="false">IF($A233="N/A"," ",IF(Pricetype4=2,MAX(D233,0),IF(OR(Pricetype4=1,Pricetype4=4),IF(D233=0,0,(EURO(D233,Strikeprice4,0,0,($AH233+IF(Smile=TRUE(),VLOOKUP(MAX(-5,Strikeprice4-D233),Volsmile,2),0)),($A233-DateToday)+15,IF(Pricetype4=1,1,0),0))),D233)))</f>
        <v> </v>
      </c>
      <c r="N233" s="318" t="str">
        <f aca="false">IF($A233="N/A"," ",IF(Pricetype4=2,MAX(E233,0),IF(OR(Pricetype4=1,Pricetype4=4),IF(E233=0,0,(EURO(E233,Strikeprice4,0,0,($AK233+IF(Smile=TRUE(),VLOOKUP(MAX(-5,Strikeprice4-E233),Volsmile,2),0)),($A233-DateToday)+15,IF(Pricetype4=1,1,0),0))),E233)))</f>
        <v> </v>
      </c>
      <c r="O233" s="318" t="str">
        <f aca="false">IF($A233="N/A"," ",IF(Pricetype4=2,MAX(F233,0),IF(OR(Pricetype4=1,Pricetype4=4),IF(F233=0,0,(EURO(F233,Strikeprice4,0,0,($AK233+IF(Smile=TRUE(),VLOOKUP(MAX(-5,Strikeprice4-F233),Volsmile,2),0)),($A233-DateToday)+15,IF(Pricetype4=1,1,0),0))),F233)))</f>
        <v> </v>
      </c>
      <c r="P233" s="318" t="str">
        <f aca="false">IF($A233="N/A"," ",IF(Pricetype4=2,MAX(G233,0),IF(OR(Pricetype4=1,Pricetype4=4),IF(G233=0,0,(EURO(G233,Strikeprice4,0,0,($AK233+IF(Smile=TRUE(),VLOOKUP(MAX(-5,Strikeprice4-G233),Volsmile,2),0)),($A233-DateToday)+15,IF(Pricetype4=1,1,0),0))),G233)))</f>
        <v> </v>
      </c>
      <c r="Q233" s="318" t="str">
        <f aca="false">IF($A233="N/A"," ",IF(Pricetype4=2,MAX(H233,0),IF(OR(Pricetype4=1,Pricetype4=4),IF(H233=0,0,(EURO(H233,Strikeprice4,0,0,($AK233+IF(Smile=TRUE(),VLOOKUP(MAX(-5,Strikeprice4-H233),Volsmile,2),0)),($A233-DateToday)+15,IF(Pricetype4=1,1,0),0))),H233)))</f>
        <v> </v>
      </c>
      <c r="R233" s="318" t="str">
        <f aca="false">IF($A233="N/A"," ",IF(Pricetype4=2,MAX(I233,0),IF(OR(Pricetype4=1,Pricetype4=4),IF(I233=0,0,(EURO(I233,Strikeprice4,0,0,($AK233+IF(Smile=TRUE(),VLOOKUP(MAX(-5,Strikeprice4-I233),Volsmile,2),0)),($A233-DateToday)+15,IF(Pricetype4=1,1,0),0))),I233)))</f>
        <v> </v>
      </c>
      <c r="S233" s="318" t="str">
        <f aca="false">IF($A233="N/A"," ",IF(Pricetype4=2,MAX(J233,0),IF(OR(Pricetype4=1,Pricetype4=4),IF(J233=0,0,(EURO(J233,Strikeprice4,0,0,($AK233+IF(Smile=TRUE(),VLOOKUP(MAX(-5,Strikeprice4-J233),Volsmile,2),0)),($A233-DateToday)+15,IF(Pricetype4=1,1,0),0))),J233)))</f>
        <v> </v>
      </c>
      <c r="T233" s="318" t="str">
        <f aca="false">IF($A233="N/A"," ",IF(Pricetype4=2,MAX(K233,0),IF(OR(Pricetype4=1,Pricetype4=4),IF(K233=0,0,(EURO(K233,Strikeprice4,0,0,($AK233+IF(Smile=TRUE(),VLOOKUP(MAX(-5,Strikeprice4-K233),Volsmile,2),0)),($A233-DateToday)+15,IF(Pricetype4=1,1,0),0))),K233)))</f>
        <v> </v>
      </c>
      <c r="U233" s="319" t="str">
        <f aca="false">IF($A233="N/A"," ",Volume4*$AM233)</f>
        <v> </v>
      </c>
      <c r="V233" s="320" t="str">
        <f aca="false">IF($A233="N/A"," ",$U233*(8*($BQ233))*L233)</f>
        <v> </v>
      </c>
      <c r="W233" s="320" t="str">
        <f aca="false">IF($A233="N/A"," ",$U233*(8*($BQ233))*M233)</f>
        <v> </v>
      </c>
      <c r="X233" s="320" t="str">
        <f aca="false">IF($A233="N/A"," ",$U233*(8*($BQ233))*N233)</f>
        <v> </v>
      </c>
      <c r="Y233" s="320" t="str">
        <f aca="false">IF($A233="N/A"," ",$U233*(8*($BR233))*O233)</f>
        <v> </v>
      </c>
      <c r="Z233" s="320" t="str">
        <f aca="false">IF($A233="N/A"," ",$U233*(8*($BR233))*P233)</f>
        <v> </v>
      </c>
      <c r="AA233" s="320" t="str">
        <f aca="false">IF($A233="N/A"," ",$U233*(8*($BR233))*Q233)</f>
        <v> </v>
      </c>
      <c r="AB233" s="320" t="str">
        <f aca="false">IF($A233="N/A"," ",$U233*(8*($BS233))*R233)</f>
        <v> </v>
      </c>
      <c r="AC233" s="320" t="str">
        <f aca="false">IF($A233="N/A"," ",$U233*(8*($BS233))*S233)</f>
        <v> </v>
      </c>
      <c r="AD233" s="320" t="str">
        <f aca="false">IF($A233="N/A"," ",$U233*(8*($BS233))*T233)</f>
        <v> </v>
      </c>
      <c r="AE233" s="320" t="str">
        <f aca="false">IF($A233="N/A"," ",SUM(V233:AD233))</f>
        <v> </v>
      </c>
      <c r="AF233" s="321" t="str">
        <f aca="false">IF(A233="N/A"," ",(VLOOKUP(A233,PowerVolTable,(IF(VolBMO4=2,7,IF(VolBMO4=1,6,8))),FALSE())))</f>
        <v> </v>
      </c>
      <c r="AG233" s="321" t="str">
        <f aca="false">IF(A233="N/A"," ",(VLOOKUP(A233,IntraPowerVol,(IF(VolBMO4=2,3,IF(VolBMO4=1,2,4))),FALSE())*VLOOKUP(MONTH($A233),Volscale,2)))</f>
        <v> </v>
      </c>
      <c r="AH233" s="321" t="str">
        <f aca="false">IF($A233="N/A"," ",IF(VolType4=1,AG233,AF233))</f>
        <v> </v>
      </c>
      <c r="AI233" s="321" t="str">
        <f aca="false">IF($A233="N/A"," ",(VLOOKUP($A233,OffPwrVolTable,(IF(VolBMO4=2,7,IF(VolBMO4=1,6,8))),FALSE())))</f>
        <v> </v>
      </c>
      <c r="AJ233" s="321" t="str">
        <f aca="false">IF($A233="N/A"," ",(VLOOKUP($A233,OffPwrVolTable,(IF(VolBMO4=2,3,IF(VolBMO4=1,2,4))),FALSE())*VLOOKUP(MONTH($A233),Volscale,2)))</f>
        <v> </v>
      </c>
      <c r="AK233" s="321" t="str">
        <f aca="false">IF($A233="N/A"," ",IF(VolType4=1,AJ233,AI233))</f>
        <v> </v>
      </c>
      <c r="AL233" s="321" t="str">
        <f aca="false">IF($A233="N/A"," ",IF(PV=1,0,'Pricing Inputs4'!R266))</f>
        <v> </v>
      </c>
      <c r="AM233" s="323" t="str">
        <f aca="false">IF($A233="N/A"," ",(1+AL233/2)^(-2*((EOMONTH(A233,0)+20)-DateToday)/365.25))</f>
        <v> </v>
      </c>
      <c r="BQ233" s="0" t="str">
        <f aca="false">IF($A233="N/A"," ",(VLOOKUP($A233,NumberofDaysTable,2)))</f>
        <v> </v>
      </c>
      <c r="BR233" s="0" t="str">
        <f aca="false">IF($A233="N/A"," ",(VLOOKUP($A233,NumberofDaysTable,3)))</f>
        <v> </v>
      </c>
      <c r="BS233" s="0" t="str">
        <f aca="false">IF($A233="N/A"," ",(VLOOKUP($A233,NumberofDaysTable,4)))</f>
        <v> </v>
      </c>
    </row>
    <row r="234" customFormat="false" ht="12.75" hidden="false" customHeight="false" outlineLevel="0" collapsed="false">
      <c r="A234" s="315" t="str">
        <f aca="false">IF(A233="N/A","N/A",IF(EDATE(A233,1)&gt;Inputs!$R$5,"N/A",EDATE(A233,1)))</f>
        <v>N/A</v>
      </c>
      <c r="B234" s="316" t="str">
        <f aca="false">IF(A234="N/A"," ",YEAR(A234))</f>
        <v> </v>
      </c>
      <c r="C234" s="317" t="str">
        <f aca="false">IF($A234="N/A"," ",IF(Dayrun4=10,0,IF(Scaler4=1,(VLOOKUP(A234,ScaledPrice4,4)),(VLOOKUP(A234,ScaledPrice4,2)))))</f>
        <v> </v>
      </c>
      <c r="D234" s="317" t="str">
        <f aca="false">IF(A234="N/A"," ",IF(Dayrun4&gt;=7,0,IF(Scaler4=2,VLOOKUP(A234,ScaledPrice4,2),(VLOOKUP(A234,ScaledPrice4,2))*(2-(VLOOKUP(A234,ScaledPrice4,3))))))</f>
        <v> </v>
      </c>
      <c r="E234" s="317" t="str">
        <f aca="false">IF($A234="N/A"," ",IF(AND(Dayrun4&gt;=4,Dayrun4&lt;=9),0,VLOOKUP($A234,ScaledPrice4,9)))</f>
        <v> </v>
      </c>
      <c r="F234" s="317" t="str">
        <f aca="false">IF(A234="N/A"," ",IF(OR(Dayrun4=2,Dayrun4=3,Dayrun4=5,Dayrun4=6,Dayrun4=8,Dayrun4=9),VLOOKUP(A234,ScaledPrice4,IF(Scaler4=1,6,5)),0))</f>
        <v> </v>
      </c>
      <c r="G234" s="317" t="str">
        <f aca="false">IF(A234="N/A"," ",IF(OR(Dayrun4=2,Dayrun4=3,Dayrun4=5,Dayrun4=6),IF(Scaler4=2,F234,(VLOOKUP(A234,ScaledPrice4,5))*(2-(VLOOKUP(A234,ScaledPrice4,3)))),0))</f>
        <v> </v>
      </c>
      <c r="H234" s="317" t="str">
        <f aca="false">IF($A234="N/A"," ",IF(OR(Dayrun4=2,Dayrun4=3,Dayrun4=10),VLOOKUP($A234,ScaledPrice4,9),0))</f>
        <v> </v>
      </c>
      <c r="I234" s="317" t="str">
        <f aca="false">IF(A234="N/A"," ",IF(OR(Dayrun4=3,Dayrun4=6,Dayrun4=9),(VLOOKUP(A234,ScaledPrice4,IF(Scaler4=2,7,8))),0))</f>
        <v> </v>
      </c>
      <c r="J234" s="317" t="str">
        <f aca="false">IF(A234="N/A"," ",IF(OR(Dayrun4=3,Dayrun4=6),IF(Scaler4=2,I234,(VLOOKUP(A234,ScaledPrice4,7))*(2-(VLOOKUP(A234,ScaledPrice4,3)))),0))</f>
        <v> </v>
      </c>
      <c r="K234" s="317" t="str">
        <f aca="false">IF($A234="N/A"," ",IF(OR(Dayrun4=3,Dayrun4=10),VLOOKUP($A234,ScaledPrice4,9),0))</f>
        <v> </v>
      </c>
      <c r="L234" s="318" t="str">
        <f aca="false">IF($A234="N/A"," ",IF(Pricetype4=2,MAX(C234,0),IF(OR(Pricetype4=1,Pricetype4=4),IF(C234=0,0,(EURO(C234,Strikeprice4,0,0,($AH234+IF(Smile=TRUE(),VLOOKUP(MAX(-5,Strikeprice4-C234),Volsmile,2),0)),($A234-DateToday)+15,IF(Pricetype4=1,1,0),0))),C234)))</f>
        <v> </v>
      </c>
      <c r="M234" s="318" t="str">
        <f aca="false">IF($A234="N/A"," ",IF(Pricetype4=2,MAX(D234,0),IF(OR(Pricetype4=1,Pricetype4=4),IF(D234=0,0,(EURO(D234,Strikeprice4,0,0,($AH234+IF(Smile=TRUE(),VLOOKUP(MAX(-5,Strikeprice4-D234),Volsmile,2),0)),($A234-DateToday)+15,IF(Pricetype4=1,1,0),0))),D234)))</f>
        <v> </v>
      </c>
      <c r="N234" s="318" t="str">
        <f aca="false">IF($A234="N/A"," ",IF(Pricetype4=2,MAX(E234,0),IF(OR(Pricetype4=1,Pricetype4=4),IF(E234=0,0,(EURO(E234,Strikeprice4,0,0,($AK234+IF(Smile=TRUE(),VLOOKUP(MAX(-5,Strikeprice4-E234),Volsmile,2),0)),($A234-DateToday)+15,IF(Pricetype4=1,1,0),0))),E234)))</f>
        <v> </v>
      </c>
      <c r="O234" s="318" t="str">
        <f aca="false">IF($A234="N/A"," ",IF(Pricetype4=2,MAX(F234,0),IF(OR(Pricetype4=1,Pricetype4=4),IF(F234=0,0,(EURO(F234,Strikeprice4,0,0,($AK234+IF(Smile=TRUE(),VLOOKUP(MAX(-5,Strikeprice4-F234),Volsmile,2),0)),($A234-DateToday)+15,IF(Pricetype4=1,1,0),0))),F234)))</f>
        <v> </v>
      </c>
      <c r="P234" s="318" t="str">
        <f aca="false">IF($A234="N/A"," ",IF(Pricetype4=2,MAX(G234,0),IF(OR(Pricetype4=1,Pricetype4=4),IF(G234=0,0,(EURO(G234,Strikeprice4,0,0,($AK234+IF(Smile=TRUE(),VLOOKUP(MAX(-5,Strikeprice4-G234),Volsmile,2),0)),($A234-DateToday)+15,IF(Pricetype4=1,1,0),0))),G234)))</f>
        <v> </v>
      </c>
      <c r="Q234" s="318" t="str">
        <f aca="false">IF($A234="N/A"," ",IF(Pricetype4=2,MAX(H234,0),IF(OR(Pricetype4=1,Pricetype4=4),IF(H234=0,0,(EURO(H234,Strikeprice4,0,0,($AK234+IF(Smile=TRUE(),VLOOKUP(MAX(-5,Strikeprice4-H234),Volsmile,2),0)),($A234-DateToday)+15,IF(Pricetype4=1,1,0),0))),H234)))</f>
        <v> </v>
      </c>
      <c r="R234" s="318" t="str">
        <f aca="false">IF($A234="N/A"," ",IF(Pricetype4=2,MAX(I234,0),IF(OR(Pricetype4=1,Pricetype4=4),IF(I234=0,0,(EURO(I234,Strikeprice4,0,0,($AK234+IF(Smile=TRUE(),VLOOKUP(MAX(-5,Strikeprice4-I234),Volsmile,2),0)),($A234-DateToday)+15,IF(Pricetype4=1,1,0),0))),I234)))</f>
        <v> </v>
      </c>
      <c r="S234" s="318" t="str">
        <f aca="false">IF($A234="N/A"," ",IF(Pricetype4=2,MAX(J234,0),IF(OR(Pricetype4=1,Pricetype4=4),IF(J234=0,0,(EURO(J234,Strikeprice4,0,0,($AK234+IF(Smile=TRUE(),VLOOKUP(MAX(-5,Strikeprice4-J234),Volsmile,2),0)),($A234-DateToday)+15,IF(Pricetype4=1,1,0),0))),J234)))</f>
        <v> </v>
      </c>
      <c r="T234" s="318" t="str">
        <f aca="false">IF($A234="N/A"," ",IF(Pricetype4=2,MAX(K234,0),IF(OR(Pricetype4=1,Pricetype4=4),IF(K234=0,0,(EURO(K234,Strikeprice4,0,0,($AK234+IF(Smile=TRUE(),VLOOKUP(MAX(-5,Strikeprice4-K234),Volsmile,2),0)),($A234-DateToday)+15,IF(Pricetype4=1,1,0),0))),K234)))</f>
        <v> </v>
      </c>
      <c r="U234" s="319" t="str">
        <f aca="false">IF($A234="N/A"," ",Volume4*$AM234)</f>
        <v> </v>
      </c>
      <c r="V234" s="320" t="str">
        <f aca="false">IF($A234="N/A"," ",$U234*(8*($BQ234))*L234)</f>
        <v> </v>
      </c>
      <c r="W234" s="320" t="str">
        <f aca="false">IF($A234="N/A"," ",$U234*(8*($BQ234))*M234)</f>
        <v> </v>
      </c>
      <c r="X234" s="320" t="str">
        <f aca="false">IF($A234="N/A"," ",$U234*(8*($BQ234))*N234)</f>
        <v> </v>
      </c>
      <c r="Y234" s="320" t="str">
        <f aca="false">IF($A234="N/A"," ",$U234*(8*($BR234))*O234)</f>
        <v> </v>
      </c>
      <c r="Z234" s="320" t="str">
        <f aca="false">IF($A234="N/A"," ",$U234*(8*($BR234))*P234)</f>
        <v> </v>
      </c>
      <c r="AA234" s="320" t="str">
        <f aca="false">IF($A234="N/A"," ",$U234*(8*($BR234))*Q234)</f>
        <v> </v>
      </c>
      <c r="AB234" s="320" t="str">
        <f aca="false">IF($A234="N/A"," ",$U234*(8*($BS234))*R234)</f>
        <v> </v>
      </c>
      <c r="AC234" s="320" t="str">
        <f aca="false">IF($A234="N/A"," ",$U234*(8*($BS234))*S234)</f>
        <v> </v>
      </c>
      <c r="AD234" s="320" t="str">
        <f aca="false">IF($A234="N/A"," ",$U234*(8*($BS234))*T234)</f>
        <v> </v>
      </c>
      <c r="AE234" s="320" t="str">
        <f aca="false">IF($A234="N/A"," ",SUM(V234:AD234))</f>
        <v> </v>
      </c>
      <c r="AF234" s="321" t="str">
        <f aca="false">IF(A234="N/A"," ",(VLOOKUP(A234,PowerVolTable,(IF(VolBMO4=2,7,IF(VolBMO4=1,6,8))),FALSE())))</f>
        <v> </v>
      </c>
      <c r="AG234" s="321" t="str">
        <f aca="false">IF(A234="N/A"," ",(VLOOKUP(A234,IntraPowerVol,(IF(VolBMO4=2,3,IF(VolBMO4=1,2,4))),FALSE())*VLOOKUP(MONTH($A234),Volscale,2)))</f>
        <v> </v>
      </c>
      <c r="AH234" s="321" t="str">
        <f aca="false">IF($A234="N/A"," ",IF(VolType4=1,AG234,AF234))</f>
        <v> </v>
      </c>
      <c r="AI234" s="321" t="str">
        <f aca="false">IF($A234="N/A"," ",(VLOOKUP($A234,OffPwrVolTable,(IF(VolBMO4=2,7,IF(VolBMO4=1,6,8))),FALSE())))</f>
        <v> </v>
      </c>
      <c r="AJ234" s="321" t="str">
        <f aca="false">IF($A234="N/A"," ",(VLOOKUP($A234,OffPwrVolTable,(IF(VolBMO4=2,3,IF(VolBMO4=1,2,4))),FALSE())*VLOOKUP(MONTH($A234),Volscale,2)))</f>
        <v> </v>
      </c>
      <c r="AK234" s="321" t="str">
        <f aca="false">IF($A234="N/A"," ",IF(VolType4=1,AJ234,AI234))</f>
        <v> </v>
      </c>
      <c r="AL234" s="321" t="str">
        <f aca="false">IF($A234="N/A"," ",IF(PV=1,0,'Pricing Inputs4'!R267))</f>
        <v> </v>
      </c>
      <c r="AM234" s="323" t="str">
        <f aca="false">IF($A234="N/A"," ",(1+AL234/2)^(-2*((EOMONTH(A234,0)+20)-DateToday)/365.25))</f>
        <v> </v>
      </c>
      <c r="BQ234" s="0" t="str">
        <f aca="false">IF($A234="N/A"," ",(VLOOKUP($A234,NumberofDaysTable,2)))</f>
        <v> </v>
      </c>
      <c r="BR234" s="0" t="str">
        <f aca="false">IF($A234="N/A"," ",(VLOOKUP($A234,NumberofDaysTable,3)))</f>
        <v> </v>
      </c>
      <c r="BS234" s="0" t="str">
        <f aca="false">IF($A234="N/A"," ",(VLOOKUP($A234,NumberofDaysTable,4)))</f>
        <v> </v>
      </c>
    </row>
    <row r="235" customFormat="false" ht="12.75" hidden="false" customHeight="false" outlineLevel="0" collapsed="false">
      <c r="A235" s="315" t="str">
        <f aca="false">IF(A234="N/A","N/A",IF(EDATE(A234,1)&gt;Inputs!$R$5,"N/A",EDATE(A234,1)))</f>
        <v>N/A</v>
      </c>
      <c r="B235" s="316" t="str">
        <f aca="false">IF(A235="N/A"," ",YEAR(A235))</f>
        <v> </v>
      </c>
      <c r="C235" s="317" t="str">
        <f aca="false">IF($A235="N/A"," ",IF(Dayrun4=10,0,IF(Scaler4=1,(VLOOKUP(A235,ScaledPrice4,4)),(VLOOKUP(A235,ScaledPrice4,2)))))</f>
        <v> </v>
      </c>
      <c r="D235" s="317" t="str">
        <f aca="false">IF(A235="N/A"," ",IF(Dayrun4&gt;=7,0,IF(Scaler4=2,VLOOKUP(A235,ScaledPrice4,2),(VLOOKUP(A235,ScaledPrice4,2))*(2-(VLOOKUP(A235,ScaledPrice4,3))))))</f>
        <v> </v>
      </c>
      <c r="E235" s="317" t="str">
        <f aca="false">IF($A235="N/A"," ",IF(AND(Dayrun4&gt;=4,Dayrun4&lt;=9),0,VLOOKUP($A235,ScaledPrice4,9)))</f>
        <v> </v>
      </c>
      <c r="F235" s="317" t="str">
        <f aca="false">IF(A235="N/A"," ",IF(OR(Dayrun4=2,Dayrun4=3,Dayrun4=5,Dayrun4=6,Dayrun4=8,Dayrun4=9),VLOOKUP(A235,ScaledPrice4,IF(Scaler4=1,6,5)),0))</f>
        <v> </v>
      </c>
      <c r="G235" s="317" t="str">
        <f aca="false">IF(A235="N/A"," ",IF(OR(Dayrun4=2,Dayrun4=3,Dayrun4=5,Dayrun4=6),IF(Scaler4=2,F235,(VLOOKUP(A235,ScaledPrice4,5))*(2-(VLOOKUP(A235,ScaledPrice4,3)))),0))</f>
        <v> </v>
      </c>
      <c r="H235" s="317" t="str">
        <f aca="false">IF($A235="N/A"," ",IF(OR(Dayrun4=2,Dayrun4=3,Dayrun4=10),VLOOKUP($A235,ScaledPrice4,9),0))</f>
        <v> </v>
      </c>
      <c r="I235" s="317" t="str">
        <f aca="false">IF(A235="N/A"," ",IF(OR(Dayrun4=3,Dayrun4=6,Dayrun4=9),(VLOOKUP(A235,ScaledPrice4,IF(Scaler4=2,7,8))),0))</f>
        <v> </v>
      </c>
      <c r="J235" s="317" t="str">
        <f aca="false">IF(A235="N/A"," ",IF(OR(Dayrun4=3,Dayrun4=6),IF(Scaler4=2,I235,(VLOOKUP(A235,ScaledPrice4,7))*(2-(VLOOKUP(A235,ScaledPrice4,3)))),0))</f>
        <v> </v>
      </c>
      <c r="K235" s="317" t="str">
        <f aca="false">IF($A235="N/A"," ",IF(OR(Dayrun4=3,Dayrun4=10),VLOOKUP($A235,ScaledPrice4,9),0))</f>
        <v> </v>
      </c>
      <c r="L235" s="318" t="str">
        <f aca="false">IF($A235="N/A"," ",IF(Pricetype4=2,MAX(C235,0),IF(OR(Pricetype4=1,Pricetype4=4),IF(C235=0,0,(EURO(C235,Strikeprice4,0,0,($AH235+IF(Smile=TRUE(),VLOOKUP(MAX(-5,Strikeprice4-C235),Volsmile,2),0)),($A235-DateToday)+15,IF(Pricetype4=1,1,0),0))),C235)))</f>
        <v> </v>
      </c>
      <c r="M235" s="318" t="str">
        <f aca="false">IF($A235="N/A"," ",IF(Pricetype4=2,MAX(D235,0),IF(OR(Pricetype4=1,Pricetype4=4),IF(D235=0,0,(EURO(D235,Strikeprice4,0,0,($AH235+IF(Smile=TRUE(),VLOOKUP(MAX(-5,Strikeprice4-D235),Volsmile,2),0)),($A235-DateToday)+15,IF(Pricetype4=1,1,0),0))),D235)))</f>
        <v> </v>
      </c>
      <c r="N235" s="318" t="str">
        <f aca="false">IF($A235="N/A"," ",IF(Pricetype4=2,MAX(E235,0),IF(OR(Pricetype4=1,Pricetype4=4),IF(E235=0,0,(EURO(E235,Strikeprice4,0,0,($AK235+IF(Smile=TRUE(),VLOOKUP(MAX(-5,Strikeprice4-E235),Volsmile,2),0)),($A235-DateToday)+15,IF(Pricetype4=1,1,0),0))),E235)))</f>
        <v> </v>
      </c>
      <c r="O235" s="318" t="str">
        <f aca="false">IF($A235="N/A"," ",IF(Pricetype4=2,MAX(F235,0),IF(OR(Pricetype4=1,Pricetype4=4),IF(F235=0,0,(EURO(F235,Strikeprice4,0,0,($AK235+IF(Smile=TRUE(),VLOOKUP(MAX(-5,Strikeprice4-F235),Volsmile,2),0)),($A235-DateToday)+15,IF(Pricetype4=1,1,0),0))),F235)))</f>
        <v> </v>
      </c>
      <c r="P235" s="318" t="str">
        <f aca="false">IF($A235="N/A"," ",IF(Pricetype4=2,MAX(G235,0),IF(OR(Pricetype4=1,Pricetype4=4),IF(G235=0,0,(EURO(G235,Strikeprice4,0,0,($AK235+IF(Smile=TRUE(),VLOOKUP(MAX(-5,Strikeprice4-G235),Volsmile,2),0)),($A235-DateToday)+15,IF(Pricetype4=1,1,0),0))),G235)))</f>
        <v> </v>
      </c>
      <c r="Q235" s="318" t="str">
        <f aca="false">IF($A235="N/A"," ",IF(Pricetype4=2,MAX(H235,0),IF(OR(Pricetype4=1,Pricetype4=4),IF(H235=0,0,(EURO(H235,Strikeprice4,0,0,($AK235+IF(Smile=TRUE(),VLOOKUP(MAX(-5,Strikeprice4-H235),Volsmile,2),0)),($A235-DateToday)+15,IF(Pricetype4=1,1,0),0))),H235)))</f>
        <v> </v>
      </c>
      <c r="R235" s="318" t="str">
        <f aca="false">IF($A235="N/A"," ",IF(Pricetype4=2,MAX(I235,0),IF(OR(Pricetype4=1,Pricetype4=4),IF(I235=0,0,(EURO(I235,Strikeprice4,0,0,($AK235+IF(Smile=TRUE(),VLOOKUP(MAX(-5,Strikeprice4-I235),Volsmile,2),0)),($A235-DateToday)+15,IF(Pricetype4=1,1,0),0))),I235)))</f>
        <v> </v>
      </c>
      <c r="S235" s="318" t="str">
        <f aca="false">IF($A235="N/A"," ",IF(Pricetype4=2,MAX(J235,0),IF(OR(Pricetype4=1,Pricetype4=4),IF(J235=0,0,(EURO(J235,Strikeprice4,0,0,($AK235+IF(Smile=TRUE(),VLOOKUP(MAX(-5,Strikeprice4-J235),Volsmile,2),0)),($A235-DateToday)+15,IF(Pricetype4=1,1,0),0))),J235)))</f>
        <v> </v>
      </c>
      <c r="T235" s="318" t="str">
        <f aca="false">IF($A235="N/A"," ",IF(Pricetype4=2,MAX(K235,0),IF(OR(Pricetype4=1,Pricetype4=4),IF(K235=0,0,(EURO(K235,Strikeprice4,0,0,($AK235+IF(Smile=TRUE(),VLOOKUP(MAX(-5,Strikeprice4-K235),Volsmile,2),0)),($A235-DateToday)+15,IF(Pricetype4=1,1,0),0))),K235)))</f>
        <v> </v>
      </c>
      <c r="U235" s="319" t="str">
        <f aca="false">IF($A235="N/A"," ",Volume4*$AM235)</f>
        <v> </v>
      </c>
      <c r="V235" s="320" t="str">
        <f aca="false">IF($A235="N/A"," ",$U235*(8*($BQ235))*L235)</f>
        <v> </v>
      </c>
      <c r="W235" s="320" t="str">
        <f aca="false">IF($A235="N/A"," ",$U235*(8*($BQ235))*M235)</f>
        <v> </v>
      </c>
      <c r="X235" s="320" t="str">
        <f aca="false">IF($A235="N/A"," ",$U235*(8*($BQ235))*N235)</f>
        <v> </v>
      </c>
      <c r="Y235" s="320" t="str">
        <f aca="false">IF($A235="N/A"," ",$U235*(8*($BR235))*O235)</f>
        <v> </v>
      </c>
      <c r="Z235" s="320" t="str">
        <f aca="false">IF($A235="N/A"," ",$U235*(8*($BR235))*P235)</f>
        <v> </v>
      </c>
      <c r="AA235" s="320" t="str">
        <f aca="false">IF($A235="N/A"," ",$U235*(8*($BR235))*Q235)</f>
        <v> </v>
      </c>
      <c r="AB235" s="320" t="str">
        <f aca="false">IF($A235="N/A"," ",$U235*(8*($BS235))*R235)</f>
        <v> </v>
      </c>
      <c r="AC235" s="320" t="str">
        <f aca="false">IF($A235="N/A"," ",$U235*(8*($BS235))*S235)</f>
        <v> </v>
      </c>
      <c r="AD235" s="320" t="str">
        <f aca="false">IF($A235="N/A"," ",$U235*(8*($BS235))*T235)</f>
        <v> </v>
      </c>
      <c r="AE235" s="320" t="str">
        <f aca="false">IF($A235="N/A"," ",SUM(V235:AD235))</f>
        <v> </v>
      </c>
      <c r="AF235" s="321" t="str">
        <f aca="false">IF(A235="N/A"," ",(VLOOKUP(A235,PowerVolTable,(IF(VolBMO4=2,7,IF(VolBMO4=1,6,8))),FALSE())))</f>
        <v> </v>
      </c>
      <c r="AG235" s="321" t="str">
        <f aca="false">IF(A235="N/A"," ",(VLOOKUP(A235,IntraPowerVol,(IF(VolBMO4=2,3,IF(VolBMO4=1,2,4))),FALSE())*VLOOKUP(MONTH($A235),Volscale,2)))</f>
        <v> </v>
      </c>
      <c r="AH235" s="321" t="str">
        <f aca="false">IF($A235="N/A"," ",IF(VolType4=1,AG235,AF235))</f>
        <v> </v>
      </c>
      <c r="AI235" s="321" t="str">
        <f aca="false">IF($A235="N/A"," ",(VLOOKUP($A235,OffPwrVolTable,(IF(VolBMO4=2,7,IF(VolBMO4=1,6,8))),FALSE())))</f>
        <v> </v>
      </c>
      <c r="AJ235" s="321" t="str">
        <f aca="false">IF($A235="N/A"," ",(VLOOKUP($A235,OffPwrVolTable,(IF(VolBMO4=2,3,IF(VolBMO4=1,2,4))),FALSE())*VLOOKUP(MONTH($A235),Volscale,2)))</f>
        <v> </v>
      </c>
      <c r="AK235" s="321" t="str">
        <f aca="false">IF($A235="N/A"," ",IF(VolType4=1,AJ235,AI235))</f>
        <v> </v>
      </c>
      <c r="AL235" s="321" t="str">
        <f aca="false">IF($A235="N/A"," ",IF(PV=1,0,'Pricing Inputs4'!R268))</f>
        <v> </v>
      </c>
      <c r="AM235" s="323" t="str">
        <f aca="false">IF($A235="N/A"," ",(1+AL235/2)^(-2*((EOMONTH(A235,0)+20)-DateToday)/365.25))</f>
        <v> </v>
      </c>
      <c r="BQ235" s="0" t="str">
        <f aca="false">IF($A235="N/A"," ",(VLOOKUP($A235,NumberofDaysTable,2)))</f>
        <v> </v>
      </c>
      <c r="BR235" s="0" t="str">
        <f aca="false">IF($A235="N/A"," ",(VLOOKUP($A235,NumberofDaysTable,3)))</f>
        <v> </v>
      </c>
      <c r="BS235" s="0" t="str">
        <f aca="false">IF($A235="N/A"," ",(VLOOKUP($A235,NumberofDaysTable,4)))</f>
        <v> </v>
      </c>
    </row>
    <row r="236" customFormat="false" ht="12.75" hidden="false" customHeight="false" outlineLevel="0" collapsed="false">
      <c r="A236" s="315" t="str">
        <f aca="false">IF(A235="N/A","N/A",IF(EDATE(A235,1)&gt;Inputs!$R$5,"N/A",EDATE(A235,1)))</f>
        <v>N/A</v>
      </c>
      <c r="B236" s="316" t="str">
        <f aca="false">IF(A236="N/A"," ",YEAR(A236))</f>
        <v> </v>
      </c>
      <c r="C236" s="317" t="str">
        <f aca="false">IF($A236="N/A"," ",IF(Dayrun4=10,0,IF(Scaler4=1,(VLOOKUP(A236,ScaledPrice4,4)),(VLOOKUP(A236,ScaledPrice4,2)))))</f>
        <v> </v>
      </c>
      <c r="D236" s="317" t="str">
        <f aca="false">IF(A236="N/A"," ",IF(Dayrun4&gt;=7,0,IF(Scaler4=2,VLOOKUP(A236,ScaledPrice4,2),(VLOOKUP(A236,ScaledPrice4,2))*(2-(VLOOKUP(A236,ScaledPrice4,3))))))</f>
        <v> </v>
      </c>
      <c r="E236" s="317" t="str">
        <f aca="false">IF($A236="N/A"," ",IF(AND(Dayrun4&gt;=4,Dayrun4&lt;=9),0,VLOOKUP($A236,ScaledPrice4,9)))</f>
        <v> </v>
      </c>
      <c r="F236" s="317" t="str">
        <f aca="false">IF(A236="N/A"," ",IF(OR(Dayrun4=2,Dayrun4=3,Dayrun4=5,Dayrun4=6,Dayrun4=8,Dayrun4=9),VLOOKUP(A236,ScaledPrice4,IF(Scaler4=1,6,5)),0))</f>
        <v> </v>
      </c>
      <c r="G236" s="317" t="str">
        <f aca="false">IF(A236="N/A"," ",IF(OR(Dayrun4=2,Dayrun4=3,Dayrun4=5,Dayrun4=6),IF(Scaler4=2,F236,(VLOOKUP(A236,ScaledPrice4,5))*(2-(VLOOKUP(A236,ScaledPrice4,3)))),0))</f>
        <v> </v>
      </c>
      <c r="H236" s="317" t="str">
        <f aca="false">IF($A236="N/A"," ",IF(OR(Dayrun4=2,Dayrun4=3,Dayrun4=10),VLOOKUP($A236,ScaledPrice4,9),0))</f>
        <v> </v>
      </c>
      <c r="I236" s="317" t="str">
        <f aca="false">IF(A236="N/A"," ",IF(OR(Dayrun4=3,Dayrun4=6,Dayrun4=9),(VLOOKUP(A236,ScaledPrice4,IF(Scaler4=2,7,8))),0))</f>
        <v> </v>
      </c>
      <c r="J236" s="317" t="str">
        <f aca="false">IF(A236="N/A"," ",IF(OR(Dayrun4=3,Dayrun4=6),IF(Scaler4=2,I236,(VLOOKUP(A236,ScaledPrice4,7))*(2-(VLOOKUP(A236,ScaledPrice4,3)))),0))</f>
        <v> </v>
      </c>
      <c r="K236" s="317" t="str">
        <f aca="false">IF($A236="N/A"," ",IF(OR(Dayrun4=3,Dayrun4=10),VLOOKUP($A236,ScaledPrice4,9),0))</f>
        <v> </v>
      </c>
      <c r="L236" s="318" t="str">
        <f aca="false">IF($A236="N/A"," ",IF(Pricetype4=2,MAX(C236,0),IF(OR(Pricetype4=1,Pricetype4=4),IF(C236=0,0,(EURO(C236,Strikeprice4,0,0,($AH236+IF(Smile=TRUE(),VLOOKUP(MAX(-5,Strikeprice4-C236),Volsmile,2),0)),($A236-DateToday)+15,IF(Pricetype4=1,1,0),0))),C236)))</f>
        <v> </v>
      </c>
      <c r="M236" s="318" t="str">
        <f aca="false">IF($A236="N/A"," ",IF(Pricetype4=2,MAX(D236,0),IF(OR(Pricetype4=1,Pricetype4=4),IF(D236=0,0,(EURO(D236,Strikeprice4,0,0,($AH236+IF(Smile=TRUE(),VLOOKUP(MAX(-5,Strikeprice4-D236),Volsmile,2),0)),($A236-DateToday)+15,IF(Pricetype4=1,1,0),0))),D236)))</f>
        <v> </v>
      </c>
      <c r="N236" s="318" t="str">
        <f aca="false">IF($A236="N/A"," ",IF(Pricetype4=2,MAX(E236,0),IF(OR(Pricetype4=1,Pricetype4=4),IF(E236=0,0,(EURO(E236,Strikeprice4,0,0,($AK236+IF(Smile=TRUE(),VLOOKUP(MAX(-5,Strikeprice4-E236),Volsmile,2),0)),($A236-DateToday)+15,IF(Pricetype4=1,1,0),0))),E236)))</f>
        <v> </v>
      </c>
      <c r="O236" s="318" t="str">
        <f aca="false">IF($A236="N/A"," ",IF(Pricetype4=2,MAX(F236,0),IF(OR(Pricetype4=1,Pricetype4=4),IF(F236=0,0,(EURO(F236,Strikeprice4,0,0,($AK236+IF(Smile=TRUE(),VLOOKUP(MAX(-5,Strikeprice4-F236),Volsmile,2),0)),($A236-DateToday)+15,IF(Pricetype4=1,1,0),0))),F236)))</f>
        <v> </v>
      </c>
      <c r="P236" s="318" t="str">
        <f aca="false">IF($A236="N/A"," ",IF(Pricetype4=2,MAX(G236,0),IF(OR(Pricetype4=1,Pricetype4=4),IF(G236=0,0,(EURO(G236,Strikeprice4,0,0,($AK236+IF(Smile=TRUE(),VLOOKUP(MAX(-5,Strikeprice4-G236),Volsmile,2),0)),($A236-DateToday)+15,IF(Pricetype4=1,1,0),0))),G236)))</f>
        <v> </v>
      </c>
      <c r="Q236" s="318" t="str">
        <f aca="false">IF($A236="N/A"," ",IF(Pricetype4=2,MAX(H236,0),IF(OR(Pricetype4=1,Pricetype4=4),IF(H236=0,0,(EURO(H236,Strikeprice4,0,0,($AK236+IF(Smile=TRUE(),VLOOKUP(MAX(-5,Strikeprice4-H236),Volsmile,2),0)),($A236-DateToday)+15,IF(Pricetype4=1,1,0),0))),H236)))</f>
        <v> </v>
      </c>
      <c r="R236" s="318" t="str">
        <f aca="false">IF($A236="N/A"," ",IF(Pricetype4=2,MAX(I236,0),IF(OR(Pricetype4=1,Pricetype4=4),IF(I236=0,0,(EURO(I236,Strikeprice4,0,0,($AK236+IF(Smile=TRUE(),VLOOKUP(MAX(-5,Strikeprice4-I236),Volsmile,2),0)),($A236-DateToday)+15,IF(Pricetype4=1,1,0),0))),I236)))</f>
        <v> </v>
      </c>
      <c r="S236" s="318" t="str">
        <f aca="false">IF($A236="N/A"," ",IF(Pricetype4=2,MAX(J236,0),IF(OR(Pricetype4=1,Pricetype4=4),IF(J236=0,0,(EURO(J236,Strikeprice4,0,0,($AK236+IF(Smile=TRUE(),VLOOKUP(MAX(-5,Strikeprice4-J236),Volsmile,2),0)),($A236-DateToday)+15,IF(Pricetype4=1,1,0),0))),J236)))</f>
        <v> </v>
      </c>
      <c r="T236" s="318" t="str">
        <f aca="false">IF($A236="N/A"," ",IF(Pricetype4=2,MAX(K236,0),IF(OR(Pricetype4=1,Pricetype4=4),IF(K236=0,0,(EURO(K236,Strikeprice4,0,0,($AK236+IF(Smile=TRUE(),VLOOKUP(MAX(-5,Strikeprice4-K236),Volsmile,2),0)),($A236-DateToday)+15,IF(Pricetype4=1,1,0),0))),K236)))</f>
        <v> </v>
      </c>
      <c r="U236" s="319" t="str">
        <f aca="false">IF($A236="N/A"," ",Volume4*$AM236)</f>
        <v> </v>
      </c>
      <c r="V236" s="320" t="str">
        <f aca="false">IF($A236="N/A"," ",$U236*(8*($BQ236))*L236)</f>
        <v> </v>
      </c>
      <c r="W236" s="320" t="str">
        <f aca="false">IF($A236="N/A"," ",$U236*(8*($BQ236))*M236)</f>
        <v> </v>
      </c>
      <c r="X236" s="320" t="str">
        <f aca="false">IF($A236="N/A"," ",$U236*(8*($BQ236))*N236)</f>
        <v> </v>
      </c>
      <c r="Y236" s="320" t="str">
        <f aca="false">IF($A236="N/A"," ",$U236*(8*($BR236))*O236)</f>
        <v> </v>
      </c>
      <c r="Z236" s="320" t="str">
        <f aca="false">IF($A236="N/A"," ",$U236*(8*($BR236))*P236)</f>
        <v> </v>
      </c>
      <c r="AA236" s="320" t="str">
        <f aca="false">IF($A236="N/A"," ",$U236*(8*($BR236))*Q236)</f>
        <v> </v>
      </c>
      <c r="AB236" s="320" t="str">
        <f aca="false">IF($A236="N/A"," ",$U236*(8*($BS236))*R236)</f>
        <v> </v>
      </c>
      <c r="AC236" s="320" t="str">
        <f aca="false">IF($A236="N/A"," ",$U236*(8*($BS236))*S236)</f>
        <v> </v>
      </c>
      <c r="AD236" s="320" t="str">
        <f aca="false">IF($A236="N/A"," ",$U236*(8*($BS236))*T236)</f>
        <v> </v>
      </c>
      <c r="AE236" s="320" t="str">
        <f aca="false">IF($A236="N/A"," ",SUM(V236:AD236))</f>
        <v> </v>
      </c>
      <c r="AF236" s="321" t="str">
        <f aca="false">IF(A236="N/A"," ",(VLOOKUP(A236,PowerVolTable,(IF(VolBMO4=2,7,IF(VolBMO4=1,6,8))),FALSE())))</f>
        <v> </v>
      </c>
      <c r="AG236" s="321" t="str">
        <f aca="false">IF(A236="N/A"," ",(VLOOKUP(A236,IntraPowerVol,(IF(VolBMO4=2,3,IF(VolBMO4=1,2,4))),FALSE())*VLOOKUP(MONTH($A236),Volscale,2)))</f>
        <v> </v>
      </c>
      <c r="AH236" s="321" t="str">
        <f aca="false">IF($A236="N/A"," ",IF(VolType4=1,AG236,AF236))</f>
        <v> </v>
      </c>
      <c r="AI236" s="321" t="str">
        <f aca="false">IF($A236="N/A"," ",(VLOOKUP($A236,OffPwrVolTable,(IF(VolBMO4=2,7,IF(VolBMO4=1,6,8))),FALSE())))</f>
        <v> </v>
      </c>
      <c r="AJ236" s="321" t="str">
        <f aca="false">IF($A236="N/A"," ",(VLOOKUP($A236,OffPwrVolTable,(IF(VolBMO4=2,3,IF(VolBMO4=1,2,4))),FALSE())*VLOOKUP(MONTH($A236),Volscale,2)))</f>
        <v> </v>
      </c>
      <c r="AK236" s="321" t="str">
        <f aca="false">IF($A236="N/A"," ",IF(VolType4=1,AJ236,AI236))</f>
        <v> </v>
      </c>
      <c r="AL236" s="321" t="str">
        <f aca="false">IF($A236="N/A"," ",IF(PV=1,0,'Pricing Inputs4'!R269))</f>
        <v> </v>
      </c>
      <c r="AM236" s="323" t="str">
        <f aca="false">IF($A236="N/A"," ",(1+AL236/2)^(-2*((EOMONTH(A236,0)+20)-DateToday)/365.25))</f>
        <v> </v>
      </c>
      <c r="BQ236" s="0" t="str">
        <f aca="false">IF($A236="N/A"," ",(VLOOKUP($A236,NumberofDaysTable,2)))</f>
        <v> </v>
      </c>
      <c r="BR236" s="0" t="str">
        <f aca="false">IF($A236="N/A"," ",(VLOOKUP($A236,NumberofDaysTable,3)))</f>
        <v> </v>
      </c>
      <c r="BS236" s="0" t="str">
        <f aca="false">IF($A236="N/A"," ",(VLOOKUP($A236,NumberofDaysTable,4)))</f>
        <v> </v>
      </c>
    </row>
    <row r="237" customFormat="false" ht="12.75" hidden="false" customHeight="false" outlineLevel="0" collapsed="false">
      <c r="A237" s="315" t="str">
        <f aca="false">IF(A236="N/A","N/A",IF(EDATE(A236,1)&gt;Inputs!$R$5,"N/A",EDATE(A236,1)))</f>
        <v>N/A</v>
      </c>
      <c r="B237" s="316" t="str">
        <f aca="false">IF(A237="N/A"," ",YEAR(A237))</f>
        <v> </v>
      </c>
      <c r="C237" s="317" t="str">
        <f aca="false">IF($A237="N/A"," ",IF(Dayrun4=10,0,IF(Scaler4=1,(VLOOKUP(A237,ScaledPrice4,4)),(VLOOKUP(A237,ScaledPrice4,2)))))</f>
        <v> </v>
      </c>
      <c r="D237" s="317" t="str">
        <f aca="false">IF(A237="N/A"," ",IF(Dayrun4&gt;=7,0,IF(Scaler4=2,VLOOKUP(A237,ScaledPrice4,2),(VLOOKUP(A237,ScaledPrice4,2))*(2-(VLOOKUP(A237,ScaledPrice4,3))))))</f>
        <v> </v>
      </c>
      <c r="E237" s="317" t="str">
        <f aca="false">IF($A237="N/A"," ",IF(AND(Dayrun4&gt;=4,Dayrun4&lt;=9),0,VLOOKUP($A237,ScaledPrice4,9)))</f>
        <v> </v>
      </c>
      <c r="F237" s="317" t="str">
        <f aca="false">IF(A237="N/A"," ",IF(OR(Dayrun4=2,Dayrun4=3,Dayrun4=5,Dayrun4=6,Dayrun4=8,Dayrun4=9),VLOOKUP(A237,ScaledPrice4,IF(Scaler4=1,6,5)),0))</f>
        <v> </v>
      </c>
      <c r="G237" s="317" t="str">
        <f aca="false">IF(A237="N/A"," ",IF(OR(Dayrun4=2,Dayrun4=3,Dayrun4=5,Dayrun4=6),IF(Scaler4=2,F237,(VLOOKUP(A237,ScaledPrice4,5))*(2-(VLOOKUP(A237,ScaledPrice4,3)))),0))</f>
        <v> </v>
      </c>
      <c r="H237" s="317" t="str">
        <f aca="false">IF($A237="N/A"," ",IF(OR(Dayrun4=2,Dayrun4=3,Dayrun4=10),VLOOKUP($A237,ScaledPrice4,9),0))</f>
        <v> </v>
      </c>
      <c r="I237" s="317" t="str">
        <f aca="false">IF(A237="N/A"," ",IF(OR(Dayrun4=3,Dayrun4=6,Dayrun4=9),(VLOOKUP(A237,ScaledPrice4,IF(Scaler4=2,7,8))),0))</f>
        <v> </v>
      </c>
      <c r="J237" s="317" t="str">
        <f aca="false">IF(A237="N/A"," ",IF(OR(Dayrun4=3,Dayrun4=6),IF(Scaler4=2,I237,(VLOOKUP(A237,ScaledPrice4,7))*(2-(VLOOKUP(A237,ScaledPrice4,3)))),0))</f>
        <v> </v>
      </c>
      <c r="K237" s="317" t="str">
        <f aca="false">IF($A237="N/A"," ",IF(OR(Dayrun4=3,Dayrun4=10),VLOOKUP($A237,ScaledPrice4,9),0))</f>
        <v> </v>
      </c>
      <c r="L237" s="318" t="str">
        <f aca="false">IF($A237="N/A"," ",IF(Pricetype4=2,MAX(C237,0),IF(OR(Pricetype4=1,Pricetype4=4),IF(C237=0,0,(EURO(C237,Strikeprice4,0,0,($AH237+IF(Smile=TRUE(),VLOOKUP(MAX(-5,Strikeprice4-C237),Volsmile,2),0)),($A237-DateToday)+15,IF(Pricetype4=1,1,0),0))),C237)))</f>
        <v> </v>
      </c>
      <c r="M237" s="318" t="str">
        <f aca="false">IF($A237="N/A"," ",IF(Pricetype4=2,MAX(D237,0),IF(OR(Pricetype4=1,Pricetype4=4),IF(D237=0,0,(EURO(D237,Strikeprice4,0,0,($AH237+IF(Smile=TRUE(),VLOOKUP(MAX(-5,Strikeprice4-D237),Volsmile,2),0)),($A237-DateToday)+15,IF(Pricetype4=1,1,0),0))),D237)))</f>
        <v> </v>
      </c>
      <c r="N237" s="318" t="str">
        <f aca="false">IF($A237="N/A"," ",IF(Pricetype4=2,MAX(E237,0),IF(OR(Pricetype4=1,Pricetype4=4),IF(E237=0,0,(EURO(E237,Strikeprice4,0,0,($AK237+IF(Smile=TRUE(),VLOOKUP(MAX(-5,Strikeprice4-E237),Volsmile,2),0)),($A237-DateToday)+15,IF(Pricetype4=1,1,0),0))),E237)))</f>
        <v> </v>
      </c>
      <c r="O237" s="318" t="str">
        <f aca="false">IF($A237="N/A"," ",IF(Pricetype4=2,MAX(F237,0),IF(OR(Pricetype4=1,Pricetype4=4),IF(F237=0,0,(EURO(F237,Strikeprice4,0,0,($AK237+IF(Smile=TRUE(),VLOOKUP(MAX(-5,Strikeprice4-F237),Volsmile,2),0)),($A237-DateToday)+15,IF(Pricetype4=1,1,0),0))),F237)))</f>
        <v> </v>
      </c>
      <c r="P237" s="318" t="str">
        <f aca="false">IF($A237="N/A"," ",IF(Pricetype4=2,MAX(G237,0),IF(OR(Pricetype4=1,Pricetype4=4),IF(G237=0,0,(EURO(G237,Strikeprice4,0,0,($AK237+IF(Smile=TRUE(),VLOOKUP(MAX(-5,Strikeprice4-G237),Volsmile,2),0)),($A237-DateToday)+15,IF(Pricetype4=1,1,0),0))),G237)))</f>
        <v> </v>
      </c>
      <c r="Q237" s="318" t="str">
        <f aca="false">IF($A237="N/A"," ",IF(Pricetype4=2,MAX(H237,0),IF(OR(Pricetype4=1,Pricetype4=4),IF(H237=0,0,(EURO(H237,Strikeprice4,0,0,($AK237+IF(Smile=TRUE(),VLOOKUP(MAX(-5,Strikeprice4-H237),Volsmile,2),0)),($A237-DateToday)+15,IF(Pricetype4=1,1,0),0))),H237)))</f>
        <v> </v>
      </c>
      <c r="R237" s="318" t="str">
        <f aca="false">IF($A237="N/A"," ",IF(Pricetype4=2,MAX(I237,0),IF(OR(Pricetype4=1,Pricetype4=4),IF(I237=0,0,(EURO(I237,Strikeprice4,0,0,($AK237+IF(Smile=TRUE(),VLOOKUP(MAX(-5,Strikeprice4-I237),Volsmile,2),0)),($A237-DateToday)+15,IF(Pricetype4=1,1,0),0))),I237)))</f>
        <v> </v>
      </c>
      <c r="S237" s="318" t="str">
        <f aca="false">IF($A237="N/A"," ",IF(Pricetype4=2,MAX(J237,0),IF(OR(Pricetype4=1,Pricetype4=4),IF(J237=0,0,(EURO(J237,Strikeprice4,0,0,($AK237+IF(Smile=TRUE(),VLOOKUP(MAX(-5,Strikeprice4-J237),Volsmile,2),0)),($A237-DateToday)+15,IF(Pricetype4=1,1,0),0))),J237)))</f>
        <v> </v>
      </c>
      <c r="T237" s="318" t="str">
        <f aca="false">IF($A237="N/A"," ",IF(Pricetype4=2,MAX(K237,0),IF(OR(Pricetype4=1,Pricetype4=4),IF(K237=0,0,(EURO(K237,Strikeprice4,0,0,($AK237+IF(Smile=TRUE(),VLOOKUP(MAX(-5,Strikeprice4-K237),Volsmile,2),0)),($A237-DateToday)+15,IF(Pricetype4=1,1,0),0))),K237)))</f>
        <v> </v>
      </c>
      <c r="U237" s="319" t="str">
        <f aca="false">IF($A237="N/A"," ",Volume4*$AM237)</f>
        <v> </v>
      </c>
      <c r="V237" s="320" t="str">
        <f aca="false">IF($A237="N/A"," ",$U237*(8*($BQ237))*L237)</f>
        <v> </v>
      </c>
      <c r="W237" s="320" t="str">
        <f aca="false">IF($A237="N/A"," ",$U237*(8*($BQ237))*M237)</f>
        <v> </v>
      </c>
      <c r="X237" s="320" t="str">
        <f aca="false">IF($A237="N/A"," ",$U237*(8*($BQ237))*N237)</f>
        <v> </v>
      </c>
      <c r="Y237" s="320" t="str">
        <f aca="false">IF($A237="N/A"," ",$U237*(8*($BR237))*O237)</f>
        <v> </v>
      </c>
      <c r="Z237" s="320" t="str">
        <f aca="false">IF($A237="N/A"," ",$U237*(8*($BR237))*P237)</f>
        <v> </v>
      </c>
      <c r="AA237" s="320" t="str">
        <f aca="false">IF($A237="N/A"," ",$U237*(8*($BR237))*Q237)</f>
        <v> </v>
      </c>
      <c r="AB237" s="320" t="str">
        <f aca="false">IF($A237="N/A"," ",$U237*(8*($BS237))*R237)</f>
        <v> </v>
      </c>
      <c r="AC237" s="320" t="str">
        <f aca="false">IF($A237="N/A"," ",$U237*(8*($BS237))*S237)</f>
        <v> </v>
      </c>
      <c r="AD237" s="320" t="str">
        <f aca="false">IF($A237="N/A"," ",$U237*(8*($BS237))*T237)</f>
        <v> </v>
      </c>
      <c r="AE237" s="320" t="str">
        <f aca="false">IF($A237="N/A"," ",SUM(V237:AD237))</f>
        <v> </v>
      </c>
      <c r="AF237" s="321" t="str">
        <f aca="false">IF(A237="N/A"," ",(VLOOKUP(A237,PowerVolTable,(IF(VolBMO4=2,7,IF(VolBMO4=1,6,8))),FALSE())))</f>
        <v> </v>
      </c>
      <c r="AG237" s="321" t="str">
        <f aca="false">IF(A237="N/A"," ",(VLOOKUP(A237,IntraPowerVol,(IF(VolBMO4=2,3,IF(VolBMO4=1,2,4))),FALSE())*VLOOKUP(MONTH($A237),Volscale,2)))</f>
        <v> </v>
      </c>
      <c r="AH237" s="321" t="str">
        <f aca="false">IF($A237="N/A"," ",IF(VolType4=1,AG237,AF237))</f>
        <v> </v>
      </c>
      <c r="AI237" s="321" t="str">
        <f aca="false">IF($A237="N/A"," ",(VLOOKUP($A237,OffPwrVolTable,(IF(VolBMO4=2,7,IF(VolBMO4=1,6,8))),FALSE())))</f>
        <v> </v>
      </c>
      <c r="AJ237" s="321" t="str">
        <f aca="false">IF($A237="N/A"," ",(VLOOKUP($A237,OffPwrVolTable,(IF(VolBMO4=2,3,IF(VolBMO4=1,2,4))),FALSE())*VLOOKUP(MONTH($A237),Volscale,2)))</f>
        <v> </v>
      </c>
      <c r="AK237" s="321" t="str">
        <f aca="false">IF($A237="N/A"," ",IF(VolType4=1,AJ237,AI237))</f>
        <v> </v>
      </c>
      <c r="AL237" s="321" t="str">
        <f aca="false">IF($A237="N/A"," ",IF(PV=1,0,'Pricing Inputs4'!R270))</f>
        <v> </v>
      </c>
      <c r="AM237" s="323" t="str">
        <f aca="false">IF($A237="N/A"," ",(1+AL237/2)^(-2*((EOMONTH(A237,0)+20)-DateToday)/365.25))</f>
        <v> </v>
      </c>
      <c r="BQ237" s="0" t="str">
        <f aca="false">IF($A237="N/A"," ",(VLOOKUP($A237,NumberofDaysTable,2)))</f>
        <v> </v>
      </c>
      <c r="BR237" s="0" t="str">
        <f aca="false">IF($A237="N/A"," ",(VLOOKUP($A237,NumberofDaysTable,3)))</f>
        <v> </v>
      </c>
      <c r="BS237" s="0" t="str">
        <f aca="false">IF($A237="N/A"," ",(VLOOKUP($A237,NumberofDaysTable,4)))</f>
        <v> </v>
      </c>
    </row>
    <row r="238" customFormat="false" ht="12.75" hidden="false" customHeight="false" outlineLevel="0" collapsed="false">
      <c r="A238" s="315" t="str">
        <f aca="false">IF(A237="N/A","N/A",IF(EDATE(A237,1)&gt;Inputs!$R$5,"N/A",EDATE(A237,1)))</f>
        <v>N/A</v>
      </c>
      <c r="B238" s="316" t="str">
        <f aca="false">IF(A238="N/A"," ",YEAR(A238))</f>
        <v> </v>
      </c>
      <c r="C238" s="317" t="str">
        <f aca="false">IF($A238="N/A"," ",IF(Dayrun4=10,0,IF(Scaler4=1,(VLOOKUP(A238,ScaledPrice4,4)),(VLOOKUP(A238,ScaledPrice4,2)))))</f>
        <v> </v>
      </c>
      <c r="D238" s="317" t="str">
        <f aca="false">IF(A238="N/A"," ",IF(Dayrun4&gt;=7,0,IF(Scaler4=2,VLOOKUP(A238,ScaledPrice4,2),(VLOOKUP(A238,ScaledPrice4,2))*(2-(VLOOKUP(A238,ScaledPrice4,3))))))</f>
        <v> </v>
      </c>
      <c r="E238" s="317" t="str">
        <f aca="false">IF($A238="N/A"," ",IF(AND(Dayrun4&gt;=4,Dayrun4&lt;=9),0,VLOOKUP($A238,ScaledPrice4,9)))</f>
        <v> </v>
      </c>
      <c r="F238" s="317" t="str">
        <f aca="false">IF(A238="N/A"," ",IF(OR(Dayrun4=2,Dayrun4=3,Dayrun4=5,Dayrun4=6,Dayrun4=8,Dayrun4=9),VLOOKUP(A238,ScaledPrice4,IF(Scaler4=1,6,5)),0))</f>
        <v> </v>
      </c>
      <c r="G238" s="317" t="str">
        <f aca="false">IF(A238="N/A"," ",IF(OR(Dayrun4=2,Dayrun4=3,Dayrun4=5,Dayrun4=6),IF(Scaler4=2,F238,(VLOOKUP(A238,ScaledPrice4,5))*(2-(VLOOKUP(A238,ScaledPrice4,3)))),0))</f>
        <v> </v>
      </c>
      <c r="H238" s="317" t="str">
        <f aca="false">IF($A238="N/A"," ",IF(OR(Dayrun4=2,Dayrun4=3,Dayrun4=10),VLOOKUP($A238,ScaledPrice4,9),0))</f>
        <v> </v>
      </c>
      <c r="I238" s="317" t="str">
        <f aca="false">IF(A238="N/A"," ",IF(OR(Dayrun4=3,Dayrun4=6,Dayrun4=9),(VLOOKUP(A238,ScaledPrice4,IF(Scaler4=2,7,8))),0))</f>
        <v> </v>
      </c>
      <c r="J238" s="317" t="str">
        <f aca="false">IF(A238="N/A"," ",IF(OR(Dayrun4=3,Dayrun4=6),IF(Scaler4=2,I238,(VLOOKUP(A238,ScaledPrice4,7))*(2-(VLOOKUP(A238,ScaledPrice4,3)))),0))</f>
        <v> </v>
      </c>
      <c r="K238" s="317" t="str">
        <f aca="false">IF($A238="N/A"," ",IF(OR(Dayrun4=3,Dayrun4=10),VLOOKUP($A238,ScaledPrice4,9),0))</f>
        <v> </v>
      </c>
      <c r="L238" s="318" t="str">
        <f aca="false">IF($A238="N/A"," ",IF(Pricetype4=2,MAX(C238,0),IF(OR(Pricetype4=1,Pricetype4=4),IF(C238=0,0,(EURO(C238,Strikeprice4,0,0,($AH238+IF(Smile=TRUE(),VLOOKUP(MAX(-5,Strikeprice4-C238),Volsmile,2),0)),($A238-DateToday)+15,IF(Pricetype4=1,1,0),0))),C238)))</f>
        <v> </v>
      </c>
      <c r="M238" s="318" t="str">
        <f aca="false">IF($A238="N/A"," ",IF(Pricetype4=2,MAX(D238,0),IF(OR(Pricetype4=1,Pricetype4=4),IF(D238=0,0,(EURO(D238,Strikeprice4,0,0,($AH238+IF(Smile=TRUE(),VLOOKUP(MAX(-5,Strikeprice4-D238),Volsmile,2),0)),($A238-DateToday)+15,IF(Pricetype4=1,1,0),0))),D238)))</f>
        <v> </v>
      </c>
      <c r="N238" s="318" t="str">
        <f aca="false">IF($A238="N/A"," ",IF(Pricetype4=2,MAX(E238,0),IF(OR(Pricetype4=1,Pricetype4=4),IF(E238=0,0,(EURO(E238,Strikeprice4,0,0,($AK238+IF(Smile=TRUE(),VLOOKUP(MAX(-5,Strikeprice4-E238),Volsmile,2),0)),($A238-DateToday)+15,IF(Pricetype4=1,1,0),0))),E238)))</f>
        <v> </v>
      </c>
      <c r="O238" s="318" t="str">
        <f aca="false">IF($A238="N/A"," ",IF(Pricetype4=2,MAX(F238,0),IF(OR(Pricetype4=1,Pricetype4=4),IF(F238=0,0,(EURO(F238,Strikeprice4,0,0,($AK238+IF(Smile=TRUE(),VLOOKUP(MAX(-5,Strikeprice4-F238),Volsmile,2),0)),($A238-DateToday)+15,IF(Pricetype4=1,1,0),0))),F238)))</f>
        <v> </v>
      </c>
      <c r="P238" s="318" t="str">
        <f aca="false">IF($A238="N/A"," ",IF(Pricetype4=2,MAX(G238,0),IF(OR(Pricetype4=1,Pricetype4=4),IF(G238=0,0,(EURO(G238,Strikeprice4,0,0,($AK238+IF(Smile=TRUE(),VLOOKUP(MAX(-5,Strikeprice4-G238),Volsmile,2),0)),($A238-DateToday)+15,IF(Pricetype4=1,1,0),0))),G238)))</f>
        <v> </v>
      </c>
      <c r="Q238" s="318" t="str">
        <f aca="false">IF($A238="N/A"," ",IF(Pricetype4=2,MAX(H238,0),IF(OR(Pricetype4=1,Pricetype4=4),IF(H238=0,0,(EURO(H238,Strikeprice4,0,0,($AK238+IF(Smile=TRUE(),VLOOKUP(MAX(-5,Strikeprice4-H238),Volsmile,2),0)),($A238-DateToday)+15,IF(Pricetype4=1,1,0),0))),H238)))</f>
        <v> </v>
      </c>
      <c r="R238" s="318" t="str">
        <f aca="false">IF($A238="N/A"," ",IF(Pricetype4=2,MAX(I238,0),IF(OR(Pricetype4=1,Pricetype4=4),IF(I238=0,0,(EURO(I238,Strikeprice4,0,0,($AK238+IF(Smile=TRUE(),VLOOKUP(MAX(-5,Strikeprice4-I238),Volsmile,2),0)),($A238-DateToday)+15,IF(Pricetype4=1,1,0),0))),I238)))</f>
        <v> </v>
      </c>
      <c r="S238" s="318" t="str">
        <f aca="false">IF($A238="N/A"," ",IF(Pricetype4=2,MAX(J238,0),IF(OR(Pricetype4=1,Pricetype4=4),IF(J238=0,0,(EURO(J238,Strikeprice4,0,0,($AK238+IF(Smile=TRUE(),VLOOKUP(MAX(-5,Strikeprice4-J238),Volsmile,2),0)),($A238-DateToday)+15,IF(Pricetype4=1,1,0),0))),J238)))</f>
        <v> </v>
      </c>
      <c r="T238" s="318" t="str">
        <f aca="false">IF($A238="N/A"," ",IF(Pricetype4=2,MAX(K238,0),IF(OR(Pricetype4=1,Pricetype4=4),IF(K238=0,0,(EURO(K238,Strikeprice4,0,0,($AK238+IF(Smile=TRUE(),VLOOKUP(MAX(-5,Strikeprice4-K238),Volsmile,2),0)),($A238-DateToday)+15,IF(Pricetype4=1,1,0),0))),K238)))</f>
        <v> </v>
      </c>
      <c r="U238" s="319" t="str">
        <f aca="false">IF($A238="N/A"," ",Volume4*$AM238)</f>
        <v> </v>
      </c>
      <c r="V238" s="320" t="str">
        <f aca="false">IF($A238="N/A"," ",$U238*(8*($BQ238))*L238)</f>
        <v> </v>
      </c>
      <c r="W238" s="320" t="str">
        <f aca="false">IF($A238="N/A"," ",$U238*(8*($BQ238))*M238)</f>
        <v> </v>
      </c>
      <c r="X238" s="320" t="str">
        <f aca="false">IF($A238="N/A"," ",$U238*(8*($BQ238))*N238)</f>
        <v> </v>
      </c>
      <c r="Y238" s="320" t="str">
        <f aca="false">IF($A238="N/A"," ",$U238*(8*($BR238))*O238)</f>
        <v> </v>
      </c>
      <c r="Z238" s="320" t="str">
        <f aca="false">IF($A238="N/A"," ",$U238*(8*($BR238))*P238)</f>
        <v> </v>
      </c>
      <c r="AA238" s="320" t="str">
        <f aca="false">IF($A238="N/A"," ",$U238*(8*($BR238))*Q238)</f>
        <v> </v>
      </c>
      <c r="AB238" s="320" t="str">
        <f aca="false">IF($A238="N/A"," ",$U238*(8*($BS238))*R238)</f>
        <v> </v>
      </c>
      <c r="AC238" s="320" t="str">
        <f aca="false">IF($A238="N/A"," ",$U238*(8*($BS238))*S238)</f>
        <v> </v>
      </c>
      <c r="AD238" s="320" t="str">
        <f aca="false">IF($A238="N/A"," ",$U238*(8*($BS238))*T238)</f>
        <v> </v>
      </c>
      <c r="AE238" s="320" t="str">
        <f aca="false">IF($A238="N/A"," ",SUM(V238:AD238))</f>
        <v> </v>
      </c>
      <c r="AF238" s="321" t="str">
        <f aca="false">IF(A238="N/A"," ",(VLOOKUP(A238,PowerVolTable,(IF(VolBMO4=2,7,IF(VolBMO4=1,6,8))),FALSE())))</f>
        <v> </v>
      </c>
      <c r="AG238" s="321" t="str">
        <f aca="false">IF(A238="N/A"," ",(VLOOKUP(A238,IntraPowerVol,(IF(VolBMO4=2,3,IF(VolBMO4=1,2,4))),FALSE())*VLOOKUP(MONTH($A238),Volscale,2)))</f>
        <v> </v>
      </c>
      <c r="AH238" s="321" t="str">
        <f aca="false">IF($A238="N/A"," ",IF(VolType4=1,AG238,AF238))</f>
        <v> </v>
      </c>
      <c r="AI238" s="321" t="str">
        <f aca="false">IF($A238="N/A"," ",(VLOOKUP($A238,OffPwrVolTable,(IF(VolBMO4=2,7,IF(VolBMO4=1,6,8))),FALSE())))</f>
        <v> </v>
      </c>
      <c r="AJ238" s="321" t="str">
        <f aca="false">IF($A238="N/A"," ",(VLOOKUP($A238,OffPwrVolTable,(IF(VolBMO4=2,3,IF(VolBMO4=1,2,4))),FALSE())*VLOOKUP(MONTH($A238),Volscale,2)))</f>
        <v> </v>
      </c>
      <c r="AK238" s="321" t="str">
        <f aca="false">IF($A238="N/A"," ",IF(VolType4=1,AJ238,AI238))</f>
        <v> </v>
      </c>
      <c r="AL238" s="321" t="str">
        <f aca="false">IF($A238="N/A"," ",IF(PV=1,0,'Pricing Inputs4'!R271))</f>
        <v> </v>
      </c>
      <c r="AM238" s="323" t="str">
        <f aca="false">IF($A238="N/A"," ",(1+AL238/2)^(-2*((EOMONTH(A238,0)+20)-DateToday)/365.25))</f>
        <v> </v>
      </c>
      <c r="BQ238" s="0" t="str">
        <f aca="false">IF($A238="N/A"," ",(VLOOKUP($A238,NumberofDaysTable,2)))</f>
        <v> </v>
      </c>
      <c r="BR238" s="0" t="str">
        <f aca="false">IF($A238="N/A"," ",(VLOOKUP($A238,NumberofDaysTable,3)))</f>
        <v> </v>
      </c>
      <c r="BS238" s="0" t="str">
        <f aca="false">IF($A238="N/A"," ",(VLOOKUP($A238,NumberofDaysTable,4)))</f>
        <v> </v>
      </c>
    </row>
    <row r="239" customFormat="false" ht="12.75" hidden="false" customHeight="false" outlineLevel="0" collapsed="false">
      <c r="A239" s="315" t="str">
        <f aca="false">IF(A238="N/A","N/A",IF(EDATE(A238,1)&gt;Inputs!$R$5,"N/A",EDATE(A238,1)))</f>
        <v>N/A</v>
      </c>
      <c r="B239" s="316" t="str">
        <f aca="false">IF(A239="N/A"," ",YEAR(A239))</f>
        <v> </v>
      </c>
      <c r="C239" s="317" t="str">
        <f aca="false">IF($A239="N/A"," ",IF(Dayrun4=10,0,IF(Scaler4=1,(VLOOKUP(A239,ScaledPrice4,4)),(VLOOKUP(A239,ScaledPrice4,2)))))</f>
        <v> </v>
      </c>
      <c r="D239" s="317" t="str">
        <f aca="false">IF(A239="N/A"," ",IF(Dayrun4&gt;=7,0,IF(Scaler4=2,VLOOKUP(A239,ScaledPrice4,2),(VLOOKUP(A239,ScaledPrice4,2))*(2-(VLOOKUP(A239,ScaledPrice4,3))))))</f>
        <v> </v>
      </c>
      <c r="E239" s="317" t="str">
        <f aca="false">IF($A239="N/A"," ",IF(AND(Dayrun4&gt;=4,Dayrun4&lt;=9),0,VLOOKUP($A239,ScaledPrice4,9)))</f>
        <v> </v>
      </c>
      <c r="F239" s="317" t="str">
        <f aca="false">IF(A239="N/A"," ",IF(OR(Dayrun4=2,Dayrun4=3,Dayrun4=5,Dayrun4=6,Dayrun4=8,Dayrun4=9),VLOOKUP(A239,ScaledPrice4,IF(Scaler4=1,6,5)),0))</f>
        <v> </v>
      </c>
      <c r="G239" s="317" t="str">
        <f aca="false">IF(A239="N/A"," ",IF(OR(Dayrun4=2,Dayrun4=3,Dayrun4=5,Dayrun4=6),IF(Scaler4=2,F239,(VLOOKUP(A239,ScaledPrice4,5))*(2-(VLOOKUP(A239,ScaledPrice4,3)))),0))</f>
        <v> </v>
      </c>
      <c r="H239" s="317" t="str">
        <f aca="false">IF($A239="N/A"," ",IF(OR(Dayrun4=2,Dayrun4=3,Dayrun4=10),VLOOKUP($A239,ScaledPrice4,9),0))</f>
        <v> </v>
      </c>
      <c r="I239" s="317" t="str">
        <f aca="false">IF(A239="N/A"," ",IF(OR(Dayrun4=3,Dayrun4=6,Dayrun4=9),(VLOOKUP(A239,ScaledPrice4,IF(Scaler4=2,7,8))),0))</f>
        <v> </v>
      </c>
      <c r="J239" s="317" t="str">
        <f aca="false">IF(A239="N/A"," ",IF(OR(Dayrun4=3,Dayrun4=6),IF(Scaler4=2,I239,(VLOOKUP(A239,ScaledPrice4,7))*(2-(VLOOKUP(A239,ScaledPrice4,3)))),0))</f>
        <v> </v>
      </c>
      <c r="K239" s="317" t="str">
        <f aca="false">IF($A239="N/A"," ",IF(OR(Dayrun4=3,Dayrun4=10),VLOOKUP($A239,ScaledPrice4,9),0))</f>
        <v> </v>
      </c>
      <c r="L239" s="318" t="str">
        <f aca="false">IF($A239="N/A"," ",IF(Pricetype4=2,MAX(C239,0),IF(OR(Pricetype4=1,Pricetype4=4),IF(C239=0,0,(EURO(C239,Strikeprice4,0,0,($AH239+IF(Smile=TRUE(),VLOOKUP(MAX(-5,Strikeprice4-C239),Volsmile,2),0)),($A239-DateToday)+15,IF(Pricetype4=1,1,0),0))),C239)))</f>
        <v> </v>
      </c>
      <c r="M239" s="318" t="str">
        <f aca="false">IF($A239="N/A"," ",IF(Pricetype4=2,MAX(D239,0),IF(OR(Pricetype4=1,Pricetype4=4),IF(D239=0,0,(EURO(D239,Strikeprice4,0,0,($AH239+IF(Smile=TRUE(),VLOOKUP(MAX(-5,Strikeprice4-D239),Volsmile,2),0)),($A239-DateToday)+15,IF(Pricetype4=1,1,0),0))),D239)))</f>
        <v> </v>
      </c>
      <c r="N239" s="318" t="str">
        <f aca="false">IF($A239="N/A"," ",IF(Pricetype4=2,MAX(E239,0),IF(OR(Pricetype4=1,Pricetype4=4),IF(E239=0,0,(EURO(E239,Strikeprice4,0,0,($AK239+IF(Smile=TRUE(),VLOOKUP(MAX(-5,Strikeprice4-E239),Volsmile,2),0)),($A239-DateToday)+15,IF(Pricetype4=1,1,0),0))),E239)))</f>
        <v> </v>
      </c>
      <c r="O239" s="318" t="str">
        <f aca="false">IF($A239="N/A"," ",IF(Pricetype4=2,MAX(F239,0),IF(OR(Pricetype4=1,Pricetype4=4),IF(F239=0,0,(EURO(F239,Strikeprice4,0,0,($AK239+IF(Smile=TRUE(),VLOOKUP(MAX(-5,Strikeprice4-F239),Volsmile,2),0)),($A239-DateToday)+15,IF(Pricetype4=1,1,0),0))),F239)))</f>
        <v> </v>
      </c>
      <c r="P239" s="318" t="str">
        <f aca="false">IF($A239="N/A"," ",IF(Pricetype4=2,MAX(G239,0),IF(OR(Pricetype4=1,Pricetype4=4),IF(G239=0,0,(EURO(G239,Strikeprice4,0,0,($AK239+IF(Smile=TRUE(),VLOOKUP(MAX(-5,Strikeprice4-G239),Volsmile,2),0)),($A239-DateToday)+15,IF(Pricetype4=1,1,0),0))),G239)))</f>
        <v> </v>
      </c>
      <c r="Q239" s="318" t="str">
        <f aca="false">IF($A239="N/A"," ",IF(Pricetype4=2,MAX(H239,0),IF(OR(Pricetype4=1,Pricetype4=4),IF(H239=0,0,(EURO(H239,Strikeprice4,0,0,($AK239+IF(Smile=TRUE(),VLOOKUP(MAX(-5,Strikeprice4-H239),Volsmile,2),0)),($A239-DateToday)+15,IF(Pricetype4=1,1,0),0))),H239)))</f>
        <v> </v>
      </c>
      <c r="R239" s="318" t="str">
        <f aca="false">IF($A239="N/A"," ",IF(Pricetype4=2,MAX(I239,0),IF(OR(Pricetype4=1,Pricetype4=4),IF(I239=0,0,(EURO(I239,Strikeprice4,0,0,($AK239+IF(Smile=TRUE(),VLOOKUP(MAX(-5,Strikeprice4-I239),Volsmile,2),0)),($A239-DateToday)+15,IF(Pricetype4=1,1,0),0))),I239)))</f>
        <v> </v>
      </c>
      <c r="S239" s="318" t="str">
        <f aca="false">IF($A239="N/A"," ",IF(Pricetype4=2,MAX(J239,0),IF(OR(Pricetype4=1,Pricetype4=4),IF(J239=0,0,(EURO(J239,Strikeprice4,0,0,($AK239+IF(Smile=TRUE(),VLOOKUP(MAX(-5,Strikeprice4-J239),Volsmile,2),0)),($A239-DateToday)+15,IF(Pricetype4=1,1,0),0))),J239)))</f>
        <v> </v>
      </c>
      <c r="T239" s="318" t="str">
        <f aca="false">IF($A239="N/A"," ",IF(Pricetype4=2,MAX(K239,0),IF(OR(Pricetype4=1,Pricetype4=4),IF(K239=0,0,(EURO(K239,Strikeprice4,0,0,($AK239+IF(Smile=TRUE(),VLOOKUP(MAX(-5,Strikeprice4-K239),Volsmile,2),0)),($A239-DateToday)+15,IF(Pricetype4=1,1,0),0))),K239)))</f>
        <v> </v>
      </c>
      <c r="U239" s="319" t="str">
        <f aca="false">IF($A239="N/A"," ",Volume4*$AM239)</f>
        <v> </v>
      </c>
      <c r="V239" s="320" t="str">
        <f aca="false">IF($A239="N/A"," ",$U239*(8*($BQ239))*L239)</f>
        <v> </v>
      </c>
      <c r="W239" s="320" t="str">
        <f aca="false">IF($A239="N/A"," ",$U239*(8*($BQ239))*M239)</f>
        <v> </v>
      </c>
      <c r="X239" s="320" t="str">
        <f aca="false">IF($A239="N/A"," ",$U239*(8*($BQ239))*N239)</f>
        <v> </v>
      </c>
      <c r="Y239" s="320" t="str">
        <f aca="false">IF($A239="N/A"," ",$U239*(8*($BR239))*O239)</f>
        <v> </v>
      </c>
      <c r="Z239" s="320" t="str">
        <f aca="false">IF($A239="N/A"," ",$U239*(8*($BR239))*P239)</f>
        <v> </v>
      </c>
      <c r="AA239" s="320" t="str">
        <f aca="false">IF($A239="N/A"," ",$U239*(8*($BR239))*Q239)</f>
        <v> </v>
      </c>
      <c r="AB239" s="320" t="str">
        <f aca="false">IF($A239="N/A"," ",$U239*(8*($BS239))*R239)</f>
        <v> </v>
      </c>
      <c r="AC239" s="320" t="str">
        <f aca="false">IF($A239="N/A"," ",$U239*(8*($BS239))*S239)</f>
        <v> </v>
      </c>
      <c r="AD239" s="320" t="str">
        <f aca="false">IF($A239="N/A"," ",$U239*(8*($BS239))*T239)</f>
        <v> </v>
      </c>
      <c r="AE239" s="320" t="str">
        <f aca="false">IF($A239="N/A"," ",SUM(V239:AD239))</f>
        <v> </v>
      </c>
      <c r="AF239" s="321" t="str">
        <f aca="false">IF(A239="N/A"," ",(VLOOKUP(A239,PowerVolTable,(IF(VolBMO4=2,7,IF(VolBMO4=1,6,8))),FALSE())))</f>
        <v> </v>
      </c>
      <c r="AG239" s="321" t="str">
        <f aca="false">IF(A239="N/A"," ",(VLOOKUP(A239,IntraPowerVol,(IF(VolBMO4=2,3,IF(VolBMO4=1,2,4))),FALSE())*VLOOKUP(MONTH($A239),Volscale,2)))</f>
        <v> </v>
      </c>
      <c r="AH239" s="321" t="str">
        <f aca="false">IF($A239="N/A"," ",IF(VolType4=1,AG239,AF239))</f>
        <v> </v>
      </c>
      <c r="AI239" s="321" t="str">
        <f aca="false">IF($A239="N/A"," ",(VLOOKUP($A239,OffPwrVolTable,(IF(VolBMO4=2,7,IF(VolBMO4=1,6,8))),FALSE())))</f>
        <v> </v>
      </c>
      <c r="AJ239" s="321" t="str">
        <f aca="false">IF($A239="N/A"," ",(VLOOKUP($A239,OffPwrVolTable,(IF(VolBMO4=2,3,IF(VolBMO4=1,2,4))),FALSE())*VLOOKUP(MONTH($A239),Volscale,2)))</f>
        <v> </v>
      </c>
      <c r="AK239" s="321" t="str">
        <f aca="false">IF($A239="N/A"," ",IF(VolType4=1,AJ239,AI239))</f>
        <v> </v>
      </c>
      <c r="AL239" s="321" t="str">
        <f aca="false">IF($A239="N/A"," ",IF(PV=1,0,'Pricing Inputs4'!R272))</f>
        <v> </v>
      </c>
      <c r="AM239" s="323" t="str">
        <f aca="false">IF($A239="N/A"," ",(1+AL239/2)^(-2*((EOMONTH(A239,0)+20)-DateToday)/365.25))</f>
        <v> </v>
      </c>
      <c r="BQ239" s="0" t="str">
        <f aca="false">IF($A239="N/A"," ",(VLOOKUP($A239,NumberofDaysTable,2)))</f>
        <v> </v>
      </c>
      <c r="BR239" s="0" t="str">
        <f aca="false">IF($A239="N/A"," ",(VLOOKUP($A239,NumberofDaysTable,3)))</f>
        <v> </v>
      </c>
      <c r="BS239" s="0" t="str">
        <f aca="false">IF($A239="N/A"," ",(VLOOKUP($A239,NumberofDaysTable,4)))</f>
        <v> </v>
      </c>
    </row>
    <row r="240" customFormat="false" ht="12.75" hidden="false" customHeight="false" outlineLevel="0" collapsed="false">
      <c r="A240" s="315" t="str">
        <f aca="false">IF(A239="N/A","N/A",IF(EDATE(A239,1)&gt;Inputs!$R$5,"N/A",EDATE(A239,1)))</f>
        <v>N/A</v>
      </c>
      <c r="B240" s="316" t="str">
        <f aca="false">IF(A240="N/A"," ",YEAR(A240))</f>
        <v> </v>
      </c>
      <c r="C240" s="317" t="str">
        <f aca="false">IF($A240="N/A"," ",IF(Dayrun4=10,0,IF(Scaler4=1,(VLOOKUP(A240,ScaledPrice4,4)),(VLOOKUP(A240,ScaledPrice4,2)))))</f>
        <v> </v>
      </c>
      <c r="D240" s="317" t="str">
        <f aca="false">IF(A240="N/A"," ",IF(Dayrun4&gt;=7,0,IF(Scaler4=2,VLOOKUP(A240,ScaledPrice4,2),(VLOOKUP(A240,ScaledPrice4,2))*(2-(VLOOKUP(A240,ScaledPrice4,3))))))</f>
        <v> </v>
      </c>
      <c r="E240" s="317" t="str">
        <f aca="false">IF($A240="N/A"," ",IF(AND(Dayrun4&gt;=4,Dayrun4&lt;=9),0,VLOOKUP($A240,ScaledPrice4,9)))</f>
        <v> </v>
      </c>
      <c r="F240" s="317" t="str">
        <f aca="false">IF(A240="N/A"," ",IF(OR(Dayrun4=2,Dayrun4=3,Dayrun4=5,Dayrun4=6,Dayrun4=8,Dayrun4=9),VLOOKUP(A240,ScaledPrice4,IF(Scaler4=1,6,5)),0))</f>
        <v> </v>
      </c>
      <c r="G240" s="317" t="str">
        <f aca="false">IF(A240="N/A"," ",IF(OR(Dayrun4=2,Dayrun4=3,Dayrun4=5,Dayrun4=6),IF(Scaler4=2,F240,(VLOOKUP(A240,ScaledPrice4,5))*(2-(VLOOKUP(A240,ScaledPrice4,3)))),0))</f>
        <v> </v>
      </c>
      <c r="H240" s="317" t="str">
        <f aca="false">IF($A240="N/A"," ",IF(OR(Dayrun4=2,Dayrun4=3,Dayrun4=10),VLOOKUP($A240,ScaledPrice4,9),0))</f>
        <v> </v>
      </c>
      <c r="I240" s="317" t="str">
        <f aca="false">IF(A240="N/A"," ",IF(OR(Dayrun4=3,Dayrun4=6,Dayrun4=9),(VLOOKUP(A240,ScaledPrice4,IF(Scaler4=2,7,8))),0))</f>
        <v> </v>
      </c>
      <c r="J240" s="317" t="str">
        <f aca="false">IF(A240="N/A"," ",IF(OR(Dayrun4=3,Dayrun4=6),IF(Scaler4=2,I240,(VLOOKUP(A240,ScaledPrice4,7))*(2-(VLOOKUP(A240,ScaledPrice4,3)))),0))</f>
        <v> </v>
      </c>
      <c r="K240" s="317" t="str">
        <f aca="false">IF($A240="N/A"," ",IF(OR(Dayrun4=3,Dayrun4=10),VLOOKUP($A240,ScaledPrice4,9),0))</f>
        <v> </v>
      </c>
      <c r="L240" s="318" t="str">
        <f aca="false">IF($A240="N/A"," ",IF(Pricetype4=2,MAX(C240,0),IF(OR(Pricetype4=1,Pricetype4=4),IF(C240=0,0,(EURO(C240,Strikeprice4,0,0,($AH240+IF(Smile=TRUE(),VLOOKUP(MAX(-5,Strikeprice4-C240),Volsmile,2),0)),($A240-DateToday)+15,IF(Pricetype4=1,1,0),0))),C240)))</f>
        <v> </v>
      </c>
      <c r="M240" s="318" t="str">
        <f aca="false">IF($A240="N/A"," ",IF(Pricetype4=2,MAX(D240,0),IF(OR(Pricetype4=1,Pricetype4=4),IF(D240=0,0,(EURO(D240,Strikeprice4,0,0,($AH240+IF(Smile=TRUE(),VLOOKUP(MAX(-5,Strikeprice4-D240),Volsmile,2),0)),($A240-DateToday)+15,IF(Pricetype4=1,1,0),0))),D240)))</f>
        <v> </v>
      </c>
      <c r="N240" s="318" t="str">
        <f aca="false">IF($A240="N/A"," ",IF(Pricetype4=2,MAX(E240,0),IF(OR(Pricetype4=1,Pricetype4=4),IF(E240=0,0,(EURO(E240,Strikeprice4,0,0,($AK240+IF(Smile=TRUE(),VLOOKUP(MAX(-5,Strikeprice4-E240),Volsmile,2),0)),($A240-DateToday)+15,IF(Pricetype4=1,1,0),0))),E240)))</f>
        <v> </v>
      </c>
      <c r="O240" s="318" t="str">
        <f aca="false">IF($A240="N/A"," ",IF(Pricetype4=2,MAX(F240,0),IF(OR(Pricetype4=1,Pricetype4=4),IF(F240=0,0,(EURO(F240,Strikeprice4,0,0,($AK240+IF(Smile=TRUE(),VLOOKUP(MAX(-5,Strikeprice4-F240),Volsmile,2),0)),($A240-DateToday)+15,IF(Pricetype4=1,1,0),0))),F240)))</f>
        <v> </v>
      </c>
      <c r="P240" s="318" t="str">
        <f aca="false">IF($A240="N/A"," ",IF(Pricetype4=2,MAX(G240,0),IF(OR(Pricetype4=1,Pricetype4=4),IF(G240=0,0,(EURO(G240,Strikeprice4,0,0,($AK240+IF(Smile=TRUE(),VLOOKUP(MAX(-5,Strikeprice4-G240),Volsmile,2),0)),($A240-DateToday)+15,IF(Pricetype4=1,1,0),0))),G240)))</f>
        <v> </v>
      </c>
      <c r="Q240" s="318" t="str">
        <f aca="false">IF($A240="N/A"," ",IF(Pricetype4=2,MAX(H240,0),IF(OR(Pricetype4=1,Pricetype4=4),IF(H240=0,0,(EURO(H240,Strikeprice4,0,0,($AK240+IF(Smile=TRUE(),VLOOKUP(MAX(-5,Strikeprice4-H240),Volsmile,2),0)),($A240-DateToday)+15,IF(Pricetype4=1,1,0),0))),H240)))</f>
        <v> </v>
      </c>
      <c r="R240" s="318" t="str">
        <f aca="false">IF($A240="N/A"," ",IF(Pricetype4=2,MAX(I240,0),IF(OR(Pricetype4=1,Pricetype4=4),IF(I240=0,0,(EURO(I240,Strikeprice4,0,0,($AK240+IF(Smile=TRUE(),VLOOKUP(MAX(-5,Strikeprice4-I240),Volsmile,2),0)),($A240-DateToday)+15,IF(Pricetype4=1,1,0),0))),I240)))</f>
        <v> </v>
      </c>
      <c r="S240" s="318" t="str">
        <f aca="false">IF($A240="N/A"," ",IF(Pricetype4=2,MAX(J240,0),IF(OR(Pricetype4=1,Pricetype4=4),IF(J240=0,0,(EURO(J240,Strikeprice4,0,0,($AK240+IF(Smile=TRUE(),VLOOKUP(MAX(-5,Strikeprice4-J240),Volsmile,2),0)),($A240-DateToday)+15,IF(Pricetype4=1,1,0),0))),J240)))</f>
        <v> </v>
      </c>
      <c r="T240" s="318" t="str">
        <f aca="false">IF($A240="N/A"," ",IF(Pricetype4=2,MAX(K240,0),IF(OR(Pricetype4=1,Pricetype4=4),IF(K240=0,0,(EURO(K240,Strikeprice4,0,0,($AK240+IF(Smile=TRUE(),VLOOKUP(MAX(-5,Strikeprice4-K240),Volsmile,2),0)),($A240-DateToday)+15,IF(Pricetype4=1,1,0),0))),K240)))</f>
        <v> </v>
      </c>
      <c r="U240" s="319" t="str">
        <f aca="false">IF($A240="N/A"," ",Volume4*$AM240)</f>
        <v> </v>
      </c>
      <c r="V240" s="320" t="str">
        <f aca="false">IF($A240="N/A"," ",$U240*(8*($BQ240))*L240)</f>
        <v> </v>
      </c>
      <c r="W240" s="320" t="str">
        <f aca="false">IF($A240="N/A"," ",$U240*(8*($BQ240))*M240)</f>
        <v> </v>
      </c>
      <c r="X240" s="320" t="str">
        <f aca="false">IF($A240="N/A"," ",$U240*(8*($BQ240))*N240)</f>
        <v> </v>
      </c>
      <c r="Y240" s="320" t="str">
        <f aca="false">IF($A240="N/A"," ",$U240*(8*($BR240))*O240)</f>
        <v> </v>
      </c>
      <c r="Z240" s="320" t="str">
        <f aca="false">IF($A240="N/A"," ",$U240*(8*($BR240))*P240)</f>
        <v> </v>
      </c>
      <c r="AA240" s="320" t="str">
        <f aca="false">IF($A240="N/A"," ",$U240*(8*($BR240))*Q240)</f>
        <v> </v>
      </c>
      <c r="AB240" s="320" t="str">
        <f aca="false">IF($A240="N/A"," ",$U240*(8*($BS240))*R240)</f>
        <v> </v>
      </c>
      <c r="AC240" s="320" t="str">
        <f aca="false">IF($A240="N/A"," ",$U240*(8*($BS240))*S240)</f>
        <v> </v>
      </c>
      <c r="AD240" s="320" t="str">
        <f aca="false">IF($A240="N/A"," ",$U240*(8*($BS240))*T240)</f>
        <v> </v>
      </c>
      <c r="AE240" s="320" t="str">
        <f aca="false">IF($A240="N/A"," ",SUM(V240:AD240))</f>
        <v> </v>
      </c>
      <c r="AF240" s="321" t="str">
        <f aca="false">IF(A240="N/A"," ",(VLOOKUP(A240,PowerVolTable,(IF(VolBMO4=2,7,IF(VolBMO4=1,6,8))),FALSE())))</f>
        <v> </v>
      </c>
      <c r="AG240" s="321" t="str">
        <f aca="false">IF(A240="N/A"," ",(VLOOKUP(A240,IntraPowerVol,(IF(VolBMO4=2,3,IF(VolBMO4=1,2,4))),FALSE())*VLOOKUP(MONTH($A240),Volscale,2)))</f>
        <v> </v>
      </c>
      <c r="AH240" s="321" t="str">
        <f aca="false">IF($A240="N/A"," ",IF(VolType4=1,AG240,AF240))</f>
        <v> </v>
      </c>
      <c r="AI240" s="321" t="str">
        <f aca="false">IF($A240="N/A"," ",(VLOOKUP($A240,OffPwrVolTable,(IF(VolBMO4=2,7,IF(VolBMO4=1,6,8))),FALSE())))</f>
        <v> </v>
      </c>
      <c r="AJ240" s="321" t="str">
        <f aca="false">IF($A240="N/A"," ",(VLOOKUP($A240,OffPwrVolTable,(IF(VolBMO4=2,3,IF(VolBMO4=1,2,4))),FALSE())*VLOOKUP(MONTH($A240),Volscale,2)))</f>
        <v> </v>
      </c>
      <c r="AK240" s="321" t="str">
        <f aca="false">IF($A240="N/A"," ",IF(VolType4=1,AJ240,AI240))</f>
        <v> </v>
      </c>
      <c r="AL240" s="321" t="str">
        <f aca="false">IF($A240="N/A"," ",IF(PV=1,0,'Pricing Inputs4'!R273))</f>
        <v> </v>
      </c>
      <c r="AM240" s="323" t="str">
        <f aca="false">IF($A240="N/A"," ",(1+AL240/2)^(-2*((EOMONTH(A240,0)+20)-DateToday)/365.25))</f>
        <v> </v>
      </c>
      <c r="BQ240" s="0" t="str">
        <f aca="false">IF($A240="N/A"," ",(VLOOKUP($A240,NumberofDaysTable,2)))</f>
        <v> </v>
      </c>
      <c r="BR240" s="0" t="str">
        <f aca="false">IF($A240="N/A"," ",(VLOOKUP($A240,NumberofDaysTable,3)))</f>
        <v> </v>
      </c>
      <c r="BS240" s="0" t="str">
        <f aca="false">IF($A240="N/A"," ",(VLOOKUP($A240,NumberofDaysTable,4)))</f>
        <v> </v>
      </c>
    </row>
    <row r="241" customFormat="false" ht="12.75" hidden="false" customHeight="false" outlineLevel="0" collapsed="false">
      <c r="A241" s="315" t="str">
        <f aca="false">IF(A240="N/A","N/A",IF(EDATE(A240,1)&gt;Inputs!$R$5,"N/A",EDATE(A240,1)))</f>
        <v>N/A</v>
      </c>
      <c r="B241" s="316" t="str">
        <f aca="false">IF(A241="N/A"," ",YEAR(A241))</f>
        <v> </v>
      </c>
      <c r="C241" s="317" t="str">
        <f aca="false">IF($A241="N/A"," ",IF(Dayrun4=10,0,IF(Scaler4=1,(VLOOKUP(A241,ScaledPrice4,4)),(VLOOKUP(A241,ScaledPrice4,2)))))</f>
        <v> </v>
      </c>
      <c r="D241" s="317" t="str">
        <f aca="false">IF(A241="N/A"," ",IF(Dayrun4&gt;=7,0,IF(Scaler4=2,VLOOKUP(A241,ScaledPrice4,2),(VLOOKUP(A241,ScaledPrice4,2))*(2-(VLOOKUP(A241,ScaledPrice4,3))))))</f>
        <v> </v>
      </c>
      <c r="E241" s="317" t="str">
        <f aca="false">IF($A241="N/A"," ",IF(AND(Dayrun4&gt;=4,Dayrun4&lt;=9),0,VLOOKUP($A241,ScaledPrice4,9)))</f>
        <v> </v>
      </c>
      <c r="F241" s="317" t="str">
        <f aca="false">IF(A241="N/A"," ",IF(OR(Dayrun4=2,Dayrun4=3,Dayrun4=5,Dayrun4=6,Dayrun4=8,Dayrun4=9),VLOOKUP(A241,ScaledPrice4,IF(Scaler4=1,6,5)),0))</f>
        <v> </v>
      </c>
      <c r="G241" s="317" t="str">
        <f aca="false">IF(A241="N/A"," ",IF(OR(Dayrun4=2,Dayrun4=3,Dayrun4=5,Dayrun4=6),IF(Scaler4=2,F241,(VLOOKUP(A241,ScaledPrice4,5))*(2-(VLOOKUP(A241,ScaledPrice4,3)))),0))</f>
        <v> </v>
      </c>
      <c r="H241" s="317" t="str">
        <f aca="false">IF($A241="N/A"," ",IF(OR(Dayrun4=2,Dayrun4=3,Dayrun4=10),VLOOKUP($A241,ScaledPrice4,9),0))</f>
        <v> </v>
      </c>
      <c r="I241" s="317" t="str">
        <f aca="false">IF(A241="N/A"," ",IF(OR(Dayrun4=3,Dayrun4=6,Dayrun4=9),(VLOOKUP(A241,ScaledPrice4,IF(Scaler4=2,7,8))),0))</f>
        <v> </v>
      </c>
      <c r="J241" s="317" t="str">
        <f aca="false">IF(A241="N/A"," ",IF(OR(Dayrun4=3,Dayrun4=6),IF(Scaler4=2,I241,(VLOOKUP(A241,ScaledPrice4,7))*(2-(VLOOKUP(A241,ScaledPrice4,3)))),0))</f>
        <v> </v>
      </c>
      <c r="K241" s="317" t="str">
        <f aca="false">IF($A241="N/A"," ",IF(OR(Dayrun4=3,Dayrun4=10),VLOOKUP($A241,ScaledPrice4,9),0))</f>
        <v> </v>
      </c>
      <c r="L241" s="318" t="str">
        <f aca="false">IF($A241="N/A"," ",IF(Pricetype4=2,MAX(C241,0),IF(OR(Pricetype4=1,Pricetype4=4),IF(C241=0,0,(EURO(C241,Strikeprice4,0,0,($AH241+IF(Smile=TRUE(),VLOOKUP(MAX(-5,Strikeprice4-C241),Volsmile,2),0)),($A241-DateToday)+15,IF(Pricetype4=1,1,0),0))),C241)))</f>
        <v> </v>
      </c>
      <c r="M241" s="318" t="str">
        <f aca="false">IF($A241="N/A"," ",IF(Pricetype4=2,MAX(D241,0),IF(OR(Pricetype4=1,Pricetype4=4),IF(D241=0,0,(EURO(D241,Strikeprice4,0,0,($AH241+IF(Smile=TRUE(),VLOOKUP(MAX(-5,Strikeprice4-D241),Volsmile,2),0)),($A241-DateToday)+15,IF(Pricetype4=1,1,0),0))),D241)))</f>
        <v> </v>
      </c>
      <c r="N241" s="318" t="str">
        <f aca="false">IF($A241="N/A"," ",IF(Pricetype4=2,MAX(E241,0),IF(OR(Pricetype4=1,Pricetype4=4),IF(E241=0,0,(EURO(E241,Strikeprice4,0,0,($AK241+IF(Smile=TRUE(),VLOOKUP(MAX(-5,Strikeprice4-E241),Volsmile,2),0)),($A241-DateToday)+15,IF(Pricetype4=1,1,0),0))),E241)))</f>
        <v> </v>
      </c>
      <c r="O241" s="318" t="str">
        <f aca="false">IF($A241="N/A"," ",IF(Pricetype4=2,MAX(F241,0),IF(OR(Pricetype4=1,Pricetype4=4),IF(F241=0,0,(EURO(F241,Strikeprice4,0,0,($AK241+IF(Smile=TRUE(),VLOOKUP(MAX(-5,Strikeprice4-F241),Volsmile,2),0)),($A241-DateToday)+15,IF(Pricetype4=1,1,0),0))),F241)))</f>
        <v> </v>
      </c>
      <c r="P241" s="318" t="str">
        <f aca="false">IF($A241="N/A"," ",IF(Pricetype4=2,MAX(G241,0),IF(OR(Pricetype4=1,Pricetype4=4),IF(G241=0,0,(EURO(G241,Strikeprice4,0,0,($AK241+IF(Smile=TRUE(),VLOOKUP(MAX(-5,Strikeprice4-G241),Volsmile,2),0)),($A241-DateToday)+15,IF(Pricetype4=1,1,0),0))),G241)))</f>
        <v> </v>
      </c>
      <c r="Q241" s="318" t="str">
        <f aca="false">IF($A241="N/A"," ",IF(Pricetype4=2,MAX(H241,0),IF(OR(Pricetype4=1,Pricetype4=4),IF(H241=0,0,(EURO(H241,Strikeprice4,0,0,($AK241+IF(Smile=TRUE(),VLOOKUP(MAX(-5,Strikeprice4-H241),Volsmile,2),0)),($A241-DateToday)+15,IF(Pricetype4=1,1,0),0))),H241)))</f>
        <v> </v>
      </c>
      <c r="R241" s="318" t="str">
        <f aca="false">IF($A241="N/A"," ",IF(Pricetype4=2,MAX(I241,0),IF(OR(Pricetype4=1,Pricetype4=4),IF(I241=0,0,(EURO(I241,Strikeprice4,0,0,($AK241+IF(Smile=TRUE(),VLOOKUP(MAX(-5,Strikeprice4-I241),Volsmile,2),0)),($A241-DateToday)+15,IF(Pricetype4=1,1,0),0))),I241)))</f>
        <v> </v>
      </c>
      <c r="S241" s="318" t="str">
        <f aca="false">IF($A241="N/A"," ",IF(Pricetype4=2,MAX(J241,0),IF(OR(Pricetype4=1,Pricetype4=4),IF(J241=0,0,(EURO(J241,Strikeprice4,0,0,($AK241+IF(Smile=TRUE(),VLOOKUP(MAX(-5,Strikeprice4-J241),Volsmile,2),0)),($A241-DateToday)+15,IF(Pricetype4=1,1,0),0))),J241)))</f>
        <v> </v>
      </c>
      <c r="T241" s="318" t="str">
        <f aca="false">IF($A241="N/A"," ",IF(Pricetype4=2,MAX(K241,0),IF(OR(Pricetype4=1,Pricetype4=4),IF(K241=0,0,(EURO(K241,Strikeprice4,0,0,($AK241+IF(Smile=TRUE(),VLOOKUP(MAX(-5,Strikeprice4-K241),Volsmile,2),0)),($A241-DateToday)+15,IF(Pricetype4=1,1,0),0))),K241)))</f>
        <v> </v>
      </c>
      <c r="U241" s="319" t="str">
        <f aca="false">IF($A241="N/A"," ",Volume4*$AM241)</f>
        <v> </v>
      </c>
      <c r="V241" s="320" t="str">
        <f aca="false">IF($A241="N/A"," ",$U241*(8*($BQ241))*L241)</f>
        <v> </v>
      </c>
      <c r="W241" s="320" t="str">
        <f aca="false">IF($A241="N/A"," ",$U241*(8*($BQ241))*M241)</f>
        <v> </v>
      </c>
      <c r="X241" s="320" t="str">
        <f aca="false">IF($A241="N/A"," ",$U241*(8*($BQ241))*N241)</f>
        <v> </v>
      </c>
      <c r="Y241" s="320" t="str">
        <f aca="false">IF($A241="N/A"," ",$U241*(8*($BR241))*O241)</f>
        <v> </v>
      </c>
      <c r="Z241" s="320" t="str">
        <f aca="false">IF($A241="N/A"," ",$U241*(8*($BR241))*P241)</f>
        <v> </v>
      </c>
      <c r="AA241" s="320" t="str">
        <f aca="false">IF($A241="N/A"," ",$U241*(8*($BR241))*Q241)</f>
        <v> </v>
      </c>
      <c r="AB241" s="320" t="str">
        <f aca="false">IF($A241="N/A"," ",$U241*(8*($BS241))*R241)</f>
        <v> </v>
      </c>
      <c r="AC241" s="320" t="str">
        <f aca="false">IF($A241="N/A"," ",$U241*(8*($BS241))*S241)</f>
        <v> </v>
      </c>
      <c r="AD241" s="320" t="str">
        <f aca="false">IF($A241="N/A"," ",$U241*(8*($BS241))*T241)</f>
        <v> </v>
      </c>
      <c r="AE241" s="320" t="str">
        <f aca="false">IF($A241="N/A"," ",SUM(V241:AD241))</f>
        <v> </v>
      </c>
      <c r="AF241" s="321" t="str">
        <f aca="false">IF(A241="N/A"," ",(VLOOKUP(A241,PowerVolTable,(IF(VolBMO4=2,7,IF(VolBMO4=1,6,8))),FALSE())))</f>
        <v> </v>
      </c>
      <c r="AG241" s="321" t="str">
        <f aca="false">IF(A241="N/A"," ",(VLOOKUP(A241,IntraPowerVol,(IF(VolBMO4=2,3,IF(VolBMO4=1,2,4))),FALSE())*VLOOKUP(MONTH($A241),Volscale,2)))</f>
        <v> </v>
      </c>
      <c r="AH241" s="321" t="str">
        <f aca="false">IF($A241="N/A"," ",IF(VolType4=1,AG241,AF241))</f>
        <v> </v>
      </c>
      <c r="AI241" s="321" t="str">
        <f aca="false">IF($A241="N/A"," ",(VLOOKUP($A241,OffPwrVolTable,(IF(VolBMO4=2,7,IF(VolBMO4=1,6,8))),FALSE())))</f>
        <v> </v>
      </c>
      <c r="AJ241" s="321" t="str">
        <f aca="false">IF($A241="N/A"," ",(VLOOKUP($A241,OffPwrVolTable,(IF(VolBMO4=2,3,IF(VolBMO4=1,2,4))),FALSE())*VLOOKUP(MONTH($A241),Volscale,2)))</f>
        <v> </v>
      </c>
      <c r="AK241" s="321" t="str">
        <f aca="false">IF($A241="N/A"," ",IF(VolType4=1,AJ241,AI241))</f>
        <v> </v>
      </c>
      <c r="AL241" s="321" t="str">
        <f aca="false">IF($A241="N/A"," ",IF(PV=1,0,'Pricing Inputs4'!R274))</f>
        <v> </v>
      </c>
      <c r="AM241" s="323" t="str">
        <f aca="false">IF($A241="N/A"," ",(1+AL241/2)^(-2*((EOMONTH(A241,0)+20)-DateToday)/365.25))</f>
        <v> </v>
      </c>
      <c r="BQ241" s="0" t="str">
        <f aca="false">IF($A241="N/A"," ",(VLOOKUP($A241,NumberofDaysTable,2)))</f>
        <v> </v>
      </c>
      <c r="BR241" s="0" t="str">
        <f aca="false">IF($A241="N/A"," ",(VLOOKUP($A241,NumberofDaysTable,3)))</f>
        <v> </v>
      </c>
      <c r="BS241" s="0" t="str">
        <f aca="false">IF($A241="N/A"," ",(VLOOKUP($A241,NumberofDaysTable,4)))</f>
        <v> </v>
      </c>
    </row>
    <row r="242" customFormat="false" ht="12.75" hidden="false" customHeight="false" outlineLevel="0" collapsed="false">
      <c r="A242" s="315" t="str">
        <f aca="false">IF(A241="N/A","N/A",IF(EDATE(A241,1)&gt;Inputs!$R$5,"N/A",EDATE(A241,1)))</f>
        <v>N/A</v>
      </c>
      <c r="B242" s="316" t="str">
        <f aca="false">IF(A242="N/A"," ",YEAR(A242))</f>
        <v> </v>
      </c>
      <c r="C242" s="317" t="str">
        <f aca="false">IF($A242="N/A"," ",IF(Dayrun4=10,0,IF(Scaler4=1,(VLOOKUP(A242,ScaledPrice4,4)),(VLOOKUP(A242,ScaledPrice4,2)))))</f>
        <v> </v>
      </c>
      <c r="D242" s="317" t="str">
        <f aca="false">IF(A242="N/A"," ",IF(Dayrun4&gt;=7,0,IF(Scaler4=2,VLOOKUP(A242,ScaledPrice4,2),(VLOOKUP(A242,ScaledPrice4,2))*(2-(VLOOKUP(A242,ScaledPrice4,3))))))</f>
        <v> </v>
      </c>
      <c r="E242" s="317" t="str">
        <f aca="false">IF($A242="N/A"," ",IF(AND(Dayrun4&gt;=4,Dayrun4&lt;=9),0,VLOOKUP($A242,ScaledPrice4,9)))</f>
        <v> </v>
      </c>
      <c r="F242" s="317" t="str">
        <f aca="false">IF(A242="N/A"," ",IF(OR(Dayrun4=2,Dayrun4=3,Dayrun4=5,Dayrun4=6,Dayrun4=8,Dayrun4=9),VLOOKUP(A242,ScaledPrice4,IF(Scaler4=1,6,5)),0))</f>
        <v> </v>
      </c>
      <c r="G242" s="317" t="str">
        <f aca="false">IF(A242="N/A"," ",IF(OR(Dayrun4=2,Dayrun4=3,Dayrun4=5,Dayrun4=6),IF(Scaler4=2,F242,(VLOOKUP(A242,ScaledPrice4,5))*(2-(VLOOKUP(A242,ScaledPrice4,3)))),0))</f>
        <v> </v>
      </c>
      <c r="H242" s="317" t="str">
        <f aca="false">IF($A242="N/A"," ",IF(OR(Dayrun4=2,Dayrun4=3,Dayrun4=10),VLOOKUP($A242,ScaledPrice4,9),0))</f>
        <v> </v>
      </c>
      <c r="I242" s="317" t="str">
        <f aca="false">IF(A242="N/A"," ",IF(OR(Dayrun4=3,Dayrun4=6,Dayrun4=9),(VLOOKUP(A242,ScaledPrice4,IF(Scaler4=2,7,8))),0))</f>
        <v> </v>
      </c>
      <c r="J242" s="317" t="str">
        <f aca="false">IF(A242="N/A"," ",IF(OR(Dayrun4=3,Dayrun4=6),IF(Scaler4=2,I242,(VLOOKUP(A242,ScaledPrice4,7))*(2-(VLOOKUP(A242,ScaledPrice4,3)))),0))</f>
        <v> </v>
      </c>
      <c r="K242" s="317" t="str">
        <f aca="false">IF($A242="N/A"," ",IF(OR(Dayrun4=3,Dayrun4=10),VLOOKUP($A242,ScaledPrice4,9),0))</f>
        <v> </v>
      </c>
      <c r="L242" s="318" t="str">
        <f aca="false">IF($A242="N/A"," ",IF(Pricetype4=2,MAX(C242,0),IF(OR(Pricetype4=1,Pricetype4=4),IF(C242=0,0,(EURO(C242,Strikeprice4,0,0,($AH242+IF(Smile=TRUE(),VLOOKUP(MAX(-5,Strikeprice4-C242),Volsmile,2),0)),($A242-DateToday)+15,IF(Pricetype4=1,1,0),0))),C242)))</f>
        <v> </v>
      </c>
      <c r="M242" s="318" t="str">
        <f aca="false">IF($A242="N/A"," ",IF(Pricetype4=2,MAX(D242,0),IF(OR(Pricetype4=1,Pricetype4=4),IF(D242=0,0,(EURO(D242,Strikeprice4,0,0,($AH242+IF(Smile=TRUE(),VLOOKUP(MAX(-5,Strikeprice4-D242),Volsmile,2),0)),($A242-DateToday)+15,IF(Pricetype4=1,1,0),0))),D242)))</f>
        <v> </v>
      </c>
      <c r="N242" s="318" t="str">
        <f aca="false">IF($A242="N/A"," ",IF(Pricetype4=2,MAX(E242,0),IF(OR(Pricetype4=1,Pricetype4=4),IF(E242=0,0,(EURO(E242,Strikeprice4,0,0,($AK242+IF(Smile=TRUE(),VLOOKUP(MAX(-5,Strikeprice4-E242),Volsmile,2),0)),($A242-DateToday)+15,IF(Pricetype4=1,1,0),0))),E242)))</f>
        <v> </v>
      </c>
      <c r="O242" s="318" t="str">
        <f aca="false">IF($A242="N/A"," ",IF(Pricetype4=2,MAX(F242,0),IF(OR(Pricetype4=1,Pricetype4=4),IF(F242=0,0,(EURO(F242,Strikeprice4,0,0,($AK242+IF(Smile=TRUE(),VLOOKUP(MAX(-5,Strikeprice4-F242),Volsmile,2),0)),($A242-DateToday)+15,IF(Pricetype4=1,1,0),0))),F242)))</f>
        <v> </v>
      </c>
      <c r="P242" s="318" t="str">
        <f aca="false">IF($A242="N/A"," ",IF(Pricetype4=2,MAX(G242,0),IF(OR(Pricetype4=1,Pricetype4=4),IF(G242=0,0,(EURO(G242,Strikeprice4,0,0,($AK242+IF(Smile=TRUE(),VLOOKUP(MAX(-5,Strikeprice4-G242),Volsmile,2),0)),($A242-DateToday)+15,IF(Pricetype4=1,1,0),0))),G242)))</f>
        <v> </v>
      </c>
      <c r="Q242" s="318" t="str">
        <f aca="false">IF($A242="N/A"," ",IF(Pricetype4=2,MAX(H242,0),IF(OR(Pricetype4=1,Pricetype4=4),IF(H242=0,0,(EURO(H242,Strikeprice4,0,0,($AK242+IF(Smile=TRUE(),VLOOKUP(MAX(-5,Strikeprice4-H242),Volsmile,2),0)),($A242-DateToday)+15,IF(Pricetype4=1,1,0),0))),H242)))</f>
        <v> </v>
      </c>
      <c r="R242" s="318" t="str">
        <f aca="false">IF($A242="N/A"," ",IF(Pricetype4=2,MAX(I242,0),IF(OR(Pricetype4=1,Pricetype4=4),IF(I242=0,0,(EURO(I242,Strikeprice4,0,0,($AK242+IF(Smile=TRUE(),VLOOKUP(MAX(-5,Strikeprice4-I242),Volsmile,2),0)),($A242-DateToday)+15,IF(Pricetype4=1,1,0),0))),I242)))</f>
        <v> </v>
      </c>
      <c r="S242" s="318" t="str">
        <f aca="false">IF($A242="N/A"," ",IF(Pricetype4=2,MAX(J242,0),IF(OR(Pricetype4=1,Pricetype4=4),IF(J242=0,0,(EURO(J242,Strikeprice4,0,0,($AK242+IF(Smile=TRUE(),VLOOKUP(MAX(-5,Strikeprice4-J242),Volsmile,2),0)),($A242-DateToday)+15,IF(Pricetype4=1,1,0),0))),J242)))</f>
        <v> </v>
      </c>
      <c r="T242" s="318" t="str">
        <f aca="false">IF($A242="N/A"," ",IF(Pricetype4=2,MAX(K242,0),IF(OR(Pricetype4=1,Pricetype4=4),IF(K242=0,0,(EURO(K242,Strikeprice4,0,0,($AK242+IF(Smile=TRUE(),VLOOKUP(MAX(-5,Strikeprice4-K242),Volsmile,2),0)),($A242-DateToday)+15,IF(Pricetype4=1,1,0),0))),K242)))</f>
        <v> </v>
      </c>
      <c r="U242" s="319" t="str">
        <f aca="false">IF($A242="N/A"," ",Volume4*$AM242)</f>
        <v> </v>
      </c>
      <c r="V242" s="320" t="str">
        <f aca="false">IF($A242="N/A"," ",$U242*(8*($BQ242))*L242)</f>
        <v> </v>
      </c>
      <c r="W242" s="320" t="str">
        <f aca="false">IF($A242="N/A"," ",$U242*(8*($BQ242))*M242)</f>
        <v> </v>
      </c>
      <c r="X242" s="320" t="str">
        <f aca="false">IF($A242="N/A"," ",$U242*(8*($BQ242))*N242)</f>
        <v> </v>
      </c>
      <c r="Y242" s="320" t="str">
        <f aca="false">IF($A242="N/A"," ",$U242*(8*($BR242))*O242)</f>
        <v> </v>
      </c>
      <c r="Z242" s="320" t="str">
        <f aca="false">IF($A242="N/A"," ",$U242*(8*($BR242))*P242)</f>
        <v> </v>
      </c>
      <c r="AA242" s="320" t="str">
        <f aca="false">IF($A242="N/A"," ",$U242*(8*($BR242))*Q242)</f>
        <v> </v>
      </c>
      <c r="AB242" s="320" t="str">
        <f aca="false">IF($A242="N/A"," ",$U242*(8*($BS242))*R242)</f>
        <v> </v>
      </c>
      <c r="AC242" s="320" t="str">
        <f aca="false">IF($A242="N/A"," ",$U242*(8*($BS242))*S242)</f>
        <v> </v>
      </c>
      <c r="AD242" s="320" t="str">
        <f aca="false">IF($A242="N/A"," ",$U242*(8*($BS242))*T242)</f>
        <v> </v>
      </c>
      <c r="AE242" s="320" t="str">
        <f aca="false">IF($A242="N/A"," ",SUM(V242:AD242))</f>
        <v> </v>
      </c>
      <c r="AF242" s="321" t="str">
        <f aca="false">IF(A242="N/A"," ",(VLOOKUP(A242,PowerVolTable,(IF(VolBMO4=2,7,IF(VolBMO4=1,6,8))),FALSE())))</f>
        <v> </v>
      </c>
      <c r="AG242" s="321" t="str">
        <f aca="false">IF(A242="N/A"," ",(VLOOKUP(A242,IntraPowerVol,(IF(VolBMO4=2,3,IF(VolBMO4=1,2,4))),FALSE())*VLOOKUP(MONTH($A242),Volscale,2)))</f>
        <v> </v>
      </c>
      <c r="AH242" s="321" t="str">
        <f aca="false">IF($A242="N/A"," ",IF(VolType4=1,AG242,AF242))</f>
        <v> </v>
      </c>
      <c r="AI242" s="321" t="str">
        <f aca="false">IF($A242="N/A"," ",(VLOOKUP($A242,OffPwrVolTable,(IF(VolBMO4=2,7,IF(VolBMO4=1,6,8))),FALSE())))</f>
        <v> </v>
      </c>
      <c r="AJ242" s="321" t="str">
        <f aca="false">IF($A242="N/A"," ",(VLOOKUP($A242,OffPwrVolTable,(IF(VolBMO4=2,3,IF(VolBMO4=1,2,4))),FALSE())*VLOOKUP(MONTH($A242),Volscale,2)))</f>
        <v> </v>
      </c>
      <c r="AK242" s="321" t="str">
        <f aca="false">IF($A242="N/A"," ",IF(VolType4=1,AJ242,AI242))</f>
        <v> </v>
      </c>
      <c r="AL242" s="321" t="str">
        <f aca="false">IF($A242="N/A"," ",IF(PV=1,0,'Pricing Inputs4'!R275))</f>
        <v> </v>
      </c>
      <c r="AM242" s="323" t="str">
        <f aca="false">IF($A242="N/A"," ",(1+AL242/2)^(-2*((EOMONTH(A242,0)+20)-DateToday)/365.25))</f>
        <v> </v>
      </c>
      <c r="BQ242" s="0" t="str">
        <f aca="false">IF($A242="N/A"," ",(VLOOKUP($A242,NumberofDaysTable,2)))</f>
        <v> </v>
      </c>
      <c r="BR242" s="0" t="str">
        <f aca="false">IF($A242="N/A"," ",(VLOOKUP($A242,NumberofDaysTable,3)))</f>
        <v> </v>
      </c>
      <c r="BS242" s="0" t="str">
        <f aca="false">IF($A242="N/A"," ",(VLOOKUP($A242,NumberofDaysTable,4)))</f>
        <v> </v>
      </c>
    </row>
    <row r="243" customFormat="false" ht="12.75" hidden="false" customHeight="false" outlineLevel="0" collapsed="false">
      <c r="A243" s="315" t="str">
        <f aca="false">IF(A242="N/A","N/A",IF(EDATE(A242,1)&gt;Inputs!$R$5,"N/A",EDATE(A242,1)))</f>
        <v>N/A</v>
      </c>
      <c r="B243" s="316" t="str">
        <f aca="false">IF(A243="N/A"," ",YEAR(A243))</f>
        <v> </v>
      </c>
      <c r="C243" s="317" t="str">
        <f aca="false">IF($A243="N/A"," ",IF(Dayrun4=10,0,IF(Scaler4=1,(VLOOKUP(A243,ScaledPrice4,4)),(VLOOKUP(A243,ScaledPrice4,2)))))</f>
        <v> </v>
      </c>
      <c r="D243" s="317" t="str">
        <f aca="false">IF(A243="N/A"," ",IF(Dayrun4&gt;=7,0,IF(Scaler4=2,VLOOKUP(A243,ScaledPrice4,2),(VLOOKUP(A243,ScaledPrice4,2))*(2-(VLOOKUP(A243,ScaledPrice4,3))))))</f>
        <v> </v>
      </c>
      <c r="E243" s="317" t="str">
        <f aca="false">IF($A243="N/A"," ",IF(AND(Dayrun4&gt;=4,Dayrun4&lt;=9),0,VLOOKUP($A243,ScaledPrice4,9)))</f>
        <v> </v>
      </c>
      <c r="F243" s="317" t="str">
        <f aca="false">IF(A243="N/A"," ",IF(OR(Dayrun4=2,Dayrun4=3,Dayrun4=5,Dayrun4=6,Dayrun4=8,Dayrun4=9),VLOOKUP(A243,ScaledPrice4,IF(Scaler4=1,6,5)),0))</f>
        <v> </v>
      </c>
      <c r="G243" s="317" t="str">
        <f aca="false">IF(A243="N/A"," ",IF(OR(Dayrun4=2,Dayrun4=3,Dayrun4=5,Dayrun4=6),IF(Scaler4=2,F243,(VLOOKUP(A243,ScaledPrice4,5))*(2-(VLOOKUP(A243,ScaledPrice4,3)))),0))</f>
        <v> </v>
      </c>
      <c r="H243" s="317" t="str">
        <f aca="false">IF($A243="N/A"," ",IF(OR(Dayrun4=2,Dayrun4=3,Dayrun4=10),VLOOKUP($A243,ScaledPrice4,9),0))</f>
        <v> </v>
      </c>
      <c r="I243" s="317" t="str">
        <f aca="false">IF(A243="N/A"," ",IF(OR(Dayrun4=3,Dayrun4=6,Dayrun4=9),(VLOOKUP(A243,ScaledPrice4,IF(Scaler4=2,7,8))),0))</f>
        <v> </v>
      </c>
      <c r="J243" s="317" t="str">
        <f aca="false">IF(A243="N/A"," ",IF(OR(Dayrun4=3,Dayrun4=6),IF(Scaler4=2,I243,(VLOOKUP(A243,ScaledPrice4,7))*(2-(VLOOKUP(A243,ScaledPrice4,3)))),0))</f>
        <v> </v>
      </c>
      <c r="K243" s="317" t="str">
        <f aca="false">IF($A243="N/A"," ",IF(OR(Dayrun4=3,Dayrun4=10),VLOOKUP($A243,ScaledPrice4,9),0))</f>
        <v> </v>
      </c>
      <c r="L243" s="318" t="str">
        <f aca="false">IF($A243="N/A"," ",IF(Pricetype4=2,MAX(C243,0),IF(OR(Pricetype4=1,Pricetype4=4),IF(C243=0,0,(EURO(C243,Strikeprice4,0,0,($AH243+IF(Smile=TRUE(),VLOOKUP(MAX(-5,Strikeprice4-C243),Volsmile,2),0)),($A243-DateToday)+15,IF(Pricetype4=1,1,0),0))),C243)))</f>
        <v> </v>
      </c>
      <c r="M243" s="318" t="str">
        <f aca="false">IF($A243="N/A"," ",IF(Pricetype4=2,MAX(D243,0),IF(OR(Pricetype4=1,Pricetype4=4),IF(D243=0,0,(EURO(D243,Strikeprice4,0,0,($AH243+IF(Smile=TRUE(),VLOOKUP(MAX(-5,Strikeprice4-D243),Volsmile,2),0)),($A243-DateToday)+15,IF(Pricetype4=1,1,0),0))),D243)))</f>
        <v> </v>
      </c>
      <c r="N243" s="318" t="str">
        <f aca="false">IF($A243="N/A"," ",IF(Pricetype4=2,MAX(E243,0),IF(OR(Pricetype4=1,Pricetype4=4),IF(E243=0,0,(EURO(E243,Strikeprice4,0,0,($AK243+IF(Smile=TRUE(),VLOOKUP(MAX(-5,Strikeprice4-E243),Volsmile,2),0)),($A243-DateToday)+15,IF(Pricetype4=1,1,0),0))),E243)))</f>
        <v> </v>
      </c>
      <c r="O243" s="318" t="str">
        <f aca="false">IF($A243="N/A"," ",IF(Pricetype4=2,MAX(F243,0),IF(OR(Pricetype4=1,Pricetype4=4),IF(F243=0,0,(EURO(F243,Strikeprice4,0,0,($AK243+IF(Smile=TRUE(),VLOOKUP(MAX(-5,Strikeprice4-F243),Volsmile,2),0)),($A243-DateToday)+15,IF(Pricetype4=1,1,0),0))),F243)))</f>
        <v> </v>
      </c>
      <c r="P243" s="318" t="str">
        <f aca="false">IF($A243="N/A"," ",IF(Pricetype4=2,MAX(G243,0),IF(OR(Pricetype4=1,Pricetype4=4),IF(G243=0,0,(EURO(G243,Strikeprice4,0,0,($AK243+IF(Smile=TRUE(),VLOOKUP(MAX(-5,Strikeprice4-G243),Volsmile,2),0)),($A243-DateToday)+15,IF(Pricetype4=1,1,0),0))),G243)))</f>
        <v> </v>
      </c>
      <c r="Q243" s="318" t="str">
        <f aca="false">IF($A243="N/A"," ",IF(Pricetype4=2,MAX(H243,0),IF(OR(Pricetype4=1,Pricetype4=4),IF(H243=0,0,(EURO(H243,Strikeprice4,0,0,($AK243+IF(Smile=TRUE(),VLOOKUP(MAX(-5,Strikeprice4-H243),Volsmile,2),0)),($A243-DateToday)+15,IF(Pricetype4=1,1,0),0))),H243)))</f>
        <v> </v>
      </c>
      <c r="R243" s="318" t="str">
        <f aca="false">IF($A243="N/A"," ",IF(Pricetype4=2,MAX(I243,0),IF(OR(Pricetype4=1,Pricetype4=4),IF(I243=0,0,(EURO(I243,Strikeprice4,0,0,($AK243+IF(Smile=TRUE(),VLOOKUP(MAX(-5,Strikeprice4-I243),Volsmile,2),0)),($A243-DateToday)+15,IF(Pricetype4=1,1,0),0))),I243)))</f>
        <v> </v>
      </c>
      <c r="S243" s="318" t="str">
        <f aca="false">IF($A243="N/A"," ",IF(Pricetype4=2,MAX(J243,0),IF(OR(Pricetype4=1,Pricetype4=4),IF(J243=0,0,(EURO(J243,Strikeprice4,0,0,($AK243+IF(Smile=TRUE(),VLOOKUP(MAX(-5,Strikeprice4-J243),Volsmile,2),0)),($A243-DateToday)+15,IF(Pricetype4=1,1,0),0))),J243)))</f>
        <v> </v>
      </c>
      <c r="T243" s="318" t="str">
        <f aca="false">IF($A243="N/A"," ",IF(Pricetype4=2,MAX(K243,0),IF(OR(Pricetype4=1,Pricetype4=4),IF(K243=0,0,(EURO(K243,Strikeprice4,0,0,($AK243+IF(Smile=TRUE(),VLOOKUP(MAX(-5,Strikeprice4-K243),Volsmile,2),0)),($A243-DateToday)+15,IF(Pricetype4=1,1,0),0))),K243)))</f>
        <v> </v>
      </c>
      <c r="U243" s="319" t="str">
        <f aca="false">IF($A243="N/A"," ",Volume4*$AM243)</f>
        <v> </v>
      </c>
      <c r="V243" s="320" t="str">
        <f aca="false">IF($A243="N/A"," ",$U243*(8*($BQ243))*L243)</f>
        <v> </v>
      </c>
      <c r="W243" s="320" t="str">
        <f aca="false">IF($A243="N/A"," ",$U243*(8*($BQ243))*M243)</f>
        <v> </v>
      </c>
      <c r="X243" s="320" t="str">
        <f aca="false">IF($A243="N/A"," ",$U243*(8*($BQ243))*N243)</f>
        <v> </v>
      </c>
      <c r="Y243" s="320" t="str">
        <f aca="false">IF($A243="N/A"," ",$U243*(8*($BR243))*O243)</f>
        <v> </v>
      </c>
      <c r="Z243" s="320" t="str">
        <f aca="false">IF($A243="N/A"," ",$U243*(8*($BR243))*P243)</f>
        <v> </v>
      </c>
      <c r="AA243" s="320" t="str">
        <f aca="false">IF($A243="N/A"," ",$U243*(8*($BR243))*Q243)</f>
        <v> </v>
      </c>
      <c r="AB243" s="320" t="str">
        <f aca="false">IF($A243="N/A"," ",$U243*(8*($BS243))*R243)</f>
        <v> </v>
      </c>
      <c r="AC243" s="320" t="str">
        <f aca="false">IF($A243="N/A"," ",$U243*(8*($BS243))*S243)</f>
        <v> </v>
      </c>
      <c r="AD243" s="320" t="str">
        <f aca="false">IF($A243="N/A"," ",$U243*(8*($BS243))*T243)</f>
        <v> </v>
      </c>
      <c r="AE243" s="320" t="str">
        <f aca="false">IF($A243="N/A"," ",SUM(V243:AD243))</f>
        <v> </v>
      </c>
      <c r="AF243" s="321" t="str">
        <f aca="false">IF(A243="N/A"," ",(VLOOKUP(A243,PowerVolTable,(IF(VolBMO4=2,7,IF(VolBMO4=1,6,8))),FALSE())))</f>
        <v> </v>
      </c>
      <c r="AG243" s="321" t="str">
        <f aca="false">IF(A243="N/A"," ",(VLOOKUP(A243,IntraPowerVol,(IF(VolBMO4=2,3,IF(VolBMO4=1,2,4))),FALSE())*VLOOKUP(MONTH($A243),Volscale,2)))</f>
        <v> </v>
      </c>
      <c r="AH243" s="321" t="str">
        <f aca="false">IF($A243="N/A"," ",IF(VolType4=1,AG243,AF243))</f>
        <v> </v>
      </c>
      <c r="AI243" s="321" t="str">
        <f aca="false">IF($A243="N/A"," ",(VLOOKUP($A243,OffPwrVolTable,(IF(VolBMO4=2,7,IF(VolBMO4=1,6,8))),FALSE())))</f>
        <v> </v>
      </c>
      <c r="AJ243" s="321" t="str">
        <f aca="false">IF($A243="N/A"," ",(VLOOKUP($A243,OffPwrVolTable,(IF(VolBMO4=2,3,IF(VolBMO4=1,2,4))),FALSE())*VLOOKUP(MONTH($A243),Volscale,2)))</f>
        <v> </v>
      </c>
      <c r="AK243" s="321" t="str">
        <f aca="false">IF($A243="N/A"," ",IF(VolType4=1,AJ243,AI243))</f>
        <v> </v>
      </c>
      <c r="AL243" s="321" t="str">
        <f aca="false">IF($A243="N/A"," ",IF(PV=1,0,'Pricing Inputs4'!R276))</f>
        <v> </v>
      </c>
      <c r="AM243" s="323" t="str">
        <f aca="false">IF($A243="N/A"," ",(1+AL243/2)^(-2*((EOMONTH(A243,0)+20)-DateToday)/365.25))</f>
        <v> </v>
      </c>
      <c r="BQ243" s="0" t="str">
        <f aca="false">IF($A243="N/A"," ",(VLOOKUP($A243,NumberofDaysTable,2)))</f>
        <v> </v>
      </c>
      <c r="BR243" s="0" t="str">
        <f aca="false">IF($A243="N/A"," ",(VLOOKUP($A243,NumberofDaysTable,3)))</f>
        <v> </v>
      </c>
      <c r="BS243" s="0" t="str">
        <f aca="false">IF($A243="N/A"," ",(VLOOKUP($A243,NumberofDaysTable,4)))</f>
        <v> </v>
      </c>
    </row>
    <row r="244" customFormat="false" ht="12.75" hidden="false" customHeight="false" outlineLevel="0" collapsed="false">
      <c r="A244" s="315" t="str">
        <f aca="false">IF(A243="N/A","N/A",IF(EDATE(A243,1)&gt;Inputs!$R$5,"N/A",EDATE(A243,1)))</f>
        <v>N/A</v>
      </c>
      <c r="B244" s="316" t="str">
        <f aca="false">IF(A244="N/A"," ",YEAR(A244))</f>
        <v> </v>
      </c>
      <c r="C244" s="317" t="str">
        <f aca="false">IF($A244="N/A"," ",IF(Dayrun4=10,0,IF(Scaler4=1,(VLOOKUP(A244,ScaledPrice4,4)),(VLOOKUP(A244,ScaledPrice4,2)))))</f>
        <v> </v>
      </c>
      <c r="D244" s="317" t="str">
        <f aca="false">IF(A244="N/A"," ",IF(Dayrun4&gt;=7,0,IF(Scaler4=2,VLOOKUP(A244,ScaledPrice4,2),(VLOOKUP(A244,ScaledPrice4,2))*(2-(VLOOKUP(A244,ScaledPrice4,3))))))</f>
        <v> </v>
      </c>
      <c r="E244" s="317" t="str">
        <f aca="false">IF($A244="N/A"," ",IF(AND(Dayrun4&gt;=4,Dayrun4&lt;=9),0,VLOOKUP($A244,ScaledPrice4,9)))</f>
        <v> </v>
      </c>
      <c r="F244" s="317" t="str">
        <f aca="false">IF(A244="N/A"," ",IF(OR(Dayrun4=2,Dayrun4=3,Dayrun4=5,Dayrun4=6,Dayrun4=8,Dayrun4=9),VLOOKUP(A244,ScaledPrice4,IF(Scaler4=1,6,5)),0))</f>
        <v> </v>
      </c>
      <c r="G244" s="317" t="str">
        <f aca="false">IF(A244="N/A"," ",IF(OR(Dayrun4=2,Dayrun4=3,Dayrun4=5,Dayrun4=6),IF(Scaler4=2,F244,(VLOOKUP(A244,ScaledPrice4,5))*(2-(VLOOKUP(A244,ScaledPrice4,3)))),0))</f>
        <v> </v>
      </c>
      <c r="H244" s="317" t="str">
        <f aca="false">IF($A244="N/A"," ",IF(OR(Dayrun4=2,Dayrun4=3,Dayrun4=10),VLOOKUP($A244,ScaledPrice4,9),0))</f>
        <v> </v>
      </c>
      <c r="I244" s="317" t="str">
        <f aca="false">IF(A244="N/A"," ",IF(OR(Dayrun4=3,Dayrun4=6,Dayrun4=9),(VLOOKUP(A244,ScaledPrice4,IF(Scaler4=2,7,8))),0))</f>
        <v> </v>
      </c>
      <c r="J244" s="317" t="str">
        <f aca="false">IF(A244="N/A"," ",IF(OR(Dayrun4=3,Dayrun4=6),IF(Scaler4=2,I244,(VLOOKUP(A244,ScaledPrice4,7))*(2-(VLOOKUP(A244,ScaledPrice4,3)))),0))</f>
        <v> </v>
      </c>
      <c r="K244" s="317" t="str">
        <f aca="false">IF($A244="N/A"," ",IF(OR(Dayrun4=3,Dayrun4=10),VLOOKUP($A244,ScaledPrice4,9),0))</f>
        <v> </v>
      </c>
      <c r="L244" s="318" t="str">
        <f aca="false">IF($A244="N/A"," ",IF(Pricetype4=2,MAX(C244,0),IF(OR(Pricetype4=1,Pricetype4=4),IF(C244=0,0,(EURO(C244,Strikeprice4,0,0,($AH244+IF(Smile=TRUE(),VLOOKUP(MAX(-5,Strikeprice4-C244),Volsmile,2),0)),($A244-DateToday)+15,IF(Pricetype4=1,1,0),0))),C244)))</f>
        <v> </v>
      </c>
      <c r="M244" s="318" t="str">
        <f aca="false">IF($A244="N/A"," ",IF(Pricetype4=2,MAX(D244,0),IF(OR(Pricetype4=1,Pricetype4=4),IF(D244=0,0,(EURO(D244,Strikeprice4,0,0,($AH244+IF(Smile=TRUE(),VLOOKUP(MAX(-5,Strikeprice4-D244),Volsmile,2),0)),($A244-DateToday)+15,IF(Pricetype4=1,1,0),0))),D244)))</f>
        <v> </v>
      </c>
      <c r="N244" s="318" t="str">
        <f aca="false">IF($A244="N/A"," ",IF(Pricetype4=2,MAX(E244,0),IF(OR(Pricetype4=1,Pricetype4=4),IF(E244=0,0,(EURO(E244,Strikeprice4,0,0,($AK244+IF(Smile=TRUE(),VLOOKUP(MAX(-5,Strikeprice4-E244),Volsmile,2),0)),($A244-DateToday)+15,IF(Pricetype4=1,1,0),0))),E244)))</f>
        <v> </v>
      </c>
      <c r="O244" s="318" t="str">
        <f aca="false">IF($A244="N/A"," ",IF(Pricetype4=2,MAX(F244,0),IF(OR(Pricetype4=1,Pricetype4=4),IF(F244=0,0,(EURO(F244,Strikeprice4,0,0,($AK244+IF(Smile=TRUE(),VLOOKUP(MAX(-5,Strikeprice4-F244),Volsmile,2),0)),($A244-DateToday)+15,IF(Pricetype4=1,1,0),0))),F244)))</f>
        <v> </v>
      </c>
      <c r="P244" s="318" t="str">
        <f aca="false">IF($A244="N/A"," ",IF(Pricetype4=2,MAX(G244,0),IF(OR(Pricetype4=1,Pricetype4=4),IF(G244=0,0,(EURO(G244,Strikeprice4,0,0,($AK244+IF(Smile=TRUE(),VLOOKUP(MAX(-5,Strikeprice4-G244),Volsmile,2),0)),($A244-DateToday)+15,IF(Pricetype4=1,1,0),0))),G244)))</f>
        <v> </v>
      </c>
      <c r="Q244" s="318" t="str">
        <f aca="false">IF($A244="N/A"," ",IF(Pricetype4=2,MAX(H244,0),IF(OR(Pricetype4=1,Pricetype4=4),IF(H244=0,0,(EURO(H244,Strikeprice4,0,0,($AK244+IF(Smile=TRUE(),VLOOKUP(MAX(-5,Strikeprice4-H244),Volsmile,2),0)),($A244-DateToday)+15,IF(Pricetype4=1,1,0),0))),H244)))</f>
        <v> </v>
      </c>
      <c r="R244" s="318" t="str">
        <f aca="false">IF($A244="N/A"," ",IF(Pricetype4=2,MAX(I244,0),IF(OR(Pricetype4=1,Pricetype4=4),IF(I244=0,0,(EURO(I244,Strikeprice4,0,0,($AK244+IF(Smile=TRUE(),VLOOKUP(MAX(-5,Strikeprice4-I244),Volsmile,2),0)),($A244-DateToday)+15,IF(Pricetype4=1,1,0),0))),I244)))</f>
        <v> </v>
      </c>
      <c r="S244" s="318" t="str">
        <f aca="false">IF($A244="N/A"," ",IF(Pricetype4=2,MAX(J244,0),IF(OR(Pricetype4=1,Pricetype4=4),IF(J244=0,0,(EURO(J244,Strikeprice4,0,0,($AK244+IF(Smile=TRUE(),VLOOKUP(MAX(-5,Strikeprice4-J244),Volsmile,2),0)),($A244-DateToday)+15,IF(Pricetype4=1,1,0),0))),J244)))</f>
        <v> </v>
      </c>
      <c r="T244" s="318" t="str">
        <f aca="false">IF($A244="N/A"," ",IF(Pricetype4=2,MAX(K244,0),IF(OR(Pricetype4=1,Pricetype4=4),IF(K244=0,0,(EURO(K244,Strikeprice4,0,0,($AK244+IF(Smile=TRUE(),VLOOKUP(MAX(-5,Strikeprice4-K244),Volsmile,2),0)),($A244-DateToday)+15,IF(Pricetype4=1,1,0),0))),K244)))</f>
        <v> </v>
      </c>
      <c r="U244" s="319" t="str">
        <f aca="false">IF($A244="N/A"," ",Volume4*$AM244)</f>
        <v> </v>
      </c>
      <c r="V244" s="320" t="str">
        <f aca="false">IF($A244="N/A"," ",$U244*(8*($BQ244))*L244)</f>
        <v> </v>
      </c>
      <c r="W244" s="320" t="str">
        <f aca="false">IF($A244="N/A"," ",$U244*(8*($BQ244))*M244)</f>
        <v> </v>
      </c>
      <c r="X244" s="320" t="str">
        <f aca="false">IF($A244="N/A"," ",$U244*(8*($BQ244))*N244)</f>
        <v> </v>
      </c>
      <c r="Y244" s="320" t="str">
        <f aca="false">IF($A244="N/A"," ",$U244*(8*($BR244))*O244)</f>
        <v> </v>
      </c>
      <c r="Z244" s="320" t="str">
        <f aca="false">IF($A244="N/A"," ",$U244*(8*($BR244))*P244)</f>
        <v> </v>
      </c>
      <c r="AA244" s="320" t="str">
        <f aca="false">IF($A244="N/A"," ",$U244*(8*($BR244))*Q244)</f>
        <v> </v>
      </c>
      <c r="AB244" s="320" t="str">
        <f aca="false">IF($A244="N/A"," ",$U244*(8*($BS244))*R244)</f>
        <v> </v>
      </c>
      <c r="AC244" s="320" t="str">
        <f aca="false">IF($A244="N/A"," ",$U244*(8*($BS244))*S244)</f>
        <v> </v>
      </c>
      <c r="AD244" s="320" t="str">
        <f aca="false">IF($A244="N/A"," ",$U244*(8*($BS244))*T244)</f>
        <v> </v>
      </c>
      <c r="AE244" s="320" t="str">
        <f aca="false">IF($A244="N/A"," ",SUM(V244:AD244))</f>
        <v> </v>
      </c>
      <c r="AF244" s="321" t="str">
        <f aca="false">IF(A244="N/A"," ",(VLOOKUP(A244,PowerVolTable,(IF(VolBMO4=2,7,IF(VolBMO4=1,6,8))),FALSE())))</f>
        <v> </v>
      </c>
      <c r="AG244" s="321" t="str">
        <f aca="false">IF(A244="N/A"," ",(VLOOKUP(A244,IntraPowerVol,(IF(VolBMO4=2,3,IF(VolBMO4=1,2,4))),FALSE())*VLOOKUP(MONTH($A244),Volscale,2)))</f>
        <v> </v>
      </c>
      <c r="AH244" s="321" t="str">
        <f aca="false">IF($A244="N/A"," ",IF(VolType4=1,AG244,AF244))</f>
        <v> </v>
      </c>
      <c r="AI244" s="321" t="str">
        <f aca="false">IF($A244="N/A"," ",(VLOOKUP($A244,OffPwrVolTable,(IF(VolBMO4=2,7,IF(VolBMO4=1,6,8))),FALSE())))</f>
        <v> </v>
      </c>
      <c r="AJ244" s="321" t="str">
        <f aca="false">IF($A244="N/A"," ",(VLOOKUP($A244,OffPwrVolTable,(IF(VolBMO4=2,3,IF(VolBMO4=1,2,4))),FALSE())*VLOOKUP(MONTH($A244),Volscale,2)))</f>
        <v> </v>
      </c>
      <c r="AK244" s="321" t="str">
        <f aca="false">IF($A244="N/A"," ",IF(VolType4=1,AJ244,AI244))</f>
        <v> </v>
      </c>
      <c r="AL244" s="321" t="str">
        <f aca="false">IF($A244="N/A"," ",IF(PV=1,0,'Pricing Inputs4'!R277))</f>
        <v> </v>
      </c>
      <c r="AM244" s="323" t="str">
        <f aca="false">IF($A244="N/A"," ",(1+AL244/2)^(-2*((EOMONTH(A244,0)+20)-DateToday)/365.25))</f>
        <v> </v>
      </c>
      <c r="BQ244" s="0" t="str">
        <f aca="false">IF($A244="N/A"," ",(VLOOKUP($A244,NumberofDaysTable,2)))</f>
        <v> </v>
      </c>
      <c r="BR244" s="0" t="str">
        <f aca="false">IF($A244="N/A"," ",(VLOOKUP($A244,NumberofDaysTable,3)))</f>
        <v> </v>
      </c>
      <c r="BS244" s="0" t="str">
        <f aca="false">IF($A244="N/A"," ",(VLOOKUP($A244,NumberofDaysTable,4)))</f>
        <v> </v>
      </c>
    </row>
    <row r="245" customFormat="false" ht="12.75" hidden="false" customHeight="false" outlineLevel="0" collapsed="false">
      <c r="A245" s="315" t="str">
        <f aca="false">IF(A244="N/A","N/A",IF(EDATE(A244,1)&gt;Inputs!$R$5,"N/A",EDATE(A244,1)))</f>
        <v>N/A</v>
      </c>
      <c r="B245" s="316" t="str">
        <f aca="false">IF(A245="N/A"," ",YEAR(A245))</f>
        <v> </v>
      </c>
      <c r="C245" s="317" t="str">
        <f aca="false">IF($A245="N/A"," ",IF(Dayrun4=10,0,IF(Scaler4=1,(VLOOKUP(A245,ScaledPrice4,4)),(VLOOKUP(A245,ScaledPrice4,2)))))</f>
        <v> </v>
      </c>
      <c r="D245" s="317" t="str">
        <f aca="false">IF(A245="N/A"," ",IF(Dayrun4&gt;=7,0,IF(Scaler4=2,VLOOKUP(A245,ScaledPrice4,2),(VLOOKUP(A245,ScaledPrice4,2))*(2-(VLOOKUP(A245,ScaledPrice4,3))))))</f>
        <v> </v>
      </c>
      <c r="E245" s="317" t="str">
        <f aca="false">IF($A245="N/A"," ",IF(AND(Dayrun4&gt;=4,Dayrun4&lt;=9),0,VLOOKUP($A245,ScaledPrice4,9)))</f>
        <v> </v>
      </c>
      <c r="F245" s="317" t="str">
        <f aca="false">IF(A245="N/A"," ",IF(OR(Dayrun4=2,Dayrun4=3,Dayrun4=5,Dayrun4=6,Dayrun4=8,Dayrun4=9),VLOOKUP(A245,ScaledPrice4,IF(Scaler4=1,6,5)),0))</f>
        <v> </v>
      </c>
      <c r="G245" s="317" t="str">
        <f aca="false">IF(A245="N/A"," ",IF(OR(Dayrun4=2,Dayrun4=3,Dayrun4=5,Dayrun4=6),IF(Scaler4=2,F245,(VLOOKUP(A245,ScaledPrice4,5))*(2-(VLOOKUP(A245,ScaledPrice4,3)))),0))</f>
        <v> </v>
      </c>
      <c r="H245" s="317" t="str">
        <f aca="false">IF($A245="N/A"," ",IF(OR(Dayrun4=2,Dayrun4=3,Dayrun4=10),VLOOKUP($A245,ScaledPrice4,9),0))</f>
        <v> </v>
      </c>
      <c r="I245" s="317" t="str">
        <f aca="false">IF(A245="N/A"," ",IF(OR(Dayrun4=3,Dayrun4=6,Dayrun4=9),(VLOOKUP(A245,ScaledPrice4,IF(Scaler4=2,7,8))),0))</f>
        <v> </v>
      </c>
      <c r="J245" s="317" t="str">
        <f aca="false">IF(A245="N/A"," ",IF(OR(Dayrun4=3,Dayrun4=6),IF(Scaler4=2,I245,(VLOOKUP(A245,ScaledPrice4,7))*(2-(VLOOKUP(A245,ScaledPrice4,3)))),0))</f>
        <v> </v>
      </c>
      <c r="K245" s="317" t="str">
        <f aca="false">IF($A245="N/A"," ",IF(OR(Dayrun4=3,Dayrun4=10),VLOOKUP($A245,ScaledPrice4,9),0))</f>
        <v> </v>
      </c>
      <c r="L245" s="318" t="str">
        <f aca="false">IF($A245="N/A"," ",IF(Pricetype4=2,MAX(C245,0),IF(OR(Pricetype4=1,Pricetype4=4),IF(C245=0,0,(EURO(C245,Strikeprice4,0,0,($AH245+IF(Smile=TRUE(),VLOOKUP(MAX(-5,Strikeprice4-C245),Volsmile,2),0)),($A245-DateToday)+15,IF(Pricetype4=1,1,0),0))),C245)))</f>
        <v> </v>
      </c>
      <c r="M245" s="318" t="str">
        <f aca="false">IF($A245="N/A"," ",IF(Pricetype4=2,MAX(D245,0),IF(OR(Pricetype4=1,Pricetype4=4),IF(D245=0,0,(EURO(D245,Strikeprice4,0,0,($AH245+IF(Smile=TRUE(),VLOOKUP(MAX(-5,Strikeprice4-D245),Volsmile,2),0)),($A245-DateToday)+15,IF(Pricetype4=1,1,0),0))),D245)))</f>
        <v> </v>
      </c>
      <c r="N245" s="318" t="str">
        <f aca="false">IF($A245="N/A"," ",IF(Pricetype4=2,MAX(E245,0),IF(OR(Pricetype4=1,Pricetype4=4),IF(E245=0,0,(EURO(E245,Strikeprice4,0,0,($AK245+IF(Smile=TRUE(),VLOOKUP(MAX(-5,Strikeprice4-E245),Volsmile,2),0)),($A245-DateToday)+15,IF(Pricetype4=1,1,0),0))),E245)))</f>
        <v> </v>
      </c>
      <c r="O245" s="318" t="str">
        <f aca="false">IF($A245="N/A"," ",IF(Pricetype4=2,MAX(F245,0),IF(OR(Pricetype4=1,Pricetype4=4),IF(F245=0,0,(EURO(F245,Strikeprice4,0,0,($AK245+IF(Smile=TRUE(),VLOOKUP(MAX(-5,Strikeprice4-F245),Volsmile,2),0)),($A245-DateToday)+15,IF(Pricetype4=1,1,0),0))),F245)))</f>
        <v> </v>
      </c>
      <c r="P245" s="318" t="str">
        <f aca="false">IF($A245="N/A"," ",IF(Pricetype4=2,MAX(G245,0),IF(OR(Pricetype4=1,Pricetype4=4),IF(G245=0,0,(EURO(G245,Strikeprice4,0,0,($AK245+IF(Smile=TRUE(),VLOOKUP(MAX(-5,Strikeprice4-G245),Volsmile,2),0)),($A245-DateToday)+15,IF(Pricetype4=1,1,0),0))),G245)))</f>
        <v> </v>
      </c>
      <c r="Q245" s="318" t="str">
        <f aca="false">IF($A245="N/A"," ",IF(Pricetype4=2,MAX(H245,0),IF(OR(Pricetype4=1,Pricetype4=4),IF(H245=0,0,(EURO(H245,Strikeprice4,0,0,($AK245+IF(Smile=TRUE(),VLOOKUP(MAX(-5,Strikeprice4-H245),Volsmile,2),0)),($A245-DateToday)+15,IF(Pricetype4=1,1,0),0))),H245)))</f>
        <v> </v>
      </c>
      <c r="R245" s="318" t="str">
        <f aca="false">IF($A245="N/A"," ",IF(Pricetype4=2,MAX(I245,0),IF(OR(Pricetype4=1,Pricetype4=4),IF(I245=0,0,(EURO(I245,Strikeprice4,0,0,($AK245+IF(Smile=TRUE(),VLOOKUP(MAX(-5,Strikeprice4-I245),Volsmile,2),0)),($A245-DateToday)+15,IF(Pricetype4=1,1,0),0))),I245)))</f>
        <v> </v>
      </c>
      <c r="S245" s="318" t="str">
        <f aca="false">IF($A245="N/A"," ",IF(Pricetype4=2,MAX(J245,0),IF(OR(Pricetype4=1,Pricetype4=4),IF(J245=0,0,(EURO(J245,Strikeprice4,0,0,($AK245+IF(Smile=TRUE(),VLOOKUP(MAX(-5,Strikeprice4-J245),Volsmile,2),0)),($A245-DateToday)+15,IF(Pricetype4=1,1,0),0))),J245)))</f>
        <v> </v>
      </c>
      <c r="T245" s="318" t="str">
        <f aca="false">IF($A245="N/A"," ",IF(Pricetype4=2,MAX(K245,0),IF(OR(Pricetype4=1,Pricetype4=4),IF(K245=0,0,(EURO(K245,Strikeprice4,0,0,($AK245+IF(Smile=TRUE(),VLOOKUP(MAX(-5,Strikeprice4-K245),Volsmile,2),0)),($A245-DateToday)+15,IF(Pricetype4=1,1,0),0))),K245)))</f>
        <v> </v>
      </c>
      <c r="U245" s="319" t="str">
        <f aca="false">IF($A245="N/A"," ",Volume4*$AM245)</f>
        <v> </v>
      </c>
      <c r="V245" s="320" t="str">
        <f aca="false">IF($A245="N/A"," ",$U245*(8*($BQ245))*L245)</f>
        <v> </v>
      </c>
      <c r="W245" s="320" t="str">
        <f aca="false">IF($A245="N/A"," ",$U245*(8*($BQ245))*M245)</f>
        <v> </v>
      </c>
      <c r="X245" s="320" t="str">
        <f aca="false">IF($A245="N/A"," ",$U245*(8*($BQ245))*N245)</f>
        <v> </v>
      </c>
      <c r="Y245" s="320" t="str">
        <f aca="false">IF($A245="N/A"," ",$U245*(8*($BR245))*O245)</f>
        <v> </v>
      </c>
      <c r="Z245" s="320" t="str">
        <f aca="false">IF($A245="N/A"," ",$U245*(8*($BR245))*P245)</f>
        <v> </v>
      </c>
      <c r="AA245" s="320" t="str">
        <f aca="false">IF($A245="N/A"," ",$U245*(8*($BR245))*Q245)</f>
        <v> </v>
      </c>
      <c r="AB245" s="320" t="str">
        <f aca="false">IF($A245="N/A"," ",$U245*(8*($BS245))*R245)</f>
        <v> </v>
      </c>
      <c r="AC245" s="320" t="str">
        <f aca="false">IF($A245="N/A"," ",$U245*(8*($BS245))*S245)</f>
        <v> </v>
      </c>
      <c r="AD245" s="320" t="str">
        <f aca="false">IF($A245="N/A"," ",$U245*(8*($BS245))*T245)</f>
        <v> </v>
      </c>
      <c r="AE245" s="320" t="str">
        <f aca="false">IF($A245="N/A"," ",SUM(V245:AD245))</f>
        <v> </v>
      </c>
      <c r="AF245" s="321" t="str">
        <f aca="false">IF(A245="N/A"," ",(VLOOKUP(A245,PowerVolTable,(IF(VolBMO4=2,7,IF(VolBMO4=1,6,8))),FALSE())))</f>
        <v> </v>
      </c>
      <c r="AG245" s="321" t="str">
        <f aca="false">IF(A245="N/A"," ",(VLOOKUP(A245,IntraPowerVol,(IF(VolBMO4=2,3,IF(VolBMO4=1,2,4))),FALSE())*VLOOKUP(MONTH($A245),Volscale,2)))</f>
        <v> </v>
      </c>
      <c r="AH245" s="321" t="str">
        <f aca="false">IF($A245="N/A"," ",IF(VolType4=1,AG245,AF245))</f>
        <v> </v>
      </c>
      <c r="AI245" s="321" t="str">
        <f aca="false">IF($A245="N/A"," ",(VLOOKUP($A245,OffPwrVolTable,(IF(VolBMO4=2,7,IF(VolBMO4=1,6,8))),FALSE())))</f>
        <v> </v>
      </c>
      <c r="AJ245" s="321" t="str">
        <f aca="false">IF($A245="N/A"," ",(VLOOKUP($A245,OffPwrVolTable,(IF(VolBMO4=2,3,IF(VolBMO4=1,2,4))),FALSE())*VLOOKUP(MONTH($A245),Volscale,2)))</f>
        <v> </v>
      </c>
      <c r="AK245" s="321" t="str">
        <f aca="false">IF($A245="N/A"," ",IF(VolType4=1,AJ245,AI245))</f>
        <v> </v>
      </c>
      <c r="AL245" s="321" t="str">
        <f aca="false">IF($A245="N/A"," ",IF(PV=1,0,'Pricing Inputs4'!R278))</f>
        <v> </v>
      </c>
      <c r="AM245" s="323" t="str">
        <f aca="false">IF($A245="N/A"," ",(1+AL245/2)^(-2*((EOMONTH(A245,0)+20)-DateToday)/365.25))</f>
        <v> </v>
      </c>
      <c r="BQ245" s="0" t="str">
        <f aca="false">IF($A245="N/A"," ",(VLOOKUP($A245,NumberofDaysTable,2)))</f>
        <v> </v>
      </c>
      <c r="BR245" s="0" t="str">
        <f aca="false">IF($A245="N/A"," ",(VLOOKUP($A245,NumberofDaysTable,3)))</f>
        <v> </v>
      </c>
      <c r="BS245" s="0" t="str">
        <f aca="false">IF($A245="N/A"," ",(VLOOKUP($A245,NumberofDaysTable,4)))</f>
        <v> </v>
      </c>
    </row>
    <row r="246" customFormat="false" ht="12.75" hidden="false" customHeight="false" outlineLevel="0" collapsed="false">
      <c r="A246" s="315" t="str">
        <f aca="false">IF(A245="N/A","N/A",IF(EDATE(A245,1)&gt;Inputs!$R$5,"N/A",EDATE(A245,1)))</f>
        <v>N/A</v>
      </c>
      <c r="B246" s="316" t="str">
        <f aca="false">IF(A246="N/A"," ",YEAR(A246))</f>
        <v> </v>
      </c>
      <c r="C246" s="317" t="str">
        <f aca="false">IF($A246="N/A"," ",IF(Dayrun4=10,0,IF(Scaler4=1,(VLOOKUP(A246,ScaledPrice4,4)),(VLOOKUP(A246,ScaledPrice4,2)))))</f>
        <v> </v>
      </c>
      <c r="D246" s="317" t="str">
        <f aca="false">IF(A246="N/A"," ",IF(Dayrun4&gt;=7,0,IF(Scaler4=2,VLOOKUP(A246,ScaledPrice4,2),(VLOOKUP(A246,ScaledPrice4,2))*(2-(VLOOKUP(A246,ScaledPrice4,3))))))</f>
        <v> </v>
      </c>
      <c r="E246" s="317" t="str">
        <f aca="false">IF($A246="N/A"," ",IF(AND(Dayrun4&gt;=4,Dayrun4&lt;=9),0,VLOOKUP($A246,ScaledPrice4,9)))</f>
        <v> </v>
      </c>
      <c r="F246" s="317" t="str">
        <f aca="false">IF(A246="N/A"," ",IF(OR(Dayrun4=2,Dayrun4=3,Dayrun4=5,Dayrun4=6,Dayrun4=8,Dayrun4=9),VLOOKUP(A246,ScaledPrice4,IF(Scaler4=1,6,5)),0))</f>
        <v> </v>
      </c>
      <c r="G246" s="317" t="str">
        <f aca="false">IF(A246="N/A"," ",IF(OR(Dayrun4=2,Dayrun4=3,Dayrun4=5,Dayrun4=6),IF(Scaler4=2,F246,(VLOOKUP(A246,ScaledPrice4,5))*(2-(VLOOKUP(A246,ScaledPrice4,3)))),0))</f>
        <v> </v>
      </c>
      <c r="H246" s="317" t="str">
        <f aca="false">IF($A246="N/A"," ",IF(OR(Dayrun4=2,Dayrun4=3,Dayrun4=10),VLOOKUP($A246,ScaledPrice4,9),0))</f>
        <v> </v>
      </c>
      <c r="I246" s="317" t="str">
        <f aca="false">IF(A246="N/A"," ",IF(OR(Dayrun4=3,Dayrun4=6,Dayrun4=9),(VLOOKUP(A246,ScaledPrice4,IF(Scaler4=2,7,8))),0))</f>
        <v> </v>
      </c>
      <c r="J246" s="317" t="str">
        <f aca="false">IF(A246="N/A"," ",IF(OR(Dayrun4=3,Dayrun4=6),IF(Scaler4=2,I246,(VLOOKUP(A246,ScaledPrice4,7))*(2-(VLOOKUP(A246,ScaledPrice4,3)))),0))</f>
        <v> </v>
      </c>
      <c r="K246" s="317" t="str">
        <f aca="false">IF($A246="N/A"," ",IF(OR(Dayrun4=3,Dayrun4=10),VLOOKUP($A246,ScaledPrice4,9),0))</f>
        <v> </v>
      </c>
      <c r="L246" s="318" t="str">
        <f aca="false">IF($A246="N/A"," ",IF(Pricetype4=2,MAX(C246,0),IF(OR(Pricetype4=1,Pricetype4=4),IF(C246=0,0,(EURO(C246,Strikeprice4,0,0,($AH246+IF(Smile=TRUE(),VLOOKUP(MAX(-5,Strikeprice4-C246),Volsmile,2),0)),($A246-DateToday)+15,IF(Pricetype4=1,1,0),0))),C246)))</f>
        <v> </v>
      </c>
      <c r="M246" s="318" t="str">
        <f aca="false">IF($A246="N/A"," ",IF(Pricetype4=2,MAX(D246,0),IF(OR(Pricetype4=1,Pricetype4=4),IF(D246=0,0,(EURO(D246,Strikeprice4,0,0,($AH246+IF(Smile=TRUE(),VLOOKUP(MAX(-5,Strikeprice4-D246),Volsmile,2),0)),($A246-DateToday)+15,IF(Pricetype4=1,1,0),0))),D246)))</f>
        <v> </v>
      </c>
      <c r="N246" s="318" t="str">
        <f aca="false">IF($A246="N/A"," ",IF(Pricetype4=2,MAX(E246,0),IF(OR(Pricetype4=1,Pricetype4=4),IF(E246=0,0,(EURO(E246,Strikeprice4,0,0,($AK246+IF(Smile=TRUE(),VLOOKUP(MAX(-5,Strikeprice4-E246),Volsmile,2),0)),($A246-DateToday)+15,IF(Pricetype4=1,1,0),0))),E246)))</f>
        <v> </v>
      </c>
      <c r="O246" s="318" t="str">
        <f aca="false">IF($A246="N/A"," ",IF(Pricetype4=2,MAX(F246,0),IF(OR(Pricetype4=1,Pricetype4=4),IF(F246=0,0,(EURO(F246,Strikeprice4,0,0,($AK246+IF(Smile=TRUE(),VLOOKUP(MAX(-5,Strikeprice4-F246),Volsmile,2),0)),($A246-DateToday)+15,IF(Pricetype4=1,1,0),0))),F246)))</f>
        <v> </v>
      </c>
      <c r="P246" s="318" t="str">
        <f aca="false">IF($A246="N/A"," ",IF(Pricetype4=2,MAX(G246,0),IF(OR(Pricetype4=1,Pricetype4=4),IF(G246=0,0,(EURO(G246,Strikeprice4,0,0,($AK246+IF(Smile=TRUE(),VLOOKUP(MAX(-5,Strikeprice4-G246),Volsmile,2),0)),($A246-DateToday)+15,IF(Pricetype4=1,1,0),0))),G246)))</f>
        <v> </v>
      </c>
      <c r="Q246" s="318" t="str">
        <f aca="false">IF($A246="N/A"," ",IF(Pricetype4=2,MAX(H246,0),IF(OR(Pricetype4=1,Pricetype4=4),IF(H246=0,0,(EURO(H246,Strikeprice4,0,0,($AK246+IF(Smile=TRUE(),VLOOKUP(MAX(-5,Strikeprice4-H246),Volsmile,2),0)),($A246-DateToday)+15,IF(Pricetype4=1,1,0),0))),H246)))</f>
        <v> </v>
      </c>
      <c r="R246" s="318" t="str">
        <f aca="false">IF($A246="N/A"," ",IF(Pricetype4=2,MAX(I246,0),IF(OR(Pricetype4=1,Pricetype4=4),IF(I246=0,0,(EURO(I246,Strikeprice4,0,0,($AK246+IF(Smile=TRUE(),VLOOKUP(MAX(-5,Strikeprice4-I246),Volsmile,2),0)),($A246-DateToday)+15,IF(Pricetype4=1,1,0),0))),I246)))</f>
        <v> </v>
      </c>
      <c r="S246" s="318" t="str">
        <f aca="false">IF($A246="N/A"," ",IF(Pricetype4=2,MAX(J246,0),IF(OR(Pricetype4=1,Pricetype4=4),IF(J246=0,0,(EURO(J246,Strikeprice4,0,0,($AK246+IF(Smile=TRUE(),VLOOKUP(MAX(-5,Strikeprice4-J246),Volsmile,2),0)),($A246-DateToday)+15,IF(Pricetype4=1,1,0),0))),J246)))</f>
        <v> </v>
      </c>
      <c r="T246" s="318" t="str">
        <f aca="false">IF($A246="N/A"," ",IF(Pricetype4=2,MAX(K246,0),IF(OR(Pricetype4=1,Pricetype4=4),IF(K246=0,0,(EURO(K246,Strikeprice4,0,0,($AK246+IF(Smile=TRUE(),VLOOKUP(MAX(-5,Strikeprice4-K246),Volsmile,2),0)),($A246-DateToday)+15,IF(Pricetype4=1,1,0),0))),K246)))</f>
        <v> </v>
      </c>
      <c r="U246" s="319" t="str">
        <f aca="false">IF($A246="N/A"," ",Volume4*$AM246)</f>
        <v> </v>
      </c>
      <c r="V246" s="320" t="str">
        <f aca="false">IF($A246="N/A"," ",$U246*(8*($BQ246))*L246)</f>
        <v> </v>
      </c>
      <c r="W246" s="320" t="str">
        <f aca="false">IF($A246="N/A"," ",$U246*(8*($BQ246))*M246)</f>
        <v> </v>
      </c>
      <c r="X246" s="320" t="str">
        <f aca="false">IF($A246="N/A"," ",$U246*(8*($BQ246))*N246)</f>
        <v> </v>
      </c>
      <c r="Y246" s="320" t="str">
        <f aca="false">IF($A246="N/A"," ",$U246*(8*($BR246))*O246)</f>
        <v> </v>
      </c>
      <c r="Z246" s="320" t="str">
        <f aca="false">IF($A246="N/A"," ",$U246*(8*($BR246))*P246)</f>
        <v> </v>
      </c>
      <c r="AA246" s="320" t="str">
        <f aca="false">IF($A246="N/A"," ",$U246*(8*($BR246))*Q246)</f>
        <v> </v>
      </c>
      <c r="AB246" s="320" t="str">
        <f aca="false">IF($A246="N/A"," ",$U246*(8*($BS246))*R246)</f>
        <v> </v>
      </c>
      <c r="AC246" s="320" t="str">
        <f aca="false">IF($A246="N/A"," ",$U246*(8*($BS246))*S246)</f>
        <v> </v>
      </c>
      <c r="AD246" s="320" t="str">
        <f aca="false">IF($A246="N/A"," ",$U246*(8*($BS246))*T246)</f>
        <v> </v>
      </c>
      <c r="AE246" s="320" t="str">
        <f aca="false">IF($A246="N/A"," ",SUM(V246:AD246))</f>
        <v> </v>
      </c>
      <c r="AF246" s="321" t="str">
        <f aca="false">IF(A246="N/A"," ",(VLOOKUP(A246,PowerVolTable,(IF(VolBMO4=2,7,IF(VolBMO4=1,6,8))),FALSE())))</f>
        <v> </v>
      </c>
      <c r="AG246" s="321" t="str">
        <f aca="false">IF(A246="N/A"," ",(VLOOKUP(A246,IntraPowerVol,(IF(VolBMO4=2,3,IF(VolBMO4=1,2,4))),FALSE())*VLOOKUP(MONTH($A246),Volscale,2)))</f>
        <v> </v>
      </c>
      <c r="AH246" s="321" t="str">
        <f aca="false">IF($A246="N/A"," ",IF(VolType4=1,AG246,AF246))</f>
        <v> </v>
      </c>
      <c r="AI246" s="321" t="str">
        <f aca="false">IF($A246="N/A"," ",(VLOOKUP($A246,OffPwrVolTable,(IF(VolBMO4=2,7,IF(VolBMO4=1,6,8))),FALSE())))</f>
        <v> </v>
      </c>
      <c r="AJ246" s="321" t="str">
        <f aca="false">IF($A246="N/A"," ",(VLOOKUP($A246,OffPwrVolTable,(IF(VolBMO4=2,3,IF(VolBMO4=1,2,4))),FALSE())*VLOOKUP(MONTH($A246),Volscale,2)))</f>
        <v> </v>
      </c>
      <c r="AK246" s="321" t="str">
        <f aca="false">IF($A246="N/A"," ",IF(VolType4=1,AJ246,AI246))</f>
        <v> </v>
      </c>
      <c r="AL246" s="321" t="str">
        <f aca="false">IF($A246="N/A"," ",IF(PV=1,0,'Pricing Inputs4'!R279))</f>
        <v> </v>
      </c>
      <c r="AM246" s="323" t="str">
        <f aca="false">IF($A246="N/A"," ",(1+AL246/2)^(-2*((EOMONTH(A246,0)+20)-DateToday)/365.25))</f>
        <v> </v>
      </c>
      <c r="BQ246" s="0" t="str">
        <f aca="false">IF($A246="N/A"," ",(VLOOKUP($A246,NumberofDaysTable,2)))</f>
        <v> </v>
      </c>
      <c r="BR246" s="0" t="str">
        <f aca="false">IF($A246="N/A"," ",(VLOOKUP($A246,NumberofDaysTable,3)))</f>
        <v> </v>
      </c>
      <c r="BS246" s="0" t="str">
        <f aca="false">IF($A246="N/A"," ",(VLOOKUP($A246,NumberofDaysTable,4)))</f>
        <v> </v>
      </c>
    </row>
    <row r="247" customFormat="false" ht="12.75" hidden="false" customHeight="false" outlineLevel="0" collapsed="false">
      <c r="A247" s="315" t="str">
        <f aca="false">IF(A246="N/A","N/A",IF(EDATE(A246,1)&gt;Inputs!$R$5,"N/A",EDATE(A246,1)))</f>
        <v>N/A</v>
      </c>
      <c r="B247" s="316" t="str">
        <f aca="false">IF(A247="N/A"," ",YEAR(A247))</f>
        <v> </v>
      </c>
      <c r="C247" s="317" t="str">
        <f aca="false">IF($A247="N/A"," ",IF(Dayrun4=10,0,IF(Scaler4=1,(VLOOKUP(A247,ScaledPrice4,4)),(VLOOKUP(A247,ScaledPrice4,2)))))</f>
        <v> </v>
      </c>
      <c r="D247" s="317" t="str">
        <f aca="false">IF(A247="N/A"," ",IF(Dayrun4&gt;=7,0,IF(Scaler4=2,VLOOKUP(A247,ScaledPrice4,2),(VLOOKUP(A247,ScaledPrice4,2))*(2-(VLOOKUP(A247,ScaledPrice4,3))))))</f>
        <v> </v>
      </c>
      <c r="E247" s="317" t="str">
        <f aca="false">IF($A247="N/A"," ",IF(AND(Dayrun4&gt;=4,Dayrun4&lt;=9),0,VLOOKUP($A247,ScaledPrice4,9)))</f>
        <v> </v>
      </c>
      <c r="F247" s="317" t="str">
        <f aca="false">IF(A247="N/A"," ",IF(OR(Dayrun4=2,Dayrun4=3,Dayrun4=5,Dayrun4=6,Dayrun4=8,Dayrun4=9),VLOOKUP(A247,ScaledPrice4,IF(Scaler4=1,6,5)),0))</f>
        <v> </v>
      </c>
      <c r="G247" s="317" t="str">
        <f aca="false">IF(A247="N/A"," ",IF(OR(Dayrun4=2,Dayrun4=3,Dayrun4=5,Dayrun4=6),IF(Scaler4=2,F247,(VLOOKUP(A247,ScaledPrice4,5))*(2-(VLOOKUP(A247,ScaledPrice4,3)))),0))</f>
        <v> </v>
      </c>
      <c r="H247" s="317" t="str">
        <f aca="false">IF($A247="N/A"," ",IF(OR(Dayrun4=2,Dayrun4=3,Dayrun4=10),VLOOKUP($A247,ScaledPrice4,9),0))</f>
        <v> </v>
      </c>
      <c r="I247" s="317" t="str">
        <f aca="false">IF(A247="N/A"," ",IF(OR(Dayrun4=3,Dayrun4=6,Dayrun4=9),(VLOOKUP(A247,ScaledPrice4,IF(Scaler4=2,7,8))),0))</f>
        <v> </v>
      </c>
      <c r="J247" s="317" t="str">
        <f aca="false">IF(A247="N/A"," ",IF(OR(Dayrun4=3,Dayrun4=6),IF(Scaler4=2,I247,(VLOOKUP(A247,ScaledPrice4,7))*(2-(VLOOKUP(A247,ScaledPrice4,3)))),0))</f>
        <v> </v>
      </c>
      <c r="K247" s="317" t="str">
        <f aca="false">IF($A247="N/A"," ",IF(OR(Dayrun4=3,Dayrun4=10),VLOOKUP($A247,ScaledPrice4,9),0))</f>
        <v> </v>
      </c>
      <c r="L247" s="318" t="str">
        <f aca="false">IF($A247="N/A"," ",IF(Pricetype4=2,MAX(C247,0),IF(OR(Pricetype4=1,Pricetype4=4),IF(C247=0,0,(EURO(C247,Strikeprice4,0,0,($AH247+IF(Smile=TRUE(),VLOOKUP(MAX(-5,Strikeprice4-C247),Volsmile,2),0)),($A247-DateToday)+15,IF(Pricetype4=1,1,0),0))),C247)))</f>
        <v> </v>
      </c>
      <c r="M247" s="318" t="str">
        <f aca="false">IF($A247="N/A"," ",IF(Pricetype4=2,MAX(D247,0),IF(OR(Pricetype4=1,Pricetype4=4),IF(D247=0,0,(EURO(D247,Strikeprice4,0,0,($AH247+IF(Smile=TRUE(),VLOOKUP(MAX(-5,Strikeprice4-D247),Volsmile,2),0)),($A247-DateToday)+15,IF(Pricetype4=1,1,0),0))),D247)))</f>
        <v> </v>
      </c>
      <c r="N247" s="318" t="str">
        <f aca="false">IF($A247="N/A"," ",IF(Pricetype4=2,MAX(E247,0),IF(OR(Pricetype4=1,Pricetype4=4),IF(E247=0,0,(EURO(E247,Strikeprice4,0,0,($AK247+IF(Smile=TRUE(),VLOOKUP(MAX(-5,Strikeprice4-E247),Volsmile,2),0)),($A247-DateToday)+15,IF(Pricetype4=1,1,0),0))),E247)))</f>
        <v> </v>
      </c>
      <c r="O247" s="318" t="str">
        <f aca="false">IF($A247="N/A"," ",IF(Pricetype4=2,MAX(F247,0),IF(OR(Pricetype4=1,Pricetype4=4),IF(F247=0,0,(EURO(F247,Strikeprice4,0,0,($AK247+IF(Smile=TRUE(),VLOOKUP(MAX(-5,Strikeprice4-F247),Volsmile,2),0)),($A247-DateToday)+15,IF(Pricetype4=1,1,0),0))),F247)))</f>
        <v> </v>
      </c>
      <c r="P247" s="318" t="str">
        <f aca="false">IF($A247="N/A"," ",IF(Pricetype4=2,MAX(G247,0),IF(OR(Pricetype4=1,Pricetype4=4),IF(G247=0,0,(EURO(G247,Strikeprice4,0,0,($AK247+IF(Smile=TRUE(),VLOOKUP(MAX(-5,Strikeprice4-G247),Volsmile,2),0)),($A247-DateToday)+15,IF(Pricetype4=1,1,0),0))),G247)))</f>
        <v> </v>
      </c>
      <c r="Q247" s="318" t="str">
        <f aca="false">IF($A247="N/A"," ",IF(Pricetype4=2,MAX(H247,0),IF(OR(Pricetype4=1,Pricetype4=4),IF(H247=0,0,(EURO(H247,Strikeprice4,0,0,($AK247+IF(Smile=TRUE(),VLOOKUP(MAX(-5,Strikeprice4-H247),Volsmile,2),0)),($A247-DateToday)+15,IF(Pricetype4=1,1,0),0))),H247)))</f>
        <v> </v>
      </c>
      <c r="R247" s="318" t="str">
        <f aca="false">IF($A247="N/A"," ",IF(Pricetype4=2,MAX(I247,0),IF(OR(Pricetype4=1,Pricetype4=4),IF(I247=0,0,(EURO(I247,Strikeprice4,0,0,($AK247+IF(Smile=TRUE(),VLOOKUP(MAX(-5,Strikeprice4-I247),Volsmile,2),0)),($A247-DateToday)+15,IF(Pricetype4=1,1,0),0))),I247)))</f>
        <v> </v>
      </c>
      <c r="S247" s="318" t="str">
        <f aca="false">IF($A247="N/A"," ",IF(Pricetype4=2,MAX(J247,0),IF(OR(Pricetype4=1,Pricetype4=4),IF(J247=0,0,(EURO(J247,Strikeprice4,0,0,($AK247+IF(Smile=TRUE(),VLOOKUP(MAX(-5,Strikeprice4-J247),Volsmile,2),0)),($A247-DateToday)+15,IF(Pricetype4=1,1,0),0))),J247)))</f>
        <v> </v>
      </c>
      <c r="T247" s="318" t="str">
        <f aca="false">IF($A247="N/A"," ",IF(Pricetype4=2,MAX(K247,0),IF(OR(Pricetype4=1,Pricetype4=4),IF(K247=0,0,(EURO(K247,Strikeprice4,0,0,($AK247+IF(Smile=TRUE(),VLOOKUP(MAX(-5,Strikeprice4-K247),Volsmile,2),0)),($A247-DateToday)+15,IF(Pricetype4=1,1,0),0))),K247)))</f>
        <v> </v>
      </c>
      <c r="U247" s="319" t="str">
        <f aca="false">IF($A247="N/A"," ",Volume4*$AM247)</f>
        <v> </v>
      </c>
      <c r="V247" s="320" t="str">
        <f aca="false">IF($A247="N/A"," ",$U247*(8*($BQ247))*L247)</f>
        <v> </v>
      </c>
      <c r="W247" s="320" t="str">
        <f aca="false">IF($A247="N/A"," ",$U247*(8*($BQ247))*M247)</f>
        <v> </v>
      </c>
      <c r="X247" s="320" t="str">
        <f aca="false">IF($A247="N/A"," ",$U247*(8*($BQ247))*N247)</f>
        <v> </v>
      </c>
      <c r="Y247" s="320" t="str">
        <f aca="false">IF($A247="N/A"," ",$U247*(8*($BR247))*O247)</f>
        <v> </v>
      </c>
      <c r="Z247" s="320" t="str">
        <f aca="false">IF($A247="N/A"," ",$U247*(8*($BR247))*P247)</f>
        <v> </v>
      </c>
      <c r="AA247" s="320" t="str">
        <f aca="false">IF($A247="N/A"," ",$U247*(8*($BR247))*Q247)</f>
        <v> </v>
      </c>
      <c r="AB247" s="320" t="str">
        <f aca="false">IF($A247="N/A"," ",$U247*(8*($BS247))*R247)</f>
        <v> </v>
      </c>
      <c r="AC247" s="320" t="str">
        <f aca="false">IF($A247="N/A"," ",$U247*(8*($BS247))*S247)</f>
        <v> </v>
      </c>
      <c r="AD247" s="320" t="str">
        <f aca="false">IF($A247="N/A"," ",$U247*(8*($BS247))*T247)</f>
        <v> </v>
      </c>
      <c r="AE247" s="320" t="str">
        <f aca="false">IF($A247="N/A"," ",SUM(V247:AD247))</f>
        <v> </v>
      </c>
      <c r="AF247" s="321" t="str">
        <f aca="false">IF(A247="N/A"," ",(VLOOKUP(A247,PowerVolTable,(IF(VolBMO4=2,7,IF(VolBMO4=1,6,8))),FALSE())))</f>
        <v> </v>
      </c>
      <c r="AG247" s="321" t="str">
        <f aca="false">IF(A247="N/A"," ",(VLOOKUP(A247,IntraPowerVol,(IF(VolBMO4=2,3,IF(VolBMO4=1,2,4))),FALSE())*VLOOKUP(MONTH($A247),Volscale,2)))</f>
        <v> </v>
      </c>
      <c r="AH247" s="321" t="str">
        <f aca="false">IF($A247="N/A"," ",IF(VolType4=1,AG247,AF247))</f>
        <v> </v>
      </c>
      <c r="AI247" s="321" t="str">
        <f aca="false">IF($A247="N/A"," ",(VLOOKUP($A247,OffPwrVolTable,(IF(VolBMO4=2,7,IF(VolBMO4=1,6,8))),FALSE())))</f>
        <v> </v>
      </c>
      <c r="AJ247" s="321" t="str">
        <f aca="false">IF($A247="N/A"," ",(VLOOKUP($A247,OffPwrVolTable,(IF(VolBMO4=2,3,IF(VolBMO4=1,2,4))),FALSE())*VLOOKUP(MONTH($A247),Volscale,2)))</f>
        <v> </v>
      </c>
      <c r="AK247" s="321" t="str">
        <f aca="false">IF($A247="N/A"," ",IF(VolType4=1,AJ247,AI247))</f>
        <v> </v>
      </c>
      <c r="AL247" s="321" t="str">
        <f aca="false">IF($A247="N/A"," ",IF(PV=1,0,'Pricing Inputs4'!R280))</f>
        <v> </v>
      </c>
      <c r="AM247" s="323" t="str">
        <f aca="false">IF($A247="N/A"," ",(1+AL247/2)^(-2*((EOMONTH(A247,0)+20)-DateToday)/365.25))</f>
        <v> </v>
      </c>
      <c r="BQ247" s="0" t="str">
        <f aca="false">IF($A247="N/A"," ",(VLOOKUP($A247,NumberofDaysTable,2)))</f>
        <v> </v>
      </c>
      <c r="BR247" s="0" t="str">
        <f aca="false">IF($A247="N/A"," ",(VLOOKUP($A247,NumberofDaysTable,3)))</f>
        <v> </v>
      </c>
      <c r="BS247" s="0" t="str">
        <f aca="false">IF($A247="N/A"," ",(VLOOKUP($A247,NumberofDaysTable,4)))</f>
        <v> </v>
      </c>
    </row>
    <row r="248" customFormat="false" ht="12.75" hidden="false" customHeight="false" outlineLevel="0" collapsed="false">
      <c r="A248" s="315" t="str">
        <f aca="false">IF(A247="N/A","N/A",IF(EDATE(A247,1)&gt;Inputs!$R$5,"N/A",EDATE(A247,1)))</f>
        <v>N/A</v>
      </c>
      <c r="B248" s="316" t="str">
        <f aca="false">IF(A248="N/A"," ",YEAR(A248))</f>
        <v> </v>
      </c>
      <c r="C248" s="317" t="str">
        <f aca="false">IF($A248="N/A"," ",IF(Dayrun4=10,0,IF(Scaler4=1,(VLOOKUP(A248,ScaledPrice4,4)),(VLOOKUP(A248,ScaledPrice4,2)))))</f>
        <v> </v>
      </c>
      <c r="D248" s="317" t="str">
        <f aca="false">IF(A248="N/A"," ",IF(Dayrun4&gt;=7,0,IF(Scaler4=2,VLOOKUP(A248,ScaledPrice4,2),(VLOOKUP(A248,ScaledPrice4,2))*(2-(VLOOKUP(A248,ScaledPrice4,3))))))</f>
        <v> </v>
      </c>
      <c r="E248" s="317" t="str">
        <f aca="false">IF($A248="N/A"," ",IF(AND(Dayrun4&gt;=4,Dayrun4&lt;=9),0,VLOOKUP($A248,ScaledPrice4,9)))</f>
        <v> </v>
      </c>
      <c r="F248" s="317" t="str">
        <f aca="false">IF(A248="N/A"," ",IF(OR(Dayrun4=2,Dayrun4=3,Dayrun4=5,Dayrun4=6,Dayrun4=8,Dayrun4=9),VLOOKUP(A248,ScaledPrice4,IF(Scaler4=1,6,5)),0))</f>
        <v> </v>
      </c>
      <c r="G248" s="317" t="str">
        <f aca="false">IF(A248="N/A"," ",IF(OR(Dayrun4=2,Dayrun4=3,Dayrun4=5,Dayrun4=6),IF(Scaler4=2,F248,(VLOOKUP(A248,ScaledPrice4,5))*(2-(VLOOKUP(A248,ScaledPrice4,3)))),0))</f>
        <v> </v>
      </c>
      <c r="H248" s="317" t="str">
        <f aca="false">IF($A248="N/A"," ",IF(OR(Dayrun4=2,Dayrun4=3,Dayrun4=10),VLOOKUP($A248,ScaledPrice4,9),0))</f>
        <v> </v>
      </c>
      <c r="I248" s="317" t="str">
        <f aca="false">IF(A248="N/A"," ",IF(OR(Dayrun4=3,Dayrun4=6,Dayrun4=9),(VLOOKUP(A248,ScaledPrice4,IF(Scaler4=2,7,8))),0))</f>
        <v> </v>
      </c>
      <c r="J248" s="317" t="str">
        <f aca="false">IF(A248="N/A"," ",IF(OR(Dayrun4=3,Dayrun4=6),IF(Scaler4=2,I248,(VLOOKUP(A248,ScaledPrice4,7))*(2-(VLOOKUP(A248,ScaledPrice4,3)))),0))</f>
        <v> </v>
      </c>
      <c r="K248" s="317" t="str">
        <f aca="false">IF($A248="N/A"," ",IF(OR(Dayrun4=3,Dayrun4=10),VLOOKUP($A248,ScaledPrice4,9),0))</f>
        <v> </v>
      </c>
      <c r="L248" s="318" t="str">
        <f aca="false">IF($A248="N/A"," ",IF(Pricetype4=2,MAX(C248,0),IF(OR(Pricetype4=1,Pricetype4=4),IF(C248=0,0,(EURO(C248,Strikeprice4,0,0,($AH248+IF(Smile=TRUE(),VLOOKUP(MAX(-5,Strikeprice4-C248),Volsmile,2),0)),($A248-DateToday)+15,IF(Pricetype4=1,1,0),0))),C248)))</f>
        <v> </v>
      </c>
      <c r="M248" s="318" t="str">
        <f aca="false">IF($A248="N/A"," ",IF(Pricetype4=2,MAX(D248,0),IF(OR(Pricetype4=1,Pricetype4=4),IF(D248=0,0,(EURO(D248,Strikeprice4,0,0,($AH248+IF(Smile=TRUE(),VLOOKUP(MAX(-5,Strikeprice4-D248),Volsmile,2),0)),($A248-DateToday)+15,IF(Pricetype4=1,1,0),0))),D248)))</f>
        <v> </v>
      </c>
      <c r="N248" s="318" t="str">
        <f aca="false">IF($A248="N/A"," ",IF(Pricetype4=2,MAX(E248,0),IF(OR(Pricetype4=1,Pricetype4=4),IF(E248=0,0,(EURO(E248,Strikeprice4,0,0,($AK248+IF(Smile=TRUE(),VLOOKUP(MAX(-5,Strikeprice4-E248),Volsmile,2),0)),($A248-DateToday)+15,IF(Pricetype4=1,1,0),0))),E248)))</f>
        <v> </v>
      </c>
      <c r="O248" s="318" t="str">
        <f aca="false">IF($A248="N/A"," ",IF(Pricetype4=2,MAX(F248,0),IF(OR(Pricetype4=1,Pricetype4=4),IF(F248=0,0,(EURO(F248,Strikeprice4,0,0,($AK248+IF(Smile=TRUE(),VLOOKUP(MAX(-5,Strikeprice4-F248),Volsmile,2),0)),($A248-DateToday)+15,IF(Pricetype4=1,1,0),0))),F248)))</f>
        <v> </v>
      </c>
      <c r="P248" s="318" t="str">
        <f aca="false">IF($A248="N/A"," ",IF(Pricetype4=2,MAX(G248,0),IF(OR(Pricetype4=1,Pricetype4=4),IF(G248=0,0,(EURO(G248,Strikeprice4,0,0,($AK248+IF(Smile=TRUE(),VLOOKUP(MAX(-5,Strikeprice4-G248),Volsmile,2),0)),($A248-DateToday)+15,IF(Pricetype4=1,1,0),0))),G248)))</f>
        <v> </v>
      </c>
      <c r="Q248" s="318" t="str">
        <f aca="false">IF($A248="N/A"," ",IF(Pricetype4=2,MAX(H248,0),IF(OR(Pricetype4=1,Pricetype4=4),IF(H248=0,0,(EURO(H248,Strikeprice4,0,0,($AK248+IF(Smile=TRUE(),VLOOKUP(MAX(-5,Strikeprice4-H248),Volsmile,2),0)),($A248-DateToday)+15,IF(Pricetype4=1,1,0),0))),H248)))</f>
        <v> </v>
      </c>
      <c r="R248" s="318" t="str">
        <f aca="false">IF($A248="N/A"," ",IF(Pricetype4=2,MAX(I248,0),IF(OR(Pricetype4=1,Pricetype4=4),IF(I248=0,0,(EURO(I248,Strikeprice4,0,0,($AK248+IF(Smile=TRUE(),VLOOKUP(MAX(-5,Strikeprice4-I248),Volsmile,2),0)),($A248-DateToday)+15,IF(Pricetype4=1,1,0),0))),I248)))</f>
        <v> </v>
      </c>
      <c r="S248" s="318" t="str">
        <f aca="false">IF($A248="N/A"," ",IF(Pricetype4=2,MAX(J248,0),IF(OR(Pricetype4=1,Pricetype4=4),IF(J248=0,0,(EURO(J248,Strikeprice4,0,0,($AK248+IF(Smile=TRUE(),VLOOKUP(MAX(-5,Strikeprice4-J248),Volsmile,2),0)),($A248-DateToday)+15,IF(Pricetype4=1,1,0),0))),J248)))</f>
        <v> </v>
      </c>
      <c r="T248" s="318" t="str">
        <f aca="false">IF($A248="N/A"," ",IF(Pricetype4=2,MAX(K248,0),IF(OR(Pricetype4=1,Pricetype4=4),IF(K248=0,0,(EURO(K248,Strikeprice4,0,0,($AK248+IF(Smile=TRUE(),VLOOKUP(MAX(-5,Strikeprice4-K248),Volsmile,2),0)),($A248-DateToday)+15,IF(Pricetype4=1,1,0),0))),K248)))</f>
        <v> </v>
      </c>
      <c r="U248" s="319" t="str">
        <f aca="false">IF($A248="N/A"," ",Volume4*$AM248)</f>
        <v> </v>
      </c>
      <c r="V248" s="320" t="str">
        <f aca="false">IF($A248="N/A"," ",$U248*(8*($BQ248))*L248)</f>
        <v> </v>
      </c>
      <c r="W248" s="320" t="str">
        <f aca="false">IF($A248="N/A"," ",$U248*(8*($BQ248))*M248)</f>
        <v> </v>
      </c>
      <c r="X248" s="320" t="str">
        <f aca="false">IF($A248="N/A"," ",$U248*(8*($BQ248))*N248)</f>
        <v> </v>
      </c>
      <c r="Y248" s="320" t="str">
        <f aca="false">IF($A248="N/A"," ",$U248*(8*($BR248))*O248)</f>
        <v> </v>
      </c>
      <c r="Z248" s="320" t="str">
        <f aca="false">IF($A248="N/A"," ",$U248*(8*($BR248))*P248)</f>
        <v> </v>
      </c>
      <c r="AA248" s="320" t="str">
        <f aca="false">IF($A248="N/A"," ",$U248*(8*($BR248))*Q248)</f>
        <v> </v>
      </c>
      <c r="AB248" s="320" t="str">
        <f aca="false">IF($A248="N/A"," ",$U248*(8*($BS248))*R248)</f>
        <v> </v>
      </c>
      <c r="AC248" s="320" t="str">
        <f aca="false">IF($A248="N/A"," ",$U248*(8*($BS248))*S248)</f>
        <v> </v>
      </c>
      <c r="AD248" s="320" t="str">
        <f aca="false">IF($A248="N/A"," ",$U248*(8*($BS248))*T248)</f>
        <v> </v>
      </c>
      <c r="AE248" s="320" t="str">
        <f aca="false">IF($A248="N/A"," ",SUM(V248:AD248))</f>
        <v> </v>
      </c>
      <c r="AF248" s="321" t="str">
        <f aca="false">IF(A248="N/A"," ",(VLOOKUP(A248,PowerVolTable,(IF(VolBMO4=2,7,IF(VolBMO4=1,6,8))),FALSE())))</f>
        <v> </v>
      </c>
      <c r="AG248" s="321" t="str">
        <f aca="false">IF(A248="N/A"," ",(VLOOKUP(A248,IntraPowerVol,(IF(VolBMO4=2,3,IF(VolBMO4=1,2,4))),FALSE())*VLOOKUP(MONTH($A248),Volscale,2)))</f>
        <v> </v>
      </c>
      <c r="AH248" s="321" t="str">
        <f aca="false">IF($A248="N/A"," ",IF(VolType4=1,AG248,AF248))</f>
        <v> </v>
      </c>
      <c r="AI248" s="321" t="str">
        <f aca="false">IF($A248="N/A"," ",(VLOOKUP($A248,OffPwrVolTable,(IF(VolBMO4=2,7,IF(VolBMO4=1,6,8))),FALSE())))</f>
        <v> </v>
      </c>
      <c r="AJ248" s="321" t="str">
        <f aca="false">IF($A248="N/A"," ",(VLOOKUP($A248,OffPwrVolTable,(IF(VolBMO4=2,3,IF(VolBMO4=1,2,4))),FALSE())*VLOOKUP(MONTH($A248),Volscale,2)))</f>
        <v> </v>
      </c>
      <c r="AK248" s="321" t="str">
        <f aca="false">IF($A248="N/A"," ",IF(VolType4=1,AJ248,AI248))</f>
        <v> </v>
      </c>
      <c r="AL248" s="321" t="str">
        <f aca="false">IF($A248="N/A"," ",IF(PV=1,0,'Pricing Inputs4'!R281))</f>
        <v> </v>
      </c>
      <c r="AM248" s="323" t="str">
        <f aca="false">IF($A248="N/A"," ",(1+AL248/2)^(-2*((EOMONTH(A248,0)+20)-DateToday)/365.25))</f>
        <v> </v>
      </c>
      <c r="BQ248" s="0" t="str">
        <f aca="false">IF($A248="N/A"," ",(VLOOKUP($A248,NumberofDaysTable,2)))</f>
        <v> </v>
      </c>
      <c r="BR248" s="0" t="str">
        <f aca="false">IF($A248="N/A"," ",(VLOOKUP($A248,NumberofDaysTable,3)))</f>
        <v> </v>
      </c>
      <c r="BS248" s="0" t="str">
        <f aca="false">IF($A248="N/A"," ",(VLOOKUP($A248,NumberofDaysTable,4)))</f>
        <v> </v>
      </c>
    </row>
    <row r="249" customFormat="false" ht="12.75" hidden="false" customHeight="false" outlineLevel="0" collapsed="false">
      <c r="A249" s="315" t="str">
        <f aca="false">IF(A248="N/A","N/A",IF(EDATE(A248,1)&gt;Inputs!$R$5,"N/A",EDATE(A248,1)))</f>
        <v>N/A</v>
      </c>
      <c r="B249" s="316" t="str">
        <f aca="false">IF(A249="N/A"," ",YEAR(A249))</f>
        <v> </v>
      </c>
      <c r="C249" s="317" t="str">
        <f aca="false">IF($A249="N/A"," ",IF(Dayrun4=10,0,IF(Scaler4=1,(VLOOKUP(A249,ScaledPrice4,4)),(VLOOKUP(A249,ScaledPrice4,2)))))</f>
        <v> </v>
      </c>
      <c r="D249" s="317" t="str">
        <f aca="false">IF(A249="N/A"," ",IF(Dayrun4&gt;=7,0,IF(Scaler4=2,VLOOKUP(A249,ScaledPrice4,2),(VLOOKUP(A249,ScaledPrice4,2))*(2-(VLOOKUP(A249,ScaledPrice4,3))))))</f>
        <v> </v>
      </c>
      <c r="E249" s="317" t="str">
        <f aca="false">IF($A249="N/A"," ",IF(AND(Dayrun4&gt;=4,Dayrun4&lt;=9),0,VLOOKUP($A249,ScaledPrice4,9)))</f>
        <v> </v>
      </c>
      <c r="F249" s="317" t="str">
        <f aca="false">IF(A249="N/A"," ",IF(OR(Dayrun4=2,Dayrun4=3,Dayrun4=5,Dayrun4=6,Dayrun4=8,Dayrun4=9),VLOOKUP(A249,ScaledPrice4,IF(Scaler4=1,6,5)),0))</f>
        <v> </v>
      </c>
      <c r="G249" s="317" t="str">
        <f aca="false">IF(A249="N/A"," ",IF(OR(Dayrun4=2,Dayrun4=3,Dayrun4=5,Dayrun4=6),IF(Scaler4=2,F249,(VLOOKUP(A249,ScaledPrice4,5))*(2-(VLOOKUP(A249,ScaledPrice4,3)))),0))</f>
        <v> </v>
      </c>
      <c r="H249" s="317" t="str">
        <f aca="false">IF($A249="N/A"," ",IF(OR(Dayrun4=2,Dayrun4=3,Dayrun4=10),VLOOKUP($A249,ScaledPrice4,9),0))</f>
        <v> </v>
      </c>
      <c r="I249" s="317" t="str">
        <f aca="false">IF(A249="N/A"," ",IF(OR(Dayrun4=3,Dayrun4=6,Dayrun4=9),(VLOOKUP(A249,ScaledPrice4,IF(Scaler4=2,7,8))),0))</f>
        <v> </v>
      </c>
      <c r="J249" s="317" t="str">
        <f aca="false">IF(A249="N/A"," ",IF(OR(Dayrun4=3,Dayrun4=6),IF(Scaler4=2,I249,(VLOOKUP(A249,ScaledPrice4,7))*(2-(VLOOKUP(A249,ScaledPrice4,3)))),0))</f>
        <v> </v>
      </c>
      <c r="K249" s="317" t="str">
        <f aca="false">IF($A249="N/A"," ",IF(OR(Dayrun4=3,Dayrun4=10),VLOOKUP($A249,ScaledPrice4,9),0))</f>
        <v> </v>
      </c>
      <c r="L249" s="318" t="str">
        <f aca="false">IF($A249="N/A"," ",IF(Pricetype4=2,MAX(C249,0),IF(OR(Pricetype4=1,Pricetype4=4),IF(C249=0,0,(EURO(C249,Strikeprice4,0,0,($AH249+IF(Smile=TRUE(),VLOOKUP(MAX(-5,Strikeprice4-C249),Volsmile,2),0)),($A249-DateToday)+15,IF(Pricetype4=1,1,0),0))),C249)))</f>
        <v> </v>
      </c>
      <c r="M249" s="318" t="str">
        <f aca="false">IF($A249="N/A"," ",IF(Pricetype4=2,MAX(D249,0),IF(OR(Pricetype4=1,Pricetype4=4),IF(D249=0,0,(EURO(D249,Strikeprice4,0,0,($AH249+IF(Smile=TRUE(),VLOOKUP(MAX(-5,Strikeprice4-D249),Volsmile,2),0)),($A249-DateToday)+15,IF(Pricetype4=1,1,0),0))),D249)))</f>
        <v> </v>
      </c>
      <c r="N249" s="318" t="str">
        <f aca="false">IF($A249="N/A"," ",IF(Pricetype4=2,MAX(E249,0),IF(OR(Pricetype4=1,Pricetype4=4),IF(E249=0,0,(EURO(E249,Strikeprice4,0,0,($AK249+IF(Smile=TRUE(),VLOOKUP(MAX(-5,Strikeprice4-E249),Volsmile,2),0)),($A249-DateToday)+15,IF(Pricetype4=1,1,0),0))),E249)))</f>
        <v> </v>
      </c>
      <c r="O249" s="318" t="str">
        <f aca="false">IF($A249="N/A"," ",IF(Pricetype4=2,MAX(F249,0),IF(OR(Pricetype4=1,Pricetype4=4),IF(F249=0,0,(EURO(F249,Strikeprice4,0,0,($AK249+IF(Smile=TRUE(),VLOOKUP(MAX(-5,Strikeprice4-F249),Volsmile,2),0)),($A249-DateToday)+15,IF(Pricetype4=1,1,0),0))),F249)))</f>
        <v> </v>
      </c>
      <c r="P249" s="318" t="str">
        <f aca="false">IF($A249="N/A"," ",IF(Pricetype4=2,MAX(G249,0),IF(OR(Pricetype4=1,Pricetype4=4),IF(G249=0,0,(EURO(G249,Strikeprice4,0,0,($AK249+IF(Smile=TRUE(),VLOOKUP(MAX(-5,Strikeprice4-G249),Volsmile,2),0)),($A249-DateToday)+15,IF(Pricetype4=1,1,0),0))),G249)))</f>
        <v> </v>
      </c>
      <c r="Q249" s="318" t="str">
        <f aca="false">IF($A249="N/A"," ",IF(Pricetype4=2,MAX(H249,0),IF(OR(Pricetype4=1,Pricetype4=4),IF(H249=0,0,(EURO(H249,Strikeprice4,0,0,($AK249+IF(Smile=TRUE(),VLOOKUP(MAX(-5,Strikeprice4-H249),Volsmile,2),0)),($A249-DateToday)+15,IF(Pricetype4=1,1,0),0))),H249)))</f>
        <v> </v>
      </c>
      <c r="R249" s="318" t="str">
        <f aca="false">IF($A249="N/A"," ",IF(Pricetype4=2,MAX(I249,0),IF(OR(Pricetype4=1,Pricetype4=4),IF(I249=0,0,(EURO(I249,Strikeprice4,0,0,($AK249+IF(Smile=TRUE(),VLOOKUP(MAX(-5,Strikeprice4-I249),Volsmile,2),0)),($A249-DateToday)+15,IF(Pricetype4=1,1,0),0))),I249)))</f>
        <v> </v>
      </c>
      <c r="S249" s="318" t="str">
        <f aca="false">IF($A249="N/A"," ",IF(Pricetype4=2,MAX(J249,0),IF(OR(Pricetype4=1,Pricetype4=4),IF(J249=0,0,(EURO(J249,Strikeprice4,0,0,($AK249+IF(Smile=TRUE(),VLOOKUP(MAX(-5,Strikeprice4-J249),Volsmile,2),0)),($A249-DateToday)+15,IF(Pricetype4=1,1,0),0))),J249)))</f>
        <v> </v>
      </c>
      <c r="T249" s="318" t="str">
        <f aca="false">IF($A249="N/A"," ",IF(Pricetype4=2,MAX(K249,0),IF(OR(Pricetype4=1,Pricetype4=4),IF(K249=0,0,(EURO(K249,Strikeprice4,0,0,($AK249+IF(Smile=TRUE(),VLOOKUP(MAX(-5,Strikeprice4-K249),Volsmile,2),0)),($A249-DateToday)+15,IF(Pricetype4=1,1,0),0))),K249)))</f>
        <v> </v>
      </c>
      <c r="U249" s="319" t="str">
        <f aca="false">IF($A249="N/A"," ",Volume4*$AM249)</f>
        <v> </v>
      </c>
      <c r="V249" s="320" t="str">
        <f aca="false">IF($A249="N/A"," ",$U249*(8*($BQ249))*L249)</f>
        <v> </v>
      </c>
      <c r="W249" s="320" t="str">
        <f aca="false">IF($A249="N/A"," ",$U249*(8*($BQ249))*M249)</f>
        <v> </v>
      </c>
      <c r="X249" s="320" t="str">
        <f aca="false">IF($A249="N/A"," ",$U249*(8*($BQ249))*N249)</f>
        <v> </v>
      </c>
      <c r="Y249" s="320" t="str">
        <f aca="false">IF($A249="N/A"," ",$U249*(8*($BR249))*O249)</f>
        <v> </v>
      </c>
      <c r="Z249" s="320" t="str">
        <f aca="false">IF($A249="N/A"," ",$U249*(8*($BR249))*P249)</f>
        <v> </v>
      </c>
      <c r="AA249" s="320" t="str">
        <f aca="false">IF($A249="N/A"," ",$U249*(8*($BR249))*Q249)</f>
        <v> </v>
      </c>
      <c r="AB249" s="320" t="str">
        <f aca="false">IF($A249="N/A"," ",$U249*(8*($BS249))*R249)</f>
        <v> </v>
      </c>
      <c r="AC249" s="320" t="str">
        <f aca="false">IF($A249="N/A"," ",$U249*(8*($BS249))*S249)</f>
        <v> </v>
      </c>
      <c r="AD249" s="320" t="str">
        <f aca="false">IF($A249="N/A"," ",$U249*(8*($BS249))*T249)</f>
        <v> </v>
      </c>
      <c r="AE249" s="320" t="str">
        <f aca="false">IF($A249="N/A"," ",SUM(V249:AD249))</f>
        <v> </v>
      </c>
      <c r="AF249" s="321" t="str">
        <f aca="false">IF(A249="N/A"," ",(VLOOKUP(A249,PowerVolTable,(IF(VolBMO4=2,7,IF(VolBMO4=1,6,8))),FALSE())))</f>
        <v> </v>
      </c>
      <c r="AG249" s="321" t="str">
        <f aca="false">IF(A249="N/A"," ",(VLOOKUP(A249,IntraPowerVol,(IF(VolBMO4=2,3,IF(VolBMO4=1,2,4))),FALSE())*VLOOKUP(MONTH($A249),Volscale,2)))</f>
        <v> </v>
      </c>
      <c r="AH249" s="321" t="str">
        <f aca="false">IF($A249="N/A"," ",IF(VolType4=1,AG249,AF249))</f>
        <v> </v>
      </c>
      <c r="AI249" s="321" t="str">
        <f aca="false">IF($A249="N/A"," ",(VLOOKUP($A249,OffPwrVolTable,(IF(VolBMO4=2,7,IF(VolBMO4=1,6,8))),FALSE())))</f>
        <v> </v>
      </c>
      <c r="AJ249" s="321" t="str">
        <f aca="false">IF($A249="N/A"," ",(VLOOKUP($A249,OffPwrVolTable,(IF(VolBMO4=2,3,IF(VolBMO4=1,2,4))),FALSE())*VLOOKUP(MONTH($A249),Volscale,2)))</f>
        <v> </v>
      </c>
      <c r="AK249" s="321" t="str">
        <f aca="false">IF($A249="N/A"," ",IF(VolType4=1,AJ249,AI249))</f>
        <v> </v>
      </c>
      <c r="AL249" s="321" t="str">
        <f aca="false">IF($A249="N/A"," ",IF(PV=1,0,'Pricing Inputs4'!R282))</f>
        <v> </v>
      </c>
      <c r="AM249" s="323" t="str">
        <f aca="false">IF($A249="N/A"," ",(1+AL249/2)^(-2*((EOMONTH(A249,0)+20)-DateToday)/365.25))</f>
        <v> </v>
      </c>
      <c r="BQ249" s="0" t="str">
        <f aca="false">IF($A249="N/A"," ",(VLOOKUP($A249,NumberofDaysTable,2)))</f>
        <v> </v>
      </c>
      <c r="BR249" s="0" t="str">
        <f aca="false">IF($A249="N/A"," ",(VLOOKUP($A249,NumberofDaysTable,3)))</f>
        <v> </v>
      </c>
      <c r="BS249" s="0" t="str">
        <f aca="false">IF($A249="N/A"," ",(VLOOKUP($A249,NumberofDaysTable,4)))</f>
        <v> </v>
      </c>
    </row>
    <row r="250" customFormat="false" ht="12.75" hidden="false" customHeight="false" outlineLevel="0" collapsed="false">
      <c r="A250" s="315" t="str">
        <f aca="false">IF(A249="N/A","N/A",IF(EDATE(A249,1)&gt;Inputs!$R$5,"N/A",EDATE(A249,1)))</f>
        <v>N/A</v>
      </c>
      <c r="B250" s="316" t="str">
        <f aca="false">IF(A250="N/A"," ",YEAR(A250))</f>
        <v> </v>
      </c>
      <c r="C250" s="317" t="str">
        <f aca="false">IF($A250="N/A"," ",IF(Dayrun4=10,0,IF(Scaler4=1,(VLOOKUP(A250,ScaledPrice4,4)),(VLOOKUP(A250,ScaledPrice4,2)))))</f>
        <v> </v>
      </c>
      <c r="D250" s="317" t="str">
        <f aca="false">IF(A250="N/A"," ",IF(Dayrun4&gt;=7,0,IF(Scaler4=2,VLOOKUP(A250,ScaledPrice4,2),(VLOOKUP(A250,ScaledPrice4,2))*(2-(VLOOKUP(A250,ScaledPrice4,3))))))</f>
        <v> </v>
      </c>
      <c r="E250" s="317" t="str">
        <f aca="false">IF($A250="N/A"," ",IF(AND(Dayrun4&gt;=4,Dayrun4&lt;=9),0,VLOOKUP($A250,ScaledPrice4,9)))</f>
        <v> </v>
      </c>
      <c r="F250" s="317" t="str">
        <f aca="false">IF(A250="N/A"," ",IF(OR(Dayrun4=2,Dayrun4=3,Dayrun4=5,Dayrun4=6,Dayrun4=8,Dayrun4=9),VLOOKUP(A250,ScaledPrice4,IF(Scaler4=1,6,5)),0))</f>
        <v> </v>
      </c>
      <c r="G250" s="317" t="str">
        <f aca="false">IF(A250="N/A"," ",IF(OR(Dayrun4=2,Dayrun4=3,Dayrun4=5,Dayrun4=6),IF(Scaler4=2,F250,(VLOOKUP(A250,ScaledPrice4,5))*(2-(VLOOKUP(A250,ScaledPrice4,3)))),0))</f>
        <v> </v>
      </c>
      <c r="H250" s="317" t="str">
        <f aca="false">IF($A250="N/A"," ",IF(OR(Dayrun4=2,Dayrun4=3,Dayrun4=10),VLOOKUP($A250,ScaledPrice4,9),0))</f>
        <v> </v>
      </c>
      <c r="I250" s="317" t="str">
        <f aca="false">IF(A250="N/A"," ",IF(OR(Dayrun4=3,Dayrun4=6,Dayrun4=9),(VLOOKUP(A250,ScaledPrice4,IF(Scaler4=2,7,8))),0))</f>
        <v> </v>
      </c>
      <c r="J250" s="317" t="str">
        <f aca="false">IF(A250="N/A"," ",IF(OR(Dayrun4=3,Dayrun4=6),IF(Scaler4=2,I250,(VLOOKUP(A250,ScaledPrice4,7))*(2-(VLOOKUP(A250,ScaledPrice4,3)))),0))</f>
        <v> </v>
      </c>
      <c r="K250" s="317" t="str">
        <f aca="false">IF($A250="N/A"," ",IF(OR(Dayrun4=3,Dayrun4=10),VLOOKUP($A250,ScaledPrice4,9),0))</f>
        <v> </v>
      </c>
      <c r="L250" s="318" t="str">
        <f aca="false">IF($A250="N/A"," ",IF(Pricetype4=2,MAX(C250,0),IF(OR(Pricetype4=1,Pricetype4=4),IF(C250=0,0,(EURO(C250,Strikeprice4,0,0,($AH250+IF(Smile=TRUE(),VLOOKUP(MAX(-5,Strikeprice4-C250),Volsmile,2),0)),($A250-DateToday)+15,IF(Pricetype4=1,1,0),0))),C250)))</f>
        <v> </v>
      </c>
      <c r="M250" s="318" t="str">
        <f aca="false">IF($A250="N/A"," ",IF(Pricetype4=2,MAX(D250,0),IF(OR(Pricetype4=1,Pricetype4=4),IF(D250=0,0,(EURO(D250,Strikeprice4,0,0,($AH250+IF(Smile=TRUE(),VLOOKUP(MAX(-5,Strikeprice4-D250),Volsmile,2),0)),($A250-DateToday)+15,IF(Pricetype4=1,1,0),0))),D250)))</f>
        <v> </v>
      </c>
      <c r="N250" s="318" t="str">
        <f aca="false">IF($A250="N/A"," ",IF(Pricetype4=2,MAX(E250,0),IF(OR(Pricetype4=1,Pricetype4=4),IF(E250=0,0,(EURO(E250,Strikeprice4,0,0,($AK250+IF(Smile=TRUE(),VLOOKUP(MAX(-5,Strikeprice4-E250),Volsmile,2),0)),($A250-DateToday)+15,IF(Pricetype4=1,1,0),0))),E250)))</f>
        <v> </v>
      </c>
      <c r="O250" s="318" t="str">
        <f aca="false">IF($A250="N/A"," ",IF(Pricetype4=2,MAX(F250,0),IF(OR(Pricetype4=1,Pricetype4=4),IF(F250=0,0,(EURO(F250,Strikeprice4,0,0,($AK250+IF(Smile=TRUE(),VLOOKUP(MAX(-5,Strikeprice4-F250),Volsmile,2),0)),($A250-DateToday)+15,IF(Pricetype4=1,1,0),0))),F250)))</f>
        <v> </v>
      </c>
      <c r="P250" s="318" t="str">
        <f aca="false">IF($A250="N/A"," ",IF(Pricetype4=2,MAX(G250,0),IF(OR(Pricetype4=1,Pricetype4=4),IF(G250=0,0,(EURO(G250,Strikeprice4,0,0,($AK250+IF(Smile=TRUE(),VLOOKUP(MAX(-5,Strikeprice4-G250),Volsmile,2),0)),($A250-DateToday)+15,IF(Pricetype4=1,1,0),0))),G250)))</f>
        <v> </v>
      </c>
      <c r="Q250" s="318" t="str">
        <f aca="false">IF($A250="N/A"," ",IF(Pricetype4=2,MAX(H250,0),IF(OR(Pricetype4=1,Pricetype4=4),IF(H250=0,0,(EURO(H250,Strikeprice4,0,0,($AK250+IF(Smile=TRUE(),VLOOKUP(MAX(-5,Strikeprice4-H250),Volsmile,2),0)),($A250-DateToday)+15,IF(Pricetype4=1,1,0),0))),H250)))</f>
        <v> </v>
      </c>
      <c r="R250" s="318" t="str">
        <f aca="false">IF($A250="N/A"," ",IF(Pricetype4=2,MAX(I250,0),IF(OR(Pricetype4=1,Pricetype4=4),IF(I250=0,0,(EURO(I250,Strikeprice4,0,0,($AK250+IF(Smile=TRUE(),VLOOKUP(MAX(-5,Strikeprice4-I250),Volsmile,2),0)),($A250-DateToday)+15,IF(Pricetype4=1,1,0),0))),I250)))</f>
        <v> </v>
      </c>
      <c r="S250" s="318" t="str">
        <f aca="false">IF($A250="N/A"," ",IF(Pricetype4=2,MAX(J250,0),IF(OR(Pricetype4=1,Pricetype4=4),IF(J250=0,0,(EURO(J250,Strikeprice4,0,0,($AK250+IF(Smile=TRUE(),VLOOKUP(MAX(-5,Strikeprice4-J250),Volsmile,2),0)),($A250-DateToday)+15,IF(Pricetype4=1,1,0),0))),J250)))</f>
        <v> </v>
      </c>
      <c r="T250" s="318" t="str">
        <f aca="false">IF($A250="N/A"," ",IF(Pricetype4=2,MAX(K250,0),IF(OR(Pricetype4=1,Pricetype4=4),IF(K250=0,0,(EURO(K250,Strikeprice4,0,0,($AK250+IF(Smile=TRUE(),VLOOKUP(MAX(-5,Strikeprice4-K250),Volsmile,2),0)),($A250-DateToday)+15,IF(Pricetype4=1,1,0),0))),K250)))</f>
        <v> </v>
      </c>
      <c r="U250" s="319" t="str">
        <f aca="false">IF($A250="N/A"," ",Volume4*$AM250)</f>
        <v> </v>
      </c>
      <c r="V250" s="320" t="str">
        <f aca="false">IF($A250="N/A"," ",$U250*(8*($BQ250))*L250)</f>
        <v> </v>
      </c>
      <c r="W250" s="320" t="str">
        <f aca="false">IF($A250="N/A"," ",$U250*(8*($BQ250))*M250)</f>
        <v> </v>
      </c>
      <c r="X250" s="320" t="str">
        <f aca="false">IF($A250="N/A"," ",$U250*(8*($BQ250))*N250)</f>
        <v> </v>
      </c>
      <c r="Y250" s="320" t="str">
        <f aca="false">IF($A250="N/A"," ",$U250*(8*($BR250))*O250)</f>
        <v> </v>
      </c>
      <c r="Z250" s="320" t="str">
        <f aca="false">IF($A250="N/A"," ",$U250*(8*($BR250))*P250)</f>
        <v> </v>
      </c>
      <c r="AA250" s="320" t="str">
        <f aca="false">IF($A250="N/A"," ",$U250*(8*($BR250))*Q250)</f>
        <v> </v>
      </c>
      <c r="AB250" s="320" t="str">
        <f aca="false">IF($A250="N/A"," ",$U250*(8*($BS250))*R250)</f>
        <v> </v>
      </c>
      <c r="AC250" s="320" t="str">
        <f aca="false">IF($A250="N/A"," ",$U250*(8*($BS250))*S250)</f>
        <v> </v>
      </c>
      <c r="AD250" s="320" t="str">
        <f aca="false">IF($A250="N/A"," ",$U250*(8*($BS250))*T250)</f>
        <v> </v>
      </c>
      <c r="AE250" s="320" t="str">
        <f aca="false">IF($A250="N/A"," ",SUM(V250:AD250))</f>
        <v> </v>
      </c>
      <c r="AF250" s="321" t="str">
        <f aca="false">IF(A250="N/A"," ",(VLOOKUP(A250,PowerVolTable,(IF(VolBMO4=2,7,IF(VolBMO4=1,6,8))),FALSE())))</f>
        <v> </v>
      </c>
      <c r="AG250" s="321" t="str">
        <f aca="false">IF(A250="N/A"," ",(VLOOKUP(A250,IntraPowerVol,(IF(VolBMO4=2,3,IF(VolBMO4=1,2,4))),FALSE())*VLOOKUP(MONTH($A250),Volscale,2)))</f>
        <v> </v>
      </c>
      <c r="AH250" s="321" t="str">
        <f aca="false">IF($A250="N/A"," ",IF(VolType4=1,AG250,AF250))</f>
        <v> </v>
      </c>
      <c r="AI250" s="321" t="str">
        <f aca="false">IF($A250="N/A"," ",(VLOOKUP($A250,OffPwrVolTable,(IF(VolBMO4=2,7,IF(VolBMO4=1,6,8))),FALSE())))</f>
        <v> </v>
      </c>
      <c r="AJ250" s="321" t="str">
        <f aca="false">IF($A250="N/A"," ",(VLOOKUP($A250,OffPwrVolTable,(IF(VolBMO4=2,3,IF(VolBMO4=1,2,4))),FALSE())*VLOOKUP(MONTH($A250),Volscale,2)))</f>
        <v> </v>
      </c>
      <c r="AK250" s="321" t="str">
        <f aca="false">IF($A250="N/A"," ",IF(VolType4=1,AJ250,AI250))</f>
        <v> </v>
      </c>
      <c r="AL250" s="321" t="str">
        <f aca="false">IF($A250="N/A"," ",IF(PV=1,0,'Pricing Inputs4'!R283))</f>
        <v> </v>
      </c>
      <c r="AM250" s="323" t="str">
        <f aca="false">IF($A250="N/A"," ",(1+AL250/2)^(-2*((EOMONTH(A250,0)+20)-DateToday)/365.25))</f>
        <v> </v>
      </c>
      <c r="BQ250" s="0" t="str">
        <f aca="false">IF($A250="N/A"," ",(VLOOKUP($A250,NumberofDaysTable,2)))</f>
        <v> </v>
      </c>
      <c r="BR250" s="0" t="str">
        <f aca="false">IF($A250="N/A"," ",(VLOOKUP($A250,NumberofDaysTable,3)))</f>
        <v> </v>
      </c>
      <c r="BS250" s="0" t="str">
        <f aca="false">IF($A250="N/A"," ",(VLOOKUP($A250,NumberofDaysTable,4)))</f>
        <v> </v>
      </c>
    </row>
    <row r="251" customFormat="false" ht="12.75" hidden="false" customHeight="false" outlineLevel="0" collapsed="false">
      <c r="A251" s="315" t="str">
        <f aca="false">IF(A250="N/A","N/A",IF(EDATE(A250,1)&gt;Inputs!$R$5,"N/A",EDATE(A250,1)))</f>
        <v>N/A</v>
      </c>
      <c r="B251" s="316" t="str">
        <f aca="false">IF(A251="N/A"," ",YEAR(A251))</f>
        <v> </v>
      </c>
      <c r="C251" s="317" t="str">
        <f aca="false">IF($A251="N/A"," ",IF(Dayrun4=10,0,IF(Scaler4=1,(VLOOKUP(A251,ScaledPrice4,4)),(VLOOKUP(A251,ScaledPrice4,2)))))</f>
        <v> </v>
      </c>
      <c r="D251" s="317" t="str">
        <f aca="false">IF(A251="N/A"," ",IF(Dayrun4&gt;=7,0,IF(Scaler4=2,VLOOKUP(A251,ScaledPrice4,2),(VLOOKUP(A251,ScaledPrice4,2))*(2-(VLOOKUP(A251,ScaledPrice4,3))))))</f>
        <v> </v>
      </c>
      <c r="E251" s="317" t="str">
        <f aca="false">IF($A251="N/A"," ",IF(AND(Dayrun4&gt;=4,Dayrun4&lt;=9),0,VLOOKUP($A251,ScaledPrice4,9)))</f>
        <v> </v>
      </c>
      <c r="F251" s="317" t="str">
        <f aca="false">IF(A251="N/A"," ",IF(OR(Dayrun4=2,Dayrun4=3,Dayrun4=5,Dayrun4=6,Dayrun4=8,Dayrun4=9),VLOOKUP(A251,ScaledPrice4,IF(Scaler4=1,6,5)),0))</f>
        <v> </v>
      </c>
      <c r="G251" s="317" t="str">
        <f aca="false">IF(A251="N/A"," ",IF(OR(Dayrun4=2,Dayrun4=3,Dayrun4=5,Dayrun4=6),IF(Scaler4=2,F251,(VLOOKUP(A251,ScaledPrice4,5))*(2-(VLOOKUP(A251,ScaledPrice4,3)))),0))</f>
        <v> </v>
      </c>
      <c r="H251" s="317" t="str">
        <f aca="false">IF($A251="N/A"," ",IF(OR(Dayrun4=2,Dayrun4=3,Dayrun4=10),VLOOKUP($A251,ScaledPrice4,9),0))</f>
        <v> </v>
      </c>
      <c r="I251" s="317" t="str">
        <f aca="false">IF(A251="N/A"," ",IF(OR(Dayrun4=3,Dayrun4=6,Dayrun4=9),(VLOOKUP(A251,ScaledPrice4,IF(Scaler4=2,7,8))),0))</f>
        <v> </v>
      </c>
      <c r="J251" s="317" t="str">
        <f aca="false">IF(A251="N/A"," ",IF(OR(Dayrun4=3,Dayrun4=6),IF(Scaler4=2,I251,(VLOOKUP(A251,ScaledPrice4,7))*(2-(VLOOKUP(A251,ScaledPrice4,3)))),0))</f>
        <v> </v>
      </c>
      <c r="K251" s="317" t="str">
        <f aca="false">IF($A251="N/A"," ",IF(OR(Dayrun4=3,Dayrun4=10),VLOOKUP($A251,ScaledPrice4,9),0))</f>
        <v> </v>
      </c>
      <c r="L251" s="318" t="str">
        <f aca="false">IF($A251="N/A"," ",IF(Pricetype4=2,MAX(C251,0),IF(OR(Pricetype4=1,Pricetype4=4),IF(C251=0,0,(EURO(C251,Strikeprice4,0,0,($AH251+IF(Smile=TRUE(),VLOOKUP(MAX(-5,Strikeprice4-C251),Volsmile,2),0)),($A251-DateToday)+15,IF(Pricetype4=1,1,0),0))),C251)))</f>
        <v> </v>
      </c>
      <c r="M251" s="318" t="str">
        <f aca="false">IF($A251="N/A"," ",IF(Pricetype4=2,MAX(D251,0),IF(OR(Pricetype4=1,Pricetype4=4),IF(D251=0,0,(EURO(D251,Strikeprice4,0,0,($AH251+IF(Smile=TRUE(),VLOOKUP(MAX(-5,Strikeprice4-D251),Volsmile,2),0)),($A251-DateToday)+15,IF(Pricetype4=1,1,0),0))),D251)))</f>
        <v> </v>
      </c>
      <c r="N251" s="318" t="str">
        <f aca="false">IF($A251="N/A"," ",IF(Pricetype4=2,MAX(E251,0),IF(OR(Pricetype4=1,Pricetype4=4),IF(E251=0,0,(EURO(E251,Strikeprice4,0,0,($AK251+IF(Smile=TRUE(),VLOOKUP(MAX(-5,Strikeprice4-E251),Volsmile,2),0)),($A251-DateToday)+15,IF(Pricetype4=1,1,0),0))),E251)))</f>
        <v> </v>
      </c>
      <c r="O251" s="318" t="str">
        <f aca="false">IF($A251="N/A"," ",IF(Pricetype4=2,MAX(F251,0),IF(OR(Pricetype4=1,Pricetype4=4),IF(F251=0,0,(EURO(F251,Strikeprice4,0,0,($AK251+IF(Smile=TRUE(),VLOOKUP(MAX(-5,Strikeprice4-F251),Volsmile,2),0)),($A251-DateToday)+15,IF(Pricetype4=1,1,0),0))),F251)))</f>
        <v> </v>
      </c>
      <c r="P251" s="318" t="str">
        <f aca="false">IF($A251="N/A"," ",IF(Pricetype4=2,MAX(G251,0),IF(OR(Pricetype4=1,Pricetype4=4),IF(G251=0,0,(EURO(G251,Strikeprice4,0,0,($AK251+IF(Smile=TRUE(),VLOOKUP(MAX(-5,Strikeprice4-G251),Volsmile,2),0)),($A251-DateToday)+15,IF(Pricetype4=1,1,0),0))),G251)))</f>
        <v> </v>
      </c>
      <c r="Q251" s="318" t="str">
        <f aca="false">IF($A251="N/A"," ",IF(Pricetype4=2,MAX(H251,0),IF(OR(Pricetype4=1,Pricetype4=4),IF(H251=0,0,(EURO(H251,Strikeprice4,0,0,($AK251+IF(Smile=TRUE(),VLOOKUP(MAX(-5,Strikeprice4-H251),Volsmile,2),0)),($A251-DateToday)+15,IF(Pricetype4=1,1,0),0))),H251)))</f>
        <v> </v>
      </c>
      <c r="R251" s="318" t="str">
        <f aca="false">IF($A251="N/A"," ",IF(Pricetype4=2,MAX(I251,0),IF(OR(Pricetype4=1,Pricetype4=4),IF(I251=0,0,(EURO(I251,Strikeprice4,0,0,($AK251+IF(Smile=TRUE(),VLOOKUP(MAX(-5,Strikeprice4-I251),Volsmile,2),0)),($A251-DateToday)+15,IF(Pricetype4=1,1,0),0))),I251)))</f>
        <v> </v>
      </c>
      <c r="S251" s="318" t="str">
        <f aca="false">IF($A251="N/A"," ",IF(Pricetype4=2,MAX(J251,0),IF(OR(Pricetype4=1,Pricetype4=4),IF(J251=0,0,(EURO(J251,Strikeprice4,0,0,($AK251+IF(Smile=TRUE(),VLOOKUP(MAX(-5,Strikeprice4-J251),Volsmile,2),0)),($A251-DateToday)+15,IF(Pricetype4=1,1,0),0))),J251)))</f>
        <v> </v>
      </c>
      <c r="T251" s="318" t="str">
        <f aca="false">IF($A251="N/A"," ",IF(Pricetype4=2,MAX(K251,0),IF(OR(Pricetype4=1,Pricetype4=4),IF(K251=0,0,(EURO(K251,Strikeprice4,0,0,($AK251+IF(Smile=TRUE(),VLOOKUP(MAX(-5,Strikeprice4-K251),Volsmile,2),0)),($A251-DateToday)+15,IF(Pricetype4=1,1,0),0))),K251)))</f>
        <v> </v>
      </c>
      <c r="U251" s="319" t="str">
        <f aca="false">IF($A251="N/A"," ",Volume4*$AM251)</f>
        <v> </v>
      </c>
      <c r="V251" s="320" t="str">
        <f aca="false">IF($A251="N/A"," ",$U251*(8*($BQ251))*L251)</f>
        <v> </v>
      </c>
      <c r="W251" s="320" t="str">
        <f aca="false">IF($A251="N/A"," ",$U251*(8*($BQ251))*M251)</f>
        <v> </v>
      </c>
      <c r="X251" s="320" t="str">
        <f aca="false">IF($A251="N/A"," ",$U251*(8*($BQ251))*N251)</f>
        <v> </v>
      </c>
      <c r="Y251" s="320" t="str">
        <f aca="false">IF($A251="N/A"," ",$U251*(8*($BR251))*O251)</f>
        <v> </v>
      </c>
      <c r="Z251" s="320" t="str">
        <f aca="false">IF($A251="N/A"," ",$U251*(8*($BR251))*P251)</f>
        <v> </v>
      </c>
      <c r="AA251" s="320" t="str">
        <f aca="false">IF($A251="N/A"," ",$U251*(8*($BR251))*Q251)</f>
        <v> </v>
      </c>
      <c r="AB251" s="320" t="str">
        <f aca="false">IF($A251="N/A"," ",$U251*(8*($BS251))*R251)</f>
        <v> </v>
      </c>
      <c r="AC251" s="320" t="str">
        <f aca="false">IF($A251="N/A"," ",$U251*(8*($BS251))*S251)</f>
        <v> </v>
      </c>
      <c r="AD251" s="320" t="str">
        <f aca="false">IF($A251="N/A"," ",$U251*(8*($BS251))*T251)</f>
        <v> </v>
      </c>
      <c r="AE251" s="320" t="str">
        <f aca="false">IF($A251="N/A"," ",SUM(V251:AD251))</f>
        <v> </v>
      </c>
      <c r="AF251" s="321" t="str">
        <f aca="false">IF(A251="N/A"," ",(VLOOKUP(A251,PowerVolTable,(IF(VolBMO4=2,7,IF(VolBMO4=1,6,8))),FALSE())))</f>
        <v> </v>
      </c>
      <c r="AG251" s="321" t="str">
        <f aca="false">IF(A251="N/A"," ",(VLOOKUP(A251,IntraPowerVol,(IF(VolBMO4=2,3,IF(VolBMO4=1,2,4))),FALSE())*VLOOKUP(MONTH($A251),Volscale,2)))</f>
        <v> </v>
      </c>
      <c r="AH251" s="321" t="str">
        <f aca="false">IF($A251="N/A"," ",IF(VolType4=1,AG251,AF251))</f>
        <v> </v>
      </c>
      <c r="AI251" s="321" t="str">
        <f aca="false">IF($A251="N/A"," ",(VLOOKUP($A251,OffPwrVolTable,(IF(VolBMO4=2,7,IF(VolBMO4=1,6,8))),FALSE())))</f>
        <v> </v>
      </c>
      <c r="AJ251" s="321" t="str">
        <f aca="false">IF($A251="N/A"," ",(VLOOKUP($A251,OffPwrVolTable,(IF(VolBMO4=2,3,IF(VolBMO4=1,2,4))),FALSE())*VLOOKUP(MONTH($A251),Volscale,2)))</f>
        <v> </v>
      </c>
      <c r="AK251" s="321" t="str">
        <f aca="false">IF($A251="N/A"," ",IF(VolType4=1,AJ251,AI251))</f>
        <v> </v>
      </c>
      <c r="AL251" s="321" t="str">
        <f aca="false">IF($A251="N/A"," ",IF(PV=1,0,'Pricing Inputs4'!R284))</f>
        <v> </v>
      </c>
      <c r="AM251" s="323" t="str">
        <f aca="false">IF($A251="N/A"," ",(1+AL251/2)^(-2*((EOMONTH(A251,0)+20)-DateToday)/365.25))</f>
        <v> </v>
      </c>
      <c r="BQ251" s="0" t="str">
        <f aca="false">IF($A251="N/A"," ",(VLOOKUP($A251,NumberofDaysTable,2)))</f>
        <v> </v>
      </c>
      <c r="BR251" s="0" t="str">
        <f aca="false">IF($A251="N/A"," ",(VLOOKUP($A251,NumberofDaysTable,3)))</f>
        <v> </v>
      </c>
      <c r="BS251" s="0" t="str">
        <f aca="false">IF($A251="N/A"," ",(VLOOKUP($A251,NumberofDaysTable,4)))</f>
        <v> </v>
      </c>
    </row>
    <row r="252" customFormat="false" ht="12.75" hidden="false" customHeight="false" outlineLevel="0" collapsed="false">
      <c r="A252" s="315" t="str">
        <f aca="false">IF(A251="N/A","N/A",IF(EDATE(A251,1)&gt;Inputs!$R$5,"N/A",EDATE(A251,1)))</f>
        <v>N/A</v>
      </c>
      <c r="B252" s="316" t="str">
        <f aca="false">IF(A252="N/A"," ",YEAR(A252))</f>
        <v> </v>
      </c>
      <c r="C252" s="317" t="str">
        <f aca="false">IF($A252="N/A"," ",IF(Dayrun4=10,0,IF(Scaler4=1,(VLOOKUP(A252,ScaledPrice4,4)),(VLOOKUP(A252,ScaledPrice4,2)))))</f>
        <v> </v>
      </c>
      <c r="D252" s="317" t="str">
        <f aca="false">IF(A252="N/A"," ",IF(Dayrun4&gt;=7,0,IF(Scaler4=2,VLOOKUP(A252,ScaledPrice4,2),(VLOOKUP(A252,ScaledPrice4,2))*(2-(VLOOKUP(A252,ScaledPrice4,3))))))</f>
        <v> </v>
      </c>
      <c r="E252" s="317" t="str">
        <f aca="false">IF($A252="N/A"," ",IF(AND(Dayrun4&gt;=4,Dayrun4&lt;=9),0,VLOOKUP($A252,ScaledPrice4,9)))</f>
        <v> </v>
      </c>
      <c r="F252" s="317" t="str">
        <f aca="false">IF(A252="N/A"," ",IF(OR(Dayrun4=2,Dayrun4=3,Dayrun4=5,Dayrun4=6,Dayrun4=8,Dayrun4=9),VLOOKUP(A252,ScaledPrice4,IF(Scaler4=1,6,5)),0))</f>
        <v> </v>
      </c>
      <c r="G252" s="317" t="str">
        <f aca="false">IF(A252="N/A"," ",IF(OR(Dayrun4=2,Dayrun4=3,Dayrun4=5,Dayrun4=6),IF(Scaler4=2,F252,(VLOOKUP(A252,ScaledPrice4,5))*(2-(VLOOKUP(A252,ScaledPrice4,3)))),0))</f>
        <v> </v>
      </c>
      <c r="H252" s="317" t="str">
        <f aca="false">IF($A252="N/A"," ",IF(OR(Dayrun4=2,Dayrun4=3,Dayrun4=10),VLOOKUP($A252,ScaledPrice4,9),0))</f>
        <v> </v>
      </c>
      <c r="I252" s="317" t="str">
        <f aca="false">IF(A252="N/A"," ",IF(OR(Dayrun4=3,Dayrun4=6,Dayrun4=9),(VLOOKUP(A252,ScaledPrice4,IF(Scaler4=2,7,8))),0))</f>
        <v> </v>
      </c>
      <c r="J252" s="317" t="str">
        <f aca="false">IF(A252="N/A"," ",IF(OR(Dayrun4=3,Dayrun4=6),IF(Scaler4=2,I252,(VLOOKUP(A252,ScaledPrice4,7))*(2-(VLOOKUP(A252,ScaledPrice4,3)))),0))</f>
        <v> </v>
      </c>
      <c r="K252" s="317" t="str">
        <f aca="false">IF($A252="N/A"," ",IF(OR(Dayrun4=3,Dayrun4=10),VLOOKUP($A252,ScaledPrice4,9),0))</f>
        <v> </v>
      </c>
      <c r="L252" s="318" t="str">
        <f aca="false">IF($A252="N/A"," ",IF(Pricetype4=2,MAX(C252,0),IF(OR(Pricetype4=1,Pricetype4=4),IF(C252=0,0,(EURO(C252,Strikeprice4,0,0,($AH252+IF(Smile=TRUE(),VLOOKUP(MAX(-5,Strikeprice4-C252),Volsmile,2),0)),($A252-DateToday)+15,IF(Pricetype4=1,1,0),0))),C252)))</f>
        <v> </v>
      </c>
      <c r="M252" s="318" t="str">
        <f aca="false">IF($A252="N/A"," ",IF(Pricetype4=2,MAX(D252,0),IF(OR(Pricetype4=1,Pricetype4=4),IF(D252=0,0,(EURO(D252,Strikeprice4,0,0,($AH252+IF(Smile=TRUE(),VLOOKUP(MAX(-5,Strikeprice4-D252),Volsmile,2),0)),($A252-DateToday)+15,IF(Pricetype4=1,1,0),0))),D252)))</f>
        <v> </v>
      </c>
      <c r="N252" s="318" t="str">
        <f aca="false">IF($A252="N/A"," ",IF(Pricetype4=2,MAX(E252,0),IF(OR(Pricetype4=1,Pricetype4=4),IF(E252=0,0,(EURO(E252,Strikeprice4,0,0,($AK252+IF(Smile=TRUE(),VLOOKUP(MAX(-5,Strikeprice4-E252),Volsmile,2),0)),($A252-DateToday)+15,IF(Pricetype4=1,1,0),0))),E252)))</f>
        <v> </v>
      </c>
      <c r="O252" s="318" t="str">
        <f aca="false">IF($A252="N/A"," ",IF(Pricetype4=2,MAX(F252,0),IF(OR(Pricetype4=1,Pricetype4=4),IF(F252=0,0,(EURO(F252,Strikeprice4,0,0,($AK252+IF(Smile=TRUE(),VLOOKUP(MAX(-5,Strikeprice4-F252),Volsmile,2),0)),($A252-DateToday)+15,IF(Pricetype4=1,1,0),0))),F252)))</f>
        <v> </v>
      </c>
      <c r="P252" s="318" t="str">
        <f aca="false">IF($A252="N/A"," ",IF(Pricetype4=2,MAX(G252,0),IF(OR(Pricetype4=1,Pricetype4=4),IF(G252=0,0,(EURO(G252,Strikeprice4,0,0,($AK252+IF(Smile=TRUE(),VLOOKUP(MAX(-5,Strikeprice4-G252),Volsmile,2),0)),($A252-DateToday)+15,IF(Pricetype4=1,1,0),0))),G252)))</f>
        <v> </v>
      </c>
      <c r="Q252" s="318" t="str">
        <f aca="false">IF($A252="N/A"," ",IF(Pricetype4=2,MAX(H252,0),IF(OR(Pricetype4=1,Pricetype4=4),IF(H252=0,0,(EURO(H252,Strikeprice4,0,0,($AK252+IF(Smile=TRUE(),VLOOKUP(MAX(-5,Strikeprice4-H252),Volsmile,2),0)),($A252-DateToday)+15,IF(Pricetype4=1,1,0),0))),H252)))</f>
        <v> </v>
      </c>
      <c r="R252" s="318" t="str">
        <f aca="false">IF($A252="N/A"," ",IF(Pricetype4=2,MAX(I252,0),IF(OR(Pricetype4=1,Pricetype4=4),IF(I252=0,0,(EURO(I252,Strikeprice4,0,0,($AK252+IF(Smile=TRUE(),VLOOKUP(MAX(-5,Strikeprice4-I252),Volsmile,2),0)),($A252-DateToday)+15,IF(Pricetype4=1,1,0),0))),I252)))</f>
        <v> </v>
      </c>
      <c r="S252" s="318" t="str">
        <f aca="false">IF($A252="N/A"," ",IF(Pricetype4=2,MAX(J252,0),IF(OR(Pricetype4=1,Pricetype4=4),IF(J252=0,0,(EURO(J252,Strikeprice4,0,0,($AK252+IF(Smile=TRUE(),VLOOKUP(MAX(-5,Strikeprice4-J252),Volsmile,2),0)),($A252-DateToday)+15,IF(Pricetype4=1,1,0),0))),J252)))</f>
        <v> </v>
      </c>
      <c r="T252" s="318" t="str">
        <f aca="false">IF($A252="N/A"," ",IF(Pricetype4=2,MAX(K252,0),IF(OR(Pricetype4=1,Pricetype4=4),IF(K252=0,0,(EURO(K252,Strikeprice4,0,0,($AK252+IF(Smile=TRUE(),VLOOKUP(MAX(-5,Strikeprice4-K252),Volsmile,2),0)),($A252-DateToday)+15,IF(Pricetype4=1,1,0),0))),K252)))</f>
        <v> </v>
      </c>
      <c r="U252" s="319" t="str">
        <f aca="false">IF($A252="N/A"," ",Volume4*$AM252)</f>
        <v> </v>
      </c>
      <c r="V252" s="320" t="str">
        <f aca="false">IF($A252="N/A"," ",$U252*(8*($BQ252))*L252)</f>
        <v> </v>
      </c>
      <c r="W252" s="320" t="str">
        <f aca="false">IF($A252="N/A"," ",$U252*(8*($BQ252))*M252)</f>
        <v> </v>
      </c>
      <c r="X252" s="320" t="str">
        <f aca="false">IF($A252="N/A"," ",$U252*(8*($BQ252))*N252)</f>
        <v> </v>
      </c>
      <c r="Y252" s="320" t="str">
        <f aca="false">IF($A252="N/A"," ",$U252*(8*($BR252))*O252)</f>
        <v> </v>
      </c>
      <c r="Z252" s="320" t="str">
        <f aca="false">IF($A252="N/A"," ",$U252*(8*($BR252))*P252)</f>
        <v> </v>
      </c>
      <c r="AA252" s="320" t="str">
        <f aca="false">IF($A252="N/A"," ",$U252*(8*($BR252))*Q252)</f>
        <v> </v>
      </c>
      <c r="AB252" s="320" t="str">
        <f aca="false">IF($A252="N/A"," ",$U252*(8*($BS252))*R252)</f>
        <v> </v>
      </c>
      <c r="AC252" s="320" t="str">
        <f aca="false">IF($A252="N/A"," ",$U252*(8*($BS252))*S252)</f>
        <v> </v>
      </c>
      <c r="AD252" s="320" t="str">
        <f aca="false">IF($A252="N/A"," ",$U252*(8*($BS252))*T252)</f>
        <v> </v>
      </c>
      <c r="AE252" s="320" t="str">
        <f aca="false">IF($A252="N/A"," ",SUM(V252:AD252))</f>
        <v> </v>
      </c>
      <c r="AF252" s="321" t="str">
        <f aca="false">IF(A252="N/A"," ",(VLOOKUP(A252,PowerVolTable,(IF(VolBMO4=2,7,IF(VolBMO4=1,6,8))),FALSE())))</f>
        <v> </v>
      </c>
      <c r="AG252" s="321" t="str">
        <f aca="false">IF(A252="N/A"," ",(VLOOKUP(A252,IntraPowerVol,(IF(VolBMO4=2,3,IF(VolBMO4=1,2,4))),FALSE())*VLOOKUP(MONTH($A252),Volscale,2)))</f>
        <v> </v>
      </c>
      <c r="AH252" s="321" t="str">
        <f aca="false">IF($A252="N/A"," ",IF(VolType4=1,AG252,AF252))</f>
        <v> </v>
      </c>
      <c r="AI252" s="321" t="str">
        <f aca="false">IF($A252="N/A"," ",(VLOOKUP($A252,OffPwrVolTable,(IF(VolBMO4=2,7,IF(VolBMO4=1,6,8))),FALSE())))</f>
        <v> </v>
      </c>
      <c r="AJ252" s="321" t="str">
        <f aca="false">IF($A252="N/A"," ",(VLOOKUP($A252,OffPwrVolTable,(IF(VolBMO4=2,3,IF(VolBMO4=1,2,4))),FALSE())*VLOOKUP(MONTH($A252),Volscale,2)))</f>
        <v> </v>
      </c>
      <c r="AK252" s="321" t="str">
        <f aca="false">IF($A252="N/A"," ",IF(VolType4=1,AJ252,AI252))</f>
        <v> </v>
      </c>
      <c r="AL252" s="321" t="str">
        <f aca="false">IF($A252="N/A"," ",IF(PV=1,0,'Pricing Inputs4'!R285))</f>
        <v> </v>
      </c>
      <c r="AM252" s="323" t="str">
        <f aca="false">IF($A252="N/A"," ",(1+AL252/2)^(-2*((EOMONTH(A252,0)+20)-DateToday)/365.25))</f>
        <v> </v>
      </c>
      <c r="BQ252" s="0" t="str">
        <f aca="false">IF($A252="N/A"," ",(VLOOKUP($A252,NumberofDaysTable,2)))</f>
        <v> </v>
      </c>
      <c r="BR252" s="0" t="str">
        <f aca="false">IF($A252="N/A"," ",(VLOOKUP($A252,NumberofDaysTable,3)))</f>
        <v> </v>
      </c>
      <c r="BS252" s="0" t="str">
        <f aca="false">IF($A252="N/A"," ",(VLOOKUP($A252,NumberofDaysTable,4)))</f>
        <v> </v>
      </c>
    </row>
    <row r="253" customFormat="false" ht="12.75" hidden="false" customHeight="false" outlineLevel="0" collapsed="false">
      <c r="A253" s="315" t="str">
        <f aca="false">IF(A252="N/A","N/A",IF(EDATE(A252,1)&gt;Inputs!$R$5,"N/A",EDATE(A252,1)))</f>
        <v>N/A</v>
      </c>
      <c r="B253" s="316" t="str">
        <f aca="false">IF(A253="N/A"," ",YEAR(A253))</f>
        <v> </v>
      </c>
      <c r="C253" s="317" t="str">
        <f aca="false">IF($A253="N/A"," ",IF(Dayrun4=10,0,IF(Scaler4=1,(VLOOKUP(A253,ScaledPrice4,4)),(VLOOKUP(A253,ScaledPrice4,2)))))</f>
        <v> </v>
      </c>
      <c r="D253" s="317" t="str">
        <f aca="false">IF(A253="N/A"," ",IF(Dayrun4&gt;=7,0,IF(Scaler4=2,VLOOKUP(A253,ScaledPrice4,2),(VLOOKUP(A253,ScaledPrice4,2))*(2-(VLOOKUP(A253,ScaledPrice4,3))))))</f>
        <v> </v>
      </c>
      <c r="E253" s="317" t="str">
        <f aca="false">IF($A253="N/A"," ",IF(AND(Dayrun4&gt;=4,Dayrun4&lt;=9),0,VLOOKUP($A253,ScaledPrice4,9)))</f>
        <v> </v>
      </c>
      <c r="F253" s="317" t="str">
        <f aca="false">IF(A253="N/A"," ",IF(OR(Dayrun4=2,Dayrun4=3,Dayrun4=5,Dayrun4=6,Dayrun4=8,Dayrun4=9),VLOOKUP(A253,ScaledPrice4,IF(Scaler4=1,6,5)),0))</f>
        <v> </v>
      </c>
      <c r="G253" s="317" t="str">
        <f aca="false">IF(A253="N/A"," ",IF(OR(Dayrun4=2,Dayrun4=3,Dayrun4=5,Dayrun4=6),IF(Scaler4=2,F253,(VLOOKUP(A253,ScaledPrice4,5))*(2-(VLOOKUP(A253,ScaledPrice4,3)))),0))</f>
        <v> </v>
      </c>
      <c r="H253" s="317" t="str">
        <f aca="false">IF($A253="N/A"," ",IF(OR(Dayrun4=2,Dayrun4=3,Dayrun4=10),VLOOKUP($A253,ScaledPrice4,9),0))</f>
        <v> </v>
      </c>
      <c r="I253" s="317" t="str">
        <f aca="false">IF(A253="N/A"," ",IF(OR(Dayrun4=3,Dayrun4=6,Dayrun4=9),(VLOOKUP(A253,ScaledPrice4,IF(Scaler4=2,7,8))),0))</f>
        <v> </v>
      </c>
      <c r="J253" s="317" t="str">
        <f aca="false">IF(A253="N/A"," ",IF(OR(Dayrun4=3,Dayrun4=6),IF(Scaler4=2,I253,(VLOOKUP(A253,ScaledPrice4,7))*(2-(VLOOKUP(A253,ScaledPrice4,3)))),0))</f>
        <v> </v>
      </c>
      <c r="K253" s="317" t="str">
        <f aca="false">IF($A253="N/A"," ",IF(OR(Dayrun4=3,Dayrun4=10),VLOOKUP($A253,ScaledPrice4,9),0))</f>
        <v> </v>
      </c>
      <c r="L253" s="318" t="str">
        <f aca="false">IF($A253="N/A"," ",IF(Pricetype4=2,MAX(C253,0),IF(OR(Pricetype4=1,Pricetype4=4),IF(C253=0,0,(EURO(C253,Strikeprice4,0,0,($AH253+IF(Smile=TRUE(),VLOOKUP(MAX(-5,Strikeprice4-C253),Volsmile,2),0)),($A253-DateToday)+15,IF(Pricetype4=1,1,0),0))),C253)))</f>
        <v> </v>
      </c>
      <c r="M253" s="318" t="str">
        <f aca="false">IF($A253="N/A"," ",IF(Pricetype4=2,MAX(D253,0),IF(OR(Pricetype4=1,Pricetype4=4),IF(D253=0,0,(EURO(D253,Strikeprice4,0,0,($AH253+IF(Smile=TRUE(),VLOOKUP(MAX(-5,Strikeprice4-D253),Volsmile,2),0)),($A253-DateToday)+15,IF(Pricetype4=1,1,0),0))),D253)))</f>
        <v> </v>
      </c>
      <c r="N253" s="318" t="str">
        <f aca="false">IF($A253="N/A"," ",IF(Pricetype4=2,MAX(E253,0),IF(OR(Pricetype4=1,Pricetype4=4),IF(E253=0,0,(EURO(E253,Strikeprice4,0,0,($AK253+IF(Smile=TRUE(),VLOOKUP(MAX(-5,Strikeprice4-E253),Volsmile,2),0)),($A253-DateToday)+15,IF(Pricetype4=1,1,0),0))),E253)))</f>
        <v> </v>
      </c>
      <c r="O253" s="318" t="str">
        <f aca="false">IF($A253="N/A"," ",IF(Pricetype4=2,MAX(F253,0),IF(OR(Pricetype4=1,Pricetype4=4),IF(F253=0,0,(EURO(F253,Strikeprice4,0,0,($AK253+IF(Smile=TRUE(),VLOOKUP(MAX(-5,Strikeprice4-F253),Volsmile,2),0)),($A253-DateToday)+15,IF(Pricetype4=1,1,0),0))),F253)))</f>
        <v> </v>
      </c>
      <c r="P253" s="318" t="str">
        <f aca="false">IF($A253="N/A"," ",IF(Pricetype4=2,MAX(G253,0),IF(OR(Pricetype4=1,Pricetype4=4),IF(G253=0,0,(EURO(G253,Strikeprice4,0,0,($AK253+IF(Smile=TRUE(),VLOOKUP(MAX(-5,Strikeprice4-G253),Volsmile,2),0)),($A253-DateToday)+15,IF(Pricetype4=1,1,0),0))),G253)))</f>
        <v> </v>
      </c>
      <c r="Q253" s="318" t="str">
        <f aca="false">IF($A253="N/A"," ",IF(Pricetype4=2,MAX(H253,0),IF(OR(Pricetype4=1,Pricetype4=4),IF(H253=0,0,(EURO(H253,Strikeprice4,0,0,($AK253+IF(Smile=TRUE(),VLOOKUP(MAX(-5,Strikeprice4-H253),Volsmile,2),0)),($A253-DateToday)+15,IF(Pricetype4=1,1,0),0))),H253)))</f>
        <v> </v>
      </c>
      <c r="R253" s="318" t="str">
        <f aca="false">IF($A253="N/A"," ",IF(Pricetype4=2,MAX(I253,0),IF(OR(Pricetype4=1,Pricetype4=4),IF(I253=0,0,(EURO(I253,Strikeprice4,0,0,($AK253+IF(Smile=TRUE(),VLOOKUP(MAX(-5,Strikeprice4-I253),Volsmile,2),0)),($A253-DateToday)+15,IF(Pricetype4=1,1,0),0))),I253)))</f>
        <v> </v>
      </c>
      <c r="S253" s="318" t="str">
        <f aca="false">IF($A253="N/A"," ",IF(Pricetype4=2,MAX(J253,0),IF(OR(Pricetype4=1,Pricetype4=4),IF(J253=0,0,(EURO(J253,Strikeprice4,0,0,($AK253+IF(Smile=TRUE(),VLOOKUP(MAX(-5,Strikeprice4-J253),Volsmile,2),0)),($A253-DateToday)+15,IF(Pricetype4=1,1,0),0))),J253)))</f>
        <v> </v>
      </c>
      <c r="T253" s="318" t="str">
        <f aca="false">IF($A253="N/A"," ",IF(Pricetype4=2,MAX(K253,0),IF(OR(Pricetype4=1,Pricetype4=4),IF(K253=0,0,(EURO(K253,Strikeprice4,0,0,($AK253+IF(Smile=TRUE(),VLOOKUP(MAX(-5,Strikeprice4-K253),Volsmile,2),0)),($A253-DateToday)+15,IF(Pricetype4=1,1,0),0))),K253)))</f>
        <v> </v>
      </c>
      <c r="U253" s="319" t="str">
        <f aca="false">IF($A253="N/A"," ",Volume4*$AM253)</f>
        <v> </v>
      </c>
      <c r="V253" s="320" t="str">
        <f aca="false">IF($A253="N/A"," ",$U253*(8*($BQ253))*L253)</f>
        <v> </v>
      </c>
      <c r="W253" s="320" t="str">
        <f aca="false">IF($A253="N/A"," ",$U253*(8*($BQ253))*M253)</f>
        <v> </v>
      </c>
      <c r="X253" s="320" t="str">
        <f aca="false">IF($A253="N/A"," ",$U253*(8*($BQ253))*N253)</f>
        <v> </v>
      </c>
      <c r="Y253" s="320" t="str">
        <f aca="false">IF($A253="N/A"," ",$U253*(8*($BR253))*O253)</f>
        <v> </v>
      </c>
      <c r="Z253" s="320" t="str">
        <f aca="false">IF($A253="N/A"," ",$U253*(8*($BR253))*P253)</f>
        <v> </v>
      </c>
      <c r="AA253" s="320" t="str">
        <f aca="false">IF($A253="N/A"," ",$U253*(8*($BR253))*Q253)</f>
        <v> </v>
      </c>
      <c r="AB253" s="320" t="str">
        <f aca="false">IF($A253="N/A"," ",$U253*(8*($BS253))*R253)</f>
        <v> </v>
      </c>
      <c r="AC253" s="320" t="str">
        <f aca="false">IF($A253="N/A"," ",$U253*(8*($BS253))*S253)</f>
        <v> </v>
      </c>
      <c r="AD253" s="320" t="str">
        <f aca="false">IF($A253="N/A"," ",$U253*(8*($BS253))*T253)</f>
        <v> </v>
      </c>
      <c r="AE253" s="320" t="str">
        <f aca="false">IF($A253="N/A"," ",SUM(V253:AD253))</f>
        <v> </v>
      </c>
      <c r="AF253" s="321" t="str">
        <f aca="false">IF(A253="N/A"," ",(VLOOKUP(A253,PowerVolTable,(IF(VolBMO4=2,7,IF(VolBMO4=1,6,8))),FALSE())))</f>
        <v> </v>
      </c>
      <c r="AG253" s="321" t="str">
        <f aca="false">IF(A253="N/A"," ",(VLOOKUP(A253,IntraPowerVol,(IF(VolBMO4=2,3,IF(VolBMO4=1,2,4))),FALSE())*VLOOKUP(MONTH($A253),Volscale,2)))</f>
        <v> </v>
      </c>
      <c r="AH253" s="321" t="str">
        <f aca="false">IF($A253="N/A"," ",IF(VolType4=1,AG253,AF253))</f>
        <v> </v>
      </c>
      <c r="AI253" s="321" t="str">
        <f aca="false">IF($A253="N/A"," ",(VLOOKUP($A253,OffPwrVolTable,(IF(VolBMO4=2,7,IF(VolBMO4=1,6,8))),FALSE())))</f>
        <v> </v>
      </c>
      <c r="AJ253" s="321" t="str">
        <f aca="false">IF($A253="N/A"," ",(VLOOKUP($A253,OffPwrVolTable,(IF(VolBMO4=2,3,IF(VolBMO4=1,2,4))),FALSE())*VLOOKUP(MONTH($A253),Volscale,2)))</f>
        <v> </v>
      </c>
      <c r="AK253" s="321" t="str">
        <f aca="false">IF($A253="N/A"," ",IF(VolType4=1,AJ253,AI253))</f>
        <v> </v>
      </c>
      <c r="AL253" s="321" t="str">
        <f aca="false">IF($A253="N/A"," ",IF(PV=1,0,'Pricing Inputs4'!R286))</f>
        <v> </v>
      </c>
      <c r="AM253" s="323" t="str">
        <f aca="false">IF($A253="N/A"," ",(1+AL253/2)^(-2*((EOMONTH(A253,0)+20)-DateToday)/365.25))</f>
        <v> </v>
      </c>
      <c r="BQ253" s="0" t="str">
        <f aca="false">IF($A253="N/A"," ",(VLOOKUP($A253,NumberofDaysTable,2)))</f>
        <v> </v>
      </c>
      <c r="BR253" s="0" t="str">
        <f aca="false">IF($A253="N/A"," ",(VLOOKUP($A253,NumberofDaysTable,3)))</f>
        <v> </v>
      </c>
      <c r="BS253" s="0" t="str">
        <f aca="false">IF($A253="N/A"," ",(VLOOKUP($A253,NumberofDaysTable,4)))</f>
        <v> </v>
      </c>
    </row>
    <row r="254" customFormat="false" ht="12.75" hidden="false" customHeight="false" outlineLevel="0" collapsed="false">
      <c r="A254" s="315" t="str">
        <f aca="false">IF(A253="N/A","N/A",IF(EDATE(A253,1)&gt;Inputs!$R$5,"N/A",EDATE(A253,1)))</f>
        <v>N/A</v>
      </c>
      <c r="B254" s="316" t="str">
        <f aca="false">IF(A254="N/A"," ",YEAR(A254))</f>
        <v> </v>
      </c>
      <c r="C254" s="317" t="str">
        <f aca="false">IF($A254="N/A"," ",IF(Dayrun4=10,0,IF(Scaler4=1,(VLOOKUP(A254,ScaledPrice4,4)),(VLOOKUP(A254,ScaledPrice4,2)))))</f>
        <v> </v>
      </c>
      <c r="D254" s="317" t="str">
        <f aca="false">IF(A254="N/A"," ",IF(Dayrun4&gt;=7,0,IF(Scaler4=2,VLOOKUP(A254,ScaledPrice4,2),(VLOOKUP(A254,ScaledPrice4,2))*(2-(VLOOKUP(A254,ScaledPrice4,3))))))</f>
        <v> </v>
      </c>
      <c r="E254" s="317" t="str">
        <f aca="false">IF($A254="N/A"," ",IF(AND(Dayrun4&gt;=4,Dayrun4&lt;=9),0,VLOOKUP($A254,ScaledPrice4,9)))</f>
        <v> </v>
      </c>
      <c r="F254" s="317" t="str">
        <f aca="false">IF(A254="N/A"," ",IF(OR(Dayrun4=2,Dayrun4=3,Dayrun4=5,Dayrun4=6,Dayrun4=8,Dayrun4=9),VLOOKUP(A254,ScaledPrice4,IF(Scaler4=1,6,5)),0))</f>
        <v> </v>
      </c>
      <c r="G254" s="317" t="str">
        <f aca="false">IF(A254="N/A"," ",IF(OR(Dayrun4=2,Dayrun4=3,Dayrun4=5,Dayrun4=6),IF(Scaler4=2,F254,(VLOOKUP(A254,ScaledPrice4,5))*(2-(VLOOKUP(A254,ScaledPrice4,3)))),0))</f>
        <v> </v>
      </c>
      <c r="H254" s="317" t="str">
        <f aca="false">IF($A254="N/A"," ",IF(OR(Dayrun4=2,Dayrun4=3,Dayrun4=10),VLOOKUP($A254,ScaledPrice4,9),0))</f>
        <v> </v>
      </c>
      <c r="I254" s="317" t="str">
        <f aca="false">IF(A254="N/A"," ",IF(OR(Dayrun4=3,Dayrun4=6,Dayrun4=9),(VLOOKUP(A254,ScaledPrice4,IF(Scaler4=2,7,8))),0))</f>
        <v> </v>
      </c>
      <c r="J254" s="317" t="str">
        <f aca="false">IF(A254="N/A"," ",IF(OR(Dayrun4=3,Dayrun4=6),IF(Scaler4=2,I254,(VLOOKUP(A254,ScaledPrice4,7))*(2-(VLOOKUP(A254,ScaledPrice4,3)))),0))</f>
        <v> </v>
      </c>
      <c r="K254" s="317" t="str">
        <f aca="false">IF($A254="N/A"," ",IF(OR(Dayrun4=3,Dayrun4=10),VLOOKUP($A254,ScaledPrice4,9),0))</f>
        <v> </v>
      </c>
      <c r="L254" s="318" t="str">
        <f aca="false">IF($A254="N/A"," ",IF(Pricetype4=2,MAX(C254,0),IF(OR(Pricetype4=1,Pricetype4=4),IF(C254=0,0,(EURO(C254,Strikeprice4,0,0,($AH254+IF(Smile=TRUE(),VLOOKUP(MAX(-5,Strikeprice4-C254),Volsmile,2),0)),($A254-DateToday)+15,IF(Pricetype4=1,1,0),0))),C254)))</f>
        <v> </v>
      </c>
      <c r="M254" s="318" t="str">
        <f aca="false">IF($A254="N/A"," ",IF(Pricetype4=2,MAX(D254,0),IF(OR(Pricetype4=1,Pricetype4=4),IF(D254=0,0,(EURO(D254,Strikeprice4,0,0,($AH254+IF(Smile=TRUE(),VLOOKUP(MAX(-5,Strikeprice4-D254),Volsmile,2),0)),($A254-DateToday)+15,IF(Pricetype4=1,1,0),0))),D254)))</f>
        <v> </v>
      </c>
      <c r="N254" s="318" t="str">
        <f aca="false">IF($A254="N/A"," ",IF(Pricetype4=2,MAX(E254,0),IF(OR(Pricetype4=1,Pricetype4=4),IF(E254=0,0,(EURO(E254,Strikeprice4,0,0,($AK254+IF(Smile=TRUE(),VLOOKUP(MAX(-5,Strikeprice4-E254),Volsmile,2),0)),($A254-DateToday)+15,IF(Pricetype4=1,1,0),0))),E254)))</f>
        <v> </v>
      </c>
      <c r="O254" s="318" t="str">
        <f aca="false">IF($A254="N/A"," ",IF(Pricetype4=2,MAX(F254,0),IF(OR(Pricetype4=1,Pricetype4=4),IF(F254=0,0,(EURO(F254,Strikeprice4,0,0,($AK254+IF(Smile=TRUE(),VLOOKUP(MAX(-5,Strikeprice4-F254),Volsmile,2),0)),($A254-DateToday)+15,IF(Pricetype4=1,1,0),0))),F254)))</f>
        <v> </v>
      </c>
      <c r="P254" s="318" t="str">
        <f aca="false">IF($A254="N/A"," ",IF(Pricetype4=2,MAX(G254,0),IF(OR(Pricetype4=1,Pricetype4=4),IF(G254=0,0,(EURO(G254,Strikeprice4,0,0,($AK254+IF(Smile=TRUE(),VLOOKUP(MAX(-5,Strikeprice4-G254),Volsmile,2),0)),($A254-DateToday)+15,IF(Pricetype4=1,1,0),0))),G254)))</f>
        <v> </v>
      </c>
      <c r="Q254" s="318" t="str">
        <f aca="false">IF($A254="N/A"," ",IF(Pricetype4=2,MAX(H254,0),IF(OR(Pricetype4=1,Pricetype4=4),IF(H254=0,0,(EURO(H254,Strikeprice4,0,0,($AK254+IF(Smile=TRUE(),VLOOKUP(MAX(-5,Strikeprice4-H254),Volsmile,2),0)),($A254-DateToday)+15,IF(Pricetype4=1,1,0),0))),H254)))</f>
        <v> </v>
      </c>
      <c r="R254" s="318" t="str">
        <f aca="false">IF($A254="N/A"," ",IF(Pricetype4=2,MAX(I254,0),IF(OR(Pricetype4=1,Pricetype4=4),IF(I254=0,0,(EURO(I254,Strikeprice4,0,0,($AK254+IF(Smile=TRUE(),VLOOKUP(MAX(-5,Strikeprice4-I254),Volsmile,2),0)),($A254-DateToday)+15,IF(Pricetype4=1,1,0),0))),I254)))</f>
        <v> </v>
      </c>
      <c r="S254" s="318" t="str">
        <f aca="false">IF($A254="N/A"," ",IF(Pricetype4=2,MAX(J254,0),IF(OR(Pricetype4=1,Pricetype4=4),IF(J254=0,0,(EURO(J254,Strikeprice4,0,0,($AK254+IF(Smile=TRUE(),VLOOKUP(MAX(-5,Strikeprice4-J254),Volsmile,2),0)),($A254-DateToday)+15,IF(Pricetype4=1,1,0),0))),J254)))</f>
        <v> </v>
      </c>
      <c r="T254" s="318" t="str">
        <f aca="false">IF($A254="N/A"," ",IF(Pricetype4=2,MAX(K254,0),IF(OR(Pricetype4=1,Pricetype4=4),IF(K254=0,0,(EURO(K254,Strikeprice4,0,0,($AK254+IF(Smile=TRUE(),VLOOKUP(MAX(-5,Strikeprice4-K254),Volsmile,2),0)),($A254-DateToday)+15,IF(Pricetype4=1,1,0),0))),K254)))</f>
        <v> </v>
      </c>
      <c r="U254" s="319" t="str">
        <f aca="false">IF($A254="N/A"," ",Volume4*$AM254)</f>
        <v> </v>
      </c>
      <c r="V254" s="320" t="str">
        <f aca="false">IF($A254="N/A"," ",$U254*(8*($BQ254))*L254)</f>
        <v> </v>
      </c>
      <c r="W254" s="320" t="str">
        <f aca="false">IF($A254="N/A"," ",$U254*(8*($BQ254))*M254)</f>
        <v> </v>
      </c>
      <c r="X254" s="320" t="str">
        <f aca="false">IF($A254="N/A"," ",$U254*(8*($BQ254))*N254)</f>
        <v> </v>
      </c>
      <c r="Y254" s="320" t="str">
        <f aca="false">IF($A254="N/A"," ",$U254*(8*($BR254))*O254)</f>
        <v> </v>
      </c>
      <c r="Z254" s="320" t="str">
        <f aca="false">IF($A254="N/A"," ",$U254*(8*($BR254))*P254)</f>
        <v> </v>
      </c>
      <c r="AA254" s="320" t="str">
        <f aca="false">IF($A254="N/A"," ",$U254*(8*($BR254))*Q254)</f>
        <v> </v>
      </c>
      <c r="AB254" s="320" t="str">
        <f aca="false">IF($A254="N/A"," ",$U254*(8*($BS254))*R254)</f>
        <v> </v>
      </c>
      <c r="AC254" s="320" t="str">
        <f aca="false">IF($A254="N/A"," ",$U254*(8*($BS254))*S254)</f>
        <v> </v>
      </c>
      <c r="AD254" s="320" t="str">
        <f aca="false">IF($A254="N/A"," ",$U254*(8*($BS254))*T254)</f>
        <v> </v>
      </c>
      <c r="AE254" s="320" t="str">
        <f aca="false">IF($A254="N/A"," ",SUM(V254:AD254))</f>
        <v> </v>
      </c>
      <c r="AF254" s="321" t="str">
        <f aca="false">IF(A254="N/A"," ",(VLOOKUP(A254,PowerVolTable,(IF(VolBMO4=2,7,IF(VolBMO4=1,6,8))),FALSE())))</f>
        <v> </v>
      </c>
      <c r="AG254" s="321" t="str">
        <f aca="false">IF(A254="N/A"," ",(VLOOKUP(A254,IntraPowerVol,(IF(VolBMO4=2,3,IF(VolBMO4=1,2,4))),FALSE())*VLOOKUP(MONTH($A254),Volscale,2)))</f>
        <v> </v>
      </c>
      <c r="AH254" s="321" t="str">
        <f aca="false">IF($A254="N/A"," ",IF(VolType4=1,AG254,AF254))</f>
        <v> </v>
      </c>
      <c r="AI254" s="321" t="str">
        <f aca="false">IF($A254="N/A"," ",(VLOOKUP($A254,OffPwrVolTable,(IF(VolBMO4=2,7,IF(VolBMO4=1,6,8))),FALSE())))</f>
        <v> </v>
      </c>
      <c r="AJ254" s="321" t="str">
        <f aca="false">IF($A254="N/A"," ",(VLOOKUP($A254,OffPwrVolTable,(IF(VolBMO4=2,3,IF(VolBMO4=1,2,4))),FALSE())*VLOOKUP(MONTH($A254),Volscale,2)))</f>
        <v> </v>
      </c>
      <c r="AK254" s="321" t="str">
        <f aca="false">IF($A254="N/A"," ",IF(VolType4=1,AJ254,AI254))</f>
        <v> </v>
      </c>
      <c r="AL254" s="321" t="str">
        <f aca="false">IF($A254="N/A"," ",IF(PV=1,0,'Pricing Inputs4'!R287))</f>
        <v> </v>
      </c>
      <c r="AM254" s="323" t="str">
        <f aca="false">IF($A254="N/A"," ",(1+AL254/2)^(-2*((EOMONTH(A254,0)+20)-DateToday)/365.25))</f>
        <v> </v>
      </c>
      <c r="BQ254" s="0" t="str">
        <f aca="false">IF($A254="N/A"," ",(VLOOKUP($A254,NumberofDaysTable,2)))</f>
        <v> </v>
      </c>
      <c r="BR254" s="0" t="str">
        <f aca="false">IF($A254="N/A"," ",(VLOOKUP($A254,NumberofDaysTable,3)))</f>
        <v> </v>
      </c>
      <c r="BS254" s="0" t="str">
        <f aca="false">IF($A254="N/A"," ",(VLOOKUP($A254,NumberofDaysTable,4)))</f>
        <v> </v>
      </c>
    </row>
    <row r="255" customFormat="false" ht="12.75" hidden="false" customHeight="false" outlineLevel="0" collapsed="false">
      <c r="A255" s="315" t="str">
        <f aca="false">IF(A254="N/A","N/A",IF(EDATE(A254,1)&gt;Inputs!$R$5,"N/A",EDATE(A254,1)))</f>
        <v>N/A</v>
      </c>
      <c r="B255" s="316" t="str">
        <f aca="false">IF(A255="N/A"," ",YEAR(A255))</f>
        <v> </v>
      </c>
      <c r="C255" s="317" t="str">
        <f aca="false">IF($A255="N/A"," ",IF(Dayrun4=10,0,IF(Scaler4=1,(VLOOKUP(A255,ScaledPrice4,4)),(VLOOKUP(A255,ScaledPrice4,2)))))</f>
        <v> </v>
      </c>
      <c r="D255" s="317" t="str">
        <f aca="false">IF(A255="N/A"," ",IF(Dayrun4&gt;=7,0,IF(Scaler4=2,VLOOKUP(A255,ScaledPrice4,2),(VLOOKUP(A255,ScaledPrice4,2))*(2-(VLOOKUP(A255,ScaledPrice4,3))))))</f>
        <v> </v>
      </c>
      <c r="E255" s="317" t="str">
        <f aca="false">IF($A255="N/A"," ",IF(AND(Dayrun4&gt;=4,Dayrun4&lt;=9),0,VLOOKUP($A255,ScaledPrice4,9)))</f>
        <v> </v>
      </c>
      <c r="F255" s="317" t="str">
        <f aca="false">IF(A255="N/A"," ",IF(OR(Dayrun4=2,Dayrun4=3,Dayrun4=5,Dayrun4=6,Dayrun4=8,Dayrun4=9),VLOOKUP(A255,ScaledPrice4,IF(Scaler4=1,6,5)),0))</f>
        <v> </v>
      </c>
      <c r="G255" s="317" t="str">
        <f aca="false">IF(A255="N/A"," ",IF(OR(Dayrun4=2,Dayrun4=3,Dayrun4=5,Dayrun4=6),IF(Scaler4=2,F255,(VLOOKUP(A255,ScaledPrice4,5))*(2-(VLOOKUP(A255,ScaledPrice4,3)))),0))</f>
        <v> </v>
      </c>
      <c r="H255" s="317" t="str">
        <f aca="false">IF($A255="N/A"," ",IF(OR(Dayrun4=2,Dayrun4=3,Dayrun4=10),VLOOKUP($A255,ScaledPrice4,9),0))</f>
        <v> </v>
      </c>
      <c r="I255" s="317" t="str">
        <f aca="false">IF(A255="N/A"," ",IF(OR(Dayrun4=3,Dayrun4=6,Dayrun4=9),(VLOOKUP(A255,ScaledPrice4,IF(Scaler4=2,7,8))),0))</f>
        <v> </v>
      </c>
      <c r="J255" s="317" t="str">
        <f aca="false">IF(A255="N/A"," ",IF(OR(Dayrun4=3,Dayrun4=6),IF(Scaler4=2,I255,(VLOOKUP(A255,ScaledPrice4,7))*(2-(VLOOKUP(A255,ScaledPrice4,3)))),0))</f>
        <v> </v>
      </c>
      <c r="K255" s="317" t="str">
        <f aca="false">IF($A255="N/A"," ",IF(OR(Dayrun4=3,Dayrun4=10),VLOOKUP($A255,ScaledPrice4,9),0))</f>
        <v> </v>
      </c>
      <c r="L255" s="318" t="str">
        <f aca="false">IF($A255="N/A"," ",IF(Pricetype4=2,MAX(C255,0),IF(OR(Pricetype4=1,Pricetype4=4),IF(C255=0,0,(EURO(C255,Strikeprice4,0,0,($AH255+IF(Smile=TRUE(),VLOOKUP(MAX(-5,Strikeprice4-C255),Volsmile,2),0)),($A255-DateToday)+15,IF(Pricetype4=1,1,0),0))),C255)))</f>
        <v> </v>
      </c>
      <c r="M255" s="318" t="str">
        <f aca="false">IF($A255="N/A"," ",IF(Pricetype4=2,MAX(D255,0),IF(OR(Pricetype4=1,Pricetype4=4),IF(D255=0,0,(EURO(D255,Strikeprice4,0,0,($AH255+IF(Smile=TRUE(),VLOOKUP(MAX(-5,Strikeprice4-D255),Volsmile,2),0)),($A255-DateToday)+15,IF(Pricetype4=1,1,0),0))),D255)))</f>
        <v> </v>
      </c>
      <c r="N255" s="318" t="str">
        <f aca="false">IF($A255="N/A"," ",IF(Pricetype4=2,MAX(E255,0),IF(OR(Pricetype4=1,Pricetype4=4),IF(E255=0,0,(EURO(E255,Strikeprice4,0,0,($AK255+IF(Smile=TRUE(),VLOOKUP(MAX(-5,Strikeprice4-E255),Volsmile,2),0)),($A255-DateToday)+15,IF(Pricetype4=1,1,0),0))),E255)))</f>
        <v> </v>
      </c>
      <c r="O255" s="318" t="str">
        <f aca="false">IF($A255="N/A"," ",IF(Pricetype4=2,MAX(F255,0),IF(OR(Pricetype4=1,Pricetype4=4),IF(F255=0,0,(EURO(F255,Strikeprice4,0,0,($AK255+IF(Smile=TRUE(),VLOOKUP(MAX(-5,Strikeprice4-F255),Volsmile,2),0)),($A255-DateToday)+15,IF(Pricetype4=1,1,0),0))),F255)))</f>
        <v> </v>
      </c>
      <c r="P255" s="318" t="str">
        <f aca="false">IF($A255="N/A"," ",IF(Pricetype4=2,MAX(G255,0),IF(OR(Pricetype4=1,Pricetype4=4),IF(G255=0,0,(EURO(G255,Strikeprice4,0,0,($AK255+IF(Smile=TRUE(),VLOOKUP(MAX(-5,Strikeprice4-G255),Volsmile,2),0)),($A255-DateToday)+15,IF(Pricetype4=1,1,0),0))),G255)))</f>
        <v> </v>
      </c>
      <c r="Q255" s="318" t="str">
        <f aca="false">IF($A255="N/A"," ",IF(Pricetype4=2,MAX(H255,0),IF(OR(Pricetype4=1,Pricetype4=4),IF(H255=0,0,(EURO(H255,Strikeprice4,0,0,($AK255+IF(Smile=TRUE(),VLOOKUP(MAX(-5,Strikeprice4-H255),Volsmile,2),0)),($A255-DateToday)+15,IF(Pricetype4=1,1,0),0))),H255)))</f>
        <v> </v>
      </c>
      <c r="R255" s="318" t="str">
        <f aca="false">IF($A255="N/A"," ",IF(Pricetype4=2,MAX(I255,0),IF(OR(Pricetype4=1,Pricetype4=4),IF(I255=0,0,(EURO(I255,Strikeprice4,0,0,($AK255+IF(Smile=TRUE(),VLOOKUP(MAX(-5,Strikeprice4-I255),Volsmile,2),0)),($A255-DateToday)+15,IF(Pricetype4=1,1,0),0))),I255)))</f>
        <v> </v>
      </c>
      <c r="S255" s="318" t="str">
        <f aca="false">IF($A255="N/A"," ",IF(Pricetype4=2,MAX(J255,0),IF(OR(Pricetype4=1,Pricetype4=4),IF(J255=0,0,(EURO(J255,Strikeprice4,0,0,($AK255+IF(Smile=TRUE(),VLOOKUP(MAX(-5,Strikeprice4-J255),Volsmile,2),0)),($A255-DateToday)+15,IF(Pricetype4=1,1,0),0))),J255)))</f>
        <v> </v>
      </c>
      <c r="T255" s="318" t="str">
        <f aca="false">IF($A255="N/A"," ",IF(Pricetype4=2,MAX(K255,0),IF(OR(Pricetype4=1,Pricetype4=4),IF(K255=0,0,(EURO(K255,Strikeprice4,0,0,($AK255+IF(Smile=TRUE(),VLOOKUP(MAX(-5,Strikeprice4-K255),Volsmile,2),0)),($A255-DateToday)+15,IF(Pricetype4=1,1,0),0))),K255)))</f>
        <v> </v>
      </c>
      <c r="U255" s="319" t="str">
        <f aca="false">IF($A255="N/A"," ",Volume4*$AM255)</f>
        <v> </v>
      </c>
      <c r="V255" s="320" t="str">
        <f aca="false">IF($A255="N/A"," ",$U255*(8*($BQ255))*L255)</f>
        <v> </v>
      </c>
      <c r="W255" s="320" t="str">
        <f aca="false">IF($A255="N/A"," ",$U255*(8*($BQ255))*M255)</f>
        <v> </v>
      </c>
      <c r="X255" s="320" t="str">
        <f aca="false">IF($A255="N/A"," ",$U255*(8*($BQ255))*N255)</f>
        <v> </v>
      </c>
      <c r="Y255" s="320" t="str">
        <f aca="false">IF($A255="N/A"," ",$U255*(8*($BR255))*O255)</f>
        <v> </v>
      </c>
      <c r="Z255" s="320" t="str">
        <f aca="false">IF($A255="N/A"," ",$U255*(8*($BR255))*P255)</f>
        <v> </v>
      </c>
      <c r="AA255" s="320" t="str">
        <f aca="false">IF($A255="N/A"," ",$U255*(8*($BR255))*Q255)</f>
        <v> </v>
      </c>
      <c r="AB255" s="320" t="str">
        <f aca="false">IF($A255="N/A"," ",$U255*(8*($BS255))*R255)</f>
        <v> </v>
      </c>
      <c r="AC255" s="320" t="str">
        <f aca="false">IF($A255="N/A"," ",$U255*(8*($BS255))*S255)</f>
        <v> </v>
      </c>
      <c r="AD255" s="320" t="str">
        <f aca="false">IF($A255="N/A"," ",$U255*(8*($BS255))*T255)</f>
        <v> </v>
      </c>
      <c r="AE255" s="320" t="str">
        <f aca="false">IF($A255="N/A"," ",SUM(V255:AD255))</f>
        <v> </v>
      </c>
      <c r="AF255" s="321" t="str">
        <f aca="false">IF(A255="N/A"," ",(VLOOKUP(A255,PowerVolTable,(IF(VolBMO4=2,7,IF(VolBMO4=1,6,8))),FALSE())))</f>
        <v> </v>
      </c>
      <c r="AG255" s="321" t="str">
        <f aca="false">IF(A255="N/A"," ",(VLOOKUP(A255,IntraPowerVol,(IF(VolBMO4=2,3,IF(VolBMO4=1,2,4))),FALSE())*VLOOKUP(MONTH($A255),Volscale,2)))</f>
        <v> </v>
      </c>
      <c r="AH255" s="321" t="str">
        <f aca="false">IF($A255="N/A"," ",IF(VolType4=1,AG255,AF255))</f>
        <v> </v>
      </c>
      <c r="AI255" s="321" t="str">
        <f aca="false">IF($A255="N/A"," ",(VLOOKUP($A255,OffPwrVolTable,(IF(VolBMO4=2,7,IF(VolBMO4=1,6,8))),FALSE())))</f>
        <v> </v>
      </c>
      <c r="AJ255" s="321" t="str">
        <f aca="false">IF($A255="N/A"," ",(VLOOKUP($A255,OffPwrVolTable,(IF(VolBMO4=2,3,IF(VolBMO4=1,2,4))),FALSE())*VLOOKUP(MONTH($A255),Volscale,2)))</f>
        <v> </v>
      </c>
      <c r="AK255" s="321" t="str">
        <f aca="false">IF($A255="N/A"," ",IF(VolType4=1,AJ255,AI255))</f>
        <v> </v>
      </c>
      <c r="AL255" s="321" t="str">
        <f aca="false">IF($A255="N/A"," ",IF(PV=1,0,'Pricing Inputs4'!R288))</f>
        <v> </v>
      </c>
      <c r="AM255" s="323" t="str">
        <f aca="false">IF($A255="N/A"," ",(1+AL255/2)^(-2*((EOMONTH(A255,0)+20)-DateToday)/365.25))</f>
        <v> </v>
      </c>
      <c r="BQ255" s="0" t="str">
        <f aca="false">IF($A255="N/A"," ",(VLOOKUP($A255,NumberofDaysTable,2)))</f>
        <v> </v>
      </c>
      <c r="BR255" s="0" t="str">
        <f aca="false">IF($A255="N/A"," ",(VLOOKUP($A255,NumberofDaysTable,3)))</f>
        <v> </v>
      </c>
      <c r="BS255" s="0" t="str">
        <f aca="false">IF($A255="N/A"," ",(VLOOKUP($A255,NumberofDaysTable,4)))</f>
        <v> </v>
      </c>
    </row>
    <row r="256" customFormat="false" ht="12.75" hidden="false" customHeight="false" outlineLevel="0" collapsed="false">
      <c r="A256" s="325"/>
      <c r="B256" s="326"/>
      <c r="J256" s="73"/>
      <c r="K256" s="327"/>
    </row>
    <row r="257" customFormat="false" ht="12.75" hidden="false" customHeight="false" outlineLevel="0" collapsed="false">
      <c r="A257" s="325"/>
      <c r="B257" s="326"/>
      <c r="J257" s="73"/>
      <c r="K257" s="327"/>
    </row>
    <row r="258" customFormat="false" ht="12.75" hidden="false" customHeight="false" outlineLevel="0" collapsed="false">
      <c r="A258" s="325"/>
      <c r="B258" s="326"/>
      <c r="J258" s="73"/>
      <c r="K258" s="327"/>
    </row>
    <row r="259" customFormat="false" ht="12.75" hidden="false" customHeight="false" outlineLevel="0" collapsed="false">
      <c r="A259" s="325"/>
      <c r="B259" s="326"/>
      <c r="J259" s="73"/>
      <c r="K259" s="327"/>
    </row>
    <row r="260" customFormat="false" ht="12.75" hidden="false" customHeight="false" outlineLevel="0" collapsed="false">
      <c r="A260" s="325"/>
      <c r="B260" s="326"/>
      <c r="J260" s="73"/>
      <c r="K260" s="327"/>
    </row>
    <row r="261" customFormat="false" ht="12.75" hidden="false" customHeight="false" outlineLevel="0" collapsed="false">
      <c r="A261" s="325"/>
      <c r="B261" s="326"/>
      <c r="J261" s="73"/>
      <c r="K261" s="327"/>
    </row>
    <row r="262" customFormat="false" ht="12.75" hidden="false" customHeight="false" outlineLevel="0" collapsed="false">
      <c r="A262" s="325"/>
      <c r="B262" s="326"/>
      <c r="J262" s="73"/>
      <c r="K262" s="327"/>
    </row>
    <row r="263" customFormat="false" ht="12.75" hidden="false" customHeight="false" outlineLevel="0" collapsed="false">
      <c r="A263" s="325"/>
      <c r="B263" s="326"/>
      <c r="J263" s="73"/>
      <c r="K263" s="327"/>
    </row>
    <row r="264" customFormat="false" ht="12.75" hidden="false" customHeight="false" outlineLevel="0" collapsed="false">
      <c r="A264" s="325"/>
      <c r="B264" s="326"/>
      <c r="J264" s="73"/>
      <c r="K264" s="327"/>
    </row>
    <row r="265" customFormat="false" ht="12.75" hidden="false" customHeight="false" outlineLevel="0" collapsed="false">
      <c r="A265" s="325"/>
      <c r="B265" s="326"/>
      <c r="J265" s="73"/>
      <c r="K265" s="327"/>
    </row>
    <row r="266" customFormat="false" ht="12.75" hidden="false" customHeight="false" outlineLevel="0" collapsed="false">
      <c r="A266" s="325"/>
      <c r="B266" s="326"/>
      <c r="J266" s="73"/>
      <c r="K266" s="327"/>
    </row>
    <row r="267" customFormat="false" ht="12.75" hidden="false" customHeight="false" outlineLevel="0" collapsed="false">
      <c r="A267" s="325"/>
      <c r="B267" s="326"/>
      <c r="J267" s="73"/>
      <c r="K267" s="327"/>
    </row>
    <row r="268" customFormat="false" ht="12.75" hidden="false" customHeight="false" outlineLevel="0" collapsed="false">
      <c r="A268" s="325"/>
      <c r="B268" s="326"/>
      <c r="J268" s="73"/>
      <c r="K268" s="327"/>
    </row>
    <row r="269" customFormat="false" ht="12.75" hidden="false" customHeight="false" outlineLevel="0" collapsed="false">
      <c r="A269" s="325"/>
      <c r="B269" s="326"/>
      <c r="J269" s="73"/>
      <c r="K269" s="327"/>
    </row>
    <row r="270" customFormat="false" ht="12.75" hidden="false" customHeight="false" outlineLevel="0" collapsed="false">
      <c r="A270" s="325"/>
      <c r="B270" s="326"/>
      <c r="J270" s="73"/>
      <c r="K270" s="327"/>
    </row>
    <row r="271" customFormat="false" ht="12.75" hidden="false" customHeight="false" outlineLevel="0" collapsed="false">
      <c r="A271" s="325"/>
      <c r="B271" s="326"/>
      <c r="J271" s="73"/>
      <c r="K271" s="327"/>
    </row>
    <row r="272" customFormat="false" ht="12.75" hidden="false" customHeight="false" outlineLevel="0" collapsed="false">
      <c r="A272" s="325"/>
      <c r="B272" s="326"/>
      <c r="J272" s="73"/>
      <c r="K272" s="327"/>
    </row>
    <row r="273" customFormat="false" ht="12.75" hidden="false" customHeight="false" outlineLevel="0" collapsed="false">
      <c r="A273" s="325"/>
      <c r="B273" s="326"/>
      <c r="J273" s="73"/>
      <c r="K273" s="327"/>
    </row>
    <row r="274" customFormat="false" ht="12.75" hidden="false" customHeight="false" outlineLevel="0" collapsed="false">
      <c r="A274" s="325"/>
      <c r="B274" s="326"/>
      <c r="J274" s="73"/>
      <c r="K274" s="327"/>
    </row>
    <row r="275" customFormat="false" ht="12.75" hidden="false" customHeight="false" outlineLevel="0" collapsed="false">
      <c r="A275" s="325"/>
      <c r="B275" s="326"/>
      <c r="J275" s="73"/>
      <c r="K275" s="327"/>
    </row>
    <row r="276" customFormat="false" ht="12.75" hidden="false" customHeight="false" outlineLevel="0" collapsed="false">
      <c r="A276" s="325"/>
      <c r="B276" s="326"/>
      <c r="J276" s="73"/>
      <c r="K276" s="327"/>
    </row>
    <row r="277" customFormat="false" ht="12.75" hidden="false" customHeight="false" outlineLevel="0" collapsed="false">
      <c r="A277" s="325"/>
      <c r="B277" s="326"/>
      <c r="J277" s="73"/>
      <c r="K277" s="327"/>
    </row>
    <row r="278" customFormat="false" ht="12.75" hidden="false" customHeight="false" outlineLevel="0" collapsed="false">
      <c r="A278" s="325"/>
      <c r="B278" s="326"/>
      <c r="J278" s="73"/>
      <c r="K278" s="327"/>
    </row>
    <row r="279" customFormat="false" ht="12.75" hidden="false" customHeight="false" outlineLevel="0" collapsed="false">
      <c r="A279" s="325"/>
      <c r="B279" s="326"/>
      <c r="J279" s="73"/>
      <c r="K279" s="327"/>
    </row>
    <row r="280" customFormat="false" ht="12.75" hidden="false" customHeight="false" outlineLevel="0" collapsed="false">
      <c r="A280" s="325"/>
      <c r="B280" s="326"/>
      <c r="J280" s="73"/>
      <c r="K280" s="327"/>
    </row>
    <row r="281" customFormat="false" ht="12.75" hidden="false" customHeight="false" outlineLevel="0" collapsed="false">
      <c r="A281" s="325"/>
      <c r="B281" s="326"/>
      <c r="J281" s="73"/>
      <c r="K281" s="327"/>
    </row>
    <row r="282" customFormat="false" ht="12.75" hidden="false" customHeight="false" outlineLevel="0" collapsed="false">
      <c r="A282" s="325"/>
      <c r="B282" s="326"/>
      <c r="J282" s="73"/>
      <c r="K282" s="327"/>
    </row>
    <row r="283" customFormat="false" ht="12.75" hidden="false" customHeight="false" outlineLevel="0" collapsed="false">
      <c r="A283" s="325"/>
      <c r="B283" s="326"/>
      <c r="J283" s="73"/>
      <c r="K283" s="327"/>
    </row>
    <row r="284" customFormat="false" ht="12.75" hidden="false" customHeight="false" outlineLevel="0" collapsed="false">
      <c r="A284" s="325"/>
      <c r="B284" s="326"/>
      <c r="J284" s="73"/>
      <c r="K284" s="327"/>
    </row>
    <row r="285" customFormat="false" ht="12.75" hidden="false" customHeight="false" outlineLevel="0" collapsed="false">
      <c r="A285" s="325"/>
      <c r="B285" s="326"/>
      <c r="J285" s="73"/>
      <c r="K285" s="327"/>
    </row>
    <row r="286" customFormat="false" ht="12.75" hidden="false" customHeight="false" outlineLevel="0" collapsed="false">
      <c r="A286" s="325"/>
      <c r="B286" s="326"/>
      <c r="J286" s="73"/>
      <c r="K286" s="327"/>
    </row>
    <row r="287" customFormat="false" ht="12.75" hidden="false" customHeight="false" outlineLevel="0" collapsed="false">
      <c r="A287" s="325"/>
      <c r="B287" s="326"/>
      <c r="J287" s="73"/>
      <c r="K287" s="327"/>
    </row>
    <row r="288" customFormat="false" ht="12.75" hidden="false" customHeight="false" outlineLevel="0" collapsed="false">
      <c r="A288" s="325"/>
      <c r="B288" s="326"/>
      <c r="J288" s="73"/>
      <c r="K288" s="327"/>
    </row>
    <row r="289" customFormat="false" ht="12.75" hidden="false" customHeight="false" outlineLevel="0" collapsed="false">
      <c r="A289" s="325"/>
      <c r="B289" s="326"/>
      <c r="J289" s="73"/>
      <c r="K289" s="327"/>
    </row>
    <row r="290" customFormat="false" ht="12.75" hidden="false" customHeight="false" outlineLevel="0" collapsed="false">
      <c r="A290" s="325"/>
      <c r="B290" s="326"/>
      <c r="J290" s="73"/>
      <c r="K290" s="327"/>
    </row>
    <row r="291" customFormat="false" ht="12.75" hidden="false" customHeight="false" outlineLevel="0" collapsed="false">
      <c r="A291" s="325"/>
      <c r="B291" s="326"/>
      <c r="J291" s="73"/>
      <c r="K291" s="327"/>
    </row>
    <row r="292" customFormat="false" ht="12.75" hidden="false" customHeight="false" outlineLevel="0" collapsed="false">
      <c r="A292" s="325"/>
      <c r="B292" s="326"/>
      <c r="J292" s="73"/>
      <c r="K292" s="327"/>
    </row>
    <row r="293" customFormat="false" ht="12.75" hidden="false" customHeight="false" outlineLevel="0" collapsed="false">
      <c r="A293" s="325"/>
      <c r="B293" s="326"/>
      <c r="J293" s="73"/>
      <c r="K293" s="327"/>
    </row>
    <row r="294" customFormat="false" ht="12.75" hidden="false" customHeight="false" outlineLevel="0" collapsed="false">
      <c r="A294" s="325"/>
      <c r="B294" s="326"/>
      <c r="J294" s="73"/>
      <c r="K294" s="327"/>
    </row>
    <row r="295" customFormat="false" ht="12.75" hidden="false" customHeight="false" outlineLevel="0" collapsed="false">
      <c r="A295" s="325"/>
      <c r="B295" s="326"/>
      <c r="J295" s="73"/>
      <c r="K295" s="327"/>
    </row>
    <row r="296" customFormat="false" ht="12.75" hidden="false" customHeight="false" outlineLevel="0" collapsed="false">
      <c r="A296" s="325"/>
      <c r="B296" s="326"/>
      <c r="J296" s="73"/>
      <c r="K296" s="327"/>
    </row>
    <row r="297" customFormat="false" ht="12.75" hidden="false" customHeight="false" outlineLevel="0" collapsed="false">
      <c r="A297" s="325"/>
      <c r="B297" s="326"/>
      <c r="J297" s="73"/>
      <c r="K297" s="327"/>
    </row>
    <row r="298" customFormat="false" ht="12.75" hidden="false" customHeight="false" outlineLevel="0" collapsed="false">
      <c r="A298" s="325"/>
      <c r="B298" s="326"/>
      <c r="J298" s="73"/>
      <c r="K298" s="327"/>
    </row>
    <row r="299" customFormat="false" ht="12.75" hidden="false" customHeight="false" outlineLevel="0" collapsed="false">
      <c r="A299" s="325"/>
      <c r="B299" s="326"/>
      <c r="J299" s="73"/>
      <c r="K299" s="327"/>
    </row>
    <row r="300" customFormat="false" ht="12.75" hidden="false" customHeight="false" outlineLevel="0" collapsed="false">
      <c r="A300" s="325"/>
      <c r="B300" s="326"/>
      <c r="J300" s="73"/>
      <c r="K300" s="327"/>
    </row>
    <row r="301" customFormat="false" ht="12.75" hidden="false" customHeight="false" outlineLevel="0" collapsed="false">
      <c r="A301" s="325"/>
      <c r="B301" s="326"/>
      <c r="J301" s="73"/>
      <c r="K301" s="327"/>
    </row>
    <row r="302" customFormat="false" ht="12.75" hidden="false" customHeight="false" outlineLevel="0" collapsed="false">
      <c r="A302" s="325"/>
      <c r="B302" s="326"/>
      <c r="J302" s="73"/>
      <c r="K302" s="327"/>
    </row>
    <row r="303" customFormat="false" ht="12.75" hidden="false" customHeight="false" outlineLevel="0" collapsed="false">
      <c r="A303" s="325"/>
      <c r="B303" s="326"/>
      <c r="J303" s="73"/>
      <c r="K303" s="327"/>
    </row>
    <row r="304" customFormat="false" ht="12.75" hidden="false" customHeight="false" outlineLevel="0" collapsed="false">
      <c r="A304" s="325"/>
      <c r="B304" s="326"/>
      <c r="J304" s="73"/>
      <c r="K304" s="327"/>
    </row>
    <row r="305" customFormat="false" ht="12.75" hidden="false" customHeight="false" outlineLevel="0" collapsed="false">
      <c r="A305" s="325"/>
      <c r="B305" s="326"/>
      <c r="J305" s="73"/>
      <c r="K305" s="327"/>
    </row>
    <row r="306" customFormat="false" ht="12.75" hidden="false" customHeight="false" outlineLevel="0" collapsed="false">
      <c r="A306" s="325"/>
      <c r="B306" s="326"/>
      <c r="J306" s="73"/>
      <c r="K306" s="327"/>
    </row>
    <row r="307" customFormat="false" ht="12.75" hidden="false" customHeight="false" outlineLevel="0" collapsed="false">
      <c r="A307" s="325"/>
      <c r="B307" s="326"/>
      <c r="J307" s="73"/>
      <c r="K307" s="327"/>
    </row>
    <row r="308" customFormat="false" ht="12.75" hidden="false" customHeight="false" outlineLevel="0" collapsed="false">
      <c r="A308" s="325"/>
      <c r="B308" s="326"/>
      <c r="J308" s="73"/>
      <c r="K308" s="327"/>
    </row>
    <row r="309" customFormat="false" ht="12.75" hidden="false" customHeight="false" outlineLevel="0" collapsed="false">
      <c r="A309" s="325"/>
      <c r="B309" s="326"/>
      <c r="J309" s="73"/>
      <c r="K309" s="327"/>
    </row>
    <row r="310" customFormat="false" ht="12.75" hidden="false" customHeight="false" outlineLevel="0" collapsed="false">
      <c r="A310" s="325"/>
      <c r="B310" s="326"/>
      <c r="J310" s="73"/>
      <c r="K310" s="327"/>
    </row>
    <row r="311" customFormat="false" ht="12.75" hidden="false" customHeight="false" outlineLevel="0" collapsed="false">
      <c r="A311" s="325"/>
      <c r="B311" s="326"/>
      <c r="J311" s="73"/>
      <c r="K311" s="327"/>
    </row>
    <row r="312" customFormat="false" ht="12.75" hidden="false" customHeight="false" outlineLevel="0" collapsed="false">
      <c r="A312" s="325"/>
      <c r="B312" s="326"/>
      <c r="J312" s="73"/>
      <c r="K312" s="327"/>
    </row>
    <row r="313" customFormat="false" ht="12.75" hidden="false" customHeight="false" outlineLevel="0" collapsed="false">
      <c r="A313" s="325"/>
      <c r="B313" s="326"/>
      <c r="J313" s="73"/>
      <c r="K313" s="327"/>
    </row>
    <row r="314" customFormat="false" ht="12.75" hidden="false" customHeight="false" outlineLevel="0" collapsed="false">
      <c r="A314" s="325"/>
      <c r="B314" s="326"/>
      <c r="J314" s="73"/>
      <c r="K314" s="327"/>
    </row>
    <row r="315" customFormat="false" ht="12.75" hidden="false" customHeight="false" outlineLevel="0" collapsed="false">
      <c r="A315" s="325"/>
      <c r="B315" s="326"/>
      <c r="J315" s="73"/>
      <c r="K315" s="327"/>
    </row>
    <row r="316" customFormat="false" ht="12.75" hidden="false" customHeight="false" outlineLevel="0" collapsed="false">
      <c r="A316" s="325"/>
      <c r="B316" s="326"/>
      <c r="J316" s="73"/>
      <c r="K316" s="327"/>
    </row>
    <row r="317" customFormat="false" ht="12.75" hidden="false" customHeight="false" outlineLevel="0" collapsed="false">
      <c r="A317" s="325"/>
      <c r="B317" s="326"/>
      <c r="J317" s="73"/>
      <c r="K317" s="327"/>
    </row>
    <row r="318" customFormat="false" ht="12.75" hidden="false" customHeight="false" outlineLevel="0" collapsed="false">
      <c r="A318" s="325"/>
      <c r="B318" s="326"/>
      <c r="J318" s="73"/>
      <c r="K318" s="327"/>
    </row>
    <row r="319" customFormat="false" ht="12.75" hidden="false" customHeight="false" outlineLevel="0" collapsed="false">
      <c r="A319" s="325"/>
      <c r="B319" s="326"/>
      <c r="J319" s="73"/>
      <c r="K319" s="327"/>
    </row>
    <row r="320" customFormat="false" ht="12.75" hidden="false" customHeight="false" outlineLevel="0" collapsed="false">
      <c r="A320" s="325"/>
      <c r="B320" s="326"/>
      <c r="J320" s="73"/>
      <c r="K320" s="327"/>
    </row>
    <row r="321" customFormat="false" ht="12.75" hidden="false" customHeight="false" outlineLevel="0" collapsed="false">
      <c r="A321" s="325"/>
      <c r="B321" s="326"/>
      <c r="J321" s="73"/>
      <c r="K321" s="327"/>
    </row>
    <row r="322" customFormat="false" ht="12.75" hidden="false" customHeight="false" outlineLevel="0" collapsed="false">
      <c r="A322" s="325"/>
      <c r="B322" s="326"/>
      <c r="J322" s="73"/>
      <c r="K322" s="327"/>
    </row>
    <row r="323" customFormat="false" ht="12.75" hidden="false" customHeight="false" outlineLevel="0" collapsed="false">
      <c r="A323" s="325"/>
      <c r="B323" s="326"/>
      <c r="J323" s="73"/>
      <c r="K323" s="327"/>
    </row>
    <row r="324" customFormat="false" ht="12.75" hidden="false" customHeight="false" outlineLevel="0" collapsed="false">
      <c r="A324" s="325"/>
      <c r="B324" s="326"/>
      <c r="J324" s="73"/>
      <c r="K324" s="327"/>
    </row>
    <row r="325" customFormat="false" ht="12.75" hidden="false" customHeight="false" outlineLevel="0" collapsed="false">
      <c r="A325" s="325"/>
      <c r="B325" s="326"/>
      <c r="J325" s="73"/>
      <c r="K325" s="327"/>
    </row>
    <row r="326" customFormat="false" ht="12.75" hidden="false" customHeight="false" outlineLevel="0" collapsed="false">
      <c r="A326" s="325"/>
      <c r="B326" s="326"/>
      <c r="J326" s="73"/>
      <c r="K326" s="327"/>
    </row>
    <row r="327" customFormat="false" ht="12.75" hidden="false" customHeight="false" outlineLevel="0" collapsed="false">
      <c r="A327" s="325"/>
      <c r="B327" s="326"/>
      <c r="J327" s="73"/>
      <c r="K327" s="327"/>
    </row>
    <row r="328" customFormat="false" ht="12.75" hidden="false" customHeight="false" outlineLevel="0" collapsed="false">
      <c r="A328" s="325"/>
      <c r="B328" s="326"/>
      <c r="J328" s="73"/>
      <c r="K328" s="327"/>
    </row>
    <row r="329" customFormat="false" ht="12.75" hidden="false" customHeight="false" outlineLevel="0" collapsed="false">
      <c r="A329" s="325"/>
      <c r="B329" s="326"/>
      <c r="J329" s="73"/>
      <c r="K329" s="327"/>
    </row>
    <row r="330" customFormat="false" ht="12.75" hidden="false" customHeight="false" outlineLevel="0" collapsed="false">
      <c r="A330" s="325"/>
      <c r="B330" s="326"/>
      <c r="J330" s="73"/>
      <c r="K330" s="327"/>
    </row>
    <row r="331" customFormat="false" ht="12.75" hidden="false" customHeight="false" outlineLevel="0" collapsed="false">
      <c r="A331" s="325"/>
      <c r="B331" s="326"/>
      <c r="J331" s="73"/>
      <c r="K331" s="327"/>
    </row>
    <row r="332" customFormat="false" ht="12.75" hidden="false" customHeight="false" outlineLevel="0" collapsed="false">
      <c r="A332" s="325"/>
      <c r="B332" s="326"/>
      <c r="J332" s="73"/>
      <c r="K332" s="327"/>
    </row>
    <row r="333" customFormat="false" ht="12.75" hidden="false" customHeight="false" outlineLevel="0" collapsed="false">
      <c r="A333" s="325"/>
      <c r="B333" s="326"/>
      <c r="J333" s="73"/>
      <c r="K333" s="327"/>
    </row>
    <row r="334" customFormat="false" ht="12.75" hidden="false" customHeight="false" outlineLevel="0" collapsed="false">
      <c r="A334" s="325"/>
      <c r="B334" s="326"/>
      <c r="J334" s="73"/>
      <c r="K334" s="327"/>
    </row>
    <row r="335" customFormat="false" ht="12.75" hidden="false" customHeight="false" outlineLevel="0" collapsed="false">
      <c r="A335" s="325"/>
      <c r="B335" s="326"/>
      <c r="J335" s="73"/>
      <c r="K335" s="327"/>
    </row>
    <row r="336" customFormat="false" ht="12.75" hidden="false" customHeight="false" outlineLevel="0" collapsed="false">
      <c r="A336" s="325"/>
      <c r="B336" s="326"/>
      <c r="J336" s="73"/>
      <c r="K336" s="327"/>
    </row>
    <row r="337" customFormat="false" ht="12.75" hidden="false" customHeight="false" outlineLevel="0" collapsed="false">
      <c r="A337" s="325"/>
      <c r="B337" s="326"/>
      <c r="J337" s="73"/>
      <c r="K337" s="327"/>
    </row>
    <row r="338" customFormat="false" ht="12.75" hidden="false" customHeight="false" outlineLevel="0" collapsed="false">
      <c r="A338" s="325"/>
      <c r="B338" s="326"/>
      <c r="J338" s="73"/>
      <c r="K338" s="327"/>
    </row>
    <row r="339" customFormat="false" ht="12.75" hidden="false" customHeight="false" outlineLevel="0" collapsed="false">
      <c r="A339" s="325"/>
      <c r="B339" s="326"/>
      <c r="J339" s="73"/>
      <c r="K339" s="327"/>
    </row>
    <row r="340" customFormat="false" ht="12.75" hidden="false" customHeight="false" outlineLevel="0" collapsed="false">
      <c r="A340" s="325"/>
      <c r="B340" s="326"/>
      <c r="J340" s="73"/>
      <c r="K340" s="327"/>
    </row>
    <row r="341" customFormat="false" ht="12.75" hidden="false" customHeight="false" outlineLevel="0" collapsed="false">
      <c r="A341" s="325"/>
      <c r="B341" s="326"/>
      <c r="J341" s="73"/>
      <c r="K341" s="327"/>
    </row>
    <row r="342" customFormat="false" ht="12.75" hidden="false" customHeight="false" outlineLevel="0" collapsed="false">
      <c r="A342" s="325"/>
      <c r="B342" s="326"/>
      <c r="J342" s="73"/>
      <c r="K342" s="327"/>
    </row>
    <row r="343" customFormat="false" ht="12.75" hidden="false" customHeight="false" outlineLevel="0" collapsed="false">
      <c r="A343" s="325"/>
      <c r="B343" s="326"/>
      <c r="J343" s="73"/>
      <c r="K343" s="327"/>
    </row>
    <row r="344" customFormat="false" ht="12.75" hidden="false" customHeight="false" outlineLevel="0" collapsed="false">
      <c r="A344" s="325"/>
      <c r="B344" s="326"/>
      <c r="J344" s="73"/>
      <c r="K344" s="327"/>
    </row>
    <row r="345" customFormat="false" ht="12.75" hidden="false" customHeight="false" outlineLevel="0" collapsed="false">
      <c r="A345" s="325"/>
      <c r="B345" s="326"/>
      <c r="J345" s="73"/>
      <c r="K345" s="327"/>
    </row>
    <row r="346" customFormat="false" ht="12.75" hidden="false" customHeight="false" outlineLevel="0" collapsed="false">
      <c r="A346" s="325"/>
      <c r="B346" s="326"/>
      <c r="J346" s="73"/>
      <c r="K346" s="327"/>
    </row>
    <row r="347" customFormat="false" ht="12.75" hidden="false" customHeight="false" outlineLevel="0" collapsed="false">
      <c r="A347" s="325"/>
      <c r="B347" s="326"/>
      <c r="J347" s="73"/>
      <c r="K347" s="327"/>
    </row>
    <row r="348" customFormat="false" ht="12.75" hidden="false" customHeight="false" outlineLevel="0" collapsed="false">
      <c r="A348" s="325"/>
      <c r="B348" s="326"/>
      <c r="J348" s="73"/>
      <c r="K348" s="327"/>
    </row>
    <row r="349" customFormat="false" ht="12.75" hidden="false" customHeight="false" outlineLevel="0" collapsed="false">
      <c r="A349" s="325"/>
      <c r="B349" s="326"/>
      <c r="J349" s="73"/>
      <c r="K349" s="327"/>
    </row>
    <row r="350" customFormat="false" ht="12.75" hidden="false" customHeight="false" outlineLevel="0" collapsed="false">
      <c r="A350" s="325"/>
      <c r="B350" s="326"/>
      <c r="J350" s="73"/>
      <c r="K350" s="327"/>
    </row>
    <row r="351" customFormat="false" ht="12.75" hidden="false" customHeight="false" outlineLevel="0" collapsed="false">
      <c r="A351" s="325"/>
      <c r="B351" s="326"/>
      <c r="J351" s="73"/>
      <c r="K351" s="327"/>
    </row>
    <row r="352" customFormat="false" ht="12.75" hidden="false" customHeight="false" outlineLevel="0" collapsed="false">
      <c r="A352" s="325"/>
      <c r="B352" s="326"/>
      <c r="J352" s="73"/>
      <c r="K352" s="327"/>
    </row>
    <row r="353" customFormat="false" ht="12.75" hidden="false" customHeight="false" outlineLevel="0" collapsed="false">
      <c r="A353" s="325"/>
      <c r="B353" s="326"/>
      <c r="J353" s="73"/>
      <c r="K353" s="327"/>
    </row>
    <row r="354" customFormat="false" ht="12.75" hidden="false" customHeight="false" outlineLevel="0" collapsed="false">
      <c r="A354" s="325"/>
      <c r="B354" s="326"/>
      <c r="J354" s="73"/>
      <c r="K354" s="327"/>
    </row>
    <row r="355" customFormat="false" ht="12.75" hidden="false" customHeight="false" outlineLevel="0" collapsed="false">
      <c r="A355" s="325"/>
      <c r="B355" s="326"/>
      <c r="J355" s="73"/>
      <c r="K355" s="327"/>
    </row>
    <row r="356" customFormat="false" ht="12.75" hidden="false" customHeight="false" outlineLevel="0" collapsed="false">
      <c r="A356" s="325"/>
      <c r="B356" s="326"/>
      <c r="J356" s="73"/>
      <c r="K356" s="327"/>
    </row>
    <row r="357" customFormat="false" ht="12.75" hidden="false" customHeight="false" outlineLevel="0" collapsed="false">
      <c r="A357" s="325"/>
      <c r="B357" s="326"/>
      <c r="J357" s="73"/>
      <c r="K357" s="327"/>
    </row>
    <row r="358" customFormat="false" ht="12.75" hidden="false" customHeight="false" outlineLevel="0" collapsed="false">
      <c r="A358" s="325"/>
      <c r="B358" s="326"/>
      <c r="J358" s="73"/>
      <c r="K358" s="327"/>
    </row>
    <row r="359" customFormat="false" ht="12.75" hidden="false" customHeight="false" outlineLevel="0" collapsed="false">
      <c r="A359" s="325"/>
      <c r="B359" s="326"/>
      <c r="J359" s="73"/>
      <c r="K359" s="327"/>
    </row>
    <row r="360" customFormat="false" ht="12.75" hidden="false" customHeight="false" outlineLevel="0" collapsed="false">
      <c r="A360" s="325"/>
      <c r="B360" s="326"/>
      <c r="J360" s="73"/>
      <c r="K360" s="327"/>
    </row>
    <row r="361" customFormat="false" ht="12.75" hidden="false" customHeight="false" outlineLevel="0" collapsed="false">
      <c r="A361" s="325"/>
      <c r="B361" s="326"/>
      <c r="J361" s="73"/>
      <c r="K361" s="327"/>
    </row>
    <row r="362" customFormat="false" ht="12.75" hidden="false" customHeight="false" outlineLevel="0" collapsed="false">
      <c r="A362" s="325"/>
      <c r="B362" s="326"/>
      <c r="J362" s="73"/>
      <c r="K362" s="327"/>
    </row>
    <row r="363" customFormat="false" ht="12.75" hidden="false" customHeight="false" outlineLevel="0" collapsed="false">
      <c r="A363" s="325"/>
      <c r="B363" s="326"/>
      <c r="J363" s="73"/>
      <c r="K363" s="327"/>
    </row>
    <row r="364" customFormat="false" ht="12.75" hidden="false" customHeight="false" outlineLevel="0" collapsed="false">
      <c r="A364" s="325"/>
      <c r="B364" s="326"/>
      <c r="J364" s="73"/>
      <c r="K364" s="327"/>
    </row>
    <row r="365" customFormat="false" ht="12.75" hidden="false" customHeight="false" outlineLevel="0" collapsed="false">
      <c r="A365" s="325"/>
      <c r="B365" s="326"/>
      <c r="J365" s="73"/>
      <c r="K365" s="327"/>
    </row>
    <row r="366" customFormat="false" ht="12.75" hidden="false" customHeight="false" outlineLevel="0" collapsed="false">
      <c r="A366" s="325"/>
      <c r="B366" s="326"/>
      <c r="J366" s="73"/>
      <c r="K366" s="327"/>
    </row>
    <row r="367" customFormat="false" ht="12.75" hidden="false" customHeight="false" outlineLevel="0" collapsed="false">
      <c r="A367" s="325"/>
      <c r="B367" s="326"/>
      <c r="J367" s="73"/>
      <c r="K367" s="327"/>
    </row>
    <row r="368" customFormat="false" ht="12.75" hidden="false" customHeight="false" outlineLevel="0" collapsed="false">
      <c r="A368" s="325"/>
      <c r="B368" s="326"/>
      <c r="J368" s="73"/>
      <c r="K368" s="327"/>
    </row>
    <row r="369" customFormat="false" ht="12.75" hidden="false" customHeight="false" outlineLevel="0" collapsed="false">
      <c r="A369" s="325"/>
      <c r="B369" s="326"/>
      <c r="J369" s="73"/>
      <c r="K369" s="327"/>
    </row>
    <row r="370" customFormat="false" ht="12.75" hidden="false" customHeight="false" outlineLevel="0" collapsed="false">
      <c r="A370" s="325"/>
      <c r="B370" s="326"/>
      <c r="J370" s="73"/>
      <c r="K370" s="327"/>
    </row>
    <row r="371" customFormat="false" ht="12.75" hidden="false" customHeight="false" outlineLevel="0" collapsed="false">
      <c r="A371" s="325"/>
      <c r="B371" s="326"/>
      <c r="J371" s="73"/>
      <c r="K371" s="327"/>
    </row>
    <row r="372" customFormat="false" ht="12.75" hidden="false" customHeight="false" outlineLevel="0" collapsed="false">
      <c r="A372" s="325"/>
      <c r="B372" s="326"/>
      <c r="J372" s="73"/>
      <c r="K372" s="327"/>
    </row>
    <row r="373" customFormat="false" ht="12.75" hidden="false" customHeight="false" outlineLevel="0" collapsed="false">
      <c r="A373" s="325"/>
      <c r="B373" s="326"/>
      <c r="J373" s="73"/>
      <c r="K373" s="327"/>
    </row>
    <row r="374" customFormat="false" ht="12.75" hidden="false" customHeight="false" outlineLevel="0" collapsed="false">
      <c r="A374" s="325"/>
      <c r="B374" s="326"/>
      <c r="J374" s="73"/>
      <c r="K374" s="327"/>
    </row>
    <row r="375" customFormat="false" ht="12.75" hidden="false" customHeight="false" outlineLevel="0" collapsed="false">
      <c r="A375" s="325"/>
      <c r="B375" s="326"/>
      <c r="J375" s="73"/>
      <c r="K375" s="327"/>
    </row>
    <row r="376" customFormat="false" ht="12.75" hidden="false" customHeight="false" outlineLevel="0" collapsed="false">
      <c r="A376" s="325"/>
      <c r="B376" s="326"/>
      <c r="J376" s="73"/>
      <c r="K376" s="327"/>
    </row>
    <row r="377" customFormat="false" ht="12.75" hidden="false" customHeight="false" outlineLevel="0" collapsed="false">
      <c r="A377" s="325"/>
      <c r="B377" s="326"/>
      <c r="J377" s="73"/>
      <c r="K377" s="327"/>
    </row>
    <row r="378" customFormat="false" ht="12.75" hidden="false" customHeight="false" outlineLevel="0" collapsed="false">
      <c r="A378" s="325"/>
      <c r="B378" s="326"/>
      <c r="J378" s="73"/>
      <c r="K378" s="327"/>
    </row>
    <row r="379" customFormat="false" ht="12.75" hidden="false" customHeight="false" outlineLevel="0" collapsed="false">
      <c r="A379" s="325"/>
      <c r="B379" s="326"/>
      <c r="J379" s="73"/>
      <c r="K379" s="327"/>
    </row>
    <row r="380" customFormat="false" ht="12.75" hidden="false" customHeight="false" outlineLevel="0" collapsed="false">
      <c r="A380" s="325"/>
      <c r="B380" s="326"/>
      <c r="J380" s="73"/>
      <c r="K380" s="327"/>
    </row>
    <row r="381" customFormat="false" ht="12.75" hidden="false" customHeight="false" outlineLevel="0" collapsed="false">
      <c r="A381" s="325"/>
      <c r="B381" s="326"/>
      <c r="J381" s="73"/>
      <c r="K381" s="327"/>
    </row>
    <row r="382" customFormat="false" ht="12.75" hidden="false" customHeight="false" outlineLevel="0" collapsed="false">
      <c r="A382" s="325"/>
      <c r="B382" s="326"/>
      <c r="J382" s="73"/>
      <c r="K382" s="327"/>
    </row>
    <row r="383" customFormat="false" ht="12.75" hidden="false" customHeight="false" outlineLevel="0" collapsed="false">
      <c r="A383" s="325"/>
      <c r="B383" s="326"/>
      <c r="J383" s="73"/>
      <c r="K383" s="327"/>
    </row>
    <row r="384" customFormat="false" ht="12.75" hidden="false" customHeight="false" outlineLevel="0" collapsed="false">
      <c r="A384" s="325"/>
      <c r="B384" s="326"/>
      <c r="J384" s="73"/>
      <c r="K384" s="327"/>
    </row>
    <row r="385" customFormat="false" ht="12.75" hidden="false" customHeight="false" outlineLevel="0" collapsed="false">
      <c r="A385" s="325"/>
      <c r="B385" s="326"/>
      <c r="J385" s="73"/>
      <c r="K385" s="327"/>
    </row>
    <row r="386" customFormat="false" ht="12.75" hidden="false" customHeight="false" outlineLevel="0" collapsed="false">
      <c r="A386" s="325"/>
      <c r="B386" s="326"/>
      <c r="J386" s="73"/>
      <c r="K386" s="327"/>
    </row>
    <row r="387" customFormat="false" ht="12.75" hidden="false" customHeight="false" outlineLevel="0" collapsed="false">
      <c r="A387" s="325"/>
      <c r="B387" s="326"/>
      <c r="J387" s="73"/>
      <c r="K387" s="327"/>
    </row>
    <row r="388" customFormat="false" ht="12.75" hidden="false" customHeight="false" outlineLevel="0" collapsed="false">
      <c r="A388" s="325"/>
      <c r="B388" s="326"/>
      <c r="J388" s="73"/>
      <c r="K388" s="327"/>
    </row>
    <row r="389" customFormat="false" ht="12.75" hidden="false" customHeight="false" outlineLevel="0" collapsed="false">
      <c r="A389" s="325"/>
      <c r="B389" s="326"/>
      <c r="J389" s="73"/>
      <c r="K389" s="327"/>
    </row>
    <row r="390" customFormat="false" ht="12.75" hidden="false" customHeight="false" outlineLevel="0" collapsed="false">
      <c r="A390" s="325"/>
      <c r="B390" s="326"/>
      <c r="J390" s="73"/>
      <c r="K390" s="327"/>
    </row>
    <row r="391" customFormat="false" ht="12.75" hidden="false" customHeight="false" outlineLevel="0" collapsed="false">
      <c r="A391" s="325"/>
      <c r="B391" s="326"/>
      <c r="J391" s="73"/>
      <c r="K391" s="327"/>
    </row>
    <row r="392" customFormat="false" ht="12.75" hidden="false" customHeight="false" outlineLevel="0" collapsed="false">
      <c r="A392" s="325"/>
      <c r="B392" s="326"/>
      <c r="J392" s="73"/>
      <c r="K392" s="327"/>
    </row>
    <row r="393" customFormat="false" ht="12.75" hidden="false" customHeight="false" outlineLevel="0" collapsed="false">
      <c r="A393" s="325"/>
      <c r="B393" s="326"/>
      <c r="J393" s="73"/>
      <c r="K393" s="327"/>
    </row>
    <row r="394" customFormat="false" ht="12.75" hidden="false" customHeight="false" outlineLevel="0" collapsed="false">
      <c r="A394" s="325"/>
      <c r="B394" s="326"/>
      <c r="J394" s="73"/>
      <c r="K394" s="327"/>
    </row>
    <row r="395" customFormat="false" ht="12.75" hidden="false" customHeight="false" outlineLevel="0" collapsed="false">
      <c r="A395" s="325"/>
      <c r="B395" s="326"/>
      <c r="J395" s="73"/>
      <c r="K395" s="327"/>
    </row>
    <row r="396" customFormat="false" ht="12.75" hidden="false" customHeight="false" outlineLevel="0" collapsed="false">
      <c r="A396" s="325"/>
      <c r="B396" s="326"/>
      <c r="J396" s="73"/>
      <c r="K396" s="327"/>
    </row>
    <row r="397" customFormat="false" ht="12.75" hidden="false" customHeight="false" outlineLevel="0" collapsed="false">
      <c r="A397" s="325"/>
      <c r="B397" s="326"/>
      <c r="J397" s="73"/>
      <c r="K397" s="327"/>
    </row>
    <row r="398" customFormat="false" ht="12.75" hidden="false" customHeight="false" outlineLevel="0" collapsed="false">
      <c r="A398" s="325"/>
      <c r="B398" s="326"/>
      <c r="J398" s="73"/>
      <c r="K398" s="327"/>
    </row>
    <row r="399" customFormat="false" ht="12.75" hidden="false" customHeight="false" outlineLevel="0" collapsed="false">
      <c r="A399" s="325"/>
      <c r="B399" s="326"/>
      <c r="J399" s="73"/>
      <c r="K399" s="327"/>
    </row>
    <row r="400" customFormat="false" ht="12.75" hidden="false" customHeight="false" outlineLevel="0" collapsed="false">
      <c r="A400" s="325"/>
      <c r="B400" s="326"/>
      <c r="J400" s="73"/>
      <c r="K400" s="327"/>
    </row>
    <row r="401" customFormat="false" ht="12.75" hidden="false" customHeight="false" outlineLevel="0" collapsed="false">
      <c r="A401" s="325"/>
      <c r="B401" s="326"/>
      <c r="J401" s="73"/>
      <c r="K401" s="327"/>
    </row>
    <row r="402" customFormat="false" ht="12.75" hidden="false" customHeight="false" outlineLevel="0" collapsed="false">
      <c r="A402" s="325"/>
      <c r="B402" s="326"/>
      <c r="J402" s="73"/>
      <c r="K402" s="327"/>
    </row>
    <row r="403" customFormat="false" ht="12.75" hidden="false" customHeight="false" outlineLevel="0" collapsed="false">
      <c r="A403" s="325"/>
      <c r="B403" s="326"/>
      <c r="J403" s="73"/>
      <c r="K403" s="327"/>
    </row>
    <row r="404" customFormat="false" ht="12.75" hidden="false" customHeight="false" outlineLevel="0" collapsed="false">
      <c r="A404" s="325"/>
      <c r="B404" s="326"/>
      <c r="J404" s="73"/>
      <c r="K404" s="327"/>
    </row>
    <row r="405" customFormat="false" ht="12.75" hidden="false" customHeight="false" outlineLevel="0" collapsed="false">
      <c r="A405" s="325"/>
      <c r="B405" s="326"/>
      <c r="J405" s="73"/>
      <c r="K405" s="327"/>
    </row>
    <row r="406" customFormat="false" ht="12.75" hidden="false" customHeight="false" outlineLevel="0" collapsed="false">
      <c r="A406" s="325"/>
      <c r="B406" s="326"/>
      <c r="J406" s="73"/>
      <c r="K406" s="327"/>
    </row>
    <row r="407" customFormat="false" ht="12.75" hidden="false" customHeight="false" outlineLevel="0" collapsed="false">
      <c r="A407" s="325"/>
      <c r="B407" s="326"/>
      <c r="J407" s="73"/>
      <c r="K407" s="327"/>
    </row>
    <row r="408" customFormat="false" ht="12.75" hidden="false" customHeight="false" outlineLevel="0" collapsed="false">
      <c r="A408" s="325"/>
      <c r="B408" s="326"/>
      <c r="J408" s="73"/>
      <c r="K408" s="327"/>
    </row>
    <row r="409" customFormat="false" ht="12.75" hidden="false" customHeight="false" outlineLevel="0" collapsed="false">
      <c r="A409" s="325"/>
      <c r="B409" s="326"/>
      <c r="J409" s="73"/>
      <c r="K409" s="327"/>
    </row>
    <row r="410" customFormat="false" ht="12.75" hidden="false" customHeight="false" outlineLevel="0" collapsed="false">
      <c r="A410" s="325"/>
      <c r="B410" s="326"/>
      <c r="J410" s="73"/>
      <c r="K410" s="327"/>
    </row>
    <row r="411" customFormat="false" ht="12.75" hidden="false" customHeight="false" outlineLevel="0" collapsed="false">
      <c r="A411" s="325"/>
      <c r="B411" s="326"/>
      <c r="J411" s="73"/>
      <c r="K411" s="327"/>
    </row>
    <row r="412" customFormat="false" ht="12.75" hidden="false" customHeight="false" outlineLevel="0" collapsed="false">
      <c r="A412" s="325"/>
      <c r="B412" s="326"/>
      <c r="J412" s="73"/>
      <c r="K412" s="327"/>
    </row>
    <row r="413" customFormat="false" ht="12.75" hidden="false" customHeight="false" outlineLevel="0" collapsed="false">
      <c r="A413" s="325"/>
      <c r="B413" s="326"/>
      <c r="J413" s="73"/>
      <c r="K413" s="327"/>
    </row>
    <row r="414" customFormat="false" ht="12.75" hidden="false" customHeight="false" outlineLevel="0" collapsed="false">
      <c r="A414" s="325"/>
      <c r="B414" s="326"/>
      <c r="J414" s="73"/>
      <c r="K414" s="327"/>
    </row>
    <row r="415" customFormat="false" ht="12.75" hidden="false" customHeight="false" outlineLevel="0" collapsed="false">
      <c r="A415" s="325"/>
      <c r="B415" s="326"/>
      <c r="J415" s="73"/>
      <c r="K415" s="327"/>
    </row>
    <row r="416" customFormat="false" ht="12.75" hidden="false" customHeight="false" outlineLevel="0" collapsed="false">
      <c r="A416" s="325"/>
      <c r="B416" s="326"/>
      <c r="J416" s="73"/>
      <c r="K416" s="327"/>
    </row>
    <row r="417" customFormat="false" ht="12.75" hidden="false" customHeight="false" outlineLevel="0" collapsed="false">
      <c r="A417" s="325"/>
      <c r="B417" s="326"/>
      <c r="J417" s="73"/>
      <c r="K417" s="327"/>
    </row>
    <row r="418" customFormat="false" ht="12.75" hidden="false" customHeight="false" outlineLevel="0" collapsed="false">
      <c r="A418" s="325"/>
      <c r="B418" s="326"/>
      <c r="J418" s="73"/>
      <c r="K418" s="327"/>
    </row>
    <row r="419" customFormat="false" ht="12.75" hidden="false" customHeight="false" outlineLevel="0" collapsed="false">
      <c r="A419" s="325"/>
      <c r="B419" s="326"/>
      <c r="J419" s="73"/>
      <c r="K419" s="327"/>
    </row>
    <row r="420" customFormat="false" ht="12.75" hidden="false" customHeight="false" outlineLevel="0" collapsed="false">
      <c r="A420" s="325"/>
      <c r="B420" s="326"/>
      <c r="J420" s="73"/>
      <c r="K420" s="327"/>
    </row>
    <row r="421" customFormat="false" ht="12.75" hidden="false" customHeight="false" outlineLevel="0" collapsed="false">
      <c r="A421" s="325"/>
      <c r="B421" s="326"/>
      <c r="J421" s="73"/>
      <c r="K421" s="327"/>
    </row>
    <row r="422" customFormat="false" ht="12.75" hidden="false" customHeight="false" outlineLevel="0" collapsed="false">
      <c r="A422" s="325"/>
      <c r="B422" s="326"/>
      <c r="J422" s="73"/>
      <c r="K422" s="327"/>
    </row>
    <row r="423" customFormat="false" ht="12.75" hidden="false" customHeight="false" outlineLevel="0" collapsed="false">
      <c r="A423" s="325"/>
      <c r="B423" s="326"/>
      <c r="J423" s="73"/>
      <c r="K423" s="327"/>
    </row>
    <row r="424" customFormat="false" ht="12.75" hidden="false" customHeight="false" outlineLevel="0" collapsed="false">
      <c r="A424" s="325"/>
      <c r="B424" s="326"/>
      <c r="J424" s="73"/>
      <c r="K424" s="327"/>
    </row>
    <row r="425" customFormat="false" ht="12.75" hidden="false" customHeight="false" outlineLevel="0" collapsed="false">
      <c r="A425" s="325"/>
      <c r="B425" s="326"/>
      <c r="J425" s="73"/>
      <c r="K425" s="327"/>
    </row>
    <row r="426" customFormat="false" ht="12.75" hidden="false" customHeight="false" outlineLevel="0" collapsed="false">
      <c r="A426" s="325"/>
      <c r="B426" s="326"/>
      <c r="J426" s="73"/>
      <c r="K426" s="327"/>
    </row>
    <row r="427" customFormat="false" ht="12.75" hidden="false" customHeight="false" outlineLevel="0" collapsed="false">
      <c r="A427" s="325"/>
      <c r="B427" s="326"/>
      <c r="J427" s="73"/>
      <c r="K427" s="327"/>
    </row>
    <row r="428" customFormat="false" ht="12.75" hidden="false" customHeight="false" outlineLevel="0" collapsed="false">
      <c r="A428" s="325"/>
      <c r="B428" s="326"/>
      <c r="J428" s="73"/>
      <c r="K428" s="327"/>
    </row>
    <row r="429" customFormat="false" ht="12.75" hidden="false" customHeight="false" outlineLevel="0" collapsed="false">
      <c r="A429" s="325"/>
      <c r="B429" s="326"/>
      <c r="J429" s="73"/>
      <c r="K429" s="327"/>
    </row>
    <row r="430" customFormat="false" ht="12.75" hidden="false" customHeight="false" outlineLevel="0" collapsed="false">
      <c r="A430" s="325"/>
      <c r="B430" s="326"/>
      <c r="J430" s="73"/>
      <c r="K430" s="327"/>
    </row>
    <row r="431" customFormat="false" ht="12.75" hidden="false" customHeight="false" outlineLevel="0" collapsed="false">
      <c r="A431" s="325"/>
      <c r="B431" s="326"/>
      <c r="J431" s="73"/>
      <c r="K431" s="327"/>
    </row>
    <row r="432" customFormat="false" ht="12.75" hidden="false" customHeight="false" outlineLevel="0" collapsed="false">
      <c r="A432" s="325"/>
      <c r="B432" s="326"/>
      <c r="J432" s="73"/>
      <c r="K432" s="327"/>
    </row>
    <row r="433" customFormat="false" ht="12.75" hidden="false" customHeight="false" outlineLevel="0" collapsed="false">
      <c r="A433" s="325"/>
      <c r="B433" s="326"/>
      <c r="J433" s="73"/>
      <c r="K433" s="327"/>
    </row>
    <row r="434" customFormat="false" ht="12.75" hidden="false" customHeight="false" outlineLevel="0" collapsed="false">
      <c r="A434" s="325"/>
      <c r="B434" s="326"/>
      <c r="J434" s="73"/>
      <c r="K434" s="327"/>
    </row>
    <row r="435" customFormat="false" ht="12.75" hidden="false" customHeight="false" outlineLevel="0" collapsed="false">
      <c r="A435" s="325"/>
      <c r="B435" s="326"/>
      <c r="J435" s="73"/>
      <c r="K435" s="327"/>
    </row>
    <row r="436" customFormat="false" ht="12.75" hidden="false" customHeight="false" outlineLevel="0" collapsed="false">
      <c r="A436" s="325"/>
      <c r="B436" s="326"/>
      <c r="J436" s="73"/>
      <c r="K436" s="327"/>
    </row>
    <row r="437" customFormat="false" ht="12.75" hidden="false" customHeight="false" outlineLevel="0" collapsed="false">
      <c r="A437" s="325"/>
      <c r="B437" s="326"/>
      <c r="J437" s="73"/>
      <c r="K437" s="327"/>
    </row>
    <row r="438" customFormat="false" ht="12.75" hidden="false" customHeight="false" outlineLevel="0" collapsed="false">
      <c r="A438" s="325"/>
      <c r="B438" s="326"/>
      <c r="J438" s="73"/>
      <c r="K438" s="327"/>
    </row>
    <row r="439" customFormat="false" ht="12.75" hidden="false" customHeight="false" outlineLevel="0" collapsed="false">
      <c r="A439" s="325"/>
      <c r="B439" s="326"/>
      <c r="J439" s="73"/>
      <c r="K439" s="327"/>
    </row>
    <row r="440" customFormat="false" ht="12.75" hidden="false" customHeight="false" outlineLevel="0" collapsed="false">
      <c r="A440" s="325"/>
      <c r="B440" s="326"/>
      <c r="J440" s="73"/>
      <c r="K440" s="327"/>
    </row>
    <row r="441" customFormat="false" ht="12.75" hidden="false" customHeight="false" outlineLevel="0" collapsed="false">
      <c r="A441" s="325"/>
      <c r="B441" s="326"/>
      <c r="J441" s="73"/>
      <c r="K441" s="327"/>
    </row>
    <row r="442" customFormat="false" ht="12.75" hidden="false" customHeight="false" outlineLevel="0" collapsed="false">
      <c r="A442" s="325"/>
      <c r="B442" s="326"/>
      <c r="J442" s="73"/>
      <c r="K442" s="327"/>
    </row>
    <row r="443" customFormat="false" ht="12.75" hidden="false" customHeight="false" outlineLevel="0" collapsed="false">
      <c r="A443" s="325"/>
      <c r="B443" s="326"/>
      <c r="J443" s="73"/>
      <c r="K443" s="327"/>
    </row>
    <row r="444" customFormat="false" ht="12.75" hidden="false" customHeight="false" outlineLevel="0" collapsed="false">
      <c r="A444" s="325"/>
      <c r="B444" s="326"/>
      <c r="J444" s="73"/>
      <c r="K444" s="327"/>
    </row>
    <row r="445" customFormat="false" ht="12.75" hidden="false" customHeight="false" outlineLevel="0" collapsed="false">
      <c r="A445" s="325"/>
      <c r="B445" s="326"/>
      <c r="J445" s="73"/>
      <c r="K445" s="327"/>
    </row>
    <row r="446" customFormat="false" ht="12.75" hidden="false" customHeight="false" outlineLevel="0" collapsed="false">
      <c r="A446" s="325"/>
      <c r="B446" s="326"/>
      <c r="J446" s="73"/>
      <c r="K446" s="327"/>
    </row>
    <row r="447" customFormat="false" ht="12.75" hidden="false" customHeight="false" outlineLevel="0" collapsed="false">
      <c r="A447" s="325"/>
      <c r="B447" s="326"/>
      <c r="J447" s="73"/>
      <c r="K447" s="327"/>
    </row>
    <row r="448" customFormat="false" ht="12.75" hidden="false" customHeight="false" outlineLevel="0" collapsed="false">
      <c r="A448" s="325"/>
      <c r="B448" s="326"/>
      <c r="J448" s="73"/>
      <c r="K448" s="327"/>
    </row>
    <row r="449" customFormat="false" ht="12.75" hidden="false" customHeight="false" outlineLevel="0" collapsed="false">
      <c r="A449" s="325"/>
      <c r="B449" s="326"/>
      <c r="J449" s="73"/>
      <c r="K449" s="327"/>
    </row>
    <row r="450" customFormat="false" ht="12.75" hidden="false" customHeight="false" outlineLevel="0" collapsed="false">
      <c r="A450" s="325"/>
      <c r="B450" s="326"/>
      <c r="J450" s="73"/>
      <c r="K450" s="327"/>
    </row>
    <row r="451" customFormat="false" ht="12.75" hidden="false" customHeight="false" outlineLevel="0" collapsed="false">
      <c r="A451" s="325"/>
      <c r="B451" s="326"/>
      <c r="J451" s="73"/>
      <c r="K451" s="327"/>
    </row>
    <row r="452" customFormat="false" ht="12.75" hidden="false" customHeight="false" outlineLevel="0" collapsed="false">
      <c r="A452" s="325"/>
      <c r="B452" s="326"/>
      <c r="J452" s="73"/>
      <c r="K452" s="327"/>
    </row>
    <row r="453" customFormat="false" ht="12.75" hidden="false" customHeight="false" outlineLevel="0" collapsed="false">
      <c r="A453" s="325"/>
      <c r="B453" s="326"/>
      <c r="J453" s="73"/>
      <c r="K453" s="327"/>
    </row>
    <row r="454" customFormat="false" ht="12.75" hidden="false" customHeight="false" outlineLevel="0" collapsed="false">
      <c r="A454" s="325"/>
      <c r="B454" s="326"/>
      <c r="J454" s="73"/>
      <c r="K454" s="327"/>
    </row>
    <row r="455" customFormat="false" ht="12.75" hidden="false" customHeight="false" outlineLevel="0" collapsed="false">
      <c r="A455" s="325"/>
      <c r="B455" s="326"/>
      <c r="J455" s="73"/>
      <c r="K455" s="327"/>
    </row>
    <row r="456" customFormat="false" ht="12.75" hidden="false" customHeight="false" outlineLevel="0" collapsed="false">
      <c r="A456" s="325"/>
      <c r="B456" s="326"/>
      <c r="J456" s="73"/>
      <c r="K456" s="327"/>
    </row>
    <row r="457" customFormat="false" ht="12.75" hidden="false" customHeight="false" outlineLevel="0" collapsed="false">
      <c r="A457" s="325"/>
      <c r="B457" s="326"/>
      <c r="J457" s="73"/>
      <c r="K457" s="327"/>
    </row>
    <row r="458" customFormat="false" ht="12.75" hidden="false" customHeight="false" outlineLevel="0" collapsed="false">
      <c r="A458" s="325"/>
      <c r="B458" s="326"/>
      <c r="J458" s="73"/>
      <c r="K458" s="327"/>
    </row>
    <row r="459" customFormat="false" ht="12.75" hidden="false" customHeight="false" outlineLevel="0" collapsed="false">
      <c r="A459" s="325"/>
      <c r="B459" s="326"/>
      <c r="J459" s="73"/>
      <c r="K459" s="327"/>
    </row>
    <row r="460" customFormat="false" ht="12.75" hidden="false" customHeight="false" outlineLevel="0" collapsed="false">
      <c r="A460" s="325"/>
      <c r="B460" s="326"/>
      <c r="J460" s="73"/>
      <c r="K460" s="327"/>
    </row>
    <row r="461" customFormat="false" ht="12.75" hidden="false" customHeight="false" outlineLevel="0" collapsed="false">
      <c r="A461" s="325"/>
      <c r="B461" s="326"/>
      <c r="J461" s="73"/>
      <c r="K461" s="327"/>
    </row>
    <row r="462" customFormat="false" ht="12.75" hidden="false" customHeight="false" outlineLevel="0" collapsed="false">
      <c r="A462" s="325"/>
      <c r="B462" s="326"/>
      <c r="J462" s="73"/>
      <c r="K462" s="327"/>
    </row>
    <row r="463" customFormat="false" ht="12.75" hidden="false" customHeight="false" outlineLevel="0" collapsed="false">
      <c r="A463" s="325"/>
      <c r="B463" s="326"/>
      <c r="J463" s="73"/>
      <c r="K463" s="327"/>
    </row>
    <row r="464" customFormat="false" ht="12.75" hidden="false" customHeight="false" outlineLevel="0" collapsed="false">
      <c r="A464" s="325"/>
      <c r="B464" s="326"/>
      <c r="J464" s="73"/>
      <c r="K464" s="327"/>
    </row>
    <row r="465" customFormat="false" ht="12.75" hidden="false" customHeight="false" outlineLevel="0" collapsed="false">
      <c r="A465" s="325"/>
      <c r="B465" s="326"/>
      <c r="J465" s="73"/>
      <c r="K465" s="327"/>
    </row>
    <row r="466" customFormat="false" ht="12.75" hidden="false" customHeight="false" outlineLevel="0" collapsed="false">
      <c r="A466" s="325"/>
      <c r="B466" s="326"/>
      <c r="J466" s="73"/>
      <c r="K466" s="327"/>
    </row>
    <row r="467" customFormat="false" ht="12.75" hidden="false" customHeight="false" outlineLevel="0" collapsed="false">
      <c r="A467" s="325"/>
      <c r="B467" s="326"/>
      <c r="J467" s="73"/>
      <c r="K467" s="327"/>
    </row>
    <row r="468" customFormat="false" ht="12.75" hidden="false" customHeight="false" outlineLevel="0" collapsed="false">
      <c r="A468" s="325"/>
      <c r="B468" s="326"/>
      <c r="J468" s="73"/>
      <c r="K468" s="327"/>
    </row>
    <row r="469" customFormat="false" ht="12.75" hidden="false" customHeight="false" outlineLevel="0" collapsed="false">
      <c r="A469" s="325"/>
      <c r="B469" s="326"/>
      <c r="J469" s="73"/>
      <c r="K469" s="327"/>
    </row>
    <row r="470" customFormat="false" ht="12.75" hidden="false" customHeight="false" outlineLevel="0" collapsed="false">
      <c r="A470" s="325"/>
      <c r="B470" s="326"/>
      <c r="J470" s="73"/>
      <c r="K470" s="327"/>
    </row>
    <row r="471" customFormat="false" ht="12.75" hidden="false" customHeight="false" outlineLevel="0" collapsed="false">
      <c r="A471" s="325"/>
      <c r="B471" s="326"/>
      <c r="J471" s="73"/>
      <c r="K471" s="327"/>
    </row>
    <row r="472" customFormat="false" ht="12.75" hidden="false" customHeight="false" outlineLevel="0" collapsed="false">
      <c r="A472" s="325"/>
      <c r="B472" s="326"/>
      <c r="J472" s="73"/>
      <c r="K472" s="327"/>
    </row>
    <row r="473" customFormat="false" ht="12.75" hidden="false" customHeight="false" outlineLevel="0" collapsed="false">
      <c r="A473" s="325"/>
      <c r="B473" s="326"/>
      <c r="J473" s="73"/>
      <c r="K473" s="327"/>
    </row>
    <row r="474" customFormat="false" ht="12.75" hidden="false" customHeight="false" outlineLevel="0" collapsed="false">
      <c r="A474" s="325"/>
      <c r="B474" s="326"/>
      <c r="J474" s="73"/>
      <c r="K474" s="327"/>
    </row>
    <row r="475" customFormat="false" ht="12.75" hidden="false" customHeight="false" outlineLevel="0" collapsed="false">
      <c r="A475" s="325"/>
      <c r="B475" s="326"/>
      <c r="J475" s="73"/>
      <c r="K475" s="327"/>
    </row>
    <row r="476" customFormat="false" ht="12.75" hidden="false" customHeight="false" outlineLevel="0" collapsed="false">
      <c r="A476" s="325"/>
      <c r="B476" s="326"/>
      <c r="J476" s="73"/>
      <c r="K476" s="327"/>
    </row>
    <row r="477" customFormat="false" ht="12.75" hidden="false" customHeight="false" outlineLevel="0" collapsed="false">
      <c r="A477" s="325"/>
      <c r="B477" s="326"/>
      <c r="J477" s="73"/>
      <c r="K477" s="327"/>
    </row>
    <row r="478" customFormat="false" ht="12.75" hidden="false" customHeight="false" outlineLevel="0" collapsed="false">
      <c r="A478" s="325"/>
      <c r="B478" s="326"/>
      <c r="J478" s="73"/>
      <c r="K478" s="327"/>
    </row>
    <row r="479" customFormat="false" ht="12.75" hidden="false" customHeight="false" outlineLevel="0" collapsed="false">
      <c r="A479" s="325"/>
      <c r="B479" s="326"/>
      <c r="J479" s="73"/>
      <c r="K479" s="327"/>
    </row>
    <row r="480" customFormat="false" ht="12.75" hidden="false" customHeight="false" outlineLevel="0" collapsed="false">
      <c r="A480" s="325"/>
      <c r="B480" s="326"/>
      <c r="J480" s="73"/>
      <c r="K480" s="327"/>
    </row>
    <row r="481" customFormat="false" ht="12.75" hidden="false" customHeight="false" outlineLevel="0" collapsed="false">
      <c r="A481" s="325"/>
      <c r="B481" s="326"/>
      <c r="J481" s="73"/>
      <c r="K481" s="327"/>
    </row>
    <row r="482" customFormat="false" ht="12.75" hidden="false" customHeight="false" outlineLevel="0" collapsed="false">
      <c r="A482" s="325"/>
      <c r="B482" s="326"/>
      <c r="J482" s="73"/>
      <c r="K482" s="327"/>
    </row>
    <row r="483" customFormat="false" ht="12.75" hidden="false" customHeight="false" outlineLevel="0" collapsed="false">
      <c r="A483" s="325"/>
      <c r="B483" s="326"/>
      <c r="J483" s="73"/>
      <c r="K483" s="327"/>
    </row>
    <row r="484" customFormat="false" ht="12.75" hidden="false" customHeight="false" outlineLevel="0" collapsed="false">
      <c r="A484" s="325"/>
      <c r="B484" s="326"/>
      <c r="J484" s="73"/>
      <c r="K484" s="327"/>
    </row>
    <row r="485" customFormat="false" ht="12.75" hidden="false" customHeight="false" outlineLevel="0" collapsed="false">
      <c r="A485" s="325"/>
      <c r="B485" s="326"/>
      <c r="J485" s="73"/>
      <c r="K485" s="327"/>
    </row>
    <row r="486" customFormat="false" ht="12.75" hidden="false" customHeight="false" outlineLevel="0" collapsed="false">
      <c r="A486" s="325"/>
      <c r="B486" s="326"/>
      <c r="J486" s="73"/>
      <c r="K486" s="327"/>
    </row>
    <row r="487" customFormat="false" ht="12.75" hidden="false" customHeight="false" outlineLevel="0" collapsed="false">
      <c r="A487" s="325"/>
      <c r="B487" s="326"/>
      <c r="J487" s="73"/>
      <c r="K487" s="327"/>
    </row>
    <row r="488" customFormat="false" ht="12.75" hidden="false" customHeight="false" outlineLevel="0" collapsed="false">
      <c r="A488" s="325"/>
      <c r="B488" s="326"/>
      <c r="J488" s="73"/>
      <c r="K488" s="327"/>
    </row>
    <row r="489" customFormat="false" ht="12.75" hidden="false" customHeight="false" outlineLevel="0" collapsed="false">
      <c r="A489" s="325"/>
      <c r="B489" s="326"/>
      <c r="J489" s="73"/>
      <c r="K489" s="327"/>
    </row>
    <row r="490" customFormat="false" ht="12.75" hidden="false" customHeight="false" outlineLevel="0" collapsed="false">
      <c r="A490" s="325"/>
      <c r="B490" s="326"/>
      <c r="J490" s="73"/>
      <c r="K490" s="327"/>
    </row>
    <row r="491" customFormat="false" ht="12.75" hidden="false" customHeight="false" outlineLevel="0" collapsed="false">
      <c r="A491" s="325"/>
      <c r="B491" s="326"/>
      <c r="J491" s="73"/>
      <c r="K491" s="327"/>
    </row>
    <row r="492" customFormat="false" ht="12.75" hidden="false" customHeight="false" outlineLevel="0" collapsed="false">
      <c r="A492" s="325"/>
      <c r="B492" s="326"/>
      <c r="J492" s="73"/>
      <c r="K492" s="327"/>
    </row>
    <row r="493" customFormat="false" ht="12.75" hidden="false" customHeight="false" outlineLevel="0" collapsed="false">
      <c r="A493" s="325"/>
      <c r="B493" s="326"/>
      <c r="J493" s="73"/>
      <c r="K493" s="327"/>
    </row>
    <row r="494" customFormat="false" ht="12.75" hidden="false" customHeight="false" outlineLevel="0" collapsed="false">
      <c r="A494" s="325"/>
      <c r="B494" s="326"/>
      <c r="J494" s="73"/>
      <c r="K494" s="327"/>
    </row>
    <row r="495" customFormat="false" ht="12.75" hidden="false" customHeight="false" outlineLevel="0" collapsed="false">
      <c r="A495" s="325"/>
      <c r="B495" s="326"/>
      <c r="J495" s="73"/>
      <c r="K495" s="327"/>
    </row>
    <row r="496" customFormat="false" ht="12.75" hidden="false" customHeight="false" outlineLevel="0" collapsed="false">
      <c r="A496" s="325"/>
      <c r="B496" s="326"/>
      <c r="J496" s="73"/>
      <c r="K496" s="327"/>
    </row>
    <row r="497" customFormat="false" ht="12.75" hidden="false" customHeight="false" outlineLevel="0" collapsed="false">
      <c r="A497" s="325"/>
      <c r="B497" s="326"/>
      <c r="J497" s="73"/>
      <c r="K497" s="327"/>
    </row>
    <row r="498" customFormat="false" ht="12.75" hidden="false" customHeight="false" outlineLevel="0" collapsed="false">
      <c r="A498" s="325"/>
      <c r="B498" s="326"/>
      <c r="J498" s="73"/>
      <c r="K498" s="327"/>
    </row>
    <row r="499" customFormat="false" ht="12.75" hidden="false" customHeight="false" outlineLevel="0" collapsed="false">
      <c r="A499" s="325"/>
      <c r="B499" s="326"/>
      <c r="J499" s="73"/>
      <c r="K499" s="327"/>
    </row>
    <row r="500" customFormat="false" ht="12.75" hidden="false" customHeight="false" outlineLevel="0" collapsed="false">
      <c r="A500" s="325"/>
      <c r="B500" s="326"/>
      <c r="J500" s="73"/>
      <c r="K500" s="327"/>
    </row>
    <row r="501" customFormat="false" ht="12.75" hidden="false" customHeight="false" outlineLevel="0" collapsed="false">
      <c r="A501" s="325"/>
      <c r="B501" s="326"/>
      <c r="J501" s="73"/>
      <c r="K501" s="327"/>
    </row>
    <row r="502" customFormat="false" ht="12.75" hidden="false" customHeight="false" outlineLevel="0" collapsed="false">
      <c r="A502" s="325"/>
      <c r="B502" s="326"/>
      <c r="J502" s="73"/>
      <c r="K502" s="327"/>
    </row>
    <row r="503" customFormat="false" ht="12.75" hidden="false" customHeight="false" outlineLevel="0" collapsed="false">
      <c r="A503" s="325"/>
      <c r="B503" s="326"/>
      <c r="J503" s="73"/>
      <c r="K503" s="327"/>
    </row>
    <row r="504" customFormat="false" ht="12.75" hidden="false" customHeight="false" outlineLevel="0" collapsed="false">
      <c r="A504" s="325"/>
      <c r="B504" s="326"/>
      <c r="J504" s="73"/>
      <c r="K504" s="327"/>
    </row>
    <row r="505" customFormat="false" ht="12.75" hidden="false" customHeight="false" outlineLevel="0" collapsed="false">
      <c r="A505" s="325"/>
      <c r="B505" s="326"/>
      <c r="J505" s="73"/>
      <c r="K505" s="327"/>
    </row>
    <row r="506" customFormat="false" ht="12.75" hidden="false" customHeight="false" outlineLevel="0" collapsed="false">
      <c r="A506" s="325"/>
      <c r="B506" s="326"/>
      <c r="J506" s="73"/>
      <c r="K506" s="327"/>
    </row>
    <row r="507" customFormat="false" ht="12.75" hidden="false" customHeight="false" outlineLevel="0" collapsed="false">
      <c r="A507" s="325"/>
      <c r="B507" s="326"/>
      <c r="J507" s="73"/>
      <c r="K507" s="327"/>
    </row>
    <row r="508" customFormat="false" ht="12.75" hidden="false" customHeight="false" outlineLevel="0" collapsed="false">
      <c r="A508" s="325"/>
      <c r="B508" s="326"/>
      <c r="J508" s="73"/>
      <c r="K508" s="327"/>
    </row>
    <row r="509" customFormat="false" ht="12.75" hidden="false" customHeight="false" outlineLevel="0" collapsed="false">
      <c r="A509" s="325"/>
      <c r="B509" s="326"/>
      <c r="J509" s="73"/>
      <c r="K509" s="327"/>
    </row>
    <row r="510" customFormat="false" ht="12.75" hidden="false" customHeight="false" outlineLevel="0" collapsed="false">
      <c r="A510" s="325"/>
      <c r="B510" s="326"/>
      <c r="J510" s="73"/>
      <c r="K510" s="327"/>
    </row>
    <row r="511" customFormat="false" ht="12.75" hidden="false" customHeight="false" outlineLevel="0" collapsed="false">
      <c r="A511" s="325"/>
      <c r="B511" s="326"/>
      <c r="J511" s="73"/>
      <c r="K511" s="327"/>
    </row>
    <row r="512" customFormat="false" ht="12.75" hidden="false" customHeight="false" outlineLevel="0" collapsed="false">
      <c r="A512" s="325"/>
      <c r="B512" s="326"/>
      <c r="J512" s="73"/>
      <c r="K512" s="327"/>
    </row>
    <row r="513" customFormat="false" ht="12.75" hidden="false" customHeight="false" outlineLevel="0" collapsed="false">
      <c r="A513" s="325"/>
      <c r="B513" s="326"/>
      <c r="J513" s="73"/>
      <c r="K513" s="327"/>
    </row>
    <row r="514" customFormat="false" ht="12.75" hidden="false" customHeight="false" outlineLevel="0" collapsed="false">
      <c r="A514" s="325"/>
      <c r="B514" s="326"/>
      <c r="J514" s="73"/>
      <c r="K514" s="327"/>
    </row>
    <row r="515" customFormat="false" ht="12.75" hidden="false" customHeight="false" outlineLevel="0" collapsed="false">
      <c r="A515" s="325"/>
      <c r="B515" s="326"/>
      <c r="J515" s="73"/>
      <c r="K515" s="327"/>
    </row>
    <row r="516" customFormat="false" ht="12.75" hidden="false" customHeight="false" outlineLevel="0" collapsed="false">
      <c r="A516" s="325"/>
      <c r="B516" s="326"/>
      <c r="J516" s="73"/>
      <c r="K516" s="327"/>
    </row>
    <row r="517" customFormat="false" ht="12.75" hidden="false" customHeight="false" outlineLevel="0" collapsed="false">
      <c r="A517" s="325"/>
      <c r="B517" s="326"/>
      <c r="J517" s="73"/>
      <c r="K517" s="327"/>
    </row>
    <row r="518" customFormat="false" ht="12.75" hidden="false" customHeight="false" outlineLevel="0" collapsed="false">
      <c r="A518" s="325"/>
      <c r="B518" s="326"/>
      <c r="J518" s="73"/>
      <c r="K518" s="327"/>
    </row>
    <row r="519" customFormat="false" ht="12.75" hidden="false" customHeight="false" outlineLevel="0" collapsed="false">
      <c r="A519" s="325"/>
      <c r="B519" s="326"/>
      <c r="J519" s="73"/>
      <c r="K519" s="327"/>
    </row>
    <row r="520" customFormat="false" ht="12.75" hidden="false" customHeight="false" outlineLevel="0" collapsed="false">
      <c r="A520" s="325"/>
      <c r="B520" s="326"/>
      <c r="J520" s="73"/>
      <c r="K520" s="327"/>
    </row>
    <row r="521" customFormat="false" ht="12.75" hidden="false" customHeight="false" outlineLevel="0" collapsed="false">
      <c r="A521" s="325"/>
      <c r="B521" s="326"/>
      <c r="J521" s="73"/>
      <c r="K521" s="327"/>
    </row>
    <row r="522" customFormat="false" ht="12.75" hidden="false" customHeight="false" outlineLevel="0" collapsed="false">
      <c r="A522" s="325"/>
      <c r="B522" s="326"/>
      <c r="J522" s="73"/>
      <c r="K522" s="327"/>
    </row>
    <row r="523" customFormat="false" ht="12.75" hidden="false" customHeight="false" outlineLevel="0" collapsed="false">
      <c r="A523" s="325"/>
      <c r="B523" s="326"/>
      <c r="J523" s="73"/>
      <c r="K523" s="327"/>
    </row>
    <row r="524" customFormat="false" ht="12.75" hidden="false" customHeight="false" outlineLevel="0" collapsed="false">
      <c r="A524" s="325"/>
      <c r="B524" s="326"/>
      <c r="J524" s="73"/>
      <c r="K524" s="327"/>
    </row>
    <row r="525" customFormat="false" ht="12.75" hidden="false" customHeight="false" outlineLevel="0" collapsed="false">
      <c r="A525" s="325"/>
      <c r="B525" s="326"/>
      <c r="J525" s="73"/>
      <c r="K525" s="327"/>
    </row>
    <row r="526" customFormat="false" ht="12.75" hidden="false" customHeight="false" outlineLevel="0" collapsed="false">
      <c r="A526" s="325"/>
      <c r="B526" s="326"/>
      <c r="J526" s="73"/>
      <c r="K526" s="327"/>
    </row>
    <row r="527" customFormat="false" ht="12.75" hidden="false" customHeight="false" outlineLevel="0" collapsed="false">
      <c r="A527" s="325"/>
      <c r="B527" s="326"/>
      <c r="J527" s="73"/>
      <c r="K527" s="327"/>
    </row>
    <row r="528" customFormat="false" ht="12.75" hidden="false" customHeight="false" outlineLevel="0" collapsed="false">
      <c r="A528" s="325"/>
      <c r="B528" s="326"/>
      <c r="J528" s="73"/>
      <c r="K528" s="327"/>
    </row>
    <row r="529" customFormat="false" ht="12.75" hidden="false" customHeight="false" outlineLevel="0" collapsed="false">
      <c r="A529" s="325"/>
      <c r="B529" s="326"/>
      <c r="J529" s="73"/>
      <c r="K529" s="327"/>
    </row>
    <row r="530" customFormat="false" ht="12.75" hidden="false" customHeight="false" outlineLevel="0" collapsed="false">
      <c r="A530" s="325"/>
      <c r="B530" s="326"/>
      <c r="J530" s="73"/>
      <c r="K530" s="327"/>
    </row>
    <row r="531" customFormat="false" ht="12.75" hidden="false" customHeight="false" outlineLevel="0" collapsed="false">
      <c r="A531" s="325"/>
      <c r="B531" s="326"/>
      <c r="J531" s="73"/>
      <c r="K531" s="327"/>
    </row>
    <row r="532" customFormat="false" ht="12.75" hidden="false" customHeight="false" outlineLevel="0" collapsed="false">
      <c r="A532" s="325"/>
      <c r="B532" s="326"/>
      <c r="J532" s="73"/>
      <c r="K532" s="327"/>
    </row>
    <row r="533" customFormat="false" ht="12.75" hidden="false" customHeight="false" outlineLevel="0" collapsed="false">
      <c r="A533" s="325"/>
      <c r="B533" s="326"/>
      <c r="J533" s="73"/>
      <c r="K533" s="327"/>
    </row>
    <row r="534" customFormat="false" ht="12.75" hidden="false" customHeight="false" outlineLevel="0" collapsed="false">
      <c r="A534" s="325"/>
      <c r="B534" s="326"/>
      <c r="J534" s="73"/>
      <c r="K534" s="327"/>
    </row>
    <row r="535" customFormat="false" ht="12.75" hidden="false" customHeight="false" outlineLevel="0" collapsed="false">
      <c r="A535" s="325"/>
      <c r="B535" s="326"/>
      <c r="J535" s="73"/>
      <c r="K535" s="327"/>
    </row>
    <row r="536" customFormat="false" ht="12.75" hidden="false" customHeight="false" outlineLevel="0" collapsed="false">
      <c r="A536" s="325"/>
      <c r="B536" s="326"/>
      <c r="J536" s="73"/>
      <c r="K536" s="327"/>
    </row>
    <row r="537" customFormat="false" ht="12.75" hidden="false" customHeight="false" outlineLevel="0" collapsed="false">
      <c r="A537" s="325"/>
      <c r="B537" s="326"/>
      <c r="J537" s="73"/>
      <c r="K537" s="327"/>
    </row>
    <row r="538" customFormat="false" ht="12.75" hidden="false" customHeight="false" outlineLevel="0" collapsed="false">
      <c r="A538" s="325"/>
      <c r="B538" s="326"/>
      <c r="J538" s="73"/>
      <c r="K538" s="327"/>
    </row>
    <row r="539" customFormat="false" ht="12.75" hidden="false" customHeight="false" outlineLevel="0" collapsed="false">
      <c r="A539" s="325"/>
      <c r="B539" s="326"/>
      <c r="J539" s="73"/>
      <c r="K539" s="327"/>
    </row>
    <row r="540" customFormat="false" ht="12.75" hidden="false" customHeight="false" outlineLevel="0" collapsed="false">
      <c r="A540" s="325"/>
      <c r="B540" s="326"/>
      <c r="J540" s="73"/>
      <c r="K540" s="327"/>
    </row>
    <row r="541" customFormat="false" ht="12.75" hidden="false" customHeight="false" outlineLevel="0" collapsed="false">
      <c r="A541" s="325"/>
      <c r="B541" s="326"/>
      <c r="J541" s="73"/>
      <c r="K541" s="327"/>
    </row>
    <row r="542" customFormat="false" ht="12.75" hidden="false" customHeight="false" outlineLevel="0" collapsed="false">
      <c r="A542" s="325"/>
      <c r="B542" s="326"/>
      <c r="J542" s="73"/>
      <c r="K542" s="327"/>
    </row>
    <row r="543" customFormat="false" ht="12.75" hidden="false" customHeight="false" outlineLevel="0" collapsed="false">
      <c r="A543" s="325"/>
      <c r="B543" s="326"/>
      <c r="J543" s="73"/>
      <c r="K543" s="327"/>
    </row>
    <row r="544" customFormat="false" ht="12.75" hidden="false" customHeight="false" outlineLevel="0" collapsed="false">
      <c r="A544" s="325"/>
      <c r="B544" s="326"/>
      <c r="J544" s="73"/>
      <c r="K544" s="327"/>
    </row>
    <row r="545" customFormat="false" ht="12.75" hidden="false" customHeight="false" outlineLevel="0" collapsed="false">
      <c r="A545" s="325"/>
      <c r="B545" s="326"/>
      <c r="J545" s="73"/>
      <c r="K545" s="327"/>
    </row>
    <row r="546" customFormat="false" ht="12.75" hidden="false" customHeight="false" outlineLevel="0" collapsed="false">
      <c r="A546" s="325"/>
      <c r="B546" s="326"/>
      <c r="J546" s="73"/>
      <c r="K546" s="327"/>
    </row>
    <row r="547" customFormat="false" ht="12.75" hidden="false" customHeight="false" outlineLevel="0" collapsed="false">
      <c r="A547" s="325"/>
      <c r="B547" s="326"/>
      <c r="J547" s="73"/>
      <c r="K547" s="327"/>
    </row>
    <row r="548" customFormat="false" ht="12.75" hidden="false" customHeight="false" outlineLevel="0" collapsed="false">
      <c r="A548" s="325"/>
      <c r="B548" s="326"/>
      <c r="J548" s="73"/>
      <c r="K548" s="327"/>
    </row>
    <row r="549" customFormat="false" ht="12.75" hidden="false" customHeight="false" outlineLevel="0" collapsed="false">
      <c r="A549" s="325"/>
      <c r="B549" s="326"/>
      <c r="J549" s="73"/>
      <c r="K549" s="327"/>
    </row>
    <row r="550" customFormat="false" ht="12.75" hidden="false" customHeight="false" outlineLevel="0" collapsed="false">
      <c r="A550" s="325"/>
      <c r="B550" s="326"/>
      <c r="J550" s="73"/>
      <c r="K550" s="327"/>
    </row>
    <row r="551" customFormat="false" ht="12.75" hidden="false" customHeight="false" outlineLevel="0" collapsed="false">
      <c r="A551" s="325"/>
      <c r="B551" s="326"/>
      <c r="J551" s="73"/>
      <c r="K551" s="327"/>
    </row>
    <row r="552" customFormat="false" ht="12.75" hidden="false" customHeight="false" outlineLevel="0" collapsed="false">
      <c r="A552" s="325"/>
      <c r="B552" s="326"/>
      <c r="J552" s="73"/>
      <c r="K552" s="327"/>
    </row>
    <row r="553" customFormat="false" ht="12.75" hidden="false" customHeight="false" outlineLevel="0" collapsed="false">
      <c r="A553" s="325"/>
      <c r="B553" s="326"/>
      <c r="J553" s="73"/>
      <c r="K553" s="327"/>
    </row>
    <row r="554" customFormat="false" ht="12.75" hidden="false" customHeight="false" outlineLevel="0" collapsed="false">
      <c r="A554" s="325"/>
      <c r="B554" s="326"/>
      <c r="J554" s="73"/>
      <c r="K554" s="327"/>
    </row>
    <row r="555" customFormat="false" ht="12.75" hidden="false" customHeight="false" outlineLevel="0" collapsed="false">
      <c r="A555" s="325"/>
      <c r="B555" s="326"/>
      <c r="J555" s="73"/>
      <c r="K555" s="327"/>
    </row>
    <row r="556" customFormat="false" ht="12.75" hidden="false" customHeight="false" outlineLevel="0" collapsed="false">
      <c r="A556" s="325"/>
      <c r="B556" s="326"/>
      <c r="J556" s="73"/>
      <c r="K556" s="327"/>
    </row>
    <row r="557" customFormat="false" ht="12.75" hidden="false" customHeight="false" outlineLevel="0" collapsed="false">
      <c r="A557" s="325"/>
      <c r="B557" s="326"/>
      <c r="J557" s="73"/>
      <c r="K557" s="327"/>
    </row>
    <row r="558" customFormat="false" ht="12.75" hidden="false" customHeight="false" outlineLevel="0" collapsed="false">
      <c r="A558" s="325"/>
      <c r="B558" s="326"/>
      <c r="J558" s="73"/>
      <c r="K558" s="327"/>
    </row>
    <row r="559" customFormat="false" ht="12.75" hidden="false" customHeight="false" outlineLevel="0" collapsed="false">
      <c r="A559" s="325"/>
      <c r="B559" s="326"/>
      <c r="J559" s="73"/>
      <c r="K559" s="327"/>
    </row>
    <row r="560" customFormat="false" ht="12.75" hidden="false" customHeight="false" outlineLevel="0" collapsed="false">
      <c r="A560" s="325"/>
      <c r="B560" s="326"/>
      <c r="J560" s="73"/>
      <c r="K560" s="327"/>
    </row>
    <row r="561" customFormat="false" ht="12.75" hidden="false" customHeight="false" outlineLevel="0" collapsed="false">
      <c r="A561" s="325"/>
      <c r="B561" s="326"/>
      <c r="J561" s="73"/>
      <c r="K561" s="327"/>
    </row>
    <row r="562" customFormat="false" ht="12.75" hidden="false" customHeight="false" outlineLevel="0" collapsed="false">
      <c r="A562" s="325"/>
      <c r="B562" s="326"/>
      <c r="J562" s="73"/>
      <c r="K562" s="327"/>
    </row>
    <row r="563" customFormat="false" ht="12.75" hidden="false" customHeight="false" outlineLevel="0" collapsed="false">
      <c r="A563" s="325"/>
      <c r="B563" s="326"/>
      <c r="J563" s="73"/>
      <c r="K563" s="327"/>
    </row>
    <row r="564" customFormat="false" ht="12.75" hidden="false" customHeight="false" outlineLevel="0" collapsed="false">
      <c r="A564" s="325"/>
      <c r="B564" s="326"/>
      <c r="J564" s="73"/>
      <c r="K564" s="327"/>
    </row>
    <row r="565" customFormat="false" ht="12.75" hidden="false" customHeight="false" outlineLevel="0" collapsed="false">
      <c r="A565" s="325"/>
      <c r="B565" s="326"/>
      <c r="J565" s="73"/>
      <c r="K565" s="327"/>
    </row>
    <row r="566" customFormat="false" ht="12.75" hidden="false" customHeight="false" outlineLevel="0" collapsed="false">
      <c r="A566" s="325"/>
      <c r="B566" s="326"/>
      <c r="J566" s="73"/>
      <c r="K566" s="327"/>
    </row>
    <row r="567" customFormat="false" ht="12.75" hidden="false" customHeight="false" outlineLevel="0" collapsed="false">
      <c r="A567" s="325"/>
      <c r="B567" s="326"/>
      <c r="J567" s="73"/>
      <c r="K567" s="327"/>
    </row>
    <row r="568" customFormat="false" ht="12.75" hidden="false" customHeight="false" outlineLevel="0" collapsed="false">
      <c r="A568" s="325"/>
      <c r="B568" s="326"/>
      <c r="J568" s="73"/>
      <c r="K568" s="327"/>
    </row>
    <row r="569" customFormat="false" ht="12.75" hidden="false" customHeight="false" outlineLevel="0" collapsed="false">
      <c r="A569" s="325"/>
      <c r="B569" s="326"/>
      <c r="J569" s="73"/>
      <c r="K569" s="327"/>
    </row>
    <row r="570" customFormat="false" ht="12.75" hidden="false" customHeight="false" outlineLevel="0" collapsed="false">
      <c r="A570" s="325"/>
      <c r="B570" s="326"/>
      <c r="J570" s="73"/>
      <c r="K570" s="327"/>
    </row>
    <row r="571" customFormat="false" ht="12.75" hidden="false" customHeight="false" outlineLevel="0" collapsed="false">
      <c r="A571" s="325"/>
      <c r="B571" s="326"/>
      <c r="J571" s="73"/>
      <c r="K571" s="327"/>
    </row>
    <row r="572" customFormat="false" ht="12.75" hidden="false" customHeight="false" outlineLevel="0" collapsed="false">
      <c r="A572" s="325"/>
      <c r="B572" s="326"/>
      <c r="J572" s="73"/>
      <c r="K572" s="327"/>
    </row>
    <row r="573" customFormat="false" ht="12.75" hidden="false" customHeight="false" outlineLevel="0" collapsed="false">
      <c r="A573" s="325"/>
      <c r="B573" s="326"/>
      <c r="J573" s="73"/>
      <c r="K573" s="327"/>
    </row>
    <row r="574" customFormat="false" ht="12.75" hidden="false" customHeight="false" outlineLevel="0" collapsed="false">
      <c r="A574" s="325"/>
      <c r="B574" s="326"/>
      <c r="J574" s="73"/>
      <c r="K574" s="327"/>
    </row>
    <row r="575" customFormat="false" ht="12.75" hidden="false" customHeight="false" outlineLevel="0" collapsed="false">
      <c r="A575" s="325"/>
      <c r="B575" s="326"/>
      <c r="J575" s="73"/>
      <c r="K575" s="327"/>
    </row>
    <row r="576" customFormat="false" ht="12.75" hidden="false" customHeight="false" outlineLevel="0" collapsed="false">
      <c r="A576" s="325"/>
      <c r="B576" s="326"/>
      <c r="J576" s="73"/>
      <c r="K576" s="327"/>
    </row>
    <row r="577" customFormat="false" ht="12.75" hidden="false" customHeight="false" outlineLevel="0" collapsed="false">
      <c r="A577" s="325"/>
      <c r="B577" s="326"/>
      <c r="J577" s="73"/>
      <c r="K577" s="327"/>
    </row>
    <row r="578" customFormat="false" ht="12.75" hidden="false" customHeight="false" outlineLevel="0" collapsed="false">
      <c r="A578" s="325"/>
      <c r="B578" s="326"/>
      <c r="J578" s="73"/>
      <c r="K578" s="327"/>
    </row>
    <row r="579" customFormat="false" ht="12.75" hidden="false" customHeight="false" outlineLevel="0" collapsed="false">
      <c r="A579" s="325"/>
      <c r="B579" s="326"/>
      <c r="J579" s="73"/>
      <c r="K579" s="327"/>
    </row>
    <row r="580" customFormat="false" ht="12.75" hidden="false" customHeight="false" outlineLevel="0" collapsed="false">
      <c r="A580" s="325"/>
      <c r="B580" s="326"/>
      <c r="J580" s="73"/>
      <c r="K580" s="327"/>
    </row>
    <row r="581" customFormat="false" ht="12.75" hidden="false" customHeight="false" outlineLevel="0" collapsed="false">
      <c r="A581" s="325"/>
      <c r="B581" s="326"/>
      <c r="J581" s="73"/>
      <c r="K581" s="327"/>
    </row>
    <row r="582" customFormat="false" ht="12.75" hidden="false" customHeight="false" outlineLevel="0" collapsed="false">
      <c r="A582" s="325"/>
      <c r="B582" s="326"/>
      <c r="J582" s="73"/>
      <c r="K582" s="327"/>
    </row>
    <row r="583" customFormat="false" ht="12.75" hidden="false" customHeight="false" outlineLevel="0" collapsed="false">
      <c r="A583" s="325"/>
      <c r="B583" s="326"/>
      <c r="J583" s="73"/>
      <c r="K583" s="327"/>
    </row>
    <row r="584" customFormat="false" ht="12.75" hidden="false" customHeight="false" outlineLevel="0" collapsed="false">
      <c r="A584" s="325"/>
      <c r="B584" s="326"/>
      <c r="J584" s="73"/>
      <c r="K584" s="327"/>
    </row>
    <row r="585" customFormat="false" ht="12.75" hidden="false" customHeight="false" outlineLevel="0" collapsed="false">
      <c r="A585" s="325"/>
      <c r="B585" s="326"/>
      <c r="J585" s="73"/>
      <c r="K585" s="327"/>
    </row>
    <row r="586" customFormat="false" ht="12.75" hidden="false" customHeight="false" outlineLevel="0" collapsed="false">
      <c r="A586" s="325"/>
      <c r="B586" s="326"/>
      <c r="J586" s="73"/>
      <c r="K586" s="327"/>
    </row>
    <row r="587" customFormat="false" ht="12.75" hidden="false" customHeight="false" outlineLevel="0" collapsed="false">
      <c r="A587" s="325"/>
      <c r="B587" s="326"/>
      <c r="J587" s="73"/>
      <c r="K587" s="327"/>
    </row>
    <row r="588" customFormat="false" ht="12.75" hidden="false" customHeight="false" outlineLevel="0" collapsed="false">
      <c r="A588" s="325"/>
      <c r="B588" s="326"/>
      <c r="J588" s="73"/>
      <c r="K588" s="327"/>
    </row>
    <row r="589" customFormat="false" ht="12.75" hidden="false" customHeight="false" outlineLevel="0" collapsed="false">
      <c r="A589" s="325"/>
      <c r="B589" s="326"/>
      <c r="J589" s="73"/>
      <c r="K589" s="327"/>
    </row>
    <row r="590" customFormat="false" ht="12.75" hidden="false" customHeight="false" outlineLevel="0" collapsed="false">
      <c r="A590" s="325"/>
      <c r="B590" s="326"/>
      <c r="J590" s="73"/>
      <c r="K590" s="327"/>
    </row>
    <row r="591" customFormat="false" ht="12.75" hidden="false" customHeight="false" outlineLevel="0" collapsed="false">
      <c r="A591" s="325"/>
      <c r="B591" s="326"/>
      <c r="J591" s="73"/>
      <c r="K591" s="327"/>
    </row>
    <row r="592" customFormat="false" ht="12.75" hidden="false" customHeight="false" outlineLevel="0" collapsed="false">
      <c r="A592" s="325"/>
      <c r="B592" s="326"/>
      <c r="J592" s="73"/>
      <c r="K592" s="327"/>
    </row>
    <row r="593" customFormat="false" ht="12.75" hidden="false" customHeight="false" outlineLevel="0" collapsed="false">
      <c r="A593" s="325"/>
      <c r="B593" s="326"/>
      <c r="J593" s="73"/>
      <c r="K593" s="327"/>
    </row>
    <row r="594" customFormat="false" ht="12.75" hidden="false" customHeight="false" outlineLevel="0" collapsed="false">
      <c r="A594" s="325"/>
      <c r="B594" s="326"/>
      <c r="J594" s="73"/>
      <c r="K594" s="327"/>
    </row>
    <row r="595" customFormat="false" ht="12.75" hidden="false" customHeight="false" outlineLevel="0" collapsed="false">
      <c r="A595" s="325"/>
      <c r="B595" s="326"/>
      <c r="J595" s="73"/>
      <c r="K595" s="327"/>
    </row>
    <row r="596" customFormat="false" ht="12.75" hidden="false" customHeight="false" outlineLevel="0" collapsed="false">
      <c r="A596" s="325"/>
      <c r="B596" s="326"/>
      <c r="J596" s="73"/>
      <c r="K596" s="327"/>
    </row>
    <row r="597" customFormat="false" ht="12.75" hidden="false" customHeight="false" outlineLevel="0" collapsed="false">
      <c r="A597" s="325"/>
      <c r="B597" s="326"/>
      <c r="J597" s="73"/>
      <c r="K597" s="327"/>
    </row>
    <row r="598" customFormat="false" ht="12.75" hidden="false" customHeight="false" outlineLevel="0" collapsed="false">
      <c r="A598" s="325"/>
      <c r="B598" s="326"/>
      <c r="J598" s="73"/>
      <c r="K598" s="327"/>
    </row>
    <row r="599" customFormat="false" ht="12.75" hidden="false" customHeight="false" outlineLevel="0" collapsed="false">
      <c r="A599" s="325"/>
      <c r="B599" s="326"/>
      <c r="J599" s="73"/>
      <c r="K599" s="327"/>
    </row>
    <row r="600" customFormat="false" ht="12.75" hidden="false" customHeight="false" outlineLevel="0" collapsed="false">
      <c r="A600" s="325"/>
      <c r="B600" s="326"/>
      <c r="J600" s="73"/>
      <c r="K600" s="327"/>
    </row>
    <row r="601" customFormat="false" ht="12.75" hidden="false" customHeight="false" outlineLevel="0" collapsed="false">
      <c r="A601" s="325"/>
      <c r="B601" s="326"/>
      <c r="J601" s="73"/>
      <c r="K601" s="327"/>
    </row>
    <row r="602" customFormat="false" ht="12.75" hidden="false" customHeight="false" outlineLevel="0" collapsed="false">
      <c r="A602" s="325"/>
      <c r="B602" s="326"/>
      <c r="J602" s="73"/>
      <c r="K602" s="327"/>
    </row>
    <row r="603" customFormat="false" ht="12.75" hidden="false" customHeight="false" outlineLevel="0" collapsed="false">
      <c r="A603" s="325"/>
      <c r="B603" s="326"/>
      <c r="J603" s="73"/>
      <c r="K603" s="327"/>
    </row>
    <row r="604" customFormat="false" ht="12.75" hidden="false" customHeight="false" outlineLevel="0" collapsed="false">
      <c r="A604" s="325"/>
      <c r="B604" s="326"/>
      <c r="J604" s="73"/>
      <c r="K604" s="327"/>
    </row>
    <row r="605" customFormat="false" ht="12.75" hidden="false" customHeight="false" outlineLevel="0" collapsed="false">
      <c r="A605" s="325"/>
      <c r="B605" s="326"/>
      <c r="J605" s="73"/>
      <c r="K605" s="327"/>
    </row>
    <row r="606" customFormat="false" ht="12.75" hidden="false" customHeight="false" outlineLevel="0" collapsed="false">
      <c r="A606" s="325"/>
      <c r="B606" s="326"/>
      <c r="J606" s="73"/>
      <c r="K606" s="327"/>
    </row>
    <row r="607" customFormat="false" ht="12.75" hidden="false" customHeight="false" outlineLevel="0" collapsed="false">
      <c r="A607" s="325"/>
      <c r="B607" s="326"/>
      <c r="J607" s="73"/>
      <c r="K607" s="327"/>
    </row>
    <row r="608" customFormat="false" ht="12.75" hidden="false" customHeight="false" outlineLevel="0" collapsed="false">
      <c r="A608" s="325"/>
      <c r="B608" s="326"/>
      <c r="J608" s="73"/>
      <c r="K608" s="327"/>
    </row>
    <row r="609" customFormat="false" ht="12.75" hidden="false" customHeight="false" outlineLevel="0" collapsed="false">
      <c r="A609" s="325"/>
      <c r="B609" s="326"/>
      <c r="J609" s="73"/>
      <c r="K609" s="327"/>
    </row>
    <row r="610" customFormat="false" ht="12.75" hidden="false" customHeight="false" outlineLevel="0" collapsed="false">
      <c r="A610" s="325"/>
      <c r="B610" s="326"/>
      <c r="J610" s="73"/>
      <c r="K610" s="327"/>
    </row>
    <row r="611" customFormat="false" ht="12.75" hidden="false" customHeight="false" outlineLevel="0" collapsed="false">
      <c r="A611" s="325"/>
      <c r="B611" s="326"/>
      <c r="J611" s="73"/>
      <c r="K611" s="327"/>
    </row>
    <row r="612" customFormat="false" ht="12.75" hidden="false" customHeight="false" outlineLevel="0" collapsed="false">
      <c r="A612" s="325"/>
      <c r="B612" s="326"/>
      <c r="J612" s="73"/>
      <c r="K612" s="327"/>
    </row>
    <row r="613" customFormat="false" ht="12.75" hidden="false" customHeight="false" outlineLevel="0" collapsed="false">
      <c r="A613" s="325"/>
      <c r="B613" s="326"/>
      <c r="J613" s="73"/>
      <c r="K613" s="327"/>
    </row>
    <row r="614" customFormat="false" ht="12.75" hidden="false" customHeight="false" outlineLevel="0" collapsed="false">
      <c r="A614" s="325"/>
      <c r="B614" s="326"/>
      <c r="J614" s="73"/>
      <c r="K614" s="327"/>
    </row>
    <row r="615" customFormat="false" ht="12.75" hidden="false" customHeight="false" outlineLevel="0" collapsed="false">
      <c r="A615" s="325"/>
      <c r="B615" s="326"/>
      <c r="J615" s="73"/>
      <c r="K615" s="327"/>
    </row>
    <row r="616" customFormat="false" ht="12.75" hidden="false" customHeight="false" outlineLevel="0" collapsed="false">
      <c r="A616" s="325"/>
      <c r="B616" s="326"/>
      <c r="J616" s="73"/>
      <c r="K616" s="327"/>
    </row>
    <row r="617" customFormat="false" ht="12.75" hidden="false" customHeight="false" outlineLevel="0" collapsed="false">
      <c r="A617" s="325"/>
      <c r="B617" s="326"/>
      <c r="J617" s="73"/>
      <c r="K617" s="327"/>
    </row>
    <row r="618" customFormat="false" ht="12.75" hidden="false" customHeight="false" outlineLevel="0" collapsed="false">
      <c r="A618" s="325"/>
      <c r="B618" s="326"/>
      <c r="J618" s="73"/>
      <c r="K618" s="327"/>
    </row>
    <row r="619" customFormat="false" ht="12.75" hidden="false" customHeight="false" outlineLevel="0" collapsed="false">
      <c r="A619" s="325"/>
      <c r="B619" s="326"/>
      <c r="J619" s="73"/>
      <c r="K619" s="327"/>
    </row>
    <row r="620" customFormat="false" ht="12.75" hidden="false" customHeight="false" outlineLevel="0" collapsed="false">
      <c r="A620" s="325"/>
      <c r="B620" s="326"/>
      <c r="J620" s="73"/>
      <c r="K620" s="327"/>
    </row>
    <row r="621" customFormat="false" ht="12.75" hidden="false" customHeight="false" outlineLevel="0" collapsed="false">
      <c r="A621" s="325"/>
      <c r="B621" s="326"/>
      <c r="J621" s="73"/>
      <c r="K621" s="327"/>
    </row>
    <row r="622" customFormat="false" ht="12.75" hidden="false" customHeight="false" outlineLevel="0" collapsed="false">
      <c r="A622" s="325"/>
      <c r="B622" s="326"/>
      <c r="J622" s="73"/>
      <c r="K622" s="327"/>
    </row>
    <row r="623" customFormat="false" ht="12.75" hidden="false" customHeight="false" outlineLevel="0" collapsed="false">
      <c r="A623" s="325"/>
      <c r="B623" s="326"/>
      <c r="J623" s="73"/>
      <c r="K623" s="327"/>
    </row>
    <row r="624" customFormat="false" ht="12.75" hidden="false" customHeight="false" outlineLevel="0" collapsed="false">
      <c r="A624" s="325"/>
      <c r="B624" s="326"/>
      <c r="J624" s="73"/>
      <c r="K624" s="327"/>
    </row>
    <row r="625" customFormat="false" ht="12.75" hidden="false" customHeight="false" outlineLevel="0" collapsed="false">
      <c r="A625" s="325"/>
      <c r="B625" s="326"/>
      <c r="J625" s="73"/>
      <c r="K625" s="327"/>
    </row>
    <row r="626" customFormat="false" ht="12.75" hidden="false" customHeight="false" outlineLevel="0" collapsed="false">
      <c r="A626" s="325"/>
      <c r="B626" s="326"/>
      <c r="J626" s="73"/>
      <c r="K626" s="327"/>
    </row>
    <row r="627" customFormat="false" ht="12.75" hidden="false" customHeight="false" outlineLevel="0" collapsed="false">
      <c r="A627" s="325"/>
      <c r="B627" s="326"/>
      <c r="J627" s="73"/>
      <c r="K627" s="327"/>
    </row>
    <row r="628" customFormat="false" ht="12.75" hidden="false" customHeight="false" outlineLevel="0" collapsed="false">
      <c r="A628" s="325"/>
      <c r="B628" s="326"/>
      <c r="J628" s="73"/>
      <c r="K628" s="327"/>
    </row>
    <row r="629" customFormat="false" ht="12.75" hidden="false" customHeight="false" outlineLevel="0" collapsed="false">
      <c r="A629" s="325"/>
      <c r="B629" s="326"/>
      <c r="J629" s="73"/>
      <c r="K629" s="327"/>
    </row>
    <row r="630" customFormat="false" ht="12.75" hidden="false" customHeight="false" outlineLevel="0" collapsed="false">
      <c r="A630" s="325"/>
      <c r="B630" s="326"/>
      <c r="J630" s="73"/>
      <c r="K630" s="327"/>
    </row>
    <row r="631" customFormat="false" ht="12.75" hidden="false" customHeight="false" outlineLevel="0" collapsed="false">
      <c r="A631" s="325"/>
      <c r="B631" s="326"/>
      <c r="J631" s="73"/>
      <c r="K631" s="327"/>
    </row>
    <row r="632" customFormat="false" ht="12.75" hidden="false" customHeight="false" outlineLevel="0" collapsed="false">
      <c r="A632" s="325"/>
      <c r="B632" s="326"/>
      <c r="J632" s="73"/>
      <c r="K632" s="327"/>
    </row>
    <row r="633" customFormat="false" ht="12.75" hidden="false" customHeight="false" outlineLevel="0" collapsed="false">
      <c r="A633" s="325"/>
      <c r="B633" s="326"/>
      <c r="J633" s="73"/>
      <c r="K633" s="327"/>
    </row>
    <row r="634" customFormat="false" ht="12.75" hidden="false" customHeight="false" outlineLevel="0" collapsed="false">
      <c r="A634" s="325"/>
      <c r="B634" s="326"/>
      <c r="J634" s="73"/>
      <c r="K634" s="327"/>
    </row>
    <row r="635" customFormat="false" ht="12.75" hidden="false" customHeight="false" outlineLevel="0" collapsed="false">
      <c r="A635" s="325"/>
      <c r="B635" s="326"/>
      <c r="J635" s="73"/>
      <c r="K635" s="327"/>
    </row>
    <row r="636" customFormat="false" ht="12.75" hidden="false" customHeight="false" outlineLevel="0" collapsed="false">
      <c r="A636" s="325"/>
      <c r="B636" s="326"/>
      <c r="J636" s="73"/>
      <c r="K636" s="327"/>
    </row>
    <row r="637" customFormat="false" ht="12.75" hidden="false" customHeight="false" outlineLevel="0" collapsed="false">
      <c r="A637" s="325"/>
      <c r="B637" s="326"/>
      <c r="J637" s="73"/>
      <c r="K637" s="327"/>
    </row>
    <row r="638" customFormat="false" ht="12.75" hidden="false" customHeight="false" outlineLevel="0" collapsed="false">
      <c r="A638" s="325"/>
      <c r="B638" s="326"/>
      <c r="J638" s="73"/>
      <c r="K638" s="327"/>
    </row>
    <row r="639" customFormat="false" ht="12.75" hidden="false" customHeight="false" outlineLevel="0" collapsed="false">
      <c r="A639" s="325"/>
      <c r="B639" s="326"/>
      <c r="J639" s="73"/>
      <c r="K639" s="327"/>
    </row>
    <row r="640" customFormat="false" ht="12.75" hidden="false" customHeight="false" outlineLevel="0" collapsed="false">
      <c r="A640" s="325"/>
      <c r="B640" s="326"/>
      <c r="J640" s="73"/>
      <c r="K640" s="327"/>
    </row>
    <row r="641" customFormat="false" ht="12.75" hidden="false" customHeight="false" outlineLevel="0" collapsed="false">
      <c r="A641" s="325"/>
      <c r="B641" s="326"/>
      <c r="J641" s="73"/>
      <c r="K641" s="327"/>
    </row>
    <row r="642" customFormat="false" ht="12.75" hidden="false" customHeight="false" outlineLevel="0" collapsed="false">
      <c r="A642" s="325"/>
      <c r="B642" s="326"/>
      <c r="J642" s="73"/>
      <c r="K642" s="327"/>
    </row>
    <row r="643" customFormat="false" ht="12.75" hidden="false" customHeight="false" outlineLevel="0" collapsed="false">
      <c r="A643" s="325"/>
      <c r="B643" s="326"/>
      <c r="J643" s="73"/>
      <c r="K643" s="327"/>
    </row>
    <row r="644" customFormat="false" ht="12.75" hidden="false" customHeight="false" outlineLevel="0" collapsed="false">
      <c r="A644" s="325"/>
      <c r="B644" s="326"/>
      <c r="J644" s="73"/>
      <c r="K644" s="327"/>
    </row>
    <row r="645" customFormat="false" ht="12.75" hidden="false" customHeight="false" outlineLevel="0" collapsed="false">
      <c r="A645" s="325"/>
      <c r="B645" s="326"/>
      <c r="J645" s="73"/>
      <c r="K645" s="327"/>
    </row>
    <row r="646" customFormat="false" ht="12.75" hidden="false" customHeight="false" outlineLevel="0" collapsed="false">
      <c r="A646" s="325"/>
      <c r="B646" s="326"/>
      <c r="J646" s="73"/>
      <c r="K646" s="327"/>
    </row>
    <row r="647" customFormat="false" ht="12.75" hidden="false" customHeight="false" outlineLevel="0" collapsed="false">
      <c r="A647" s="325"/>
      <c r="B647" s="326"/>
      <c r="J647" s="73"/>
      <c r="K647" s="327"/>
    </row>
    <row r="648" customFormat="false" ht="12.75" hidden="false" customHeight="false" outlineLevel="0" collapsed="false">
      <c r="A648" s="325"/>
      <c r="B648" s="326"/>
      <c r="J648" s="73"/>
      <c r="K648" s="327"/>
    </row>
    <row r="649" customFormat="false" ht="12.75" hidden="false" customHeight="false" outlineLevel="0" collapsed="false">
      <c r="A649" s="325"/>
      <c r="B649" s="326"/>
      <c r="J649" s="73"/>
      <c r="K649" s="327"/>
    </row>
    <row r="650" customFormat="false" ht="12.75" hidden="false" customHeight="false" outlineLevel="0" collapsed="false">
      <c r="A650" s="325"/>
      <c r="B650" s="326"/>
      <c r="J650" s="73"/>
      <c r="K650" s="327"/>
    </row>
    <row r="651" customFormat="false" ht="12.75" hidden="false" customHeight="false" outlineLevel="0" collapsed="false">
      <c r="A651" s="325"/>
      <c r="B651" s="326"/>
      <c r="J651" s="73"/>
      <c r="K651" s="327"/>
    </row>
    <row r="652" customFormat="false" ht="12.75" hidden="false" customHeight="false" outlineLevel="0" collapsed="false">
      <c r="A652" s="325"/>
      <c r="B652" s="326"/>
      <c r="J652" s="73"/>
      <c r="K652" s="327"/>
    </row>
    <row r="653" customFormat="false" ht="12.75" hidden="false" customHeight="false" outlineLevel="0" collapsed="false">
      <c r="A653" s="325"/>
      <c r="B653" s="326"/>
      <c r="J653" s="73"/>
      <c r="K653" s="327"/>
    </row>
    <row r="654" customFormat="false" ht="12.75" hidden="false" customHeight="false" outlineLevel="0" collapsed="false">
      <c r="A654" s="325"/>
      <c r="B654" s="326"/>
      <c r="J654" s="73"/>
      <c r="K654" s="327"/>
    </row>
    <row r="655" customFormat="false" ht="12.75" hidden="false" customHeight="false" outlineLevel="0" collapsed="false">
      <c r="A655" s="325"/>
      <c r="B655" s="326"/>
      <c r="J655" s="73"/>
      <c r="K655" s="327"/>
    </row>
    <row r="656" customFormat="false" ht="12.75" hidden="false" customHeight="false" outlineLevel="0" collapsed="false">
      <c r="A656" s="325"/>
      <c r="B656" s="326"/>
      <c r="J656" s="73"/>
      <c r="K656" s="327"/>
    </row>
    <row r="657" customFormat="false" ht="12.75" hidden="false" customHeight="false" outlineLevel="0" collapsed="false">
      <c r="A657" s="325"/>
      <c r="B657" s="326"/>
      <c r="J657" s="73"/>
      <c r="K657" s="327"/>
    </row>
    <row r="658" customFormat="false" ht="12.75" hidden="false" customHeight="false" outlineLevel="0" collapsed="false">
      <c r="A658" s="325"/>
      <c r="B658" s="326"/>
      <c r="J658" s="73"/>
      <c r="K658" s="327"/>
    </row>
    <row r="659" customFormat="false" ht="12.75" hidden="false" customHeight="false" outlineLevel="0" collapsed="false">
      <c r="A659" s="325"/>
      <c r="B659" s="326"/>
      <c r="J659" s="73"/>
      <c r="K659" s="327"/>
    </row>
    <row r="660" customFormat="false" ht="12.75" hidden="false" customHeight="false" outlineLevel="0" collapsed="false">
      <c r="A660" s="325"/>
      <c r="B660" s="326"/>
      <c r="J660" s="73"/>
      <c r="K660" s="327"/>
    </row>
    <row r="661" customFormat="false" ht="12.75" hidden="false" customHeight="false" outlineLevel="0" collapsed="false">
      <c r="A661" s="325"/>
      <c r="B661" s="326"/>
      <c r="J661" s="73"/>
      <c r="K661" s="327"/>
    </row>
    <row r="662" customFormat="false" ht="12.75" hidden="false" customHeight="false" outlineLevel="0" collapsed="false">
      <c r="A662" s="325"/>
      <c r="B662" s="326"/>
      <c r="J662" s="73"/>
      <c r="K662" s="327"/>
    </row>
    <row r="663" customFormat="false" ht="12.75" hidden="false" customHeight="false" outlineLevel="0" collapsed="false">
      <c r="A663" s="325"/>
      <c r="B663" s="326"/>
      <c r="J663" s="73"/>
      <c r="K663" s="327"/>
    </row>
    <row r="664" customFormat="false" ht="12.75" hidden="false" customHeight="false" outlineLevel="0" collapsed="false">
      <c r="A664" s="325"/>
      <c r="B664" s="326"/>
      <c r="J664" s="73"/>
      <c r="K664" s="327"/>
    </row>
    <row r="665" customFormat="false" ht="12.75" hidden="false" customHeight="false" outlineLevel="0" collapsed="false">
      <c r="A665" s="325"/>
      <c r="B665" s="326"/>
      <c r="J665" s="73"/>
      <c r="K665" s="327"/>
    </row>
    <row r="666" customFormat="false" ht="12.75" hidden="false" customHeight="false" outlineLevel="0" collapsed="false">
      <c r="A666" s="325"/>
      <c r="B666" s="326"/>
      <c r="J666" s="73"/>
      <c r="K666" s="327"/>
    </row>
    <row r="667" customFormat="false" ht="12.75" hidden="false" customHeight="false" outlineLevel="0" collapsed="false">
      <c r="A667" s="325"/>
      <c r="B667" s="326"/>
      <c r="J667" s="73"/>
      <c r="K667" s="327"/>
    </row>
    <row r="668" customFormat="false" ht="12.75" hidden="false" customHeight="false" outlineLevel="0" collapsed="false">
      <c r="A668" s="325"/>
      <c r="B668" s="326"/>
      <c r="J668" s="73"/>
      <c r="K668" s="327"/>
    </row>
    <row r="669" customFormat="false" ht="12.75" hidden="false" customHeight="false" outlineLevel="0" collapsed="false">
      <c r="A669" s="325"/>
      <c r="B669" s="326"/>
      <c r="J669" s="73"/>
      <c r="K669" s="327"/>
    </row>
    <row r="670" customFormat="false" ht="12.75" hidden="false" customHeight="false" outlineLevel="0" collapsed="false">
      <c r="A670" s="325"/>
      <c r="B670" s="326"/>
      <c r="J670" s="73"/>
      <c r="K670" s="327"/>
    </row>
    <row r="671" customFormat="false" ht="12.75" hidden="false" customHeight="false" outlineLevel="0" collapsed="false">
      <c r="A671" s="325"/>
      <c r="B671" s="326"/>
      <c r="J671" s="73"/>
      <c r="K671" s="327"/>
    </row>
    <row r="672" customFormat="false" ht="12.75" hidden="false" customHeight="false" outlineLevel="0" collapsed="false">
      <c r="A672" s="325"/>
      <c r="B672" s="326"/>
      <c r="J672" s="73"/>
      <c r="K672" s="327"/>
    </row>
    <row r="673" customFormat="false" ht="12.75" hidden="false" customHeight="false" outlineLevel="0" collapsed="false">
      <c r="A673" s="325"/>
      <c r="B673" s="326"/>
      <c r="J673" s="73"/>
      <c r="K673" s="327"/>
    </row>
    <row r="674" customFormat="false" ht="12.75" hidden="false" customHeight="false" outlineLevel="0" collapsed="false">
      <c r="A674" s="325"/>
      <c r="B674" s="326"/>
      <c r="J674" s="73"/>
      <c r="K674" s="327"/>
    </row>
    <row r="675" customFormat="false" ht="12.75" hidden="false" customHeight="false" outlineLevel="0" collapsed="false">
      <c r="A675" s="325"/>
      <c r="B675" s="326"/>
      <c r="J675" s="73"/>
      <c r="K675" s="327"/>
    </row>
    <row r="676" customFormat="false" ht="12.75" hidden="false" customHeight="false" outlineLevel="0" collapsed="false">
      <c r="A676" s="325"/>
      <c r="B676" s="326"/>
      <c r="J676" s="73"/>
      <c r="K676" s="327"/>
    </row>
    <row r="677" customFormat="false" ht="12.75" hidden="false" customHeight="false" outlineLevel="0" collapsed="false">
      <c r="A677" s="325"/>
      <c r="B677" s="326"/>
      <c r="J677" s="73"/>
      <c r="K677" s="327"/>
    </row>
    <row r="678" customFormat="false" ht="12.75" hidden="false" customHeight="false" outlineLevel="0" collapsed="false">
      <c r="A678" s="325"/>
      <c r="B678" s="326"/>
      <c r="J678" s="73"/>
      <c r="K678" s="327"/>
    </row>
    <row r="679" customFormat="false" ht="12.75" hidden="false" customHeight="false" outlineLevel="0" collapsed="false">
      <c r="A679" s="325"/>
      <c r="B679" s="326"/>
      <c r="J679" s="73"/>
      <c r="K679" s="327"/>
    </row>
    <row r="680" customFormat="false" ht="12.75" hidden="false" customHeight="false" outlineLevel="0" collapsed="false">
      <c r="A680" s="325"/>
      <c r="B680" s="326"/>
      <c r="J680" s="73"/>
      <c r="K680" s="327"/>
    </row>
    <row r="681" customFormat="false" ht="12.75" hidden="false" customHeight="false" outlineLevel="0" collapsed="false">
      <c r="A681" s="325"/>
      <c r="B681" s="326"/>
      <c r="J681" s="73"/>
      <c r="K681" s="327"/>
    </row>
    <row r="682" customFormat="false" ht="12.75" hidden="false" customHeight="false" outlineLevel="0" collapsed="false">
      <c r="A682" s="325"/>
      <c r="B682" s="326"/>
      <c r="J682" s="73"/>
      <c r="K682" s="327"/>
    </row>
    <row r="683" customFormat="false" ht="12.75" hidden="false" customHeight="false" outlineLevel="0" collapsed="false">
      <c r="A683" s="325"/>
      <c r="B683" s="326"/>
      <c r="J683" s="73"/>
      <c r="K683" s="327"/>
    </row>
    <row r="684" customFormat="false" ht="12.75" hidden="false" customHeight="false" outlineLevel="0" collapsed="false">
      <c r="A684" s="325"/>
      <c r="B684" s="326"/>
      <c r="J684" s="73"/>
      <c r="K684" s="327"/>
    </row>
    <row r="685" customFormat="false" ht="12.75" hidden="false" customHeight="false" outlineLevel="0" collapsed="false">
      <c r="A685" s="325"/>
      <c r="B685" s="326"/>
      <c r="J685" s="73"/>
      <c r="K685" s="327"/>
    </row>
    <row r="686" customFormat="false" ht="12.75" hidden="false" customHeight="false" outlineLevel="0" collapsed="false">
      <c r="A686" s="325"/>
      <c r="B686" s="326"/>
      <c r="J686" s="73"/>
      <c r="K686" s="327"/>
    </row>
    <row r="687" customFormat="false" ht="12.75" hidden="false" customHeight="false" outlineLevel="0" collapsed="false">
      <c r="A687" s="325"/>
      <c r="B687" s="326"/>
      <c r="J687" s="73"/>
      <c r="K687" s="327"/>
    </row>
    <row r="688" customFormat="false" ht="12.75" hidden="false" customHeight="false" outlineLevel="0" collapsed="false">
      <c r="A688" s="325"/>
      <c r="B688" s="326"/>
      <c r="J688" s="73"/>
      <c r="K688" s="327"/>
    </row>
    <row r="689" customFormat="false" ht="12.75" hidden="false" customHeight="false" outlineLevel="0" collapsed="false">
      <c r="A689" s="325"/>
      <c r="B689" s="326"/>
      <c r="J689" s="73"/>
      <c r="K689" s="327"/>
    </row>
    <row r="690" customFormat="false" ht="12.75" hidden="false" customHeight="false" outlineLevel="0" collapsed="false">
      <c r="A690" s="325"/>
      <c r="B690" s="326"/>
      <c r="J690" s="73"/>
      <c r="K690" s="327"/>
    </row>
    <row r="691" customFormat="false" ht="12.75" hidden="false" customHeight="false" outlineLevel="0" collapsed="false">
      <c r="A691" s="325"/>
      <c r="B691" s="326"/>
      <c r="J691" s="73"/>
      <c r="K691" s="327"/>
    </row>
    <row r="692" customFormat="false" ht="12.75" hidden="false" customHeight="false" outlineLevel="0" collapsed="false">
      <c r="A692" s="325"/>
      <c r="B692" s="326"/>
      <c r="J692" s="73"/>
      <c r="K692" s="327"/>
    </row>
    <row r="693" customFormat="false" ht="12.75" hidden="false" customHeight="false" outlineLevel="0" collapsed="false">
      <c r="A693" s="325"/>
      <c r="B693" s="326"/>
      <c r="J693" s="73"/>
      <c r="K693" s="327"/>
    </row>
    <row r="694" customFormat="false" ht="12.75" hidden="false" customHeight="false" outlineLevel="0" collapsed="false">
      <c r="A694" s="325"/>
      <c r="B694" s="326"/>
      <c r="J694" s="73"/>
      <c r="K694" s="327"/>
    </row>
    <row r="695" customFormat="false" ht="12.75" hidden="false" customHeight="false" outlineLevel="0" collapsed="false">
      <c r="A695" s="325"/>
      <c r="B695" s="326"/>
      <c r="J695" s="73"/>
      <c r="K695" s="327"/>
    </row>
    <row r="696" customFormat="false" ht="12.75" hidden="false" customHeight="false" outlineLevel="0" collapsed="false">
      <c r="A696" s="325"/>
      <c r="B696" s="326"/>
      <c r="J696" s="73"/>
      <c r="K696" s="327"/>
    </row>
    <row r="697" customFormat="false" ht="12.75" hidden="false" customHeight="false" outlineLevel="0" collapsed="false">
      <c r="A697" s="325"/>
      <c r="B697" s="326"/>
      <c r="J697" s="73"/>
      <c r="K697" s="327"/>
    </row>
    <row r="698" customFormat="false" ht="12.75" hidden="false" customHeight="false" outlineLevel="0" collapsed="false">
      <c r="A698" s="325"/>
      <c r="B698" s="326"/>
      <c r="J698" s="73"/>
      <c r="K698" s="327"/>
    </row>
    <row r="699" customFormat="false" ht="12.75" hidden="false" customHeight="false" outlineLevel="0" collapsed="false">
      <c r="A699" s="325"/>
      <c r="B699" s="326"/>
      <c r="J699" s="73"/>
      <c r="K699" s="327"/>
    </row>
    <row r="700" customFormat="false" ht="12.75" hidden="false" customHeight="false" outlineLevel="0" collapsed="false">
      <c r="A700" s="325"/>
      <c r="B700" s="326"/>
      <c r="J700" s="73"/>
      <c r="K700" s="327"/>
    </row>
    <row r="701" customFormat="false" ht="12.75" hidden="false" customHeight="false" outlineLevel="0" collapsed="false">
      <c r="A701" s="325"/>
      <c r="B701" s="326"/>
      <c r="J701" s="73"/>
      <c r="K701" s="327"/>
    </row>
    <row r="702" customFormat="false" ht="12.75" hidden="false" customHeight="false" outlineLevel="0" collapsed="false">
      <c r="A702" s="325"/>
      <c r="B702" s="326"/>
      <c r="J702" s="73"/>
      <c r="K702" s="327"/>
    </row>
    <row r="703" customFormat="false" ht="12.75" hidden="false" customHeight="false" outlineLevel="0" collapsed="false">
      <c r="A703" s="325"/>
      <c r="B703" s="326"/>
      <c r="J703" s="73"/>
      <c r="K703" s="327"/>
    </row>
    <row r="704" customFormat="false" ht="12.75" hidden="false" customHeight="false" outlineLevel="0" collapsed="false">
      <c r="A704" s="325"/>
      <c r="B704" s="326"/>
      <c r="J704" s="73"/>
      <c r="K704" s="327"/>
    </row>
    <row r="705" customFormat="false" ht="12.75" hidden="false" customHeight="false" outlineLevel="0" collapsed="false">
      <c r="A705" s="325"/>
      <c r="B705" s="326"/>
      <c r="J705" s="73"/>
      <c r="K705" s="327"/>
    </row>
    <row r="706" customFormat="false" ht="12.75" hidden="false" customHeight="false" outlineLevel="0" collapsed="false">
      <c r="A706" s="325"/>
      <c r="B706" s="326"/>
      <c r="J706" s="73"/>
      <c r="K706" s="327"/>
    </row>
    <row r="707" customFormat="false" ht="12.75" hidden="false" customHeight="false" outlineLevel="0" collapsed="false">
      <c r="A707" s="325"/>
      <c r="B707" s="326"/>
      <c r="J707" s="73"/>
      <c r="K707" s="327"/>
    </row>
    <row r="708" customFormat="false" ht="12.75" hidden="false" customHeight="false" outlineLevel="0" collapsed="false">
      <c r="A708" s="325"/>
      <c r="B708" s="326"/>
      <c r="J708" s="73"/>
      <c r="K708" s="327"/>
    </row>
    <row r="709" customFormat="false" ht="12.75" hidden="false" customHeight="false" outlineLevel="0" collapsed="false">
      <c r="A709" s="325"/>
      <c r="B709" s="326"/>
      <c r="J709" s="73"/>
      <c r="K709" s="327"/>
    </row>
    <row r="710" customFormat="false" ht="12.75" hidden="false" customHeight="false" outlineLevel="0" collapsed="false">
      <c r="A710" s="325"/>
      <c r="B710" s="326"/>
      <c r="J710" s="73"/>
      <c r="K710" s="327"/>
    </row>
    <row r="711" customFormat="false" ht="12.75" hidden="false" customHeight="false" outlineLevel="0" collapsed="false">
      <c r="A711" s="325"/>
      <c r="B711" s="326"/>
      <c r="J711" s="73"/>
      <c r="K711" s="327"/>
    </row>
    <row r="712" customFormat="false" ht="12.75" hidden="false" customHeight="false" outlineLevel="0" collapsed="false">
      <c r="A712" s="325"/>
      <c r="B712" s="326"/>
      <c r="J712" s="73"/>
      <c r="K712" s="327"/>
    </row>
    <row r="713" customFormat="false" ht="12.75" hidden="false" customHeight="false" outlineLevel="0" collapsed="false">
      <c r="A713" s="325"/>
      <c r="B713" s="326"/>
      <c r="J713" s="73"/>
      <c r="K713" s="327"/>
    </row>
    <row r="714" customFormat="false" ht="12.75" hidden="false" customHeight="false" outlineLevel="0" collapsed="false">
      <c r="A714" s="325"/>
      <c r="B714" s="326"/>
      <c r="J714" s="73"/>
      <c r="K714" s="327"/>
    </row>
    <row r="715" customFormat="false" ht="12.75" hidden="false" customHeight="false" outlineLevel="0" collapsed="false">
      <c r="A715" s="325"/>
      <c r="B715" s="326"/>
      <c r="J715" s="73"/>
      <c r="K715" s="327"/>
    </row>
    <row r="716" customFormat="false" ht="12.75" hidden="false" customHeight="false" outlineLevel="0" collapsed="false">
      <c r="A716" s="325"/>
      <c r="B716" s="326"/>
      <c r="J716" s="73"/>
      <c r="K716" s="327"/>
    </row>
    <row r="717" customFormat="false" ht="12.75" hidden="false" customHeight="false" outlineLevel="0" collapsed="false">
      <c r="A717" s="325"/>
      <c r="B717" s="326"/>
      <c r="J717" s="73"/>
      <c r="K717" s="327"/>
    </row>
    <row r="718" customFormat="false" ht="12.75" hidden="false" customHeight="false" outlineLevel="0" collapsed="false">
      <c r="A718" s="325"/>
      <c r="B718" s="326"/>
      <c r="J718" s="73"/>
      <c r="K718" s="327"/>
    </row>
    <row r="719" customFormat="false" ht="12.75" hidden="false" customHeight="false" outlineLevel="0" collapsed="false">
      <c r="A719" s="325"/>
      <c r="B719" s="326"/>
      <c r="J719" s="73"/>
      <c r="K719" s="327"/>
    </row>
    <row r="720" customFormat="false" ht="12.75" hidden="false" customHeight="false" outlineLevel="0" collapsed="false">
      <c r="A720" s="325"/>
      <c r="B720" s="326"/>
      <c r="J720" s="73"/>
      <c r="K720" s="327"/>
    </row>
    <row r="721" customFormat="false" ht="12.75" hidden="false" customHeight="false" outlineLevel="0" collapsed="false">
      <c r="A721" s="325"/>
      <c r="B721" s="326"/>
      <c r="J721" s="73"/>
      <c r="K721" s="327"/>
    </row>
    <row r="722" customFormat="false" ht="12.75" hidden="false" customHeight="false" outlineLevel="0" collapsed="false">
      <c r="A722" s="325"/>
      <c r="B722" s="326"/>
      <c r="J722" s="73"/>
      <c r="K722" s="327"/>
    </row>
    <row r="723" customFormat="false" ht="12.75" hidden="false" customHeight="false" outlineLevel="0" collapsed="false">
      <c r="A723" s="325"/>
      <c r="B723" s="326"/>
      <c r="J723" s="73"/>
      <c r="K723" s="327"/>
    </row>
    <row r="724" customFormat="false" ht="12.75" hidden="false" customHeight="false" outlineLevel="0" collapsed="false">
      <c r="A724" s="325"/>
      <c r="B724" s="326"/>
      <c r="J724" s="73"/>
      <c r="K724" s="327"/>
    </row>
    <row r="725" customFormat="false" ht="12.75" hidden="false" customHeight="false" outlineLevel="0" collapsed="false">
      <c r="A725" s="325"/>
      <c r="B725" s="326"/>
      <c r="J725" s="73"/>
      <c r="K725" s="327"/>
    </row>
    <row r="726" customFormat="false" ht="12.75" hidden="false" customHeight="false" outlineLevel="0" collapsed="false">
      <c r="A726" s="325"/>
      <c r="B726" s="326"/>
      <c r="J726" s="73"/>
      <c r="K726" s="327"/>
    </row>
    <row r="727" customFormat="false" ht="12.75" hidden="false" customHeight="false" outlineLevel="0" collapsed="false">
      <c r="A727" s="325"/>
      <c r="B727" s="326"/>
      <c r="J727" s="73"/>
      <c r="K727" s="327"/>
    </row>
    <row r="728" customFormat="false" ht="12.75" hidden="false" customHeight="false" outlineLevel="0" collapsed="false">
      <c r="A728" s="325"/>
      <c r="B728" s="326"/>
      <c r="J728" s="73"/>
      <c r="K728" s="327"/>
    </row>
    <row r="729" customFormat="false" ht="12.75" hidden="false" customHeight="false" outlineLevel="0" collapsed="false">
      <c r="A729" s="325"/>
      <c r="B729" s="326"/>
      <c r="J729" s="73"/>
      <c r="K729" s="327"/>
    </row>
    <row r="730" customFormat="false" ht="12.75" hidden="false" customHeight="false" outlineLevel="0" collapsed="false">
      <c r="A730" s="325"/>
      <c r="B730" s="326"/>
      <c r="J730" s="73"/>
      <c r="K730" s="327"/>
    </row>
    <row r="731" customFormat="false" ht="12.75" hidden="false" customHeight="false" outlineLevel="0" collapsed="false">
      <c r="A731" s="325"/>
      <c r="B731" s="326"/>
      <c r="J731" s="73"/>
      <c r="K731" s="327"/>
    </row>
    <row r="732" customFormat="false" ht="12.75" hidden="false" customHeight="false" outlineLevel="0" collapsed="false">
      <c r="A732" s="325"/>
      <c r="B732" s="326"/>
      <c r="J732" s="73"/>
      <c r="K732" s="327"/>
    </row>
    <row r="733" customFormat="false" ht="12.75" hidden="false" customHeight="false" outlineLevel="0" collapsed="false">
      <c r="A733" s="325"/>
      <c r="B733" s="326"/>
      <c r="J733" s="73"/>
      <c r="K733" s="327"/>
    </row>
    <row r="734" customFormat="false" ht="12.75" hidden="false" customHeight="false" outlineLevel="0" collapsed="false">
      <c r="A734" s="325"/>
      <c r="B734" s="326"/>
      <c r="J734" s="73"/>
      <c r="K734" s="327"/>
    </row>
    <row r="735" customFormat="false" ht="12.75" hidden="false" customHeight="false" outlineLevel="0" collapsed="false">
      <c r="A735" s="325"/>
      <c r="B735" s="326"/>
      <c r="J735" s="73"/>
      <c r="K735" s="327"/>
    </row>
    <row r="736" customFormat="false" ht="12.75" hidden="false" customHeight="false" outlineLevel="0" collapsed="false">
      <c r="A736" s="325"/>
      <c r="B736" s="326"/>
      <c r="J736" s="73"/>
      <c r="K736" s="327"/>
    </row>
    <row r="737" customFormat="false" ht="12.75" hidden="false" customHeight="false" outlineLevel="0" collapsed="false">
      <c r="A737" s="325"/>
      <c r="B737" s="326"/>
      <c r="J737" s="73"/>
      <c r="K737" s="327"/>
    </row>
    <row r="738" customFormat="false" ht="12.75" hidden="false" customHeight="false" outlineLevel="0" collapsed="false">
      <c r="A738" s="325"/>
      <c r="B738" s="326"/>
      <c r="J738" s="73"/>
      <c r="K738" s="327"/>
    </row>
    <row r="739" customFormat="false" ht="12.75" hidden="false" customHeight="false" outlineLevel="0" collapsed="false">
      <c r="A739" s="325"/>
      <c r="B739" s="326"/>
      <c r="J739" s="73"/>
      <c r="K739" s="327"/>
    </row>
    <row r="740" customFormat="false" ht="12.75" hidden="false" customHeight="false" outlineLevel="0" collapsed="false">
      <c r="A740" s="325"/>
      <c r="B740" s="326"/>
      <c r="J740" s="73"/>
      <c r="K740" s="327"/>
    </row>
    <row r="741" customFormat="false" ht="12.75" hidden="false" customHeight="false" outlineLevel="0" collapsed="false">
      <c r="A741" s="325"/>
      <c r="B741" s="326"/>
      <c r="J741" s="73"/>
      <c r="K741" s="327"/>
    </row>
    <row r="742" customFormat="false" ht="12.75" hidden="false" customHeight="false" outlineLevel="0" collapsed="false">
      <c r="A742" s="325"/>
      <c r="B742" s="326"/>
      <c r="J742" s="73"/>
      <c r="K742" s="327"/>
    </row>
    <row r="743" customFormat="false" ht="12.75" hidden="false" customHeight="false" outlineLevel="0" collapsed="false">
      <c r="A743" s="325"/>
      <c r="B743" s="326"/>
      <c r="J743" s="73"/>
      <c r="K743" s="327"/>
    </row>
    <row r="744" customFormat="false" ht="12.75" hidden="false" customHeight="false" outlineLevel="0" collapsed="false">
      <c r="A744" s="325"/>
      <c r="B744" s="326"/>
      <c r="J744" s="73"/>
      <c r="K744" s="327"/>
    </row>
    <row r="745" customFormat="false" ht="12.75" hidden="false" customHeight="false" outlineLevel="0" collapsed="false">
      <c r="A745" s="325"/>
      <c r="B745" s="326"/>
      <c r="J745" s="73"/>
      <c r="K745" s="327"/>
    </row>
    <row r="746" customFormat="false" ht="12.75" hidden="false" customHeight="false" outlineLevel="0" collapsed="false">
      <c r="A746" s="325"/>
      <c r="B746" s="326"/>
      <c r="J746" s="73"/>
      <c r="K746" s="327"/>
    </row>
    <row r="747" customFormat="false" ht="12.75" hidden="false" customHeight="false" outlineLevel="0" collapsed="false">
      <c r="A747" s="325"/>
      <c r="B747" s="326"/>
      <c r="J747" s="73"/>
      <c r="K747" s="327"/>
    </row>
    <row r="748" customFormat="false" ht="12.75" hidden="false" customHeight="false" outlineLevel="0" collapsed="false">
      <c r="A748" s="325"/>
      <c r="B748" s="326"/>
      <c r="J748" s="73"/>
      <c r="K748" s="327"/>
    </row>
    <row r="749" customFormat="false" ht="12.75" hidden="false" customHeight="false" outlineLevel="0" collapsed="false">
      <c r="A749" s="325"/>
      <c r="B749" s="326"/>
      <c r="J749" s="73"/>
      <c r="K749" s="327"/>
    </row>
    <row r="750" customFormat="false" ht="12.75" hidden="false" customHeight="false" outlineLevel="0" collapsed="false">
      <c r="A750" s="325"/>
      <c r="B750" s="326"/>
      <c r="J750" s="73"/>
      <c r="K750" s="327"/>
    </row>
    <row r="751" customFormat="false" ht="12.75" hidden="false" customHeight="false" outlineLevel="0" collapsed="false">
      <c r="A751" s="325"/>
      <c r="B751" s="326"/>
      <c r="J751" s="73"/>
      <c r="K751" s="327"/>
    </row>
    <row r="752" customFormat="false" ht="12.75" hidden="false" customHeight="false" outlineLevel="0" collapsed="false">
      <c r="A752" s="325"/>
      <c r="B752" s="326"/>
      <c r="J752" s="73"/>
      <c r="K752" s="327"/>
    </row>
    <row r="753" customFormat="false" ht="12.75" hidden="false" customHeight="false" outlineLevel="0" collapsed="false">
      <c r="A753" s="325"/>
      <c r="B753" s="326"/>
      <c r="J753" s="73"/>
      <c r="K753" s="327"/>
    </row>
    <row r="754" customFormat="false" ht="12.75" hidden="false" customHeight="false" outlineLevel="0" collapsed="false">
      <c r="A754" s="325"/>
      <c r="B754" s="326"/>
      <c r="J754" s="73"/>
      <c r="K754" s="327"/>
    </row>
    <row r="755" customFormat="false" ht="12.75" hidden="false" customHeight="false" outlineLevel="0" collapsed="false">
      <c r="A755" s="325"/>
      <c r="B755" s="326"/>
      <c r="J755" s="73"/>
      <c r="K755" s="327"/>
    </row>
    <row r="756" customFormat="false" ht="12.75" hidden="false" customHeight="false" outlineLevel="0" collapsed="false">
      <c r="A756" s="325"/>
      <c r="B756" s="326"/>
      <c r="J756" s="73"/>
      <c r="K756" s="327"/>
    </row>
    <row r="757" customFormat="false" ht="12.75" hidden="false" customHeight="false" outlineLevel="0" collapsed="false">
      <c r="A757" s="325"/>
      <c r="B757" s="326"/>
      <c r="J757" s="73"/>
      <c r="K757" s="327"/>
    </row>
    <row r="758" customFormat="false" ht="12.75" hidden="false" customHeight="false" outlineLevel="0" collapsed="false">
      <c r="A758" s="325"/>
      <c r="B758" s="326"/>
      <c r="J758" s="73"/>
      <c r="K758" s="327"/>
    </row>
    <row r="759" customFormat="false" ht="12.75" hidden="false" customHeight="false" outlineLevel="0" collapsed="false">
      <c r="A759" s="325"/>
      <c r="B759" s="326"/>
      <c r="J759" s="73"/>
      <c r="K759" s="327"/>
    </row>
    <row r="760" customFormat="false" ht="12.75" hidden="false" customHeight="false" outlineLevel="0" collapsed="false">
      <c r="A760" s="325"/>
      <c r="B760" s="326"/>
      <c r="J760" s="73"/>
      <c r="K760" s="327"/>
    </row>
    <row r="761" customFormat="false" ht="12.75" hidden="false" customHeight="false" outlineLevel="0" collapsed="false">
      <c r="A761" s="325"/>
      <c r="B761" s="326"/>
      <c r="J761" s="73"/>
      <c r="K761" s="327"/>
    </row>
    <row r="762" customFormat="false" ht="12.75" hidden="false" customHeight="false" outlineLevel="0" collapsed="false">
      <c r="A762" s="325"/>
      <c r="B762" s="326"/>
      <c r="J762" s="73"/>
      <c r="K762" s="327"/>
    </row>
    <row r="763" customFormat="false" ht="12.75" hidden="false" customHeight="false" outlineLevel="0" collapsed="false">
      <c r="A763" s="325"/>
      <c r="B763" s="326"/>
      <c r="J763" s="73"/>
      <c r="K763" s="327"/>
    </row>
    <row r="764" customFormat="false" ht="12.75" hidden="false" customHeight="false" outlineLevel="0" collapsed="false">
      <c r="A764" s="325"/>
      <c r="B764" s="326"/>
      <c r="J764" s="73"/>
      <c r="K764" s="327"/>
    </row>
    <row r="765" customFormat="false" ht="12.75" hidden="false" customHeight="false" outlineLevel="0" collapsed="false">
      <c r="A765" s="325"/>
      <c r="B765" s="326"/>
      <c r="J765" s="73"/>
      <c r="K765" s="327"/>
    </row>
    <row r="766" customFormat="false" ht="12.75" hidden="false" customHeight="false" outlineLevel="0" collapsed="false">
      <c r="A766" s="325"/>
      <c r="B766" s="326"/>
      <c r="J766" s="73"/>
      <c r="K766" s="327"/>
    </row>
    <row r="767" customFormat="false" ht="12.75" hidden="false" customHeight="false" outlineLevel="0" collapsed="false">
      <c r="A767" s="325"/>
      <c r="B767" s="326"/>
      <c r="J767" s="73"/>
      <c r="K767" s="327"/>
    </row>
    <row r="768" customFormat="false" ht="12.75" hidden="false" customHeight="false" outlineLevel="0" collapsed="false">
      <c r="A768" s="325"/>
      <c r="B768" s="326"/>
      <c r="J768" s="73"/>
      <c r="K768" s="327"/>
    </row>
    <row r="769" customFormat="false" ht="12.75" hidden="false" customHeight="false" outlineLevel="0" collapsed="false">
      <c r="A769" s="325"/>
      <c r="B769" s="326"/>
      <c r="J769" s="73"/>
      <c r="K769" s="327"/>
    </row>
    <row r="770" customFormat="false" ht="12.75" hidden="false" customHeight="false" outlineLevel="0" collapsed="false">
      <c r="A770" s="325"/>
      <c r="B770" s="326"/>
      <c r="J770" s="73"/>
      <c r="K770" s="327"/>
    </row>
    <row r="771" customFormat="false" ht="12.75" hidden="false" customHeight="false" outlineLevel="0" collapsed="false">
      <c r="A771" s="325"/>
      <c r="B771" s="326"/>
      <c r="J771" s="73"/>
      <c r="K771" s="327"/>
    </row>
    <row r="772" customFormat="false" ht="12.75" hidden="false" customHeight="false" outlineLevel="0" collapsed="false">
      <c r="A772" s="325"/>
      <c r="B772" s="326"/>
      <c r="J772" s="73"/>
      <c r="K772" s="327"/>
    </row>
    <row r="773" customFormat="false" ht="12.75" hidden="false" customHeight="false" outlineLevel="0" collapsed="false">
      <c r="A773" s="325"/>
      <c r="B773" s="326"/>
      <c r="J773" s="73"/>
      <c r="K773" s="327"/>
    </row>
    <row r="774" customFormat="false" ht="12.75" hidden="false" customHeight="false" outlineLevel="0" collapsed="false">
      <c r="A774" s="325"/>
      <c r="B774" s="326"/>
      <c r="J774" s="73"/>
      <c r="K774" s="327"/>
    </row>
    <row r="775" customFormat="false" ht="12.75" hidden="false" customHeight="false" outlineLevel="0" collapsed="false">
      <c r="A775" s="325"/>
      <c r="B775" s="326"/>
      <c r="J775" s="73"/>
      <c r="K775" s="327"/>
    </row>
    <row r="776" customFormat="false" ht="12.75" hidden="false" customHeight="false" outlineLevel="0" collapsed="false">
      <c r="A776" s="325"/>
      <c r="B776" s="326"/>
      <c r="J776" s="73"/>
      <c r="K776" s="327"/>
    </row>
    <row r="777" customFormat="false" ht="12.75" hidden="false" customHeight="false" outlineLevel="0" collapsed="false">
      <c r="A777" s="325"/>
      <c r="B777" s="326"/>
      <c r="J777" s="73"/>
      <c r="K777" s="327"/>
    </row>
    <row r="778" customFormat="false" ht="12.75" hidden="false" customHeight="false" outlineLevel="0" collapsed="false">
      <c r="A778" s="325"/>
      <c r="B778" s="326"/>
      <c r="J778" s="73"/>
      <c r="K778" s="327"/>
    </row>
    <row r="779" customFormat="false" ht="12.75" hidden="false" customHeight="false" outlineLevel="0" collapsed="false">
      <c r="A779" s="325"/>
      <c r="B779" s="326"/>
      <c r="J779" s="73"/>
      <c r="K779" s="327"/>
    </row>
    <row r="780" customFormat="false" ht="12.75" hidden="false" customHeight="false" outlineLevel="0" collapsed="false">
      <c r="A780" s="325"/>
      <c r="B780" s="326"/>
      <c r="J780" s="73"/>
      <c r="K780" s="327"/>
    </row>
    <row r="781" customFormat="false" ht="12.75" hidden="false" customHeight="false" outlineLevel="0" collapsed="false">
      <c r="A781" s="325"/>
      <c r="B781" s="326"/>
      <c r="J781" s="73"/>
      <c r="K781" s="327"/>
    </row>
    <row r="782" customFormat="false" ht="12.75" hidden="false" customHeight="false" outlineLevel="0" collapsed="false">
      <c r="A782" s="325"/>
      <c r="B782" s="326"/>
      <c r="J782" s="73"/>
      <c r="K782" s="327"/>
    </row>
    <row r="783" customFormat="false" ht="12.75" hidden="false" customHeight="false" outlineLevel="0" collapsed="false">
      <c r="A783" s="325"/>
      <c r="B783" s="326"/>
      <c r="J783" s="73"/>
      <c r="K783" s="327"/>
    </row>
    <row r="784" customFormat="false" ht="12.75" hidden="false" customHeight="false" outlineLevel="0" collapsed="false">
      <c r="A784" s="325"/>
      <c r="B784" s="326"/>
      <c r="J784" s="73"/>
      <c r="K784" s="327"/>
    </row>
    <row r="785" customFormat="false" ht="12.75" hidden="false" customHeight="false" outlineLevel="0" collapsed="false">
      <c r="A785" s="325"/>
      <c r="B785" s="326"/>
      <c r="J785" s="73"/>
      <c r="K785" s="327"/>
    </row>
    <row r="786" customFormat="false" ht="12.75" hidden="false" customHeight="false" outlineLevel="0" collapsed="false">
      <c r="A786" s="325"/>
      <c r="B786" s="326"/>
      <c r="J786" s="73"/>
      <c r="K786" s="327"/>
    </row>
    <row r="787" customFormat="false" ht="12.75" hidden="false" customHeight="false" outlineLevel="0" collapsed="false">
      <c r="A787" s="325"/>
      <c r="B787" s="326"/>
      <c r="J787" s="73"/>
      <c r="K787" s="327"/>
    </row>
    <row r="788" customFormat="false" ht="12.75" hidden="false" customHeight="false" outlineLevel="0" collapsed="false">
      <c r="A788" s="325"/>
      <c r="B788" s="326"/>
      <c r="J788" s="73"/>
      <c r="K788" s="327"/>
    </row>
    <row r="789" customFormat="false" ht="12.75" hidden="false" customHeight="false" outlineLevel="0" collapsed="false">
      <c r="A789" s="325"/>
      <c r="B789" s="326"/>
      <c r="J789" s="73"/>
      <c r="K789" s="327"/>
    </row>
    <row r="790" customFormat="false" ht="12.75" hidden="false" customHeight="false" outlineLevel="0" collapsed="false">
      <c r="A790" s="325"/>
      <c r="B790" s="326"/>
      <c r="J790" s="73"/>
      <c r="K790" s="327"/>
    </row>
    <row r="791" customFormat="false" ht="12.75" hidden="false" customHeight="false" outlineLevel="0" collapsed="false">
      <c r="A791" s="325"/>
      <c r="B791" s="326"/>
      <c r="J791" s="73"/>
      <c r="K791" s="327"/>
    </row>
    <row r="792" customFormat="false" ht="12.75" hidden="false" customHeight="false" outlineLevel="0" collapsed="false">
      <c r="A792" s="325"/>
      <c r="B792" s="326"/>
      <c r="J792" s="73"/>
      <c r="K792" s="327"/>
    </row>
    <row r="793" customFormat="false" ht="12.75" hidden="false" customHeight="false" outlineLevel="0" collapsed="false">
      <c r="A793" s="325"/>
      <c r="B793" s="326"/>
      <c r="J793" s="73"/>
      <c r="K793" s="327"/>
    </row>
    <row r="794" customFormat="false" ht="12.75" hidden="false" customHeight="false" outlineLevel="0" collapsed="false">
      <c r="A794" s="325"/>
      <c r="B794" s="326"/>
      <c r="J794" s="73"/>
      <c r="K794" s="327"/>
    </row>
    <row r="795" customFormat="false" ht="12.75" hidden="false" customHeight="false" outlineLevel="0" collapsed="false">
      <c r="A795" s="325"/>
      <c r="B795" s="326"/>
      <c r="J795" s="73"/>
      <c r="K795" s="327"/>
    </row>
    <row r="796" customFormat="false" ht="12.75" hidden="false" customHeight="false" outlineLevel="0" collapsed="false">
      <c r="A796" s="325"/>
      <c r="B796" s="326"/>
      <c r="J796" s="73"/>
      <c r="K796" s="327"/>
    </row>
    <row r="797" customFormat="false" ht="12.75" hidden="false" customHeight="false" outlineLevel="0" collapsed="false">
      <c r="A797" s="325"/>
      <c r="B797" s="326"/>
      <c r="J797" s="73"/>
      <c r="K797" s="327"/>
    </row>
    <row r="798" customFormat="false" ht="12.75" hidden="false" customHeight="false" outlineLevel="0" collapsed="false">
      <c r="A798" s="325"/>
      <c r="B798" s="326"/>
      <c r="J798" s="73"/>
      <c r="K798" s="327"/>
    </row>
    <row r="799" customFormat="false" ht="12.75" hidden="false" customHeight="false" outlineLevel="0" collapsed="false">
      <c r="A799" s="325"/>
      <c r="B799" s="326"/>
      <c r="J799" s="73"/>
      <c r="K799" s="327"/>
    </row>
    <row r="800" customFormat="false" ht="12.75" hidden="false" customHeight="false" outlineLevel="0" collapsed="false">
      <c r="A800" s="325"/>
      <c r="B800" s="326"/>
      <c r="J800" s="73"/>
      <c r="K800" s="327"/>
    </row>
    <row r="801" customFormat="false" ht="12.75" hidden="false" customHeight="false" outlineLevel="0" collapsed="false">
      <c r="A801" s="325"/>
      <c r="B801" s="326"/>
      <c r="J801" s="73"/>
      <c r="K801" s="327"/>
    </row>
    <row r="802" customFormat="false" ht="12.75" hidden="false" customHeight="false" outlineLevel="0" collapsed="false">
      <c r="A802" s="325"/>
      <c r="B802" s="326"/>
      <c r="J802" s="73"/>
      <c r="K802" s="327"/>
    </row>
    <row r="803" customFormat="false" ht="12.75" hidden="false" customHeight="false" outlineLevel="0" collapsed="false">
      <c r="A803" s="325"/>
      <c r="B803" s="326"/>
      <c r="J803" s="73"/>
      <c r="K803" s="327"/>
    </row>
    <row r="804" customFormat="false" ht="12.75" hidden="false" customHeight="false" outlineLevel="0" collapsed="false">
      <c r="A804" s="325"/>
      <c r="B804" s="326"/>
      <c r="J804" s="73"/>
      <c r="K804" s="327"/>
    </row>
    <row r="805" customFormat="false" ht="12.75" hidden="false" customHeight="false" outlineLevel="0" collapsed="false">
      <c r="A805" s="325"/>
      <c r="B805" s="326"/>
      <c r="J805" s="73"/>
      <c r="K805" s="327"/>
    </row>
    <row r="806" customFormat="false" ht="12.75" hidden="false" customHeight="false" outlineLevel="0" collapsed="false">
      <c r="A806" s="325"/>
      <c r="B806" s="326"/>
      <c r="J806" s="73"/>
      <c r="K806" s="327"/>
    </row>
    <row r="807" customFormat="false" ht="12.75" hidden="false" customHeight="false" outlineLevel="0" collapsed="false">
      <c r="A807" s="325"/>
      <c r="B807" s="326"/>
      <c r="J807" s="73"/>
      <c r="K807" s="327"/>
    </row>
    <row r="808" customFormat="false" ht="12.75" hidden="false" customHeight="false" outlineLevel="0" collapsed="false">
      <c r="A808" s="325"/>
      <c r="B808" s="326"/>
      <c r="J808" s="73"/>
      <c r="K808" s="327"/>
    </row>
    <row r="809" customFormat="false" ht="12.75" hidden="false" customHeight="false" outlineLevel="0" collapsed="false">
      <c r="A809" s="325"/>
      <c r="B809" s="326"/>
      <c r="J809" s="73"/>
      <c r="K809" s="327"/>
    </row>
    <row r="810" customFormat="false" ht="12.75" hidden="false" customHeight="false" outlineLevel="0" collapsed="false">
      <c r="A810" s="325"/>
      <c r="B810" s="326"/>
      <c r="J810" s="73"/>
      <c r="K810" s="327"/>
    </row>
    <row r="811" customFormat="false" ht="12.75" hidden="false" customHeight="false" outlineLevel="0" collapsed="false">
      <c r="A811" s="325"/>
      <c r="B811" s="326"/>
      <c r="J811" s="73"/>
      <c r="K811" s="327"/>
    </row>
    <row r="812" customFormat="false" ht="12.75" hidden="false" customHeight="false" outlineLevel="0" collapsed="false">
      <c r="A812" s="325"/>
      <c r="B812" s="326"/>
      <c r="J812" s="73"/>
      <c r="K812" s="327"/>
    </row>
    <row r="813" customFormat="false" ht="12.75" hidden="false" customHeight="false" outlineLevel="0" collapsed="false">
      <c r="A813" s="325"/>
      <c r="B813" s="326"/>
      <c r="J813" s="73"/>
      <c r="K813" s="327"/>
    </row>
    <row r="814" customFormat="false" ht="12.75" hidden="false" customHeight="false" outlineLevel="0" collapsed="false">
      <c r="A814" s="325"/>
      <c r="B814" s="326"/>
      <c r="J814" s="73"/>
      <c r="K814" s="327"/>
    </row>
    <row r="815" customFormat="false" ht="12.75" hidden="false" customHeight="false" outlineLevel="0" collapsed="false">
      <c r="A815" s="325"/>
      <c r="B815" s="326"/>
      <c r="J815" s="73"/>
      <c r="K815" s="327"/>
    </row>
    <row r="816" customFormat="false" ht="12.75" hidden="false" customHeight="false" outlineLevel="0" collapsed="false">
      <c r="A816" s="325"/>
      <c r="B816" s="326"/>
      <c r="J816" s="73"/>
      <c r="K816" s="327"/>
    </row>
    <row r="817" customFormat="false" ht="12.75" hidden="false" customHeight="false" outlineLevel="0" collapsed="false">
      <c r="A817" s="325"/>
      <c r="B817" s="326"/>
      <c r="J817" s="73"/>
      <c r="K817" s="327"/>
    </row>
    <row r="818" customFormat="false" ht="12.75" hidden="false" customHeight="false" outlineLevel="0" collapsed="false">
      <c r="A818" s="325"/>
      <c r="B818" s="326"/>
      <c r="J818" s="73"/>
      <c r="K818" s="327"/>
    </row>
    <row r="819" customFormat="false" ht="12.75" hidden="false" customHeight="false" outlineLevel="0" collapsed="false">
      <c r="A819" s="325"/>
      <c r="B819" s="326"/>
      <c r="J819" s="73"/>
      <c r="K819" s="327"/>
    </row>
    <row r="820" customFormat="false" ht="12.75" hidden="false" customHeight="false" outlineLevel="0" collapsed="false">
      <c r="A820" s="325"/>
      <c r="B820" s="326"/>
      <c r="J820" s="73"/>
      <c r="K820" s="327"/>
    </row>
    <row r="821" customFormat="false" ht="12.75" hidden="false" customHeight="false" outlineLevel="0" collapsed="false">
      <c r="A821" s="325"/>
      <c r="B821" s="326"/>
      <c r="J821" s="73"/>
      <c r="K821" s="327"/>
    </row>
    <row r="822" customFormat="false" ht="12.75" hidden="false" customHeight="false" outlineLevel="0" collapsed="false">
      <c r="A822" s="325"/>
      <c r="B822" s="326"/>
      <c r="J822" s="73"/>
      <c r="K822" s="327"/>
    </row>
    <row r="823" customFormat="false" ht="12.75" hidden="false" customHeight="false" outlineLevel="0" collapsed="false">
      <c r="A823" s="325"/>
      <c r="B823" s="326"/>
      <c r="J823" s="73"/>
      <c r="K823" s="327"/>
    </row>
    <row r="824" customFormat="false" ht="12.75" hidden="false" customHeight="false" outlineLevel="0" collapsed="false">
      <c r="A824" s="325"/>
      <c r="B824" s="326"/>
      <c r="J824" s="73"/>
      <c r="K824" s="327"/>
    </row>
    <row r="825" customFormat="false" ht="12.75" hidden="false" customHeight="false" outlineLevel="0" collapsed="false">
      <c r="A825" s="325"/>
      <c r="B825" s="326"/>
      <c r="J825" s="73"/>
      <c r="K825" s="327"/>
    </row>
    <row r="826" customFormat="false" ht="12.75" hidden="false" customHeight="false" outlineLevel="0" collapsed="false">
      <c r="A826" s="325"/>
      <c r="B826" s="326"/>
      <c r="J826" s="73"/>
      <c r="K826" s="327"/>
    </row>
    <row r="827" customFormat="false" ht="12.75" hidden="false" customHeight="false" outlineLevel="0" collapsed="false">
      <c r="A827" s="325"/>
      <c r="B827" s="326"/>
      <c r="J827" s="73"/>
      <c r="K827" s="327"/>
    </row>
    <row r="828" customFormat="false" ht="12.75" hidden="false" customHeight="false" outlineLevel="0" collapsed="false">
      <c r="A828" s="325"/>
      <c r="B828" s="326"/>
      <c r="J828" s="73"/>
      <c r="K828" s="327"/>
    </row>
    <row r="829" customFormat="false" ht="12.75" hidden="false" customHeight="false" outlineLevel="0" collapsed="false">
      <c r="A829" s="325"/>
      <c r="B829" s="326"/>
      <c r="J829" s="73"/>
      <c r="K829" s="327"/>
    </row>
    <row r="830" customFormat="false" ht="12.75" hidden="false" customHeight="false" outlineLevel="0" collapsed="false">
      <c r="A830" s="325"/>
      <c r="B830" s="326"/>
      <c r="J830" s="73"/>
      <c r="K830" s="327"/>
    </row>
    <row r="831" customFormat="false" ht="12.75" hidden="false" customHeight="false" outlineLevel="0" collapsed="false">
      <c r="A831" s="325"/>
      <c r="B831" s="326"/>
      <c r="J831" s="73"/>
      <c r="K831" s="327"/>
    </row>
    <row r="832" customFormat="false" ht="12.75" hidden="false" customHeight="false" outlineLevel="0" collapsed="false">
      <c r="A832" s="325"/>
      <c r="B832" s="326"/>
      <c r="J832" s="73"/>
      <c r="K832" s="327"/>
    </row>
    <row r="833" customFormat="false" ht="12.75" hidden="false" customHeight="false" outlineLevel="0" collapsed="false">
      <c r="A833" s="325"/>
      <c r="B833" s="326"/>
      <c r="J833" s="73"/>
      <c r="K833" s="327"/>
    </row>
    <row r="834" customFormat="false" ht="12.75" hidden="false" customHeight="false" outlineLevel="0" collapsed="false">
      <c r="A834" s="325"/>
      <c r="B834" s="326"/>
      <c r="J834" s="73"/>
      <c r="K834" s="327"/>
    </row>
    <row r="835" customFormat="false" ht="12.75" hidden="false" customHeight="false" outlineLevel="0" collapsed="false">
      <c r="A835" s="325"/>
      <c r="B835" s="326"/>
      <c r="J835" s="73"/>
      <c r="K835" s="327"/>
    </row>
    <row r="836" customFormat="false" ht="12.75" hidden="false" customHeight="false" outlineLevel="0" collapsed="false">
      <c r="A836" s="325"/>
      <c r="B836" s="326"/>
      <c r="J836" s="73"/>
      <c r="K836" s="327"/>
    </row>
    <row r="837" customFormat="false" ht="12.75" hidden="false" customHeight="false" outlineLevel="0" collapsed="false">
      <c r="A837" s="325"/>
      <c r="B837" s="326"/>
      <c r="J837" s="73"/>
      <c r="K837" s="327"/>
    </row>
    <row r="838" customFormat="false" ht="12.75" hidden="false" customHeight="false" outlineLevel="0" collapsed="false">
      <c r="A838" s="325"/>
      <c r="B838" s="326"/>
      <c r="J838" s="73"/>
      <c r="K838" s="327"/>
    </row>
    <row r="839" customFormat="false" ht="12.75" hidden="false" customHeight="false" outlineLevel="0" collapsed="false">
      <c r="A839" s="325"/>
      <c r="B839" s="326"/>
      <c r="J839" s="73"/>
      <c r="K839" s="327"/>
    </row>
    <row r="840" customFormat="false" ht="12.75" hidden="false" customHeight="false" outlineLevel="0" collapsed="false">
      <c r="A840" s="325"/>
      <c r="B840" s="326"/>
      <c r="J840" s="73"/>
      <c r="K840" s="327"/>
    </row>
    <row r="841" customFormat="false" ht="12.75" hidden="false" customHeight="false" outlineLevel="0" collapsed="false">
      <c r="A841" s="325"/>
      <c r="B841" s="326"/>
      <c r="J841" s="73"/>
      <c r="K841" s="327"/>
    </row>
    <row r="842" customFormat="false" ht="12.75" hidden="false" customHeight="false" outlineLevel="0" collapsed="false">
      <c r="A842" s="325"/>
      <c r="B842" s="326"/>
      <c r="J842" s="73"/>
      <c r="K842" s="327"/>
    </row>
    <row r="843" customFormat="false" ht="12.75" hidden="false" customHeight="false" outlineLevel="0" collapsed="false">
      <c r="A843" s="325"/>
      <c r="B843" s="326"/>
      <c r="J843" s="73"/>
      <c r="K843" s="327"/>
    </row>
    <row r="844" customFormat="false" ht="12.75" hidden="false" customHeight="false" outlineLevel="0" collapsed="false">
      <c r="A844" s="325"/>
      <c r="B844" s="326"/>
      <c r="J844" s="73"/>
      <c r="K844" s="327"/>
    </row>
    <row r="845" customFormat="false" ht="12.75" hidden="false" customHeight="false" outlineLevel="0" collapsed="false">
      <c r="A845" s="325"/>
      <c r="B845" s="326"/>
      <c r="J845" s="73"/>
      <c r="K845" s="327"/>
    </row>
    <row r="846" customFormat="false" ht="12.75" hidden="false" customHeight="false" outlineLevel="0" collapsed="false">
      <c r="A846" s="325"/>
      <c r="B846" s="326"/>
      <c r="J846" s="73"/>
      <c r="K846" s="327"/>
    </row>
    <row r="847" customFormat="false" ht="12.75" hidden="false" customHeight="false" outlineLevel="0" collapsed="false">
      <c r="A847" s="325"/>
      <c r="B847" s="326"/>
      <c r="J847" s="73"/>
      <c r="K847" s="327"/>
    </row>
    <row r="848" customFormat="false" ht="12.75" hidden="false" customHeight="false" outlineLevel="0" collapsed="false">
      <c r="A848" s="325"/>
      <c r="B848" s="326"/>
      <c r="J848" s="73"/>
      <c r="K848" s="327"/>
    </row>
    <row r="849" customFormat="false" ht="12.75" hidden="false" customHeight="false" outlineLevel="0" collapsed="false">
      <c r="A849" s="325"/>
      <c r="B849" s="326"/>
      <c r="J849" s="73"/>
      <c r="K849" s="327"/>
    </row>
    <row r="850" customFormat="false" ht="12.75" hidden="false" customHeight="false" outlineLevel="0" collapsed="false">
      <c r="A850" s="325"/>
      <c r="B850" s="326"/>
      <c r="J850" s="73"/>
      <c r="K850" s="327"/>
    </row>
    <row r="851" customFormat="false" ht="12.75" hidden="false" customHeight="false" outlineLevel="0" collapsed="false">
      <c r="A851" s="325"/>
      <c r="B851" s="326"/>
      <c r="J851" s="73"/>
      <c r="K851" s="327"/>
    </row>
    <row r="852" customFormat="false" ht="12.75" hidden="false" customHeight="false" outlineLevel="0" collapsed="false">
      <c r="A852" s="325"/>
      <c r="B852" s="326"/>
      <c r="J852" s="73"/>
      <c r="K852" s="327"/>
    </row>
    <row r="853" customFormat="false" ht="12.75" hidden="false" customHeight="false" outlineLevel="0" collapsed="false">
      <c r="A853" s="325"/>
      <c r="B853" s="326"/>
      <c r="J853" s="73"/>
      <c r="K853" s="327"/>
    </row>
    <row r="854" customFormat="false" ht="12.75" hidden="false" customHeight="false" outlineLevel="0" collapsed="false">
      <c r="A854" s="325"/>
      <c r="B854" s="326"/>
      <c r="J854" s="73"/>
      <c r="K854" s="327"/>
    </row>
    <row r="855" customFormat="false" ht="12.75" hidden="false" customHeight="false" outlineLevel="0" collapsed="false">
      <c r="A855" s="325"/>
      <c r="B855" s="326"/>
      <c r="J855" s="73"/>
      <c r="K855" s="327"/>
    </row>
    <row r="856" customFormat="false" ht="12.75" hidden="false" customHeight="false" outlineLevel="0" collapsed="false">
      <c r="A856" s="325"/>
      <c r="B856" s="326"/>
      <c r="J856" s="73"/>
      <c r="K856" s="327"/>
    </row>
    <row r="857" customFormat="false" ht="12.75" hidden="false" customHeight="false" outlineLevel="0" collapsed="false">
      <c r="A857" s="325"/>
      <c r="B857" s="326"/>
      <c r="J857" s="73"/>
      <c r="K857" s="327"/>
    </row>
    <row r="858" customFormat="false" ht="12.75" hidden="false" customHeight="false" outlineLevel="0" collapsed="false">
      <c r="A858" s="325"/>
      <c r="B858" s="326"/>
      <c r="J858" s="73"/>
      <c r="K858" s="327"/>
    </row>
    <row r="859" customFormat="false" ht="12.75" hidden="false" customHeight="false" outlineLevel="0" collapsed="false">
      <c r="A859" s="325"/>
      <c r="B859" s="326"/>
      <c r="J859" s="73"/>
      <c r="K859" s="327"/>
    </row>
    <row r="860" customFormat="false" ht="12.75" hidden="false" customHeight="false" outlineLevel="0" collapsed="false">
      <c r="A860" s="325"/>
      <c r="B860" s="326"/>
      <c r="J860" s="73"/>
      <c r="K860" s="327"/>
    </row>
    <row r="861" customFormat="false" ht="12.75" hidden="false" customHeight="false" outlineLevel="0" collapsed="false">
      <c r="A861" s="325"/>
      <c r="B861" s="326"/>
      <c r="J861" s="73"/>
      <c r="K861" s="327"/>
    </row>
    <row r="862" customFormat="false" ht="12.75" hidden="false" customHeight="false" outlineLevel="0" collapsed="false">
      <c r="A862" s="325"/>
      <c r="B862" s="326"/>
      <c r="J862" s="73"/>
      <c r="K862" s="327"/>
    </row>
    <row r="863" customFormat="false" ht="12.75" hidden="false" customHeight="false" outlineLevel="0" collapsed="false">
      <c r="A863" s="325"/>
      <c r="B863" s="326"/>
      <c r="J863" s="73"/>
      <c r="K863" s="327"/>
    </row>
    <row r="864" customFormat="false" ht="12.75" hidden="false" customHeight="false" outlineLevel="0" collapsed="false">
      <c r="A864" s="325"/>
      <c r="B864" s="326"/>
      <c r="J864" s="73"/>
      <c r="K864" s="327"/>
    </row>
    <row r="865" customFormat="false" ht="12.75" hidden="false" customHeight="false" outlineLevel="0" collapsed="false">
      <c r="A865" s="325"/>
      <c r="B865" s="326"/>
      <c r="J865" s="73"/>
      <c r="K865" s="327"/>
    </row>
    <row r="866" customFormat="false" ht="12.75" hidden="false" customHeight="false" outlineLevel="0" collapsed="false">
      <c r="A866" s="325"/>
      <c r="B866" s="326"/>
      <c r="J866" s="73"/>
      <c r="K866" s="327"/>
    </row>
    <row r="867" customFormat="false" ht="12.75" hidden="false" customHeight="false" outlineLevel="0" collapsed="false">
      <c r="A867" s="325"/>
      <c r="B867" s="326"/>
      <c r="J867" s="73"/>
      <c r="K867" s="327"/>
    </row>
    <row r="868" customFormat="false" ht="12.75" hidden="false" customHeight="false" outlineLevel="0" collapsed="false">
      <c r="A868" s="325"/>
      <c r="B868" s="326"/>
      <c r="J868" s="73"/>
      <c r="K868" s="327"/>
    </row>
    <row r="869" customFormat="false" ht="12.75" hidden="false" customHeight="false" outlineLevel="0" collapsed="false">
      <c r="A869" s="325"/>
      <c r="B869" s="326"/>
      <c r="J869" s="73"/>
      <c r="K869" s="327"/>
    </row>
    <row r="870" customFormat="false" ht="12.75" hidden="false" customHeight="false" outlineLevel="0" collapsed="false">
      <c r="A870" s="325"/>
      <c r="B870" s="326"/>
      <c r="J870" s="73"/>
      <c r="K870" s="327"/>
    </row>
    <row r="871" customFormat="false" ht="12.75" hidden="false" customHeight="false" outlineLevel="0" collapsed="false">
      <c r="A871" s="325"/>
      <c r="B871" s="326"/>
      <c r="J871" s="73"/>
      <c r="K871" s="327"/>
    </row>
    <row r="872" customFormat="false" ht="12.75" hidden="false" customHeight="false" outlineLevel="0" collapsed="false">
      <c r="A872" s="325"/>
      <c r="B872" s="326"/>
      <c r="J872" s="73"/>
      <c r="K872" s="327"/>
    </row>
    <row r="873" customFormat="false" ht="12.75" hidden="false" customHeight="false" outlineLevel="0" collapsed="false">
      <c r="A873" s="325"/>
      <c r="B873" s="326"/>
      <c r="J873" s="73"/>
      <c r="K873" s="327"/>
    </row>
    <row r="874" customFormat="false" ht="12.75" hidden="false" customHeight="false" outlineLevel="0" collapsed="false">
      <c r="A874" s="325"/>
      <c r="B874" s="326"/>
      <c r="J874" s="73"/>
      <c r="K874" s="327"/>
    </row>
    <row r="875" customFormat="false" ht="12.75" hidden="false" customHeight="false" outlineLevel="0" collapsed="false">
      <c r="A875" s="325"/>
      <c r="B875" s="326"/>
      <c r="J875" s="73"/>
      <c r="K875" s="327"/>
    </row>
    <row r="876" customFormat="false" ht="12.75" hidden="false" customHeight="false" outlineLevel="0" collapsed="false">
      <c r="A876" s="325"/>
      <c r="B876" s="326"/>
      <c r="J876" s="73"/>
      <c r="K876" s="327"/>
    </row>
    <row r="877" customFormat="false" ht="12.75" hidden="false" customHeight="false" outlineLevel="0" collapsed="false">
      <c r="A877" s="325"/>
      <c r="B877" s="326"/>
      <c r="J877" s="73"/>
      <c r="K877" s="327"/>
    </row>
    <row r="878" customFormat="false" ht="12.75" hidden="false" customHeight="false" outlineLevel="0" collapsed="false">
      <c r="A878" s="325"/>
      <c r="B878" s="326"/>
      <c r="J878" s="73"/>
      <c r="K878" s="327"/>
    </row>
    <row r="879" customFormat="false" ht="12.75" hidden="false" customHeight="false" outlineLevel="0" collapsed="false">
      <c r="A879" s="325"/>
      <c r="B879" s="326"/>
      <c r="J879" s="73"/>
      <c r="K879" s="327"/>
    </row>
    <row r="880" customFormat="false" ht="12.75" hidden="false" customHeight="false" outlineLevel="0" collapsed="false">
      <c r="A880" s="325"/>
      <c r="B880" s="326"/>
      <c r="J880" s="73"/>
      <c r="K880" s="327"/>
    </row>
    <row r="881" customFormat="false" ht="12.75" hidden="false" customHeight="false" outlineLevel="0" collapsed="false">
      <c r="A881" s="325"/>
      <c r="B881" s="326"/>
      <c r="J881" s="73"/>
      <c r="K881" s="327"/>
    </row>
    <row r="882" customFormat="false" ht="12.75" hidden="false" customHeight="false" outlineLevel="0" collapsed="false">
      <c r="A882" s="325"/>
      <c r="B882" s="326"/>
      <c r="J882" s="73"/>
      <c r="K882" s="327"/>
    </row>
    <row r="883" customFormat="false" ht="12.75" hidden="false" customHeight="false" outlineLevel="0" collapsed="false">
      <c r="A883" s="325"/>
      <c r="B883" s="326"/>
      <c r="J883" s="73"/>
      <c r="K883" s="327"/>
    </row>
    <row r="884" customFormat="false" ht="12.75" hidden="false" customHeight="false" outlineLevel="0" collapsed="false">
      <c r="A884" s="325"/>
      <c r="B884" s="326"/>
      <c r="J884" s="73"/>
      <c r="K884" s="327"/>
    </row>
    <row r="885" customFormat="false" ht="12.75" hidden="false" customHeight="false" outlineLevel="0" collapsed="false">
      <c r="A885" s="325"/>
      <c r="B885" s="326"/>
      <c r="J885" s="73"/>
      <c r="K885" s="327"/>
    </row>
    <row r="886" customFormat="false" ht="12.75" hidden="false" customHeight="false" outlineLevel="0" collapsed="false">
      <c r="A886" s="325"/>
      <c r="B886" s="326"/>
      <c r="J886" s="73"/>
      <c r="K886" s="327"/>
    </row>
    <row r="887" customFormat="false" ht="12.75" hidden="false" customHeight="false" outlineLevel="0" collapsed="false">
      <c r="A887" s="325"/>
      <c r="B887" s="326"/>
      <c r="J887" s="73"/>
      <c r="K887" s="327"/>
    </row>
    <row r="888" customFormat="false" ht="12.75" hidden="false" customHeight="false" outlineLevel="0" collapsed="false">
      <c r="A888" s="325"/>
      <c r="B888" s="326"/>
      <c r="J888" s="73"/>
      <c r="K888" s="327"/>
    </row>
    <row r="889" customFormat="false" ht="12.75" hidden="false" customHeight="false" outlineLevel="0" collapsed="false">
      <c r="A889" s="325"/>
      <c r="B889" s="326"/>
      <c r="J889" s="73"/>
      <c r="K889" s="327"/>
    </row>
    <row r="890" customFormat="false" ht="12.75" hidden="false" customHeight="false" outlineLevel="0" collapsed="false">
      <c r="A890" s="325"/>
      <c r="B890" s="326"/>
      <c r="J890" s="73"/>
      <c r="K890" s="327"/>
    </row>
    <row r="891" customFormat="false" ht="12.75" hidden="false" customHeight="false" outlineLevel="0" collapsed="false">
      <c r="A891" s="325"/>
      <c r="B891" s="326"/>
      <c r="J891" s="73"/>
      <c r="K891" s="327"/>
    </row>
    <row r="892" customFormat="false" ht="12.75" hidden="false" customHeight="false" outlineLevel="0" collapsed="false">
      <c r="A892" s="325"/>
      <c r="B892" s="326"/>
      <c r="J892" s="73"/>
      <c r="K892" s="327"/>
    </row>
    <row r="893" customFormat="false" ht="12.75" hidden="false" customHeight="false" outlineLevel="0" collapsed="false">
      <c r="A893" s="325"/>
      <c r="B893" s="326"/>
      <c r="J893" s="73"/>
      <c r="K893" s="327"/>
    </row>
    <row r="894" customFormat="false" ht="12.75" hidden="false" customHeight="false" outlineLevel="0" collapsed="false">
      <c r="A894" s="325"/>
      <c r="B894" s="326"/>
      <c r="J894" s="73"/>
      <c r="K894" s="327"/>
    </row>
    <row r="895" customFormat="false" ht="12.75" hidden="false" customHeight="false" outlineLevel="0" collapsed="false">
      <c r="A895" s="325"/>
      <c r="B895" s="326"/>
      <c r="J895" s="73"/>
      <c r="K895" s="327"/>
    </row>
    <row r="896" customFormat="false" ht="12.75" hidden="false" customHeight="false" outlineLevel="0" collapsed="false">
      <c r="A896" s="325"/>
      <c r="B896" s="326"/>
      <c r="J896" s="73"/>
      <c r="K896" s="327"/>
    </row>
    <row r="897" customFormat="false" ht="12.75" hidden="false" customHeight="false" outlineLevel="0" collapsed="false">
      <c r="A897" s="325"/>
      <c r="B897" s="326"/>
      <c r="J897" s="73"/>
      <c r="K897" s="327"/>
    </row>
    <row r="898" customFormat="false" ht="12.75" hidden="false" customHeight="false" outlineLevel="0" collapsed="false">
      <c r="A898" s="325"/>
      <c r="B898" s="326"/>
      <c r="J898" s="73"/>
      <c r="K898" s="327"/>
    </row>
    <row r="899" customFormat="false" ht="12.75" hidden="false" customHeight="false" outlineLevel="0" collapsed="false">
      <c r="A899" s="325"/>
      <c r="B899" s="326"/>
      <c r="J899" s="73"/>
      <c r="K899" s="327"/>
    </row>
    <row r="900" customFormat="false" ht="12.75" hidden="false" customHeight="false" outlineLevel="0" collapsed="false">
      <c r="A900" s="325"/>
      <c r="B900" s="326"/>
      <c r="J900" s="73"/>
      <c r="K900" s="327"/>
    </row>
    <row r="901" customFormat="false" ht="12.75" hidden="false" customHeight="false" outlineLevel="0" collapsed="false">
      <c r="A901" s="325"/>
      <c r="B901" s="326"/>
      <c r="J901" s="73"/>
      <c r="K901" s="327"/>
    </row>
    <row r="902" customFormat="false" ht="12.75" hidden="false" customHeight="false" outlineLevel="0" collapsed="false">
      <c r="A902" s="325"/>
      <c r="B902" s="326"/>
      <c r="J902" s="73"/>
      <c r="K902" s="327"/>
    </row>
    <row r="903" customFormat="false" ht="12.75" hidden="false" customHeight="false" outlineLevel="0" collapsed="false">
      <c r="A903" s="325"/>
      <c r="B903" s="326"/>
      <c r="J903" s="73"/>
      <c r="K903" s="327"/>
    </row>
    <row r="904" customFormat="false" ht="12.75" hidden="false" customHeight="false" outlineLevel="0" collapsed="false">
      <c r="A904" s="325"/>
      <c r="B904" s="326"/>
      <c r="J904" s="73"/>
      <c r="K904" s="327"/>
    </row>
    <row r="905" customFormat="false" ht="12.75" hidden="false" customHeight="false" outlineLevel="0" collapsed="false">
      <c r="A905" s="325"/>
      <c r="B905" s="326"/>
      <c r="J905" s="73"/>
      <c r="K905" s="327"/>
    </row>
    <row r="906" customFormat="false" ht="12.75" hidden="false" customHeight="false" outlineLevel="0" collapsed="false">
      <c r="A906" s="325"/>
      <c r="B906" s="326"/>
      <c r="J906" s="73"/>
      <c r="K906" s="327"/>
    </row>
    <row r="907" customFormat="false" ht="12.75" hidden="false" customHeight="false" outlineLevel="0" collapsed="false">
      <c r="A907" s="325"/>
      <c r="B907" s="326"/>
      <c r="J907" s="73"/>
      <c r="K907" s="327"/>
    </row>
    <row r="908" customFormat="false" ht="12.75" hidden="false" customHeight="false" outlineLevel="0" collapsed="false">
      <c r="A908" s="325"/>
      <c r="B908" s="326"/>
      <c r="J908" s="73"/>
      <c r="K908" s="327"/>
    </row>
    <row r="909" customFormat="false" ht="12.75" hidden="false" customHeight="false" outlineLevel="0" collapsed="false">
      <c r="A909" s="325"/>
      <c r="B909" s="326"/>
      <c r="J909" s="73"/>
      <c r="K909" s="327"/>
    </row>
    <row r="910" customFormat="false" ht="12.75" hidden="false" customHeight="false" outlineLevel="0" collapsed="false">
      <c r="A910" s="325"/>
      <c r="B910" s="326"/>
      <c r="J910" s="73"/>
      <c r="K910" s="327"/>
    </row>
    <row r="911" customFormat="false" ht="12.75" hidden="false" customHeight="false" outlineLevel="0" collapsed="false">
      <c r="A911" s="325"/>
      <c r="B911" s="326"/>
      <c r="J911" s="73"/>
      <c r="K911" s="327"/>
    </row>
    <row r="912" customFormat="false" ht="12.75" hidden="false" customHeight="false" outlineLevel="0" collapsed="false">
      <c r="A912" s="325"/>
      <c r="B912" s="326"/>
      <c r="J912" s="73"/>
      <c r="K912" s="327"/>
    </row>
    <row r="913" customFormat="false" ht="12.75" hidden="false" customHeight="false" outlineLevel="0" collapsed="false">
      <c r="A913" s="325"/>
      <c r="B913" s="326"/>
      <c r="J913" s="73"/>
      <c r="K913" s="327"/>
    </row>
    <row r="914" customFormat="false" ht="12.75" hidden="false" customHeight="false" outlineLevel="0" collapsed="false">
      <c r="A914" s="325"/>
      <c r="B914" s="326"/>
      <c r="J914" s="73"/>
      <c r="K914" s="327"/>
    </row>
    <row r="915" customFormat="false" ht="12.75" hidden="false" customHeight="false" outlineLevel="0" collapsed="false">
      <c r="A915" s="325"/>
      <c r="B915" s="326"/>
      <c r="J915" s="73"/>
      <c r="K915" s="327"/>
    </row>
    <row r="916" customFormat="false" ht="12.75" hidden="false" customHeight="false" outlineLevel="0" collapsed="false">
      <c r="A916" s="325"/>
      <c r="B916" s="326"/>
      <c r="J916" s="73"/>
      <c r="K916" s="327"/>
    </row>
    <row r="917" customFormat="false" ht="12.75" hidden="false" customHeight="false" outlineLevel="0" collapsed="false">
      <c r="A917" s="325"/>
      <c r="B917" s="326"/>
      <c r="J917" s="73"/>
      <c r="K917" s="327"/>
    </row>
    <row r="918" customFormat="false" ht="12.75" hidden="false" customHeight="false" outlineLevel="0" collapsed="false">
      <c r="A918" s="325"/>
      <c r="B918" s="326"/>
      <c r="J918" s="73"/>
      <c r="K918" s="327"/>
    </row>
    <row r="919" customFormat="false" ht="12.75" hidden="false" customHeight="false" outlineLevel="0" collapsed="false">
      <c r="A919" s="325"/>
      <c r="B919" s="326"/>
      <c r="J919" s="73"/>
      <c r="K919" s="327"/>
    </row>
    <row r="920" customFormat="false" ht="12.75" hidden="false" customHeight="false" outlineLevel="0" collapsed="false">
      <c r="A920" s="325"/>
      <c r="B920" s="326"/>
      <c r="J920" s="73"/>
      <c r="K920" s="327"/>
    </row>
    <row r="921" customFormat="false" ht="12.75" hidden="false" customHeight="false" outlineLevel="0" collapsed="false">
      <c r="A921" s="325"/>
      <c r="B921" s="326"/>
      <c r="J921" s="73"/>
      <c r="K921" s="327"/>
    </row>
    <row r="922" customFormat="false" ht="12.75" hidden="false" customHeight="false" outlineLevel="0" collapsed="false">
      <c r="A922" s="325"/>
      <c r="B922" s="326"/>
      <c r="J922" s="73"/>
      <c r="K922" s="327"/>
    </row>
    <row r="923" customFormat="false" ht="12.75" hidden="false" customHeight="false" outlineLevel="0" collapsed="false">
      <c r="A923" s="325"/>
      <c r="B923" s="326"/>
      <c r="J923" s="73"/>
      <c r="K923" s="327"/>
    </row>
    <row r="924" customFormat="false" ht="12.75" hidden="false" customHeight="false" outlineLevel="0" collapsed="false">
      <c r="A924" s="325"/>
      <c r="B924" s="326"/>
      <c r="J924" s="73"/>
      <c r="K924" s="327"/>
    </row>
    <row r="925" customFormat="false" ht="12.75" hidden="false" customHeight="false" outlineLevel="0" collapsed="false">
      <c r="A925" s="325"/>
      <c r="B925" s="326"/>
      <c r="J925" s="73"/>
      <c r="K925" s="327"/>
    </row>
    <row r="926" customFormat="false" ht="12.75" hidden="false" customHeight="false" outlineLevel="0" collapsed="false">
      <c r="A926" s="325"/>
      <c r="B926" s="326"/>
      <c r="J926" s="73"/>
      <c r="K926" s="327"/>
    </row>
    <row r="927" customFormat="false" ht="12.75" hidden="false" customHeight="false" outlineLevel="0" collapsed="false">
      <c r="A927" s="325"/>
      <c r="B927" s="326"/>
      <c r="J927" s="73"/>
      <c r="K927" s="327"/>
    </row>
    <row r="928" customFormat="false" ht="12.75" hidden="false" customHeight="false" outlineLevel="0" collapsed="false">
      <c r="A928" s="325"/>
      <c r="B928" s="326"/>
      <c r="J928" s="73"/>
      <c r="K928" s="327"/>
    </row>
    <row r="929" customFormat="false" ht="12.75" hidden="false" customHeight="false" outlineLevel="0" collapsed="false">
      <c r="A929" s="325"/>
      <c r="B929" s="326"/>
      <c r="J929" s="73"/>
      <c r="K929" s="327"/>
    </row>
    <row r="930" customFormat="false" ht="12.75" hidden="false" customHeight="false" outlineLevel="0" collapsed="false">
      <c r="A930" s="325"/>
      <c r="B930" s="326"/>
      <c r="J930" s="73"/>
      <c r="K930" s="327"/>
    </row>
    <row r="931" customFormat="false" ht="12.75" hidden="false" customHeight="false" outlineLevel="0" collapsed="false">
      <c r="A931" s="325"/>
      <c r="B931" s="326"/>
      <c r="J931" s="73"/>
      <c r="K931" s="327"/>
    </row>
    <row r="932" customFormat="false" ht="12.75" hidden="false" customHeight="false" outlineLevel="0" collapsed="false">
      <c r="A932" s="325"/>
      <c r="B932" s="326"/>
      <c r="J932" s="73"/>
      <c r="K932" s="327"/>
    </row>
    <row r="933" customFormat="false" ht="12.75" hidden="false" customHeight="false" outlineLevel="0" collapsed="false">
      <c r="A933" s="325"/>
      <c r="B933" s="326"/>
      <c r="J933" s="73"/>
      <c r="K933" s="327"/>
    </row>
    <row r="934" customFormat="false" ht="12.75" hidden="false" customHeight="false" outlineLevel="0" collapsed="false">
      <c r="A934" s="325"/>
      <c r="B934" s="326"/>
      <c r="J934" s="73"/>
      <c r="K934" s="327"/>
    </row>
    <row r="935" customFormat="false" ht="12.75" hidden="false" customHeight="false" outlineLevel="0" collapsed="false">
      <c r="A935" s="325"/>
      <c r="B935" s="326"/>
      <c r="J935" s="73"/>
      <c r="K935" s="327"/>
    </row>
    <row r="936" customFormat="false" ht="12.75" hidden="false" customHeight="false" outlineLevel="0" collapsed="false">
      <c r="A936" s="325"/>
      <c r="B936" s="326"/>
      <c r="J936" s="73"/>
      <c r="K936" s="327"/>
    </row>
    <row r="937" customFormat="false" ht="12.75" hidden="false" customHeight="false" outlineLevel="0" collapsed="false">
      <c r="A937" s="325"/>
      <c r="B937" s="326"/>
      <c r="J937" s="73"/>
      <c r="K937" s="327"/>
    </row>
    <row r="938" customFormat="false" ht="12.75" hidden="false" customHeight="false" outlineLevel="0" collapsed="false">
      <c r="A938" s="325"/>
      <c r="B938" s="326"/>
      <c r="J938" s="73"/>
      <c r="K938" s="327"/>
    </row>
    <row r="939" customFormat="false" ht="12.75" hidden="false" customHeight="false" outlineLevel="0" collapsed="false">
      <c r="A939" s="325"/>
      <c r="B939" s="326"/>
      <c r="J939" s="73"/>
      <c r="K939" s="327"/>
    </row>
    <row r="940" customFormat="false" ht="12.75" hidden="false" customHeight="false" outlineLevel="0" collapsed="false">
      <c r="A940" s="325"/>
      <c r="B940" s="326"/>
      <c r="J940" s="73"/>
      <c r="K940" s="327"/>
    </row>
    <row r="941" customFormat="false" ht="12.75" hidden="false" customHeight="false" outlineLevel="0" collapsed="false">
      <c r="A941" s="325"/>
      <c r="B941" s="326"/>
      <c r="J941" s="73"/>
      <c r="K941" s="327"/>
    </row>
    <row r="942" customFormat="false" ht="12.75" hidden="false" customHeight="false" outlineLevel="0" collapsed="false">
      <c r="A942" s="325"/>
      <c r="B942" s="326"/>
      <c r="J942" s="73"/>
      <c r="K942" s="327"/>
    </row>
    <row r="943" customFormat="false" ht="12.75" hidden="false" customHeight="false" outlineLevel="0" collapsed="false">
      <c r="A943" s="325"/>
      <c r="B943" s="326"/>
      <c r="J943" s="73"/>
      <c r="K943" s="327"/>
    </row>
    <row r="944" customFormat="false" ht="12.75" hidden="false" customHeight="false" outlineLevel="0" collapsed="false">
      <c r="A944" s="325"/>
      <c r="B944" s="326"/>
      <c r="J944" s="73"/>
      <c r="K944" s="327"/>
    </row>
    <row r="945" customFormat="false" ht="12.75" hidden="false" customHeight="false" outlineLevel="0" collapsed="false">
      <c r="A945" s="325"/>
      <c r="B945" s="326"/>
      <c r="J945" s="73"/>
      <c r="K945" s="327"/>
    </row>
    <row r="946" customFormat="false" ht="12.75" hidden="false" customHeight="false" outlineLevel="0" collapsed="false">
      <c r="A946" s="325"/>
      <c r="B946" s="326"/>
      <c r="J946" s="73"/>
      <c r="K946" s="327"/>
    </row>
    <row r="947" customFormat="false" ht="12.75" hidden="false" customHeight="false" outlineLevel="0" collapsed="false">
      <c r="A947" s="325"/>
      <c r="B947" s="326"/>
      <c r="J947" s="73"/>
      <c r="K947" s="327"/>
    </row>
    <row r="948" customFormat="false" ht="12.75" hidden="false" customHeight="false" outlineLevel="0" collapsed="false">
      <c r="A948" s="325"/>
      <c r="B948" s="326"/>
      <c r="J948" s="73"/>
      <c r="K948" s="327"/>
    </row>
    <row r="949" customFormat="false" ht="12.75" hidden="false" customHeight="false" outlineLevel="0" collapsed="false">
      <c r="A949" s="325"/>
      <c r="B949" s="326"/>
      <c r="J949" s="73"/>
      <c r="K949" s="327"/>
    </row>
    <row r="950" customFormat="false" ht="12.75" hidden="false" customHeight="false" outlineLevel="0" collapsed="false">
      <c r="A950" s="325"/>
      <c r="B950" s="326"/>
      <c r="J950" s="73"/>
      <c r="K950" s="327"/>
    </row>
    <row r="951" customFormat="false" ht="12.75" hidden="false" customHeight="false" outlineLevel="0" collapsed="false">
      <c r="A951" s="325"/>
      <c r="B951" s="326"/>
      <c r="J951" s="73"/>
      <c r="K951" s="327"/>
    </row>
    <row r="952" customFormat="false" ht="12.75" hidden="false" customHeight="false" outlineLevel="0" collapsed="false">
      <c r="A952" s="325"/>
      <c r="B952" s="326"/>
      <c r="J952" s="73"/>
      <c r="K952" s="327"/>
    </row>
    <row r="953" customFormat="false" ht="12.75" hidden="false" customHeight="false" outlineLevel="0" collapsed="false">
      <c r="A953" s="325"/>
      <c r="B953" s="326"/>
      <c r="J953" s="73"/>
      <c r="K953" s="327"/>
    </row>
    <row r="954" customFormat="false" ht="12.75" hidden="false" customHeight="false" outlineLevel="0" collapsed="false">
      <c r="A954" s="325"/>
      <c r="B954" s="326"/>
      <c r="J954" s="73"/>
      <c r="K954" s="327"/>
    </row>
    <row r="955" customFormat="false" ht="12.75" hidden="false" customHeight="false" outlineLevel="0" collapsed="false">
      <c r="A955" s="325"/>
      <c r="B955" s="326"/>
      <c r="J955" s="73"/>
      <c r="K955" s="327"/>
    </row>
    <row r="956" customFormat="false" ht="12.75" hidden="false" customHeight="false" outlineLevel="0" collapsed="false">
      <c r="A956" s="325"/>
      <c r="B956" s="326"/>
      <c r="J956" s="73"/>
      <c r="K956" s="327"/>
    </row>
    <row r="957" customFormat="false" ht="12.75" hidden="false" customHeight="false" outlineLevel="0" collapsed="false">
      <c r="A957" s="325"/>
      <c r="B957" s="326"/>
      <c r="J957" s="73"/>
      <c r="K957" s="327"/>
    </row>
    <row r="958" customFormat="false" ht="12.75" hidden="false" customHeight="false" outlineLevel="0" collapsed="false">
      <c r="A958" s="325"/>
      <c r="B958" s="326"/>
      <c r="J958" s="73"/>
      <c r="K958" s="327"/>
    </row>
    <row r="959" customFormat="false" ht="12.75" hidden="false" customHeight="false" outlineLevel="0" collapsed="false">
      <c r="A959" s="325"/>
      <c r="B959" s="326"/>
      <c r="J959" s="73"/>
      <c r="K959" s="327"/>
    </row>
    <row r="960" customFormat="false" ht="12.75" hidden="false" customHeight="false" outlineLevel="0" collapsed="false">
      <c r="A960" s="325"/>
      <c r="B960" s="326"/>
      <c r="J960" s="73"/>
      <c r="K960" s="327"/>
    </row>
    <row r="961" customFormat="false" ht="12.75" hidden="false" customHeight="false" outlineLevel="0" collapsed="false">
      <c r="A961" s="325"/>
      <c r="B961" s="326"/>
      <c r="J961" s="73"/>
      <c r="K961" s="327"/>
    </row>
    <row r="962" customFormat="false" ht="12.75" hidden="false" customHeight="false" outlineLevel="0" collapsed="false">
      <c r="A962" s="325"/>
      <c r="B962" s="326"/>
      <c r="J962" s="73"/>
      <c r="K962" s="327"/>
    </row>
    <row r="963" customFormat="false" ht="12.75" hidden="false" customHeight="false" outlineLevel="0" collapsed="false">
      <c r="A963" s="325"/>
      <c r="B963" s="326"/>
      <c r="J963" s="73"/>
      <c r="K963" s="327"/>
    </row>
    <row r="964" customFormat="false" ht="12.75" hidden="false" customHeight="false" outlineLevel="0" collapsed="false">
      <c r="A964" s="325"/>
      <c r="B964" s="326"/>
      <c r="J964" s="73"/>
      <c r="K964" s="327"/>
    </row>
    <row r="965" customFormat="false" ht="12.75" hidden="false" customHeight="false" outlineLevel="0" collapsed="false">
      <c r="A965" s="325"/>
      <c r="B965" s="326"/>
      <c r="J965" s="73"/>
      <c r="K965" s="327"/>
    </row>
    <row r="966" customFormat="false" ht="12.75" hidden="false" customHeight="false" outlineLevel="0" collapsed="false">
      <c r="A966" s="325"/>
      <c r="B966" s="326"/>
      <c r="J966" s="73"/>
      <c r="K966" s="327"/>
    </row>
    <row r="967" customFormat="false" ht="12.75" hidden="false" customHeight="false" outlineLevel="0" collapsed="false">
      <c r="A967" s="325"/>
      <c r="B967" s="326"/>
      <c r="J967" s="73"/>
      <c r="K967" s="327"/>
    </row>
    <row r="968" customFormat="false" ht="12.75" hidden="false" customHeight="false" outlineLevel="0" collapsed="false">
      <c r="A968" s="325"/>
      <c r="B968" s="326"/>
      <c r="J968" s="73"/>
      <c r="K968" s="327"/>
    </row>
    <row r="969" customFormat="false" ht="12.75" hidden="false" customHeight="false" outlineLevel="0" collapsed="false">
      <c r="A969" s="325"/>
      <c r="B969" s="326"/>
      <c r="J969" s="73"/>
      <c r="K969" s="327"/>
    </row>
    <row r="970" customFormat="false" ht="12.75" hidden="false" customHeight="false" outlineLevel="0" collapsed="false">
      <c r="A970" s="325"/>
      <c r="B970" s="326"/>
      <c r="J970" s="73"/>
      <c r="K970" s="327"/>
    </row>
    <row r="971" customFormat="false" ht="12.75" hidden="false" customHeight="false" outlineLevel="0" collapsed="false">
      <c r="A971" s="325"/>
      <c r="B971" s="326"/>
      <c r="J971" s="73"/>
      <c r="K971" s="327"/>
    </row>
    <row r="972" customFormat="false" ht="12.75" hidden="false" customHeight="false" outlineLevel="0" collapsed="false">
      <c r="A972" s="325"/>
      <c r="B972" s="326"/>
      <c r="J972" s="73"/>
      <c r="K972" s="327"/>
    </row>
    <row r="973" customFormat="false" ht="12.75" hidden="false" customHeight="false" outlineLevel="0" collapsed="false">
      <c r="A973" s="325"/>
      <c r="B973" s="326"/>
      <c r="J973" s="73"/>
      <c r="K973" s="327"/>
    </row>
    <row r="974" customFormat="false" ht="12.75" hidden="false" customHeight="false" outlineLevel="0" collapsed="false">
      <c r="A974" s="325"/>
      <c r="B974" s="326"/>
      <c r="J974" s="73"/>
      <c r="K974" s="327"/>
    </row>
    <row r="975" customFormat="false" ht="12.75" hidden="false" customHeight="false" outlineLevel="0" collapsed="false">
      <c r="A975" s="325"/>
      <c r="B975" s="326"/>
      <c r="J975" s="73"/>
      <c r="K975" s="327"/>
    </row>
    <row r="976" customFormat="false" ht="12.75" hidden="false" customHeight="false" outlineLevel="0" collapsed="false">
      <c r="A976" s="325"/>
      <c r="B976" s="326"/>
      <c r="J976" s="73"/>
      <c r="K976" s="327"/>
    </row>
    <row r="977" customFormat="false" ht="12.75" hidden="false" customHeight="false" outlineLevel="0" collapsed="false">
      <c r="A977" s="325"/>
      <c r="B977" s="326"/>
      <c r="J977" s="73"/>
      <c r="K977" s="327"/>
    </row>
    <row r="978" customFormat="false" ht="12.75" hidden="false" customHeight="false" outlineLevel="0" collapsed="false">
      <c r="A978" s="325"/>
      <c r="B978" s="326"/>
      <c r="J978" s="73"/>
      <c r="K978" s="327"/>
    </row>
    <row r="979" customFormat="false" ht="12.75" hidden="false" customHeight="false" outlineLevel="0" collapsed="false">
      <c r="A979" s="325"/>
      <c r="B979" s="326"/>
      <c r="J979" s="73"/>
      <c r="K979" s="327"/>
    </row>
    <row r="980" customFormat="false" ht="12.75" hidden="false" customHeight="false" outlineLevel="0" collapsed="false">
      <c r="A980" s="325"/>
      <c r="B980" s="326"/>
      <c r="J980" s="73"/>
      <c r="K980" s="327"/>
    </row>
    <row r="981" customFormat="false" ht="12.75" hidden="false" customHeight="false" outlineLevel="0" collapsed="false">
      <c r="A981" s="325"/>
      <c r="B981" s="326"/>
      <c r="J981" s="73"/>
      <c r="K981" s="327"/>
    </row>
    <row r="982" customFormat="false" ht="12.75" hidden="false" customHeight="false" outlineLevel="0" collapsed="false">
      <c r="A982" s="325"/>
      <c r="B982" s="326"/>
      <c r="J982" s="73"/>
      <c r="K982" s="327"/>
    </row>
    <row r="983" customFormat="false" ht="12.75" hidden="false" customHeight="false" outlineLevel="0" collapsed="false">
      <c r="A983" s="325"/>
      <c r="B983" s="326"/>
      <c r="J983" s="73"/>
      <c r="K983" s="327"/>
    </row>
    <row r="984" customFormat="false" ht="12.75" hidden="false" customHeight="false" outlineLevel="0" collapsed="false">
      <c r="A984" s="325"/>
      <c r="B984" s="326"/>
      <c r="J984" s="73"/>
      <c r="K984" s="327"/>
    </row>
    <row r="985" customFormat="false" ht="12.75" hidden="false" customHeight="false" outlineLevel="0" collapsed="false">
      <c r="A985" s="325"/>
      <c r="B985" s="326"/>
      <c r="J985" s="73"/>
      <c r="K985" s="327"/>
    </row>
    <row r="986" customFormat="false" ht="12.75" hidden="false" customHeight="false" outlineLevel="0" collapsed="false">
      <c r="A986" s="325"/>
      <c r="B986" s="326"/>
      <c r="J986" s="73"/>
      <c r="K986" s="327"/>
    </row>
    <row r="987" customFormat="false" ht="12.75" hidden="false" customHeight="false" outlineLevel="0" collapsed="false">
      <c r="A987" s="325"/>
      <c r="B987" s="326"/>
      <c r="J987" s="73"/>
      <c r="K987" s="327"/>
    </row>
    <row r="988" customFormat="false" ht="12.75" hidden="false" customHeight="false" outlineLevel="0" collapsed="false">
      <c r="A988" s="325"/>
      <c r="B988" s="326"/>
      <c r="J988" s="73"/>
      <c r="K988" s="327"/>
    </row>
    <row r="989" customFormat="false" ht="12.75" hidden="false" customHeight="false" outlineLevel="0" collapsed="false">
      <c r="A989" s="325"/>
      <c r="B989" s="326"/>
      <c r="J989" s="73"/>
      <c r="K989" s="327"/>
    </row>
    <row r="990" customFormat="false" ht="12.75" hidden="false" customHeight="false" outlineLevel="0" collapsed="false">
      <c r="A990" s="325"/>
      <c r="B990" s="326"/>
      <c r="J990" s="73"/>
      <c r="K990" s="327"/>
    </row>
    <row r="991" customFormat="false" ht="12.75" hidden="false" customHeight="false" outlineLevel="0" collapsed="false">
      <c r="A991" s="325"/>
      <c r="B991" s="326"/>
      <c r="J991" s="73"/>
      <c r="K991" s="327"/>
    </row>
    <row r="992" customFormat="false" ht="12.75" hidden="false" customHeight="false" outlineLevel="0" collapsed="false">
      <c r="A992" s="325"/>
      <c r="B992" s="326"/>
      <c r="J992" s="73"/>
      <c r="K992" s="327"/>
    </row>
    <row r="993" customFormat="false" ht="12.75" hidden="false" customHeight="false" outlineLevel="0" collapsed="false">
      <c r="A993" s="325"/>
      <c r="B993" s="326"/>
      <c r="J993" s="73"/>
      <c r="K993" s="327"/>
    </row>
    <row r="994" customFormat="false" ht="12.75" hidden="false" customHeight="false" outlineLevel="0" collapsed="false">
      <c r="A994" s="325"/>
      <c r="B994" s="326"/>
      <c r="J994" s="73"/>
      <c r="K994" s="327"/>
    </row>
    <row r="995" customFormat="false" ht="12.75" hidden="false" customHeight="false" outlineLevel="0" collapsed="false">
      <c r="A995" s="325"/>
      <c r="B995" s="326"/>
      <c r="J995" s="73"/>
      <c r="K995" s="327"/>
    </row>
    <row r="996" customFormat="false" ht="12.75" hidden="false" customHeight="false" outlineLevel="0" collapsed="false">
      <c r="A996" s="325"/>
      <c r="B996" s="326"/>
      <c r="J996" s="73"/>
      <c r="K996" s="327"/>
    </row>
    <row r="997" customFormat="false" ht="12.75" hidden="false" customHeight="false" outlineLevel="0" collapsed="false">
      <c r="A997" s="325"/>
      <c r="B997" s="326"/>
      <c r="J997" s="73"/>
      <c r="K997" s="327"/>
    </row>
    <row r="998" customFormat="false" ht="12.75" hidden="false" customHeight="false" outlineLevel="0" collapsed="false">
      <c r="A998" s="325"/>
      <c r="B998" s="326"/>
      <c r="J998" s="73"/>
      <c r="K998" s="327"/>
    </row>
    <row r="999" customFormat="false" ht="12.75" hidden="false" customHeight="false" outlineLevel="0" collapsed="false">
      <c r="A999" s="325"/>
      <c r="B999" s="326"/>
      <c r="J999" s="73"/>
      <c r="K999" s="327"/>
    </row>
    <row r="1000" customFormat="false" ht="12.75" hidden="false" customHeight="false" outlineLevel="0" collapsed="false">
      <c r="A1000" s="325"/>
      <c r="B1000" s="326"/>
      <c r="J1000" s="73"/>
      <c r="K1000" s="327"/>
    </row>
    <row r="1001" customFormat="false" ht="12.75" hidden="false" customHeight="false" outlineLevel="0" collapsed="false">
      <c r="A1001" s="325"/>
      <c r="B1001" s="326"/>
      <c r="J1001" s="73"/>
      <c r="K1001" s="327"/>
    </row>
    <row r="1002" customFormat="false" ht="12.75" hidden="false" customHeight="false" outlineLevel="0" collapsed="false">
      <c r="A1002" s="325"/>
      <c r="B1002" s="326"/>
      <c r="J1002" s="73"/>
      <c r="K1002" s="327"/>
    </row>
    <row r="1003" customFormat="false" ht="12.75" hidden="false" customHeight="false" outlineLevel="0" collapsed="false">
      <c r="A1003" s="325"/>
      <c r="B1003" s="326"/>
      <c r="J1003" s="73"/>
      <c r="K1003" s="327"/>
    </row>
    <row r="1004" customFormat="false" ht="12.75" hidden="false" customHeight="false" outlineLevel="0" collapsed="false">
      <c r="A1004" s="325"/>
      <c r="B1004" s="326"/>
      <c r="J1004" s="73"/>
      <c r="K1004" s="327"/>
    </row>
    <row r="1005" customFormat="false" ht="12.75" hidden="false" customHeight="false" outlineLevel="0" collapsed="false">
      <c r="A1005" s="325"/>
      <c r="B1005" s="326"/>
      <c r="J1005" s="73"/>
      <c r="K1005" s="327"/>
    </row>
    <row r="1006" customFormat="false" ht="12.75" hidden="false" customHeight="false" outlineLevel="0" collapsed="false">
      <c r="A1006" s="325"/>
      <c r="B1006" s="326"/>
      <c r="J1006" s="73"/>
      <c r="K1006" s="327"/>
    </row>
    <row r="1007" customFormat="false" ht="12.75" hidden="false" customHeight="false" outlineLevel="0" collapsed="false">
      <c r="A1007" s="325"/>
      <c r="B1007" s="326"/>
      <c r="J1007" s="73"/>
      <c r="K1007" s="327"/>
    </row>
    <row r="1008" customFormat="false" ht="12.75" hidden="false" customHeight="false" outlineLevel="0" collapsed="false">
      <c r="A1008" s="325"/>
      <c r="B1008" s="326"/>
      <c r="J1008" s="73"/>
      <c r="K1008" s="327"/>
    </row>
    <row r="1009" customFormat="false" ht="12.75" hidden="false" customHeight="false" outlineLevel="0" collapsed="false">
      <c r="A1009" s="325"/>
      <c r="B1009" s="326"/>
      <c r="J1009" s="73"/>
      <c r="K1009" s="327"/>
    </row>
    <row r="1010" customFormat="false" ht="12.75" hidden="false" customHeight="false" outlineLevel="0" collapsed="false">
      <c r="A1010" s="325"/>
      <c r="B1010" s="326"/>
      <c r="J1010" s="73"/>
      <c r="K1010" s="327"/>
    </row>
    <row r="1011" customFormat="false" ht="12.75" hidden="false" customHeight="false" outlineLevel="0" collapsed="false">
      <c r="A1011" s="325"/>
      <c r="B1011" s="326"/>
      <c r="J1011" s="73"/>
      <c r="K1011" s="327"/>
    </row>
    <row r="1012" customFormat="false" ht="12.75" hidden="false" customHeight="false" outlineLevel="0" collapsed="false">
      <c r="A1012" s="325"/>
      <c r="B1012" s="326"/>
      <c r="J1012" s="73"/>
      <c r="K1012" s="327"/>
    </row>
    <row r="1013" customFormat="false" ht="12.75" hidden="false" customHeight="false" outlineLevel="0" collapsed="false">
      <c r="A1013" s="325"/>
      <c r="B1013" s="326"/>
      <c r="J1013" s="73"/>
      <c r="K1013" s="327"/>
    </row>
    <row r="1014" customFormat="false" ht="12.75" hidden="false" customHeight="false" outlineLevel="0" collapsed="false">
      <c r="A1014" s="325"/>
      <c r="B1014" s="326"/>
      <c r="J1014" s="73"/>
      <c r="K1014" s="327"/>
    </row>
    <row r="1015" customFormat="false" ht="12.75" hidden="false" customHeight="false" outlineLevel="0" collapsed="false">
      <c r="A1015" s="325"/>
      <c r="B1015" s="326"/>
      <c r="J1015" s="73"/>
      <c r="K1015" s="327"/>
    </row>
    <row r="1016" customFormat="false" ht="12.75" hidden="false" customHeight="false" outlineLevel="0" collapsed="false">
      <c r="A1016" s="325"/>
      <c r="B1016" s="326"/>
      <c r="J1016" s="73"/>
      <c r="K1016" s="327"/>
    </row>
    <row r="1017" customFormat="false" ht="12.75" hidden="false" customHeight="false" outlineLevel="0" collapsed="false">
      <c r="A1017" s="325"/>
      <c r="B1017" s="326"/>
      <c r="J1017" s="73"/>
      <c r="K1017" s="327"/>
    </row>
    <row r="1018" customFormat="false" ht="12.75" hidden="false" customHeight="false" outlineLevel="0" collapsed="false">
      <c r="A1018" s="325"/>
      <c r="B1018" s="326"/>
      <c r="J1018" s="73"/>
      <c r="K1018" s="327"/>
    </row>
    <row r="1019" customFormat="false" ht="12.75" hidden="false" customHeight="false" outlineLevel="0" collapsed="false">
      <c r="A1019" s="325"/>
      <c r="B1019" s="326"/>
      <c r="J1019" s="73"/>
      <c r="K1019" s="327"/>
    </row>
    <row r="1020" customFormat="false" ht="12.75" hidden="false" customHeight="false" outlineLevel="0" collapsed="false">
      <c r="A1020" s="325"/>
      <c r="B1020" s="326"/>
      <c r="J1020" s="73"/>
      <c r="K1020" s="327"/>
    </row>
    <row r="1021" customFormat="false" ht="12.75" hidden="false" customHeight="false" outlineLevel="0" collapsed="false">
      <c r="A1021" s="325"/>
      <c r="B1021" s="326"/>
      <c r="J1021" s="73"/>
      <c r="K1021" s="327"/>
    </row>
    <row r="1022" customFormat="false" ht="12.75" hidden="false" customHeight="false" outlineLevel="0" collapsed="false">
      <c r="A1022" s="325"/>
      <c r="B1022" s="326"/>
      <c r="J1022" s="73"/>
      <c r="K1022" s="327"/>
    </row>
    <row r="1023" customFormat="false" ht="12.75" hidden="false" customHeight="false" outlineLevel="0" collapsed="false">
      <c r="A1023" s="325"/>
      <c r="B1023" s="326"/>
      <c r="J1023" s="73"/>
      <c r="K1023" s="327"/>
    </row>
    <row r="1024" customFormat="false" ht="12.75" hidden="false" customHeight="false" outlineLevel="0" collapsed="false">
      <c r="A1024" s="325"/>
      <c r="B1024" s="326"/>
      <c r="J1024" s="73"/>
      <c r="K1024" s="327"/>
    </row>
    <row r="1025" customFormat="false" ht="12.75" hidden="false" customHeight="false" outlineLevel="0" collapsed="false">
      <c r="A1025" s="325"/>
      <c r="B1025" s="326"/>
      <c r="J1025" s="73"/>
      <c r="K1025" s="327"/>
    </row>
    <row r="1026" customFormat="false" ht="12.75" hidden="false" customHeight="false" outlineLevel="0" collapsed="false">
      <c r="A1026" s="325"/>
      <c r="B1026" s="326"/>
      <c r="J1026" s="73"/>
      <c r="K1026" s="327"/>
    </row>
    <row r="1027" customFormat="false" ht="12.75" hidden="false" customHeight="false" outlineLevel="0" collapsed="false">
      <c r="A1027" s="325"/>
      <c r="B1027" s="326"/>
      <c r="J1027" s="73"/>
      <c r="K1027" s="327"/>
    </row>
    <row r="1028" customFormat="false" ht="12.75" hidden="false" customHeight="false" outlineLevel="0" collapsed="false">
      <c r="A1028" s="325"/>
      <c r="B1028" s="326"/>
      <c r="J1028" s="73"/>
      <c r="K1028" s="327"/>
    </row>
    <row r="1029" customFormat="false" ht="12.75" hidden="false" customHeight="false" outlineLevel="0" collapsed="false">
      <c r="A1029" s="325"/>
      <c r="B1029" s="326"/>
      <c r="J1029" s="73"/>
      <c r="K1029" s="327"/>
    </row>
    <row r="1030" customFormat="false" ht="12.75" hidden="false" customHeight="false" outlineLevel="0" collapsed="false">
      <c r="A1030" s="325"/>
      <c r="B1030" s="326"/>
      <c r="J1030" s="73"/>
      <c r="K1030" s="327"/>
    </row>
    <row r="1031" customFormat="false" ht="12.75" hidden="false" customHeight="false" outlineLevel="0" collapsed="false">
      <c r="A1031" s="325"/>
      <c r="B1031" s="326"/>
      <c r="J1031" s="73"/>
      <c r="K1031" s="327"/>
    </row>
    <row r="1032" customFormat="false" ht="12.75" hidden="false" customHeight="false" outlineLevel="0" collapsed="false">
      <c r="A1032" s="325"/>
      <c r="B1032" s="326"/>
      <c r="J1032" s="73"/>
      <c r="K1032" s="327"/>
    </row>
    <row r="1033" customFormat="false" ht="12.75" hidden="false" customHeight="false" outlineLevel="0" collapsed="false">
      <c r="A1033" s="325"/>
      <c r="B1033" s="326"/>
      <c r="J1033" s="73"/>
      <c r="K1033" s="327"/>
    </row>
    <row r="1034" customFormat="false" ht="12.75" hidden="false" customHeight="false" outlineLevel="0" collapsed="false">
      <c r="A1034" s="325"/>
      <c r="B1034" s="326"/>
      <c r="J1034" s="73"/>
      <c r="K1034" s="327"/>
    </row>
    <row r="1035" customFormat="false" ht="12.75" hidden="false" customHeight="false" outlineLevel="0" collapsed="false">
      <c r="A1035" s="325"/>
      <c r="B1035" s="326"/>
      <c r="J1035" s="73"/>
      <c r="K1035" s="327"/>
    </row>
    <row r="1036" customFormat="false" ht="12.75" hidden="false" customHeight="false" outlineLevel="0" collapsed="false">
      <c r="A1036" s="325"/>
      <c r="B1036" s="326"/>
      <c r="J1036" s="73"/>
      <c r="K1036" s="327"/>
    </row>
    <row r="1037" customFormat="false" ht="12.75" hidden="false" customHeight="false" outlineLevel="0" collapsed="false">
      <c r="A1037" s="325"/>
      <c r="B1037" s="326"/>
      <c r="J1037" s="73"/>
      <c r="K1037" s="327"/>
    </row>
    <row r="1038" customFormat="false" ht="12.75" hidden="false" customHeight="false" outlineLevel="0" collapsed="false">
      <c r="A1038" s="325"/>
      <c r="B1038" s="326"/>
      <c r="J1038" s="73"/>
      <c r="K1038" s="327"/>
    </row>
    <row r="1039" customFormat="false" ht="12.75" hidden="false" customHeight="false" outlineLevel="0" collapsed="false">
      <c r="A1039" s="325"/>
      <c r="B1039" s="326"/>
      <c r="J1039" s="73"/>
      <c r="K1039" s="327"/>
    </row>
    <row r="1040" customFormat="false" ht="12.75" hidden="false" customHeight="false" outlineLevel="0" collapsed="false">
      <c r="A1040" s="325"/>
      <c r="B1040" s="326"/>
      <c r="J1040" s="73"/>
      <c r="K1040" s="327"/>
    </row>
    <row r="1041" customFormat="false" ht="12.75" hidden="false" customHeight="false" outlineLevel="0" collapsed="false">
      <c r="A1041" s="325"/>
      <c r="B1041" s="326"/>
      <c r="J1041" s="73"/>
      <c r="K1041" s="327"/>
    </row>
    <row r="1042" customFormat="false" ht="12.75" hidden="false" customHeight="false" outlineLevel="0" collapsed="false">
      <c r="A1042" s="325"/>
      <c r="B1042" s="326"/>
      <c r="J1042" s="73"/>
      <c r="K1042" s="327"/>
    </row>
    <row r="1043" customFormat="false" ht="12.75" hidden="false" customHeight="false" outlineLevel="0" collapsed="false">
      <c r="A1043" s="325"/>
      <c r="B1043" s="326"/>
      <c r="J1043" s="73"/>
      <c r="K1043" s="327"/>
    </row>
    <row r="1044" customFormat="false" ht="12.75" hidden="false" customHeight="false" outlineLevel="0" collapsed="false">
      <c r="A1044" s="325"/>
      <c r="B1044" s="326"/>
      <c r="J1044" s="73"/>
      <c r="K1044" s="327"/>
    </row>
    <row r="1045" customFormat="false" ht="12.75" hidden="false" customHeight="false" outlineLevel="0" collapsed="false">
      <c r="A1045" s="325"/>
      <c r="B1045" s="326"/>
      <c r="J1045" s="73"/>
      <c r="K1045" s="327"/>
    </row>
    <row r="1046" customFormat="false" ht="12.75" hidden="false" customHeight="false" outlineLevel="0" collapsed="false">
      <c r="A1046" s="325"/>
      <c r="B1046" s="326"/>
      <c r="J1046" s="73"/>
      <c r="K1046" s="327"/>
    </row>
    <row r="1047" customFormat="false" ht="12.75" hidden="false" customHeight="false" outlineLevel="0" collapsed="false">
      <c r="A1047" s="325"/>
      <c r="B1047" s="326"/>
      <c r="J1047" s="73"/>
      <c r="K1047" s="327"/>
    </row>
    <row r="1048" customFormat="false" ht="12.75" hidden="false" customHeight="false" outlineLevel="0" collapsed="false">
      <c r="A1048" s="325"/>
      <c r="B1048" s="326"/>
      <c r="J1048" s="73"/>
      <c r="K1048" s="327"/>
    </row>
    <row r="1049" customFormat="false" ht="12.75" hidden="false" customHeight="false" outlineLevel="0" collapsed="false">
      <c r="A1049" s="325"/>
      <c r="B1049" s="326"/>
      <c r="J1049" s="73"/>
      <c r="K1049" s="327"/>
    </row>
    <row r="1050" customFormat="false" ht="12.75" hidden="false" customHeight="false" outlineLevel="0" collapsed="false">
      <c r="A1050" s="325"/>
      <c r="B1050" s="326"/>
      <c r="J1050" s="73"/>
      <c r="K1050" s="327"/>
    </row>
    <row r="1051" customFormat="false" ht="12.75" hidden="false" customHeight="false" outlineLevel="0" collapsed="false">
      <c r="A1051" s="325"/>
      <c r="B1051" s="326"/>
      <c r="J1051" s="73"/>
      <c r="K1051" s="327"/>
    </row>
    <row r="1052" customFormat="false" ht="12.75" hidden="false" customHeight="false" outlineLevel="0" collapsed="false">
      <c r="A1052" s="325"/>
      <c r="B1052" s="326"/>
      <c r="J1052" s="73"/>
      <c r="K1052" s="327"/>
    </row>
    <row r="1053" customFormat="false" ht="12.75" hidden="false" customHeight="false" outlineLevel="0" collapsed="false">
      <c r="A1053" s="325"/>
      <c r="B1053" s="326"/>
      <c r="J1053" s="73"/>
      <c r="K1053" s="327"/>
    </row>
    <row r="1054" customFormat="false" ht="12.75" hidden="false" customHeight="false" outlineLevel="0" collapsed="false">
      <c r="A1054" s="325"/>
      <c r="B1054" s="326"/>
      <c r="J1054" s="73"/>
      <c r="K1054" s="327"/>
    </row>
    <row r="1055" customFormat="false" ht="12.75" hidden="false" customHeight="false" outlineLevel="0" collapsed="false">
      <c r="A1055" s="325"/>
      <c r="B1055" s="326"/>
      <c r="J1055" s="73"/>
      <c r="K1055" s="327"/>
    </row>
    <row r="1056" customFormat="false" ht="12.75" hidden="false" customHeight="false" outlineLevel="0" collapsed="false">
      <c r="A1056" s="325"/>
      <c r="B1056" s="326"/>
      <c r="J1056" s="73"/>
      <c r="K1056" s="327"/>
    </row>
    <row r="1057" customFormat="false" ht="12.75" hidden="false" customHeight="false" outlineLevel="0" collapsed="false">
      <c r="A1057" s="325"/>
      <c r="B1057" s="326"/>
      <c r="J1057" s="73"/>
      <c r="K1057" s="327"/>
    </row>
    <row r="1058" customFormat="false" ht="12.75" hidden="false" customHeight="false" outlineLevel="0" collapsed="false">
      <c r="A1058" s="325"/>
      <c r="B1058" s="326"/>
      <c r="J1058" s="73"/>
      <c r="K1058" s="327"/>
    </row>
    <row r="1059" customFormat="false" ht="12.75" hidden="false" customHeight="false" outlineLevel="0" collapsed="false">
      <c r="A1059" s="325"/>
      <c r="B1059" s="326"/>
      <c r="J1059" s="73"/>
      <c r="K1059" s="327"/>
    </row>
    <row r="1060" customFormat="false" ht="12.75" hidden="false" customHeight="false" outlineLevel="0" collapsed="false">
      <c r="A1060" s="325"/>
      <c r="B1060" s="326"/>
      <c r="J1060" s="73"/>
      <c r="K1060" s="327"/>
    </row>
    <row r="1061" customFormat="false" ht="12.75" hidden="false" customHeight="false" outlineLevel="0" collapsed="false">
      <c r="A1061" s="325"/>
      <c r="B1061" s="326"/>
      <c r="J1061" s="73"/>
      <c r="K1061" s="327"/>
    </row>
    <row r="1062" customFormat="false" ht="12.75" hidden="false" customHeight="false" outlineLevel="0" collapsed="false">
      <c r="A1062" s="325"/>
      <c r="B1062" s="326"/>
      <c r="J1062" s="73"/>
      <c r="K1062" s="327"/>
    </row>
    <row r="1063" customFormat="false" ht="12.75" hidden="false" customHeight="false" outlineLevel="0" collapsed="false">
      <c r="A1063" s="325"/>
      <c r="B1063" s="326"/>
      <c r="J1063" s="73"/>
      <c r="K1063" s="327"/>
    </row>
    <row r="1064" customFormat="false" ht="12.75" hidden="false" customHeight="false" outlineLevel="0" collapsed="false">
      <c r="A1064" s="325"/>
      <c r="B1064" s="326"/>
      <c r="J1064" s="73"/>
      <c r="K1064" s="327"/>
    </row>
    <row r="1065" customFormat="false" ht="12.75" hidden="false" customHeight="false" outlineLevel="0" collapsed="false">
      <c r="A1065" s="325"/>
      <c r="B1065" s="326"/>
      <c r="J1065" s="73"/>
      <c r="K1065" s="327"/>
    </row>
    <row r="1066" customFormat="false" ht="12.75" hidden="false" customHeight="false" outlineLevel="0" collapsed="false">
      <c r="A1066" s="325"/>
      <c r="B1066" s="326"/>
      <c r="J1066" s="73"/>
      <c r="K1066" s="327"/>
    </row>
    <row r="1067" customFormat="false" ht="12.75" hidden="false" customHeight="false" outlineLevel="0" collapsed="false">
      <c r="A1067" s="325"/>
      <c r="B1067" s="326"/>
      <c r="J1067" s="73"/>
      <c r="K1067" s="327"/>
    </row>
    <row r="1068" customFormat="false" ht="12.75" hidden="false" customHeight="false" outlineLevel="0" collapsed="false">
      <c r="A1068" s="325"/>
      <c r="B1068" s="326"/>
      <c r="J1068" s="73"/>
      <c r="K1068" s="327"/>
    </row>
    <row r="1069" customFormat="false" ht="12.75" hidden="false" customHeight="false" outlineLevel="0" collapsed="false">
      <c r="A1069" s="325"/>
      <c r="B1069" s="326"/>
      <c r="J1069" s="73"/>
      <c r="K1069" s="327"/>
    </row>
    <row r="1070" customFormat="false" ht="12.75" hidden="false" customHeight="false" outlineLevel="0" collapsed="false">
      <c r="A1070" s="325"/>
      <c r="B1070" s="326"/>
      <c r="J1070" s="73"/>
      <c r="K1070" s="327"/>
    </row>
    <row r="1071" customFormat="false" ht="12.75" hidden="false" customHeight="false" outlineLevel="0" collapsed="false">
      <c r="A1071" s="325"/>
      <c r="B1071" s="326"/>
      <c r="J1071" s="73"/>
      <c r="K1071" s="327"/>
    </row>
    <row r="1072" customFormat="false" ht="12.75" hidden="false" customHeight="false" outlineLevel="0" collapsed="false">
      <c r="A1072" s="325"/>
      <c r="B1072" s="326"/>
      <c r="J1072" s="73"/>
      <c r="K1072" s="327"/>
    </row>
    <row r="1073" customFormat="false" ht="12.75" hidden="false" customHeight="false" outlineLevel="0" collapsed="false">
      <c r="A1073" s="325"/>
      <c r="B1073" s="326"/>
      <c r="J1073" s="73"/>
      <c r="K1073" s="327"/>
    </row>
    <row r="1074" customFormat="false" ht="12.75" hidden="false" customHeight="false" outlineLevel="0" collapsed="false">
      <c r="A1074" s="325"/>
      <c r="B1074" s="326"/>
      <c r="J1074" s="73"/>
      <c r="K1074" s="327"/>
    </row>
    <row r="1075" customFormat="false" ht="12.75" hidden="false" customHeight="false" outlineLevel="0" collapsed="false">
      <c r="A1075" s="325"/>
      <c r="B1075" s="326"/>
      <c r="J1075" s="73"/>
      <c r="K1075" s="327"/>
    </row>
    <row r="1076" customFormat="false" ht="12.75" hidden="false" customHeight="false" outlineLevel="0" collapsed="false">
      <c r="A1076" s="325"/>
      <c r="B1076" s="326"/>
      <c r="J1076" s="73"/>
      <c r="K1076" s="327"/>
    </row>
    <row r="1077" customFormat="false" ht="12.75" hidden="false" customHeight="false" outlineLevel="0" collapsed="false">
      <c r="A1077" s="325"/>
      <c r="B1077" s="326"/>
      <c r="J1077" s="73"/>
      <c r="K1077" s="327"/>
    </row>
    <row r="1078" customFormat="false" ht="12.75" hidden="false" customHeight="false" outlineLevel="0" collapsed="false">
      <c r="A1078" s="325"/>
      <c r="B1078" s="326"/>
      <c r="J1078" s="73"/>
      <c r="K1078" s="327"/>
    </row>
    <row r="1079" customFormat="false" ht="12.75" hidden="false" customHeight="false" outlineLevel="0" collapsed="false">
      <c r="A1079" s="325"/>
      <c r="B1079" s="326"/>
      <c r="J1079" s="73"/>
      <c r="K1079" s="327"/>
    </row>
    <row r="1080" customFormat="false" ht="12.75" hidden="false" customHeight="false" outlineLevel="0" collapsed="false">
      <c r="A1080" s="325"/>
      <c r="B1080" s="326"/>
      <c r="J1080" s="73"/>
      <c r="K1080" s="327"/>
    </row>
    <row r="1081" customFormat="false" ht="12.75" hidden="false" customHeight="false" outlineLevel="0" collapsed="false">
      <c r="A1081" s="325"/>
      <c r="B1081" s="326"/>
      <c r="J1081" s="73"/>
      <c r="K1081" s="327"/>
    </row>
    <row r="1082" customFormat="false" ht="12.75" hidden="false" customHeight="false" outlineLevel="0" collapsed="false">
      <c r="A1082" s="325"/>
      <c r="B1082" s="326"/>
      <c r="J1082" s="73"/>
      <c r="K1082" s="327"/>
    </row>
    <row r="1083" customFormat="false" ht="12.75" hidden="false" customHeight="false" outlineLevel="0" collapsed="false">
      <c r="A1083" s="325"/>
      <c r="B1083" s="326"/>
      <c r="J1083" s="73"/>
      <c r="K1083" s="327"/>
    </row>
    <row r="1084" customFormat="false" ht="12.75" hidden="false" customHeight="false" outlineLevel="0" collapsed="false">
      <c r="A1084" s="325"/>
      <c r="B1084" s="326"/>
      <c r="J1084" s="73"/>
      <c r="K1084" s="327"/>
    </row>
    <row r="1085" customFormat="false" ht="12.75" hidden="false" customHeight="false" outlineLevel="0" collapsed="false">
      <c r="A1085" s="325"/>
      <c r="B1085" s="326"/>
      <c r="J1085" s="73"/>
      <c r="K1085" s="327"/>
    </row>
    <row r="1086" customFormat="false" ht="12.75" hidden="false" customHeight="false" outlineLevel="0" collapsed="false">
      <c r="A1086" s="325"/>
      <c r="B1086" s="326"/>
      <c r="J1086" s="73"/>
      <c r="K1086" s="327"/>
    </row>
    <row r="1087" customFormat="false" ht="12.75" hidden="false" customHeight="false" outlineLevel="0" collapsed="false">
      <c r="A1087" s="325"/>
      <c r="B1087" s="326"/>
      <c r="J1087" s="73"/>
      <c r="K1087" s="327"/>
    </row>
    <row r="1088" customFormat="false" ht="12.75" hidden="false" customHeight="false" outlineLevel="0" collapsed="false">
      <c r="A1088" s="325"/>
      <c r="B1088" s="326"/>
      <c r="J1088" s="73"/>
      <c r="K1088" s="327"/>
    </row>
    <row r="1089" customFormat="false" ht="12.75" hidden="false" customHeight="false" outlineLevel="0" collapsed="false">
      <c r="A1089" s="325"/>
      <c r="B1089" s="326"/>
      <c r="J1089" s="73"/>
      <c r="K1089" s="327"/>
    </row>
    <row r="1090" customFormat="false" ht="12.75" hidden="false" customHeight="false" outlineLevel="0" collapsed="false">
      <c r="A1090" s="325"/>
      <c r="B1090" s="326"/>
      <c r="J1090" s="73"/>
      <c r="K1090" s="327"/>
    </row>
    <row r="1091" customFormat="false" ht="12.75" hidden="false" customHeight="false" outlineLevel="0" collapsed="false">
      <c r="A1091" s="325"/>
      <c r="B1091" s="326"/>
      <c r="J1091" s="73"/>
      <c r="K1091" s="327"/>
    </row>
    <row r="1092" customFormat="false" ht="12.75" hidden="false" customHeight="false" outlineLevel="0" collapsed="false">
      <c r="A1092" s="325"/>
      <c r="B1092" s="326"/>
      <c r="J1092" s="73"/>
      <c r="K1092" s="327"/>
    </row>
    <row r="1093" customFormat="false" ht="12.75" hidden="false" customHeight="false" outlineLevel="0" collapsed="false">
      <c r="A1093" s="325"/>
      <c r="B1093" s="326"/>
      <c r="J1093" s="73"/>
      <c r="K1093" s="327"/>
    </row>
    <row r="1094" customFormat="false" ht="12.75" hidden="false" customHeight="false" outlineLevel="0" collapsed="false">
      <c r="A1094" s="325"/>
      <c r="B1094" s="326"/>
      <c r="J1094" s="73"/>
      <c r="K1094" s="327"/>
    </row>
    <row r="1095" customFormat="false" ht="12.75" hidden="false" customHeight="false" outlineLevel="0" collapsed="false">
      <c r="A1095" s="325"/>
      <c r="B1095" s="326"/>
      <c r="J1095" s="73"/>
      <c r="K1095" s="327"/>
    </row>
    <row r="1096" customFormat="false" ht="12.75" hidden="false" customHeight="false" outlineLevel="0" collapsed="false">
      <c r="A1096" s="325"/>
      <c r="B1096" s="326"/>
      <c r="J1096" s="73"/>
      <c r="K1096" s="327"/>
    </row>
    <row r="1097" customFormat="false" ht="12.75" hidden="false" customHeight="false" outlineLevel="0" collapsed="false">
      <c r="A1097" s="325"/>
      <c r="B1097" s="326"/>
      <c r="J1097" s="73"/>
      <c r="K1097" s="327"/>
    </row>
    <row r="1098" customFormat="false" ht="12.75" hidden="false" customHeight="false" outlineLevel="0" collapsed="false">
      <c r="A1098" s="325"/>
      <c r="B1098" s="326"/>
      <c r="J1098" s="73"/>
      <c r="K1098" s="327"/>
    </row>
    <row r="1099" customFormat="false" ht="12.75" hidden="false" customHeight="false" outlineLevel="0" collapsed="false">
      <c r="A1099" s="325"/>
      <c r="B1099" s="326"/>
      <c r="J1099" s="73"/>
      <c r="K1099" s="327"/>
    </row>
    <row r="1100" customFormat="false" ht="12.75" hidden="false" customHeight="false" outlineLevel="0" collapsed="false">
      <c r="A1100" s="325"/>
      <c r="B1100" s="326"/>
      <c r="J1100" s="73"/>
      <c r="K1100" s="327"/>
    </row>
    <row r="1101" customFormat="false" ht="12.75" hidden="false" customHeight="false" outlineLevel="0" collapsed="false">
      <c r="A1101" s="325"/>
      <c r="B1101" s="326"/>
      <c r="J1101" s="73"/>
      <c r="K1101" s="327"/>
    </row>
    <row r="1102" customFormat="false" ht="12.75" hidden="false" customHeight="false" outlineLevel="0" collapsed="false">
      <c r="A1102" s="325"/>
      <c r="B1102" s="326"/>
      <c r="J1102" s="73"/>
      <c r="K1102" s="327"/>
    </row>
    <row r="1103" customFormat="false" ht="12.75" hidden="false" customHeight="false" outlineLevel="0" collapsed="false">
      <c r="A1103" s="325"/>
      <c r="B1103" s="326"/>
      <c r="J1103" s="73"/>
      <c r="K1103" s="327"/>
    </row>
    <row r="1104" customFormat="false" ht="12.75" hidden="false" customHeight="false" outlineLevel="0" collapsed="false">
      <c r="A1104" s="325"/>
      <c r="B1104" s="326"/>
      <c r="J1104" s="73"/>
      <c r="K1104" s="327"/>
    </row>
    <row r="1105" customFormat="false" ht="12.75" hidden="false" customHeight="false" outlineLevel="0" collapsed="false">
      <c r="A1105" s="325"/>
      <c r="B1105" s="326"/>
      <c r="J1105" s="73"/>
      <c r="K1105" s="327"/>
    </row>
    <row r="1106" customFormat="false" ht="12.75" hidden="false" customHeight="false" outlineLevel="0" collapsed="false">
      <c r="A1106" s="325"/>
      <c r="B1106" s="326"/>
      <c r="J1106" s="73"/>
      <c r="K1106" s="327"/>
    </row>
    <row r="1107" customFormat="false" ht="12.75" hidden="false" customHeight="false" outlineLevel="0" collapsed="false">
      <c r="A1107" s="325"/>
      <c r="B1107" s="326"/>
      <c r="J1107" s="73"/>
      <c r="K1107" s="327"/>
    </row>
    <row r="1108" customFormat="false" ht="12.75" hidden="false" customHeight="false" outlineLevel="0" collapsed="false">
      <c r="A1108" s="325"/>
      <c r="B1108" s="326"/>
      <c r="J1108" s="73"/>
      <c r="K1108" s="327"/>
    </row>
    <row r="1109" customFormat="false" ht="12.75" hidden="false" customHeight="false" outlineLevel="0" collapsed="false">
      <c r="A1109" s="325"/>
      <c r="B1109" s="326"/>
      <c r="J1109" s="73"/>
      <c r="K1109" s="327"/>
    </row>
    <row r="1110" customFormat="false" ht="12.75" hidden="false" customHeight="false" outlineLevel="0" collapsed="false">
      <c r="A1110" s="325"/>
      <c r="B1110" s="326"/>
      <c r="J1110" s="73"/>
      <c r="K1110" s="327"/>
    </row>
    <row r="1111" customFormat="false" ht="12.75" hidden="false" customHeight="false" outlineLevel="0" collapsed="false">
      <c r="A1111" s="325"/>
      <c r="B1111" s="326"/>
      <c r="J1111" s="73"/>
      <c r="K1111" s="327"/>
    </row>
    <row r="1112" customFormat="false" ht="12.75" hidden="false" customHeight="false" outlineLevel="0" collapsed="false">
      <c r="A1112" s="325"/>
      <c r="B1112" s="326"/>
      <c r="J1112" s="73"/>
      <c r="K1112" s="327"/>
    </row>
    <row r="1113" customFormat="false" ht="12.75" hidden="false" customHeight="false" outlineLevel="0" collapsed="false">
      <c r="A1113" s="325"/>
      <c r="B1113" s="326"/>
      <c r="J1113" s="73"/>
      <c r="K1113" s="327"/>
    </row>
    <row r="1114" customFormat="false" ht="12.75" hidden="false" customHeight="false" outlineLevel="0" collapsed="false">
      <c r="A1114" s="325"/>
      <c r="B1114" s="326"/>
      <c r="J1114" s="73"/>
      <c r="K1114" s="327"/>
    </row>
    <row r="1115" customFormat="false" ht="12.75" hidden="false" customHeight="false" outlineLevel="0" collapsed="false">
      <c r="A1115" s="325"/>
      <c r="B1115" s="326"/>
      <c r="J1115" s="73"/>
      <c r="K1115" s="327"/>
    </row>
    <row r="1116" customFormat="false" ht="12.75" hidden="false" customHeight="false" outlineLevel="0" collapsed="false">
      <c r="A1116" s="325"/>
      <c r="B1116" s="326"/>
      <c r="J1116" s="73"/>
      <c r="K1116" s="327"/>
    </row>
    <row r="1117" customFormat="false" ht="12.75" hidden="false" customHeight="false" outlineLevel="0" collapsed="false">
      <c r="A1117" s="325"/>
      <c r="B1117" s="326"/>
      <c r="J1117" s="73"/>
      <c r="K1117" s="327"/>
    </row>
    <row r="1118" customFormat="false" ht="12.75" hidden="false" customHeight="false" outlineLevel="0" collapsed="false">
      <c r="A1118" s="325"/>
      <c r="B1118" s="326"/>
      <c r="J1118" s="73"/>
      <c r="K1118" s="327"/>
    </row>
    <row r="1119" customFormat="false" ht="12.75" hidden="false" customHeight="false" outlineLevel="0" collapsed="false">
      <c r="A1119" s="325"/>
      <c r="B1119" s="326"/>
      <c r="J1119" s="73"/>
      <c r="K1119" s="327"/>
    </row>
    <row r="1120" customFormat="false" ht="12.75" hidden="false" customHeight="false" outlineLevel="0" collapsed="false">
      <c r="A1120" s="325"/>
      <c r="B1120" s="326"/>
      <c r="J1120" s="73"/>
      <c r="K1120" s="327"/>
    </row>
    <row r="1121" customFormat="false" ht="12.75" hidden="false" customHeight="false" outlineLevel="0" collapsed="false">
      <c r="A1121" s="325"/>
      <c r="B1121" s="326"/>
      <c r="J1121" s="73"/>
      <c r="K1121" s="327"/>
    </row>
    <row r="1122" customFormat="false" ht="12.75" hidden="false" customHeight="false" outlineLevel="0" collapsed="false">
      <c r="A1122" s="325"/>
      <c r="B1122" s="326"/>
      <c r="J1122" s="73"/>
      <c r="K1122" s="327"/>
    </row>
    <row r="1123" customFormat="false" ht="12.75" hidden="false" customHeight="false" outlineLevel="0" collapsed="false">
      <c r="A1123" s="325"/>
      <c r="B1123" s="326"/>
      <c r="J1123" s="73"/>
      <c r="K1123" s="327"/>
    </row>
    <row r="1124" customFormat="false" ht="12.75" hidden="false" customHeight="false" outlineLevel="0" collapsed="false">
      <c r="A1124" s="325"/>
      <c r="B1124" s="326"/>
      <c r="J1124" s="73"/>
      <c r="K1124" s="327"/>
    </row>
    <row r="1125" customFormat="false" ht="12.75" hidden="false" customHeight="false" outlineLevel="0" collapsed="false">
      <c r="A1125" s="325"/>
      <c r="B1125" s="326"/>
      <c r="J1125" s="73"/>
      <c r="K1125" s="327"/>
    </row>
    <row r="1126" customFormat="false" ht="12.75" hidden="false" customHeight="false" outlineLevel="0" collapsed="false">
      <c r="A1126" s="325"/>
      <c r="B1126" s="326"/>
      <c r="J1126" s="73"/>
      <c r="K1126" s="327"/>
    </row>
    <row r="1127" customFormat="false" ht="12.75" hidden="false" customHeight="false" outlineLevel="0" collapsed="false">
      <c r="A1127" s="325"/>
      <c r="B1127" s="326"/>
      <c r="J1127" s="73"/>
      <c r="K1127" s="327"/>
    </row>
    <row r="1128" customFormat="false" ht="12.75" hidden="false" customHeight="false" outlineLevel="0" collapsed="false">
      <c r="A1128" s="325"/>
      <c r="B1128" s="326"/>
      <c r="J1128" s="73"/>
      <c r="K1128" s="327"/>
    </row>
    <row r="1129" customFormat="false" ht="12.75" hidden="false" customHeight="false" outlineLevel="0" collapsed="false">
      <c r="A1129" s="325"/>
      <c r="B1129" s="326"/>
      <c r="J1129" s="73"/>
      <c r="K1129" s="327"/>
    </row>
    <row r="1130" customFormat="false" ht="12.75" hidden="false" customHeight="false" outlineLevel="0" collapsed="false">
      <c r="A1130" s="325"/>
      <c r="B1130" s="326"/>
      <c r="J1130" s="73"/>
      <c r="K1130" s="327"/>
    </row>
    <row r="1131" customFormat="false" ht="12.75" hidden="false" customHeight="false" outlineLevel="0" collapsed="false">
      <c r="A1131" s="325"/>
      <c r="B1131" s="326"/>
      <c r="J1131" s="73"/>
      <c r="K1131" s="327"/>
    </row>
    <row r="1132" customFormat="false" ht="12.75" hidden="false" customHeight="false" outlineLevel="0" collapsed="false">
      <c r="A1132" s="325"/>
      <c r="B1132" s="326"/>
      <c r="J1132" s="73"/>
      <c r="K1132" s="327"/>
    </row>
    <row r="1133" customFormat="false" ht="12.75" hidden="false" customHeight="false" outlineLevel="0" collapsed="false">
      <c r="A1133" s="325"/>
      <c r="B1133" s="326"/>
      <c r="J1133" s="73"/>
      <c r="K1133" s="327"/>
    </row>
    <row r="1134" customFormat="false" ht="12.75" hidden="false" customHeight="false" outlineLevel="0" collapsed="false">
      <c r="A1134" s="325"/>
      <c r="B1134" s="326"/>
      <c r="J1134" s="73"/>
      <c r="K1134" s="327"/>
    </row>
    <row r="1135" customFormat="false" ht="12.75" hidden="false" customHeight="false" outlineLevel="0" collapsed="false">
      <c r="A1135" s="325"/>
      <c r="B1135" s="326"/>
      <c r="J1135" s="73"/>
      <c r="K1135" s="327"/>
    </row>
    <row r="1136" customFormat="false" ht="12.75" hidden="false" customHeight="false" outlineLevel="0" collapsed="false">
      <c r="A1136" s="325"/>
      <c r="B1136" s="326"/>
      <c r="J1136" s="73"/>
      <c r="K1136" s="327"/>
    </row>
    <row r="1137" customFormat="false" ht="12.75" hidden="false" customHeight="false" outlineLevel="0" collapsed="false">
      <c r="A1137" s="325"/>
      <c r="B1137" s="326"/>
      <c r="J1137" s="73"/>
      <c r="K1137" s="327"/>
    </row>
    <row r="1138" customFormat="false" ht="12.75" hidden="false" customHeight="false" outlineLevel="0" collapsed="false">
      <c r="A1138" s="325"/>
      <c r="B1138" s="326"/>
      <c r="J1138" s="73"/>
      <c r="K1138" s="327"/>
    </row>
    <row r="1139" customFormat="false" ht="12.75" hidden="false" customHeight="false" outlineLevel="0" collapsed="false">
      <c r="A1139" s="325"/>
      <c r="B1139" s="326"/>
      <c r="J1139" s="73"/>
      <c r="K1139" s="327"/>
    </row>
    <row r="1140" customFormat="false" ht="12.75" hidden="false" customHeight="false" outlineLevel="0" collapsed="false">
      <c r="A1140" s="325"/>
      <c r="B1140" s="326"/>
      <c r="J1140" s="73"/>
      <c r="K1140" s="327"/>
    </row>
    <row r="1141" customFormat="false" ht="12.75" hidden="false" customHeight="false" outlineLevel="0" collapsed="false">
      <c r="A1141" s="325"/>
      <c r="B1141" s="326"/>
      <c r="J1141" s="73"/>
      <c r="K1141" s="327"/>
    </row>
    <row r="1142" customFormat="false" ht="12.75" hidden="false" customHeight="false" outlineLevel="0" collapsed="false">
      <c r="A1142" s="325"/>
      <c r="B1142" s="326"/>
      <c r="J1142" s="73"/>
      <c r="K1142" s="327"/>
    </row>
    <row r="1143" customFormat="false" ht="12.75" hidden="false" customHeight="false" outlineLevel="0" collapsed="false">
      <c r="A1143" s="325"/>
      <c r="B1143" s="326"/>
      <c r="J1143" s="73"/>
      <c r="K1143" s="327"/>
    </row>
    <row r="1144" customFormat="false" ht="12.75" hidden="false" customHeight="false" outlineLevel="0" collapsed="false">
      <c r="A1144" s="325"/>
      <c r="B1144" s="326"/>
      <c r="J1144" s="73"/>
      <c r="K1144" s="327"/>
    </row>
    <row r="1145" customFormat="false" ht="12.75" hidden="false" customHeight="false" outlineLevel="0" collapsed="false">
      <c r="A1145" s="325"/>
      <c r="B1145" s="326"/>
      <c r="J1145" s="73"/>
      <c r="K1145" s="327"/>
    </row>
    <row r="1146" customFormat="false" ht="12.75" hidden="false" customHeight="false" outlineLevel="0" collapsed="false">
      <c r="A1146" s="325"/>
      <c r="B1146" s="326"/>
      <c r="J1146" s="73"/>
      <c r="K1146" s="327"/>
    </row>
    <row r="1147" customFormat="false" ht="12.75" hidden="false" customHeight="false" outlineLevel="0" collapsed="false">
      <c r="A1147" s="325"/>
      <c r="B1147" s="326"/>
      <c r="J1147" s="73"/>
      <c r="K1147" s="327"/>
    </row>
    <row r="1148" customFormat="false" ht="12.75" hidden="false" customHeight="false" outlineLevel="0" collapsed="false">
      <c r="A1148" s="325"/>
      <c r="B1148" s="326"/>
      <c r="J1148" s="73"/>
      <c r="K1148" s="327"/>
    </row>
    <row r="1149" customFormat="false" ht="12.75" hidden="false" customHeight="false" outlineLevel="0" collapsed="false">
      <c r="A1149" s="325"/>
      <c r="B1149" s="326"/>
      <c r="J1149" s="73"/>
      <c r="K1149" s="327"/>
    </row>
    <row r="1150" customFormat="false" ht="12.75" hidden="false" customHeight="false" outlineLevel="0" collapsed="false">
      <c r="A1150" s="325"/>
      <c r="B1150" s="326"/>
      <c r="J1150" s="73"/>
      <c r="K1150" s="327"/>
    </row>
    <row r="1151" customFormat="false" ht="12.75" hidden="false" customHeight="false" outlineLevel="0" collapsed="false">
      <c r="A1151" s="325"/>
      <c r="B1151" s="326"/>
      <c r="J1151" s="73"/>
      <c r="K1151" s="327"/>
    </row>
    <row r="1152" customFormat="false" ht="12.75" hidden="false" customHeight="false" outlineLevel="0" collapsed="false">
      <c r="A1152" s="325"/>
      <c r="B1152" s="326"/>
      <c r="J1152" s="73"/>
      <c r="K1152" s="327"/>
    </row>
    <row r="1153" customFormat="false" ht="12.75" hidden="false" customHeight="false" outlineLevel="0" collapsed="false">
      <c r="A1153" s="325"/>
      <c r="B1153" s="326"/>
      <c r="J1153" s="73"/>
      <c r="K1153" s="327"/>
    </row>
    <row r="1154" customFormat="false" ht="12.75" hidden="false" customHeight="false" outlineLevel="0" collapsed="false">
      <c r="A1154" s="325"/>
      <c r="B1154" s="326"/>
      <c r="J1154" s="73"/>
      <c r="K1154" s="327"/>
    </row>
    <row r="1155" customFormat="false" ht="12.75" hidden="false" customHeight="false" outlineLevel="0" collapsed="false">
      <c r="A1155" s="325"/>
      <c r="B1155" s="326"/>
      <c r="J1155" s="73"/>
      <c r="K1155" s="327"/>
    </row>
    <row r="1156" customFormat="false" ht="12.75" hidden="false" customHeight="false" outlineLevel="0" collapsed="false">
      <c r="A1156" s="325"/>
      <c r="B1156" s="326"/>
      <c r="J1156" s="73"/>
      <c r="K1156" s="327"/>
    </row>
    <row r="1157" customFormat="false" ht="12.75" hidden="false" customHeight="false" outlineLevel="0" collapsed="false">
      <c r="A1157" s="325"/>
      <c r="B1157" s="326"/>
      <c r="J1157" s="73"/>
      <c r="K1157" s="327"/>
    </row>
    <row r="1158" customFormat="false" ht="12.75" hidden="false" customHeight="false" outlineLevel="0" collapsed="false">
      <c r="A1158" s="325"/>
      <c r="B1158" s="326"/>
      <c r="J1158" s="73"/>
      <c r="K1158" s="327"/>
    </row>
    <row r="1159" customFormat="false" ht="12.75" hidden="false" customHeight="false" outlineLevel="0" collapsed="false">
      <c r="A1159" s="325"/>
      <c r="B1159" s="326"/>
      <c r="J1159" s="73"/>
      <c r="K1159" s="327"/>
    </row>
    <row r="1160" customFormat="false" ht="12.75" hidden="false" customHeight="false" outlineLevel="0" collapsed="false">
      <c r="A1160" s="325"/>
      <c r="B1160" s="326"/>
      <c r="J1160" s="73"/>
      <c r="K1160" s="327"/>
    </row>
    <row r="1161" customFormat="false" ht="12.75" hidden="false" customHeight="false" outlineLevel="0" collapsed="false">
      <c r="A1161" s="325"/>
      <c r="B1161" s="326"/>
      <c r="J1161" s="73"/>
      <c r="K1161" s="327"/>
    </row>
    <row r="1162" customFormat="false" ht="12.75" hidden="false" customHeight="false" outlineLevel="0" collapsed="false">
      <c r="A1162" s="325"/>
      <c r="B1162" s="326"/>
      <c r="J1162" s="73"/>
      <c r="K1162" s="327"/>
    </row>
    <row r="1163" customFormat="false" ht="12.75" hidden="false" customHeight="false" outlineLevel="0" collapsed="false">
      <c r="A1163" s="325"/>
      <c r="B1163" s="326"/>
      <c r="J1163" s="73"/>
      <c r="K1163" s="327"/>
    </row>
    <row r="1164" customFormat="false" ht="12.75" hidden="false" customHeight="false" outlineLevel="0" collapsed="false">
      <c r="A1164" s="325"/>
      <c r="B1164" s="326"/>
      <c r="J1164" s="73"/>
      <c r="K1164" s="327"/>
    </row>
    <row r="1165" customFormat="false" ht="12.75" hidden="false" customHeight="false" outlineLevel="0" collapsed="false">
      <c r="A1165" s="325"/>
      <c r="B1165" s="326"/>
      <c r="J1165" s="73"/>
      <c r="K1165" s="327"/>
    </row>
    <row r="1166" customFormat="false" ht="12.75" hidden="false" customHeight="false" outlineLevel="0" collapsed="false">
      <c r="A1166" s="325"/>
      <c r="B1166" s="326"/>
      <c r="J1166" s="73"/>
      <c r="K1166" s="327"/>
    </row>
    <row r="1167" customFormat="false" ht="12.75" hidden="false" customHeight="false" outlineLevel="0" collapsed="false">
      <c r="A1167" s="325"/>
      <c r="B1167" s="326"/>
      <c r="J1167" s="73"/>
      <c r="K1167" s="327"/>
    </row>
    <row r="1168" customFormat="false" ht="12.75" hidden="false" customHeight="false" outlineLevel="0" collapsed="false">
      <c r="A1168" s="325"/>
      <c r="B1168" s="326"/>
      <c r="J1168" s="73"/>
      <c r="K1168" s="327"/>
    </row>
    <row r="1169" customFormat="false" ht="12.75" hidden="false" customHeight="false" outlineLevel="0" collapsed="false">
      <c r="A1169" s="325"/>
      <c r="B1169" s="326"/>
      <c r="J1169" s="73"/>
      <c r="K1169" s="327"/>
    </row>
    <row r="1170" customFormat="false" ht="12.75" hidden="false" customHeight="false" outlineLevel="0" collapsed="false">
      <c r="A1170" s="325"/>
      <c r="B1170" s="326"/>
      <c r="J1170" s="73"/>
      <c r="K1170" s="327"/>
    </row>
    <row r="1171" customFormat="false" ht="12.75" hidden="false" customHeight="false" outlineLevel="0" collapsed="false">
      <c r="A1171" s="325"/>
      <c r="B1171" s="326"/>
      <c r="J1171" s="73"/>
      <c r="K1171" s="327"/>
    </row>
    <row r="1172" customFormat="false" ht="12.75" hidden="false" customHeight="false" outlineLevel="0" collapsed="false">
      <c r="A1172" s="325"/>
      <c r="B1172" s="326"/>
      <c r="J1172" s="73"/>
      <c r="K1172" s="327"/>
    </row>
    <row r="1173" customFormat="false" ht="12.75" hidden="false" customHeight="false" outlineLevel="0" collapsed="false">
      <c r="A1173" s="325"/>
      <c r="B1173" s="326"/>
      <c r="J1173" s="73"/>
      <c r="K1173" s="327"/>
    </row>
    <row r="1174" customFormat="false" ht="12.75" hidden="false" customHeight="false" outlineLevel="0" collapsed="false">
      <c r="A1174" s="325"/>
      <c r="B1174" s="326"/>
      <c r="J1174" s="73"/>
      <c r="K1174" s="327"/>
    </row>
    <row r="1175" customFormat="false" ht="12.75" hidden="false" customHeight="false" outlineLevel="0" collapsed="false">
      <c r="A1175" s="325"/>
      <c r="B1175" s="326"/>
      <c r="J1175" s="73"/>
      <c r="K1175" s="327"/>
    </row>
    <row r="1176" customFormat="false" ht="12.75" hidden="false" customHeight="false" outlineLevel="0" collapsed="false">
      <c r="A1176" s="325"/>
      <c r="B1176" s="326"/>
      <c r="J1176" s="73"/>
      <c r="K1176" s="327"/>
    </row>
    <row r="1177" customFormat="false" ht="12.75" hidden="false" customHeight="false" outlineLevel="0" collapsed="false">
      <c r="A1177" s="325"/>
      <c r="B1177" s="326"/>
      <c r="J1177" s="73"/>
      <c r="K1177" s="327"/>
    </row>
    <row r="1178" customFormat="false" ht="12.75" hidden="false" customHeight="false" outlineLevel="0" collapsed="false">
      <c r="A1178" s="325"/>
      <c r="B1178" s="326"/>
      <c r="J1178" s="73"/>
      <c r="K1178" s="327"/>
    </row>
    <row r="1179" customFormat="false" ht="12.75" hidden="false" customHeight="false" outlineLevel="0" collapsed="false">
      <c r="A1179" s="325"/>
      <c r="B1179" s="326"/>
      <c r="J1179" s="73"/>
      <c r="K1179" s="327"/>
    </row>
    <row r="1180" customFormat="false" ht="12.75" hidden="false" customHeight="false" outlineLevel="0" collapsed="false">
      <c r="A1180" s="325"/>
      <c r="B1180" s="326"/>
      <c r="J1180" s="73"/>
      <c r="K1180" s="327"/>
    </row>
    <row r="1181" customFormat="false" ht="12.75" hidden="false" customHeight="false" outlineLevel="0" collapsed="false">
      <c r="A1181" s="325"/>
      <c r="B1181" s="326"/>
      <c r="J1181" s="73"/>
      <c r="K1181" s="327"/>
    </row>
    <row r="1182" customFormat="false" ht="12.75" hidden="false" customHeight="false" outlineLevel="0" collapsed="false">
      <c r="A1182" s="325"/>
      <c r="B1182" s="326"/>
      <c r="J1182" s="73"/>
      <c r="K1182" s="327"/>
    </row>
    <row r="1183" customFormat="false" ht="12.75" hidden="false" customHeight="false" outlineLevel="0" collapsed="false">
      <c r="A1183" s="325"/>
      <c r="B1183" s="326"/>
      <c r="J1183" s="73"/>
      <c r="K1183" s="327"/>
    </row>
    <row r="1184" customFormat="false" ht="12.75" hidden="false" customHeight="false" outlineLevel="0" collapsed="false">
      <c r="A1184" s="325"/>
      <c r="B1184" s="326"/>
      <c r="J1184" s="73"/>
      <c r="K1184" s="327"/>
    </row>
    <row r="1185" customFormat="false" ht="12.75" hidden="false" customHeight="false" outlineLevel="0" collapsed="false">
      <c r="A1185" s="325"/>
      <c r="B1185" s="326"/>
      <c r="J1185" s="73"/>
      <c r="K1185" s="327"/>
    </row>
    <row r="1186" customFormat="false" ht="12.75" hidden="false" customHeight="false" outlineLevel="0" collapsed="false">
      <c r="A1186" s="325"/>
      <c r="B1186" s="326"/>
      <c r="J1186" s="73"/>
      <c r="K1186" s="327"/>
    </row>
    <row r="1187" customFormat="false" ht="12.75" hidden="false" customHeight="false" outlineLevel="0" collapsed="false">
      <c r="A1187" s="325"/>
      <c r="B1187" s="326"/>
      <c r="J1187" s="73"/>
      <c r="K1187" s="327"/>
    </row>
    <row r="1188" customFormat="false" ht="12.75" hidden="false" customHeight="false" outlineLevel="0" collapsed="false">
      <c r="A1188" s="325"/>
      <c r="B1188" s="326"/>
      <c r="J1188" s="73"/>
      <c r="K1188" s="327"/>
    </row>
    <row r="1189" customFormat="false" ht="12.75" hidden="false" customHeight="false" outlineLevel="0" collapsed="false">
      <c r="A1189" s="325"/>
      <c r="B1189" s="326"/>
      <c r="J1189" s="73"/>
      <c r="K1189" s="327"/>
    </row>
    <row r="1190" customFormat="false" ht="12.75" hidden="false" customHeight="false" outlineLevel="0" collapsed="false">
      <c r="A1190" s="325"/>
      <c r="B1190" s="326"/>
      <c r="J1190" s="73"/>
      <c r="K1190" s="327"/>
    </row>
    <row r="1191" customFormat="false" ht="12.75" hidden="false" customHeight="false" outlineLevel="0" collapsed="false">
      <c r="A1191" s="325"/>
      <c r="B1191" s="326"/>
      <c r="J1191" s="73"/>
      <c r="K1191" s="327"/>
    </row>
    <row r="1192" customFormat="false" ht="12.75" hidden="false" customHeight="false" outlineLevel="0" collapsed="false">
      <c r="A1192" s="325"/>
      <c r="B1192" s="326"/>
      <c r="J1192" s="73"/>
      <c r="K1192" s="327"/>
    </row>
    <row r="1193" customFormat="false" ht="12.75" hidden="false" customHeight="false" outlineLevel="0" collapsed="false">
      <c r="A1193" s="325"/>
      <c r="B1193" s="326"/>
      <c r="J1193" s="73"/>
      <c r="K1193" s="327"/>
    </row>
    <row r="1194" customFormat="false" ht="12.75" hidden="false" customHeight="false" outlineLevel="0" collapsed="false">
      <c r="A1194" s="325"/>
      <c r="B1194" s="326"/>
      <c r="J1194" s="73"/>
      <c r="K1194" s="327"/>
    </row>
    <row r="1195" customFormat="false" ht="12.75" hidden="false" customHeight="false" outlineLevel="0" collapsed="false">
      <c r="A1195" s="325"/>
      <c r="B1195" s="326"/>
      <c r="J1195" s="73"/>
      <c r="K1195" s="327"/>
    </row>
    <row r="1196" customFormat="false" ht="12.75" hidden="false" customHeight="false" outlineLevel="0" collapsed="false">
      <c r="A1196" s="325"/>
      <c r="B1196" s="326"/>
      <c r="J1196" s="73"/>
      <c r="K1196" s="327"/>
    </row>
    <row r="1197" customFormat="false" ht="12.75" hidden="false" customHeight="false" outlineLevel="0" collapsed="false">
      <c r="A1197" s="325"/>
      <c r="B1197" s="326"/>
      <c r="J1197" s="73"/>
      <c r="K1197" s="327"/>
    </row>
    <row r="1198" customFormat="false" ht="12.75" hidden="false" customHeight="false" outlineLevel="0" collapsed="false">
      <c r="A1198" s="325"/>
      <c r="B1198" s="326"/>
      <c r="J1198" s="73"/>
      <c r="K1198" s="327"/>
    </row>
    <row r="1199" customFormat="false" ht="12.75" hidden="false" customHeight="false" outlineLevel="0" collapsed="false">
      <c r="A1199" s="325"/>
      <c r="B1199" s="326"/>
      <c r="J1199" s="73"/>
      <c r="K1199" s="327"/>
    </row>
    <row r="1200" customFormat="false" ht="12.75" hidden="false" customHeight="false" outlineLevel="0" collapsed="false">
      <c r="A1200" s="325"/>
      <c r="B1200" s="326"/>
      <c r="J1200" s="73"/>
      <c r="K1200" s="327"/>
    </row>
    <row r="1201" customFormat="false" ht="12.75" hidden="false" customHeight="false" outlineLevel="0" collapsed="false">
      <c r="A1201" s="325"/>
      <c r="B1201" s="326"/>
      <c r="J1201" s="73"/>
      <c r="K1201" s="327"/>
    </row>
    <row r="1202" customFormat="false" ht="12.75" hidden="false" customHeight="false" outlineLevel="0" collapsed="false">
      <c r="A1202" s="325"/>
      <c r="B1202" s="326"/>
      <c r="J1202" s="73"/>
      <c r="K1202" s="327"/>
    </row>
    <row r="1203" customFormat="false" ht="12.75" hidden="false" customHeight="false" outlineLevel="0" collapsed="false">
      <c r="A1203" s="325"/>
      <c r="B1203" s="326"/>
      <c r="J1203" s="73"/>
      <c r="K1203" s="327"/>
    </row>
    <row r="1204" customFormat="false" ht="12.75" hidden="false" customHeight="false" outlineLevel="0" collapsed="false">
      <c r="A1204" s="325"/>
      <c r="B1204" s="326"/>
      <c r="J1204" s="73"/>
      <c r="K1204" s="327"/>
    </row>
    <row r="1205" customFormat="false" ht="12.75" hidden="false" customHeight="false" outlineLevel="0" collapsed="false">
      <c r="A1205" s="325"/>
      <c r="B1205" s="326"/>
      <c r="J1205" s="73"/>
      <c r="K1205" s="327"/>
    </row>
    <row r="1206" customFormat="false" ht="12.75" hidden="false" customHeight="false" outlineLevel="0" collapsed="false">
      <c r="A1206" s="325"/>
      <c r="B1206" s="326"/>
      <c r="J1206" s="73"/>
      <c r="K1206" s="327"/>
    </row>
    <row r="1207" customFormat="false" ht="12.75" hidden="false" customHeight="false" outlineLevel="0" collapsed="false">
      <c r="A1207" s="325"/>
      <c r="B1207" s="326"/>
      <c r="J1207" s="73"/>
      <c r="K1207" s="327"/>
    </row>
    <row r="1208" customFormat="false" ht="12.75" hidden="false" customHeight="false" outlineLevel="0" collapsed="false">
      <c r="A1208" s="325"/>
      <c r="B1208" s="326"/>
      <c r="J1208" s="73"/>
      <c r="K1208" s="327"/>
    </row>
    <row r="1209" customFormat="false" ht="12.75" hidden="false" customHeight="false" outlineLevel="0" collapsed="false">
      <c r="A1209" s="325"/>
      <c r="B1209" s="326"/>
      <c r="J1209" s="73"/>
      <c r="K1209" s="327"/>
    </row>
    <row r="1210" customFormat="false" ht="12.75" hidden="false" customHeight="false" outlineLevel="0" collapsed="false">
      <c r="A1210" s="325"/>
      <c r="B1210" s="326"/>
      <c r="J1210" s="73"/>
      <c r="K1210" s="327"/>
    </row>
    <row r="1211" customFormat="false" ht="12.75" hidden="false" customHeight="false" outlineLevel="0" collapsed="false">
      <c r="A1211" s="325"/>
      <c r="B1211" s="326"/>
      <c r="J1211" s="73"/>
      <c r="K1211" s="327"/>
    </row>
    <row r="1212" customFormat="false" ht="12.75" hidden="false" customHeight="false" outlineLevel="0" collapsed="false">
      <c r="A1212" s="325"/>
      <c r="B1212" s="326"/>
      <c r="J1212" s="73"/>
      <c r="K1212" s="327"/>
    </row>
    <row r="1213" customFormat="false" ht="12.75" hidden="false" customHeight="false" outlineLevel="0" collapsed="false">
      <c r="A1213" s="325"/>
      <c r="B1213" s="326"/>
      <c r="J1213" s="73"/>
      <c r="K1213" s="327"/>
    </row>
    <row r="1214" customFormat="false" ht="12.75" hidden="false" customHeight="false" outlineLevel="0" collapsed="false">
      <c r="A1214" s="325"/>
      <c r="B1214" s="326"/>
      <c r="J1214" s="73"/>
      <c r="K1214" s="327"/>
    </row>
    <row r="1215" customFormat="false" ht="12.75" hidden="false" customHeight="false" outlineLevel="0" collapsed="false">
      <c r="A1215" s="325"/>
      <c r="B1215" s="326"/>
      <c r="J1215" s="73"/>
      <c r="K1215" s="327"/>
    </row>
    <row r="1216" customFormat="false" ht="12.75" hidden="false" customHeight="false" outlineLevel="0" collapsed="false">
      <c r="A1216" s="325"/>
      <c r="B1216" s="326"/>
      <c r="J1216" s="73"/>
      <c r="K1216" s="327"/>
    </row>
    <row r="1217" customFormat="false" ht="12.75" hidden="false" customHeight="false" outlineLevel="0" collapsed="false">
      <c r="A1217" s="325"/>
      <c r="B1217" s="326"/>
      <c r="J1217" s="73"/>
      <c r="K1217" s="327"/>
    </row>
    <row r="1218" customFormat="false" ht="12.75" hidden="false" customHeight="false" outlineLevel="0" collapsed="false">
      <c r="A1218" s="325"/>
      <c r="B1218" s="326"/>
      <c r="J1218" s="73"/>
      <c r="K1218" s="327"/>
    </row>
    <row r="1219" customFormat="false" ht="12.75" hidden="false" customHeight="false" outlineLevel="0" collapsed="false">
      <c r="A1219" s="325"/>
      <c r="B1219" s="326"/>
      <c r="J1219" s="73"/>
      <c r="K1219" s="327"/>
    </row>
    <row r="1220" customFormat="false" ht="12.75" hidden="false" customHeight="false" outlineLevel="0" collapsed="false">
      <c r="A1220" s="325"/>
      <c r="B1220" s="326"/>
      <c r="J1220" s="73"/>
      <c r="K1220" s="327"/>
    </row>
    <row r="1221" customFormat="false" ht="12.75" hidden="false" customHeight="false" outlineLevel="0" collapsed="false">
      <c r="A1221" s="325"/>
      <c r="B1221" s="326"/>
      <c r="J1221" s="73"/>
      <c r="K1221" s="327"/>
    </row>
    <row r="1222" customFormat="false" ht="12.75" hidden="false" customHeight="false" outlineLevel="0" collapsed="false">
      <c r="A1222" s="325"/>
      <c r="B1222" s="326"/>
      <c r="J1222" s="73"/>
      <c r="K1222" s="327"/>
    </row>
    <row r="1223" customFormat="false" ht="12.75" hidden="false" customHeight="false" outlineLevel="0" collapsed="false">
      <c r="A1223" s="325"/>
      <c r="B1223" s="326"/>
      <c r="J1223" s="73"/>
      <c r="K1223" s="327"/>
    </row>
    <row r="1224" customFormat="false" ht="12.75" hidden="false" customHeight="false" outlineLevel="0" collapsed="false">
      <c r="A1224" s="325"/>
      <c r="B1224" s="326"/>
      <c r="J1224" s="73"/>
      <c r="K1224" s="327"/>
    </row>
    <row r="1225" customFormat="false" ht="12.75" hidden="false" customHeight="false" outlineLevel="0" collapsed="false">
      <c r="A1225" s="325"/>
      <c r="B1225" s="326"/>
      <c r="J1225" s="73"/>
      <c r="K1225" s="327"/>
    </row>
    <row r="1226" customFormat="false" ht="12.75" hidden="false" customHeight="false" outlineLevel="0" collapsed="false">
      <c r="A1226" s="325"/>
      <c r="B1226" s="326"/>
      <c r="J1226" s="73"/>
      <c r="K1226" s="327"/>
    </row>
    <row r="1227" customFormat="false" ht="12.75" hidden="false" customHeight="false" outlineLevel="0" collapsed="false">
      <c r="A1227" s="325"/>
      <c r="B1227" s="326"/>
      <c r="J1227" s="73"/>
      <c r="K1227" s="327"/>
    </row>
    <row r="1228" customFormat="false" ht="12.75" hidden="false" customHeight="false" outlineLevel="0" collapsed="false">
      <c r="A1228" s="325"/>
      <c r="B1228" s="326"/>
      <c r="J1228" s="73"/>
      <c r="K1228" s="327"/>
    </row>
    <row r="1229" customFormat="false" ht="12.75" hidden="false" customHeight="false" outlineLevel="0" collapsed="false">
      <c r="A1229" s="325"/>
      <c r="B1229" s="326"/>
      <c r="J1229" s="73"/>
      <c r="K1229" s="327"/>
    </row>
    <row r="1230" customFormat="false" ht="12.75" hidden="false" customHeight="false" outlineLevel="0" collapsed="false">
      <c r="A1230" s="325"/>
      <c r="B1230" s="326"/>
      <c r="J1230" s="73"/>
      <c r="K1230" s="327"/>
    </row>
    <row r="1231" customFormat="false" ht="12.75" hidden="false" customHeight="false" outlineLevel="0" collapsed="false">
      <c r="A1231" s="325"/>
      <c r="B1231" s="326"/>
      <c r="J1231" s="73"/>
      <c r="K1231" s="327"/>
    </row>
    <row r="1232" customFormat="false" ht="12.75" hidden="false" customHeight="false" outlineLevel="0" collapsed="false">
      <c r="A1232" s="325"/>
      <c r="B1232" s="326"/>
      <c r="J1232" s="73"/>
      <c r="K1232" s="327"/>
    </row>
    <row r="1233" customFormat="false" ht="12.75" hidden="false" customHeight="false" outlineLevel="0" collapsed="false">
      <c r="A1233" s="325"/>
      <c r="B1233" s="326"/>
      <c r="J1233" s="73"/>
      <c r="K1233" s="327"/>
    </row>
    <row r="1234" customFormat="false" ht="12.75" hidden="false" customHeight="false" outlineLevel="0" collapsed="false">
      <c r="A1234" s="325"/>
      <c r="B1234" s="326"/>
      <c r="J1234" s="73"/>
      <c r="K1234" s="327"/>
    </row>
    <row r="1235" customFormat="false" ht="12.75" hidden="false" customHeight="false" outlineLevel="0" collapsed="false">
      <c r="A1235" s="325"/>
      <c r="B1235" s="326"/>
      <c r="J1235" s="73"/>
      <c r="K1235" s="327"/>
    </row>
    <row r="1236" customFormat="false" ht="12.75" hidden="false" customHeight="false" outlineLevel="0" collapsed="false">
      <c r="A1236" s="325"/>
      <c r="B1236" s="326"/>
      <c r="J1236" s="73"/>
      <c r="K1236" s="327"/>
    </row>
    <row r="1237" customFormat="false" ht="12.75" hidden="false" customHeight="false" outlineLevel="0" collapsed="false">
      <c r="A1237" s="325"/>
      <c r="B1237" s="326"/>
      <c r="J1237" s="73"/>
      <c r="K1237" s="327"/>
    </row>
    <row r="1238" customFormat="false" ht="12.75" hidden="false" customHeight="false" outlineLevel="0" collapsed="false">
      <c r="A1238" s="325"/>
      <c r="B1238" s="326"/>
      <c r="J1238" s="73"/>
      <c r="K1238" s="327"/>
    </row>
    <row r="1239" customFormat="false" ht="12.75" hidden="false" customHeight="false" outlineLevel="0" collapsed="false">
      <c r="A1239" s="325"/>
      <c r="B1239" s="326"/>
      <c r="J1239" s="73"/>
      <c r="K1239" s="327"/>
    </row>
    <row r="1240" customFormat="false" ht="12.75" hidden="false" customHeight="false" outlineLevel="0" collapsed="false">
      <c r="A1240" s="325"/>
      <c r="B1240" s="326"/>
      <c r="J1240" s="73"/>
      <c r="K1240" s="327"/>
    </row>
    <row r="1241" customFormat="false" ht="12.75" hidden="false" customHeight="false" outlineLevel="0" collapsed="false">
      <c r="A1241" s="325"/>
      <c r="B1241" s="326"/>
      <c r="J1241" s="73"/>
      <c r="K1241" s="327"/>
    </row>
    <row r="1242" customFormat="false" ht="12.75" hidden="false" customHeight="false" outlineLevel="0" collapsed="false">
      <c r="A1242" s="325"/>
      <c r="B1242" s="326"/>
      <c r="J1242" s="73"/>
      <c r="K1242" s="327"/>
    </row>
    <row r="1243" customFormat="false" ht="12.75" hidden="false" customHeight="false" outlineLevel="0" collapsed="false">
      <c r="A1243" s="325"/>
      <c r="B1243" s="326"/>
      <c r="J1243" s="73"/>
      <c r="K1243" s="327"/>
    </row>
    <row r="1244" customFormat="false" ht="12.75" hidden="false" customHeight="false" outlineLevel="0" collapsed="false">
      <c r="A1244" s="325"/>
      <c r="B1244" s="326"/>
      <c r="J1244" s="73"/>
      <c r="K1244" s="327"/>
    </row>
    <row r="1245" customFormat="false" ht="12.75" hidden="false" customHeight="false" outlineLevel="0" collapsed="false">
      <c r="A1245" s="325"/>
      <c r="B1245" s="326"/>
      <c r="J1245" s="73"/>
      <c r="K1245" s="327"/>
    </row>
    <row r="1246" customFormat="false" ht="12.75" hidden="false" customHeight="false" outlineLevel="0" collapsed="false">
      <c r="A1246" s="325"/>
      <c r="B1246" s="326"/>
      <c r="J1246" s="73"/>
      <c r="K1246" s="327"/>
    </row>
    <row r="1247" customFormat="false" ht="12.75" hidden="false" customHeight="false" outlineLevel="0" collapsed="false">
      <c r="A1247" s="325"/>
      <c r="B1247" s="326"/>
      <c r="J1247" s="73"/>
      <c r="K1247" s="327"/>
    </row>
    <row r="1248" customFormat="false" ht="12.75" hidden="false" customHeight="false" outlineLevel="0" collapsed="false">
      <c r="A1248" s="325"/>
      <c r="B1248" s="326"/>
      <c r="J1248" s="73"/>
      <c r="K1248" s="327"/>
    </row>
    <row r="1249" customFormat="false" ht="12.75" hidden="false" customHeight="false" outlineLevel="0" collapsed="false">
      <c r="A1249" s="325"/>
      <c r="B1249" s="326"/>
      <c r="J1249" s="73"/>
      <c r="K1249" s="327"/>
    </row>
    <row r="1250" customFormat="false" ht="12.75" hidden="false" customHeight="false" outlineLevel="0" collapsed="false">
      <c r="A1250" s="325"/>
      <c r="B1250" s="326"/>
      <c r="J1250" s="73"/>
      <c r="K1250" s="327"/>
    </row>
    <row r="1251" customFormat="false" ht="12.75" hidden="false" customHeight="false" outlineLevel="0" collapsed="false">
      <c r="A1251" s="325"/>
      <c r="B1251" s="326"/>
      <c r="J1251" s="73"/>
      <c r="K1251" s="327"/>
    </row>
    <row r="1252" customFormat="false" ht="12.75" hidden="false" customHeight="false" outlineLevel="0" collapsed="false">
      <c r="A1252" s="325"/>
      <c r="B1252" s="326"/>
      <c r="J1252" s="73"/>
      <c r="K1252" s="327"/>
    </row>
    <row r="1253" customFormat="false" ht="12.75" hidden="false" customHeight="false" outlineLevel="0" collapsed="false">
      <c r="A1253" s="325"/>
      <c r="B1253" s="326"/>
      <c r="J1253" s="73"/>
      <c r="K1253" s="327"/>
    </row>
    <row r="1254" customFormat="false" ht="12.75" hidden="false" customHeight="false" outlineLevel="0" collapsed="false">
      <c r="A1254" s="325"/>
      <c r="B1254" s="326"/>
      <c r="J1254" s="73"/>
      <c r="K1254" s="327"/>
    </row>
    <row r="1255" customFormat="false" ht="12.75" hidden="false" customHeight="false" outlineLevel="0" collapsed="false">
      <c r="A1255" s="325"/>
      <c r="B1255" s="326"/>
      <c r="J1255" s="73"/>
      <c r="K1255" s="327"/>
    </row>
  </sheetData>
  <mergeCells count="5">
    <mergeCell ref="A1:B1"/>
    <mergeCell ref="C1:K1"/>
    <mergeCell ref="L1:T1"/>
    <mergeCell ref="U1:AE1"/>
    <mergeCell ref="AF1:AM1"/>
  </mergeCells>
  <printOptions headings="false" gridLines="false" gridLinesSet="true" horizontalCentered="false" verticalCentered="false"/>
  <pageMargins left="0.25" right="0.25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144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H2" activeCellId="0" sqref="H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  <col collapsed="false" customWidth="true" hidden="false" outlineLevel="0" max="2" min="2" style="0" width="9.56"/>
    <col collapsed="false" customWidth="true" hidden="false" outlineLevel="0" max="4" min="4" style="0" width="10.13"/>
    <col collapsed="false" customWidth="true" hidden="false" outlineLevel="0" max="11" min="11" style="0" width="9.85"/>
    <col collapsed="false" customWidth="true" hidden="false" outlineLevel="0" max="33" min="33" style="0" width="5.41"/>
    <col collapsed="false" customWidth="true" hidden="false" outlineLevel="0" max="34" min="34" style="0" width="4.28"/>
    <col collapsed="false" customWidth="true" hidden="false" outlineLevel="0" max="35" min="35" style="0" width="5.85"/>
    <col collapsed="false" customWidth="true" hidden="false" outlineLevel="0" max="36" min="36" style="0" width="3.7"/>
    <col collapsed="false" customWidth="true" hidden="false" outlineLevel="0" max="37" min="37" style="0" width="4.85"/>
    <col collapsed="false" customWidth="true" hidden="false" outlineLevel="0" max="38" min="38" style="0" width="7.56"/>
    <col collapsed="false" customWidth="true" hidden="false" outlineLevel="0" max="39" min="39" style="328" width="10.13"/>
    <col collapsed="false" customWidth="true" hidden="false" outlineLevel="0" max="40" min="40" style="0" width="2.56"/>
    <col collapsed="false" customWidth="true" hidden="false" outlineLevel="0" max="41" min="41" style="0" width="17.7"/>
    <col collapsed="false" customWidth="true" hidden="false" outlineLevel="0" max="42" min="42" style="0" width="3.28"/>
    <col collapsed="false" customWidth="true" hidden="false" outlineLevel="0" max="43" min="43" style="329" width="9.14"/>
    <col collapsed="false" customWidth="true" hidden="false" outlineLevel="0" max="44" min="44" style="0" width="1.85"/>
    <col collapsed="false" customWidth="true" hidden="false" outlineLevel="0" max="45" min="45" style="0" width="21.28"/>
    <col collapsed="false" customWidth="true" hidden="false" outlineLevel="0" max="46" min="46" style="0" width="3.99"/>
    <col collapsed="false" customWidth="true" hidden="false" outlineLevel="0" max="47" min="47" style="328" width="7.42"/>
    <col collapsed="false" customWidth="true" hidden="false" outlineLevel="0" max="48" min="48" style="0" width="3.56"/>
    <col collapsed="false" customWidth="true" hidden="false" outlineLevel="0" max="49" min="49" style="0" width="14.7"/>
    <col collapsed="false" customWidth="true" hidden="false" outlineLevel="0" max="50" min="50" style="0" width="3.14"/>
    <col collapsed="false" customWidth="true" hidden="false" outlineLevel="0" max="51" min="51" style="62" width="10.56"/>
    <col collapsed="false" customWidth="true" hidden="false" outlineLevel="0" max="52" min="52" style="0" width="3.56"/>
    <col collapsed="false" customWidth="true" hidden="false" outlineLevel="0" max="53" min="53" style="0" width="21.42"/>
    <col collapsed="false" customWidth="true" hidden="false" outlineLevel="0" max="54" min="54" style="0" width="2.7"/>
    <col collapsed="false" customWidth="true" hidden="false" outlineLevel="0" max="55" min="55" style="328" width="9.28"/>
    <col collapsed="false" customWidth="true" hidden="false" outlineLevel="0" max="56" min="56" style="0" width="2.84"/>
    <col collapsed="false" customWidth="true" hidden="false" outlineLevel="0" max="57" min="57" style="0" width="21.42"/>
    <col collapsed="false" customWidth="true" hidden="false" outlineLevel="0" max="58" min="58" style="0" width="2.99"/>
    <col collapsed="false" customWidth="true" hidden="false" outlineLevel="0" max="59" min="59" style="0" width="4.99"/>
    <col collapsed="false" customWidth="true" hidden="false" outlineLevel="0" max="60" min="60" style="0" width="1.99"/>
    <col collapsed="false" customWidth="true" hidden="false" outlineLevel="0" max="61" min="61" style="0" width="18.41"/>
  </cols>
  <sheetData>
    <row r="1" customFormat="false" ht="12.75" hidden="false" customHeight="false" outlineLevel="0" collapsed="false">
      <c r="A1" s="330" t="s">
        <v>1302</v>
      </c>
      <c r="G1" s="331" t="s">
        <v>1303</v>
      </c>
      <c r="H1" s="331" t="s">
        <v>1304</v>
      </c>
      <c r="AI1" s="161" t="s">
        <v>1278</v>
      </c>
    </row>
    <row r="2" customFormat="false" ht="12.75" hidden="false" customHeight="false" outlineLevel="0" collapsed="false">
      <c r="A2" s="332"/>
      <c r="B2" s="333" t="s">
        <v>66</v>
      </c>
      <c r="C2" s="333" t="s">
        <v>67</v>
      </c>
      <c r="D2" s="332"/>
      <c r="E2" s="332"/>
      <c r="G2" s="334" t="s">
        <v>1305</v>
      </c>
      <c r="H2" s="335" t="n">
        <f aca="false">IF(N13=2,AVERAGE(B14:M29),AVERAGE(B13:M28))</f>
        <v>1.00001500065403</v>
      </c>
      <c r="I2" s="332"/>
      <c r="J2" s="332"/>
      <c r="K2" s="332"/>
      <c r="L2" s="332"/>
      <c r="M2" s="332"/>
      <c r="N2" s="332"/>
      <c r="O2" s="311"/>
      <c r="P2" s="311"/>
      <c r="AG2" s="311" t="s">
        <v>1287</v>
      </c>
      <c r="AH2" s="311" t="s">
        <v>1280</v>
      </c>
      <c r="AI2" s="312" t="s">
        <v>1281</v>
      </c>
      <c r="AJ2" s="311" t="s">
        <v>1306</v>
      </c>
      <c r="AK2" s="311" t="s">
        <v>1283</v>
      </c>
      <c r="AL2" s="311"/>
      <c r="AM2" s="419"/>
      <c r="AN2" s="62"/>
      <c r="AO2" s="341"/>
      <c r="AP2" s="341"/>
      <c r="AQ2" s="413"/>
      <c r="AR2" s="62"/>
      <c r="AS2" s="62"/>
      <c r="AT2" s="62"/>
      <c r="AU2" s="406"/>
      <c r="AV2" s="62"/>
      <c r="AW2" s="62"/>
      <c r="AX2" s="62"/>
      <c r="AZ2" s="62"/>
      <c r="BA2" s="62"/>
      <c r="BB2" s="62"/>
      <c r="BC2" s="406"/>
      <c r="BD2" s="62"/>
      <c r="BE2" s="62"/>
      <c r="BF2" s="62"/>
      <c r="BG2" s="62"/>
      <c r="BH2" s="62"/>
      <c r="BI2" s="62"/>
      <c r="BJ2" s="62"/>
    </row>
    <row r="3" customFormat="false" ht="12.75" hidden="false" customHeight="false" outlineLevel="0" collapsed="false">
      <c r="A3" s="333" t="s">
        <v>47</v>
      </c>
      <c r="B3" s="338" t="n">
        <f aca="false">IF(N13=2,A14,A13)</f>
        <v>700</v>
      </c>
      <c r="C3" s="338" t="n">
        <f aca="false">IF(N29=1,A29,A28)</f>
        <v>2200</v>
      </c>
      <c r="D3" s="332"/>
      <c r="E3" s="332"/>
      <c r="G3" s="334" t="s">
        <v>1307</v>
      </c>
      <c r="H3" s="335" t="n">
        <f aca="false">AVERAGE(B7:M30)</f>
        <v>1.00000856196963</v>
      </c>
      <c r="I3" s="332"/>
      <c r="J3" s="332"/>
      <c r="K3" s="332"/>
      <c r="L3" s="332"/>
      <c r="M3" s="332"/>
      <c r="N3" s="332"/>
      <c r="O3" s="311"/>
      <c r="P3" s="311"/>
      <c r="AG3" s="311" t="s">
        <v>1300</v>
      </c>
      <c r="AH3" s="311" t="s">
        <v>1300</v>
      </c>
      <c r="AI3" s="312" t="s">
        <v>1301</v>
      </c>
      <c r="AJ3" s="311"/>
      <c r="AK3" s="311"/>
      <c r="AL3" s="311"/>
      <c r="AM3" s="419"/>
      <c r="AN3" s="341"/>
      <c r="AO3" s="412"/>
      <c r="AP3" s="341"/>
      <c r="AQ3" s="413"/>
      <c r="AR3" s="345"/>
      <c r="AS3" s="414"/>
      <c r="AT3" s="414"/>
      <c r="AU3" s="406"/>
      <c r="AV3" s="345"/>
      <c r="AW3" s="345"/>
      <c r="AX3" s="345"/>
      <c r="AY3" s="406"/>
      <c r="AZ3" s="345"/>
      <c r="BA3" s="345"/>
      <c r="BB3" s="345"/>
      <c r="BC3" s="406"/>
      <c r="BD3" s="345"/>
      <c r="BE3" s="345"/>
      <c r="BF3" s="345"/>
      <c r="BG3" s="406"/>
      <c r="BH3" s="345"/>
      <c r="BI3" s="345"/>
      <c r="BJ3" s="415"/>
    </row>
    <row r="4" customFormat="false" ht="12.75" hidden="false" customHeight="false" outlineLevel="0" collapsed="false">
      <c r="A4" s="348"/>
      <c r="B4" s="349" t="s">
        <v>1316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50"/>
      <c r="O4" s="351" t="s">
        <v>1317</v>
      </c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F4" s="352" t="n">
        <v>36557</v>
      </c>
      <c r="AG4" s="311" t="n">
        <v>21</v>
      </c>
      <c r="AH4" s="311" t="n">
        <v>4</v>
      </c>
      <c r="AI4" s="311" t="n">
        <v>4</v>
      </c>
      <c r="AJ4" s="311" t="n">
        <v>0</v>
      </c>
      <c r="AK4" s="311" t="n">
        <v>29</v>
      </c>
      <c r="AL4" s="311"/>
      <c r="AM4" s="419"/>
      <c r="AN4" s="355"/>
      <c r="AO4" s="243"/>
      <c r="AP4" s="355"/>
      <c r="AQ4" s="416"/>
      <c r="AR4" s="345"/>
      <c r="AS4" s="106"/>
      <c r="AT4" s="106"/>
      <c r="AU4" s="406"/>
      <c r="AV4" s="345"/>
      <c r="AW4" s="362"/>
      <c r="AX4" s="362"/>
      <c r="AY4" s="362"/>
      <c r="AZ4" s="345"/>
      <c r="BA4" s="362"/>
      <c r="BB4" s="362"/>
      <c r="BC4" s="406"/>
      <c r="BD4" s="345"/>
      <c r="BE4" s="362"/>
      <c r="BF4" s="362"/>
      <c r="BG4" s="62"/>
      <c r="BH4" s="345"/>
      <c r="BI4" s="345"/>
      <c r="BJ4" s="415"/>
    </row>
    <row r="5" customFormat="false" ht="12.75" hidden="false" customHeight="false" outlineLevel="0" collapsed="false">
      <c r="A5" s="365"/>
      <c r="B5" s="366" t="n">
        <v>1</v>
      </c>
      <c r="C5" s="366" t="n">
        <v>2</v>
      </c>
      <c r="D5" s="366" t="n">
        <v>3</v>
      </c>
      <c r="E5" s="366" t="n">
        <v>4</v>
      </c>
      <c r="F5" s="366" t="n">
        <v>5</v>
      </c>
      <c r="G5" s="366" t="n">
        <v>6</v>
      </c>
      <c r="H5" s="366" t="n">
        <v>7</v>
      </c>
      <c r="I5" s="366" t="n">
        <v>8</v>
      </c>
      <c r="J5" s="366" t="n">
        <v>9</v>
      </c>
      <c r="K5" s="366" t="n">
        <v>10</v>
      </c>
      <c r="L5" s="366" t="n">
        <v>11</v>
      </c>
      <c r="M5" s="366" t="n">
        <v>12</v>
      </c>
      <c r="N5" s="365"/>
      <c r="O5" s="367" t="n">
        <v>1</v>
      </c>
      <c r="P5" s="366" t="n">
        <v>2</v>
      </c>
      <c r="Q5" s="366" t="n">
        <v>3</v>
      </c>
      <c r="R5" s="366" t="n">
        <v>4</v>
      </c>
      <c r="S5" s="366" t="n">
        <v>5</v>
      </c>
      <c r="T5" s="366" t="n">
        <v>6</v>
      </c>
      <c r="U5" s="366" t="n">
        <v>7</v>
      </c>
      <c r="V5" s="366" t="n">
        <v>8</v>
      </c>
      <c r="W5" s="366" t="n">
        <v>9</v>
      </c>
      <c r="X5" s="366" t="n">
        <v>10</v>
      </c>
      <c r="Y5" s="366" t="n">
        <v>11</v>
      </c>
      <c r="Z5" s="368" t="n">
        <v>12</v>
      </c>
      <c r="AF5" s="352" t="n">
        <v>36586</v>
      </c>
      <c r="AG5" s="311" t="n">
        <v>23</v>
      </c>
      <c r="AH5" s="311" t="n">
        <v>4</v>
      </c>
      <c r="AI5" s="311" t="n">
        <v>4</v>
      </c>
      <c r="AJ5" s="311" t="n">
        <v>0</v>
      </c>
      <c r="AK5" s="311" t="n">
        <v>31</v>
      </c>
      <c r="AL5" s="311"/>
      <c r="AM5" s="419"/>
      <c r="AN5" s="355"/>
      <c r="AO5" s="243"/>
      <c r="AP5" s="355"/>
      <c r="AQ5" s="413"/>
      <c r="AR5" s="345"/>
      <c r="AS5" s="106"/>
      <c r="AT5" s="106"/>
      <c r="AU5" s="406"/>
      <c r="AV5" s="345"/>
      <c r="AW5" s="362"/>
      <c r="AX5" s="362"/>
      <c r="AY5" s="362"/>
      <c r="AZ5" s="345"/>
      <c r="BA5" s="362"/>
      <c r="BB5" s="362"/>
      <c r="BC5" s="406"/>
      <c r="BD5" s="345"/>
      <c r="BE5" s="362"/>
      <c r="BF5" s="362"/>
      <c r="BG5" s="62"/>
      <c r="BH5" s="345"/>
      <c r="BI5" s="345"/>
      <c r="BJ5" s="415"/>
    </row>
    <row r="6" customFormat="false" ht="12.75" hidden="false" customHeight="false" outlineLevel="0" collapsed="false">
      <c r="A6" s="333" t="s">
        <v>95</v>
      </c>
      <c r="B6" s="370" t="s">
        <v>1329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 t="s">
        <v>96</v>
      </c>
      <c r="O6" s="371"/>
      <c r="P6" s="372"/>
      <c r="Q6" s="116"/>
      <c r="R6" s="116"/>
      <c r="S6" s="116"/>
      <c r="T6" s="116"/>
      <c r="U6" s="116"/>
      <c r="V6" s="116"/>
      <c r="W6" s="116"/>
      <c r="X6" s="116"/>
      <c r="Y6" s="116"/>
      <c r="Z6" s="295"/>
      <c r="AF6" s="352" t="n">
        <v>36617</v>
      </c>
      <c r="AG6" s="311" t="n">
        <v>20</v>
      </c>
      <c r="AH6" s="311" t="n">
        <v>5</v>
      </c>
      <c r="AI6" s="311" t="n">
        <v>5</v>
      </c>
      <c r="AJ6" s="311" t="n">
        <v>0</v>
      </c>
      <c r="AK6" s="311" t="n">
        <v>30</v>
      </c>
      <c r="AL6" s="311"/>
      <c r="AM6" s="419"/>
      <c r="AN6" s="355"/>
      <c r="AO6" s="243"/>
      <c r="AP6" s="355"/>
      <c r="AQ6" s="413"/>
      <c r="AR6" s="345"/>
      <c r="AS6" s="106"/>
      <c r="AT6" s="106"/>
      <c r="AU6" s="406"/>
      <c r="AV6" s="345"/>
      <c r="AW6" s="362"/>
      <c r="AX6" s="362"/>
      <c r="AY6" s="362"/>
      <c r="AZ6" s="345"/>
      <c r="BA6" s="362"/>
      <c r="BB6" s="362"/>
      <c r="BC6" s="406"/>
      <c r="BD6" s="345"/>
      <c r="BE6" s="362"/>
      <c r="BF6" s="362"/>
      <c r="BG6" s="62"/>
      <c r="BH6" s="62"/>
      <c r="BI6" s="62"/>
      <c r="BJ6" s="62"/>
    </row>
    <row r="7" customFormat="false" ht="12.75" hidden="false" customHeight="false" outlineLevel="0" collapsed="false">
      <c r="A7" s="332" t="n">
        <v>100</v>
      </c>
      <c r="B7" s="373" t="n">
        <f aca="false">'Power Curves'!AT21</f>
        <v>0.95</v>
      </c>
      <c r="C7" s="373" t="n">
        <f aca="false">'Power Curves'!AU21</f>
        <v>0.95</v>
      </c>
      <c r="D7" s="373" t="n">
        <f aca="false">'Power Curves'!AV21</f>
        <v>0.970407745105669</v>
      </c>
      <c r="E7" s="373" t="n">
        <f aca="false">'Power Curves'!AW21</f>
        <v>0.995812581084143</v>
      </c>
      <c r="F7" s="373" t="n">
        <f aca="false">'Power Curves'!AX21</f>
        <v>0.934833865798727</v>
      </c>
      <c r="G7" s="373" t="n">
        <f aca="false">'Power Curves'!AY21</f>
        <v>1.02</v>
      </c>
      <c r="H7" s="373" t="n">
        <f aca="false">'Power Curves'!AZ21</f>
        <v>1.10934059893359</v>
      </c>
      <c r="I7" s="373" t="n">
        <f aca="false">'Power Curves'!BA21</f>
        <v>1.10934059893359</v>
      </c>
      <c r="J7" s="373" t="n">
        <f aca="false">'Power Curves'!BB21</f>
        <v>1.02</v>
      </c>
      <c r="K7" s="373" t="n">
        <f aca="false">'Power Curves'!BC21</f>
        <v>0.995812581084143</v>
      </c>
      <c r="L7" s="373" t="n">
        <f aca="false">'Power Curves'!BD21</f>
        <v>0.976</v>
      </c>
      <c r="M7" s="373" t="n">
        <f aca="false">'Power Curves'!BE21</f>
        <v>0.976</v>
      </c>
      <c r="N7" s="374" t="n">
        <f aca="false">VALUE('Power Curves'!BF21)</f>
        <v>2</v>
      </c>
      <c r="O7" s="371" t="n">
        <f aca="false">IF(AND($N7=1,$N14=1),AVERAGE(B7:B14),0)</f>
        <v>0</v>
      </c>
      <c r="P7" s="372" t="n">
        <f aca="false">IF(AND($N7=1,$N14=1),AVERAGE(C7:C14),0)</f>
        <v>0</v>
      </c>
      <c r="Q7" s="372" t="n">
        <f aca="false">IF(AND($N7=1,$N14=1),AVERAGE(D7:D14),0)</f>
        <v>0</v>
      </c>
      <c r="R7" s="372" t="n">
        <f aca="false">IF(AND($N7=1,$N14=1),AVERAGE(E7:E14),0)</f>
        <v>0</v>
      </c>
      <c r="S7" s="372" t="n">
        <f aca="false">IF(AND($N7=1,$N14=1),AVERAGE(F7:F14),0)</f>
        <v>0</v>
      </c>
      <c r="T7" s="372" t="n">
        <f aca="false">IF(AND($N7=1,$N14=1),AVERAGE(G7:G14),0)</f>
        <v>0</v>
      </c>
      <c r="U7" s="372" t="n">
        <f aca="false">IF(AND($N7=1,$N14=1),AVERAGE(H7:H14),0)</f>
        <v>0</v>
      </c>
      <c r="V7" s="372" t="n">
        <f aca="false">IF(AND($N7=1,$N14=1),AVERAGE(I7:I14),0)</f>
        <v>0</v>
      </c>
      <c r="W7" s="372" t="n">
        <f aca="false">IF(AND($N7=1,$N14=1),AVERAGE(J7:J14),0)</f>
        <v>0</v>
      </c>
      <c r="X7" s="372" t="n">
        <f aca="false">IF(AND($N7=1,$N14=1),AVERAGE(K7:K14),0)</f>
        <v>0</v>
      </c>
      <c r="Y7" s="372" t="n">
        <f aca="false">IF(AND($N7=1,$N14=1),AVERAGE(L7:L14),0)</f>
        <v>0</v>
      </c>
      <c r="Z7" s="375" t="n">
        <f aca="false">IF(AND($N7=1,$N14=1),AVERAGE(M7:M14),0)</f>
        <v>0</v>
      </c>
      <c r="AF7" s="352" t="n">
        <v>36647</v>
      </c>
      <c r="AG7" s="311" t="n">
        <v>22</v>
      </c>
      <c r="AH7" s="311" t="n">
        <v>4</v>
      </c>
      <c r="AI7" s="311" t="n">
        <v>5</v>
      </c>
      <c r="AJ7" s="311" t="n">
        <v>1</v>
      </c>
      <c r="AK7" s="311" t="n">
        <v>31</v>
      </c>
      <c r="AL7" s="311"/>
      <c r="AM7" s="419"/>
      <c r="AN7" s="355"/>
      <c r="AO7" s="243"/>
      <c r="AP7" s="355"/>
      <c r="AQ7" s="413"/>
      <c r="AR7" s="345"/>
      <c r="AS7" s="106"/>
      <c r="AT7" s="106"/>
      <c r="AU7" s="406"/>
      <c r="AV7" s="62"/>
      <c r="AW7" s="62"/>
      <c r="AX7" s="62"/>
      <c r="AZ7" s="119"/>
      <c r="BA7" s="119"/>
      <c r="BB7" s="119"/>
      <c r="BC7" s="406"/>
      <c r="BD7" s="119"/>
      <c r="BE7" s="119"/>
      <c r="BF7" s="119"/>
      <c r="BG7" s="62"/>
      <c r="BH7" s="62"/>
      <c r="BI7" s="62"/>
      <c r="BJ7" s="415"/>
    </row>
    <row r="8" customFormat="false" ht="12.75" hidden="false" customHeight="false" outlineLevel="0" collapsed="false">
      <c r="A8" s="332" t="n">
        <v>200</v>
      </c>
      <c r="B8" s="373" t="n">
        <f aca="false">'Power Curves'!AT22</f>
        <v>0.9</v>
      </c>
      <c r="C8" s="373" t="n">
        <f aca="false">'Power Curves'!AU22</f>
        <v>0.9</v>
      </c>
      <c r="D8" s="373" t="n">
        <f aca="false">'Power Curves'!AV22</f>
        <v>0.934329009710238</v>
      </c>
      <c r="E8" s="373" t="n">
        <f aca="false">'Power Curves'!AW22</f>
        <v>0.867490109934275</v>
      </c>
      <c r="F8" s="373" t="n">
        <f aca="false">'Power Curves'!AX22</f>
        <v>0.93</v>
      </c>
      <c r="G8" s="373" t="n">
        <f aca="false">'Power Curves'!AY22</f>
        <v>0.95</v>
      </c>
      <c r="H8" s="373" t="n">
        <f aca="false">'Power Curves'!AZ22</f>
        <v>0.940393910647401</v>
      </c>
      <c r="I8" s="373" t="n">
        <f aca="false">'Power Curves'!BA22</f>
        <v>0.940393910647401</v>
      </c>
      <c r="J8" s="373" t="n">
        <f aca="false">'Power Curves'!BB22</f>
        <v>0.95</v>
      </c>
      <c r="K8" s="373" t="n">
        <f aca="false">'Power Curves'!BC22</f>
        <v>0.867490109934275</v>
      </c>
      <c r="L8" s="373" t="n">
        <f aca="false">'Power Curves'!BD22</f>
        <v>0.9</v>
      </c>
      <c r="M8" s="373" t="n">
        <f aca="false">'Power Curves'!BE22</f>
        <v>0.9</v>
      </c>
      <c r="N8" s="374" t="n">
        <f aca="false">VALUE('Power Curves'!BF22)</f>
        <v>2</v>
      </c>
      <c r="O8" s="371" t="n">
        <f aca="false">IF(AND($N8=1,$N15=1),AVERAGE(B8:B15),0)</f>
        <v>0</v>
      </c>
      <c r="P8" s="372" t="n">
        <f aca="false">IF(AND($N8=1,$N15=1),AVERAGE(C8:C15),0)</f>
        <v>0</v>
      </c>
      <c r="Q8" s="372" t="n">
        <f aca="false">IF(AND($N8=1,$N15=1),AVERAGE(D8:D15),0)</f>
        <v>0</v>
      </c>
      <c r="R8" s="372" t="n">
        <f aca="false">IF(AND($N8=1,$N15=1),AVERAGE(E8:E15),0)</f>
        <v>0</v>
      </c>
      <c r="S8" s="372" t="n">
        <f aca="false">IF(AND($N8=1,$N15=1),AVERAGE(F8:F15),0)</f>
        <v>0</v>
      </c>
      <c r="T8" s="372" t="n">
        <f aca="false">IF(AND($N8=1,$N15=1),AVERAGE(G8:G15),0)</f>
        <v>0</v>
      </c>
      <c r="U8" s="372" t="n">
        <f aca="false">IF(AND($N8=1,$N15=1),AVERAGE(H8:H15),0)</f>
        <v>0</v>
      </c>
      <c r="V8" s="372" t="n">
        <f aca="false">IF(AND($N8=1,$N15=1),AVERAGE(I8:I15),0)</f>
        <v>0</v>
      </c>
      <c r="W8" s="372" t="n">
        <f aca="false">IF(AND($N8=1,$N15=1),AVERAGE(J8:J15),0)</f>
        <v>0</v>
      </c>
      <c r="X8" s="372" t="n">
        <f aca="false">IF(AND($N8=1,$N15=1),AVERAGE(K8:K15),0)</f>
        <v>0</v>
      </c>
      <c r="Y8" s="372" t="n">
        <f aca="false">IF(AND($N8=1,$N15=1),AVERAGE(L8:L15),0)</f>
        <v>0</v>
      </c>
      <c r="Z8" s="375" t="n">
        <f aca="false">IF(AND($N8=1,$N15=1),AVERAGE(M8:M15),0)</f>
        <v>0</v>
      </c>
      <c r="AF8" s="352" t="n">
        <v>36678</v>
      </c>
      <c r="AG8" s="311" t="n">
        <v>22</v>
      </c>
      <c r="AH8" s="311" t="n">
        <v>4</v>
      </c>
      <c r="AI8" s="311" t="n">
        <v>4</v>
      </c>
      <c r="AJ8" s="311" t="n">
        <v>0</v>
      </c>
      <c r="AK8" s="311" t="n">
        <v>30</v>
      </c>
      <c r="AL8" s="311"/>
      <c r="AM8" s="419"/>
      <c r="AN8" s="62"/>
      <c r="AO8" s="341"/>
      <c r="AP8" s="341"/>
      <c r="AQ8" s="413"/>
      <c r="AR8" s="345"/>
      <c r="AS8" s="106"/>
      <c r="AT8" s="106"/>
      <c r="AU8" s="406"/>
      <c r="AV8" s="345"/>
      <c r="AW8" s="345"/>
      <c r="AX8" s="345"/>
      <c r="AY8" s="345"/>
      <c r="AZ8" s="119"/>
      <c r="BA8" s="62"/>
      <c r="BB8" s="62"/>
      <c r="BC8" s="406"/>
      <c r="BD8" s="345"/>
      <c r="BE8" s="345"/>
      <c r="BF8" s="345"/>
      <c r="BG8" s="62"/>
      <c r="BH8" s="62"/>
      <c r="BI8" s="62"/>
      <c r="BJ8" s="62"/>
    </row>
    <row r="9" customFormat="false" ht="12.75" hidden="false" customHeight="false" outlineLevel="0" collapsed="false">
      <c r="A9" s="332" t="n">
        <v>300</v>
      </c>
      <c r="B9" s="373" t="n">
        <f aca="false">'Power Curves'!AT23</f>
        <v>0.9</v>
      </c>
      <c r="C9" s="373" t="n">
        <f aca="false">'Power Curves'!AU23</f>
        <v>0.9</v>
      </c>
      <c r="D9" s="373" t="n">
        <f aca="false">'Power Curves'!AV23</f>
        <v>0.931716331023903</v>
      </c>
      <c r="E9" s="373" t="n">
        <f aca="false">'Power Curves'!AW23</f>
        <v>0.829968217715179</v>
      </c>
      <c r="F9" s="373" t="n">
        <f aca="false">'Power Curves'!AX23</f>
        <v>0.93</v>
      </c>
      <c r="G9" s="373" t="n">
        <f aca="false">'Power Curves'!AY23</f>
        <v>0.9</v>
      </c>
      <c r="H9" s="373" t="n">
        <f aca="false">'Power Curves'!AZ23</f>
        <v>0.833717786208317</v>
      </c>
      <c r="I9" s="373" t="n">
        <f aca="false">'Power Curves'!BA23</f>
        <v>0.833717786208317</v>
      </c>
      <c r="J9" s="373" t="n">
        <f aca="false">'Power Curves'!BB23</f>
        <v>0.9</v>
      </c>
      <c r="K9" s="373" t="n">
        <f aca="false">'Power Curves'!BC23</f>
        <v>0.829968217715179</v>
      </c>
      <c r="L9" s="373" t="n">
        <f aca="false">'Power Curves'!BD23</f>
        <v>0.9</v>
      </c>
      <c r="M9" s="373" t="n">
        <f aca="false">'Power Curves'!BE23</f>
        <v>0.9</v>
      </c>
      <c r="N9" s="374" t="n">
        <f aca="false">VALUE('Power Curves'!BF23)</f>
        <v>2</v>
      </c>
      <c r="O9" s="371" t="n">
        <f aca="false">IF(AND($N9=1,$N16=1),AVERAGE(B9:B16),0)</f>
        <v>0</v>
      </c>
      <c r="P9" s="372" t="n">
        <f aca="false">IF(AND($N9=1,$N16=1),AVERAGE(C9:C16),0)</f>
        <v>0</v>
      </c>
      <c r="Q9" s="372" t="n">
        <f aca="false">IF(AND($N9=1,$N16=1),AVERAGE(D9:D16),0)</f>
        <v>0</v>
      </c>
      <c r="R9" s="372" t="n">
        <f aca="false">IF(AND($N9=1,$N16=1),AVERAGE(E9:E16),0)</f>
        <v>0</v>
      </c>
      <c r="S9" s="372" t="n">
        <f aca="false">IF(AND($N9=1,$N16=1),AVERAGE(F9:F16),0)</f>
        <v>0</v>
      </c>
      <c r="T9" s="372" t="n">
        <f aca="false">IF(AND($N9=1,$N16=1),AVERAGE(G9:G16),0)</f>
        <v>0</v>
      </c>
      <c r="U9" s="372" t="n">
        <f aca="false">IF(AND($N9=1,$N16=1),AVERAGE(H9:H16),0)</f>
        <v>0</v>
      </c>
      <c r="V9" s="372" t="n">
        <f aca="false">IF(AND($N9=1,$N16=1),AVERAGE(I9:I16),0)</f>
        <v>0</v>
      </c>
      <c r="W9" s="372" t="n">
        <f aca="false">IF(AND($N9=1,$N16=1),AVERAGE(J9:J16),0)</f>
        <v>0</v>
      </c>
      <c r="X9" s="372" t="n">
        <f aca="false">IF(AND($N9=1,$N16=1),AVERAGE(K9:K16),0)</f>
        <v>0</v>
      </c>
      <c r="Y9" s="372" t="n">
        <f aca="false">IF(AND($N9=1,$N16=1),AVERAGE(L9:L16),0)</f>
        <v>0</v>
      </c>
      <c r="Z9" s="375" t="n">
        <f aca="false">IF(AND($N9=1,$N16=1),AVERAGE(M9:M16),0)</f>
        <v>0</v>
      </c>
      <c r="AF9" s="352" t="n">
        <v>36708</v>
      </c>
      <c r="AG9" s="311" t="n">
        <v>20</v>
      </c>
      <c r="AH9" s="311" t="n">
        <v>5</v>
      </c>
      <c r="AI9" s="311" t="n">
        <v>6</v>
      </c>
      <c r="AJ9" s="311" t="n">
        <v>1</v>
      </c>
      <c r="AK9" s="311" t="n">
        <v>31</v>
      </c>
      <c r="AL9" s="311"/>
      <c r="AM9" s="419"/>
      <c r="AN9" s="341"/>
      <c r="AO9" s="412"/>
      <c r="AP9" s="341"/>
      <c r="AQ9" s="417"/>
      <c r="AR9" s="345"/>
      <c r="AS9" s="106"/>
      <c r="AT9" s="106"/>
      <c r="AU9" s="406"/>
      <c r="AV9" s="345"/>
      <c r="AW9" s="362"/>
      <c r="AX9" s="362"/>
      <c r="AY9" s="362"/>
      <c r="AZ9" s="119"/>
      <c r="BA9" s="62"/>
      <c r="BB9" s="62"/>
      <c r="BC9" s="406"/>
      <c r="BD9" s="345"/>
      <c r="BE9" s="362"/>
      <c r="BF9" s="362"/>
      <c r="BG9" s="62"/>
      <c r="BH9" s="62"/>
      <c r="BI9" s="62"/>
      <c r="BJ9" s="62"/>
    </row>
    <row r="10" customFormat="false" ht="12.75" hidden="false" customHeight="false" outlineLevel="0" collapsed="false">
      <c r="A10" s="332" t="n">
        <v>400</v>
      </c>
      <c r="B10" s="373" t="n">
        <f aca="false">'Power Curves'!AT24</f>
        <v>0.9</v>
      </c>
      <c r="C10" s="373" t="n">
        <f aca="false">'Power Curves'!AU24</f>
        <v>0.9</v>
      </c>
      <c r="D10" s="373" t="n">
        <f aca="false">'Power Curves'!AV24</f>
        <v>0.931716331023903</v>
      </c>
      <c r="E10" s="373" t="n">
        <f aca="false">'Power Curves'!AW24</f>
        <v>0.829968217715179</v>
      </c>
      <c r="F10" s="373" t="n">
        <f aca="false">'Power Curves'!AX24</f>
        <v>0.936</v>
      </c>
      <c r="G10" s="373" t="n">
        <f aca="false">'Power Curves'!AY24</f>
        <v>0.85</v>
      </c>
      <c r="H10" s="373" t="n">
        <f aca="false">'Power Curves'!AZ24</f>
        <v>0.795557301903125</v>
      </c>
      <c r="I10" s="373" t="n">
        <f aca="false">'Power Curves'!BA24</f>
        <v>0.795557301903125</v>
      </c>
      <c r="J10" s="373" t="n">
        <f aca="false">'Power Curves'!BB24</f>
        <v>0.85</v>
      </c>
      <c r="K10" s="373" t="n">
        <f aca="false">'Power Curves'!BC24</f>
        <v>0.829968217715179</v>
      </c>
      <c r="L10" s="373" t="n">
        <f aca="false">'Power Curves'!BD24</f>
        <v>0.9</v>
      </c>
      <c r="M10" s="373" t="n">
        <f aca="false">'Power Curves'!BE24</f>
        <v>0.9</v>
      </c>
      <c r="N10" s="374" t="n">
        <f aca="false">VALUE('Power Curves'!BF24)</f>
        <v>2</v>
      </c>
      <c r="O10" s="371" t="n">
        <f aca="false">IF(AND($N10=1,$N17=1),AVERAGE(B10:B17),0)</f>
        <v>0</v>
      </c>
      <c r="P10" s="372" t="n">
        <f aca="false">IF(AND($N10=1,$N17=1),AVERAGE(C10:C17),0)</f>
        <v>0</v>
      </c>
      <c r="Q10" s="372" t="n">
        <f aca="false">IF(AND($N10=1,$N17=1),AVERAGE(D10:D17),0)</f>
        <v>0</v>
      </c>
      <c r="R10" s="372" t="n">
        <f aca="false">IF(AND($N10=1,$N17=1),AVERAGE(E10:E17),0)</f>
        <v>0</v>
      </c>
      <c r="S10" s="372" t="n">
        <f aca="false">IF(AND($N10=1,$N17=1),AVERAGE(F10:F17),0)</f>
        <v>0</v>
      </c>
      <c r="T10" s="372" t="n">
        <f aca="false">IF(AND($N10=1,$N17=1),AVERAGE(G10:G17),0)</f>
        <v>0</v>
      </c>
      <c r="U10" s="372" t="n">
        <f aca="false">IF(AND($N10=1,$N17=1),AVERAGE(H10:H17),0)</f>
        <v>0</v>
      </c>
      <c r="V10" s="372" t="n">
        <f aca="false">IF(AND($N10=1,$N17=1),AVERAGE(I10:I17),0)</f>
        <v>0</v>
      </c>
      <c r="W10" s="372" t="n">
        <f aca="false">IF(AND($N10=1,$N17=1),AVERAGE(J10:J17),0)</f>
        <v>0</v>
      </c>
      <c r="X10" s="372" t="n">
        <f aca="false">IF(AND($N10=1,$N17=1),AVERAGE(K10:K17),0)</f>
        <v>0</v>
      </c>
      <c r="Y10" s="372" t="n">
        <f aca="false">IF(AND($N10=1,$N17=1),AVERAGE(L10:L17),0)</f>
        <v>0</v>
      </c>
      <c r="Z10" s="375" t="n">
        <f aca="false">IF(AND($N10=1,$N17=1),AVERAGE(M10:M17),0)</f>
        <v>0</v>
      </c>
      <c r="AF10" s="352" t="n">
        <v>36739</v>
      </c>
      <c r="AG10" s="311" t="n">
        <v>23</v>
      </c>
      <c r="AH10" s="311" t="n">
        <v>4</v>
      </c>
      <c r="AI10" s="311" t="n">
        <v>4</v>
      </c>
      <c r="AJ10" s="311" t="n">
        <v>0</v>
      </c>
      <c r="AK10" s="311" t="n">
        <v>31</v>
      </c>
      <c r="AL10" s="311"/>
      <c r="AM10" s="419"/>
      <c r="AN10" s="355"/>
      <c r="AO10" s="243"/>
      <c r="AP10" s="341"/>
      <c r="AQ10" s="417"/>
      <c r="AR10" s="345"/>
      <c r="AS10" s="106"/>
      <c r="AT10" s="106"/>
      <c r="AU10" s="406"/>
      <c r="AV10" s="345"/>
      <c r="AW10" s="362"/>
      <c r="AX10" s="362"/>
      <c r="AY10" s="362"/>
      <c r="AZ10" s="345"/>
      <c r="BA10" s="345"/>
      <c r="BB10" s="345"/>
      <c r="BC10" s="406"/>
      <c r="BD10" s="345"/>
      <c r="BE10" s="362"/>
      <c r="BF10" s="362"/>
      <c r="BG10" s="62"/>
      <c r="BH10" s="62"/>
      <c r="BI10" s="243"/>
      <c r="BJ10" s="418"/>
    </row>
    <row r="11" customFormat="false" ht="12.75" hidden="false" customHeight="false" outlineLevel="0" collapsed="false">
      <c r="A11" s="332" t="n">
        <v>500</v>
      </c>
      <c r="B11" s="373" t="n">
        <f aca="false">'Power Curves'!AT25</f>
        <v>1</v>
      </c>
      <c r="C11" s="373" t="n">
        <f aca="false">'Power Curves'!AU25</f>
        <v>1</v>
      </c>
      <c r="D11" s="373" t="n">
        <f aca="false">'Power Curves'!AV25</f>
        <v>0.961008684423147</v>
      </c>
      <c r="E11" s="373" t="n">
        <f aca="false">'Power Curves'!AW25</f>
        <v>0.904126416732948</v>
      </c>
      <c r="F11" s="373" t="n">
        <f aca="false">'Power Curves'!AX25</f>
        <v>0.96</v>
      </c>
      <c r="G11" s="373" t="n">
        <f aca="false">'Power Curves'!AY25</f>
        <v>0.895</v>
      </c>
      <c r="H11" s="373" t="n">
        <f aca="false">'Power Curves'!AZ25</f>
        <v>0.813654783608707</v>
      </c>
      <c r="I11" s="373" t="n">
        <f aca="false">'Power Curves'!BA25</f>
        <v>0.813654783608707</v>
      </c>
      <c r="J11" s="373" t="n">
        <f aca="false">'Power Curves'!BB25</f>
        <v>0.895</v>
      </c>
      <c r="K11" s="373" t="n">
        <f aca="false">'Power Curves'!BC25</f>
        <v>0.904126416732948</v>
      </c>
      <c r="L11" s="373" t="n">
        <f aca="false">'Power Curves'!BD25</f>
        <v>0.95</v>
      </c>
      <c r="M11" s="373" t="n">
        <f aca="false">'Power Curves'!BE25</f>
        <v>0.95</v>
      </c>
      <c r="N11" s="374" t="n">
        <f aca="false">VALUE('Power Curves'!BF25)</f>
        <v>2</v>
      </c>
      <c r="O11" s="371" t="n">
        <f aca="false">IF(AND($N11=1,$N18=1),AVERAGE(B11:B18),0)</f>
        <v>0</v>
      </c>
      <c r="P11" s="372" t="n">
        <f aca="false">IF(AND($N11=1,$N18=1),AVERAGE(C11:C18),0)</f>
        <v>0</v>
      </c>
      <c r="Q11" s="372" t="n">
        <f aca="false">IF(AND($N11=1,$N18=1),AVERAGE(D11:D18),0)</f>
        <v>0</v>
      </c>
      <c r="R11" s="372" t="n">
        <f aca="false">IF(AND($N11=1,$N18=1),AVERAGE(E11:E18),0)</f>
        <v>0</v>
      </c>
      <c r="S11" s="372" t="n">
        <f aca="false">IF(AND($N11=1,$N18=1),AVERAGE(F11:F18),0)</f>
        <v>0</v>
      </c>
      <c r="T11" s="372" t="n">
        <f aca="false">IF(AND($N11=1,$N18=1),AVERAGE(G11:G18),0)</f>
        <v>0</v>
      </c>
      <c r="U11" s="372" t="n">
        <f aca="false">IF(AND($N11=1,$N18=1),AVERAGE(H11:H18),0)</f>
        <v>0</v>
      </c>
      <c r="V11" s="372" t="n">
        <f aca="false">IF(AND($N11=1,$N18=1),AVERAGE(I11:I18),0)</f>
        <v>0</v>
      </c>
      <c r="W11" s="372" t="n">
        <f aca="false">IF(AND($N11=1,$N18=1),AVERAGE(J11:J18),0)</f>
        <v>0</v>
      </c>
      <c r="X11" s="372" t="n">
        <f aca="false">IF(AND($N11=1,$N18=1),AVERAGE(K11:K18),0)</f>
        <v>0</v>
      </c>
      <c r="Y11" s="372" t="n">
        <f aca="false">IF(AND($N11=1,$N18=1),AVERAGE(L11:L18),0)</f>
        <v>0</v>
      </c>
      <c r="Z11" s="375" t="n">
        <f aca="false">IF(AND($N11=1,$N18=1),AVERAGE(M11:M18),0)</f>
        <v>0</v>
      </c>
      <c r="AF11" s="352" t="n">
        <v>36770</v>
      </c>
      <c r="AG11" s="311" t="n">
        <v>20</v>
      </c>
      <c r="AH11" s="311" t="n">
        <v>5</v>
      </c>
      <c r="AI11" s="311" t="n">
        <v>5</v>
      </c>
      <c r="AJ11" s="311" t="n">
        <v>1</v>
      </c>
      <c r="AK11" s="311" t="n">
        <v>30</v>
      </c>
      <c r="AL11" s="311"/>
      <c r="AM11" s="419"/>
      <c r="AN11" s="355"/>
      <c r="AO11" s="243"/>
      <c r="AP11" s="341"/>
      <c r="AQ11" s="417"/>
      <c r="AR11" s="345"/>
      <c r="AS11" s="106"/>
      <c r="AT11" s="106"/>
      <c r="AU11" s="406"/>
      <c r="AV11" s="345"/>
      <c r="AW11" s="362"/>
      <c r="AX11" s="362"/>
      <c r="AY11" s="362"/>
      <c r="AZ11" s="345"/>
      <c r="BA11" s="362"/>
      <c r="BB11" s="362"/>
      <c r="BC11" s="406"/>
      <c r="BD11" s="345"/>
      <c r="BE11" s="362"/>
      <c r="BF11" s="362"/>
      <c r="BG11" s="119"/>
      <c r="BH11" s="62"/>
      <c r="BI11" s="62"/>
      <c r="BJ11" s="62"/>
    </row>
    <row r="12" customFormat="false" ht="12.75" hidden="false" customHeight="false" outlineLevel="0" collapsed="false">
      <c r="A12" s="332" t="n">
        <v>600</v>
      </c>
      <c r="B12" s="373" t="n">
        <f aca="false">'Power Curves'!AT26</f>
        <v>1.35</v>
      </c>
      <c r="C12" s="373" t="n">
        <f aca="false">'Power Curves'!AU26</f>
        <v>1.35</v>
      </c>
      <c r="D12" s="373" t="n">
        <f aca="false">'Power Curves'!AV26</f>
        <v>1.06600068971274</v>
      </c>
      <c r="E12" s="373" t="n">
        <f aca="false">'Power Curves'!AW26</f>
        <v>1.15346940651923</v>
      </c>
      <c r="F12" s="373" t="n">
        <f aca="false">'Power Curves'!AX26</f>
        <v>1.2</v>
      </c>
      <c r="G12" s="373" t="n">
        <f aca="false">'Power Curves'!AY26</f>
        <v>0.92</v>
      </c>
      <c r="H12" s="373" t="n">
        <f aca="false">'Power Curves'!AZ26</f>
        <v>1.021367977662</v>
      </c>
      <c r="I12" s="373" t="n">
        <f aca="false">'Power Curves'!BA26</f>
        <v>1.021367977662</v>
      </c>
      <c r="J12" s="373" t="n">
        <f aca="false">'Power Curves'!BB26</f>
        <v>0.92</v>
      </c>
      <c r="K12" s="373" t="n">
        <f aca="false">'Power Curves'!BC26</f>
        <v>1.15346940651923</v>
      </c>
      <c r="L12" s="373" t="n">
        <f aca="false">'Power Curves'!BD26</f>
        <v>1.2</v>
      </c>
      <c r="M12" s="373" t="n">
        <f aca="false">'Power Curves'!BE26</f>
        <v>1.15</v>
      </c>
      <c r="N12" s="374" t="n">
        <f aca="false">VALUE('Power Curves'!BF26)</f>
        <v>2</v>
      </c>
      <c r="O12" s="371" t="n">
        <f aca="false">IF(AND($N12=1,$N19=1),AVERAGE(B12:B19),0)</f>
        <v>0</v>
      </c>
      <c r="P12" s="372" t="n">
        <f aca="false">IF(AND($N12=1,$N19=1),AVERAGE(C12:C19),0)</f>
        <v>0</v>
      </c>
      <c r="Q12" s="372" t="n">
        <f aca="false">IF(AND($N12=1,$N19=1),AVERAGE(D12:D19),0)</f>
        <v>0</v>
      </c>
      <c r="R12" s="372" t="n">
        <f aca="false">IF(AND($N12=1,$N19=1),AVERAGE(E12:E19),0)</f>
        <v>0</v>
      </c>
      <c r="S12" s="372" t="n">
        <f aca="false">IF(AND($N12=1,$N19=1),AVERAGE(F12:F19),0)</f>
        <v>0</v>
      </c>
      <c r="T12" s="372" t="n">
        <f aca="false">IF(AND($N12=1,$N19=1),AVERAGE(G12:G19),0)</f>
        <v>0</v>
      </c>
      <c r="U12" s="372" t="n">
        <f aca="false">IF(AND($N12=1,$N19=1),AVERAGE(H12:H19),0)</f>
        <v>0</v>
      </c>
      <c r="V12" s="372" t="n">
        <f aca="false">IF(AND($N12=1,$N19=1),AVERAGE(I12:I19),0)</f>
        <v>0</v>
      </c>
      <c r="W12" s="372" t="n">
        <f aca="false">IF(AND($N12=1,$N19=1),AVERAGE(J12:J19),0)</f>
        <v>0</v>
      </c>
      <c r="X12" s="372" t="n">
        <f aca="false">IF(AND($N12=1,$N19=1),AVERAGE(K12:K19),0)</f>
        <v>0</v>
      </c>
      <c r="Y12" s="372" t="n">
        <f aca="false">IF(AND($N12=1,$N19=1),AVERAGE(L12:L19),0)</f>
        <v>0</v>
      </c>
      <c r="Z12" s="375" t="n">
        <f aca="false">IF(AND($N12=1,$N19=1),AVERAGE(M12:M19),0)</f>
        <v>0</v>
      </c>
      <c r="AF12" s="352" t="n">
        <v>36800</v>
      </c>
      <c r="AG12" s="311" t="n">
        <v>22</v>
      </c>
      <c r="AH12" s="311" t="n">
        <v>4</v>
      </c>
      <c r="AI12" s="311" t="n">
        <v>5</v>
      </c>
      <c r="AJ12" s="311" t="n">
        <v>0</v>
      </c>
      <c r="AK12" s="311" t="n">
        <v>31</v>
      </c>
      <c r="AL12" s="311"/>
      <c r="AM12" s="419"/>
      <c r="AN12" s="355"/>
      <c r="AO12" s="243"/>
      <c r="AP12" s="62"/>
      <c r="AQ12" s="417"/>
      <c r="AR12" s="345"/>
      <c r="AS12" s="106"/>
      <c r="AT12" s="106"/>
      <c r="AU12" s="406"/>
      <c r="AV12" s="62"/>
      <c r="AW12" s="62"/>
      <c r="AX12" s="62"/>
      <c r="AZ12" s="345"/>
      <c r="BA12" s="362"/>
      <c r="BB12" s="362"/>
      <c r="BC12" s="406"/>
      <c r="BD12" s="362"/>
      <c r="BE12" s="362"/>
      <c r="BF12" s="362"/>
      <c r="BG12" s="119"/>
      <c r="BH12" s="62"/>
      <c r="BI12" s="62"/>
      <c r="BJ12" s="62"/>
    </row>
    <row r="13" customFormat="false" ht="12.75" hidden="false" customHeight="false" outlineLevel="0" collapsed="false">
      <c r="A13" s="332" t="n">
        <v>700</v>
      </c>
      <c r="B13" s="373" t="n">
        <f aca="false">'Power Curves'!AT27</f>
        <v>1.35</v>
      </c>
      <c r="C13" s="373" t="n">
        <f aca="false">'Power Curves'!AU27</f>
        <v>1.35</v>
      </c>
      <c r="D13" s="373" t="n">
        <f aca="false">'Power Curves'!AV27</f>
        <v>1.1561</v>
      </c>
      <c r="E13" s="373" t="n">
        <f aca="false">'Power Curves'!AW27</f>
        <v>1.22</v>
      </c>
      <c r="F13" s="373" t="n">
        <f aca="false">'Power Curves'!AX27</f>
        <v>0.85</v>
      </c>
      <c r="G13" s="373" t="n">
        <f aca="false">'Power Curves'!AY27</f>
        <v>0.47</v>
      </c>
      <c r="H13" s="373" t="n">
        <f aca="false">'Power Curves'!AZ27</f>
        <v>0.37</v>
      </c>
      <c r="I13" s="373" t="n">
        <f aca="false">'Power Curves'!BA27</f>
        <v>0.37</v>
      </c>
      <c r="J13" s="373" t="n">
        <f aca="false">'Power Curves'!BB27</f>
        <v>0.45</v>
      </c>
      <c r="K13" s="373" t="n">
        <f aca="false">'Power Curves'!BC27</f>
        <v>1.22</v>
      </c>
      <c r="L13" s="373" t="n">
        <f aca="false">'Power Curves'!BD27</f>
        <v>0.8</v>
      </c>
      <c r="M13" s="373" t="n">
        <f aca="false">'Power Curves'!BE27</f>
        <v>1</v>
      </c>
      <c r="N13" s="374" t="n">
        <f aca="false">VALUE('Power Curves'!BF27)</f>
        <v>1</v>
      </c>
      <c r="O13" s="371" t="n">
        <f aca="false">IF(AND($N13=1,$N20=1),AVERAGE(B13:B20),0)</f>
        <v>1.02007383501259</v>
      </c>
      <c r="P13" s="372" t="n">
        <f aca="false">IF(AND($N13=1,$N20=1),AVERAGE(C13:C20),0)</f>
        <v>1.02007383501259</v>
      </c>
      <c r="Q13" s="372" t="n">
        <f aca="false">IF(AND($N13=1,$N20=1),AVERAGE(D13:D20),0)</f>
        <v>1.0173448699422</v>
      </c>
      <c r="R13" s="372" t="n">
        <f aca="false">IF(AND($N13=1,$N20=1),AVERAGE(E13:E20),0)</f>
        <v>1.005</v>
      </c>
      <c r="S13" s="372" t="n">
        <f aca="false">IF(AND($N13=1,$N20=1),AVERAGE(F13:F20),0)</f>
        <v>0.9509375</v>
      </c>
      <c r="T13" s="372" t="n">
        <f aca="false">IF(AND($N13=1,$N20=1),AVERAGE(G13:G20),0)</f>
        <v>0.735</v>
      </c>
      <c r="U13" s="372" t="n">
        <f aca="false">IF(AND($N13=1,$N20=1),AVERAGE(H13:H20),0)</f>
        <v>0.685</v>
      </c>
      <c r="V13" s="372" t="n">
        <f aca="false">IF(AND($N13=1,$N20=1),AVERAGE(I13:I20),0)</f>
        <v>0.685</v>
      </c>
      <c r="W13" s="372" t="n">
        <f aca="false">IF(AND($N13=1,$N20=1),AVERAGE(J13:J20),0)</f>
        <v>0.706343865313653</v>
      </c>
      <c r="X13" s="372" t="n">
        <f aca="false">IF(AND($N13=1,$N20=1),AVERAGE(K13:K20),0)</f>
        <v>1.005</v>
      </c>
      <c r="Y13" s="372" t="n">
        <f aca="false">IF(AND($N13=1,$N20=1),AVERAGE(L13:L20),0)</f>
        <v>0.917568493150685</v>
      </c>
      <c r="Z13" s="375" t="n">
        <f aca="false">IF(AND($N13=1,$N20=1),AVERAGE(M13:M20),0)</f>
        <v>0.978755993150685</v>
      </c>
      <c r="AF13" s="352" t="n">
        <v>36831</v>
      </c>
      <c r="AG13" s="311" t="n">
        <v>21</v>
      </c>
      <c r="AH13" s="311" t="n">
        <v>4</v>
      </c>
      <c r="AI13" s="311" t="n">
        <v>5</v>
      </c>
      <c r="AJ13" s="311" t="n">
        <v>1</v>
      </c>
      <c r="AK13" s="311" t="n">
        <v>30</v>
      </c>
      <c r="AL13" s="311"/>
      <c r="AM13" s="419"/>
      <c r="AN13" s="355"/>
      <c r="AO13" s="243"/>
      <c r="AP13" s="341"/>
      <c r="AQ13" s="417"/>
      <c r="AR13" s="62"/>
      <c r="AS13" s="62"/>
      <c r="AT13" s="62"/>
      <c r="AU13" s="406"/>
      <c r="AV13" s="345"/>
      <c r="AW13" s="345"/>
      <c r="AX13" s="345"/>
      <c r="AY13" s="345"/>
      <c r="AZ13" s="345"/>
      <c r="BA13" s="362"/>
      <c r="BB13" s="362"/>
      <c r="BC13" s="406"/>
      <c r="BD13" s="345"/>
      <c r="BE13" s="345"/>
      <c r="BF13" s="345"/>
      <c r="BG13" s="119"/>
      <c r="BH13" s="62"/>
      <c r="BI13" s="62"/>
      <c r="BJ13" s="62"/>
    </row>
    <row r="14" customFormat="false" ht="12.75" hidden="false" customHeight="false" outlineLevel="0" collapsed="false">
      <c r="A14" s="332" t="n">
        <v>800</v>
      </c>
      <c r="B14" s="373" t="n">
        <f aca="false">'Power Curves'!AT28</f>
        <v>1.3485</v>
      </c>
      <c r="C14" s="373" t="n">
        <f aca="false">'Power Curves'!AU28</f>
        <v>1.3485</v>
      </c>
      <c r="D14" s="373" t="n">
        <f aca="false">'Power Curves'!AV28</f>
        <v>1.2485549132948</v>
      </c>
      <c r="E14" s="373" t="n">
        <f aca="false">'Power Curves'!AW28</f>
        <v>1.22</v>
      </c>
      <c r="F14" s="373" t="n">
        <f aca="false">'Power Curves'!AX28</f>
        <v>0.9175</v>
      </c>
      <c r="G14" s="373" t="n">
        <f aca="false">'Power Curves'!AY28</f>
        <v>0.47</v>
      </c>
      <c r="H14" s="373" t="n">
        <f aca="false">'Power Curves'!AZ28</f>
        <v>0.37</v>
      </c>
      <c r="I14" s="373" t="n">
        <f aca="false">'Power Curves'!BA28</f>
        <v>0.37</v>
      </c>
      <c r="J14" s="373" t="n">
        <f aca="false">'Power Curves'!BB28</f>
        <v>0.531365313653137</v>
      </c>
      <c r="K14" s="373" t="n">
        <f aca="false">'Power Curves'!BC28</f>
        <v>1.22</v>
      </c>
      <c r="L14" s="373" t="n">
        <f aca="false">'Power Curves'!BD28</f>
        <v>1.15</v>
      </c>
      <c r="M14" s="373" t="n">
        <f aca="false">'Power Curves'!BE28</f>
        <v>1.2545</v>
      </c>
      <c r="N14" s="374" t="n">
        <f aca="false">VALUE('Power Curves'!BF28)</f>
        <v>1</v>
      </c>
      <c r="O14" s="371" t="n">
        <f aca="false">IF(AND($N14=1,$N21=1),AVERAGE(B14:B21),0)</f>
        <v>0.938823835012595</v>
      </c>
      <c r="P14" s="372" t="n">
        <f aca="false">IF(AND($N14=1,$N21=1),AVERAGE(C14:C21),0)</f>
        <v>0.938823835012595</v>
      </c>
      <c r="Q14" s="372" t="n">
        <f aca="false">IF(AND($N14=1,$N21=1),AVERAGE(D14:D21),0)</f>
        <v>0.976878612716763</v>
      </c>
      <c r="R14" s="372" t="n">
        <f aca="false">IF(AND($N14=1,$N21=1),AVERAGE(E14:E21),0)</f>
        <v>0.9625</v>
      </c>
      <c r="S14" s="372" t="n">
        <f aca="false">IF(AND($N14=1,$N21=1),AVERAGE(F14:F21),0)</f>
        <v>0.9759375</v>
      </c>
      <c r="T14" s="372" t="n">
        <f aca="false">IF(AND($N14=1,$N21=1),AVERAGE(G14:G21),0)</f>
        <v>0.8675</v>
      </c>
      <c r="U14" s="372" t="n">
        <f aca="false">IF(AND($N14=1,$N21=1),AVERAGE(H14:H21),0)</f>
        <v>0.8425</v>
      </c>
      <c r="V14" s="372" t="n">
        <f aca="false">IF(AND($N14=1,$N21=1),AVERAGE(I14:I21),0)</f>
        <v>0.8425</v>
      </c>
      <c r="W14" s="372" t="n">
        <f aca="false">IF(AND($N14=1,$N21=1),AVERAGE(J14:J21),0)</f>
        <v>0.822593865313653</v>
      </c>
      <c r="X14" s="372" t="n">
        <f aca="false">IF(AND($N14=1,$N21=1),AVERAGE(K14:K21),0)</f>
        <v>0.9625</v>
      </c>
      <c r="Y14" s="372" t="n">
        <f aca="false">IF(AND($N14=1,$N21=1),AVERAGE(L14:L21),0)</f>
        <v>0.905068493150685</v>
      </c>
      <c r="Z14" s="375" t="n">
        <f aca="false">IF(AND($N14=1,$N21=1),AVERAGE(M14:M21),0)</f>
        <v>0.945005993150685</v>
      </c>
      <c r="AF14" s="352" t="n">
        <v>36861</v>
      </c>
      <c r="AG14" s="311" t="n">
        <v>20</v>
      </c>
      <c r="AH14" s="311" t="n">
        <v>5</v>
      </c>
      <c r="AI14" s="311" t="n">
        <v>6</v>
      </c>
      <c r="AJ14" s="311" t="n">
        <v>1</v>
      </c>
      <c r="AK14" s="311" t="n">
        <v>31</v>
      </c>
      <c r="AL14" s="311"/>
      <c r="AM14" s="419"/>
      <c r="AN14" s="62"/>
      <c r="AO14" s="62"/>
      <c r="AP14" s="355"/>
      <c r="AQ14" s="417"/>
      <c r="AR14" s="345"/>
      <c r="AS14" s="414"/>
      <c r="AT14" s="414"/>
      <c r="AU14" s="406"/>
      <c r="AV14" s="345"/>
      <c r="AW14" s="362"/>
      <c r="AX14" s="362"/>
      <c r="AY14" s="362"/>
      <c r="AZ14" s="62"/>
      <c r="BA14" s="62"/>
      <c r="BB14" s="62"/>
      <c r="BC14" s="406"/>
      <c r="BD14" s="345"/>
      <c r="BE14" s="362"/>
      <c r="BF14" s="362"/>
      <c r="BG14" s="62"/>
      <c r="BH14" s="62"/>
      <c r="BI14" s="62"/>
      <c r="BJ14" s="62"/>
    </row>
    <row r="15" customFormat="false" ht="12.75" hidden="false" customHeight="false" outlineLevel="0" collapsed="false">
      <c r="A15" s="332" t="n">
        <v>900</v>
      </c>
      <c r="B15" s="373" t="n">
        <f aca="false">'Power Curves'!AT29</f>
        <v>1.35</v>
      </c>
      <c r="C15" s="373" t="n">
        <f aca="false">'Power Curves'!AU29</f>
        <v>1.35</v>
      </c>
      <c r="D15" s="373" t="n">
        <f aca="false">'Power Curves'!AV29</f>
        <v>1.2485549132948</v>
      </c>
      <c r="E15" s="373" t="n">
        <f aca="false">'Power Curves'!AW29</f>
        <v>1.15</v>
      </c>
      <c r="F15" s="373" t="n">
        <f aca="false">'Power Curves'!AX29</f>
        <v>0.95</v>
      </c>
      <c r="G15" s="373" t="n">
        <f aca="false">'Power Curves'!AY29</f>
        <v>0.47</v>
      </c>
      <c r="H15" s="373" t="n">
        <f aca="false">'Power Curves'!AZ29</f>
        <v>0.37</v>
      </c>
      <c r="I15" s="373" t="n">
        <f aca="false">'Power Curves'!BA29</f>
        <v>0.37</v>
      </c>
      <c r="J15" s="373" t="n">
        <f aca="false">'Power Curves'!BB29</f>
        <v>0.560885608856089</v>
      </c>
      <c r="K15" s="373" t="n">
        <f aca="false">'Power Curves'!BC29</f>
        <v>1.15</v>
      </c>
      <c r="L15" s="373" t="n">
        <f aca="false">'Power Curves'!BD29</f>
        <v>1.15</v>
      </c>
      <c r="M15" s="373" t="n">
        <f aca="false">'Power Curves'!BE29</f>
        <v>1.26</v>
      </c>
      <c r="N15" s="374" t="n">
        <f aca="false">VALUE('Power Curves'!BF29)</f>
        <v>1</v>
      </c>
      <c r="O15" s="371" t="n">
        <f aca="false">IF(AND($N15=1,$N22=1),AVERAGE(B15:B22),0)</f>
        <v>0.870261335012595</v>
      </c>
      <c r="P15" s="372" t="n">
        <f aca="false">IF(AND($N15=1,$N22=1),AVERAGE(C15:C22),0)</f>
        <v>0.870261335012595</v>
      </c>
      <c r="Q15" s="372" t="n">
        <f aca="false">IF(AND($N15=1,$N22=1),AVERAGE(D15:D22),0)</f>
        <v>0.92485549132948</v>
      </c>
      <c r="R15" s="372" t="n">
        <f aca="false">IF(AND($N15=1,$N22=1),AVERAGE(E15:E22),0)</f>
        <v>0.92</v>
      </c>
      <c r="S15" s="372" t="n">
        <f aca="false">IF(AND($N15=1,$N22=1),AVERAGE(F15:F22),0)</f>
        <v>0.99875</v>
      </c>
      <c r="T15" s="372" t="n">
        <f aca="false">IF(AND($N15=1,$N22=1),AVERAGE(G15:G22),0)</f>
        <v>1</v>
      </c>
      <c r="U15" s="372" t="n">
        <f aca="false">IF(AND($N15=1,$N22=1),AVERAGE(H15:H22),0)</f>
        <v>1</v>
      </c>
      <c r="V15" s="372" t="n">
        <f aca="false">IF(AND($N15=1,$N22=1),AVERAGE(I15:I22),0)</f>
        <v>1</v>
      </c>
      <c r="W15" s="372" t="n">
        <f aca="false">IF(AND($N15=1,$N22=1),AVERAGE(J15:J22),0)</f>
        <v>0.934923201107011</v>
      </c>
      <c r="X15" s="372" t="n">
        <f aca="false">IF(AND($N15=1,$N22=1),AVERAGE(K15:K22),0)</f>
        <v>0.92</v>
      </c>
      <c r="Y15" s="372" t="n">
        <f aca="false">IF(AND($N15=1,$N22=1),AVERAGE(L15:L22),0)</f>
        <v>0.848818493150685</v>
      </c>
      <c r="Z15" s="375" t="n">
        <f aca="false">IF(AND($N15=1,$N22=1),AVERAGE(M15:M22),0)</f>
        <v>0.880693493150685</v>
      </c>
      <c r="AF15" s="352" t="n">
        <v>36892</v>
      </c>
      <c r="AG15" s="311" t="n">
        <v>22</v>
      </c>
      <c r="AH15" s="311" t="n">
        <v>4</v>
      </c>
      <c r="AI15" s="311" t="n">
        <v>5</v>
      </c>
      <c r="AJ15" s="311" t="n">
        <v>1</v>
      </c>
      <c r="AK15" s="311" t="n">
        <v>31</v>
      </c>
      <c r="AL15" s="311"/>
      <c r="AM15" s="419"/>
      <c r="AN15" s="341"/>
      <c r="AO15" s="412"/>
      <c r="AP15" s="355"/>
      <c r="AQ15" s="417"/>
      <c r="AR15" s="345"/>
      <c r="AS15" s="106"/>
      <c r="AT15" s="106"/>
      <c r="AU15" s="406"/>
      <c r="AV15" s="345"/>
      <c r="AW15" s="362"/>
      <c r="AX15" s="362"/>
      <c r="AY15" s="362"/>
      <c r="AZ15" s="62"/>
      <c r="BA15" s="62"/>
      <c r="BB15" s="62"/>
      <c r="BC15" s="406"/>
      <c r="BD15" s="345"/>
      <c r="BE15" s="362"/>
      <c r="BF15" s="362"/>
      <c r="BG15" s="62"/>
      <c r="BH15" s="62"/>
      <c r="BI15" s="62"/>
      <c r="BJ15" s="62"/>
    </row>
    <row r="16" customFormat="false" ht="12.75" hidden="false" customHeight="false" outlineLevel="0" collapsed="false">
      <c r="A16" s="332" t="n">
        <v>1000</v>
      </c>
      <c r="B16" s="373" t="n">
        <f aca="false">'Power Curves'!AT30</f>
        <v>1.1</v>
      </c>
      <c r="C16" s="373" t="n">
        <f aca="false">'Power Curves'!AU30</f>
        <v>1.1</v>
      </c>
      <c r="D16" s="373" t="n">
        <f aca="false">'Power Curves'!AV30</f>
        <v>1.10982658959538</v>
      </c>
      <c r="E16" s="373" t="n">
        <f aca="false">'Power Curves'!AW30</f>
        <v>1</v>
      </c>
      <c r="F16" s="373" t="n">
        <f aca="false">'Power Curves'!AX30</f>
        <v>0.97</v>
      </c>
      <c r="G16" s="373" t="n">
        <f aca="false">'Power Curves'!AY30</f>
        <v>0.47</v>
      </c>
      <c r="H16" s="373" t="n">
        <f aca="false">'Power Curves'!AZ30</f>
        <v>0.37</v>
      </c>
      <c r="I16" s="373" t="n">
        <f aca="false">'Power Curves'!BA30</f>
        <v>0.37</v>
      </c>
      <c r="J16" s="373" t="n">
        <f aca="false">'Power Curves'!BB30</f>
        <v>0.6</v>
      </c>
      <c r="K16" s="373" t="n">
        <f aca="false">'Power Curves'!BC30</f>
        <v>1</v>
      </c>
      <c r="L16" s="373" t="n">
        <f aca="false">'Power Curves'!BD30</f>
        <v>1.15</v>
      </c>
      <c r="M16" s="373" t="n">
        <f aca="false">'Power Curves'!BE30</f>
        <v>1.205</v>
      </c>
      <c r="N16" s="374" t="n">
        <f aca="false">VALUE('Power Curves'!BF30)</f>
        <v>1</v>
      </c>
      <c r="O16" s="371" t="n">
        <f aca="false">IF(AND($N16=1,$N23=1),AVERAGE(B16:B23),0)</f>
        <v>0.826511335012594</v>
      </c>
      <c r="P16" s="372" t="n">
        <f aca="false">IF(AND($N16=1,$N23=1),AVERAGE(C16:C23),0)</f>
        <v>0.826511335012594</v>
      </c>
      <c r="Q16" s="372" t="n">
        <f aca="false">IF(AND($N16=1,$N23=1),AVERAGE(D16:D23),0)</f>
        <v>0.895953757225434</v>
      </c>
      <c r="R16" s="372" t="n">
        <f aca="false">IF(AND($N16=1,$N23=1),AVERAGE(E16:E23),0)</f>
        <v>0.9075</v>
      </c>
      <c r="S16" s="372" t="n">
        <f aca="false">IF(AND($N16=1,$N23=1),AVERAGE(F16:F23),0)</f>
        <v>1.0175</v>
      </c>
      <c r="T16" s="372" t="n">
        <f aca="false">IF(AND($N16=1,$N23=1),AVERAGE(G16:G23),0)</f>
        <v>1.1325</v>
      </c>
      <c r="U16" s="372" t="n">
        <f aca="false">IF(AND($N16=1,$N23=1),AVERAGE(H16:H23),0)</f>
        <v>1.1575</v>
      </c>
      <c r="V16" s="372" t="n">
        <f aca="false">IF(AND($N16=1,$N23=1),AVERAGE(I16:I23),0)</f>
        <v>1.1575</v>
      </c>
      <c r="W16" s="372" t="n">
        <f aca="false">IF(AND($N16=1,$N23=1),AVERAGE(J16:J23),0)</f>
        <v>1.0585625</v>
      </c>
      <c r="X16" s="372" t="n">
        <f aca="false">IF(AND($N16=1,$N23=1),AVERAGE(K16:K23),0)</f>
        <v>0.9075</v>
      </c>
      <c r="Y16" s="372" t="n">
        <f aca="false">IF(AND($N16=1,$N23=1),AVERAGE(L16:L23),0)</f>
        <v>0.830068493150685</v>
      </c>
      <c r="Z16" s="375" t="n">
        <f aca="false">IF(AND($N16=1,$N23=1),AVERAGE(M16:M23),0)</f>
        <v>0.863193493150685</v>
      </c>
      <c r="AF16" s="352" t="n">
        <v>36923</v>
      </c>
      <c r="AG16" s="311" t="n">
        <v>20</v>
      </c>
      <c r="AH16" s="311" t="n">
        <v>4</v>
      </c>
      <c r="AI16" s="311" t="n">
        <v>4</v>
      </c>
      <c r="AJ16" s="311" t="n">
        <v>0</v>
      </c>
      <c r="AK16" s="311" t="n">
        <v>28</v>
      </c>
      <c r="AL16" s="311"/>
      <c r="AM16" s="419"/>
      <c r="AN16" s="355"/>
      <c r="AO16" s="243"/>
      <c r="AP16" s="355"/>
      <c r="AQ16" s="417"/>
      <c r="AR16" s="345"/>
      <c r="AS16" s="106"/>
      <c r="AT16" s="106"/>
      <c r="AU16" s="406"/>
      <c r="AV16" s="345"/>
      <c r="AW16" s="362"/>
      <c r="AX16" s="362"/>
      <c r="AY16" s="362"/>
      <c r="AZ16" s="62"/>
      <c r="BA16" s="62"/>
      <c r="BB16" s="62"/>
      <c r="BC16" s="406"/>
      <c r="BD16" s="345"/>
      <c r="BE16" s="362"/>
      <c r="BF16" s="362"/>
      <c r="BG16" s="62"/>
      <c r="BH16" s="62"/>
      <c r="BI16" s="62"/>
      <c r="BJ16" s="62"/>
    </row>
    <row r="17" customFormat="false" ht="12.75" hidden="false" customHeight="false" outlineLevel="0" collapsed="false">
      <c r="A17" s="332" t="n">
        <v>1100</v>
      </c>
      <c r="B17" s="373" t="n">
        <f aca="false">'Power Curves'!AT31</f>
        <v>0.886649874055416</v>
      </c>
      <c r="C17" s="373" t="n">
        <f aca="false">'Power Curves'!AU31</f>
        <v>0.886649874055416</v>
      </c>
      <c r="D17" s="373" t="n">
        <f aca="false">'Power Curves'!AV31</f>
        <v>0.878612716763006</v>
      </c>
      <c r="E17" s="373" t="n">
        <f aca="false">'Power Curves'!AW31</f>
        <v>0.9</v>
      </c>
      <c r="F17" s="373" t="n">
        <f aca="false">'Power Curves'!AX31</f>
        <v>0.975</v>
      </c>
      <c r="G17" s="373" t="n">
        <f aca="false">'Power Curves'!AY31</f>
        <v>0.47</v>
      </c>
      <c r="H17" s="373" t="n">
        <f aca="false">'Power Curves'!AZ31</f>
        <v>0.37</v>
      </c>
      <c r="I17" s="373" t="n">
        <f aca="false">'Power Curves'!BA31</f>
        <v>0.37</v>
      </c>
      <c r="J17" s="373" t="n">
        <f aca="false">'Power Curves'!BB31</f>
        <v>0.6635</v>
      </c>
      <c r="K17" s="373" t="n">
        <f aca="false">'Power Curves'!BC31</f>
        <v>0.9</v>
      </c>
      <c r="L17" s="373" t="n">
        <f aca="false">'Power Curves'!BD31</f>
        <v>0.920547945205479</v>
      </c>
      <c r="M17" s="373" t="n">
        <f aca="false">'Power Curves'!BE31</f>
        <v>0.920547945205479</v>
      </c>
      <c r="N17" s="374" t="n">
        <f aca="false">VALUE('Power Curves'!BF31)</f>
        <v>1</v>
      </c>
      <c r="O17" s="371" t="n">
        <f aca="false">IF(AND($N17=1,$N24=1),AVERAGE(B17:B24),0)</f>
        <v>0.851511335012595</v>
      </c>
      <c r="P17" s="372" t="n">
        <f aca="false">IF(AND($N17=1,$N24=1),AVERAGE(C17:C24),0)</f>
        <v>0.851511335012595</v>
      </c>
      <c r="Q17" s="372" t="n">
        <f aca="false">IF(AND($N17=1,$N24=1),AVERAGE(D17:D24),0)</f>
        <v>0.907514450867052</v>
      </c>
      <c r="R17" s="372" t="n">
        <f aca="false">IF(AND($N17=1,$N24=1),AVERAGE(E17:E24),0)</f>
        <v>0.9325</v>
      </c>
      <c r="S17" s="372" t="n">
        <f aca="false">IF(AND($N17=1,$N24=1),AVERAGE(F17:F24),0)</f>
        <v>1.03625</v>
      </c>
      <c r="T17" s="372" t="n">
        <f aca="false">IF(AND($N17=1,$N24=1),AVERAGE(G17:G24),0)</f>
        <v>1.265</v>
      </c>
      <c r="U17" s="372" t="n">
        <f aca="false">IF(AND($N17=1,$N24=1),AVERAGE(H17:H24),0)</f>
        <v>1.315</v>
      </c>
      <c r="V17" s="372" t="n">
        <f aca="false">IF(AND($N17=1,$N24=1),AVERAGE(I17:I24),0)</f>
        <v>1.315</v>
      </c>
      <c r="W17" s="372" t="n">
        <f aca="false">IF(AND($N17=1,$N24=1),AVERAGE(J17:J24),0)</f>
        <v>1.1710625</v>
      </c>
      <c r="X17" s="372" t="n">
        <f aca="false">IF(AND($N17=1,$N24=1),AVERAGE(K17:K24),0)</f>
        <v>0.9325</v>
      </c>
      <c r="Y17" s="372" t="n">
        <f aca="false">IF(AND($N17=1,$N24=1),AVERAGE(L17:L24),0)</f>
        <v>0.843193493150685</v>
      </c>
      <c r="Z17" s="375" t="n">
        <f aca="false">IF(AND($N17=1,$N24=1),AVERAGE(M17:M24),0)</f>
        <v>0.881318493150685</v>
      </c>
      <c r="AF17" s="352" t="n">
        <v>36951</v>
      </c>
      <c r="AG17" s="311" t="n">
        <v>22</v>
      </c>
      <c r="AH17" s="311" t="n">
        <v>5</v>
      </c>
      <c r="AI17" s="311" t="n">
        <v>4</v>
      </c>
      <c r="AJ17" s="311" t="n">
        <v>0</v>
      </c>
      <c r="AK17" s="311" t="n">
        <v>31</v>
      </c>
      <c r="AL17" s="311"/>
      <c r="AM17" s="419"/>
      <c r="AN17" s="355"/>
      <c r="AO17" s="243"/>
      <c r="AP17" s="62"/>
      <c r="AQ17" s="417"/>
      <c r="AR17" s="345"/>
      <c r="AS17" s="106"/>
      <c r="AT17" s="106"/>
      <c r="AU17" s="406"/>
      <c r="AV17" s="62"/>
      <c r="AW17" s="62"/>
      <c r="AX17" s="62"/>
      <c r="AZ17" s="62"/>
      <c r="BA17" s="62"/>
      <c r="BB17" s="62"/>
      <c r="BC17" s="406"/>
      <c r="BD17" s="362"/>
      <c r="BE17" s="362"/>
      <c r="BF17" s="362"/>
      <c r="BG17" s="62"/>
      <c r="BH17" s="62"/>
      <c r="BI17" s="62"/>
      <c r="BJ17" s="62"/>
    </row>
    <row r="18" customFormat="false" ht="12.75" hidden="false" customHeight="false" outlineLevel="0" collapsed="false">
      <c r="A18" s="332" t="n">
        <v>1200</v>
      </c>
      <c r="B18" s="373" t="n">
        <f aca="false">'Power Curves'!AT32</f>
        <v>0.72544080604534</v>
      </c>
      <c r="C18" s="373" t="n">
        <f aca="false">'Power Curves'!AU32</f>
        <v>0.72544080604534</v>
      </c>
      <c r="D18" s="373" t="n">
        <f aca="false">'Power Curves'!AV32</f>
        <v>0.832369942196532</v>
      </c>
      <c r="E18" s="373" t="n">
        <f aca="false">'Power Curves'!AW32</f>
        <v>0.85</v>
      </c>
      <c r="F18" s="373" t="n">
        <f aca="false">'Power Curves'!AX32</f>
        <v>0.98</v>
      </c>
      <c r="G18" s="373" t="n">
        <f aca="false">'Power Curves'!AY32</f>
        <v>0.47</v>
      </c>
      <c r="H18" s="373" t="n">
        <f aca="false">'Power Curves'!AZ32</f>
        <v>0.37</v>
      </c>
      <c r="I18" s="373" t="n">
        <f aca="false">'Power Curves'!BA32</f>
        <v>0.37</v>
      </c>
      <c r="J18" s="373" t="n">
        <f aca="false">'Power Curves'!BB32</f>
        <v>0.76</v>
      </c>
      <c r="K18" s="373" t="n">
        <f aca="false">'Power Curves'!BC32</f>
        <v>0.85</v>
      </c>
      <c r="L18" s="373" t="n">
        <f aca="false">'Power Curves'!BD32</f>
        <v>0.77</v>
      </c>
      <c r="M18" s="373" t="n">
        <f aca="false">'Power Curves'!BE32</f>
        <v>0.74</v>
      </c>
      <c r="N18" s="374" t="n">
        <f aca="false">VALUE('Power Curves'!BF32)</f>
        <v>1</v>
      </c>
      <c r="O18" s="371" t="n">
        <f aca="false">IF(AND($N18=1,$N25=1),AVERAGE(B18:B25),0)</f>
        <v>0.903180100755668</v>
      </c>
      <c r="P18" s="372" t="n">
        <f aca="false">IF(AND($N18=1,$N25=1),AVERAGE(C18:C25),0)</f>
        <v>0.903180100755668</v>
      </c>
      <c r="Q18" s="372" t="n">
        <f aca="false">IF(AND($N18=1,$N25=1),AVERAGE(D18:D25),0)</f>
        <v>0.947976878612717</v>
      </c>
      <c r="R18" s="372" t="n">
        <f aca="false">IF(AND($N18=1,$N25=1),AVERAGE(E18:E25),0)</f>
        <v>0.96375</v>
      </c>
      <c r="S18" s="372" t="n">
        <f aca="false">IF(AND($N18=1,$N25=1),AVERAGE(F18:F25),0)</f>
        <v>1.058125</v>
      </c>
      <c r="T18" s="372" t="n">
        <f aca="false">IF(AND($N18=1,$N25=1),AVERAGE(G18:G25),0)</f>
        <v>1.3975</v>
      </c>
      <c r="U18" s="372" t="n">
        <f aca="false">IF(AND($N18=1,$N25=1),AVERAGE(H18:H25),0)</f>
        <v>1.4725</v>
      </c>
      <c r="V18" s="372" t="n">
        <f aca="false">IF(AND($N18=1,$N25=1),AVERAGE(I18:I25),0)</f>
        <v>1.4725</v>
      </c>
      <c r="W18" s="372" t="n">
        <f aca="false">IF(AND($N18=1,$N25=1),AVERAGE(J18:J25),0)</f>
        <v>1.269375</v>
      </c>
      <c r="X18" s="372" t="n">
        <f aca="false">IF(AND($N18=1,$N25=1),AVERAGE(K18:K25),0)</f>
        <v>0.96375</v>
      </c>
      <c r="Y18" s="372" t="n">
        <f aca="false">IF(AND($N18=1,$N25=1),AVERAGE(L18:L25),0)</f>
        <v>0.920625</v>
      </c>
      <c r="Z18" s="375" t="n">
        <f aca="false">IF(AND($N18=1,$N25=1),AVERAGE(M18:M25),0)</f>
        <v>0.935</v>
      </c>
      <c r="AF18" s="352" t="n">
        <v>36982</v>
      </c>
      <c r="AG18" s="311" t="n">
        <v>21</v>
      </c>
      <c r="AH18" s="311" t="n">
        <v>4</v>
      </c>
      <c r="AI18" s="311" t="n">
        <v>5</v>
      </c>
      <c r="AJ18" s="311" t="n">
        <v>0</v>
      </c>
      <c r="AK18" s="311" t="n">
        <v>30</v>
      </c>
      <c r="AL18" s="311"/>
      <c r="AM18" s="419"/>
      <c r="AN18" s="355"/>
      <c r="AO18" s="243"/>
      <c r="AP18" s="62"/>
      <c r="AQ18" s="417"/>
      <c r="AR18" s="345"/>
      <c r="AS18" s="106"/>
      <c r="AT18" s="106"/>
      <c r="AU18" s="406"/>
      <c r="AV18" s="345"/>
      <c r="AW18" s="345"/>
      <c r="AX18" s="345"/>
      <c r="AY18" s="345"/>
      <c r="AZ18" s="62"/>
      <c r="BA18" s="62"/>
      <c r="BB18" s="62"/>
      <c r="BC18" s="406"/>
      <c r="BD18" s="345"/>
      <c r="BE18" s="345"/>
      <c r="BF18" s="345"/>
      <c r="BG18" s="62"/>
      <c r="BH18" s="62"/>
      <c r="BI18" s="62"/>
      <c r="BJ18" s="62"/>
    </row>
    <row r="19" customFormat="false" ht="12.75" hidden="false" customHeight="false" outlineLevel="0" collapsed="false">
      <c r="A19" s="332" t="n">
        <v>1300</v>
      </c>
      <c r="B19" s="373" t="n">
        <f aca="false">'Power Curves'!AT33</f>
        <v>0.7</v>
      </c>
      <c r="C19" s="373" t="n">
        <f aca="false">'Power Curves'!AU33</f>
        <v>0.7</v>
      </c>
      <c r="D19" s="373" t="n">
        <f aca="false">'Power Curves'!AV33</f>
        <v>0.832369942196532</v>
      </c>
      <c r="E19" s="373" t="n">
        <f aca="false">'Power Curves'!AW33</f>
        <v>0.85</v>
      </c>
      <c r="F19" s="373" t="n">
        <f aca="false">'Power Curves'!AX33</f>
        <v>0.975</v>
      </c>
      <c r="G19" s="373" t="n">
        <f aca="false">'Power Curves'!AY33</f>
        <v>1.53</v>
      </c>
      <c r="H19" s="373" t="n">
        <f aca="false">'Power Curves'!AZ33</f>
        <v>1.63</v>
      </c>
      <c r="I19" s="373" t="n">
        <f aca="false">'Power Curves'!BA33</f>
        <v>1.63</v>
      </c>
      <c r="J19" s="373" t="n">
        <f aca="false">'Power Curves'!BB33</f>
        <v>0.935</v>
      </c>
      <c r="K19" s="373" t="n">
        <f aca="false">'Power Curves'!BC33</f>
        <v>0.85</v>
      </c>
      <c r="L19" s="373" t="n">
        <f aca="false">'Power Curves'!BD33</f>
        <v>0.7</v>
      </c>
      <c r="M19" s="373" t="n">
        <f aca="false">'Power Curves'!BE33</f>
        <v>0.73</v>
      </c>
      <c r="N19" s="374" t="n">
        <f aca="false">VALUE('Power Curves'!BF33)</f>
        <v>1</v>
      </c>
      <c r="O19" s="371" t="n">
        <f aca="false">IF(AND($N19=1,$N26=1),AVERAGE(B19:B26),0)</f>
        <v>0.95625</v>
      </c>
      <c r="P19" s="372" t="n">
        <f aca="false">IF(AND($N19=1,$N26=1),AVERAGE(C19:C26),0)</f>
        <v>0.95625</v>
      </c>
      <c r="Q19" s="372" t="n">
        <f aca="false">IF(AND($N19=1,$N26=1),AVERAGE(D19:D26),0)</f>
        <v>0.971098265895954</v>
      </c>
      <c r="R19" s="372" t="n">
        <f aca="false">IF(AND($N19=1,$N26=1),AVERAGE(E19:E26),0)</f>
        <v>0.98875</v>
      </c>
      <c r="S19" s="372" t="n">
        <f aca="false">IF(AND($N19=1,$N26=1),AVERAGE(F19:F26),0)</f>
        <v>1.075625</v>
      </c>
      <c r="T19" s="372" t="n">
        <f aca="false">IF(AND($N19=1,$N26=1),AVERAGE(G19:G26),0)</f>
        <v>1.53</v>
      </c>
      <c r="U19" s="372" t="n">
        <f aca="false">IF(AND($N19=1,$N26=1),AVERAGE(H19:H26),0)</f>
        <v>1.63</v>
      </c>
      <c r="V19" s="372" t="n">
        <f aca="false">IF(AND($N19=1,$N26=1),AVERAGE(I19:I26),0)</f>
        <v>1.63</v>
      </c>
      <c r="W19" s="372" t="n">
        <f aca="false">IF(AND($N19=1,$N26=1),AVERAGE(J19:J26),0)</f>
        <v>1.343125</v>
      </c>
      <c r="X19" s="372" t="n">
        <f aca="false">IF(AND($N19=1,$N26=1),AVERAGE(K19:K26),0)</f>
        <v>0.98875</v>
      </c>
      <c r="Y19" s="372" t="n">
        <f aca="false">IF(AND($N19=1,$N26=1),AVERAGE(L19:L26),0)</f>
        <v>1.016875</v>
      </c>
      <c r="Z19" s="375" t="n">
        <f aca="false">IF(AND($N19=1,$N26=1),AVERAGE(M19:M26),0)</f>
        <v>0.99375</v>
      </c>
      <c r="AF19" s="352" t="n">
        <v>37012</v>
      </c>
      <c r="AG19" s="311" t="n">
        <v>22</v>
      </c>
      <c r="AH19" s="311" t="n">
        <v>4</v>
      </c>
      <c r="AI19" s="311" t="n">
        <v>5</v>
      </c>
      <c r="AJ19" s="311" t="n">
        <v>1</v>
      </c>
      <c r="AK19" s="311" t="n">
        <v>31</v>
      </c>
      <c r="AL19" s="311"/>
      <c r="AM19" s="419"/>
      <c r="AN19" s="355"/>
      <c r="AO19" s="243"/>
      <c r="AP19" s="62"/>
      <c r="AQ19" s="417"/>
      <c r="AR19" s="345"/>
      <c r="AS19" s="106"/>
      <c r="AT19" s="106"/>
      <c r="AU19" s="406"/>
      <c r="AV19" s="345"/>
      <c r="AW19" s="362"/>
      <c r="AX19" s="362"/>
      <c r="AY19" s="362"/>
      <c r="AZ19" s="62"/>
      <c r="BA19" s="62"/>
      <c r="BB19" s="62"/>
      <c r="BC19" s="406"/>
      <c r="BD19" s="345"/>
      <c r="BE19" s="362"/>
      <c r="BF19" s="362"/>
      <c r="BG19" s="62"/>
      <c r="BH19" s="62"/>
      <c r="BI19" s="62"/>
      <c r="BJ19" s="62"/>
    </row>
    <row r="20" customFormat="false" ht="12.75" hidden="false" customHeight="false" outlineLevel="0" collapsed="false">
      <c r="A20" s="332" t="n">
        <v>1400</v>
      </c>
      <c r="B20" s="373" t="n">
        <f aca="false">'Power Curves'!AT34</f>
        <v>0.7</v>
      </c>
      <c r="C20" s="373" t="n">
        <f aca="false">'Power Curves'!AU34</f>
        <v>0.7</v>
      </c>
      <c r="D20" s="373" t="n">
        <f aca="false">'Power Curves'!AV34</f>
        <v>0.832369942196532</v>
      </c>
      <c r="E20" s="373" t="n">
        <f aca="false">'Power Curves'!AW34</f>
        <v>0.85</v>
      </c>
      <c r="F20" s="373" t="n">
        <f aca="false">'Power Curves'!AX34</f>
        <v>0.99</v>
      </c>
      <c r="G20" s="373" t="n">
        <f aca="false">'Power Curves'!AY34</f>
        <v>1.53</v>
      </c>
      <c r="H20" s="373" t="n">
        <f aca="false">'Power Curves'!AZ34</f>
        <v>1.63</v>
      </c>
      <c r="I20" s="373" t="n">
        <f aca="false">'Power Curves'!BA34</f>
        <v>1.63</v>
      </c>
      <c r="J20" s="373" t="n">
        <f aca="false">'Power Curves'!BB34</f>
        <v>1.15</v>
      </c>
      <c r="K20" s="373" t="n">
        <f aca="false">'Power Curves'!BC34</f>
        <v>0.85</v>
      </c>
      <c r="L20" s="373" t="n">
        <f aca="false">'Power Curves'!BD34</f>
        <v>0.7</v>
      </c>
      <c r="M20" s="373" t="n">
        <f aca="false">'Power Curves'!BE34</f>
        <v>0.72</v>
      </c>
      <c r="N20" s="374" t="n">
        <f aca="false">VALUE('Power Curves'!BF34)</f>
        <v>1</v>
      </c>
      <c r="O20" s="371" t="n">
        <f aca="false">IF(AND($N20=1,$N27=1),AVERAGE(B20:B27),0)</f>
        <v>0.96875</v>
      </c>
      <c r="P20" s="372" t="n">
        <f aca="false">IF(AND($N20=1,$N27=1),AVERAGE(C20:C27),0)</f>
        <v>0.96875</v>
      </c>
      <c r="Q20" s="372" t="n">
        <f aca="false">IF(AND($N20=1,$N27=1),AVERAGE(D20:D27),0)</f>
        <v>0.982658959537572</v>
      </c>
      <c r="R20" s="372" t="n">
        <f aca="false">IF(AND($N20=1,$N27=1),AVERAGE(E20:E27),0)</f>
        <v>0.995</v>
      </c>
      <c r="S20" s="372" t="n">
        <f aca="false">IF(AND($N20=1,$N27=1),AVERAGE(F20:F27),0)</f>
        <v>1.0666026645768</v>
      </c>
      <c r="T20" s="372" t="n">
        <f aca="false">IF(AND($N20=1,$N27=1),AVERAGE(G20:G27),0)</f>
        <v>1.3975</v>
      </c>
      <c r="U20" s="372" t="n">
        <f aca="false">IF(AND($N20=1,$N27=1),AVERAGE(H20:H27),0)</f>
        <v>1.4725</v>
      </c>
      <c r="V20" s="372" t="n">
        <f aca="false">IF(AND($N20=1,$N27=1),AVERAGE(I20:I27),0)</f>
        <v>1.4725</v>
      </c>
      <c r="W20" s="372" t="n">
        <f aca="false">IF(AND($N20=1,$N27=1),AVERAGE(J20:J27),0)</f>
        <v>1.35125</v>
      </c>
      <c r="X20" s="372" t="n">
        <f aca="false">IF(AND($N20=1,$N27=1),AVERAGE(K20:K27),0)</f>
        <v>0.995</v>
      </c>
      <c r="Y20" s="372" t="n">
        <f aca="false">IF(AND($N20=1,$N27=1),AVERAGE(L20:L27),0)</f>
        <v>1.08</v>
      </c>
      <c r="Z20" s="375" t="n">
        <f aca="false">IF(AND($N20=1,$N27=1),AVERAGE(M20:M27),0)</f>
        <v>1.02125</v>
      </c>
      <c r="AF20" s="352" t="n">
        <v>37043</v>
      </c>
      <c r="AG20" s="311" t="n">
        <v>21</v>
      </c>
      <c r="AH20" s="311" t="n">
        <v>5</v>
      </c>
      <c r="AI20" s="311" t="n">
        <v>4</v>
      </c>
      <c r="AJ20" s="311" t="n">
        <v>0</v>
      </c>
      <c r="AK20" s="311" t="n">
        <v>30</v>
      </c>
      <c r="AL20" s="311"/>
      <c r="AM20" s="419"/>
      <c r="AN20" s="62"/>
      <c r="AO20" s="62"/>
      <c r="AP20" s="62"/>
      <c r="AQ20" s="417"/>
      <c r="AR20" s="345"/>
      <c r="AS20" s="106"/>
      <c r="AT20" s="106"/>
      <c r="AU20" s="406"/>
      <c r="AV20" s="345"/>
      <c r="AW20" s="362"/>
      <c r="AX20" s="362"/>
      <c r="AY20" s="362"/>
      <c r="AZ20" s="62"/>
      <c r="BA20" s="62"/>
      <c r="BB20" s="62"/>
      <c r="BC20" s="406"/>
      <c r="BD20" s="345"/>
      <c r="BE20" s="362"/>
      <c r="BF20" s="362"/>
      <c r="BG20" s="62"/>
      <c r="BH20" s="62"/>
      <c r="BI20" s="62"/>
      <c r="BJ20" s="62"/>
    </row>
    <row r="21" customFormat="false" ht="12.75" hidden="false" customHeight="false" outlineLevel="0" collapsed="false">
      <c r="A21" s="332" t="n">
        <v>1500</v>
      </c>
      <c r="B21" s="373" t="n">
        <f aca="false">'Power Curves'!AT35</f>
        <v>0.7</v>
      </c>
      <c r="C21" s="373" t="n">
        <f aca="false">'Power Curves'!AU35</f>
        <v>0.7</v>
      </c>
      <c r="D21" s="373" t="n">
        <f aca="false">'Power Curves'!AV35</f>
        <v>0.832369942196532</v>
      </c>
      <c r="E21" s="373" t="n">
        <f aca="false">'Power Curves'!AW35</f>
        <v>0.88</v>
      </c>
      <c r="F21" s="373" t="n">
        <f aca="false">'Power Curves'!AX35</f>
        <v>1.05</v>
      </c>
      <c r="G21" s="373" t="n">
        <f aca="false">'Power Curves'!AY35</f>
        <v>1.53</v>
      </c>
      <c r="H21" s="373" t="n">
        <f aca="false">'Power Curves'!AZ35</f>
        <v>1.63</v>
      </c>
      <c r="I21" s="373" t="n">
        <f aca="false">'Power Curves'!BA35</f>
        <v>1.63</v>
      </c>
      <c r="J21" s="373" t="n">
        <f aca="false">'Power Curves'!BB35</f>
        <v>1.38</v>
      </c>
      <c r="K21" s="373" t="n">
        <f aca="false">'Power Curves'!BC35</f>
        <v>0.88</v>
      </c>
      <c r="L21" s="373" t="n">
        <f aca="false">'Power Curves'!BD35</f>
        <v>0.7</v>
      </c>
      <c r="M21" s="373" t="n">
        <f aca="false">'Power Curves'!BE35</f>
        <v>0.73</v>
      </c>
      <c r="N21" s="374" t="n">
        <f aca="false">VALUE('Power Curves'!BF35)</f>
        <v>1</v>
      </c>
      <c r="O21" s="371" t="n">
        <f aca="false">IF(AND($N21=1,$N28=1),AVERAGE(B21:B28),0)</f>
        <v>0.98</v>
      </c>
      <c r="P21" s="372" t="n">
        <f aca="false">IF(AND($N21=1,$N28=1),AVERAGE(C21:C28),0)</f>
        <v>0.98</v>
      </c>
      <c r="Q21" s="372" t="n">
        <f aca="false">IF(AND($N21=1,$N28=1),AVERAGE(D21:D28),0)</f>
        <v>0.982658959537572</v>
      </c>
      <c r="R21" s="372" t="n">
        <f aca="false">IF(AND($N21=1,$N28=1),AVERAGE(E21:E28),0)</f>
        <v>0.995</v>
      </c>
      <c r="S21" s="372" t="n">
        <f aca="false">IF(AND($N21=1,$N28=1),AVERAGE(F21:F28),0)</f>
        <v>1.0491026645768</v>
      </c>
      <c r="T21" s="372" t="n">
        <f aca="false">IF(AND($N21=1,$N28=1),AVERAGE(G21:G28),0)</f>
        <v>1.265</v>
      </c>
      <c r="U21" s="372" t="n">
        <f aca="false">IF(AND($N21=1,$N28=1),AVERAGE(H21:H28),0)</f>
        <v>1.315</v>
      </c>
      <c r="V21" s="372" t="n">
        <f aca="false">IF(AND($N21=1,$N28=1),AVERAGE(I21:I28),0)</f>
        <v>1.315</v>
      </c>
      <c r="W21" s="372" t="n">
        <f aca="false">IF(AND($N21=1,$N28=1),AVERAGE(J21:J28),0)</f>
        <v>1.29375</v>
      </c>
      <c r="X21" s="372" t="n">
        <f aca="false">IF(AND($N21=1,$N28=1),AVERAGE(K21:K28),0)</f>
        <v>0.995</v>
      </c>
      <c r="Y21" s="372" t="n">
        <f aca="false">IF(AND($N21=1,$N28=1),AVERAGE(L21:L28),0)</f>
        <v>1.0825</v>
      </c>
      <c r="Z21" s="375" t="n">
        <f aca="false">IF(AND($N21=1,$N28=1),AVERAGE(M21:M28),0)</f>
        <v>1.02125</v>
      </c>
      <c r="AF21" s="352" t="n">
        <v>37073</v>
      </c>
      <c r="AG21" s="311" t="n">
        <v>21</v>
      </c>
      <c r="AH21" s="311" t="n">
        <v>4</v>
      </c>
      <c r="AI21" s="311" t="n">
        <v>6</v>
      </c>
      <c r="AJ21" s="311" t="n">
        <v>1</v>
      </c>
      <c r="AK21" s="311" t="n">
        <v>31</v>
      </c>
      <c r="AL21" s="311"/>
      <c r="AM21" s="419"/>
      <c r="AN21" s="341"/>
      <c r="AO21" s="412"/>
      <c r="AP21" s="62"/>
      <c r="AQ21" s="417"/>
      <c r="AR21" s="345"/>
      <c r="AS21" s="106"/>
      <c r="AT21" s="106"/>
      <c r="AU21" s="406"/>
      <c r="AV21" s="345"/>
      <c r="AW21" s="362"/>
      <c r="AX21" s="362"/>
      <c r="AY21" s="362"/>
      <c r="AZ21" s="62"/>
      <c r="BA21" s="62"/>
      <c r="BB21" s="62"/>
      <c r="BC21" s="406"/>
      <c r="BD21" s="345"/>
      <c r="BE21" s="362"/>
      <c r="BF21" s="362"/>
      <c r="BG21" s="62"/>
      <c r="BH21" s="62"/>
      <c r="BI21" s="62"/>
      <c r="BJ21" s="62"/>
    </row>
    <row r="22" customFormat="false" ht="12.75" hidden="false" customHeight="false" outlineLevel="0" collapsed="false">
      <c r="A22" s="332" t="n">
        <v>1600</v>
      </c>
      <c r="B22" s="373" t="n">
        <f aca="false">'Power Curves'!AT36</f>
        <v>0.8</v>
      </c>
      <c r="C22" s="373" t="n">
        <f aca="false">'Power Curves'!AU36</f>
        <v>0.8</v>
      </c>
      <c r="D22" s="373" t="n">
        <f aca="false">'Power Curves'!AV36</f>
        <v>0.832369942196532</v>
      </c>
      <c r="E22" s="373" t="n">
        <f aca="false">'Power Curves'!AW36</f>
        <v>0.88</v>
      </c>
      <c r="F22" s="373" t="n">
        <f aca="false">'Power Curves'!AX36</f>
        <v>1.1</v>
      </c>
      <c r="G22" s="373" t="n">
        <f aca="false">'Power Curves'!AY36</f>
        <v>1.53</v>
      </c>
      <c r="H22" s="373" t="n">
        <f aca="false">'Power Curves'!AZ36</f>
        <v>1.63</v>
      </c>
      <c r="I22" s="373" t="n">
        <f aca="false">'Power Curves'!BA36</f>
        <v>1.63</v>
      </c>
      <c r="J22" s="373" t="n">
        <f aca="false">'Power Curves'!BB36</f>
        <v>1.43</v>
      </c>
      <c r="K22" s="373" t="n">
        <f aca="false">'Power Curves'!BC36</f>
        <v>0.88</v>
      </c>
      <c r="L22" s="373" t="n">
        <f aca="false">'Power Curves'!BD36</f>
        <v>0.7</v>
      </c>
      <c r="M22" s="373" t="n">
        <f aca="false">'Power Curves'!BE36</f>
        <v>0.74</v>
      </c>
      <c r="N22" s="374" t="n">
        <f aca="false">VALUE('Power Curves'!BF36)</f>
        <v>1</v>
      </c>
      <c r="O22" s="371" t="n">
        <f aca="false">IF(AND($N22=1,$N29=1),AVERAGE(B22:B29),0)</f>
        <v>0</v>
      </c>
      <c r="P22" s="372" t="n">
        <f aca="false">IF(AND($N22=1,$N29=1),AVERAGE(C22:C29),0)</f>
        <v>0</v>
      </c>
      <c r="Q22" s="372" t="n">
        <f aca="false">IF(AND($N22=1,$N29=1),AVERAGE(D22:D29),0)</f>
        <v>0</v>
      </c>
      <c r="R22" s="372" t="n">
        <f aca="false">IF(AND($N22=1,$N29=1),AVERAGE(E22:E29),0)</f>
        <v>0</v>
      </c>
      <c r="S22" s="372" t="n">
        <f aca="false">IF(AND($N22=1,$N29=1),AVERAGE(F22:F29),0)</f>
        <v>0</v>
      </c>
      <c r="T22" s="372" t="n">
        <f aca="false">IF(AND($N22=1,$N29=1),AVERAGE(G22:G29),0)</f>
        <v>0</v>
      </c>
      <c r="U22" s="372" t="n">
        <f aca="false">IF(AND($N22=1,$N29=1),AVERAGE(H22:H29),0)</f>
        <v>0</v>
      </c>
      <c r="V22" s="372" t="n">
        <f aca="false">IF(AND($N22=1,$N29=1),AVERAGE(I22:I29),0)</f>
        <v>0</v>
      </c>
      <c r="W22" s="372" t="n">
        <f aca="false">IF(AND($N22=1,$N29=1),AVERAGE(J22:J29),0)</f>
        <v>0</v>
      </c>
      <c r="X22" s="372" t="n">
        <f aca="false">IF(AND($N22=1,$N29=1),AVERAGE(K22:K29),0)</f>
        <v>0</v>
      </c>
      <c r="Y22" s="372" t="n">
        <f aca="false">IF(AND($N22=1,$N29=1),AVERAGE(L22:L29),0)</f>
        <v>0</v>
      </c>
      <c r="Z22" s="375" t="n">
        <f aca="false">IF(AND($N22=1,$N29=1),AVERAGE(M22:M29),0)</f>
        <v>0</v>
      </c>
      <c r="AF22" s="352" t="n">
        <v>37104</v>
      </c>
      <c r="AG22" s="311" t="n">
        <v>23</v>
      </c>
      <c r="AH22" s="311" t="n">
        <v>4</v>
      </c>
      <c r="AI22" s="311" t="n">
        <v>4</v>
      </c>
      <c r="AJ22" s="311" t="n">
        <v>0</v>
      </c>
      <c r="AK22" s="311" t="n">
        <v>31</v>
      </c>
      <c r="AL22" s="311"/>
      <c r="AM22" s="419"/>
      <c r="AN22" s="355"/>
      <c r="AO22" s="243"/>
      <c r="AP22" s="62"/>
      <c r="AQ22" s="417"/>
      <c r="AR22" s="345"/>
      <c r="AS22" s="106"/>
      <c r="AT22" s="106"/>
      <c r="AU22" s="406"/>
      <c r="AV22" s="62"/>
      <c r="AW22" s="62"/>
      <c r="AX22" s="62"/>
      <c r="AZ22" s="62"/>
      <c r="BA22" s="62"/>
      <c r="BB22" s="62"/>
      <c r="BC22" s="406"/>
      <c r="BD22" s="62"/>
      <c r="BE22" s="62"/>
      <c r="BF22" s="62"/>
      <c r="BG22" s="62"/>
      <c r="BH22" s="62"/>
      <c r="BI22" s="62"/>
      <c r="BJ22" s="62"/>
    </row>
    <row r="23" customFormat="false" ht="12.75" hidden="false" customHeight="false" outlineLevel="0" collapsed="false">
      <c r="A23" s="332" t="n">
        <v>1700</v>
      </c>
      <c r="B23" s="373" t="n">
        <f aca="false">'Power Curves'!AT37</f>
        <v>1</v>
      </c>
      <c r="C23" s="373" t="n">
        <f aca="false">'Power Curves'!AU37</f>
        <v>1</v>
      </c>
      <c r="D23" s="373" t="n">
        <f aca="false">'Power Curves'!AV37</f>
        <v>1.01734104046243</v>
      </c>
      <c r="E23" s="373" t="n">
        <f aca="false">'Power Curves'!AW37</f>
        <v>1.05</v>
      </c>
      <c r="F23" s="373" t="n">
        <f aca="false">'Power Curves'!AX37</f>
        <v>1.1</v>
      </c>
      <c r="G23" s="373" t="n">
        <f aca="false">'Power Curves'!AY37</f>
        <v>1.53</v>
      </c>
      <c r="H23" s="373" t="n">
        <f aca="false">'Power Curves'!AZ37</f>
        <v>1.63</v>
      </c>
      <c r="I23" s="373" t="n">
        <f aca="false">'Power Curves'!BA37</f>
        <v>1.63</v>
      </c>
      <c r="J23" s="373" t="n">
        <f aca="false">'Power Curves'!BB37</f>
        <v>1.55</v>
      </c>
      <c r="K23" s="373" t="n">
        <f aca="false">'Power Curves'!BC37</f>
        <v>1.05</v>
      </c>
      <c r="L23" s="373" t="n">
        <f aca="false">'Power Curves'!BD37</f>
        <v>1</v>
      </c>
      <c r="M23" s="373" t="n">
        <f aca="false">'Power Curves'!BE37</f>
        <v>1.12</v>
      </c>
      <c r="N23" s="374" t="n">
        <f aca="false">VALUE('Power Curves'!BF37)</f>
        <v>1</v>
      </c>
      <c r="O23" s="371" t="n">
        <f aca="false">IF(AND($N23=1,$N30=1),AVERAGE(B23:B30),0)</f>
        <v>0</v>
      </c>
      <c r="P23" s="372" t="n">
        <f aca="false">IF(AND($N23=1,$N30=1),AVERAGE(C23:C30),0)</f>
        <v>0</v>
      </c>
      <c r="Q23" s="372" t="n">
        <f aca="false">IF(AND($N23=1,$N30=1),AVERAGE(D23:D30),0)</f>
        <v>0</v>
      </c>
      <c r="R23" s="372" t="n">
        <f aca="false">IF(AND($N23=1,$N30=1),AVERAGE(E23:E30),0)</f>
        <v>0</v>
      </c>
      <c r="S23" s="372" t="n">
        <f aca="false">IF(AND($N23=1,$N30=1),AVERAGE(F23:F30),0)</f>
        <v>0</v>
      </c>
      <c r="T23" s="372" t="n">
        <f aca="false">IF(AND($N23=1,$N30=1),AVERAGE(G23:G30),0)</f>
        <v>0</v>
      </c>
      <c r="U23" s="372" t="n">
        <f aca="false">IF(AND($N23=1,$N30=1),AVERAGE(H23:H30),0)</f>
        <v>0</v>
      </c>
      <c r="V23" s="372" t="n">
        <f aca="false">IF(AND($N23=1,$N30=1),AVERAGE(I23:I30),0)</f>
        <v>0</v>
      </c>
      <c r="W23" s="372" t="n">
        <f aca="false">IF(AND($N23=1,$N30=1),AVERAGE(J23:J30),0)</f>
        <v>0</v>
      </c>
      <c r="X23" s="372" t="n">
        <f aca="false">IF(AND($N23=1,$N30=1),AVERAGE(K23:K30),0)</f>
        <v>0</v>
      </c>
      <c r="Y23" s="372" t="n">
        <f aca="false">IF(AND($N23=1,$N30=1),AVERAGE(L23:L30),0)</f>
        <v>0</v>
      </c>
      <c r="Z23" s="375" t="n">
        <f aca="false">IF(AND($N23=1,$N30=1),AVERAGE(M23:M30),0)</f>
        <v>0</v>
      </c>
      <c r="AF23" s="352" t="n">
        <v>37135</v>
      </c>
      <c r="AG23" s="311" t="n">
        <v>19</v>
      </c>
      <c r="AH23" s="311" t="n">
        <v>5</v>
      </c>
      <c r="AI23" s="311" t="n">
        <v>6</v>
      </c>
      <c r="AJ23" s="311" t="n">
        <v>1</v>
      </c>
      <c r="AK23" s="311" t="n">
        <v>30</v>
      </c>
      <c r="AL23" s="311"/>
      <c r="AM23" s="419"/>
      <c r="AN23" s="355"/>
      <c r="AO23" s="243"/>
      <c r="AP23" s="62"/>
      <c r="AQ23" s="417"/>
      <c r="AR23" s="345"/>
      <c r="AS23" s="106"/>
      <c r="AT23" s="106"/>
      <c r="AU23" s="406"/>
      <c r="AV23" s="62"/>
      <c r="AW23" s="62"/>
      <c r="AX23" s="62"/>
      <c r="AZ23" s="62"/>
      <c r="BA23" s="62"/>
      <c r="BB23" s="62"/>
      <c r="BC23" s="406"/>
      <c r="BD23" s="62"/>
      <c r="BE23" s="62"/>
      <c r="BF23" s="62"/>
      <c r="BG23" s="62"/>
      <c r="BH23" s="62"/>
      <c r="BI23" s="62"/>
      <c r="BJ23" s="62"/>
    </row>
    <row r="24" customFormat="false" ht="12.75" hidden="false" customHeight="false" outlineLevel="0" collapsed="false">
      <c r="A24" s="332" t="n">
        <v>1800</v>
      </c>
      <c r="B24" s="373" t="n">
        <f aca="false">'Power Curves'!AT38</f>
        <v>1.3</v>
      </c>
      <c r="C24" s="373" t="n">
        <f aca="false">'Power Curves'!AU38</f>
        <v>1.3</v>
      </c>
      <c r="D24" s="373" t="n">
        <f aca="false">'Power Curves'!AV38</f>
        <v>1.20231213872832</v>
      </c>
      <c r="E24" s="373" t="n">
        <f aca="false">'Power Curves'!AW38</f>
        <v>1.2</v>
      </c>
      <c r="F24" s="373" t="n">
        <f aca="false">'Power Curves'!AX38</f>
        <v>1.12</v>
      </c>
      <c r="G24" s="373" t="n">
        <f aca="false">'Power Curves'!AY38</f>
        <v>1.53</v>
      </c>
      <c r="H24" s="373" t="n">
        <f aca="false">'Power Curves'!AZ38</f>
        <v>1.63</v>
      </c>
      <c r="I24" s="373" t="n">
        <f aca="false">'Power Curves'!BA38</f>
        <v>1.63</v>
      </c>
      <c r="J24" s="373" t="n">
        <f aca="false">'Power Curves'!BB38</f>
        <v>1.5</v>
      </c>
      <c r="K24" s="373" t="n">
        <f aca="false">'Power Curves'!BC38</f>
        <v>1.2</v>
      </c>
      <c r="L24" s="373" t="n">
        <f aca="false">'Power Curves'!BD38</f>
        <v>1.255</v>
      </c>
      <c r="M24" s="373" t="n">
        <f aca="false">'Power Curves'!BE38</f>
        <v>1.35</v>
      </c>
      <c r="N24" s="374" t="n">
        <f aca="false">VALUE('Power Curves'!BF38)</f>
        <v>1</v>
      </c>
      <c r="O24" s="371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Z24" s="375"/>
      <c r="AF24" s="352" t="n">
        <v>37165</v>
      </c>
      <c r="AG24" s="311" t="n">
        <v>23</v>
      </c>
      <c r="AH24" s="311" t="n">
        <v>4</v>
      </c>
      <c r="AI24" s="311" t="n">
        <v>4</v>
      </c>
      <c r="AJ24" s="311" t="n">
        <v>0</v>
      </c>
      <c r="AK24" s="311" t="n">
        <v>31</v>
      </c>
      <c r="AL24" s="311"/>
      <c r="AM24" s="419"/>
      <c r="AN24" s="355"/>
      <c r="AO24" s="243"/>
      <c r="AP24" s="62"/>
      <c r="AQ24" s="417"/>
      <c r="AR24" s="62"/>
      <c r="AS24" s="62"/>
      <c r="AT24" s="62"/>
      <c r="AU24" s="406"/>
      <c r="AV24" s="62"/>
      <c r="AW24" s="62"/>
      <c r="AX24" s="62"/>
      <c r="AZ24" s="62"/>
      <c r="BA24" s="62"/>
      <c r="BB24" s="62"/>
      <c r="BC24" s="406"/>
      <c r="BD24" s="62"/>
      <c r="BE24" s="62"/>
      <c r="BF24" s="62"/>
      <c r="BG24" s="62"/>
      <c r="BH24" s="62"/>
      <c r="BI24" s="62"/>
      <c r="BJ24" s="62"/>
    </row>
    <row r="25" customFormat="false" ht="12.75" hidden="false" customHeight="false" outlineLevel="0" collapsed="false">
      <c r="A25" s="332" t="n">
        <v>1900</v>
      </c>
      <c r="B25" s="373" t="n">
        <f aca="false">'Power Curves'!AT39</f>
        <v>1.3</v>
      </c>
      <c r="C25" s="373" t="n">
        <f aca="false">'Power Curves'!AU39</f>
        <v>1.3</v>
      </c>
      <c r="D25" s="373" t="n">
        <f aca="false">'Power Curves'!AV39</f>
        <v>1.20231213872832</v>
      </c>
      <c r="E25" s="373" t="n">
        <f aca="false">'Power Curves'!AW39</f>
        <v>1.15</v>
      </c>
      <c r="F25" s="373" t="n">
        <f aca="false">'Power Curves'!AX39</f>
        <v>1.15</v>
      </c>
      <c r="G25" s="373" t="n">
        <f aca="false">'Power Curves'!AY39</f>
        <v>1.53</v>
      </c>
      <c r="H25" s="373" t="n">
        <f aca="false">'Power Curves'!AZ39</f>
        <v>1.63</v>
      </c>
      <c r="I25" s="373" t="n">
        <f aca="false">'Power Curves'!BA39</f>
        <v>1.63</v>
      </c>
      <c r="J25" s="373" t="n">
        <f aca="false">'Power Curves'!BB39</f>
        <v>1.45</v>
      </c>
      <c r="K25" s="373" t="n">
        <f aca="false">'Power Curves'!BC39</f>
        <v>1.15</v>
      </c>
      <c r="L25" s="373" t="n">
        <f aca="false">'Power Curves'!BD39</f>
        <v>1.54</v>
      </c>
      <c r="M25" s="373" t="n">
        <f aca="false">'Power Curves'!BE39</f>
        <v>1.35</v>
      </c>
      <c r="N25" s="374" t="n">
        <f aca="false">VALUE('Power Curves'!BF39)</f>
        <v>1</v>
      </c>
      <c r="O25" s="371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5"/>
      <c r="AF25" s="352" t="n">
        <v>37196</v>
      </c>
      <c r="AG25" s="311" t="n">
        <v>21</v>
      </c>
      <c r="AH25" s="311" t="n">
        <v>4</v>
      </c>
      <c r="AI25" s="311" t="n">
        <v>5</v>
      </c>
      <c r="AJ25" s="311" t="n">
        <v>1</v>
      </c>
      <c r="AK25" s="311" t="n">
        <v>30</v>
      </c>
      <c r="AL25" s="311"/>
      <c r="AM25" s="419"/>
      <c r="AN25" s="355"/>
      <c r="AO25" s="243"/>
      <c r="AP25" s="62"/>
      <c r="AQ25" s="417"/>
      <c r="AR25" s="345"/>
      <c r="AS25" s="414"/>
      <c r="AT25" s="414"/>
      <c r="AU25" s="406"/>
      <c r="AV25" s="62"/>
      <c r="AW25" s="62"/>
      <c r="AX25" s="62"/>
      <c r="AZ25" s="62"/>
      <c r="BA25" s="62"/>
      <c r="BB25" s="62"/>
      <c r="BC25" s="406"/>
      <c r="BD25" s="62"/>
      <c r="BE25" s="62"/>
      <c r="BF25" s="62"/>
      <c r="BG25" s="62"/>
      <c r="BH25" s="62"/>
      <c r="BI25" s="62"/>
      <c r="BJ25" s="62"/>
    </row>
    <row r="26" customFormat="false" ht="12.75" hidden="false" customHeight="false" outlineLevel="0" collapsed="false">
      <c r="A26" s="332" t="n">
        <v>2000</v>
      </c>
      <c r="B26" s="373" t="n">
        <f aca="false">'Power Curves'!AT40</f>
        <v>1.15</v>
      </c>
      <c r="C26" s="373" t="n">
        <f aca="false">'Power Curves'!AU40</f>
        <v>1.15</v>
      </c>
      <c r="D26" s="373" t="n">
        <f aca="false">'Power Curves'!AV40</f>
        <v>1.01734104046243</v>
      </c>
      <c r="E26" s="373" t="n">
        <f aca="false">'Power Curves'!AW40</f>
        <v>1.05</v>
      </c>
      <c r="F26" s="373" t="n">
        <f aca="false">'Power Curves'!AX40</f>
        <v>1.12</v>
      </c>
      <c r="G26" s="373" t="n">
        <f aca="false">'Power Curves'!AY40</f>
        <v>1.53</v>
      </c>
      <c r="H26" s="373" t="n">
        <f aca="false">'Power Curves'!AZ40</f>
        <v>1.63</v>
      </c>
      <c r="I26" s="373" t="n">
        <f aca="false">'Power Curves'!BA40</f>
        <v>1.63</v>
      </c>
      <c r="J26" s="373" t="n">
        <f aca="false">'Power Curves'!BB40</f>
        <v>1.35</v>
      </c>
      <c r="K26" s="373" t="n">
        <f aca="false">'Power Curves'!BC40</f>
        <v>1.05</v>
      </c>
      <c r="L26" s="373" t="n">
        <f aca="false">'Power Curves'!BD40</f>
        <v>1.54</v>
      </c>
      <c r="M26" s="373" t="n">
        <f aca="false">'Power Curves'!BE40</f>
        <v>1.21</v>
      </c>
      <c r="N26" s="374" t="n">
        <f aca="false">VALUE('Power Curves'!BF40)</f>
        <v>1</v>
      </c>
      <c r="O26" s="371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Z26" s="375"/>
      <c r="AF26" s="352" t="n">
        <v>37226</v>
      </c>
      <c r="AG26" s="311" t="n">
        <v>20</v>
      </c>
      <c r="AH26" s="311" t="n">
        <v>5</v>
      </c>
      <c r="AI26" s="311" t="n">
        <v>6</v>
      </c>
      <c r="AJ26" s="311" t="n">
        <v>1</v>
      </c>
      <c r="AK26" s="311" t="n">
        <v>31</v>
      </c>
      <c r="AL26" s="311"/>
      <c r="AM26" s="419"/>
      <c r="AN26" s="62"/>
      <c r="AO26" s="62"/>
      <c r="AP26" s="62"/>
      <c r="AQ26" s="417"/>
      <c r="AR26" s="345"/>
      <c r="AS26" s="106"/>
      <c r="AT26" s="106"/>
      <c r="AU26" s="406"/>
      <c r="AV26" s="62"/>
      <c r="AW26" s="62"/>
      <c r="AX26" s="62"/>
      <c r="AZ26" s="62"/>
      <c r="BA26" s="62"/>
      <c r="BB26" s="62"/>
      <c r="BC26" s="406"/>
      <c r="BD26" s="62"/>
      <c r="BE26" s="62"/>
      <c r="BF26" s="62"/>
      <c r="BG26" s="62"/>
      <c r="BH26" s="62"/>
      <c r="BI26" s="62"/>
      <c r="BJ26" s="62"/>
    </row>
    <row r="27" customFormat="false" ht="12.75" hidden="false" customHeight="false" outlineLevel="0" collapsed="false">
      <c r="A27" s="332" t="n">
        <v>2100</v>
      </c>
      <c r="B27" s="373" t="n">
        <f aca="false">'Power Curves'!AT41</f>
        <v>0.8</v>
      </c>
      <c r="C27" s="373" t="n">
        <f aca="false">'Power Curves'!AU41</f>
        <v>0.8</v>
      </c>
      <c r="D27" s="373" t="n">
        <f aca="false">'Power Curves'!AV41</f>
        <v>0.92485549132948</v>
      </c>
      <c r="E27" s="373" t="n">
        <f aca="false">'Power Curves'!AW41</f>
        <v>0.9</v>
      </c>
      <c r="F27" s="373" t="n">
        <f aca="false">'Power Curves'!AX41</f>
        <v>0.90282131661442</v>
      </c>
      <c r="G27" s="373" t="n">
        <f aca="false">'Power Curves'!AY41</f>
        <v>0.47</v>
      </c>
      <c r="H27" s="373" t="n">
        <f aca="false">'Power Curves'!AZ41</f>
        <v>0.37</v>
      </c>
      <c r="I27" s="373" t="n">
        <f aca="false">'Power Curves'!BA41</f>
        <v>0.37</v>
      </c>
      <c r="J27" s="373" t="n">
        <f aca="false">'Power Curves'!BB41</f>
        <v>1</v>
      </c>
      <c r="K27" s="373" t="n">
        <f aca="false">'Power Curves'!BC41</f>
        <v>0.9</v>
      </c>
      <c r="L27" s="373" t="n">
        <f aca="false">'Power Curves'!BD41</f>
        <v>1.205</v>
      </c>
      <c r="M27" s="373" t="n">
        <f aca="false">'Power Curves'!BE41</f>
        <v>0.95</v>
      </c>
      <c r="N27" s="374" t="n">
        <f aca="false">VALUE('Power Curves'!BF41)</f>
        <v>1</v>
      </c>
      <c r="O27" s="371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Z27" s="375"/>
      <c r="AF27" s="352" t="n">
        <v>37257</v>
      </c>
      <c r="AG27" s="311" t="n">
        <v>22</v>
      </c>
      <c r="AH27" s="311" t="n">
        <v>4</v>
      </c>
      <c r="AI27" s="311" t="n">
        <v>5</v>
      </c>
      <c r="AJ27" s="311" t="n">
        <v>1</v>
      </c>
      <c r="AK27" s="311" t="n">
        <v>31</v>
      </c>
      <c r="AL27" s="311"/>
      <c r="AM27" s="419"/>
      <c r="AN27" s="62"/>
      <c r="AO27" s="62"/>
      <c r="AP27" s="62"/>
      <c r="AQ27" s="417"/>
      <c r="AR27" s="345"/>
      <c r="AS27" s="106"/>
      <c r="AT27" s="106"/>
      <c r="AU27" s="406"/>
      <c r="AV27" s="62"/>
      <c r="AW27" s="62"/>
      <c r="AX27" s="62"/>
      <c r="AZ27" s="62"/>
      <c r="BA27" s="62"/>
      <c r="BB27" s="62"/>
      <c r="BC27" s="406"/>
      <c r="BD27" s="62"/>
      <c r="BE27" s="62"/>
      <c r="BF27" s="62"/>
      <c r="BG27" s="62"/>
      <c r="BH27" s="62"/>
      <c r="BI27" s="62"/>
      <c r="BJ27" s="62"/>
    </row>
    <row r="28" customFormat="false" ht="12.75" hidden="false" customHeight="false" outlineLevel="0" collapsed="false">
      <c r="A28" s="332" t="n">
        <v>2200</v>
      </c>
      <c r="B28" s="373" t="n">
        <f aca="false">'Power Curves'!AT42</f>
        <v>0.79</v>
      </c>
      <c r="C28" s="373" t="n">
        <f aca="false">'Power Curves'!AU42</f>
        <v>0.79</v>
      </c>
      <c r="D28" s="373" t="n">
        <f aca="false">'Power Curves'!AV42</f>
        <v>0.832369942196532</v>
      </c>
      <c r="E28" s="373" t="n">
        <f aca="false">'Power Curves'!AW42</f>
        <v>0.85</v>
      </c>
      <c r="F28" s="373" t="n">
        <f aca="false">'Power Curves'!AX42</f>
        <v>0.85</v>
      </c>
      <c r="G28" s="373" t="n">
        <f aca="false">'Power Curves'!AY42</f>
        <v>0.47</v>
      </c>
      <c r="H28" s="373" t="n">
        <f aca="false">'Power Curves'!AZ42</f>
        <v>0.37</v>
      </c>
      <c r="I28" s="373" t="n">
        <f aca="false">'Power Curves'!BA42</f>
        <v>0.37</v>
      </c>
      <c r="J28" s="373" t="n">
        <f aca="false">'Power Curves'!BB42</f>
        <v>0.69</v>
      </c>
      <c r="K28" s="373" t="n">
        <f aca="false">'Power Curves'!BC42</f>
        <v>0.85</v>
      </c>
      <c r="L28" s="373" t="n">
        <f aca="false">'Power Curves'!BD42</f>
        <v>0.72</v>
      </c>
      <c r="M28" s="373" t="n">
        <f aca="false">'Power Curves'!BE42</f>
        <v>0.72</v>
      </c>
      <c r="N28" s="374" t="n">
        <f aca="false">VALUE('Power Curves'!BF42)</f>
        <v>1</v>
      </c>
      <c r="O28" s="371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Z28" s="375"/>
      <c r="AF28" s="352" t="n">
        <v>37288</v>
      </c>
      <c r="AG28" s="311" t="n">
        <v>20</v>
      </c>
      <c r="AH28" s="311" t="n">
        <v>4</v>
      </c>
      <c r="AI28" s="311" t="n">
        <v>4</v>
      </c>
      <c r="AJ28" s="311" t="n">
        <v>0</v>
      </c>
      <c r="AK28" s="311" t="n">
        <v>28</v>
      </c>
      <c r="AL28" s="311"/>
      <c r="AM28" s="419"/>
      <c r="AN28" s="62"/>
      <c r="AO28" s="62"/>
      <c r="AP28" s="62"/>
      <c r="AQ28" s="417"/>
      <c r="AR28" s="345"/>
      <c r="AS28" s="106"/>
      <c r="AT28" s="106"/>
      <c r="AU28" s="406"/>
      <c r="AV28" s="62"/>
      <c r="AW28" s="62"/>
      <c r="AX28" s="62"/>
      <c r="AZ28" s="62"/>
      <c r="BA28" s="62"/>
      <c r="BB28" s="62"/>
      <c r="BC28" s="406"/>
      <c r="BD28" s="62"/>
      <c r="BE28" s="62"/>
      <c r="BF28" s="62"/>
      <c r="BG28" s="62"/>
      <c r="BH28" s="62"/>
      <c r="BI28" s="62"/>
      <c r="BJ28" s="62"/>
    </row>
    <row r="29" customFormat="false" ht="12.75" hidden="false" customHeight="false" outlineLevel="0" collapsed="false">
      <c r="A29" s="332" t="n">
        <v>2300</v>
      </c>
      <c r="B29" s="373" t="n">
        <f aca="false">'Power Curves'!AT43</f>
        <v>1.05</v>
      </c>
      <c r="C29" s="373" t="n">
        <f aca="false">'Power Curves'!AU43</f>
        <v>1.05</v>
      </c>
      <c r="D29" s="373" t="n">
        <f aca="false">'Power Curves'!AV43</f>
        <v>1.13942581548393</v>
      </c>
      <c r="E29" s="373" t="n">
        <f aca="false">'Power Curves'!AW43</f>
        <v>1.26515386305201</v>
      </c>
      <c r="F29" s="373" t="n">
        <f aca="false">'Power Curves'!AX43</f>
        <v>1.15</v>
      </c>
      <c r="G29" s="373" t="n">
        <f aca="false">'Power Curves'!AY43</f>
        <v>1.25</v>
      </c>
      <c r="H29" s="373" t="n">
        <f aca="false">'Power Curves'!AZ43</f>
        <v>1.29465582024753</v>
      </c>
      <c r="I29" s="373" t="n">
        <f aca="false">'Power Curves'!BA43</f>
        <v>1.29465582024753</v>
      </c>
      <c r="J29" s="373" t="n">
        <f aca="false">'Power Curves'!BB43</f>
        <v>1.25</v>
      </c>
      <c r="K29" s="373" t="n">
        <f aca="false">'Power Curves'!BC43</f>
        <v>1.26515386305201</v>
      </c>
      <c r="L29" s="373" t="n">
        <f aca="false">'Power Curves'!BD43</f>
        <v>1.11998824052749</v>
      </c>
      <c r="M29" s="373" t="n">
        <f aca="false">'Power Curves'!BE43</f>
        <v>1.11998824052749</v>
      </c>
      <c r="N29" s="374" t="n">
        <f aca="false">VALUE('Power Curves'!BF43)</f>
        <v>2</v>
      </c>
      <c r="O29" s="371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Z29" s="375"/>
      <c r="AF29" s="352" t="n">
        <v>37316</v>
      </c>
      <c r="AG29" s="311" t="n">
        <v>21</v>
      </c>
      <c r="AH29" s="311" t="n">
        <v>5</v>
      </c>
      <c r="AI29" s="311" t="n">
        <v>5</v>
      </c>
      <c r="AJ29" s="311" t="n">
        <v>0</v>
      </c>
      <c r="AK29" s="311" t="n">
        <v>31</v>
      </c>
      <c r="AL29" s="311"/>
      <c r="AM29" s="419"/>
      <c r="AN29" s="62"/>
      <c r="AO29" s="62"/>
      <c r="AP29" s="62"/>
      <c r="AQ29" s="417"/>
      <c r="AR29" s="345"/>
      <c r="AS29" s="106"/>
      <c r="AT29" s="106"/>
      <c r="AU29" s="406"/>
      <c r="AV29" s="62"/>
      <c r="AW29" s="62"/>
      <c r="AX29" s="62"/>
      <c r="AZ29" s="62"/>
      <c r="BA29" s="62"/>
      <c r="BB29" s="62"/>
      <c r="BC29" s="406"/>
      <c r="BD29" s="62"/>
      <c r="BE29" s="62"/>
      <c r="BF29" s="62"/>
      <c r="BG29" s="62"/>
      <c r="BH29" s="62"/>
      <c r="BI29" s="62"/>
      <c r="BJ29" s="62"/>
    </row>
    <row r="30" customFormat="false" ht="12.75" hidden="false" customHeight="false" outlineLevel="0" collapsed="false">
      <c r="A30" s="332" t="n">
        <v>2400</v>
      </c>
      <c r="B30" s="373" t="n">
        <f aca="false">'Power Curves'!AT44</f>
        <v>0.95</v>
      </c>
      <c r="C30" s="373" t="n">
        <f aca="false">'Power Curves'!AU44</f>
        <v>0.95</v>
      </c>
      <c r="D30" s="373" t="n">
        <f aca="false">'Power Curves'!AV44</f>
        <v>1.06539539351647</v>
      </c>
      <c r="E30" s="373" t="n">
        <f aca="false">'Power Curves'!AW44</f>
        <v>1.15401118724704</v>
      </c>
      <c r="F30" s="373" t="n">
        <f aca="false">'Power Curves'!AX44</f>
        <v>0.958807332906934</v>
      </c>
      <c r="G30" s="373" t="n">
        <f aca="false">'Power Curves'!AY44</f>
        <v>1.21505912963884</v>
      </c>
      <c r="H30" s="373" t="n">
        <f aca="false">'Power Curves'!AZ44</f>
        <v>1.19131182078933</v>
      </c>
      <c r="I30" s="373" t="n">
        <f aca="false">'Power Curves'!BA44</f>
        <v>1.19131182078933</v>
      </c>
      <c r="J30" s="373" t="n">
        <f aca="false">'Power Curves'!BB44</f>
        <v>1.21505912963884</v>
      </c>
      <c r="K30" s="373" t="n">
        <f aca="false">'Power Curves'!BC44</f>
        <v>1.15401118724704</v>
      </c>
      <c r="L30" s="373" t="n">
        <f aca="false">'Power Curves'!BD44</f>
        <v>1.05392489132036</v>
      </c>
      <c r="M30" s="373" t="n">
        <f aca="false">'Power Curves'!BE44</f>
        <v>1.10392489132036</v>
      </c>
      <c r="N30" s="374" t="n">
        <f aca="false">VALUE('Power Curves'!BF44)</f>
        <v>2</v>
      </c>
      <c r="O30" s="371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Z30" s="375"/>
      <c r="AF30" s="352" t="n">
        <v>37347</v>
      </c>
      <c r="AG30" s="311" t="n">
        <v>22</v>
      </c>
      <c r="AH30" s="311" t="n">
        <v>4</v>
      </c>
      <c r="AI30" s="311" t="n">
        <v>4</v>
      </c>
      <c r="AJ30" s="311" t="n">
        <v>0</v>
      </c>
      <c r="AK30" s="311" t="n">
        <v>30</v>
      </c>
      <c r="AL30" s="311"/>
      <c r="AM30" s="419"/>
      <c r="AN30" s="62"/>
      <c r="AO30" s="62"/>
      <c r="AP30" s="62"/>
      <c r="AQ30" s="417"/>
      <c r="AR30" s="345"/>
      <c r="AS30" s="106"/>
      <c r="AT30" s="106"/>
      <c r="AU30" s="406"/>
      <c r="AV30" s="62"/>
      <c r="AW30" s="62"/>
      <c r="AX30" s="62"/>
      <c r="AZ30" s="62"/>
      <c r="BA30" s="62"/>
      <c r="BB30" s="62"/>
      <c r="BC30" s="406"/>
      <c r="BD30" s="62"/>
      <c r="BE30" s="62"/>
      <c r="BF30" s="62"/>
      <c r="BG30" s="62"/>
      <c r="BH30" s="62"/>
      <c r="BI30" s="62"/>
      <c r="BJ30" s="62"/>
    </row>
    <row r="31" customFormat="false" ht="12.75" hidden="false" customHeight="false" outlineLevel="0" collapsed="false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71"/>
      <c r="P31" s="372"/>
      <c r="Q31" s="116"/>
      <c r="R31" s="116"/>
      <c r="S31" s="116"/>
      <c r="T31" s="116"/>
      <c r="U31" s="116"/>
      <c r="V31" s="116"/>
      <c r="W31" s="116"/>
      <c r="X31" s="116"/>
      <c r="Y31" s="116"/>
      <c r="Z31" s="295"/>
      <c r="AF31" s="352" t="n">
        <v>37377</v>
      </c>
      <c r="AG31" s="311" t="n">
        <v>22</v>
      </c>
      <c r="AH31" s="311" t="n">
        <v>4</v>
      </c>
      <c r="AI31" s="311" t="n">
        <v>5</v>
      </c>
      <c r="AJ31" s="311" t="n">
        <v>1</v>
      </c>
      <c r="AK31" s="311" t="n">
        <v>31</v>
      </c>
      <c r="AL31" s="311"/>
      <c r="AM31" s="419"/>
      <c r="AN31" s="62"/>
      <c r="AO31" s="62"/>
      <c r="AP31" s="62"/>
      <c r="AQ31" s="417"/>
      <c r="AR31" s="345"/>
      <c r="AS31" s="106"/>
      <c r="AT31" s="106"/>
      <c r="AU31" s="406"/>
      <c r="AV31" s="62"/>
      <c r="AW31" s="62"/>
      <c r="AX31" s="62"/>
      <c r="AZ31" s="62"/>
      <c r="BA31" s="62"/>
      <c r="BB31" s="62"/>
      <c r="BC31" s="406"/>
      <c r="BD31" s="62"/>
      <c r="BE31" s="62"/>
      <c r="BF31" s="62"/>
      <c r="BG31" s="62"/>
      <c r="BH31" s="62"/>
      <c r="BI31" s="62"/>
      <c r="BJ31" s="62"/>
    </row>
    <row r="32" customFormat="false" ht="12.75" hidden="false" customHeight="false" outlineLevel="0" collapsed="false">
      <c r="A32" s="381" t="s">
        <v>1290</v>
      </c>
      <c r="B32" s="382" t="n">
        <f aca="false">O32</f>
        <v>1.02007383501259</v>
      </c>
      <c r="C32" s="382" t="n">
        <f aca="false">P32</f>
        <v>1.02007383501259</v>
      </c>
      <c r="D32" s="382" t="n">
        <f aca="false">Q32</f>
        <v>1.0173448699422</v>
      </c>
      <c r="E32" s="382" t="n">
        <f aca="false">R32</f>
        <v>1.005</v>
      </c>
      <c r="F32" s="382" t="n">
        <f aca="false">S32</f>
        <v>1.075625</v>
      </c>
      <c r="G32" s="382" t="n">
        <f aca="false">T32</f>
        <v>1.53</v>
      </c>
      <c r="H32" s="382" t="n">
        <f aca="false">U32</f>
        <v>1.63</v>
      </c>
      <c r="I32" s="382" t="n">
        <f aca="false">V32</f>
        <v>1.63</v>
      </c>
      <c r="J32" s="382" t="n">
        <f aca="false">W32</f>
        <v>1.35125</v>
      </c>
      <c r="K32" s="382" t="n">
        <f aca="false">X32</f>
        <v>1.005</v>
      </c>
      <c r="L32" s="382" t="n">
        <f aca="false">Y32</f>
        <v>1.0825</v>
      </c>
      <c r="M32" s="382" t="n">
        <f aca="false">Z32</f>
        <v>1.02125</v>
      </c>
      <c r="N32" s="311"/>
      <c r="O32" s="383" t="n">
        <f aca="false">MAX(O7:O30)</f>
        <v>1.02007383501259</v>
      </c>
      <c r="P32" s="384" t="n">
        <f aca="false">MAX(P7:P30)</f>
        <v>1.02007383501259</v>
      </c>
      <c r="Q32" s="384" t="n">
        <f aca="false">MAX(Q7:Q30)</f>
        <v>1.0173448699422</v>
      </c>
      <c r="R32" s="384" t="n">
        <f aca="false">MAX(R7:R30)</f>
        <v>1.005</v>
      </c>
      <c r="S32" s="384" t="n">
        <f aca="false">MAX(S7:S30)</f>
        <v>1.075625</v>
      </c>
      <c r="T32" s="384" t="n">
        <f aca="false">MAX(T7:T30)</f>
        <v>1.53</v>
      </c>
      <c r="U32" s="384" t="n">
        <f aca="false">MAX(U7:U30)</f>
        <v>1.63</v>
      </c>
      <c r="V32" s="384" t="n">
        <f aca="false">MAX(V7:V30)</f>
        <v>1.63</v>
      </c>
      <c r="W32" s="384" t="n">
        <f aca="false">MAX(W7:W30)</f>
        <v>1.35125</v>
      </c>
      <c r="X32" s="384" t="n">
        <f aca="false">MAX(X7:X30)</f>
        <v>1.005</v>
      </c>
      <c r="Y32" s="384" t="n">
        <f aca="false">MAX(Y7:Y30)</f>
        <v>1.0825</v>
      </c>
      <c r="Z32" s="385" t="n">
        <f aca="false">MAX(Z7:Z30)</f>
        <v>1.02125</v>
      </c>
      <c r="AF32" s="352" t="n">
        <v>37408</v>
      </c>
      <c r="AG32" s="311" t="n">
        <v>20</v>
      </c>
      <c r="AH32" s="311" t="n">
        <v>5</v>
      </c>
      <c r="AI32" s="311" t="n">
        <v>5</v>
      </c>
      <c r="AJ32" s="311" t="n">
        <v>0</v>
      </c>
      <c r="AK32" s="311" t="n">
        <v>30</v>
      </c>
      <c r="AL32" s="311"/>
      <c r="AM32" s="419"/>
      <c r="AN32" s="62"/>
      <c r="AO32" s="62"/>
      <c r="AP32" s="62"/>
      <c r="AQ32" s="417"/>
      <c r="AR32" s="345"/>
      <c r="AS32" s="106"/>
      <c r="AT32" s="106"/>
      <c r="AU32" s="406"/>
      <c r="AV32" s="62"/>
      <c r="AW32" s="62"/>
      <c r="AX32" s="62"/>
      <c r="AZ32" s="62"/>
      <c r="BA32" s="62"/>
      <c r="BB32" s="62"/>
      <c r="BC32" s="406"/>
      <c r="BD32" s="62"/>
      <c r="BE32" s="62"/>
      <c r="BF32" s="62"/>
      <c r="BG32" s="62"/>
      <c r="BH32" s="62"/>
      <c r="BI32" s="62"/>
      <c r="BJ32" s="62"/>
    </row>
    <row r="33" customFormat="false" ht="12.75" hidden="false" customHeight="false" outlineLevel="0" collapsed="false">
      <c r="A33" s="386" t="s">
        <v>1363</v>
      </c>
      <c r="B33" s="387"/>
      <c r="C33" s="387"/>
      <c r="D33" s="387"/>
      <c r="E33" s="387"/>
      <c r="F33" s="387"/>
      <c r="G33" s="387"/>
      <c r="H33" s="387"/>
      <c r="I33" s="387"/>
      <c r="J33" s="250"/>
      <c r="AF33" s="352" t="n">
        <v>37438</v>
      </c>
      <c r="AG33" s="311" t="n">
        <v>22</v>
      </c>
      <c r="AH33" s="311" t="n">
        <v>4</v>
      </c>
      <c r="AI33" s="311" t="n">
        <v>5</v>
      </c>
      <c r="AJ33" s="311" t="n">
        <v>1</v>
      </c>
      <c r="AK33" s="311" t="n">
        <v>31</v>
      </c>
      <c r="AL33" s="311"/>
      <c r="AM33" s="419"/>
      <c r="AN33" s="62"/>
      <c r="AO33" s="62"/>
      <c r="AP33" s="62"/>
      <c r="AQ33" s="417"/>
      <c r="AR33" s="345"/>
      <c r="AS33" s="106"/>
      <c r="AT33" s="106"/>
      <c r="AU33" s="406"/>
      <c r="AV33" s="62"/>
      <c r="AW33" s="62"/>
      <c r="AX33" s="62"/>
      <c r="AZ33" s="62"/>
      <c r="BA33" s="62"/>
      <c r="BB33" s="62"/>
      <c r="BC33" s="406"/>
      <c r="BD33" s="62"/>
      <c r="BE33" s="62"/>
      <c r="BF33" s="62"/>
      <c r="BG33" s="62"/>
      <c r="BH33" s="62"/>
      <c r="BI33" s="62"/>
      <c r="BJ33" s="62"/>
    </row>
    <row r="34" customFormat="false" ht="12.75" hidden="false" customHeight="false" outlineLevel="0" collapsed="false">
      <c r="A34" s="388" t="s">
        <v>1365</v>
      </c>
      <c r="E34" s="389"/>
      <c r="F34" s="189"/>
      <c r="G34" s="161"/>
      <c r="N34" s="390" t="s">
        <v>1366</v>
      </c>
      <c r="O34" s="391"/>
      <c r="P34" s="391"/>
      <c r="Q34" s="391"/>
      <c r="R34" s="391"/>
      <c r="S34" s="392"/>
      <c r="T34" s="392"/>
      <c r="U34" s="393"/>
      <c r="AF34" s="352" t="n">
        <v>37469</v>
      </c>
      <c r="AG34" s="311" t="n">
        <v>22</v>
      </c>
      <c r="AH34" s="311" t="n">
        <v>5</v>
      </c>
      <c r="AI34" s="311" t="n">
        <v>4</v>
      </c>
      <c r="AJ34" s="311" t="n">
        <v>0</v>
      </c>
      <c r="AK34" s="311" t="n">
        <v>31</v>
      </c>
      <c r="AL34" s="311"/>
      <c r="AM34" s="419"/>
      <c r="AN34" s="62"/>
      <c r="AO34" s="62"/>
      <c r="AP34" s="62"/>
      <c r="AQ34" s="417"/>
      <c r="AR34" s="345"/>
      <c r="AS34" s="106"/>
      <c r="AT34" s="106"/>
      <c r="AU34" s="406"/>
      <c r="AV34" s="62"/>
      <c r="AW34" s="62"/>
      <c r="AX34" s="62"/>
      <c r="AZ34" s="62"/>
      <c r="BA34" s="62"/>
      <c r="BB34" s="62"/>
      <c r="BC34" s="406"/>
      <c r="BD34" s="62"/>
      <c r="BE34" s="62"/>
      <c r="BF34" s="62"/>
      <c r="BG34" s="62"/>
      <c r="BH34" s="62"/>
      <c r="BI34" s="62"/>
      <c r="BJ34" s="62"/>
    </row>
    <row r="35" customFormat="false" ht="12.75" hidden="false" customHeight="false" outlineLevel="0" collapsed="false">
      <c r="B35" s="394" t="s">
        <v>1388</v>
      </c>
      <c r="C35" s="310"/>
      <c r="D35" s="312" t="s">
        <v>1368</v>
      </c>
      <c r="E35" s="394" t="s">
        <v>1369</v>
      </c>
      <c r="F35" s="312" t="s">
        <v>1370</v>
      </c>
      <c r="G35" s="394" t="s">
        <v>1371</v>
      </c>
      <c r="H35" s="312" t="s">
        <v>1372</v>
      </c>
      <c r="I35" s="394" t="s">
        <v>1373</v>
      </c>
      <c r="J35" s="394"/>
      <c r="K35" s="394"/>
      <c r="L35" s="394"/>
      <c r="N35" s="395" t="s">
        <v>1374</v>
      </c>
      <c r="O35" s="395" t="s">
        <v>1375</v>
      </c>
      <c r="P35" s="395" t="s">
        <v>1376</v>
      </c>
      <c r="Q35" s="395" t="s">
        <v>1373</v>
      </c>
      <c r="R35" s="395" t="s">
        <v>1377</v>
      </c>
      <c r="AF35" s="352" t="n">
        <v>37500</v>
      </c>
      <c r="AG35" s="311" t="n">
        <v>20</v>
      </c>
      <c r="AH35" s="311" t="n">
        <v>4</v>
      </c>
      <c r="AI35" s="311" t="n">
        <v>6</v>
      </c>
      <c r="AJ35" s="311" t="n">
        <v>1</v>
      </c>
      <c r="AK35" s="311" t="n">
        <v>30</v>
      </c>
      <c r="AM35" s="406"/>
      <c r="AN35" s="62"/>
      <c r="AO35" s="62"/>
      <c r="AP35" s="62"/>
      <c r="AQ35" s="417"/>
      <c r="AR35" s="62"/>
      <c r="AS35" s="62"/>
      <c r="AT35" s="62"/>
      <c r="AU35" s="406"/>
      <c r="AV35" s="62"/>
      <c r="AW35" s="62"/>
      <c r="AX35" s="62"/>
      <c r="AZ35" s="62"/>
      <c r="BA35" s="62"/>
      <c r="BB35" s="62"/>
      <c r="BC35" s="406"/>
      <c r="BD35" s="62"/>
      <c r="BE35" s="62"/>
      <c r="BF35" s="62"/>
      <c r="BG35" s="62"/>
      <c r="BH35" s="62"/>
      <c r="BI35" s="62"/>
      <c r="BJ35" s="62"/>
    </row>
    <row r="36" customFormat="false" ht="12.75" hidden="false" customHeight="false" outlineLevel="0" collapsed="false">
      <c r="A36" s="331" t="s">
        <v>1288</v>
      </c>
      <c r="B36" s="394" t="s">
        <v>1326</v>
      </c>
      <c r="C36" s="394" t="s">
        <v>1380</v>
      </c>
      <c r="D36" s="312" t="s">
        <v>1381</v>
      </c>
      <c r="E36" s="394" t="s">
        <v>1326</v>
      </c>
      <c r="F36" s="312" t="s">
        <v>1381</v>
      </c>
      <c r="G36" s="394" t="s">
        <v>1326</v>
      </c>
      <c r="H36" s="312" t="s">
        <v>1381</v>
      </c>
      <c r="I36" s="394" t="s">
        <v>1384</v>
      </c>
      <c r="J36" s="394"/>
      <c r="K36" s="394"/>
      <c r="L36" s="394"/>
      <c r="N36" s="395" t="s">
        <v>1381</v>
      </c>
      <c r="O36" s="395" t="s">
        <v>1381</v>
      </c>
      <c r="P36" s="395" t="s">
        <v>1381</v>
      </c>
      <c r="Q36" s="395" t="s">
        <v>1384</v>
      </c>
      <c r="R36" s="395" t="s">
        <v>1299</v>
      </c>
      <c r="AF36" s="352" t="n">
        <v>37530</v>
      </c>
      <c r="AG36" s="311" t="n">
        <v>23</v>
      </c>
      <c r="AH36" s="311" t="n">
        <v>4</v>
      </c>
      <c r="AI36" s="311" t="n">
        <v>4</v>
      </c>
      <c r="AJ36" s="311" t="n">
        <v>0</v>
      </c>
      <c r="AK36" s="311" t="n">
        <v>31</v>
      </c>
      <c r="AM36" s="406"/>
      <c r="AN36" s="62"/>
      <c r="AO36" s="62"/>
      <c r="AP36" s="62"/>
      <c r="AQ36" s="417"/>
      <c r="AR36" s="345"/>
      <c r="AS36" s="414"/>
      <c r="AT36" s="414"/>
      <c r="AU36" s="406"/>
      <c r="AV36" s="62"/>
      <c r="AW36" s="62"/>
      <c r="AX36" s="62"/>
      <c r="AZ36" s="62"/>
      <c r="BA36" s="62"/>
      <c r="BB36" s="62"/>
      <c r="BC36" s="406"/>
      <c r="BD36" s="62"/>
      <c r="BE36" s="62"/>
      <c r="BF36" s="62"/>
      <c r="BG36" s="62"/>
      <c r="BH36" s="62"/>
      <c r="BI36" s="62"/>
      <c r="BJ36" s="62"/>
    </row>
    <row r="37" customFormat="false" ht="12.75" hidden="false" customHeight="false" outlineLevel="0" collapsed="false">
      <c r="A37" s="352" t="n">
        <f aca="false">Option4!A4</f>
        <v>37257</v>
      </c>
      <c r="B37" s="396" t="n">
        <f aca="false">IF(A37="N/A"," ",N37*VLOOKUP(MONTH(A37),Curveadj,3))</f>
        <v>32.4166677565802</v>
      </c>
      <c r="C37" s="397" t="n">
        <f aca="false">IF(A37="N/A"," ",(IF(AND(Scaler4=1,MONTH(A37)&gt;=6,MONTH(A37)&lt;=8,OR($M$37="REGION 2",$M$37="REGION 2A",$M$37="REGION 2B",$M$37="REGION 3",$M$37="REGION 3A",$M$37="REGION 3B",$M$37="REGION 3C",$M$37="REGION 4",$M$37="REGION 4B",$M$37="REGION 4C",$M$37="REGION 5",$M$37="REGION 5A")),((0.059228/(B37/100))-(0.4980013/(SQRT(B37/100)))+2.137988),HLOOKUP(MONTH(A37),ScalarTable,28))))</f>
        <v>1.02007383501259</v>
      </c>
      <c r="D37" s="398" t="n">
        <f aca="false">IF(A37="N/A"," ",C37*B37)</f>
        <v>33.0673945967839</v>
      </c>
      <c r="E37" s="396" t="n">
        <f aca="false">IF(A37="N/A"," ",O37*VLOOKUP(MONTH(A37),Curveadj,3))</f>
        <v>29.320001373291</v>
      </c>
      <c r="F37" s="398" t="n">
        <f aca="false">IF(A37="N/A"," ",E37*C37)</f>
        <v>29.9085662434275</v>
      </c>
      <c r="G37" s="396" t="n">
        <f aca="false">IF(A37="N/A"," ",P37*VLOOKUP(MONTH(A37),Curveadj,3))</f>
        <v>19.820001373291</v>
      </c>
      <c r="H37" s="398" t="n">
        <f aca="false">IF(A37="N/A"," ",G37*C37)</f>
        <v>20.2178648108079</v>
      </c>
      <c r="I37" s="398" t="n">
        <f aca="false">IF(A37="N/A"," ",Q37)</f>
        <v>18.25</v>
      </c>
      <c r="J37" s="398"/>
      <c r="K37" s="399"/>
      <c r="L37" s="399"/>
      <c r="M37" s="400" t="str">
        <f aca="false">PositionRegion</f>
        <v>REGION 4</v>
      </c>
      <c r="N37" s="401" t="n">
        <f aca="false">IF(A37="N/A"," ",VLOOKUP(A37,PeakPowerCurves,(IF(BMO4=2,3,IF(BMO4=1,2,4))),FALSE()))</f>
        <v>32.4166677565802</v>
      </c>
      <c r="O37" s="401" t="n">
        <f aca="false">IF(A37="N/A"," ",VLOOKUP(A37,SatSunPeakPwr,(IF(BMO4=2,3,IF(BMO4=1,2,4))),FALSE()))</f>
        <v>29.320001373291</v>
      </c>
      <c r="P37" s="401" t="n">
        <f aca="false">IF(A37="N/A"," ",VLOOKUP(A37,SatSunPeakPwr,(IF(BMO4=2,7,IF(BMO4=1,6,8))),FALSE()))</f>
        <v>19.820001373291</v>
      </c>
      <c r="Q37" s="402" t="n">
        <f aca="false">IF(A37="N/A"," ",(VLOOKUP(A37,OPPowerPrices,(IF(BMO4=2,7,IF(BMO4=1,6,8))),FALSE())))</f>
        <v>18.25</v>
      </c>
      <c r="R37" s="403" t="e">
        <f aca="false">IF(A37="N/A"," ",(VLOOKUP($A37,IRTable,2)))</f>
        <v>#N/A</v>
      </c>
      <c r="AF37" s="352" t="n">
        <v>37561</v>
      </c>
      <c r="AG37" s="311" t="n">
        <v>20</v>
      </c>
      <c r="AH37" s="311" t="n">
        <v>5</v>
      </c>
      <c r="AI37" s="311" t="n">
        <v>5</v>
      </c>
      <c r="AJ37" s="311" t="n">
        <v>1</v>
      </c>
      <c r="AK37" s="311" t="n">
        <v>30</v>
      </c>
      <c r="AM37" s="406"/>
      <c r="AN37" s="62"/>
      <c r="AO37" s="62"/>
      <c r="AP37" s="62"/>
      <c r="AQ37" s="417"/>
      <c r="AR37" s="345"/>
      <c r="AS37" s="106"/>
      <c r="AT37" s="106"/>
      <c r="AU37" s="406"/>
      <c r="AV37" s="62"/>
      <c r="AW37" s="62"/>
      <c r="AX37" s="62"/>
      <c r="AZ37" s="62"/>
      <c r="BA37" s="62"/>
      <c r="BB37" s="62"/>
      <c r="BC37" s="406"/>
      <c r="BD37" s="62"/>
      <c r="BE37" s="62"/>
      <c r="BF37" s="62"/>
      <c r="BG37" s="62"/>
      <c r="BH37" s="62"/>
      <c r="BI37" s="62"/>
      <c r="BJ37" s="62"/>
    </row>
    <row r="38" customFormat="false" ht="12.75" hidden="false" customHeight="false" outlineLevel="0" collapsed="false">
      <c r="A38" s="352" t="n">
        <f aca="false">Option4!A5</f>
        <v>37288</v>
      </c>
      <c r="B38" s="396" t="n">
        <f aca="false">IF(A38="N/A"," ",N38*VLOOKUP(MONTH(A38),Curveadj,3))</f>
        <v>32.0666654677618</v>
      </c>
      <c r="C38" s="397" t="n">
        <f aca="false">IF(A38="N/A"," ",(IF(AND(Scaler4=1,MONTH(A38)&gt;=6,MONTH(A38)&lt;=8,OR($M$37="REGION 2",$M$37="REGION 2A",$M$37="REGION 2B",$M$37="REGION 3",$M$37="REGION 3A",$M$37="REGION 3B",$M$37="REGION 3C",$M$37="REGION 4",$M$37="REGION 4B",$M$37="REGION 4C",$M$37="REGION 5",$M$37="REGION 5A")),((0.059228/(B38/100))-(0.4980013/(SQRT(B38/100)))+2.137988),HLOOKUP(MONTH(A38),ScalarTable,28))))</f>
        <v>1.02007383501259</v>
      </c>
      <c r="D38" s="398" t="n">
        <f aca="false">IF(A38="N/A"," ",C38*B38)</f>
        <v>32.7103664197657</v>
      </c>
      <c r="E38" s="396" t="n">
        <f aca="false">IF(A38="N/A"," ",O38*VLOOKUP(MONTH(A38),Curveadj,3))</f>
        <v>26.9160012817383</v>
      </c>
      <c r="F38" s="398" t="n">
        <f aca="false">IF(A38="N/A"," ",E38*C38)</f>
        <v>27.4563086506667</v>
      </c>
      <c r="G38" s="396" t="n">
        <f aca="false">IF(A38="N/A"," ",P38*VLOOKUP(MONTH(A38),Curveadj,3))</f>
        <v>18.4165010070801</v>
      </c>
      <c r="H38" s="398" t="n">
        <f aca="false">IF(A38="N/A"," ",G38*C38)</f>
        <v>18.7861908098055</v>
      </c>
      <c r="I38" s="398" t="n">
        <f aca="false">IF(A38="N/A"," ",Q38)</f>
        <v>16.75</v>
      </c>
      <c r="J38" s="398"/>
      <c r="K38" s="399"/>
      <c r="L38" s="399"/>
      <c r="M38" s="404"/>
      <c r="N38" s="401" t="n">
        <f aca="false">IF(A38="N/A"," ",VLOOKUP(A38,PeakPowerCurves,(IF(BMO4=2,3,IF(BMO4=1,2,4))),FALSE()))</f>
        <v>32.0666654677618</v>
      </c>
      <c r="O38" s="401" t="n">
        <f aca="false">IF(A38="N/A"," ",VLOOKUP(A38,SatSunPeakPwr,(IF(BMO4=2,3,IF(BMO4=1,2,4))),FALSE()))</f>
        <v>26.9160012817383</v>
      </c>
      <c r="P38" s="401" t="n">
        <f aca="false">IF(A38="N/A"," ",VLOOKUP(A38,SatSunPeakPwr,(IF(BMO4=2,7,IF(BMO4=1,6,8))),FALSE()))</f>
        <v>18.4165010070801</v>
      </c>
      <c r="Q38" s="402" t="n">
        <f aca="false">IF(A38="N/A"," ",(VLOOKUP(A38,OPPowerPrices,(IF(BMO4=2,7,IF(BMO4=1,6,8))),FALSE())))</f>
        <v>16.75</v>
      </c>
      <c r="R38" s="403" t="e">
        <f aca="false">IF(A38="N/A"," ",(VLOOKUP($A38,IRTable,2)))</f>
        <v>#N/A</v>
      </c>
      <c r="AF38" s="352" t="n">
        <v>37591</v>
      </c>
      <c r="AG38" s="311" t="n">
        <v>21</v>
      </c>
      <c r="AH38" s="311" t="n">
        <v>4</v>
      </c>
      <c r="AI38" s="311" t="n">
        <v>6</v>
      </c>
      <c r="AJ38" s="311" t="n">
        <v>1</v>
      </c>
      <c r="AK38" s="311" t="n">
        <v>31</v>
      </c>
      <c r="AM38" s="406"/>
      <c r="AN38" s="62"/>
      <c r="AO38" s="62"/>
      <c r="AP38" s="62"/>
      <c r="AQ38" s="417"/>
      <c r="AR38" s="345"/>
      <c r="AS38" s="106"/>
      <c r="AT38" s="106"/>
      <c r="AU38" s="406"/>
      <c r="AV38" s="62"/>
      <c r="AW38" s="62"/>
      <c r="AX38" s="62"/>
      <c r="AZ38" s="62"/>
      <c r="BA38" s="62"/>
      <c r="BB38" s="62"/>
      <c r="BC38" s="406"/>
      <c r="BD38" s="62"/>
      <c r="BE38" s="62"/>
      <c r="BF38" s="62"/>
      <c r="BG38" s="62"/>
      <c r="BH38" s="62"/>
      <c r="BI38" s="62"/>
      <c r="BJ38" s="62"/>
    </row>
    <row r="39" customFormat="false" ht="12.75" hidden="false" customHeight="false" outlineLevel="0" collapsed="false">
      <c r="A39" s="352" t="n">
        <f aca="false">Option4!A6</f>
        <v>37316</v>
      </c>
      <c r="B39" s="396" t="n">
        <f aca="false">IF(A39="N/A"," ",N39*VLOOKUP(MONTH(A39),Curveadj,3))</f>
        <v>31.0197670515194</v>
      </c>
      <c r="C39" s="397" t="n">
        <f aca="false">IF(A39="N/A"," ",(IF(AND(Scaler4=1,MONTH(A39)&gt;=6,MONTH(A39)&lt;=8,OR($M$37="REGION 2",$M$37="REGION 2A",$M$37="REGION 2B",$M$37="REGION 3",$M$37="REGION 3A",$M$37="REGION 3B",$M$37="REGION 3C",$M$37="REGION 4",$M$37="REGION 4B",$M$37="REGION 4C",$M$37="REGION 5",$M$37="REGION 5A")),((0.059228/(B39/100))-(0.4980013/(SQRT(B39/100)))+2.137988),HLOOKUP(MONTH(A39),ScalarTable,28))))</f>
        <v>1.0173448699422</v>
      </c>
      <c r="D39" s="398" t="n">
        <f aca="false">IF(A39="N/A"," ",C39*B39)</f>
        <v>31.5578008766652</v>
      </c>
      <c r="E39" s="396" t="n">
        <f aca="false">IF(A39="N/A"," ",O39*VLOOKUP(MONTH(A39),Curveadj,3))</f>
        <v>21.9199990844727</v>
      </c>
      <c r="F39" s="398" t="n">
        <f aca="false">IF(A39="N/A"," ",E39*C39)</f>
        <v>22.3001986177259</v>
      </c>
      <c r="G39" s="396" t="n">
        <f aca="false">IF(A39="N/A"," ",P39*VLOOKUP(MONTH(A39),Curveadj,3))</f>
        <v>16.4200009918213</v>
      </c>
      <c r="H39" s="398" t="n">
        <f aca="false">IF(A39="N/A"," ",G39*C39)</f>
        <v>16.7048037734752</v>
      </c>
      <c r="I39" s="398" t="n">
        <f aca="false">IF(A39="N/A"," ",Q39)</f>
        <v>17.75</v>
      </c>
      <c r="J39" s="398"/>
      <c r="K39" s="399"/>
      <c r="L39" s="399"/>
      <c r="M39" s="404"/>
      <c r="N39" s="401" t="n">
        <f aca="false">IF(A39="N/A"," ",VLOOKUP(A39,PeakPowerCurves,(IF(BMO4=2,3,IF(BMO4=1,2,4))),FALSE()))</f>
        <v>31.0197670515194</v>
      </c>
      <c r="O39" s="401" t="n">
        <f aca="false">IF(A39="N/A"," ",VLOOKUP(A39,SatSunPeakPwr,(IF(BMO4=2,3,IF(BMO4=1,2,4))),FALSE()))</f>
        <v>21.9199990844727</v>
      </c>
      <c r="P39" s="401" t="n">
        <f aca="false">IF(A39="N/A"," ",VLOOKUP(A39,SatSunPeakPwr,(IF(BMO4=2,7,IF(BMO4=1,6,8))),FALSE()))</f>
        <v>16.4200009918213</v>
      </c>
      <c r="Q39" s="402" t="n">
        <f aca="false">IF(A39="N/A"," ",(VLOOKUP(A39,OPPowerPrices,(IF(BMO4=2,7,IF(BMO4=1,6,8))),FALSE())))</f>
        <v>17.75</v>
      </c>
      <c r="R39" s="403" t="e">
        <f aca="false">IF(A39="N/A"," ",(VLOOKUP($A39,IRTable,2)))</f>
        <v>#N/A</v>
      </c>
      <c r="AF39" s="352" t="n">
        <v>37622</v>
      </c>
      <c r="AG39" s="311" t="n">
        <v>22</v>
      </c>
      <c r="AH39" s="311" t="n">
        <v>4</v>
      </c>
      <c r="AI39" s="311" t="n">
        <v>5</v>
      </c>
      <c r="AJ39" s="311" t="n">
        <v>1</v>
      </c>
      <c r="AK39" s="311" t="n">
        <v>31</v>
      </c>
      <c r="AM39" s="406"/>
      <c r="AN39" s="62"/>
      <c r="AO39" s="62"/>
      <c r="AP39" s="62"/>
      <c r="AQ39" s="417"/>
      <c r="AR39" s="345"/>
      <c r="AS39" s="106"/>
      <c r="AT39" s="106"/>
      <c r="AU39" s="406"/>
      <c r="AV39" s="62"/>
      <c r="AW39" s="62"/>
      <c r="AX39" s="62"/>
      <c r="AZ39" s="62"/>
      <c r="BA39" s="62"/>
      <c r="BB39" s="62"/>
      <c r="BC39" s="406"/>
      <c r="BD39" s="62"/>
      <c r="BE39" s="62"/>
      <c r="BF39" s="62"/>
      <c r="BG39" s="62"/>
      <c r="BH39" s="62"/>
      <c r="BI39" s="62"/>
      <c r="BJ39" s="62"/>
    </row>
    <row r="40" customFormat="false" ht="12.75" hidden="false" customHeight="false" outlineLevel="0" collapsed="false">
      <c r="A40" s="352" t="n">
        <f aca="false">Option4!A7</f>
        <v>37347</v>
      </c>
      <c r="B40" s="396" t="n">
        <f aca="false">IF(A40="N/A"," ",N40*VLOOKUP(MONTH(A40),Curveadj,3))</f>
        <v>31.4697678144588</v>
      </c>
      <c r="C40" s="397" t="n">
        <f aca="false">IF(A40="N/A"," ",(IF(AND(Scaler4=1,MONTH(A40)&gt;=6,MONTH(A40)&lt;=8,OR($M$37="REGION 2",$M$37="REGION 2A",$M$37="REGION 2B",$M$37="REGION 3",$M$37="REGION 3A",$M$37="REGION 3B",$M$37="REGION 3C",$M$37="REGION 4",$M$37="REGION 4B",$M$37="REGION 4C",$M$37="REGION 5",$M$37="REGION 5A")),((0.059228/(B40/100))-(0.4980013/(SQRT(B40/100)))+2.137988),HLOOKUP(MONTH(A40),ScalarTable,28))))</f>
        <v>1.005</v>
      </c>
      <c r="D40" s="398" t="n">
        <f aca="false">IF(A40="N/A"," ",C40*B40)</f>
        <v>31.6271166535311</v>
      </c>
      <c r="E40" s="396" t="n">
        <f aca="false">IF(A40="N/A"," ",O40*VLOOKUP(MONTH(A40),Curveadj,3))</f>
        <v>21.9199990844727</v>
      </c>
      <c r="F40" s="398" t="n">
        <f aca="false">IF(A40="N/A"," ",E40*C40)</f>
        <v>22.029599079895</v>
      </c>
      <c r="G40" s="396" t="n">
        <f aca="false">IF(A40="N/A"," ",P40*VLOOKUP(MONTH(A40),Curveadj,3))</f>
        <v>16.4150018310547</v>
      </c>
      <c r="H40" s="398" t="n">
        <f aca="false">IF(A40="N/A"," ",G40*C40)</f>
        <v>16.49707684021</v>
      </c>
      <c r="I40" s="398" t="n">
        <f aca="false">IF(A40="N/A"," ",Q40)</f>
        <v>15.7500009536743</v>
      </c>
      <c r="J40" s="398"/>
      <c r="K40" s="399"/>
      <c r="L40" s="399"/>
      <c r="M40" s="404"/>
      <c r="N40" s="401" t="n">
        <f aca="false">IF(A40="N/A"," ",VLOOKUP(A40,PeakPowerCurves,(IF(BMO4=2,3,IF(BMO4=1,2,4))),FALSE()))</f>
        <v>31.4697678144588</v>
      </c>
      <c r="O40" s="401" t="n">
        <f aca="false">IF(A40="N/A"," ",VLOOKUP(A40,SatSunPeakPwr,(IF(BMO4=2,3,IF(BMO4=1,2,4))),FALSE()))</f>
        <v>21.9199990844727</v>
      </c>
      <c r="P40" s="401" t="n">
        <f aca="false">IF(A40="N/A"," ",VLOOKUP(A40,SatSunPeakPwr,(IF(BMO4=2,7,IF(BMO4=1,6,8))),FALSE()))</f>
        <v>16.4150018310547</v>
      </c>
      <c r="Q40" s="402" t="n">
        <f aca="false">IF(A40="N/A"," ",(VLOOKUP(A40,OPPowerPrices,(IF(BMO4=2,7,IF(BMO4=1,6,8))),FALSE())))</f>
        <v>15.7500009536743</v>
      </c>
      <c r="R40" s="403" t="e">
        <f aca="false">IF(A40="N/A"," ",(VLOOKUP($A40,IRTable,2)))</f>
        <v>#N/A</v>
      </c>
      <c r="AF40" s="352" t="n">
        <v>37653</v>
      </c>
      <c r="AG40" s="311" t="n">
        <v>20</v>
      </c>
      <c r="AH40" s="311" t="n">
        <v>4</v>
      </c>
      <c r="AI40" s="311" t="n">
        <v>4</v>
      </c>
      <c r="AJ40" s="311" t="n">
        <v>0</v>
      </c>
      <c r="AK40" s="311" t="n">
        <v>28</v>
      </c>
      <c r="AM40" s="406"/>
      <c r="AN40" s="62"/>
      <c r="AO40" s="62"/>
      <c r="AP40" s="62"/>
      <c r="AQ40" s="417"/>
      <c r="AR40" s="345"/>
      <c r="AS40" s="106"/>
      <c r="AT40" s="106"/>
      <c r="AU40" s="406"/>
      <c r="AV40" s="62"/>
      <c r="AW40" s="62"/>
      <c r="AX40" s="62"/>
      <c r="AZ40" s="62"/>
      <c r="BA40" s="62"/>
      <c r="BB40" s="62"/>
      <c r="BC40" s="406"/>
      <c r="BD40" s="62"/>
      <c r="BE40" s="62"/>
      <c r="BF40" s="62"/>
      <c r="BG40" s="62"/>
      <c r="BH40" s="62"/>
      <c r="BI40" s="62"/>
      <c r="BJ40" s="62"/>
    </row>
    <row r="41" customFormat="false" ht="12.75" hidden="false" customHeight="false" outlineLevel="0" collapsed="false">
      <c r="A41" s="352" t="n">
        <f aca="false">Option4!A8</f>
        <v>37377</v>
      </c>
      <c r="B41" s="396" t="n">
        <f aca="false">IF(A41="N/A"," ",N41*VLOOKUP(MONTH(A41),Curveadj,3))</f>
        <v>34.625</v>
      </c>
      <c r="C41" s="397" t="n">
        <f aca="false">IF(A41="N/A"," ",(IF(AND(Scaler4=1,MONTH(A41)&gt;=6,MONTH(A41)&lt;=8,OR($M$37="REGION 2",$M$37="REGION 2A",$M$37="REGION 2B",$M$37="REGION 3",$M$37="REGION 3A",$M$37="REGION 3B",$M$37="REGION 3C",$M$37="REGION 4",$M$37="REGION 4B",$M$37="REGION 4C",$M$37="REGION 5",$M$37="REGION 5A")),((0.059228/(B41/100))-(0.4980013/(SQRT(B41/100)))+2.137988),HLOOKUP(MONTH(A41),ScalarTable,28))))</f>
        <v>1.075625</v>
      </c>
      <c r="D41" s="398" t="n">
        <f aca="false">IF(A41="N/A"," ",C41*B41)</f>
        <v>37.243515625</v>
      </c>
      <c r="E41" s="396" t="n">
        <f aca="false">IF(A41="N/A"," ",O41*VLOOKUP(MONTH(A41),Curveadj,3))</f>
        <v>23.9199990844727</v>
      </c>
      <c r="F41" s="398" t="n">
        <f aca="false">IF(A41="N/A"," ",E41*C41)</f>
        <v>25.7289490152359</v>
      </c>
      <c r="G41" s="396" t="n">
        <f aca="false">IF(A41="N/A"," ",P41*VLOOKUP(MONTH(A41),Curveadj,3))</f>
        <v>17.4249982452393</v>
      </c>
      <c r="H41" s="398" t="n">
        <f aca="false">IF(A41="N/A"," ",G41*C41)</f>
        <v>18.7427637375355</v>
      </c>
      <c r="I41" s="398" t="n">
        <f aca="false">IF(A41="N/A"," ",Q41)</f>
        <v>17.75</v>
      </c>
      <c r="J41" s="398"/>
      <c r="K41" s="399"/>
      <c r="L41" s="399"/>
      <c r="M41" s="404"/>
      <c r="N41" s="401" t="n">
        <f aca="false">IF(A41="N/A"," ",VLOOKUP(A41,PeakPowerCurves,(IF(BMO4=2,3,IF(BMO4=1,2,4))),FALSE()))</f>
        <v>34.625</v>
      </c>
      <c r="O41" s="401" t="n">
        <f aca="false">IF(A41="N/A"," ",VLOOKUP(A41,SatSunPeakPwr,(IF(BMO4=2,3,IF(BMO4=1,2,4))),FALSE()))</f>
        <v>23.9199990844727</v>
      </c>
      <c r="P41" s="401" t="n">
        <f aca="false">IF(A41="N/A"," ",VLOOKUP(A41,SatSunPeakPwr,(IF(BMO4=2,7,IF(BMO4=1,6,8))),FALSE()))</f>
        <v>17.4249982452393</v>
      </c>
      <c r="Q41" s="402" t="n">
        <f aca="false">IF(A41="N/A"," ",(VLOOKUP(A41,OPPowerPrices,(IF(BMO4=2,7,IF(BMO4=1,6,8))),FALSE())))</f>
        <v>17.75</v>
      </c>
      <c r="R41" s="403" t="e">
        <f aca="false">IF(A41="N/A"," ",(VLOOKUP($A41,IRTable,2)))</f>
        <v>#N/A</v>
      </c>
      <c r="AF41" s="352" t="n">
        <v>37681</v>
      </c>
      <c r="AG41" s="311" t="n">
        <v>21</v>
      </c>
      <c r="AH41" s="311" t="n">
        <v>5</v>
      </c>
      <c r="AI41" s="311" t="n">
        <v>5</v>
      </c>
      <c r="AJ41" s="311" t="n">
        <v>0</v>
      </c>
      <c r="AK41" s="311" t="n">
        <v>31</v>
      </c>
      <c r="AM41" s="406"/>
      <c r="AN41" s="62"/>
      <c r="AO41" s="62"/>
      <c r="AP41" s="62"/>
      <c r="AQ41" s="417"/>
      <c r="AR41" s="345"/>
      <c r="AS41" s="106"/>
      <c r="AT41" s="106"/>
      <c r="AU41" s="406"/>
      <c r="AV41" s="62"/>
      <c r="AW41" s="62"/>
      <c r="AX41" s="62"/>
      <c r="AZ41" s="62"/>
      <c r="BA41" s="62"/>
      <c r="BB41" s="62"/>
      <c r="BC41" s="406"/>
      <c r="BD41" s="62"/>
      <c r="BE41" s="62"/>
      <c r="BF41" s="62"/>
      <c r="BG41" s="62"/>
      <c r="BH41" s="62"/>
      <c r="BI41" s="62"/>
      <c r="BJ41" s="62"/>
    </row>
    <row r="42" customFormat="false" ht="12.75" hidden="false" customHeight="false" outlineLevel="0" collapsed="false">
      <c r="A42" s="352" t="n">
        <f aca="false">Option4!A9</f>
        <v>37408</v>
      </c>
      <c r="B42" s="396" t="n">
        <f aca="false">IF(A42="N/A"," ",N42*VLOOKUP(MONTH(A42),Curveadj,3))</f>
        <v>44.75</v>
      </c>
      <c r="C42" s="397" t="n">
        <f aca="false">IF(A42="N/A"," ",(IF(AND(Scaler4=1,MONTH(A42)&gt;=6,MONTH(A42)&lt;=8,OR($M$37="REGION 2",$M$37="REGION 2A",$M$37="REGION 2B",$M$37="REGION 3",$M$37="REGION 3A",$M$37="REGION 3B",$M$37="REGION 3C",$M$37="REGION 4",$M$37="REGION 4B",$M$37="REGION 4C",$M$37="REGION 5",$M$37="REGION 5A")),((0.059228/(B42/100))-(0.4980013/(SQRT(B42/100)))+2.137988),HLOOKUP(MONTH(A42),ScalarTable,28))))</f>
        <v>1.53</v>
      </c>
      <c r="D42" s="398" t="n">
        <f aca="false">IF(A42="N/A"," ",C42*B42)</f>
        <v>68.4675</v>
      </c>
      <c r="E42" s="396" t="n">
        <f aca="false">IF(A42="N/A"," ",O42*VLOOKUP(MONTH(A42),Curveadj,3))</f>
        <v>30.9199990844727</v>
      </c>
      <c r="F42" s="398" t="n">
        <f aca="false">IF(A42="N/A"," ",E42*C42)</f>
        <v>47.3075985992432</v>
      </c>
      <c r="G42" s="396" t="n">
        <f aca="false">IF(A42="N/A"," ",P42*VLOOKUP(MONTH(A42),Curveadj,3))</f>
        <v>21.4199990844727</v>
      </c>
      <c r="H42" s="398" t="n">
        <f aca="false">IF(A42="N/A"," ",G42*C42)</f>
        <v>32.7725985992432</v>
      </c>
      <c r="I42" s="398" t="n">
        <f aca="false">IF(A42="N/A"," ",Q42)</f>
        <v>20.75</v>
      </c>
      <c r="J42" s="398"/>
      <c r="K42" s="399"/>
      <c r="L42" s="399"/>
      <c r="M42" s="404"/>
      <c r="N42" s="401" t="n">
        <f aca="false">IF(A42="N/A"," ",VLOOKUP(A42,PeakPowerCurves,(IF(BMO4=2,3,IF(BMO4=1,2,4))),FALSE()))</f>
        <v>44.75</v>
      </c>
      <c r="O42" s="401" t="n">
        <f aca="false">IF(A42="N/A"," ",VLOOKUP(A42,SatSunPeakPwr,(IF(BMO4=2,3,IF(BMO4=1,2,4))),FALSE()))</f>
        <v>30.9199990844727</v>
      </c>
      <c r="P42" s="401" t="n">
        <f aca="false">IF(A42="N/A"," ",VLOOKUP(A42,SatSunPeakPwr,(IF(BMO4=2,7,IF(BMO4=1,6,8))),FALSE()))</f>
        <v>21.4199990844727</v>
      </c>
      <c r="Q42" s="402" t="n">
        <f aca="false">IF(A42="N/A"," ",(VLOOKUP(A42,OPPowerPrices,(IF(BMO4=2,7,IF(BMO4=1,6,8))),FALSE())))</f>
        <v>20.75</v>
      </c>
      <c r="R42" s="403" t="e">
        <f aca="false">IF(A42="N/A"," ",(VLOOKUP($A42,IRTable,2)))</f>
        <v>#N/A</v>
      </c>
      <c r="AF42" s="352" t="n">
        <v>37712</v>
      </c>
      <c r="AG42" s="311" t="n">
        <v>22</v>
      </c>
      <c r="AH42" s="311" t="n">
        <v>4</v>
      </c>
      <c r="AI42" s="311" t="n">
        <v>4</v>
      </c>
      <c r="AJ42" s="311" t="n">
        <v>0</v>
      </c>
      <c r="AK42" s="311" t="n">
        <v>30</v>
      </c>
      <c r="AM42" s="406"/>
      <c r="AN42" s="62"/>
      <c r="AO42" s="62"/>
      <c r="AP42" s="62"/>
      <c r="AQ42" s="417"/>
      <c r="AR42" s="345"/>
      <c r="AS42" s="106"/>
      <c r="AT42" s="106"/>
      <c r="AU42" s="406"/>
      <c r="AV42" s="62"/>
      <c r="AW42" s="62"/>
      <c r="AX42" s="62"/>
      <c r="AZ42" s="62"/>
      <c r="BA42" s="62"/>
      <c r="BB42" s="62"/>
      <c r="BC42" s="406"/>
      <c r="BD42" s="62"/>
      <c r="BE42" s="62"/>
      <c r="BF42" s="62"/>
      <c r="BG42" s="62"/>
      <c r="BH42" s="62"/>
      <c r="BI42" s="62"/>
      <c r="BJ42" s="62"/>
    </row>
    <row r="43" customFormat="false" ht="12.75" hidden="false" customHeight="false" outlineLevel="0" collapsed="false">
      <c r="A43" s="352" t="n">
        <f aca="false">Option4!A10</f>
        <v>37438</v>
      </c>
      <c r="B43" s="396" t="n">
        <f aca="false">IF(A43="N/A"," ",N43*VLOOKUP(MONTH(A43),Curveadj,3))</f>
        <v>62.25</v>
      </c>
      <c r="C43" s="397" t="n">
        <f aca="false">IF(A43="N/A"," ",(IF(AND(Scaler4=1,MONTH(A43)&gt;=6,MONTH(A43)&lt;=8,OR($M$37="REGION 2",$M$37="REGION 2A",$M$37="REGION 2B",$M$37="REGION 3",$M$37="REGION 3A",$M$37="REGION 3B",$M$37="REGION 3C",$M$37="REGION 4",$M$37="REGION 4B",$M$37="REGION 4C",$M$37="REGION 5",$M$37="REGION 5A")),((0.059228/(B43/100))-(0.4980013/(SQRT(B43/100)))+2.137988),HLOOKUP(MONTH(A43),ScalarTable,28))))</f>
        <v>1.63</v>
      </c>
      <c r="D43" s="398" t="n">
        <f aca="false">IF(A43="N/A"," ",C43*B43)</f>
        <v>101.4675</v>
      </c>
      <c r="E43" s="396" t="n">
        <f aca="false">IF(A43="N/A"," ",O43*VLOOKUP(MONTH(A43),Curveadj,3))</f>
        <v>36.9199990844727</v>
      </c>
      <c r="F43" s="398" t="n">
        <f aca="false">IF(A43="N/A"," ",E43*C43)</f>
        <v>60.1795985076904</v>
      </c>
      <c r="G43" s="396" t="n">
        <f aca="false">IF(A43="N/A"," ",P43*VLOOKUP(MONTH(A43),Curveadj,3))</f>
        <v>27.4199990844727</v>
      </c>
      <c r="H43" s="398" t="n">
        <f aca="false">IF(A43="N/A"," ",G43*C43)</f>
        <v>44.6945985076904</v>
      </c>
      <c r="I43" s="398" t="n">
        <f aca="false">IF(A43="N/A"," ",Q43)</f>
        <v>21.25</v>
      </c>
      <c r="J43" s="398"/>
      <c r="K43" s="399"/>
      <c r="L43" s="399"/>
      <c r="M43" s="404"/>
      <c r="N43" s="401" t="n">
        <f aca="false">IF(A43="N/A"," ",VLOOKUP(A43,PeakPowerCurves,(IF(BMO4=2,3,IF(BMO4=1,2,4))),FALSE()))</f>
        <v>62.25</v>
      </c>
      <c r="O43" s="401" t="n">
        <f aca="false">IF(A43="N/A"," ",VLOOKUP(A43,SatSunPeakPwr,(IF(BMO4=2,3,IF(BMO4=1,2,4))),FALSE()))</f>
        <v>36.9199990844727</v>
      </c>
      <c r="P43" s="401" t="n">
        <f aca="false">IF(A43="N/A"," ",VLOOKUP(A43,SatSunPeakPwr,(IF(BMO4=2,7,IF(BMO4=1,6,8))),FALSE()))</f>
        <v>27.4199990844727</v>
      </c>
      <c r="Q43" s="402" t="n">
        <f aca="false">IF(A43="N/A"," ",(VLOOKUP(A43,OPPowerPrices,(IF(BMO4=2,7,IF(BMO4=1,6,8))),FALSE())))</f>
        <v>21.25</v>
      </c>
      <c r="R43" s="403" t="e">
        <f aca="false">IF(A43="N/A"," ",(VLOOKUP($A43,IRTable,2)))</f>
        <v>#N/A</v>
      </c>
      <c r="AF43" s="352" t="n">
        <v>37742</v>
      </c>
      <c r="AG43" s="311" t="n">
        <v>21</v>
      </c>
      <c r="AH43" s="311" t="n">
        <v>5</v>
      </c>
      <c r="AI43" s="311" t="n">
        <v>5</v>
      </c>
      <c r="AJ43" s="311" t="n">
        <v>1</v>
      </c>
      <c r="AK43" s="311" t="n">
        <v>31</v>
      </c>
      <c r="AM43" s="406"/>
      <c r="AN43" s="62"/>
      <c r="AO43" s="62"/>
      <c r="AP43" s="62"/>
      <c r="AQ43" s="417"/>
      <c r="AR43" s="345"/>
      <c r="AS43" s="106"/>
      <c r="AT43" s="106"/>
      <c r="AU43" s="406"/>
      <c r="AV43" s="62"/>
      <c r="AW43" s="62"/>
      <c r="AX43" s="62"/>
      <c r="AZ43" s="62"/>
      <c r="BA43" s="62"/>
      <c r="BB43" s="62"/>
      <c r="BC43" s="406"/>
      <c r="BD43" s="62"/>
      <c r="BE43" s="62"/>
      <c r="BF43" s="62"/>
      <c r="BG43" s="62"/>
      <c r="BH43" s="62"/>
      <c r="BI43" s="62"/>
      <c r="BJ43" s="62"/>
    </row>
    <row r="44" customFormat="false" ht="12.75" hidden="false" customHeight="false" outlineLevel="0" collapsed="false">
      <c r="A44" s="352" t="n">
        <f aca="false">Option4!A11</f>
        <v>37469</v>
      </c>
      <c r="B44" s="396" t="n">
        <f aca="false">IF(A44="N/A"," ",N44*VLOOKUP(MONTH(A44),Curveadj,3))</f>
        <v>62.25</v>
      </c>
      <c r="C44" s="397" t="n">
        <f aca="false">IF(A44="N/A"," ",(IF(AND(Scaler4=1,MONTH(A44)&gt;=6,MONTH(A44)&lt;=8,OR($M$37="REGION 2",$M$37="REGION 2A",$M$37="REGION 2B",$M$37="REGION 3",$M$37="REGION 3A",$M$37="REGION 3B",$M$37="REGION 3C",$M$37="REGION 4",$M$37="REGION 4B",$M$37="REGION 4C",$M$37="REGION 5",$M$37="REGION 5A")),((0.059228/(B44/100))-(0.4980013/(SQRT(B44/100)))+2.137988),HLOOKUP(MONTH(A44),ScalarTable,28))))</f>
        <v>1.63</v>
      </c>
      <c r="D44" s="398" t="n">
        <f aca="false">IF(A44="N/A"," ",C44*B44)</f>
        <v>101.4675</v>
      </c>
      <c r="E44" s="396" t="n">
        <f aca="false">IF(A44="N/A"," ",O44*VLOOKUP(MONTH(A44),Curveadj,3))</f>
        <v>34.9200028991699</v>
      </c>
      <c r="F44" s="398" t="n">
        <f aca="false">IF(A44="N/A"," ",E44*C44)</f>
        <v>56.919604725647</v>
      </c>
      <c r="G44" s="396" t="n">
        <f aca="false">IF(A44="N/A"," ",P44*VLOOKUP(MONTH(A44),Curveadj,3))</f>
        <v>27.4199990844727</v>
      </c>
      <c r="H44" s="398" t="n">
        <f aca="false">IF(A44="N/A"," ",G44*C44)</f>
        <v>44.6945985076904</v>
      </c>
      <c r="I44" s="398" t="n">
        <f aca="false">IF(A44="N/A"," ",Q44)</f>
        <v>22.25</v>
      </c>
      <c r="J44" s="398"/>
      <c r="K44" s="399"/>
      <c r="L44" s="399"/>
      <c r="M44" s="404"/>
      <c r="N44" s="401" t="n">
        <f aca="false">IF(A44="N/A"," ",VLOOKUP(A44,PeakPowerCurves,(IF(BMO4=2,3,IF(BMO4=1,2,4))),FALSE()))</f>
        <v>62.25</v>
      </c>
      <c r="O44" s="401" t="n">
        <f aca="false">IF(A44="N/A"," ",VLOOKUP(A44,SatSunPeakPwr,(IF(BMO4=2,3,IF(BMO4=1,2,4))),FALSE()))</f>
        <v>34.9200028991699</v>
      </c>
      <c r="P44" s="401" t="n">
        <f aca="false">IF(A44="N/A"," ",VLOOKUP(A44,SatSunPeakPwr,(IF(BMO4=2,7,IF(BMO4=1,6,8))),FALSE()))</f>
        <v>27.4199990844727</v>
      </c>
      <c r="Q44" s="402" t="n">
        <f aca="false">IF(A44="N/A"," ",(VLOOKUP(A44,OPPowerPrices,(IF(BMO4=2,7,IF(BMO4=1,6,8))),FALSE())))</f>
        <v>22.25</v>
      </c>
      <c r="R44" s="403" t="e">
        <f aca="false">IF(A44="N/A"," ",(VLOOKUP($A44,IRTable,2)))</f>
        <v>#N/A</v>
      </c>
      <c r="AF44" s="352" t="n">
        <v>37773</v>
      </c>
      <c r="AG44" s="311" t="n">
        <v>21</v>
      </c>
      <c r="AH44" s="311" t="n">
        <v>4</v>
      </c>
      <c r="AI44" s="311" t="n">
        <v>5</v>
      </c>
      <c r="AJ44" s="311" t="n">
        <v>0</v>
      </c>
      <c r="AK44" s="311" t="n">
        <v>30</v>
      </c>
      <c r="AM44" s="406"/>
      <c r="AN44" s="62"/>
      <c r="AO44" s="62"/>
      <c r="AP44" s="62"/>
      <c r="AQ44" s="417"/>
      <c r="AR44" s="345"/>
      <c r="AS44" s="106"/>
      <c r="AT44" s="106"/>
      <c r="AU44" s="406"/>
      <c r="AV44" s="62"/>
      <c r="AW44" s="62"/>
      <c r="AX44" s="62"/>
      <c r="AZ44" s="62"/>
      <c r="BA44" s="62"/>
      <c r="BB44" s="62"/>
      <c r="BC44" s="406"/>
      <c r="BD44" s="62"/>
      <c r="BE44" s="62"/>
      <c r="BF44" s="62"/>
      <c r="BG44" s="62"/>
      <c r="BH44" s="62"/>
      <c r="BI44" s="62"/>
      <c r="BJ44" s="62"/>
    </row>
    <row r="45" customFormat="false" ht="12.75" hidden="false" customHeight="false" outlineLevel="0" collapsed="false">
      <c r="A45" s="352" t="n">
        <f aca="false">Option4!A12</f>
        <v>37500</v>
      </c>
      <c r="B45" s="396" t="n">
        <f aca="false">IF(A45="N/A"," ",N45*VLOOKUP(MONTH(A45),Curveadj,3))</f>
        <v>29.25</v>
      </c>
      <c r="C45" s="397" t="n">
        <f aca="false">IF(A45="N/A"," ",(IF(AND(Scaler4=1,MONTH(A45)&gt;=6,MONTH(A45)&lt;=8,OR($M$37="REGION 2",$M$37="REGION 2A",$M$37="REGION 2B",$M$37="REGION 3",$M$37="REGION 3A",$M$37="REGION 3B",$M$37="REGION 3C",$M$37="REGION 4",$M$37="REGION 4B",$M$37="REGION 4C",$M$37="REGION 5",$M$37="REGION 5A")),((0.059228/(B45/100))-(0.4980013/(SQRT(B45/100)))+2.137988),HLOOKUP(MONTH(A45),ScalarTable,28))))</f>
        <v>1.35125</v>
      </c>
      <c r="D45" s="398" t="n">
        <f aca="false">IF(A45="N/A"," ",C45*B45)</f>
        <v>39.5240625</v>
      </c>
      <c r="E45" s="396" t="n">
        <f aca="false">IF(A45="N/A"," ",O45*VLOOKUP(MONTH(A45),Curveadj,3))</f>
        <v>26.9199990844727</v>
      </c>
      <c r="F45" s="398" t="n">
        <f aca="false">IF(A45="N/A"," ",E45*C45)</f>
        <v>36.3756487628937</v>
      </c>
      <c r="G45" s="396" t="n">
        <f aca="false">IF(A45="N/A"," ",P45*VLOOKUP(MONTH(A45),Curveadj,3))</f>
        <v>21.4199990844727</v>
      </c>
      <c r="H45" s="398" t="n">
        <f aca="false">IF(A45="N/A"," ",G45*C45)</f>
        <v>28.9437737628937</v>
      </c>
      <c r="I45" s="398" t="n">
        <f aca="false">IF(A45="N/A"," ",Q45)</f>
        <v>16.25</v>
      </c>
      <c r="J45" s="398"/>
      <c r="K45" s="399"/>
      <c r="L45" s="399"/>
      <c r="M45" s="404"/>
      <c r="N45" s="401" t="n">
        <f aca="false">IF(A45="N/A"," ",VLOOKUP(A45,PeakPowerCurves,(IF(BMO4=2,3,IF(BMO4=1,2,4))),FALSE()))</f>
        <v>29.25</v>
      </c>
      <c r="O45" s="401" t="n">
        <f aca="false">IF(A45="N/A"," ",VLOOKUP(A45,SatSunPeakPwr,(IF(BMO4=2,3,IF(BMO4=1,2,4))),FALSE()))</f>
        <v>26.9199990844727</v>
      </c>
      <c r="P45" s="401" t="n">
        <f aca="false">IF(A45="N/A"," ",VLOOKUP(A45,SatSunPeakPwr,(IF(BMO4=2,7,IF(BMO4=1,6,8))),FALSE()))</f>
        <v>21.4199990844727</v>
      </c>
      <c r="Q45" s="402" t="n">
        <f aca="false">IF(A45="N/A"," ",(VLOOKUP(A45,OPPowerPrices,(IF(BMO4=2,7,IF(BMO4=1,6,8))),FALSE())))</f>
        <v>16.25</v>
      </c>
      <c r="R45" s="403" t="e">
        <f aca="false">IF(A45="N/A"," ",(VLOOKUP($A45,IRTable,2)))</f>
        <v>#N/A</v>
      </c>
      <c r="AF45" s="352" t="n">
        <v>37803</v>
      </c>
      <c r="AG45" s="311" t="n">
        <v>22</v>
      </c>
      <c r="AH45" s="311" t="n">
        <v>4</v>
      </c>
      <c r="AI45" s="311" t="n">
        <v>5</v>
      </c>
      <c r="AJ45" s="311" t="n">
        <v>1</v>
      </c>
      <c r="AK45" s="311" t="n">
        <v>31</v>
      </c>
      <c r="AM45" s="406"/>
      <c r="AN45" s="62"/>
      <c r="AO45" s="62"/>
      <c r="AP45" s="62"/>
      <c r="AQ45" s="417"/>
      <c r="AR45" s="345"/>
      <c r="AS45" s="106"/>
      <c r="AT45" s="106"/>
      <c r="AU45" s="406"/>
      <c r="AV45" s="62"/>
      <c r="AW45" s="62"/>
      <c r="AX45" s="62"/>
      <c r="AZ45" s="62"/>
      <c r="BA45" s="62"/>
      <c r="BB45" s="62"/>
      <c r="BC45" s="406"/>
      <c r="BD45" s="62"/>
      <c r="BE45" s="62"/>
      <c r="BF45" s="62"/>
      <c r="BG45" s="62"/>
      <c r="BH45" s="62"/>
      <c r="BI45" s="62"/>
      <c r="BJ45" s="62"/>
    </row>
    <row r="46" customFormat="false" ht="12.75" hidden="false" customHeight="false" outlineLevel="0" collapsed="false">
      <c r="A46" s="352" t="n">
        <f aca="false">Option4!A13</f>
        <v>37530</v>
      </c>
      <c r="B46" s="396" t="n">
        <f aca="false">IF(A46="N/A"," ",N46*VLOOKUP(MONTH(A46),Curveadj,3))</f>
        <v>29.5562492907047</v>
      </c>
      <c r="C46" s="397" t="n">
        <f aca="false">IF(A46="N/A"," ",(IF(AND(Scaler4=1,MONTH(A46)&gt;=6,MONTH(A46)&lt;=8,OR($M$37="REGION 2",$M$37="REGION 2A",$M$37="REGION 2B",$M$37="REGION 3",$M$37="REGION 3A",$M$37="REGION 3B",$M$37="REGION 3C",$M$37="REGION 4",$M$37="REGION 4B",$M$37="REGION 4C",$M$37="REGION 5",$M$37="REGION 5A")),((0.059228/(B46/100))-(0.4980013/(SQRT(B46/100)))+2.137988),HLOOKUP(MONTH(A46),ScalarTable,28))))</f>
        <v>1.005</v>
      </c>
      <c r="D46" s="398" t="n">
        <f aca="false">IF(A46="N/A"," ",C46*B46)</f>
        <v>29.7040305371582</v>
      </c>
      <c r="E46" s="396" t="n">
        <f aca="false">IF(A46="N/A"," ",O46*VLOOKUP(MONTH(A46),Curveadj,3))</f>
        <v>21.9159993743897</v>
      </c>
      <c r="F46" s="398" t="n">
        <f aca="false">IF(A46="N/A"," ",E46*C46)</f>
        <v>22.0255793712616</v>
      </c>
      <c r="G46" s="396" t="n">
        <f aca="false">IF(A46="N/A"," ",P46*VLOOKUP(MONTH(A46),Curveadj,3))</f>
        <v>16.4165010070801</v>
      </c>
      <c r="H46" s="398" t="n">
        <f aca="false">IF(A46="N/A"," ",G46*C46)</f>
        <v>16.4985835121155</v>
      </c>
      <c r="I46" s="398" t="n">
        <f aca="false">IF(A46="N/A"," ",Q46)</f>
        <v>15.750002861023</v>
      </c>
      <c r="J46" s="398"/>
      <c r="K46" s="399"/>
      <c r="L46" s="399"/>
      <c r="M46" s="404"/>
      <c r="N46" s="401" t="n">
        <f aca="false">IF(A46="N/A"," ",VLOOKUP(A46,PeakPowerCurves,(IF(BMO4=2,3,IF(BMO4=1,2,4))),FALSE()))</f>
        <v>29.5562492907047</v>
      </c>
      <c r="O46" s="401" t="n">
        <f aca="false">IF(A46="N/A"," ",VLOOKUP(A46,SatSunPeakPwr,(IF(BMO4=2,3,IF(BMO4=1,2,4))),FALSE()))</f>
        <v>21.9159993743897</v>
      </c>
      <c r="P46" s="401" t="n">
        <f aca="false">IF(A46="N/A"," ",VLOOKUP(A46,SatSunPeakPwr,(IF(BMO4=2,7,IF(BMO4=1,6,8))),FALSE()))</f>
        <v>16.4165010070801</v>
      </c>
      <c r="Q46" s="402" t="n">
        <f aca="false">IF(A46="N/A"," ",(VLOOKUP(A46,OPPowerPrices,(IF(BMO4=2,7,IF(BMO4=1,6,8))),FALSE())))</f>
        <v>15.750002861023</v>
      </c>
      <c r="R46" s="403" t="e">
        <f aca="false">IF(A46="N/A"," ",(VLOOKUP($A46,IRTable,2)))</f>
        <v>#N/A</v>
      </c>
      <c r="AF46" s="352" t="n">
        <v>37834</v>
      </c>
      <c r="AG46" s="311" t="n">
        <v>21</v>
      </c>
      <c r="AH46" s="311" t="n">
        <v>5</v>
      </c>
      <c r="AI46" s="311" t="n">
        <v>5</v>
      </c>
      <c r="AJ46" s="311" t="n">
        <v>0</v>
      </c>
      <c r="AK46" s="311" t="n">
        <v>31</v>
      </c>
      <c r="AM46" s="406"/>
      <c r="AN46" s="62"/>
      <c r="AO46" s="62"/>
      <c r="AP46" s="62"/>
      <c r="AQ46" s="417"/>
      <c r="AR46" s="62"/>
      <c r="AS46" s="62"/>
      <c r="AT46" s="62"/>
      <c r="AU46" s="406"/>
      <c r="AV46" s="62"/>
      <c r="AW46" s="62"/>
      <c r="AX46" s="62"/>
      <c r="AZ46" s="62"/>
      <c r="BA46" s="62"/>
      <c r="BB46" s="62"/>
      <c r="BC46" s="406"/>
      <c r="BD46" s="62"/>
      <c r="BE46" s="62"/>
      <c r="BF46" s="62"/>
      <c r="BG46" s="62"/>
      <c r="BH46" s="62"/>
      <c r="BI46" s="62"/>
      <c r="BJ46" s="62"/>
    </row>
    <row r="47" customFormat="false" ht="12.75" hidden="false" customHeight="false" outlineLevel="0" collapsed="false">
      <c r="A47" s="352" t="n">
        <f aca="false">Option4!A14</f>
        <v>37561</v>
      </c>
      <c r="B47" s="396" t="n">
        <f aca="false">IF(A47="N/A"," ",N47*VLOOKUP(MONTH(A47),Curveadj,3))</f>
        <v>29.7562519609928</v>
      </c>
      <c r="C47" s="397" t="n">
        <f aca="false">IF(A47="N/A"," ",(IF(AND(Scaler4=1,MONTH(A47)&gt;=6,MONTH(A47)&lt;=8,OR($M$37="REGION 2",$M$37="REGION 2A",$M$37="REGION 2B",$M$37="REGION 3",$M$37="REGION 3A",$M$37="REGION 3B",$M$37="REGION 3C",$M$37="REGION 4",$M$37="REGION 4B",$M$37="REGION 4C",$M$37="REGION 5",$M$37="REGION 5A")),((0.059228/(B47/100))-(0.4980013/(SQRT(B47/100)))+2.137988),HLOOKUP(MONTH(A47),ScalarTable,28))))</f>
        <v>1.0825</v>
      </c>
      <c r="D47" s="398" t="n">
        <f aca="false">IF(A47="N/A"," ",C47*B47)</f>
        <v>32.2111427477747</v>
      </c>
      <c r="E47" s="396" t="n">
        <f aca="false">IF(A47="N/A"," ",O47*VLOOKUP(MONTH(A47),Curveadj,3))</f>
        <v>23.9199990844727</v>
      </c>
      <c r="F47" s="398" t="n">
        <f aca="false">IF(A47="N/A"," ",E47*C47)</f>
        <v>25.8933990089417</v>
      </c>
      <c r="G47" s="396" t="n">
        <f aca="false">IF(A47="N/A"," ",P47*VLOOKUP(MONTH(A47),Curveadj,3))</f>
        <v>16.4200009918213</v>
      </c>
      <c r="H47" s="398" t="n">
        <f aca="false">IF(A47="N/A"," ",G47*C47)</f>
        <v>17.7746510736465</v>
      </c>
      <c r="I47" s="398" t="n">
        <f aca="false">IF(A47="N/A"," ",Q47)</f>
        <v>16.75</v>
      </c>
      <c r="J47" s="398"/>
      <c r="K47" s="399"/>
      <c r="L47" s="399"/>
      <c r="M47" s="404"/>
      <c r="N47" s="401" t="n">
        <f aca="false">IF(A47="N/A"," ",VLOOKUP(A47,PeakPowerCurves,(IF(BMO4=2,3,IF(BMO4=1,2,4))),FALSE()))</f>
        <v>29.7562519609928</v>
      </c>
      <c r="O47" s="401" t="n">
        <f aca="false">IF(A47="N/A"," ",VLOOKUP(A47,SatSunPeakPwr,(IF(BMO4=2,3,IF(BMO4=1,2,4))),FALSE()))</f>
        <v>23.9199990844727</v>
      </c>
      <c r="P47" s="401" t="n">
        <f aca="false">IF(A47="N/A"," ",VLOOKUP(A47,SatSunPeakPwr,(IF(BMO4=2,7,IF(BMO4=1,6,8))),FALSE()))</f>
        <v>16.4200009918213</v>
      </c>
      <c r="Q47" s="402" t="n">
        <f aca="false">IF(A47="N/A"," ",(VLOOKUP(A47,OPPowerPrices,(IF(BMO4=2,7,IF(BMO4=1,6,8))),FALSE())))</f>
        <v>16.75</v>
      </c>
      <c r="R47" s="403" t="e">
        <f aca="false">IF(A47="N/A"," ",(VLOOKUP($A47,IRTable,2)))</f>
        <v>#N/A</v>
      </c>
      <c r="AF47" s="352" t="n">
        <v>37865</v>
      </c>
      <c r="AG47" s="311" t="n">
        <v>21</v>
      </c>
      <c r="AH47" s="311" t="n">
        <v>4</v>
      </c>
      <c r="AI47" s="311" t="n">
        <v>5</v>
      </c>
      <c r="AJ47" s="311" t="n">
        <v>1</v>
      </c>
      <c r="AK47" s="311" t="n">
        <v>30</v>
      </c>
      <c r="AM47" s="406"/>
      <c r="AN47" s="62"/>
      <c r="AO47" s="62"/>
      <c r="AP47" s="62"/>
      <c r="AQ47" s="417"/>
      <c r="AR47" s="62"/>
      <c r="AS47" s="62"/>
      <c r="AT47" s="62"/>
      <c r="AU47" s="406"/>
      <c r="AV47" s="62"/>
      <c r="AW47" s="62"/>
      <c r="AX47" s="62"/>
      <c r="AZ47" s="62"/>
      <c r="BA47" s="62"/>
      <c r="BB47" s="62"/>
      <c r="BC47" s="406"/>
      <c r="BD47" s="62"/>
      <c r="BE47" s="62"/>
      <c r="BF47" s="62"/>
      <c r="BG47" s="62"/>
      <c r="BH47" s="62"/>
      <c r="BI47" s="62"/>
      <c r="BJ47" s="62"/>
    </row>
    <row r="48" customFormat="false" ht="12.75" hidden="false" customHeight="false" outlineLevel="0" collapsed="false">
      <c r="A48" s="352" t="n">
        <f aca="false">Option4!A15</f>
        <v>37591</v>
      </c>
      <c r="B48" s="396" t="n">
        <f aca="false">IF(A48="N/A"," ",N48*VLOOKUP(MONTH(A48),Curveadj,3))</f>
        <v>29.956248909235</v>
      </c>
      <c r="C48" s="397" t="n">
        <f aca="false">IF(A48="N/A"," ",(IF(AND(Scaler4=1,MONTH(A48)&gt;=6,MONTH(A48)&lt;=8,OR($M$37="REGION 2",$M$37="REGION 2A",$M$37="REGION 2B",$M$37="REGION 3",$M$37="REGION 3A",$M$37="REGION 3B",$M$37="REGION 3C",$M$37="REGION 4",$M$37="REGION 4B",$M$37="REGION 4C",$M$37="REGION 5",$M$37="REGION 5A")),((0.059228/(B48/100))-(0.4980013/(SQRT(B48/100)))+2.137988),HLOOKUP(MONTH(A48),ScalarTable,28))))</f>
        <v>1.02125</v>
      </c>
      <c r="D48" s="398" t="n">
        <f aca="false">IF(A48="N/A"," ",C48*B48)</f>
        <v>30.5928191985562</v>
      </c>
      <c r="E48" s="396" t="n">
        <f aca="false">IF(A48="N/A"," ",O48*VLOOKUP(MONTH(A48),Curveadj,3))</f>
        <v>28.9199990844727</v>
      </c>
      <c r="F48" s="398" t="n">
        <f aca="false">IF(A48="N/A"," ",E48*C48)</f>
        <v>29.5345490650177</v>
      </c>
      <c r="G48" s="396" t="n">
        <f aca="false">IF(A48="N/A"," ",P48*VLOOKUP(MONTH(A48),Curveadj,3))</f>
        <v>23.4199990844727</v>
      </c>
      <c r="H48" s="398" t="n">
        <f aca="false">IF(A48="N/A"," ",G48*C48)</f>
        <v>23.9176740650177</v>
      </c>
      <c r="I48" s="398" t="n">
        <f aca="false">IF(A48="N/A"," ",Q48)</f>
        <v>19</v>
      </c>
      <c r="J48" s="398"/>
      <c r="K48" s="399"/>
      <c r="L48" s="399"/>
      <c r="M48" s="404"/>
      <c r="N48" s="401" t="n">
        <f aca="false">IF(A48="N/A"," ",VLOOKUP(A48,PeakPowerCurves,(IF(BMO4=2,3,IF(BMO4=1,2,4))),FALSE()))</f>
        <v>29.956248909235</v>
      </c>
      <c r="O48" s="401" t="n">
        <f aca="false">IF(A48="N/A"," ",VLOOKUP(A48,SatSunPeakPwr,(IF(BMO4=2,3,IF(BMO4=1,2,4))),FALSE()))</f>
        <v>28.9199990844727</v>
      </c>
      <c r="P48" s="401" t="n">
        <f aca="false">IF(A48="N/A"," ",VLOOKUP(A48,SatSunPeakPwr,(IF(BMO4=2,7,IF(BMO4=1,6,8))),FALSE()))</f>
        <v>23.4199990844727</v>
      </c>
      <c r="Q48" s="402" t="n">
        <f aca="false">IF(A48="N/A"," ",(VLOOKUP(A48,OPPowerPrices,(IF(BMO4=2,7,IF(BMO4=1,6,8))),FALSE())))</f>
        <v>19</v>
      </c>
      <c r="R48" s="403" t="e">
        <f aca="false">IF(A48="N/A"," ",(VLOOKUP($A48,IRTable,2)))</f>
        <v>#N/A</v>
      </c>
      <c r="AF48" s="352" t="n">
        <v>37895</v>
      </c>
      <c r="AG48" s="311" t="n">
        <v>23</v>
      </c>
      <c r="AH48" s="311" t="n">
        <v>4</v>
      </c>
      <c r="AI48" s="311" t="n">
        <v>4</v>
      </c>
      <c r="AJ48" s="311" t="n">
        <v>0</v>
      </c>
      <c r="AK48" s="311" t="n">
        <v>31</v>
      </c>
      <c r="AU48" s="406"/>
    </row>
    <row r="49" customFormat="false" ht="12.75" hidden="false" customHeight="false" outlineLevel="0" collapsed="false">
      <c r="A49" s="352" t="n">
        <f aca="false">Option4!A16</f>
        <v>37622</v>
      </c>
      <c r="B49" s="396" t="n">
        <f aca="false">IF(A49="N/A"," ",IF(ISERROR(N49),B37*Pwresc,N49)*VLOOKUP(MONTH(A49),Curveadj,3))</f>
        <v>33.2857153756278</v>
      </c>
      <c r="C49" s="397" t="n">
        <f aca="false">IF(A49="N/A"," ",(IF(AND(Scaler4=1,MONTH(A49)&gt;=6,MONTH(A49)&lt;=8,OR($M$37="REGION 2",$M$37="REGION 2A",$M$37="REGION 2B",$M$37="REGION 3",$M$37="REGION 3A",$M$37="REGION 3B",$M$37="REGION 3C",$M$37="REGION 4",$M$37="REGION 4B",$M$37="REGION 4C",$M$37="REGION 5",$M$37="REGION 5A")),((0.059228/(B49/100))-(0.4980013/(SQRT(B49/100)))+2.137988),HLOOKUP(MONTH(A49),ScalarTable,28))))</f>
        <v>1.02007383501259</v>
      </c>
      <c r="D49" s="398" t="n">
        <f aca="false">IF(A49="N/A"," ",C49*B49)</f>
        <v>33.9538873343543</v>
      </c>
      <c r="E49" s="396" t="n">
        <f aca="false">IF(A49="N/A"," ",IF(ISERROR(O49),E37*Pwresc,O49)*VLOOKUP(MONTH(A49),Curveadj,3))</f>
        <v>35.2699966430664</v>
      </c>
      <c r="F49" s="398" t="n">
        <f aca="false">IF(A49="N/A"," ",E49*C49)</f>
        <v>35.9780007365741</v>
      </c>
      <c r="G49" s="396" t="n">
        <f aca="false">IF(A49="N/A"," ",IF(ISERROR(P49),G37*Pwresc,P49)*VLOOKUP(MONTH(A49),Curveadj,3))</f>
        <v>24.7699966430664</v>
      </c>
      <c r="H49" s="398" t="n">
        <f aca="false">IF(A49="N/A"," ",G49*C49)</f>
        <v>25.2672254689418</v>
      </c>
      <c r="I49" s="398" t="n">
        <f aca="false">IF(A49="N/A"," ",IF(ISERROR(Q49),I37*Pwresc,Q49))</f>
        <v>20.8899993896484</v>
      </c>
      <c r="J49" s="398"/>
      <c r="K49" s="399"/>
      <c r="L49" s="399"/>
      <c r="M49" s="404"/>
      <c r="N49" s="401" t="n">
        <f aca="false">IF(A49="N/A"," ",VLOOKUP(A49,PeakPowerCurves,(IF(BMO4=2,3,IF(BMO4=1,2,4))),FALSE()))</f>
        <v>33.2857153756278</v>
      </c>
      <c r="O49" s="401" t="n">
        <f aca="false">IF(A49="N/A"," ",VLOOKUP(A49,SatSunPeakPwr,(IF(BMO4=2,3,IF(BMO4=1,2,4))),FALSE()))</f>
        <v>35.2699966430664</v>
      </c>
      <c r="P49" s="401" t="n">
        <f aca="false">IF(A49="N/A"," ",VLOOKUP(A49,SatSunPeakPwr,(IF(BMO4=2,7,IF(BMO4=1,6,8))),FALSE()))</f>
        <v>24.7699966430664</v>
      </c>
      <c r="Q49" s="402" t="n">
        <f aca="false">IF(A49="N/A"," ",(VLOOKUP(A49,OPPowerPrices,(IF(BMO4=2,7,IF(BMO4=1,6,8))),FALSE())))</f>
        <v>20.8899993896484</v>
      </c>
      <c r="R49" s="403" t="e">
        <f aca="false">IF(A49="N/A"," ",(VLOOKUP($A49,IRTable,2)))</f>
        <v>#N/A</v>
      </c>
      <c r="AF49" s="352" t="n">
        <v>37926</v>
      </c>
      <c r="AG49" s="311" t="n">
        <v>19</v>
      </c>
      <c r="AH49" s="311" t="n">
        <v>5</v>
      </c>
      <c r="AI49" s="311" t="n">
        <v>6</v>
      </c>
      <c r="AJ49" s="311" t="n">
        <v>1</v>
      </c>
      <c r="AK49" s="311" t="n">
        <v>30</v>
      </c>
      <c r="AU49" s="406"/>
    </row>
    <row r="50" customFormat="false" ht="12.75" hidden="false" customHeight="false" outlineLevel="0" collapsed="false">
      <c r="A50" s="352" t="n">
        <f aca="false">Option4!A17</f>
        <v>37653</v>
      </c>
      <c r="B50" s="396" t="n">
        <f aca="false">IF(A50="N/A"," ",IF(ISERROR(N50),B38*Pwresc,N50)*VLOOKUP(MONTH(A50),Curveadj,3))</f>
        <v>32.6857130868094</v>
      </c>
      <c r="C50" s="397" t="n">
        <f aca="false">IF(A50="N/A"," ",(IF(AND(Scaler4=1,MONTH(A50)&gt;=6,MONTH(A50)&lt;=8,OR($M$37="REGION 2",$M$37="REGION 2A",$M$37="REGION 2B",$M$37="REGION 3",$M$37="REGION 3A",$M$37="REGION 3B",$M$37="REGION 3C",$M$37="REGION 4",$M$37="REGION 4B",$M$37="REGION 4C",$M$37="REGION 5",$M$37="REGION 5A")),((0.059228/(B50/100))-(0.4980013/(SQRT(B50/100)))+2.137988),HLOOKUP(MONTH(A50),ScalarTable,28))))</f>
        <v>1.02007383501259</v>
      </c>
      <c r="D50" s="398" t="n">
        <f aca="false">IF(A50="N/A"," ",C50*B50)</f>
        <v>33.341840698583</v>
      </c>
      <c r="E50" s="396" t="n">
        <f aca="false">IF(A50="N/A"," ",IF(ISERROR(O50),E38*Pwresc,O50)*VLOOKUP(MONTH(A50),Curveadj,3))</f>
        <v>30.765998840332</v>
      </c>
      <c r="F50" s="398" t="n">
        <f aca="false">IF(A50="N/A"," ",E50*C50)</f>
        <v>31.3835904250505</v>
      </c>
      <c r="G50" s="396" t="n">
        <f aca="false">IF(A50="N/A"," ",IF(ISERROR(P50),G38*Pwresc,P50)*VLOOKUP(MONTH(A50),Curveadj,3))</f>
        <v>22.2664985656738</v>
      </c>
      <c r="H50" s="398" t="n">
        <f aca="false">IF(A50="N/A"," ",G50*C50)</f>
        <v>22.7134725841893</v>
      </c>
      <c r="I50" s="398" t="n">
        <f aca="false">IF(A50="N/A"," ",IF(ISERROR(Q50),I38*Pwresc,Q50))</f>
        <v>19.3899993896484</v>
      </c>
      <c r="J50" s="398"/>
      <c r="K50" s="399"/>
      <c r="L50" s="399"/>
      <c r="M50" s="404"/>
      <c r="N50" s="401" t="n">
        <f aca="false">IF(A50="N/A"," ",VLOOKUP(A50,PeakPowerCurves,(IF(BMO4=2,3,IF(BMO4=1,2,4))),FALSE()))</f>
        <v>32.6857130868094</v>
      </c>
      <c r="O50" s="401" t="n">
        <f aca="false">IF(A50="N/A"," ",VLOOKUP(A50,SatSunPeakPwr,(IF(BMO4=2,3,IF(BMO4=1,2,4))),FALSE()))</f>
        <v>30.765998840332</v>
      </c>
      <c r="P50" s="401" t="n">
        <f aca="false">IF(A50="N/A"," ",VLOOKUP(A50,SatSunPeakPwr,(IF(BMO4=2,7,IF(BMO4=1,6,8))),FALSE()))</f>
        <v>22.2664985656738</v>
      </c>
      <c r="Q50" s="402" t="n">
        <f aca="false">IF(A50="N/A"," ",(VLOOKUP(A50,OPPowerPrices,(IF(BMO4=2,7,IF(BMO4=1,6,8))),FALSE())))</f>
        <v>19.3899993896484</v>
      </c>
      <c r="R50" s="403" t="e">
        <f aca="false">IF(A50="N/A"," ",(VLOOKUP($A50,IRTable,2)))</f>
        <v>#N/A</v>
      </c>
      <c r="AF50" s="352" t="n">
        <v>37956</v>
      </c>
      <c r="AG50" s="311" t="n">
        <v>22</v>
      </c>
      <c r="AH50" s="311" t="n">
        <v>4</v>
      </c>
      <c r="AI50" s="311" t="n">
        <v>5</v>
      </c>
      <c r="AJ50" s="311" t="n">
        <v>1</v>
      </c>
      <c r="AK50" s="311" t="n">
        <v>31</v>
      </c>
      <c r="AU50" s="406"/>
    </row>
    <row r="51" customFormat="false" ht="12.75" hidden="false" customHeight="false" outlineLevel="0" collapsed="false">
      <c r="A51" s="352" t="n">
        <f aca="false">Option4!A18</f>
        <v>37681</v>
      </c>
      <c r="B51" s="396" t="n">
        <f aca="false">IF(A51="N/A"," ",IF(ISERROR(N51),B39*Pwresc,N51)*VLOOKUP(MONTH(A51),Curveadj,3))</f>
        <v>31.6476779316747</v>
      </c>
      <c r="C51" s="397" t="n">
        <f aca="false">IF(A51="N/A"," ",(IF(AND(Scaler4=1,MONTH(A51)&gt;=6,MONTH(A51)&lt;=8,OR($M$37="REGION 2",$M$37="REGION 2A",$M$37="REGION 2B",$M$37="REGION 3",$M$37="REGION 3A",$M$37="REGION 3B",$M$37="REGION 3C",$M$37="REGION 4",$M$37="REGION 4B",$M$37="REGION 4C",$M$37="REGION 5",$M$37="REGION 5A")),((0.059228/(B51/100))-(0.4980013/(SQRT(B51/100)))+2.137988),HLOOKUP(MONTH(A51),ScalarTable,28))))</f>
        <v>1.0173448699422</v>
      </c>
      <c r="D51" s="398" t="n">
        <f aca="false">IF(A51="N/A"," ",C51*B51)</f>
        <v>32.1966027893721</v>
      </c>
      <c r="E51" s="396" t="n">
        <f aca="false">IF(A51="N/A"," ",IF(ISERROR(O51),E39*Pwresc,O51)*VLOOKUP(MONTH(A51),Curveadj,3))</f>
        <v>25.0199966430664</v>
      </c>
      <c r="F51" s="398" t="n">
        <f aca="false">IF(A51="N/A"," ",E51*C51)</f>
        <v>25.4539652307946</v>
      </c>
      <c r="G51" s="396" t="n">
        <f aca="false">IF(A51="N/A"," ",IF(ISERROR(P51),G39*Pwresc,P51)*VLOOKUP(MONTH(A51),Curveadj,3))</f>
        <v>19.5199966430664</v>
      </c>
      <c r="H51" s="398" t="n">
        <f aca="false">IF(A51="N/A"," ",G51*C51)</f>
        <v>19.8585684461125</v>
      </c>
      <c r="I51" s="398" t="n">
        <f aca="false">IF(A51="N/A"," ",IF(ISERROR(Q51),I39*Pwresc,Q51))</f>
        <v>20.3899993896484</v>
      </c>
      <c r="J51" s="398"/>
      <c r="K51" s="399"/>
      <c r="L51" s="399"/>
      <c r="M51" s="404"/>
      <c r="N51" s="401" t="n">
        <f aca="false">IF(A51="N/A"," ",VLOOKUP(A51,PeakPowerCurves,(IF(BMO4=2,3,IF(BMO4=1,2,4))),FALSE()))</f>
        <v>31.6476779316747</v>
      </c>
      <c r="O51" s="401" t="n">
        <f aca="false">IF(A51="N/A"," ",VLOOKUP(A51,SatSunPeakPwr,(IF(BMO4=2,3,IF(BMO4=1,2,4))),FALSE()))</f>
        <v>25.0199966430664</v>
      </c>
      <c r="P51" s="401" t="n">
        <f aca="false">IF(A51="N/A"," ",VLOOKUP(A51,SatSunPeakPwr,(IF(BMO4=2,7,IF(BMO4=1,6,8))),FALSE()))</f>
        <v>19.5199966430664</v>
      </c>
      <c r="Q51" s="402" t="n">
        <f aca="false">IF(A51="N/A"," ",(VLOOKUP(A51,OPPowerPrices,(IF(BMO4=2,7,IF(BMO4=1,6,8))),FALSE())))</f>
        <v>20.3899993896484</v>
      </c>
      <c r="R51" s="403" t="e">
        <f aca="false">IF(A51="N/A"," ",(VLOOKUP($A51,IRTable,2)))</f>
        <v>#N/A</v>
      </c>
      <c r="AF51" s="352" t="n">
        <v>37987</v>
      </c>
      <c r="AG51" s="311" t="n">
        <v>21</v>
      </c>
      <c r="AH51" s="311" t="n">
        <v>5</v>
      </c>
      <c r="AI51" s="311" t="n">
        <v>5</v>
      </c>
      <c r="AJ51" s="311" t="n">
        <v>1</v>
      </c>
      <c r="AK51" s="311" t="n">
        <v>31</v>
      </c>
      <c r="AU51" s="406"/>
    </row>
    <row r="52" customFormat="false" ht="12.75" hidden="false" customHeight="false" outlineLevel="0" collapsed="false">
      <c r="A52" s="352" t="n">
        <f aca="false">Option4!A19</f>
        <v>37712</v>
      </c>
      <c r="B52" s="396" t="n">
        <f aca="false">IF(A52="N/A"," ",IF(ISERROR(N52),B40*Pwresc,N52)*VLOOKUP(MONTH(A52),Curveadj,3))</f>
        <v>31.8476710652196</v>
      </c>
      <c r="C52" s="397" t="n">
        <f aca="false">IF(A52="N/A"," ",(IF(AND(Scaler4=1,MONTH(A52)&gt;=6,MONTH(A52)&lt;=8,OR($M$37="REGION 2",$M$37="REGION 2A",$M$37="REGION 2B",$M$37="REGION 3",$M$37="REGION 3A",$M$37="REGION 3B",$M$37="REGION 3C",$M$37="REGION 4",$M$37="REGION 4B",$M$37="REGION 4C",$M$37="REGION 5",$M$37="REGION 5A")),((0.059228/(B52/100))-(0.4980013/(SQRT(B52/100)))+2.137988),HLOOKUP(MONTH(A52),ScalarTable,28))))</f>
        <v>1.005</v>
      </c>
      <c r="D52" s="398" t="n">
        <f aca="false">IF(A52="N/A"," ",C52*B52)</f>
        <v>32.0069094205457</v>
      </c>
      <c r="E52" s="396" t="n">
        <f aca="false">IF(A52="N/A"," ",IF(ISERROR(O52),E40*Pwresc,O52)*VLOOKUP(MONTH(A52),Curveadj,3))</f>
        <v>21.5199966430664</v>
      </c>
      <c r="F52" s="398" t="n">
        <f aca="false">IF(A52="N/A"," ",E52*C52)</f>
        <v>21.6275966262817</v>
      </c>
      <c r="G52" s="396" t="n">
        <f aca="false">IF(A52="N/A"," ",IF(ISERROR(P52),G40*Pwresc,P52)*VLOOKUP(MONTH(A52),Curveadj,3))</f>
        <v>16.0149993896484</v>
      </c>
      <c r="H52" s="398" t="n">
        <f aca="false">IF(A52="N/A"," ",G52*C52)</f>
        <v>16.0950743865967</v>
      </c>
      <c r="I52" s="398" t="n">
        <f aca="false">IF(A52="N/A"," ",IF(ISERROR(Q52),I40*Pwresc,Q52))</f>
        <v>17.3899993896484</v>
      </c>
      <c r="J52" s="398"/>
      <c r="K52" s="399"/>
      <c r="L52" s="399"/>
      <c r="M52" s="404"/>
      <c r="N52" s="401" t="n">
        <f aca="false">IF(A52="N/A"," ",VLOOKUP(A52,PeakPowerCurves,(IF(BMO4=2,3,IF(BMO4=1,2,4))),FALSE()))</f>
        <v>31.8476710652196</v>
      </c>
      <c r="O52" s="401" t="n">
        <f aca="false">IF(A52="N/A"," ",VLOOKUP(A52,SatSunPeakPwr,(IF(BMO4=2,3,IF(BMO4=1,2,4))),FALSE()))</f>
        <v>21.5199966430664</v>
      </c>
      <c r="P52" s="401" t="n">
        <f aca="false">IF(A52="N/A"," ",VLOOKUP(A52,SatSunPeakPwr,(IF(BMO4=2,7,IF(BMO4=1,6,8))),FALSE()))</f>
        <v>16.0149993896484</v>
      </c>
      <c r="Q52" s="402" t="n">
        <f aca="false">IF(A52="N/A"," ",(VLOOKUP(A52,OPPowerPrices,(IF(BMO4=2,7,IF(BMO4=1,6,8))),FALSE())))</f>
        <v>17.3899993896484</v>
      </c>
      <c r="R52" s="403" t="e">
        <f aca="false">IF(A52="N/A"," ",(VLOOKUP($A52,IRTable,2)))</f>
        <v>#N/A</v>
      </c>
      <c r="AF52" s="352" t="n">
        <v>38018</v>
      </c>
      <c r="AG52" s="311" t="n">
        <v>20</v>
      </c>
      <c r="AH52" s="311" t="n">
        <v>4</v>
      </c>
      <c r="AI52" s="311" t="n">
        <v>5</v>
      </c>
      <c r="AJ52" s="311" t="n">
        <v>0</v>
      </c>
      <c r="AK52" s="311" t="n">
        <v>29</v>
      </c>
      <c r="AU52" s="406"/>
    </row>
    <row r="53" customFormat="false" ht="12.75" hidden="false" customHeight="false" outlineLevel="0" collapsed="false">
      <c r="A53" s="352" t="n">
        <f aca="false">Option4!A20</f>
        <v>37742</v>
      </c>
      <c r="B53" s="396" t="n">
        <f aca="false">IF(A53="N/A"," ",IF(ISERROR(N53),B41*Pwresc,N53)*VLOOKUP(MONTH(A53),Curveadj,3))</f>
        <v>35.125</v>
      </c>
      <c r="C53" s="397" t="n">
        <f aca="false">IF(A53="N/A"," ",(IF(AND(Scaler4=1,MONTH(A53)&gt;=6,MONTH(A53)&lt;=8,OR($M$37="REGION 2",$M$37="REGION 2A",$M$37="REGION 2B",$M$37="REGION 3",$M$37="REGION 3A",$M$37="REGION 3B",$M$37="REGION 3C",$M$37="REGION 4",$M$37="REGION 4B",$M$37="REGION 4C",$M$37="REGION 5",$M$37="REGION 5A")),((0.059228/(B53/100))-(0.4980013/(SQRT(B53/100)))+2.137988),HLOOKUP(MONTH(A53),ScalarTable,28))))</f>
        <v>1.075625</v>
      </c>
      <c r="D53" s="398" t="n">
        <f aca="false">IF(A53="N/A"," ",C53*B53)</f>
        <v>37.781328125</v>
      </c>
      <c r="E53" s="396" t="n">
        <f aca="false">IF(A53="N/A"," ",IF(ISERROR(O53),E41*Pwresc,O53)*VLOOKUP(MONTH(A53),Curveadj,3))</f>
        <v>21.8399982452393</v>
      </c>
      <c r="F53" s="398" t="n">
        <f aca="false">IF(A53="N/A"," ",E53*C53)</f>
        <v>23.4916481125355</v>
      </c>
      <c r="G53" s="396" t="n">
        <f aca="false">IF(A53="N/A"," ",IF(ISERROR(P53),G41*Pwresc,P53)*VLOOKUP(MONTH(A53),Curveadj,3))</f>
        <v>15.3450012207031</v>
      </c>
      <c r="H53" s="398" t="n">
        <f aca="false">IF(A53="N/A"," ",G53*C53)</f>
        <v>16.5054669380188</v>
      </c>
      <c r="I53" s="398" t="n">
        <f aca="false">IF(A53="N/A"," ",IF(ISERROR(Q53),I41*Pwresc,Q53))</f>
        <v>17.9300003051758</v>
      </c>
      <c r="J53" s="398"/>
      <c r="K53" s="399"/>
      <c r="L53" s="399"/>
      <c r="M53" s="404"/>
      <c r="N53" s="401" t="n">
        <f aca="false">IF(A53="N/A"," ",VLOOKUP(A53,PeakPowerCurves,(IF(BMO4=2,3,IF(BMO4=1,2,4))),FALSE()))</f>
        <v>35.125</v>
      </c>
      <c r="O53" s="401" t="n">
        <f aca="false">IF(A53="N/A"," ",VLOOKUP(A53,SatSunPeakPwr,(IF(BMO4=2,3,IF(BMO4=1,2,4))),FALSE()))</f>
        <v>21.8399982452393</v>
      </c>
      <c r="P53" s="401" t="n">
        <f aca="false">IF(A53="N/A"," ",VLOOKUP(A53,SatSunPeakPwr,(IF(BMO4=2,7,IF(BMO4=1,6,8))),FALSE()))</f>
        <v>15.3450012207031</v>
      </c>
      <c r="Q53" s="402" t="n">
        <f aca="false">IF(A53="N/A"," ",(VLOOKUP(A53,OPPowerPrices,(IF(BMO4=2,7,IF(BMO4=1,6,8))),FALSE())))</f>
        <v>17.9300003051758</v>
      </c>
      <c r="R53" s="403" t="e">
        <f aca="false">IF(A53="N/A"," ",(VLOOKUP($A53,IRTable,2)))</f>
        <v>#N/A</v>
      </c>
      <c r="AF53" s="352" t="n">
        <v>38047</v>
      </c>
      <c r="AG53" s="311" t="n">
        <v>23</v>
      </c>
      <c r="AH53" s="311" t="n">
        <v>4</v>
      </c>
      <c r="AI53" s="311" t="n">
        <v>4</v>
      </c>
      <c r="AJ53" s="311" t="n">
        <v>0</v>
      </c>
      <c r="AK53" s="311" t="n">
        <v>31</v>
      </c>
      <c r="AU53" s="406"/>
    </row>
    <row r="54" customFormat="false" ht="12.75" hidden="false" customHeight="false" outlineLevel="0" collapsed="false">
      <c r="A54" s="352" t="n">
        <f aca="false">Option4!A21</f>
        <v>37773</v>
      </c>
      <c r="B54" s="396" t="n">
        <f aca="false">IF(A54="N/A"," ",IF(ISERROR(N54),B42*Pwresc,N54)*VLOOKUP(MONTH(A54),Curveadj,3))</f>
        <v>43.5</v>
      </c>
      <c r="C54" s="397" t="n">
        <f aca="false">IF(A54="N/A"," ",(IF(AND(Scaler4=1,MONTH(A54)&gt;=6,MONTH(A54)&lt;=8,OR($M$37="REGION 2",$M$37="REGION 2A",$M$37="REGION 2B",$M$37="REGION 3",$M$37="REGION 3A",$M$37="REGION 3B",$M$37="REGION 3C",$M$37="REGION 4",$M$37="REGION 4B",$M$37="REGION 4C",$M$37="REGION 5",$M$37="REGION 5A")),((0.059228/(B54/100))-(0.4980013/(SQRT(B54/100)))+2.137988),HLOOKUP(MONTH(A54),ScalarTable,28))))</f>
        <v>1.53</v>
      </c>
      <c r="D54" s="398" t="n">
        <f aca="false">IF(A54="N/A"," ",C54*B54)</f>
        <v>66.555</v>
      </c>
      <c r="E54" s="396" t="n">
        <f aca="false">IF(A54="N/A"," ",IF(ISERROR(O54),E42*Pwresc,O54)*VLOOKUP(MONTH(A54),Curveadj,3))</f>
        <v>28.8399982452393</v>
      </c>
      <c r="F54" s="398" t="n">
        <f aca="false">IF(A54="N/A"," ",E54*C54)</f>
        <v>44.1251973152161</v>
      </c>
      <c r="G54" s="396" t="n">
        <f aca="false">IF(A54="N/A"," ",IF(ISERROR(P54),G42*Pwresc,P54)*VLOOKUP(MONTH(A54),Curveadj,3))</f>
        <v>19.3399982452393</v>
      </c>
      <c r="H54" s="398" t="n">
        <f aca="false">IF(A54="N/A"," ",G54*C54)</f>
        <v>29.5901973152161</v>
      </c>
      <c r="I54" s="398" t="n">
        <f aca="false">IF(A54="N/A"," ",IF(ISERROR(Q54),I42*Pwresc,Q54))</f>
        <v>20.1800003051758</v>
      </c>
      <c r="J54" s="398"/>
      <c r="K54" s="399"/>
      <c r="L54" s="399"/>
      <c r="M54" s="404"/>
      <c r="N54" s="401" t="n">
        <f aca="false">IF(A54="N/A"," ",VLOOKUP(A54,PeakPowerCurves,(IF(BMO4=2,3,IF(BMO4=1,2,4))),FALSE()))</f>
        <v>43.5</v>
      </c>
      <c r="O54" s="401" t="n">
        <f aca="false">IF(A54="N/A"," ",VLOOKUP(A54,SatSunPeakPwr,(IF(BMO4=2,3,IF(BMO4=1,2,4))),FALSE()))</f>
        <v>28.8399982452393</v>
      </c>
      <c r="P54" s="401" t="n">
        <f aca="false">IF(A54="N/A"," ",VLOOKUP(A54,SatSunPeakPwr,(IF(BMO4=2,7,IF(BMO4=1,6,8))),FALSE()))</f>
        <v>19.3399982452393</v>
      </c>
      <c r="Q54" s="402" t="n">
        <f aca="false">IF(A54="N/A"," ",(VLOOKUP(A54,OPPowerPrices,(IF(BMO4=2,7,IF(BMO4=1,6,8))),FALSE())))</f>
        <v>20.1800003051758</v>
      </c>
      <c r="R54" s="403" t="e">
        <f aca="false">IF(A54="N/A"," ",(VLOOKUP($A54,IRTable,2)))</f>
        <v>#N/A</v>
      </c>
      <c r="AF54" s="352" t="n">
        <v>38078</v>
      </c>
      <c r="AG54" s="311" t="n">
        <v>22</v>
      </c>
      <c r="AH54" s="311" t="n">
        <v>4</v>
      </c>
      <c r="AI54" s="311" t="n">
        <v>4</v>
      </c>
      <c r="AJ54" s="311" t="n">
        <v>0</v>
      </c>
      <c r="AK54" s="311" t="n">
        <v>30</v>
      </c>
      <c r="AU54" s="406"/>
    </row>
    <row r="55" customFormat="false" ht="12.75" hidden="false" customHeight="false" outlineLevel="0" collapsed="false">
      <c r="A55" s="352" t="n">
        <f aca="false">Option4!A22</f>
        <v>37803</v>
      </c>
      <c r="B55" s="396" t="n">
        <f aca="false">IF(A55="N/A"," ",IF(ISERROR(N55),B43*Pwresc,N55)*VLOOKUP(MONTH(A55),Curveadj,3))</f>
        <v>54.5</v>
      </c>
      <c r="C55" s="397" t="n">
        <f aca="false">IF(A55="N/A"," ",(IF(AND(Scaler4=1,MONTH(A55)&gt;=6,MONTH(A55)&lt;=8,OR($M$37="REGION 2",$M$37="REGION 2A",$M$37="REGION 2B",$M$37="REGION 3",$M$37="REGION 3A",$M$37="REGION 3B",$M$37="REGION 3C",$M$37="REGION 4",$M$37="REGION 4B",$M$37="REGION 4C",$M$37="REGION 5",$M$37="REGION 5A")),((0.059228/(B55/100))-(0.4980013/(SQRT(B55/100)))+2.137988),HLOOKUP(MONTH(A55),ScalarTable,28))))</f>
        <v>1.63</v>
      </c>
      <c r="D55" s="398" t="n">
        <f aca="false">IF(A55="N/A"," ",C55*B55)</f>
        <v>88.835</v>
      </c>
      <c r="E55" s="396" t="n">
        <f aca="false">IF(A55="N/A"," ",IF(ISERROR(O55),E43*Pwresc,O55)*VLOOKUP(MONTH(A55),Curveadj,3))</f>
        <v>34.8400039672852</v>
      </c>
      <c r="F55" s="398" t="n">
        <f aca="false">IF(A55="N/A"," ",E55*C55)</f>
        <v>56.7892064666748</v>
      </c>
      <c r="G55" s="396" t="n">
        <f aca="false">IF(A55="N/A"," ",IF(ISERROR(P55),G43*Pwresc,P55)*VLOOKUP(MONTH(A55),Curveadj,3))</f>
        <v>25.3399982452393</v>
      </c>
      <c r="H55" s="398" t="n">
        <f aca="false">IF(A55="N/A"," ",G55*C55)</f>
        <v>41.30419713974</v>
      </c>
      <c r="I55" s="398" t="n">
        <f aca="false">IF(A55="N/A"," ",IF(ISERROR(Q55),I43*Pwresc,Q55))</f>
        <v>20.6800003051758</v>
      </c>
      <c r="J55" s="398"/>
      <c r="K55" s="399"/>
      <c r="L55" s="399"/>
      <c r="M55" s="404"/>
      <c r="N55" s="401" t="n">
        <f aca="false">IF(A55="N/A"," ",VLOOKUP(A55,PeakPowerCurves,(IF(BMO4=2,3,IF(BMO4=1,2,4))),FALSE()))</f>
        <v>54.5</v>
      </c>
      <c r="O55" s="401" t="n">
        <f aca="false">IF(A55="N/A"," ",VLOOKUP(A55,SatSunPeakPwr,(IF(BMO4=2,3,IF(BMO4=1,2,4))),FALSE()))</f>
        <v>34.8400039672852</v>
      </c>
      <c r="P55" s="401" t="n">
        <f aca="false">IF(A55="N/A"," ",VLOOKUP(A55,SatSunPeakPwr,(IF(BMO4=2,7,IF(BMO4=1,6,8))),FALSE()))</f>
        <v>25.3399982452393</v>
      </c>
      <c r="Q55" s="402" t="n">
        <f aca="false">IF(A55="N/A"," ",(VLOOKUP(A55,OPPowerPrices,(IF(BMO4=2,7,IF(BMO4=1,6,8))),FALSE())))</f>
        <v>20.6800003051758</v>
      </c>
      <c r="R55" s="403" t="e">
        <f aca="false">IF(A55="N/A"," ",(VLOOKUP($A55,IRTable,2)))</f>
        <v>#N/A</v>
      </c>
      <c r="AF55" s="352" t="n">
        <v>38108</v>
      </c>
      <c r="AG55" s="311" t="n">
        <v>20</v>
      </c>
      <c r="AH55" s="311" t="n">
        <v>5</v>
      </c>
      <c r="AI55" s="311" t="n">
        <v>6</v>
      </c>
      <c r="AJ55" s="311" t="n">
        <v>1</v>
      </c>
      <c r="AK55" s="311" t="n">
        <v>31</v>
      </c>
      <c r="AU55" s="406"/>
    </row>
    <row r="56" customFormat="false" ht="12.75" hidden="false" customHeight="false" outlineLevel="0" collapsed="false">
      <c r="A56" s="352" t="n">
        <f aca="false">Option4!A23</f>
        <v>37834</v>
      </c>
      <c r="B56" s="396" t="n">
        <f aca="false">IF(A56="N/A"," ",IF(ISERROR(N56),B44*Pwresc,N56)*VLOOKUP(MONTH(A56),Curveadj,3))</f>
        <v>54.5</v>
      </c>
      <c r="C56" s="397" t="n">
        <f aca="false">IF(A56="N/A"," ",(IF(AND(Scaler4=1,MONTH(A56)&gt;=6,MONTH(A56)&lt;=8,OR($M$37="REGION 2",$M$37="REGION 2A",$M$37="REGION 2B",$M$37="REGION 3",$M$37="REGION 3A",$M$37="REGION 3B",$M$37="REGION 3C",$M$37="REGION 4",$M$37="REGION 4B",$M$37="REGION 4C",$M$37="REGION 5",$M$37="REGION 5A")),((0.059228/(B56/100))-(0.4980013/(SQRT(B56/100)))+2.137988),HLOOKUP(MONTH(A56),ScalarTable,28))))</f>
        <v>1.63</v>
      </c>
      <c r="D56" s="398" t="n">
        <f aca="false">IF(A56="N/A"," ",C56*B56)</f>
        <v>88.835</v>
      </c>
      <c r="E56" s="396" t="n">
        <f aca="false">IF(A56="N/A"," ",IF(ISERROR(O56),E44*Pwresc,O56)*VLOOKUP(MONTH(A56),Curveadj,3))</f>
        <v>32.8400077819824</v>
      </c>
      <c r="F56" s="398" t="n">
        <f aca="false">IF(A56="N/A"," ",E56*C56)</f>
        <v>53.5292126846314</v>
      </c>
      <c r="G56" s="396" t="n">
        <f aca="false">IF(A56="N/A"," ",IF(ISERROR(P56),G44*Pwresc,P56)*VLOOKUP(MONTH(A56),Curveadj,3))</f>
        <v>25.3399982452393</v>
      </c>
      <c r="H56" s="398" t="n">
        <f aca="false">IF(A56="N/A"," ",G56*C56)</f>
        <v>41.30419713974</v>
      </c>
      <c r="I56" s="398" t="n">
        <f aca="false">IF(A56="N/A"," ",IF(ISERROR(Q56),I44*Pwresc,Q56))</f>
        <v>21.6800003051758</v>
      </c>
      <c r="J56" s="398"/>
      <c r="K56" s="399"/>
      <c r="L56" s="399"/>
      <c r="M56" s="404"/>
      <c r="N56" s="401" t="n">
        <f aca="false">IF(A56="N/A"," ",VLOOKUP(A56,PeakPowerCurves,(IF(BMO4=2,3,IF(BMO4=1,2,4))),FALSE()))</f>
        <v>54.5</v>
      </c>
      <c r="O56" s="401" t="n">
        <f aca="false">IF(A56="N/A"," ",VLOOKUP(A56,SatSunPeakPwr,(IF(BMO4=2,3,IF(BMO4=1,2,4))),FALSE()))</f>
        <v>32.8400077819824</v>
      </c>
      <c r="P56" s="401" t="n">
        <f aca="false">IF(A56="N/A"," ",VLOOKUP(A56,SatSunPeakPwr,(IF(BMO4=2,7,IF(BMO4=1,6,8))),FALSE()))</f>
        <v>25.3399982452393</v>
      </c>
      <c r="Q56" s="402" t="n">
        <f aca="false">IF(A56="N/A"," ",(VLOOKUP(A56,OPPowerPrices,(IF(BMO4=2,7,IF(BMO4=1,6,8))),FALSE())))</f>
        <v>21.6800003051758</v>
      </c>
      <c r="R56" s="403" t="e">
        <f aca="false">IF(A56="N/A"," ",(VLOOKUP($A56,IRTable,2)))</f>
        <v>#N/A</v>
      </c>
      <c r="AF56" s="352" t="n">
        <v>38139</v>
      </c>
      <c r="AG56" s="311" t="n">
        <v>22</v>
      </c>
      <c r="AH56" s="311" t="n">
        <v>4</v>
      </c>
      <c r="AI56" s="311" t="n">
        <v>4</v>
      </c>
      <c r="AJ56" s="311" t="n">
        <v>0</v>
      </c>
      <c r="AK56" s="311" t="n">
        <v>30</v>
      </c>
      <c r="AU56" s="406"/>
    </row>
    <row r="57" customFormat="false" ht="12.75" hidden="false" customHeight="false" outlineLevel="0" collapsed="false">
      <c r="A57" s="352" t="n">
        <f aca="false">Option4!A24</f>
        <v>37865</v>
      </c>
      <c r="B57" s="396" t="n">
        <f aca="false">IF(A57="N/A"," ",IF(ISERROR(N57),B45*Pwresc,N57)*VLOOKUP(MONTH(A57),Curveadj,3))</f>
        <v>30</v>
      </c>
      <c r="C57" s="397" t="n">
        <f aca="false">IF(A57="N/A"," ",(IF(AND(Scaler4=1,MONTH(A57)&gt;=6,MONTH(A57)&lt;=8,OR($M$37="REGION 2",$M$37="REGION 2A",$M$37="REGION 2B",$M$37="REGION 3",$M$37="REGION 3A",$M$37="REGION 3B",$M$37="REGION 3C",$M$37="REGION 4",$M$37="REGION 4B",$M$37="REGION 4C",$M$37="REGION 5",$M$37="REGION 5A")),((0.059228/(B57/100))-(0.4980013/(SQRT(B57/100)))+2.137988),HLOOKUP(MONTH(A57),ScalarTable,28))))</f>
        <v>1.35125</v>
      </c>
      <c r="D57" s="398" t="n">
        <f aca="false">IF(A57="N/A"," ",C57*B57)</f>
        <v>40.5375</v>
      </c>
      <c r="E57" s="396" t="n">
        <f aca="false">IF(A57="N/A"," ",IF(ISERROR(O57),E45*Pwresc,O57)*VLOOKUP(MONTH(A57),Curveadj,3))</f>
        <v>24.8399982452393</v>
      </c>
      <c r="F57" s="398" t="n">
        <f aca="false">IF(A57="N/A"," ",E57*C57)</f>
        <v>33.5650476288796</v>
      </c>
      <c r="G57" s="396" t="n">
        <f aca="false">IF(A57="N/A"," ",IF(ISERROR(P57),G45*Pwresc,P57)*VLOOKUP(MONTH(A57),Curveadj,3))</f>
        <v>19.3399982452393</v>
      </c>
      <c r="H57" s="398" t="n">
        <f aca="false">IF(A57="N/A"," ",G57*C57)</f>
        <v>26.1331726288796</v>
      </c>
      <c r="I57" s="398" t="n">
        <f aca="false">IF(A57="N/A"," ",IF(ISERROR(Q57),I45*Pwresc,Q57))</f>
        <v>15.6800003051758</v>
      </c>
      <c r="J57" s="398"/>
      <c r="K57" s="399"/>
      <c r="L57" s="399"/>
      <c r="M57" s="404"/>
      <c r="N57" s="401" t="n">
        <f aca="false">IF(A57="N/A"," ",VLOOKUP(A57,PeakPowerCurves,(IF(BMO4=2,3,IF(BMO4=1,2,4))),FALSE()))</f>
        <v>30</v>
      </c>
      <c r="O57" s="401" t="n">
        <f aca="false">IF(A57="N/A"," ",VLOOKUP(A57,SatSunPeakPwr,(IF(BMO4=2,3,IF(BMO4=1,2,4))),FALSE()))</f>
        <v>24.8399982452393</v>
      </c>
      <c r="P57" s="401" t="n">
        <f aca="false">IF(A57="N/A"," ",VLOOKUP(A57,SatSunPeakPwr,(IF(BMO4=2,7,IF(BMO4=1,6,8))),FALSE()))</f>
        <v>19.3399982452393</v>
      </c>
      <c r="Q57" s="402" t="n">
        <f aca="false">IF(A57="N/A"," ",(VLOOKUP(A57,OPPowerPrices,(IF(BMO4=2,7,IF(BMO4=1,6,8))),FALSE())))</f>
        <v>15.6800003051758</v>
      </c>
      <c r="R57" s="403" t="e">
        <f aca="false">IF(A57="N/A"," ",(VLOOKUP($A57,IRTable,2)))</f>
        <v>#N/A</v>
      </c>
      <c r="AF57" s="352" t="n">
        <v>38169</v>
      </c>
      <c r="AG57" s="311" t="n">
        <v>21</v>
      </c>
      <c r="AH57" s="311" t="n">
        <v>5</v>
      </c>
      <c r="AI57" s="311" t="n">
        <v>5</v>
      </c>
      <c r="AJ57" s="311" t="n">
        <v>1</v>
      </c>
      <c r="AK57" s="311" t="n">
        <v>31</v>
      </c>
      <c r="AU57" s="406"/>
    </row>
    <row r="58" customFormat="false" ht="12.75" hidden="false" customHeight="false" outlineLevel="0" collapsed="false">
      <c r="A58" s="352" t="n">
        <f aca="false">Option4!A25</f>
        <v>37895</v>
      </c>
      <c r="B58" s="396" t="n">
        <f aca="false">IF(A58="N/A"," ",IF(ISERROR(N58),B46*Pwresc,N58)*VLOOKUP(MONTH(A58),Curveadj,3))</f>
        <v>30.4015640020371</v>
      </c>
      <c r="C58" s="397" t="n">
        <f aca="false">IF(A58="N/A"," ",(IF(AND(Scaler4=1,MONTH(A58)&gt;=6,MONTH(A58)&lt;=8,OR($M$37="REGION 2",$M$37="REGION 2A",$M$37="REGION 2B",$M$37="REGION 3",$M$37="REGION 3A",$M$37="REGION 3B",$M$37="REGION 3C",$M$37="REGION 4",$M$37="REGION 4B",$M$37="REGION 4C",$M$37="REGION 5",$M$37="REGION 5A")),((0.059228/(B58/100))-(0.4980013/(SQRT(B58/100)))+2.137988),HLOOKUP(MONTH(A58),ScalarTable,28))))</f>
        <v>1.005</v>
      </c>
      <c r="D58" s="398" t="n">
        <f aca="false">IF(A58="N/A"," ",C58*B58)</f>
        <v>30.5535718220472</v>
      </c>
      <c r="E58" s="396" t="n">
        <f aca="false">IF(A58="N/A"," ",IF(ISERROR(O58),E46*Pwresc,O58)*VLOOKUP(MONTH(A58),Curveadj,3))</f>
        <v>19.8359985351563</v>
      </c>
      <c r="F58" s="398" t="n">
        <f aca="false">IF(A58="N/A"," ",E58*C58)</f>
        <v>19.935178527832</v>
      </c>
      <c r="G58" s="396" t="n">
        <f aca="false">IF(A58="N/A"," ",IF(ISERROR(P58),G46*Pwresc,P58)*VLOOKUP(MONTH(A58),Curveadj,3))</f>
        <v>14.3365020751953</v>
      </c>
      <c r="H58" s="398" t="n">
        <f aca="false">IF(A58="N/A"," ",G58*C58)</f>
        <v>14.4081845855713</v>
      </c>
      <c r="I58" s="398" t="n">
        <f aca="false">IF(A58="N/A"," ",IF(ISERROR(Q58),I46*Pwresc,Q58))</f>
        <v>15.1800022125244</v>
      </c>
      <c r="J58" s="398"/>
      <c r="K58" s="399"/>
      <c r="L58" s="399"/>
      <c r="M58" s="404"/>
      <c r="N58" s="401" t="n">
        <f aca="false">IF(A58="N/A"," ",VLOOKUP(A58,PeakPowerCurves,(IF(BMO4=2,3,IF(BMO4=1,2,4))),FALSE()))</f>
        <v>30.4015640020371</v>
      </c>
      <c r="O58" s="401" t="n">
        <f aca="false">IF(A58="N/A"," ",VLOOKUP(A58,SatSunPeakPwr,(IF(BMO4=2,3,IF(BMO4=1,2,4))),FALSE()))</f>
        <v>19.8359985351563</v>
      </c>
      <c r="P58" s="401" t="n">
        <f aca="false">IF(A58="N/A"," ",VLOOKUP(A58,SatSunPeakPwr,(IF(BMO4=2,7,IF(BMO4=1,6,8))),FALSE()))</f>
        <v>14.3365020751953</v>
      </c>
      <c r="Q58" s="402" t="n">
        <f aca="false">IF(A58="N/A"," ",(VLOOKUP(A58,OPPowerPrices,(IF(BMO4=2,7,IF(BMO4=1,6,8))),FALSE())))</f>
        <v>15.1800022125244</v>
      </c>
      <c r="R58" s="403" t="e">
        <f aca="false">IF(A58="N/A"," ",(VLOOKUP($A58,IRTable,2)))</f>
        <v>#N/A</v>
      </c>
      <c r="AF58" s="352" t="n">
        <v>38200</v>
      </c>
      <c r="AG58" s="311" t="n">
        <v>22</v>
      </c>
      <c r="AH58" s="311" t="n">
        <v>4</v>
      </c>
      <c r="AI58" s="311" t="n">
        <v>5</v>
      </c>
      <c r="AJ58" s="311" t="n">
        <v>0</v>
      </c>
      <c r="AK58" s="311" t="n">
        <v>31</v>
      </c>
      <c r="AU58" s="406"/>
    </row>
    <row r="59" customFormat="false" ht="12.75" hidden="false" customHeight="false" outlineLevel="0" collapsed="false">
      <c r="A59" s="352" t="n">
        <f aca="false">Option4!A26</f>
        <v>37926</v>
      </c>
      <c r="B59" s="396" t="n">
        <f aca="false">IF(A59="N/A"," ",IF(ISERROR(N59),B47*Pwresc,N59)*VLOOKUP(MONTH(A59),Curveadj,3))</f>
        <v>30.5015624761581</v>
      </c>
      <c r="C59" s="397" t="n">
        <f aca="false">IF(A59="N/A"," ",(IF(AND(Scaler4=1,MONTH(A59)&gt;=6,MONTH(A59)&lt;=8,OR($M$37="REGION 2",$M$37="REGION 2A",$M$37="REGION 2B",$M$37="REGION 3",$M$37="REGION 3A",$M$37="REGION 3B",$M$37="REGION 3C",$M$37="REGION 4",$M$37="REGION 4B",$M$37="REGION 4C",$M$37="REGION 5",$M$37="REGION 5A")),((0.059228/(B59/100))-(0.4980013/(SQRT(B59/100)))+2.137988),HLOOKUP(MONTH(A59),ScalarTable,28))))</f>
        <v>1.0825</v>
      </c>
      <c r="D59" s="398" t="n">
        <f aca="false">IF(A59="N/A"," ",C59*B59)</f>
        <v>33.0179413804412</v>
      </c>
      <c r="E59" s="396" t="n">
        <f aca="false">IF(A59="N/A"," ",IF(ISERROR(O59),E47*Pwresc,O59)*VLOOKUP(MONTH(A59),Curveadj,3))</f>
        <v>21.8399982452393</v>
      </c>
      <c r="F59" s="398" t="n">
        <f aca="false">IF(A59="N/A"," ",E59*C59)</f>
        <v>23.6417981004715</v>
      </c>
      <c r="G59" s="396" t="n">
        <f aca="false">IF(A59="N/A"," ",IF(ISERROR(P59),G47*Pwresc,P59)*VLOOKUP(MONTH(A59),Curveadj,3))</f>
        <v>14.3400020599365</v>
      </c>
      <c r="H59" s="398" t="n">
        <f aca="false">IF(A59="N/A"," ",G59*C59)</f>
        <v>15.5230522298813</v>
      </c>
      <c r="I59" s="398" t="n">
        <f aca="false">IF(A59="N/A"," ",IF(ISERROR(Q59),I47*Pwresc,Q59))</f>
        <v>16.1800003051758</v>
      </c>
      <c r="J59" s="398"/>
      <c r="K59" s="399"/>
      <c r="L59" s="399"/>
      <c r="M59" s="404"/>
      <c r="N59" s="401" t="n">
        <f aca="false">IF(A59="N/A"," ",VLOOKUP(A59,PeakPowerCurves,(IF(BMO4=2,3,IF(BMO4=1,2,4))),FALSE()))</f>
        <v>30.5015624761581</v>
      </c>
      <c r="O59" s="401" t="n">
        <f aca="false">IF(A59="N/A"," ",VLOOKUP(A59,SatSunPeakPwr,(IF(BMO4=2,3,IF(BMO4=1,2,4))),FALSE()))</f>
        <v>21.8399982452393</v>
      </c>
      <c r="P59" s="401" t="n">
        <f aca="false">IF(A59="N/A"," ",VLOOKUP(A59,SatSunPeakPwr,(IF(BMO4=2,7,IF(BMO4=1,6,8))),FALSE()))</f>
        <v>14.3400020599365</v>
      </c>
      <c r="Q59" s="402" t="n">
        <f aca="false">IF(A59="N/A"," ",(VLOOKUP(A59,OPPowerPrices,(IF(BMO4=2,7,IF(BMO4=1,6,8))),FALSE())))</f>
        <v>16.1800003051758</v>
      </c>
      <c r="R59" s="403" t="e">
        <f aca="false">IF(A59="N/A"," ",(VLOOKUP($A59,IRTable,2)))</f>
        <v>#N/A</v>
      </c>
      <c r="AF59" s="352" t="n">
        <v>38231</v>
      </c>
      <c r="AG59" s="311" t="n">
        <v>21</v>
      </c>
      <c r="AH59" s="311" t="n">
        <v>4</v>
      </c>
      <c r="AI59" s="311" t="n">
        <v>5</v>
      </c>
      <c r="AJ59" s="311" t="n">
        <v>1</v>
      </c>
      <c r="AK59" s="311" t="n">
        <v>30</v>
      </c>
      <c r="AU59" s="406"/>
    </row>
    <row r="60" customFormat="false" ht="12.75" hidden="false" customHeight="false" outlineLevel="0" collapsed="false">
      <c r="A60" s="352" t="n">
        <f aca="false">Option4!A27</f>
        <v>37956</v>
      </c>
      <c r="B60" s="396" t="n">
        <f aca="false">IF(A60="N/A"," ",IF(ISERROR(N60),B48*Pwresc,N60)*VLOOKUP(MONTH(A60),Curveadj,3))</f>
        <v>30.6015609502792</v>
      </c>
      <c r="C60" s="397" t="n">
        <f aca="false">IF(A60="N/A"," ",(IF(AND(Scaler4=1,MONTH(A60)&gt;=6,MONTH(A60)&lt;=8,OR($M$37="REGION 2",$M$37="REGION 2A",$M$37="REGION 2B",$M$37="REGION 3",$M$37="REGION 3A",$M$37="REGION 3B",$M$37="REGION 3C",$M$37="REGION 4",$M$37="REGION 4B",$M$37="REGION 4C",$M$37="REGION 5",$M$37="REGION 5A")),((0.059228/(B60/100))-(0.4980013/(SQRT(B60/100)))+2.137988),HLOOKUP(MONTH(A60),ScalarTable,28))))</f>
        <v>1.02125</v>
      </c>
      <c r="D60" s="398" t="n">
        <f aca="false">IF(A60="N/A"," ",C60*B60)</f>
        <v>31.2518441204727</v>
      </c>
      <c r="E60" s="396" t="n">
        <f aca="false">IF(A60="N/A"," ",IF(ISERROR(O60),E48*Pwresc,O60)*VLOOKUP(MONTH(A60),Curveadj,3))</f>
        <v>26.8399982452393</v>
      </c>
      <c r="F60" s="398" t="n">
        <f aca="false">IF(A60="N/A"," ",E60*C60)</f>
        <v>27.4103482079506</v>
      </c>
      <c r="G60" s="396" t="n">
        <f aca="false">IF(A60="N/A"," ",IF(ISERROR(P60),G48*Pwresc,P60)*VLOOKUP(MONTH(A60),Curveadj,3))</f>
        <v>21.3399982452393</v>
      </c>
      <c r="H60" s="398" t="n">
        <f aca="false">IF(A60="N/A"," ",G60*C60)</f>
        <v>21.7934732079506</v>
      </c>
      <c r="I60" s="398" t="n">
        <f aca="false">IF(A60="N/A"," ",IF(ISERROR(Q60),I48*Pwresc,Q60))</f>
        <v>18.4300003051758</v>
      </c>
      <c r="J60" s="398"/>
      <c r="K60" s="399"/>
      <c r="L60" s="399"/>
      <c r="M60" s="404"/>
      <c r="N60" s="401" t="n">
        <f aca="false">IF(A60="N/A"," ",VLOOKUP(A60,PeakPowerCurves,(IF(BMO4=2,3,IF(BMO4=1,2,4))),FALSE()))</f>
        <v>30.6015609502792</v>
      </c>
      <c r="O60" s="401" t="n">
        <f aca="false">IF(A60="N/A"," ",VLOOKUP(A60,SatSunPeakPwr,(IF(BMO4=2,3,IF(BMO4=1,2,4))),FALSE()))</f>
        <v>26.8399982452393</v>
      </c>
      <c r="P60" s="401" t="n">
        <f aca="false">IF(A60="N/A"," ",VLOOKUP(A60,SatSunPeakPwr,(IF(BMO4=2,7,IF(BMO4=1,6,8))),FALSE()))</f>
        <v>21.3399982452393</v>
      </c>
      <c r="Q60" s="402" t="n">
        <f aca="false">IF(A60="N/A"," ",(VLOOKUP(A60,OPPowerPrices,(IF(BMO4=2,7,IF(BMO4=1,6,8))),FALSE())))</f>
        <v>18.4300003051758</v>
      </c>
      <c r="R60" s="403" t="e">
        <f aca="false">IF(A60="N/A"," ",(VLOOKUP($A60,IRTable,2)))</f>
        <v>#N/A</v>
      </c>
      <c r="AF60" s="352" t="n">
        <v>38261</v>
      </c>
      <c r="AG60" s="311" t="n">
        <v>21</v>
      </c>
      <c r="AH60" s="311" t="n">
        <v>5</v>
      </c>
      <c r="AI60" s="311" t="n">
        <v>5</v>
      </c>
      <c r="AJ60" s="311" t="n">
        <v>0</v>
      </c>
      <c r="AK60" s="311" t="n">
        <v>31</v>
      </c>
      <c r="AU60" s="406"/>
    </row>
    <row r="61" customFormat="false" ht="12.75" hidden="false" customHeight="false" outlineLevel="0" collapsed="false">
      <c r="A61" s="352" t="n">
        <f aca="false">Option4!A28</f>
        <v>37987</v>
      </c>
      <c r="B61" s="396" t="n">
        <f aca="false">IF(A61="N/A"," ",IF(ISERROR(N61),B49*Pwresc,N61)*VLOOKUP(MONTH(A61),Curveadj,3))</f>
        <v>34.3357146126883</v>
      </c>
      <c r="C61" s="397" t="n">
        <f aca="false">IF(A61="N/A"," ",(IF(AND(Scaler4=1,MONTH(A61)&gt;=6,MONTH(A61)&lt;=8,OR($M$37="REGION 2",$M$37="REGION 2A",$M$37="REGION 2B",$M$37="REGION 3",$M$37="REGION 3A",$M$37="REGION 3B",$M$37="REGION 3C",$M$37="REGION 4",$M$37="REGION 4B",$M$37="REGION 4C",$M$37="REGION 5",$M$37="REGION 5A")),((0.059228/(B61/100))-(0.4980013/(SQRT(B61/100)))+2.137988),HLOOKUP(MONTH(A61),ScalarTable,28))))</f>
        <v>1.02007383501259</v>
      </c>
      <c r="D61" s="398" t="n">
        <f aca="false">IF(A61="N/A"," ",C61*B61)</f>
        <v>35.024964082863</v>
      </c>
      <c r="E61" s="396" t="n">
        <f aca="false">IF(A61="N/A"," ",IF(ISERROR(O61),E49*Pwresc,O61)*VLOOKUP(MONTH(A61),Curveadj,3))</f>
        <v>35.5</v>
      </c>
      <c r="F61" s="398" t="n">
        <f aca="false">IF(A61="N/A"," ",E61*C61)</f>
        <v>36.2126211429471</v>
      </c>
      <c r="G61" s="396" t="n">
        <f aca="false">IF(A61="N/A"," ",IF(ISERROR(P61),G49*Pwresc,P61)*VLOOKUP(MONTH(A61),Curveadj,3))</f>
        <v>25</v>
      </c>
      <c r="H61" s="398" t="n">
        <f aca="false">IF(A61="N/A"," ",G61*C61)</f>
        <v>25.5018458753149</v>
      </c>
      <c r="I61" s="398" t="n">
        <f aca="false">IF(A61="N/A"," ",IF(ISERROR(Q61),I49*Pwresc,Q61))</f>
        <v>20.75</v>
      </c>
      <c r="J61" s="398"/>
      <c r="K61" s="399"/>
      <c r="L61" s="399"/>
      <c r="M61" s="404"/>
      <c r="N61" s="401" t="n">
        <f aca="false">IF(A61="N/A"," ",VLOOKUP(A61,PeakPowerCurves,(IF(BMO4=2,3,IF(BMO4=1,2,4))),FALSE()))</f>
        <v>34.3357146126883</v>
      </c>
      <c r="O61" s="401" t="n">
        <f aca="false">IF(A61="N/A"," ",VLOOKUP(A61,SatSunPeakPwr,(IF(BMO4=2,3,IF(BMO4=1,2,4))),FALSE()))</f>
        <v>35.5</v>
      </c>
      <c r="P61" s="401" t="n">
        <f aca="false">IF(A61="N/A"," ",VLOOKUP(A61,SatSunPeakPwr,(IF(BMO4=2,7,IF(BMO4=1,6,8))),FALSE()))</f>
        <v>25</v>
      </c>
      <c r="Q61" s="402" t="n">
        <f aca="false">IF(A61="N/A"," ",(VLOOKUP(A61,OPPowerPrices,(IF(BMO4=2,7,IF(BMO4=1,6,8))),FALSE())))</f>
        <v>20.75</v>
      </c>
      <c r="R61" s="403" t="e">
        <f aca="false">IF(A61="N/A"," ",(VLOOKUP($A61,IRTable,2)))</f>
        <v>#N/A</v>
      </c>
      <c r="AF61" s="352" t="n">
        <v>38292</v>
      </c>
      <c r="AG61" s="311" t="n">
        <v>21</v>
      </c>
      <c r="AH61" s="311" t="n">
        <v>4</v>
      </c>
      <c r="AI61" s="311" t="n">
        <v>5</v>
      </c>
      <c r="AJ61" s="311" t="n">
        <v>1</v>
      </c>
      <c r="AK61" s="311" t="n">
        <v>30</v>
      </c>
      <c r="AU61" s="406"/>
    </row>
    <row r="62" customFormat="false" ht="12.75" hidden="false" customHeight="false" outlineLevel="0" collapsed="false">
      <c r="A62" s="352" t="n">
        <f aca="false">Option4!A29</f>
        <v>38018</v>
      </c>
      <c r="B62" s="396" t="n">
        <f aca="false">IF(A62="N/A"," ",IF(ISERROR(N62),B50*Pwresc,N62)*VLOOKUP(MONTH(A62),Curveadj,3))</f>
        <v>33.7357085091727</v>
      </c>
      <c r="C62" s="397" t="n">
        <f aca="false">IF(A62="N/A"," ",(IF(AND(Scaler4=1,MONTH(A62)&gt;=6,MONTH(A62)&lt;=8,OR($M$37="REGION 2",$M$37="REGION 2A",$M$37="REGION 2B",$M$37="REGION 3",$M$37="REGION 3A",$M$37="REGION 3B",$M$37="REGION 3C",$M$37="REGION 4",$M$37="REGION 4B",$M$37="REGION 4C",$M$37="REGION 5",$M$37="REGION 5A")),((0.059228/(B62/100))-(0.4980013/(SQRT(B62/100)))+2.137988),HLOOKUP(MONTH(A62),ScalarTable,28))))</f>
        <v>1.02007383501259</v>
      </c>
      <c r="D62" s="398" t="n">
        <f aca="false">IF(A62="N/A"," ",C62*B62)</f>
        <v>34.4129135558188</v>
      </c>
      <c r="E62" s="396" t="n">
        <f aca="false">IF(A62="N/A"," ",IF(ISERROR(O62),E50*Pwresc,O62)*VLOOKUP(MONTH(A62),Curveadj,3))</f>
        <v>31.2460021972656</v>
      </c>
      <c r="F62" s="398" t="n">
        <f aca="false">IF(A62="N/A"," ",E62*C62)</f>
        <v>31.8732292901767</v>
      </c>
      <c r="G62" s="396" t="n">
        <f aca="false">IF(A62="N/A"," ",IF(ISERROR(P62),G50*Pwresc,P62)*VLOOKUP(MONTH(A62),Curveadj,3))</f>
        <v>22.7465019226074</v>
      </c>
      <c r="H62" s="398" t="n">
        <f aca="false">IF(A62="N/A"," ",G62*C62)</f>
        <v>23.2031114493155</v>
      </c>
      <c r="I62" s="398" t="n">
        <f aca="false">IF(A62="N/A"," ",IF(ISERROR(Q62),I50*Pwresc,Q62))</f>
        <v>20</v>
      </c>
      <c r="J62" s="398"/>
      <c r="K62" s="399"/>
      <c r="L62" s="399"/>
      <c r="M62" s="404"/>
      <c r="N62" s="401" t="n">
        <f aca="false">IF(A62="N/A"," ",VLOOKUP(A62,PeakPowerCurves,(IF(BMO4=2,3,IF(BMO4=1,2,4))),FALSE()))</f>
        <v>33.7357085091727</v>
      </c>
      <c r="O62" s="401" t="n">
        <f aca="false">IF(A62="N/A"," ",VLOOKUP(A62,SatSunPeakPwr,(IF(BMO4=2,3,IF(BMO4=1,2,4))),FALSE()))</f>
        <v>31.2460021972656</v>
      </c>
      <c r="P62" s="401" t="n">
        <f aca="false">IF(A62="N/A"," ",VLOOKUP(A62,SatSunPeakPwr,(IF(BMO4=2,7,IF(BMO4=1,6,8))),FALSE()))</f>
        <v>22.7465019226074</v>
      </c>
      <c r="Q62" s="402" t="n">
        <f aca="false">IF(A62="N/A"," ",(VLOOKUP(A62,OPPowerPrices,(IF(BMO4=2,7,IF(BMO4=1,6,8))),FALSE())))</f>
        <v>20</v>
      </c>
      <c r="R62" s="403" t="e">
        <f aca="false">IF(A62="N/A"," ",(VLOOKUP($A62,IRTable,2)))</f>
        <v>#N/A</v>
      </c>
      <c r="AF62" s="352" t="n">
        <v>38322</v>
      </c>
      <c r="AG62" s="311" t="n">
        <v>23</v>
      </c>
      <c r="AH62" s="311" t="n">
        <v>3</v>
      </c>
      <c r="AI62" s="311" t="n">
        <v>5</v>
      </c>
      <c r="AJ62" s="311" t="n">
        <v>1</v>
      </c>
      <c r="AK62" s="311" t="n">
        <v>31</v>
      </c>
      <c r="AU62" s="406"/>
    </row>
    <row r="63" customFormat="false" ht="12.75" hidden="false" customHeight="false" outlineLevel="0" collapsed="false">
      <c r="A63" s="352" t="n">
        <f aca="false">Option4!A30</f>
        <v>38047</v>
      </c>
      <c r="B63" s="396" t="n">
        <f aca="false">IF(A63="N/A"," ",IF(ISERROR(N63),B51*Pwresc,N63)*VLOOKUP(MONTH(A63),Curveadj,3))</f>
        <v>32.4476771687352</v>
      </c>
      <c r="C63" s="397" t="n">
        <f aca="false">IF(A63="N/A"," ",(IF(AND(Scaler4=1,MONTH(A63)&gt;=6,MONTH(A63)&lt;=8,OR($M$37="REGION 2",$M$37="REGION 2A",$M$37="REGION 2B",$M$37="REGION 3",$M$37="REGION 3A",$M$37="REGION 3B",$M$37="REGION 3C",$M$37="REGION 4",$M$37="REGION 4B",$M$37="REGION 4C",$M$37="REGION 5",$M$37="REGION 5A")),((0.059228/(B63/100))-(0.4980013/(SQRT(B63/100)))+2.137988),HLOOKUP(MONTH(A63),ScalarTable,28))))</f>
        <v>1.0173448699422</v>
      </c>
      <c r="D63" s="398" t="n">
        <f aca="false">IF(A63="N/A"," ",C63*B63)</f>
        <v>33.0104779091533</v>
      </c>
      <c r="E63" s="396" t="n">
        <f aca="false">IF(A63="N/A"," ",IF(ISERROR(O63),E51*Pwresc,O63)*VLOOKUP(MONTH(A63),Curveadj,3))</f>
        <v>25.5</v>
      </c>
      <c r="F63" s="398" t="n">
        <f aca="false">IF(A63="N/A"," ",E63*C63)</f>
        <v>25.942294183526</v>
      </c>
      <c r="G63" s="396" t="n">
        <f aca="false">IF(A63="N/A"," ",IF(ISERROR(P63),G51*Pwresc,P63)*VLOOKUP(MONTH(A63),Curveadj,3))</f>
        <v>20</v>
      </c>
      <c r="H63" s="398" t="n">
        <f aca="false">IF(A63="N/A"," ",G63*C63)</f>
        <v>20.3468973988439</v>
      </c>
      <c r="I63" s="398" t="n">
        <f aca="false">IF(A63="N/A"," ",IF(ISERROR(Q63),I51*Pwresc,Q63))</f>
        <v>21</v>
      </c>
      <c r="J63" s="398"/>
      <c r="K63" s="399"/>
      <c r="L63" s="399"/>
      <c r="M63" s="404"/>
      <c r="N63" s="401" t="n">
        <f aca="false">IF(A63="N/A"," ",VLOOKUP(A63,PeakPowerCurves,(IF(BMO4=2,3,IF(BMO4=1,2,4))),FALSE()))</f>
        <v>32.4476771687352</v>
      </c>
      <c r="O63" s="401" t="n">
        <f aca="false">IF(A63="N/A"," ",VLOOKUP(A63,SatSunPeakPwr,(IF(BMO4=2,3,IF(BMO4=1,2,4))),FALSE()))</f>
        <v>25.5</v>
      </c>
      <c r="P63" s="401" t="n">
        <f aca="false">IF(A63="N/A"," ",VLOOKUP(A63,SatSunPeakPwr,(IF(BMO4=2,7,IF(BMO4=1,6,8))),FALSE()))</f>
        <v>20</v>
      </c>
      <c r="Q63" s="402" t="n">
        <f aca="false">IF(A63="N/A"," ",(VLOOKUP(A63,OPPowerPrices,(IF(BMO4=2,7,IF(BMO4=1,6,8))),FALSE())))</f>
        <v>21</v>
      </c>
      <c r="R63" s="403" t="e">
        <f aca="false">IF(A63="N/A"," ",(VLOOKUP($A63,IRTable,2)))</f>
        <v>#N/A</v>
      </c>
      <c r="AF63" s="352" t="n">
        <v>38353</v>
      </c>
      <c r="AG63" s="311" t="n">
        <v>21</v>
      </c>
      <c r="AH63" s="311" t="n">
        <v>4</v>
      </c>
      <c r="AI63" s="311" t="n">
        <v>6</v>
      </c>
      <c r="AJ63" s="311" t="n">
        <v>1</v>
      </c>
      <c r="AK63" s="311" t="n">
        <v>31</v>
      </c>
      <c r="AU63" s="406"/>
    </row>
    <row r="64" customFormat="false" ht="12.75" hidden="false" customHeight="false" outlineLevel="0" collapsed="false">
      <c r="A64" s="352" t="n">
        <f aca="false">Option4!A31</f>
        <v>38078</v>
      </c>
      <c r="B64" s="396" t="n">
        <f aca="false">IF(A64="N/A"," ",IF(ISERROR(N64),B52*Pwresc,N64)*VLOOKUP(MONTH(A64),Curveadj,3))</f>
        <v>32.6476779316747</v>
      </c>
      <c r="C64" s="397" t="n">
        <f aca="false">IF(A64="N/A"," ",(IF(AND(Scaler4=1,MONTH(A64)&gt;=6,MONTH(A64)&lt;=8,OR($M$37="REGION 2",$M$37="REGION 2A",$M$37="REGION 2B",$M$37="REGION 3",$M$37="REGION 3A",$M$37="REGION 3B",$M$37="REGION 3C",$M$37="REGION 4",$M$37="REGION 4B",$M$37="REGION 4C",$M$37="REGION 5",$M$37="REGION 5A")),((0.059228/(B64/100))-(0.4980013/(SQRT(B64/100)))+2.137988),HLOOKUP(MONTH(A64),ScalarTable,28))))</f>
        <v>1.005</v>
      </c>
      <c r="D64" s="398" t="n">
        <f aca="false">IF(A64="N/A"," ",C64*B64)</f>
        <v>32.8109163213331</v>
      </c>
      <c r="E64" s="396" t="n">
        <f aca="false">IF(A64="N/A"," ",IF(ISERROR(O64),E52*Pwresc,O64)*VLOOKUP(MONTH(A64),Curveadj,3))</f>
        <v>22</v>
      </c>
      <c r="F64" s="398" t="n">
        <f aca="false">IF(A64="N/A"," ",E64*C64)</f>
        <v>22.11</v>
      </c>
      <c r="G64" s="396" t="n">
        <f aca="false">IF(A64="N/A"," ",IF(ISERROR(P64),G52*Pwresc,P64)*VLOOKUP(MONTH(A64),Curveadj,3))</f>
        <v>16.4950008392334</v>
      </c>
      <c r="H64" s="398" t="n">
        <f aca="false">IF(A64="N/A"," ",G64*C64)</f>
        <v>16.5774758434296</v>
      </c>
      <c r="I64" s="398" t="n">
        <f aca="false">IF(A64="N/A"," ",IF(ISERROR(Q64),I52*Pwresc,Q64))</f>
        <v>18</v>
      </c>
      <c r="J64" s="398"/>
      <c r="K64" s="399"/>
      <c r="L64" s="399"/>
      <c r="M64" s="404"/>
      <c r="N64" s="401" t="n">
        <f aca="false">IF(A64="N/A"," ",VLOOKUP(A64,PeakPowerCurves,(IF(BMO4=2,3,IF(BMO4=1,2,4))),FALSE()))</f>
        <v>32.6476779316747</v>
      </c>
      <c r="O64" s="401" t="n">
        <f aca="false">IF(A64="N/A"," ",VLOOKUP(A64,SatSunPeakPwr,(IF(BMO4=2,3,IF(BMO4=1,2,4))),FALSE()))</f>
        <v>22</v>
      </c>
      <c r="P64" s="401" t="n">
        <f aca="false">IF(A64="N/A"," ",VLOOKUP(A64,SatSunPeakPwr,(IF(BMO4=2,7,IF(BMO4=1,6,8))),FALSE()))</f>
        <v>16.4950008392334</v>
      </c>
      <c r="Q64" s="402" t="n">
        <f aca="false">IF(A64="N/A"," ",(VLOOKUP(A64,OPPowerPrices,(IF(BMO4=2,7,IF(BMO4=1,6,8))),FALSE())))</f>
        <v>18</v>
      </c>
      <c r="R64" s="403" t="e">
        <f aca="false">IF(A64="N/A"," ",(VLOOKUP($A64,IRTable,2)))</f>
        <v>#N/A</v>
      </c>
      <c r="AF64" s="352" t="n">
        <v>38384</v>
      </c>
      <c r="AG64" s="311" t="n">
        <v>20</v>
      </c>
      <c r="AH64" s="311" t="n">
        <v>4</v>
      </c>
      <c r="AI64" s="311" t="n">
        <v>4</v>
      </c>
      <c r="AJ64" s="311" t="n">
        <v>0</v>
      </c>
      <c r="AK64" s="311" t="n">
        <v>28</v>
      </c>
      <c r="AU64" s="406"/>
    </row>
    <row r="65" customFormat="false" ht="12.75" hidden="false" customHeight="false" outlineLevel="0" collapsed="false">
      <c r="A65" s="352" t="n">
        <f aca="false">Option4!A32</f>
        <v>38108</v>
      </c>
      <c r="B65" s="396" t="n">
        <f aca="false">IF(A65="N/A"," ",IF(ISERROR(N65),B53*Pwresc,N65)*VLOOKUP(MONTH(A65),Curveadj,3))</f>
        <v>35.4250030517578</v>
      </c>
      <c r="C65" s="397" t="n">
        <f aca="false">IF(A65="N/A"," ",(IF(AND(Scaler4=1,MONTH(A65)&gt;=6,MONTH(A65)&lt;=8,OR($M$37="REGION 2",$M$37="REGION 2A",$M$37="REGION 2B",$M$37="REGION 3",$M$37="REGION 3A",$M$37="REGION 3B",$M$37="REGION 3C",$M$37="REGION 4",$M$37="REGION 4B",$M$37="REGION 4C",$M$37="REGION 5",$M$37="REGION 5A")),((0.059228/(B65/100))-(0.4980013/(SQRT(B65/100)))+2.137988),HLOOKUP(MONTH(A65),ScalarTable,28))))</f>
        <v>1.075625</v>
      </c>
      <c r="D65" s="398" t="n">
        <f aca="false">IF(A65="N/A"," ",C65*B65)</f>
        <v>38.104018907547</v>
      </c>
      <c r="E65" s="396" t="n">
        <f aca="false">IF(A65="N/A"," ",IF(ISERROR(O65),E53*Pwresc,O65)*VLOOKUP(MONTH(A65),Curveadj,3))</f>
        <v>22.2900009155273</v>
      </c>
      <c r="F65" s="398" t="n">
        <f aca="false">IF(A65="N/A"," ",E65*C65)</f>
        <v>23.9756822347641</v>
      </c>
      <c r="G65" s="396" t="n">
        <f aca="false">IF(A65="N/A"," ",IF(ISERROR(P65),G53*Pwresc,P65)*VLOOKUP(MONTH(A65),Curveadj,3))</f>
        <v>15.7950000762939</v>
      </c>
      <c r="H65" s="398" t="n">
        <f aca="false">IF(A65="N/A"," ",G65*C65)</f>
        <v>16.9894969570637</v>
      </c>
      <c r="I65" s="398" t="n">
        <f aca="false">IF(A65="N/A"," ",IF(ISERROR(Q65),I53*Pwresc,Q65))</f>
        <v>18.5400009155273</v>
      </c>
      <c r="J65" s="398"/>
      <c r="K65" s="399"/>
      <c r="L65" s="399"/>
      <c r="M65" s="404"/>
      <c r="N65" s="401" t="n">
        <f aca="false">IF(A65="N/A"," ",VLOOKUP(A65,PeakPowerCurves,(IF(BMO4=2,3,IF(BMO4=1,2,4))),FALSE()))</f>
        <v>35.4250030517578</v>
      </c>
      <c r="O65" s="401" t="n">
        <f aca="false">IF(A65="N/A"," ",VLOOKUP(A65,SatSunPeakPwr,(IF(BMO4=2,3,IF(BMO4=1,2,4))),FALSE()))</f>
        <v>22.2900009155273</v>
      </c>
      <c r="P65" s="401" t="n">
        <f aca="false">IF(A65="N/A"," ",VLOOKUP(A65,SatSunPeakPwr,(IF(BMO4=2,7,IF(BMO4=1,6,8))),FALSE()))</f>
        <v>15.7950000762939</v>
      </c>
      <c r="Q65" s="402" t="n">
        <f aca="false">IF(A65="N/A"," ",(VLOOKUP(A65,OPPowerPrices,(IF(BMO4=2,7,IF(BMO4=1,6,8))),FALSE())))</f>
        <v>18.5400009155273</v>
      </c>
      <c r="R65" s="403" t="e">
        <f aca="false">IF(A65="N/A"," ",(VLOOKUP($A65,IRTable,2)))</f>
        <v>#N/A</v>
      </c>
      <c r="AF65" s="352" t="n">
        <v>38412</v>
      </c>
      <c r="AG65" s="311" t="n">
        <v>23</v>
      </c>
      <c r="AH65" s="311" t="n">
        <v>4</v>
      </c>
      <c r="AI65" s="311" t="n">
        <v>4</v>
      </c>
      <c r="AJ65" s="311" t="n">
        <v>0</v>
      </c>
      <c r="AK65" s="311" t="n">
        <v>31</v>
      </c>
      <c r="AU65" s="406"/>
    </row>
    <row r="66" customFormat="false" ht="12.75" hidden="false" customHeight="false" outlineLevel="0" collapsed="false">
      <c r="A66" s="352" t="n">
        <f aca="false">Option4!A33</f>
        <v>38139</v>
      </c>
      <c r="B66" s="396" t="n">
        <f aca="false">IF(A66="N/A"," ",IF(ISERROR(N66),B54*Pwresc,N66)*VLOOKUP(MONTH(A66),Curveadj,3))</f>
        <v>42.6250038146973</v>
      </c>
      <c r="C66" s="397" t="n">
        <f aca="false">IF(A66="N/A"," ",(IF(AND(Scaler4=1,MONTH(A66)&gt;=6,MONTH(A66)&lt;=8,OR($M$37="REGION 2",$M$37="REGION 2A",$M$37="REGION 2B",$M$37="REGION 3",$M$37="REGION 3A",$M$37="REGION 3B",$M$37="REGION 3C",$M$37="REGION 4",$M$37="REGION 4B",$M$37="REGION 4C",$M$37="REGION 5",$M$37="REGION 5A")),((0.059228/(B66/100))-(0.4980013/(SQRT(B66/100)))+2.137988),HLOOKUP(MONTH(A66),ScalarTable,28))))</f>
        <v>1.53</v>
      </c>
      <c r="D66" s="398" t="n">
        <f aca="false">IF(A66="N/A"," ",C66*B66)</f>
        <v>65.2162558364868</v>
      </c>
      <c r="E66" s="396" t="n">
        <f aca="false">IF(A66="N/A"," ",IF(ISERROR(O66),E54*Pwresc,O66)*VLOOKUP(MONTH(A66),Curveadj,3))</f>
        <v>29.2900009155273</v>
      </c>
      <c r="F66" s="398" t="n">
        <f aca="false">IF(A66="N/A"," ",E66*C66)</f>
        <v>44.8137014007568</v>
      </c>
      <c r="G66" s="396" t="n">
        <f aca="false">IF(A66="N/A"," ",IF(ISERROR(P66),G54*Pwresc,P66)*VLOOKUP(MONTH(A66),Curveadj,3))</f>
        <v>19.7900009155273</v>
      </c>
      <c r="H66" s="398" t="n">
        <f aca="false">IF(A66="N/A"," ",G66*C66)</f>
        <v>30.2787014007568</v>
      </c>
      <c r="I66" s="398" t="n">
        <f aca="false">IF(A66="N/A"," ",IF(ISERROR(Q66),I54*Pwresc,Q66))</f>
        <v>21.5400009155273</v>
      </c>
      <c r="J66" s="398"/>
      <c r="K66" s="399"/>
      <c r="L66" s="399"/>
      <c r="M66" s="404"/>
      <c r="N66" s="401" t="n">
        <f aca="false">IF(A66="N/A"," ",VLOOKUP(A66,PeakPowerCurves,(IF(BMO4=2,3,IF(BMO4=1,2,4))),FALSE()))</f>
        <v>42.6250038146973</v>
      </c>
      <c r="O66" s="401" t="n">
        <f aca="false">IF(A66="N/A"," ",VLOOKUP(A66,SatSunPeakPwr,(IF(BMO4=2,3,IF(BMO4=1,2,4))),FALSE()))</f>
        <v>29.2900009155273</v>
      </c>
      <c r="P66" s="401" t="n">
        <f aca="false">IF(A66="N/A"," ",VLOOKUP(A66,SatSunPeakPwr,(IF(BMO4=2,7,IF(BMO4=1,6,8))),FALSE()))</f>
        <v>19.7900009155273</v>
      </c>
      <c r="Q66" s="402" t="n">
        <f aca="false">IF(A66="N/A"," ",(VLOOKUP(A66,OPPowerPrices,(IF(BMO4=2,7,IF(BMO4=1,6,8))),FALSE())))</f>
        <v>21.5400009155273</v>
      </c>
      <c r="R66" s="403" t="e">
        <f aca="false">IF(A66="N/A"," ",(VLOOKUP($A66,IRTable,2)))</f>
        <v>#N/A</v>
      </c>
      <c r="AF66" s="352" t="n">
        <v>38443</v>
      </c>
      <c r="AG66" s="311" t="n">
        <v>21</v>
      </c>
      <c r="AH66" s="311" t="n">
        <v>5</v>
      </c>
      <c r="AI66" s="311" t="n">
        <v>4</v>
      </c>
      <c r="AJ66" s="311" t="n">
        <v>0</v>
      </c>
      <c r="AK66" s="311" t="n">
        <v>30</v>
      </c>
      <c r="AU66" s="406"/>
    </row>
    <row r="67" customFormat="false" ht="12.75" hidden="false" customHeight="false" outlineLevel="0" collapsed="false">
      <c r="A67" s="352" t="n">
        <f aca="false">Option4!A34</f>
        <v>38169</v>
      </c>
      <c r="B67" s="396" t="n">
        <f aca="false">IF(A67="N/A"," ",IF(ISERROR(N67),B55*Pwresc,N67)*VLOOKUP(MONTH(A67),Curveadj,3))</f>
        <v>52.5</v>
      </c>
      <c r="C67" s="397" t="n">
        <f aca="false">IF(A67="N/A"," ",(IF(AND(Scaler4=1,MONTH(A67)&gt;=6,MONTH(A67)&lt;=8,OR($M$37="REGION 2",$M$37="REGION 2A",$M$37="REGION 2B",$M$37="REGION 3",$M$37="REGION 3A",$M$37="REGION 3B",$M$37="REGION 3C",$M$37="REGION 4",$M$37="REGION 4B",$M$37="REGION 4C",$M$37="REGION 5",$M$37="REGION 5A")),((0.059228/(B67/100))-(0.4980013/(SQRT(B67/100)))+2.137988),HLOOKUP(MONTH(A67),ScalarTable,28))))</f>
        <v>1.63</v>
      </c>
      <c r="D67" s="398" t="n">
        <f aca="false">IF(A67="N/A"," ",C67*B67)</f>
        <v>85.575</v>
      </c>
      <c r="E67" s="396" t="n">
        <f aca="false">IF(A67="N/A"," ",IF(ISERROR(O67),E55*Pwresc,O67)*VLOOKUP(MONTH(A67),Curveadj,3))</f>
        <v>35.2900009155273</v>
      </c>
      <c r="F67" s="398" t="n">
        <f aca="false">IF(A67="N/A"," ",E67*C67)</f>
        <v>57.5227014923096</v>
      </c>
      <c r="G67" s="396" t="n">
        <f aca="false">IF(A67="N/A"," ",IF(ISERROR(P67),G55*Pwresc,P67)*VLOOKUP(MONTH(A67),Curveadj,3))</f>
        <v>25.7900009155273</v>
      </c>
      <c r="H67" s="398" t="n">
        <f aca="false">IF(A67="N/A"," ",G67*C67)</f>
        <v>42.0377014923096</v>
      </c>
      <c r="I67" s="398" t="n">
        <f aca="false">IF(A67="N/A"," ",IF(ISERROR(Q67),I55*Pwresc,Q67))</f>
        <v>22.0400009155273</v>
      </c>
      <c r="J67" s="398"/>
      <c r="K67" s="399"/>
      <c r="L67" s="399"/>
      <c r="M67" s="404"/>
      <c r="N67" s="401" t="n">
        <f aca="false">IF(A67="N/A"," ",VLOOKUP(A67,PeakPowerCurves,(IF(BMO4=2,3,IF(BMO4=1,2,4))),FALSE()))</f>
        <v>52.5</v>
      </c>
      <c r="O67" s="401" t="n">
        <f aca="false">IF(A67="N/A"," ",VLOOKUP(A67,SatSunPeakPwr,(IF(BMO4=2,3,IF(BMO4=1,2,4))),FALSE()))</f>
        <v>35.2900009155273</v>
      </c>
      <c r="P67" s="401" t="n">
        <f aca="false">IF(A67="N/A"," ",VLOOKUP(A67,SatSunPeakPwr,(IF(BMO4=2,7,IF(BMO4=1,6,8))),FALSE()))</f>
        <v>25.7900009155273</v>
      </c>
      <c r="Q67" s="402" t="n">
        <f aca="false">IF(A67="N/A"," ",(VLOOKUP(A67,OPPowerPrices,(IF(BMO4=2,7,IF(BMO4=1,6,8))),FALSE())))</f>
        <v>22.0400009155273</v>
      </c>
      <c r="R67" s="403" t="e">
        <f aca="false">IF(A67="N/A"," ",(VLOOKUP($A67,IRTable,2)))</f>
        <v>#N/A</v>
      </c>
      <c r="AF67" s="352" t="n">
        <v>38473</v>
      </c>
      <c r="AG67" s="311" t="n">
        <v>21</v>
      </c>
      <c r="AH67" s="311" t="n">
        <v>4</v>
      </c>
      <c r="AI67" s="311" t="n">
        <v>6</v>
      </c>
      <c r="AJ67" s="311" t="n">
        <v>1</v>
      </c>
      <c r="AK67" s="311" t="n">
        <v>31</v>
      </c>
      <c r="AU67" s="406"/>
    </row>
    <row r="68" customFormat="false" ht="12.75" hidden="false" customHeight="false" outlineLevel="0" collapsed="false">
      <c r="A68" s="352" t="n">
        <f aca="false">Option4!A35</f>
        <v>38200</v>
      </c>
      <c r="B68" s="396" t="n">
        <f aca="false">IF(A68="N/A"," ",IF(ISERROR(N68),B56*Pwresc,N68)*VLOOKUP(MONTH(A68),Curveadj,3))</f>
        <v>52.5</v>
      </c>
      <c r="C68" s="397" t="n">
        <f aca="false">IF(A68="N/A"," ",(IF(AND(Scaler4=1,MONTH(A68)&gt;=6,MONTH(A68)&lt;=8,OR($M$37="REGION 2",$M$37="REGION 2A",$M$37="REGION 2B",$M$37="REGION 3",$M$37="REGION 3A",$M$37="REGION 3B",$M$37="REGION 3C",$M$37="REGION 4",$M$37="REGION 4B",$M$37="REGION 4C",$M$37="REGION 5",$M$37="REGION 5A")),((0.059228/(B68/100))-(0.4980013/(SQRT(B68/100)))+2.137988),HLOOKUP(MONTH(A68),ScalarTable,28))))</f>
        <v>1.63</v>
      </c>
      <c r="D68" s="398" t="n">
        <f aca="false">IF(A68="N/A"," ",C68*B68)</f>
        <v>85.575</v>
      </c>
      <c r="E68" s="396" t="n">
        <f aca="false">IF(A68="N/A"," ",IF(ISERROR(O68),E56*Pwresc,O68)*VLOOKUP(MONTH(A68),Curveadj,3))</f>
        <v>33.2900047302246</v>
      </c>
      <c r="F68" s="398" t="n">
        <f aca="false">IF(A68="N/A"," ",E68*C68)</f>
        <v>54.2627077102661</v>
      </c>
      <c r="G68" s="396" t="n">
        <f aca="false">IF(A68="N/A"," ",IF(ISERROR(P68),G56*Pwresc,P68)*VLOOKUP(MONTH(A68),Curveadj,3))</f>
        <v>25.7900009155273</v>
      </c>
      <c r="H68" s="398" t="n">
        <f aca="false">IF(A68="N/A"," ",G68*C68)</f>
        <v>42.0377014923096</v>
      </c>
      <c r="I68" s="398" t="n">
        <f aca="false">IF(A68="N/A"," ",IF(ISERROR(Q68),I56*Pwresc,Q68))</f>
        <v>23.0400009155273</v>
      </c>
      <c r="J68" s="398"/>
      <c r="K68" s="399"/>
      <c r="L68" s="399"/>
      <c r="M68" s="404"/>
      <c r="N68" s="401" t="n">
        <f aca="false">IF(A68="N/A"," ",VLOOKUP(A68,PeakPowerCurves,(IF(BMO4=2,3,IF(BMO4=1,2,4))),FALSE()))</f>
        <v>52.5</v>
      </c>
      <c r="O68" s="401" t="n">
        <f aca="false">IF(A68="N/A"," ",VLOOKUP(A68,SatSunPeakPwr,(IF(BMO4=2,3,IF(BMO4=1,2,4))),FALSE()))</f>
        <v>33.2900047302246</v>
      </c>
      <c r="P68" s="401" t="n">
        <f aca="false">IF(A68="N/A"," ",VLOOKUP(A68,SatSunPeakPwr,(IF(BMO4=2,7,IF(BMO4=1,6,8))),FALSE()))</f>
        <v>25.7900009155273</v>
      </c>
      <c r="Q68" s="402" t="n">
        <f aca="false">IF(A68="N/A"," ",(VLOOKUP(A68,OPPowerPrices,(IF(BMO4=2,7,IF(BMO4=1,6,8))),FALSE())))</f>
        <v>23.0400009155273</v>
      </c>
      <c r="R68" s="403" t="e">
        <f aca="false">IF(A68="N/A"," ",(VLOOKUP($A68,IRTable,2)))</f>
        <v>#N/A</v>
      </c>
      <c r="AF68" s="352" t="n">
        <v>38504</v>
      </c>
      <c r="AG68" s="311" t="n">
        <v>22</v>
      </c>
      <c r="AH68" s="311" t="n">
        <v>4</v>
      </c>
      <c r="AI68" s="311" t="n">
        <v>4</v>
      </c>
      <c r="AJ68" s="311" t="n">
        <v>0</v>
      </c>
      <c r="AK68" s="311" t="n">
        <v>30</v>
      </c>
      <c r="AU68" s="406"/>
    </row>
    <row r="69" customFormat="false" ht="12.75" hidden="false" customHeight="false" outlineLevel="0" collapsed="false">
      <c r="A69" s="352" t="n">
        <f aca="false">Option4!A36</f>
        <v>38231</v>
      </c>
      <c r="B69" s="396" t="n">
        <f aca="false">IF(A69="N/A"," ",IF(ISERROR(N69),B57*Pwresc,N69)*VLOOKUP(MONTH(A69),Curveadj,3))</f>
        <v>30.3000011444092</v>
      </c>
      <c r="C69" s="397" t="n">
        <f aca="false">IF(A69="N/A"," ",(IF(AND(Scaler4=1,MONTH(A69)&gt;=6,MONTH(A69)&lt;=8,OR($M$37="REGION 2",$M$37="REGION 2A",$M$37="REGION 2B",$M$37="REGION 3",$M$37="REGION 3A",$M$37="REGION 3B",$M$37="REGION 3C",$M$37="REGION 4",$M$37="REGION 4B",$M$37="REGION 4C",$M$37="REGION 5",$M$37="REGION 5A")),((0.059228/(B69/100))-(0.4980013/(SQRT(B69/100)))+2.137988),HLOOKUP(MONTH(A69),ScalarTable,28))))</f>
        <v>1.35125</v>
      </c>
      <c r="D69" s="398" t="n">
        <f aca="false">IF(A69="N/A"," ",C69*B69)</f>
        <v>40.9428765463829</v>
      </c>
      <c r="E69" s="396" t="n">
        <f aca="false">IF(A69="N/A"," ",IF(ISERROR(O69),E57*Pwresc,O69)*VLOOKUP(MONTH(A69),Curveadj,3))</f>
        <v>25.2900009155273</v>
      </c>
      <c r="F69" s="398" t="n">
        <f aca="false">IF(A69="N/A"," ",E69*C69)</f>
        <v>34.1731137371063</v>
      </c>
      <c r="G69" s="396" t="n">
        <f aca="false">IF(A69="N/A"," ",IF(ISERROR(P69),G57*Pwresc,P69)*VLOOKUP(MONTH(A69),Curveadj,3))</f>
        <v>19.7900009155273</v>
      </c>
      <c r="H69" s="398" t="n">
        <f aca="false">IF(A69="N/A"," ",G69*C69)</f>
        <v>26.7412387371063</v>
      </c>
      <c r="I69" s="398" t="n">
        <f aca="false">IF(A69="N/A"," ",IF(ISERROR(Q69),I57*Pwresc,Q69))</f>
        <v>17.0400009155273</v>
      </c>
      <c r="J69" s="398"/>
      <c r="K69" s="399"/>
      <c r="L69" s="399"/>
      <c r="M69" s="404"/>
      <c r="N69" s="401" t="n">
        <f aca="false">IF(A69="N/A"," ",VLOOKUP(A69,PeakPowerCurves,(IF(BMO4=2,3,IF(BMO4=1,2,4))),FALSE()))</f>
        <v>30.3000011444092</v>
      </c>
      <c r="O69" s="401" t="n">
        <f aca="false">IF(A69="N/A"," ",VLOOKUP(A69,SatSunPeakPwr,(IF(BMO4=2,3,IF(BMO4=1,2,4))),FALSE()))</f>
        <v>25.2900009155273</v>
      </c>
      <c r="P69" s="401" t="n">
        <f aca="false">IF(A69="N/A"," ",VLOOKUP(A69,SatSunPeakPwr,(IF(BMO4=2,7,IF(BMO4=1,6,8))),FALSE()))</f>
        <v>19.7900009155273</v>
      </c>
      <c r="Q69" s="402" t="n">
        <f aca="false">IF(A69="N/A"," ",(VLOOKUP(A69,OPPowerPrices,(IF(BMO4=2,7,IF(BMO4=1,6,8))),FALSE())))</f>
        <v>17.0400009155273</v>
      </c>
      <c r="R69" s="403" t="e">
        <f aca="false">IF(A69="N/A"," ",(VLOOKUP($A69,IRTable,2)))</f>
        <v>#N/A</v>
      </c>
      <c r="AF69" s="352" t="n">
        <v>38534</v>
      </c>
      <c r="AG69" s="311" t="n">
        <v>20</v>
      </c>
      <c r="AH69" s="311" t="n">
        <v>5</v>
      </c>
      <c r="AI69" s="311" t="n">
        <v>6</v>
      </c>
      <c r="AJ69" s="311" t="n">
        <v>1</v>
      </c>
      <c r="AK69" s="311" t="n">
        <v>31</v>
      </c>
      <c r="AU69" s="406"/>
    </row>
    <row r="70" customFormat="false" ht="12.75" hidden="false" customHeight="false" outlineLevel="0" collapsed="false">
      <c r="A70" s="352" t="n">
        <f aca="false">Option4!A37</f>
        <v>38261</v>
      </c>
      <c r="B70" s="396" t="n">
        <f aca="false">IF(A70="N/A"," ",IF(ISERROR(N70),B58*Pwresc,N70)*VLOOKUP(MONTH(A70),Curveadj,3))</f>
        <v>30.9515632390976</v>
      </c>
      <c r="C70" s="397" t="n">
        <f aca="false">IF(A70="N/A"," ",(IF(AND(Scaler4=1,MONTH(A70)&gt;=6,MONTH(A70)&lt;=8,OR($M$37="REGION 2",$M$37="REGION 2A",$M$37="REGION 2B",$M$37="REGION 3",$M$37="REGION 3A",$M$37="REGION 3B",$M$37="REGION 3C",$M$37="REGION 4",$M$37="REGION 4B",$M$37="REGION 4C",$M$37="REGION 5",$M$37="REGION 5A")),((0.059228/(B70/100))-(0.4980013/(SQRT(B70/100)))+2.137988),HLOOKUP(MONTH(A70),ScalarTable,28))))</f>
        <v>1.005</v>
      </c>
      <c r="D70" s="398" t="n">
        <f aca="false">IF(A70="N/A"," ",C70*B70)</f>
        <v>31.1063210552931</v>
      </c>
      <c r="E70" s="396" t="n">
        <f aca="false">IF(A70="N/A"," ",IF(ISERROR(O70),E58*Pwresc,O70)*VLOOKUP(MONTH(A70),Curveadj,3))</f>
        <v>20.2860012054443</v>
      </c>
      <c r="F70" s="398" t="n">
        <f aca="false">IF(A70="N/A"," ",E70*C70)</f>
        <v>20.3874312114716</v>
      </c>
      <c r="G70" s="396" t="n">
        <f aca="false">IF(A70="N/A"," ",IF(ISERROR(P70),G58*Pwresc,P70)*VLOOKUP(MONTH(A70),Curveadj,3))</f>
        <v>14.7865009307861</v>
      </c>
      <c r="H70" s="398" t="n">
        <f aca="false">IF(A70="N/A"," ",G70*C70)</f>
        <v>14.8604334354401</v>
      </c>
      <c r="I70" s="398" t="n">
        <f aca="false">IF(A70="N/A"," ",IF(ISERROR(Q70),I58*Pwresc,Q70))</f>
        <v>16.540002822876</v>
      </c>
      <c r="J70" s="398"/>
      <c r="K70" s="399"/>
      <c r="L70" s="399"/>
      <c r="M70" s="404"/>
      <c r="N70" s="401" t="n">
        <f aca="false">IF(A70="N/A"," ",VLOOKUP(A70,PeakPowerCurves,(IF(BMO4=2,3,IF(BMO4=1,2,4))),FALSE()))</f>
        <v>30.9515632390976</v>
      </c>
      <c r="O70" s="401" t="n">
        <f aca="false">IF(A70="N/A"," ",VLOOKUP(A70,SatSunPeakPwr,(IF(BMO4=2,3,IF(BMO4=1,2,4))),FALSE()))</f>
        <v>20.2860012054443</v>
      </c>
      <c r="P70" s="401" t="n">
        <f aca="false">IF(A70="N/A"," ",VLOOKUP(A70,SatSunPeakPwr,(IF(BMO4=2,7,IF(BMO4=1,6,8))),FALSE()))</f>
        <v>14.7865009307861</v>
      </c>
      <c r="Q70" s="402" t="n">
        <f aca="false">IF(A70="N/A"," ",(VLOOKUP(A70,OPPowerPrices,(IF(BMO4=2,7,IF(BMO4=1,6,8))),FALSE())))</f>
        <v>16.540002822876</v>
      </c>
      <c r="R70" s="403" t="e">
        <f aca="false">IF(A70="N/A"," ",(VLOOKUP($A70,IRTable,2)))</f>
        <v>#N/A</v>
      </c>
      <c r="AF70" s="352" t="n">
        <v>38565</v>
      </c>
      <c r="AG70" s="311" t="n">
        <v>23</v>
      </c>
      <c r="AH70" s="311" t="n">
        <v>4</v>
      </c>
      <c r="AI70" s="311" t="n">
        <v>4</v>
      </c>
      <c r="AJ70" s="311" t="n">
        <v>0</v>
      </c>
      <c r="AK70" s="311" t="n">
        <v>31</v>
      </c>
      <c r="AU70" s="406"/>
    </row>
    <row r="71" customFormat="false" ht="12.75" hidden="false" customHeight="false" outlineLevel="0" collapsed="false">
      <c r="A71" s="352" t="n">
        <f aca="false">Option4!A38</f>
        <v>38292</v>
      </c>
      <c r="B71" s="396" t="n">
        <f aca="false">IF(A71="N/A"," ",IF(ISERROR(N71),B59*Pwresc,N71)*VLOOKUP(MONTH(A71),Curveadj,3))</f>
        <v>31.0515617132187</v>
      </c>
      <c r="C71" s="397" t="n">
        <f aca="false">IF(A71="N/A"," ",(IF(AND(Scaler4=1,MONTH(A71)&gt;=6,MONTH(A71)&lt;=8,OR($M$37="REGION 2",$M$37="REGION 2A",$M$37="REGION 2B",$M$37="REGION 3",$M$37="REGION 3A",$M$37="REGION 3B",$M$37="REGION 3C",$M$37="REGION 4",$M$37="REGION 4B",$M$37="REGION 4C",$M$37="REGION 5",$M$37="REGION 5A")),((0.059228/(B71/100))-(0.4980013/(SQRT(B71/100)))+2.137988),HLOOKUP(MONTH(A71),ScalarTable,28))))</f>
        <v>1.0825</v>
      </c>
      <c r="D71" s="398" t="n">
        <f aca="false">IF(A71="N/A"," ",C71*B71)</f>
        <v>33.6133155545592</v>
      </c>
      <c r="E71" s="396" t="n">
        <f aca="false">IF(A71="N/A"," ",IF(ISERROR(O71),E59*Pwresc,O71)*VLOOKUP(MONTH(A71),Curveadj,3))</f>
        <v>22.2900009155273</v>
      </c>
      <c r="F71" s="398" t="n">
        <f aca="false">IF(A71="N/A"," ",E71*C71)</f>
        <v>24.1289259910584</v>
      </c>
      <c r="G71" s="396" t="n">
        <f aca="false">IF(A71="N/A"," ",IF(ISERROR(P71),G59*Pwresc,P71)*VLOOKUP(MONTH(A71),Curveadj,3))</f>
        <v>14.7900009155273</v>
      </c>
      <c r="H71" s="398" t="n">
        <f aca="false">IF(A71="N/A"," ",G71*C71)</f>
        <v>16.0101759910584</v>
      </c>
      <c r="I71" s="398" t="n">
        <f aca="false">IF(A71="N/A"," ",IF(ISERROR(Q71),I59*Pwresc,Q71))</f>
        <v>17.5400009155273</v>
      </c>
      <c r="J71" s="398"/>
      <c r="K71" s="399"/>
      <c r="L71" s="399"/>
      <c r="M71" s="404"/>
      <c r="N71" s="401" t="n">
        <f aca="false">IF(A71="N/A"," ",VLOOKUP(A71,PeakPowerCurves,(IF(BMO4=2,3,IF(BMO4=1,2,4))),FALSE()))</f>
        <v>31.0515617132187</v>
      </c>
      <c r="O71" s="401" t="n">
        <f aca="false">IF(A71="N/A"," ",VLOOKUP(A71,SatSunPeakPwr,(IF(BMO4=2,3,IF(BMO4=1,2,4))),FALSE()))</f>
        <v>22.2900009155273</v>
      </c>
      <c r="P71" s="401" t="n">
        <f aca="false">IF(A71="N/A"," ",VLOOKUP(A71,SatSunPeakPwr,(IF(BMO4=2,7,IF(BMO4=1,6,8))),FALSE()))</f>
        <v>14.7900009155273</v>
      </c>
      <c r="Q71" s="402" t="n">
        <f aca="false">IF(A71="N/A"," ",(VLOOKUP(A71,OPPowerPrices,(IF(BMO4=2,7,IF(BMO4=1,6,8))),FALSE())))</f>
        <v>17.5400009155273</v>
      </c>
      <c r="R71" s="403" t="e">
        <f aca="false">IF(A71="N/A"," ",(VLOOKUP($A71,IRTable,2)))</f>
        <v>#N/A</v>
      </c>
      <c r="AF71" s="352" t="n">
        <v>38596</v>
      </c>
      <c r="AG71" s="311" t="n">
        <v>21</v>
      </c>
      <c r="AH71" s="311" t="n">
        <v>4</v>
      </c>
      <c r="AI71" s="311" t="n">
        <v>5</v>
      </c>
      <c r="AJ71" s="311" t="n">
        <v>1</v>
      </c>
      <c r="AK71" s="311" t="n">
        <v>30</v>
      </c>
      <c r="AU71" s="406"/>
    </row>
    <row r="72" customFormat="false" ht="12.75" hidden="false" customHeight="false" outlineLevel="0" collapsed="false">
      <c r="A72" s="352" t="n">
        <f aca="false">Option4!A39</f>
        <v>38322</v>
      </c>
      <c r="B72" s="396" t="n">
        <f aca="false">IF(A72="N/A"," ",IF(ISERROR(N72),B60*Pwresc,N72)*VLOOKUP(MONTH(A72),Curveadj,3))</f>
        <v>31.1515601873398</v>
      </c>
      <c r="C72" s="397" t="n">
        <f aca="false">IF(A72="N/A"," ",(IF(AND(Scaler4=1,MONTH(A72)&gt;=6,MONTH(A72)&lt;=8,OR($M$37="REGION 2",$M$37="REGION 2A",$M$37="REGION 2B",$M$37="REGION 3",$M$37="REGION 3A",$M$37="REGION 3B",$M$37="REGION 3C",$M$37="REGION 4",$M$37="REGION 4B",$M$37="REGION 4C",$M$37="REGION 5",$M$37="REGION 5A")),((0.059228/(B72/100))-(0.4980013/(SQRT(B72/100)))+2.137988),HLOOKUP(MONTH(A72),ScalarTable,28))))</f>
        <v>1.02125</v>
      </c>
      <c r="D72" s="398" t="n">
        <f aca="false">IF(A72="N/A"," ",C72*B72)</f>
        <v>31.8135308413208</v>
      </c>
      <c r="E72" s="396" t="n">
        <f aca="false">IF(A72="N/A"," ",IF(ISERROR(O72),E60*Pwresc,O72)*VLOOKUP(MONTH(A72),Curveadj,3))</f>
        <v>27.2900009155273</v>
      </c>
      <c r="F72" s="398" t="n">
        <f aca="false">IF(A72="N/A"," ",E72*C72)</f>
        <v>27.8699134349823</v>
      </c>
      <c r="G72" s="396" t="n">
        <f aca="false">IF(A72="N/A"," ",IF(ISERROR(P72),G60*Pwresc,P72)*VLOOKUP(MONTH(A72),Curveadj,3))</f>
        <v>21.7900009155273</v>
      </c>
      <c r="H72" s="398" t="n">
        <f aca="false">IF(A72="N/A"," ",G72*C72)</f>
        <v>22.2530384349823</v>
      </c>
      <c r="I72" s="398" t="n">
        <f aca="false">IF(A72="N/A"," ",IF(ISERROR(Q72),I60*Pwresc,Q72))</f>
        <v>19.7900009155273</v>
      </c>
      <c r="J72" s="398"/>
      <c r="K72" s="399"/>
      <c r="L72" s="399"/>
      <c r="M72" s="404"/>
      <c r="N72" s="401" t="n">
        <f aca="false">IF(A72="N/A"," ",VLOOKUP(A72,PeakPowerCurves,(IF(BMO4=2,3,IF(BMO4=1,2,4))),FALSE()))</f>
        <v>31.1515601873398</v>
      </c>
      <c r="O72" s="401" t="n">
        <f aca="false">IF(A72="N/A"," ",VLOOKUP(A72,SatSunPeakPwr,(IF(BMO4=2,3,IF(BMO4=1,2,4))),FALSE()))</f>
        <v>27.2900009155273</v>
      </c>
      <c r="P72" s="401" t="n">
        <f aca="false">IF(A72="N/A"," ",VLOOKUP(A72,SatSunPeakPwr,(IF(BMO4=2,7,IF(BMO4=1,6,8))),FALSE()))</f>
        <v>21.7900009155273</v>
      </c>
      <c r="Q72" s="402" t="n">
        <f aca="false">IF(A72="N/A"," ",(VLOOKUP(A72,OPPowerPrices,(IF(BMO4=2,7,IF(BMO4=1,6,8))),FALSE())))</f>
        <v>19.7900009155273</v>
      </c>
      <c r="R72" s="403" t="e">
        <f aca="false">IF(A72="N/A"," ",(VLOOKUP($A72,IRTable,2)))</f>
        <v>#N/A</v>
      </c>
      <c r="AF72" s="352" t="n">
        <v>38626</v>
      </c>
      <c r="AG72" s="311" t="n">
        <v>21</v>
      </c>
      <c r="AH72" s="311" t="n">
        <v>5</v>
      </c>
      <c r="AI72" s="311" t="n">
        <v>5</v>
      </c>
      <c r="AJ72" s="311" t="n">
        <v>0</v>
      </c>
      <c r="AK72" s="311" t="n">
        <v>31</v>
      </c>
      <c r="AU72" s="406"/>
    </row>
    <row r="73" customFormat="false" ht="12.75" hidden="false" customHeight="false" outlineLevel="0" collapsed="false">
      <c r="A73" s="352" t="n">
        <f aca="false">Option4!A40</f>
        <v>38353</v>
      </c>
      <c r="B73" s="396" t="n">
        <f aca="false">IF(A73="N/A"," ",IF(ISERROR(N73),B61*Pwresc,N73)*VLOOKUP(MONTH(A73),Curveadj,3))</f>
        <v>35.1757147652762</v>
      </c>
      <c r="C73" s="397" t="n">
        <f aca="false">IF(A73="N/A"," ",(IF(AND(Scaler4=1,MONTH(A73)&gt;=6,MONTH(A73)&lt;=8,OR($M$37="REGION 2",$M$37="REGION 2A",$M$37="REGION 2B",$M$37="REGION 3",$M$37="REGION 3A",$M$37="REGION 3B",$M$37="REGION 3C",$M$37="REGION 4",$M$37="REGION 4B",$M$37="REGION 4C",$M$37="REGION 5",$M$37="REGION 5A")),((0.059228/(B73/100))-(0.4980013/(SQRT(B73/100)))+2.137988),HLOOKUP(MONTH(A73),ScalarTable,28))))</f>
        <v>1.02007383501259</v>
      </c>
      <c r="D73" s="398" t="n">
        <f aca="false">IF(A73="N/A"," ",C73*B73)</f>
        <v>35.8818262599245</v>
      </c>
      <c r="E73" s="396" t="n">
        <f aca="false">IF(A73="N/A"," ",IF(ISERROR(O73),E61*Pwresc,O73)*VLOOKUP(MONTH(A73),Curveadj,3))</f>
        <v>35.75</v>
      </c>
      <c r="F73" s="398" t="n">
        <f aca="false">IF(A73="N/A"," ",E73*C73)</f>
        <v>36.4676396017003</v>
      </c>
      <c r="G73" s="396" t="n">
        <f aca="false">IF(A73="N/A"," ",IF(ISERROR(P73),G61*Pwresc,P73)*VLOOKUP(MONTH(A73),Curveadj,3))</f>
        <v>25.25</v>
      </c>
      <c r="H73" s="398" t="n">
        <f aca="false">IF(A73="N/A"," ",G73*C73)</f>
        <v>25.756864334068</v>
      </c>
      <c r="I73" s="398" t="n">
        <f aca="false">IF(A73="N/A"," ",IF(ISERROR(Q73),I61*Pwresc,Q73))</f>
        <v>22</v>
      </c>
      <c r="J73" s="398"/>
      <c r="K73" s="399"/>
      <c r="L73" s="399"/>
      <c r="M73" s="404"/>
      <c r="N73" s="401" t="n">
        <f aca="false">IF(A73="N/A"," ",VLOOKUP(A73,PeakPowerCurves,(IF(BMO4=2,3,IF(BMO4=1,2,4))),FALSE()))</f>
        <v>35.1757147652762</v>
      </c>
      <c r="O73" s="401" t="n">
        <f aca="false">IF(A73="N/A"," ",VLOOKUP(A73,SatSunPeakPwr,(IF(BMO4=2,3,IF(BMO4=1,2,4))),FALSE()))</f>
        <v>35.75</v>
      </c>
      <c r="P73" s="401" t="n">
        <f aca="false">IF(A73="N/A"," ",VLOOKUP(A73,SatSunPeakPwr,(IF(BMO4=2,7,IF(BMO4=1,6,8))),FALSE()))</f>
        <v>25.25</v>
      </c>
      <c r="Q73" s="402" t="n">
        <f aca="false">IF(A73="N/A"," ",(VLOOKUP(A73,OPPowerPrices,(IF(BMO4=2,7,IF(BMO4=1,6,8))),FALSE())))</f>
        <v>22</v>
      </c>
      <c r="R73" s="403" t="e">
        <f aca="false">IF(A73="N/A"," ",(VLOOKUP($A73,IRTable,2)))</f>
        <v>#N/A</v>
      </c>
      <c r="AF73" s="352" t="n">
        <v>38657</v>
      </c>
      <c r="AG73" s="311" t="n">
        <v>21</v>
      </c>
      <c r="AH73" s="311" t="n">
        <v>4</v>
      </c>
      <c r="AI73" s="311" t="n">
        <v>5</v>
      </c>
      <c r="AJ73" s="311" t="n">
        <v>1</v>
      </c>
      <c r="AK73" s="311" t="n">
        <v>30</v>
      </c>
      <c r="AU73" s="406"/>
    </row>
    <row r="74" customFormat="false" ht="12.75" hidden="false" customHeight="false" outlineLevel="0" collapsed="false">
      <c r="A74" s="352" t="n">
        <f aca="false">Option4!A41</f>
        <v>38384</v>
      </c>
      <c r="B74" s="396" t="n">
        <f aca="false">IF(A74="N/A"," ",IF(ISERROR(N74),B62*Pwresc,N74)*VLOOKUP(MONTH(A74),Curveadj,3))</f>
        <v>34.5757124764579</v>
      </c>
      <c r="C74" s="397" t="n">
        <f aca="false">IF(A74="N/A"," ",(IF(AND(Scaler4=1,MONTH(A74)&gt;=6,MONTH(A74)&lt;=8,OR($M$37="REGION 2",$M$37="REGION 2A",$M$37="REGION 2B",$M$37="REGION 3",$M$37="REGION 3A",$M$37="REGION 3B",$M$37="REGION 3C",$M$37="REGION 4",$M$37="REGION 4B",$M$37="REGION 4C",$M$37="REGION 5",$M$37="REGION 5A")),((0.059228/(B74/100))-(0.4980013/(SQRT(B74/100)))+2.137988),HLOOKUP(MONTH(A74),ScalarTable,28))))</f>
        <v>1.02007383501259</v>
      </c>
      <c r="D74" s="398" t="n">
        <f aca="false">IF(A74="N/A"," ",C74*B74)</f>
        <v>35.2697796241532</v>
      </c>
      <c r="E74" s="396" t="n">
        <f aca="false">IF(A74="N/A"," ",IF(ISERROR(O74),E62*Pwresc,O74)*VLOOKUP(MONTH(A74),Curveadj,3))</f>
        <v>31.2460021972656</v>
      </c>
      <c r="F74" s="398" t="n">
        <f aca="false">IF(A74="N/A"," ",E74*C74)</f>
        <v>31.8732292901767</v>
      </c>
      <c r="G74" s="396" t="n">
        <f aca="false">IF(A74="N/A"," ",IF(ISERROR(P74),G62*Pwresc,P74)*VLOOKUP(MONTH(A74),Curveadj,3))</f>
        <v>22.7465019226074</v>
      </c>
      <c r="H74" s="398" t="n">
        <f aca="false">IF(A74="N/A"," ",G74*C74)</f>
        <v>23.2031114493155</v>
      </c>
      <c r="I74" s="398" t="n">
        <f aca="false">IF(A74="N/A"," ",IF(ISERROR(Q74),I62*Pwresc,Q74))</f>
        <v>20.5</v>
      </c>
      <c r="J74" s="398"/>
      <c r="K74" s="399"/>
      <c r="L74" s="399"/>
      <c r="M74" s="404"/>
      <c r="N74" s="401" t="n">
        <f aca="false">IF(A74="N/A"," ",VLOOKUP(A74,PeakPowerCurves,(IF(BMO4=2,3,IF(BMO4=1,2,4))),FALSE()))</f>
        <v>34.5757124764579</v>
      </c>
      <c r="O74" s="401" t="n">
        <f aca="false">IF(A74="N/A"," ",VLOOKUP(A74,SatSunPeakPwr,(IF(BMO4=2,3,IF(BMO4=1,2,4))),FALSE()))</f>
        <v>31.2460021972656</v>
      </c>
      <c r="P74" s="401" t="n">
        <f aca="false">IF(A74="N/A"," ",VLOOKUP(A74,SatSunPeakPwr,(IF(BMO4=2,7,IF(BMO4=1,6,8))),FALSE()))</f>
        <v>22.7465019226074</v>
      </c>
      <c r="Q74" s="402" t="n">
        <f aca="false">IF(A74="N/A"," ",(VLOOKUP(A74,OPPowerPrices,(IF(BMO4=2,7,IF(BMO4=1,6,8))),FALSE())))</f>
        <v>20.5</v>
      </c>
      <c r="R74" s="403" t="e">
        <f aca="false">IF(A74="N/A"," ",(VLOOKUP($A74,IRTable,2)))</f>
        <v>#N/A</v>
      </c>
      <c r="AF74" s="352" t="n">
        <v>38687</v>
      </c>
      <c r="AG74" s="311" t="n">
        <v>21</v>
      </c>
      <c r="AH74" s="311" t="n">
        <v>5</v>
      </c>
      <c r="AI74" s="311" t="n">
        <v>5</v>
      </c>
      <c r="AJ74" s="311" t="n">
        <v>1</v>
      </c>
      <c r="AK74" s="311" t="n">
        <v>31</v>
      </c>
      <c r="AU74" s="406"/>
    </row>
    <row r="75" customFormat="false" ht="12.75" hidden="false" customHeight="false" outlineLevel="0" collapsed="false">
      <c r="A75" s="352" t="n">
        <f aca="false">Option4!A42</f>
        <v>38412</v>
      </c>
      <c r="B75" s="396" t="n">
        <f aca="false">IF(A75="N/A"," ",IF(ISERROR(N75),B63*Pwresc,N75)*VLOOKUP(MONTH(A75),Curveadj,3))</f>
        <v>33.2876773213231</v>
      </c>
      <c r="C75" s="397" t="n">
        <f aca="false">IF(A75="N/A"," ",(IF(AND(Scaler4=1,MONTH(A75)&gt;=6,MONTH(A75)&lt;=8,OR($M$37="REGION 2",$M$37="REGION 2A",$M$37="REGION 2B",$M$37="REGION 3",$M$37="REGION 3A",$M$37="REGION 3B",$M$37="REGION 3C",$M$37="REGION 4",$M$37="REGION 4B",$M$37="REGION 4C",$M$37="REGION 5",$M$37="REGION 5A")),((0.059228/(B75/100))-(0.4980013/(SQRT(B75/100)))+2.137988),HLOOKUP(MONTH(A75),ScalarTable,28))))</f>
        <v>1.0173448699422</v>
      </c>
      <c r="D75" s="398" t="n">
        <f aca="false">IF(A75="N/A"," ",C75*B75)</f>
        <v>33.8650477551393</v>
      </c>
      <c r="E75" s="396" t="n">
        <f aca="false">IF(A75="N/A"," ",IF(ISERROR(O75),E63*Pwresc,O75)*VLOOKUP(MONTH(A75),Curveadj,3))</f>
        <v>25.5</v>
      </c>
      <c r="F75" s="398" t="n">
        <f aca="false">IF(A75="N/A"," ",E75*C75)</f>
        <v>25.942294183526</v>
      </c>
      <c r="G75" s="396" t="n">
        <f aca="false">IF(A75="N/A"," ",IF(ISERROR(P75),G63*Pwresc,P75)*VLOOKUP(MONTH(A75),Curveadj,3))</f>
        <v>20</v>
      </c>
      <c r="H75" s="398" t="n">
        <f aca="false">IF(A75="N/A"," ",G75*C75)</f>
        <v>20.3468973988439</v>
      </c>
      <c r="I75" s="398" t="n">
        <f aca="false">IF(A75="N/A"," ",IF(ISERROR(Q75),I63*Pwresc,Q75))</f>
        <v>21.5</v>
      </c>
      <c r="J75" s="398"/>
      <c r="K75" s="399"/>
      <c r="L75" s="399"/>
      <c r="M75" s="404"/>
      <c r="N75" s="401" t="n">
        <f aca="false">IF(A75="N/A"," ",VLOOKUP(A75,PeakPowerCurves,(IF(BMO4=2,3,IF(BMO4=1,2,4))),FALSE()))</f>
        <v>33.2876773213231</v>
      </c>
      <c r="O75" s="401" t="n">
        <f aca="false">IF(A75="N/A"," ",VLOOKUP(A75,SatSunPeakPwr,(IF(BMO4=2,3,IF(BMO4=1,2,4))),FALSE()))</f>
        <v>25.5</v>
      </c>
      <c r="P75" s="401" t="n">
        <f aca="false">IF(A75="N/A"," ",VLOOKUP(A75,SatSunPeakPwr,(IF(BMO4=2,7,IF(BMO4=1,6,8))),FALSE()))</f>
        <v>20</v>
      </c>
      <c r="Q75" s="402" t="n">
        <f aca="false">IF(A75="N/A"," ",(VLOOKUP(A75,OPPowerPrices,(IF(BMO4=2,7,IF(BMO4=1,6,8))),FALSE())))</f>
        <v>21.5</v>
      </c>
      <c r="R75" s="403" t="e">
        <f aca="false">IF(A75="N/A"," ",(VLOOKUP($A75,IRTable,2)))</f>
        <v>#N/A</v>
      </c>
      <c r="AF75" s="352" t="n">
        <v>38718</v>
      </c>
      <c r="AG75" s="311" t="n">
        <v>21</v>
      </c>
      <c r="AH75" s="311" t="n">
        <v>4</v>
      </c>
      <c r="AI75" s="311" t="n">
        <v>6</v>
      </c>
      <c r="AJ75" s="311" t="n">
        <v>1</v>
      </c>
      <c r="AK75" s="311" t="n">
        <v>31</v>
      </c>
      <c r="AU75" s="406"/>
    </row>
    <row r="76" customFormat="false" ht="12.75" hidden="false" customHeight="false" outlineLevel="0" collapsed="false">
      <c r="A76" s="352" t="n">
        <f aca="false">Option4!A43</f>
        <v>38443</v>
      </c>
      <c r="B76" s="396" t="n">
        <f aca="false">IF(A76="N/A"," ",IF(ISERROR(N76),B64*Pwresc,N76)*VLOOKUP(MONTH(A76),Curveadj,3))</f>
        <v>33.4876780842626</v>
      </c>
      <c r="C76" s="397" t="n">
        <f aca="false">IF(A76="N/A"," ",(IF(AND(Scaler4=1,MONTH(A76)&gt;=6,MONTH(A76)&lt;=8,OR($M$37="REGION 2",$M$37="REGION 2A",$M$37="REGION 2B",$M$37="REGION 3",$M$37="REGION 3A",$M$37="REGION 3B",$M$37="REGION 3C",$M$37="REGION 4",$M$37="REGION 4B",$M$37="REGION 4C",$M$37="REGION 5",$M$37="REGION 5A")),((0.059228/(B76/100))-(0.4980013/(SQRT(B76/100)))+2.137988),HLOOKUP(MONTH(A76),ScalarTable,28))))</f>
        <v>1.005</v>
      </c>
      <c r="D76" s="398" t="n">
        <f aca="false">IF(A76="N/A"," ",C76*B76)</f>
        <v>33.6551164746839</v>
      </c>
      <c r="E76" s="396" t="n">
        <f aca="false">IF(A76="N/A"," ",IF(ISERROR(O76),E64*Pwresc,O76)*VLOOKUP(MONTH(A76),Curveadj,3))</f>
        <v>22</v>
      </c>
      <c r="F76" s="398" t="n">
        <f aca="false">IF(A76="N/A"," ",E76*C76)</f>
        <v>22.11</v>
      </c>
      <c r="G76" s="396" t="n">
        <f aca="false">IF(A76="N/A"," ",IF(ISERROR(P76),G64*Pwresc,P76)*VLOOKUP(MONTH(A76),Curveadj,3))</f>
        <v>16.4950008392334</v>
      </c>
      <c r="H76" s="398" t="n">
        <f aca="false">IF(A76="N/A"," ",G76*C76)</f>
        <v>16.5774758434296</v>
      </c>
      <c r="I76" s="398" t="n">
        <f aca="false">IF(A76="N/A"," ",IF(ISERROR(Q76),I64*Pwresc,Q76))</f>
        <v>18.5</v>
      </c>
      <c r="J76" s="398"/>
      <c r="K76" s="399"/>
      <c r="L76" s="399"/>
      <c r="M76" s="404"/>
      <c r="N76" s="401" t="n">
        <f aca="false">IF(A76="N/A"," ",VLOOKUP(A76,PeakPowerCurves,(IF(BMO4=2,3,IF(BMO4=1,2,4))),FALSE()))</f>
        <v>33.4876780842626</v>
      </c>
      <c r="O76" s="401" t="n">
        <f aca="false">IF(A76="N/A"," ",VLOOKUP(A76,SatSunPeakPwr,(IF(BMO4=2,3,IF(BMO4=1,2,4))),FALSE()))</f>
        <v>22</v>
      </c>
      <c r="P76" s="401" t="n">
        <f aca="false">IF(A76="N/A"," ",VLOOKUP(A76,SatSunPeakPwr,(IF(BMO4=2,7,IF(BMO4=1,6,8))),FALSE()))</f>
        <v>16.4950008392334</v>
      </c>
      <c r="Q76" s="402" t="n">
        <f aca="false">IF(A76="N/A"," ",(VLOOKUP(A76,OPPowerPrices,(IF(BMO4=2,7,IF(BMO4=1,6,8))),FALSE())))</f>
        <v>18.5</v>
      </c>
      <c r="R76" s="403" t="e">
        <f aca="false">IF(A76="N/A"," ",(VLOOKUP($A76,IRTable,2)))</f>
        <v>#N/A</v>
      </c>
      <c r="AF76" s="352" t="n">
        <v>38749</v>
      </c>
      <c r="AG76" s="311" t="n">
        <v>20</v>
      </c>
      <c r="AH76" s="311" t="n">
        <v>4</v>
      </c>
      <c r="AI76" s="311" t="n">
        <v>4</v>
      </c>
      <c r="AJ76" s="311" t="n">
        <v>0</v>
      </c>
      <c r="AK76" s="311" t="n">
        <v>28</v>
      </c>
      <c r="AU76" s="406"/>
    </row>
    <row r="77" customFormat="false" ht="12.75" hidden="false" customHeight="false" outlineLevel="0" collapsed="false">
      <c r="A77" s="352" t="n">
        <f aca="false">Option4!A44</f>
        <v>38473</v>
      </c>
      <c r="B77" s="396" t="n">
        <f aca="false">IF(A77="N/A"," ",IF(ISERROR(N77),B65*Pwresc,N77)*VLOOKUP(MONTH(A77),Curveadj,3))</f>
        <v>36.2650032043457</v>
      </c>
      <c r="C77" s="397" t="n">
        <f aca="false">IF(A77="N/A"," ",(IF(AND(Scaler4=1,MONTH(A77)&gt;=6,MONTH(A77)&lt;=8,OR($M$37="REGION 2",$M$37="REGION 2A",$M$37="REGION 2B",$M$37="REGION 3",$M$37="REGION 3A",$M$37="REGION 3B",$M$37="REGION 3C",$M$37="REGION 4",$M$37="REGION 4B",$M$37="REGION 4C",$M$37="REGION 5",$M$37="REGION 5A")),((0.059228/(B77/100))-(0.4980013/(SQRT(B77/100)))+2.137988),HLOOKUP(MONTH(A77),ScalarTable,28))))</f>
        <v>1.075625</v>
      </c>
      <c r="D77" s="398" t="n">
        <f aca="false">IF(A77="N/A"," ",C77*B77)</f>
        <v>39.0075440716743</v>
      </c>
      <c r="E77" s="396" t="n">
        <f aca="false">IF(A77="N/A"," ",IF(ISERROR(O77),E65*Pwresc,O77)*VLOOKUP(MONTH(A77),Curveadj,3))</f>
        <v>22.2900009155273</v>
      </c>
      <c r="F77" s="398" t="n">
        <f aca="false">IF(A77="N/A"," ",E77*C77)</f>
        <v>23.9756822347641</v>
      </c>
      <c r="G77" s="396" t="n">
        <f aca="false">IF(A77="N/A"," ",IF(ISERROR(P77),G65*Pwresc,P77)*VLOOKUP(MONTH(A77),Curveadj,3))</f>
        <v>15.7950000762939</v>
      </c>
      <c r="H77" s="398" t="n">
        <f aca="false">IF(A77="N/A"," ",G77*C77)</f>
        <v>16.9894969570637</v>
      </c>
      <c r="I77" s="398" t="n">
        <f aca="false">IF(A77="N/A"," ",IF(ISERROR(Q77),I65*Pwresc,Q77))</f>
        <v>19.0400009155273</v>
      </c>
      <c r="J77" s="398"/>
      <c r="K77" s="399"/>
      <c r="L77" s="399"/>
      <c r="M77" s="404"/>
      <c r="N77" s="401" t="n">
        <f aca="false">IF(A77="N/A"," ",VLOOKUP(A77,PeakPowerCurves,(IF(BMO4=2,3,IF(BMO4=1,2,4))),FALSE()))</f>
        <v>36.2650032043457</v>
      </c>
      <c r="O77" s="401" t="n">
        <f aca="false">IF(A77="N/A"," ",VLOOKUP(A77,SatSunPeakPwr,(IF(BMO4=2,3,IF(BMO4=1,2,4))),FALSE()))</f>
        <v>22.2900009155273</v>
      </c>
      <c r="P77" s="401" t="n">
        <f aca="false">IF(A77="N/A"," ",VLOOKUP(A77,SatSunPeakPwr,(IF(BMO4=2,7,IF(BMO4=1,6,8))),FALSE()))</f>
        <v>15.7950000762939</v>
      </c>
      <c r="Q77" s="402" t="n">
        <f aca="false">IF(A77="N/A"," ",(VLOOKUP(A77,OPPowerPrices,(IF(BMO4=2,7,IF(BMO4=1,6,8))),FALSE())))</f>
        <v>19.0400009155273</v>
      </c>
      <c r="R77" s="403" t="e">
        <f aca="false">IF(A77="N/A"," ",(VLOOKUP($A77,IRTable,2)))</f>
        <v>#N/A</v>
      </c>
      <c r="AF77" s="352" t="n">
        <v>38777</v>
      </c>
      <c r="AG77" s="311" t="n">
        <v>23</v>
      </c>
      <c r="AH77" s="311" t="n">
        <v>4</v>
      </c>
      <c r="AI77" s="311" t="n">
        <v>4</v>
      </c>
      <c r="AJ77" s="311" t="n">
        <v>0</v>
      </c>
      <c r="AK77" s="311" t="n">
        <v>31</v>
      </c>
      <c r="AU77" s="406"/>
    </row>
    <row r="78" customFormat="false" ht="12.75" hidden="false" customHeight="false" outlineLevel="0" collapsed="false">
      <c r="A78" s="352" t="n">
        <f aca="false">Option4!A45</f>
        <v>38504</v>
      </c>
      <c r="B78" s="396" t="n">
        <f aca="false">IF(A78="N/A"," ",IF(ISERROR(N78),B66*Pwresc,N78)*VLOOKUP(MONTH(A78),Curveadj,3))</f>
        <v>42.3750038146973</v>
      </c>
      <c r="C78" s="397" t="n">
        <f aca="false">IF(A78="N/A"," ",(IF(AND(Scaler4=1,MONTH(A78)&gt;=6,MONTH(A78)&lt;=8,OR($M$37="REGION 2",$M$37="REGION 2A",$M$37="REGION 2B",$M$37="REGION 3",$M$37="REGION 3A",$M$37="REGION 3B",$M$37="REGION 3C",$M$37="REGION 4",$M$37="REGION 4B",$M$37="REGION 4C",$M$37="REGION 5",$M$37="REGION 5A")),((0.059228/(B78/100))-(0.4980013/(SQRT(B78/100)))+2.137988),HLOOKUP(MONTH(A78),ScalarTable,28))))</f>
        <v>1.53</v>
      </c>
      <c r="D78" s="398" t="n">
        <f aca="false">IF(A78="N/A"," ",C78*B78)</f>
        <v>64.8337558364868</v>
      </c>
      <c r="E78" s="396" t="n">
        <f aca="false">IF(A78="N/A"," ",IF(ISERROR(O78),E66*Pwresc,O78)*VLOOKUP(MONTH(A78),Curveadj,3))</f>
        <v>29.2900009155273</v>
      </c>
      <c r="F78" s="398" t="n">
        <f aca="false">IF(A78="N/A"," ",E78*C78)</f>
        <v>44.8137014007568</v>
      </c>
      <c r="G78" s="396" t="n">
        <f aca="false">IF(A78="N/A"," ",IF(ISERROR(P78),G66*Pwresc,P78)*VLOOKUP(MONTH(A78),Curveadj,3))</f>
        <v>19.7900009155273</v>
      </c>
      <c r="H78" s="398" t="n">
        <f aca="false">IF(A78="N/A"," ",G78*C78)</f>
        <v>30.2787014007568</v>
      </c>
      <c r="I78" s="398" t="n">
        <f aca="false">IF(A78="N/A"," ",IF(ISERROR(Q78),I66*Pwresc,Q78))</f>
        <v>22.0400009155273</v>
      </c>
      <c r="J78" s="398"/>
      <c r="K78" s="399"/>
      <c r="L78" s="399"/>
      <c r="M78" s="404"/>
      <c r="N78" s="401" t="n">
        <f aca="false">IF(A78="N/A"," ",VLOOKUP(A78,PeakPowerCurves,(IF(BMO4=2,3,IF(BMO4=1,2,4))),FALSE()))</f>
        <v>42.3750038146973</v>
      </c>
      <c r="O78" s="401" t="n">
        <f aca="false">IF(A78="N/A"," ",VLOOKUP(A78,SatSunPeakPwr,(IF(BMO4=2,3,IF(BMO4=1,2,4))),FALSE()))</f>
        <v>29.2900009155273</v>
      </c>
      <c r="P78" s="401" t="n">
        <f aca="false">IF(A78="N/A"," ",VLOOKUP(A78,SatSunPeakPwr,(IF(BMO4=2,7,IF(BMO4=1,6,8))),FALSE()))</f>
        <v>19.7900009155273</v>
      </c>
      <c r="Q78" s="402" t="n">
        <f aca="false">IF(A78="N/A"," ",(VLOOKUP(A78,OPPowerPrices,(IF(BMO4=2,7,IF(BMO4=1,6,8))),FALSE())))</f>
        <v>22.0400009155273</v>
      </c>
      <c r="R78" s="403" t="e">
        <f aca="false">IF(A78="N/A"," ",(VLOOKUP($A78,IRTable,2)))</f>
        <v>#N/A</v>
      </c>
      <c r="AF78" s="352" t="n">
        <v>38808</v>
      </c>
      <c r="AG78" s="311" t="n">
        <v>20</v>
      </c>
      <c r="AH78" s="311" t="n">
        <v>5</v>
      </c>
      <c r="AI78" s="311" t="n">
        <v>5</v>
      </c>
      <c r="AJ78" s="311" t="n">
        <v>0</v>
      </c>
      <c r="AK78" s="311" t="n">
        <v>30</v>
      </c>
      <c r="AU78" s="406"/>
    </row>
    <row r="79" customFormat="false" ht="12.75" hidden="false" customHeight="false" outlineLevel="0" collapsed="false">
      <c r="A79" s="352" t="n">
        <f aca="false">Option4!A46</f>
        <v>38534</v>
      </c>
      <c r="B79" s="396" t="n">
        <f aca="false">IF(A79="N/A"," ",IF(ISERROR(N79),B67*Pwresc,N79)*VLOOKUP(MONTH(A79),Curveadj,3))</f>
        <v>50.5</v>
      </c>
      <c r="C79" s="397" t="n">
        <f aca="false">IF(A79="N/A"," ",(IF(AND(Scaler4=1,MONTH(A79)&gt;=6,MONTH(A79)&lt;=8,OR($M$37="REGION 2",$M$37="REGION 2A",$M$37="REGION 2B",$M$37="REGION 3",$M$37="REGION 3A",$M$37="REGION 3B",$M$37="REGION 3C",$M$37="REGION 4",$M$37="REGION 4B",$M$37="REGION 4C",$M$37="REGION 5",$M$37="REGION 5A")),((0.059228/(B79/100))-(0.4980013/(SQRT(B79/100)))+2.137988),HLOOKUP(MONTH(A79),ScalarTable,28))))</f>
        <v>1.63</v>
      </c>
      <c r="D79" s="398" t="n">
        <f aca="false">IF(A79="N/A"," ",C79*B79)</f>
        <v>82.315</v>
      </c>
      <c r="E79" s="396" t="n">
        <f aca="false">IF(A79="N/A"," ",IF(ISERROR(O79),E67*Pwresc,O79)*VLOOKUP(MONTH(A79),Curveadj,3))</f>
        <v>35.2900009155273</v>
      </c>
      <c r="F79" s="398" t="n">
        <f aca="false">IF(A79="N/A"," ",E79*C79)</f>
        <v>57.5227014923096</v>
      </c>
      <c r="G79" s="396" t="n">
        <f aca="false">IF(A79="N/A"," ",IF(ISERROR(P79),G67*Pwresc,P79)*VLOOKUP(MONTH(A79),Curveadj,3))</f>
        <v>25.7900009155273</v>
      </c>
      <c r="H79" s="398" t="n">
        <f aca="false">IF(A79="N/A"," ",G79*C79)</f>
        <v>42.0377014923096</v>
      </c>
      <c r="I79" s="398" t="n">
        <f aca="false">IF(A79="N/A"," ",IF(ISERROR(Q79),I67*Pwresc,Q79))</f>
        <v>22.5400009155273</v>
      </c>
      <c r="J79" s="398"/>
      <c r="K79" s="399"/>
      <c r="L79" s="399"/>
      <c r="M79" s="404"/>
      <c r="N79" s="401" t="n">
        <f aca="false">IF(A79="N/A"," ",VLOOKUP(A79,PeakPowerCurves,(IF(BMO4=2,3,IF(BMO4=1,2,4))),FALSE()))</f>
        <v>50.5</v>
      </c>
      <c r="O79" s="401" t="n">
        <f aca="false">IF(A79="N/A"," ",VLOOKUP(A79,SatSunPeakPwr,(IF(BMO4=2,3,IF(BMO4=1,2,4))),FALSE()))</f>
        <v>35.2900009155273</v>
      </c>
      <c r="P79" s="401" t="n">
        <f aca="false">IF(A79="N/A"," ",VLOOKUP(A79,SatSunPeakPwr,(IF(BMO4=2,7,IF(BMO4=1,6,8))),FALSE()))</f>
        <v>25.7900009155273</v>
      </c>
      <c r="Q79" s="402" t="n">
        <f aca="false">IF(A79="N/A"," ",(VLOOKUP(A79,OPPowerPrices,(IF(BMO4=2,7,IF(BMO4=1,6,8))),FALSE())))</f>
        <v>22.5400009155273</v>
      </c>
      <c r="R79" s="403" t="e">
        <f aca="false">IF(A79="N/A"," ",(VLOOKUP($A79,IRTable,2)))</f>
        <v>#N/A</v>
      </c>
      <c r="AF79" s="352" t="n">
        <v>38838</v>
      </c>
      <c r="AG79" s="311" t="n">
        <v>22</v>
      </c>
      <c r="AH79" s="311" t="n">
        <v>4</v>
      </c>
      <c r="AI79" s="311" t="n">
        <v>5</v>
      </c>
      <c r="AJ79" s="311" t="n">
        <v>1</v>
      </c>
      <c r="AK79" s="311" t="n">
        <v>31</v>
      </c>
      <c r="AU79" s="406"/>
    </row>
    <row r="80" customFormat="false" ht="12.75" hidden="false" customHeight="false" outlineLevel="0" collapsed="false">
      <c r="A80" s="352" t="n">
        <f aca="false">Option4!A47</f>
        <v>38565</v>
      </c>
      <c r="B80" s="396" t="n">
        <f aca="false">IF(A80="N/A"," ",IF(ISERROR(N80),B68*Pwresc,N80)*VLOOKUP(MONTH(A80),Curveadj,3))</f>
        <v>50.5</v>
      </c>
      <c r="C80" s="397" t="n">
        <f aca="false">IF(A80="N/A"," ",(IF(AND(Scaler4=1,MONTH(A80)&gt;=6,MONTH(A80)&lt;=8,OR($M$37="REGION 2",$M$37="REGION 2A",$M$37="REGION 2B",$M$37="REGION 3",$M$37="REGION 3A",$M$37="REGION 3B",$M$37="REGION 3C",$M$37="REGION 4",$M$37="REGION 4B",$M$37="REGION 4C",$M$37="REGION 5",$M$37="REGION 5A")),((0.059228/(B80/100))-(0.4980013/(SQRT(B80/100)))+2.137988),HLOOKUP(MONTH(A80),ScalarTable,28))))</f>
        <v>1.63</v>
      </c>
      <c r="D80" s="398" t="n">
        <f aca="false">IF(A80="N/A"," ",C80*B80)</f>
        <v>82.315</v>
      </c>
      <c r="E80" s="396" t="n">
        <f aca="false">IF(A80="N/A"," ",IF(ISERROR(O80),E68*Pwresc,O80)*VLOOKUP(MONTH(A80),Curveadj,3))</f>
        <v>33.2900047302246</v>
      </c>
      <c r="F80" s="398" t="n">
        <f aca="false">IF(A80="N/A"," ",E80*C80)</f>
        <v>54.2627077102661</v>
      </c>
      <c r="G80" s="396" t="n">
        <f aca="false">IF(A80="N/A"," ",IF(ISERROR(P80),G68*Pwresc,P80)*VLOOKUP(MONTH(A80),Curveadj,3))</f>
        <v>25.7900009155273</v>
      </c>
      <c r="H80" s="398" t="n">
        <f aca="false">IF(A80="N/A"," ",G80*C80)</f>
        <v>42.0377014923096</v>
      </c>
      <c r="I80" s="398" t="n">
        <f aca="false">IF(A80="N/A"," ",IF(ISERROR(Q80),I68*Pwresc,Q80))</f>
        <v>23.5400009155273</v>
      </c>
      <c r="J80" s="398"/>
      <c r="K80" s="399"/>
      <c r="L80" s="399"/>
      <c r="M80" s="404"/>
      <c r="N80" s="401" t="n">
        <f aca="false">IF(A80="N/A"," ",VLOOKUP(A80,PeakPowerCurves,(IF(BMO4=2,3,IF(BMO4=1,2,4))),FALSE()))</f>
        <v>50.5</v>
      </c>
      <c r="O80" s="401" t="n">
        <f aca="false">IF(A80="N/A"," ",VLOOKUP(A80,SatSunPeakPwr,(IF(BMO4=2,3,IF(BMO4=1,2,4))),FALSE()))</f>
        <v>33.2900047302246</v>
      </c>
      <c r="P80" s="401" t="n">
        <f aca="false">IF(A80="N/A"," ",VLOOKUP(A80,SatSunPeakPwr,(IF(BMO4=2,7,IF(BMO4=1,6,8))),FALSE()))</f>
        <v>25.7900009155273</v>
      </c>
      <c r="Q80" s="402" t="n">
        <f aca="false">IF(A80="N/A"," ",(VLOOKUP(A80,OPPowerPrices,(IF(BMO4=2,7,IF(BMO4=1,6,8))),FALSE())))</f>
        <v>23.5400009155273</v>
      </c>
      <c r="R80" s="403" t="e">
        <f aca="false">IF(A80="N/A"," ",(VLOOKUP($A80,IRTable,2)))</f>
        <v>#N/A</v>
      </c>
      <c r="AF80" s="352" t="n">
        <v>38869</v>
      </c>
      <c r="AG80" s="311" t="n">
        <v>22</v>
      </c>
      <c r="AH80" s="311" t="n">
        <v>4</v>
      </c>
      <c r="AI80" s="311" t="n">
        <v>4</v>
      </c>
      <c r="AJ80" s="311" t="n">
        <v>0</v>
      </c>
      <c r="AK80" s="311" t="n">
        <v>30</v>
      </c>
      <c r="AU80" s="406"/>
    </row>
    <row r="81" customFormat="false" ht="12.75" hidden="false" customHeight="false" outlineLevel="0" collapsed="false">
      <c r="A81" s="352" t="n">
        <f aca="false">Option4!A48</f>
        <v>38596</v>
      </c>
      <c r="B81" s="396" t="n">
        <f aca="false">IF(A81="N/A"," ",IF(ISERROR(N81),B69*Pwresc,N81)*VLOOKUP(MONTH(A81),Curveadj,3))</f>
        <v>31.1399993896484</v>
      </c>
      <c r="C81" s="397" t="n">
        <f aca="false">IF(A81="N/A"," ",(IF(AND(Scaler4=1,MONTH(A81)&gt;=6,MONTH(A81)&lt;=8,OR($M$37="REGION 2",$M$37="REGION 2A",$M$37="REGION 2B",$M$37="REGION 3",$M$37="REGION 3A",$M$37="REGION 3B",$M$37="REGION 3C",$M$37="REGION 4",$M$37="REGION 4B",$M$37="REGION 4C",$M$37="REGION 5",$M$37="REGION 5A")),((0.059228/(B81/100))-(0.4980013/(SQRT(B81/100)))+2.137988),HLOOKUP(MONTH(A81),ScalarTable,28))))</f>
        <v>1.35125</v>
      </c>
      <c r="D81" s="398" t="n">
        <f aca="false">IF(A81="N/A"," ",C81*B81)</f>
        <v>42.0779241752625</v>
      </c>
      <c r="E81" s="396" t="n">
        <f aca="false">IF(A81="N/A"," ",IF(ISERROR(O81),E69*Pwresc,O81)*VLOOKUP(MONTH(A81),Curveadj,3))</f>
        <v>25.2900009155273</v>
      </c>
      <c r="F81" s="398" t="n">
        <f aca="false">IF(A81="N/A"," ",E81*C81)</f>
        <v>34.1731137371063</v>
      </c>
      <c r="G81" s="396" t="n">
        <f aca="false">IF(A81="N/A"," ",IF(ISERROR(P81),G69*Pwresc,P81)*VLOOKUP(MONTH(A81),Curveadj,3))</f>
        <v>19.7900009155273</v>
      </c>
      <c r="H81" s="398" t="n">
        <f aca="false">IF(A81="N/A"," ",G81*C81)</f>
        <v>26.7412387371063</v>
      </c>
      <c r="I81" s="398" t="n">
        <f aca="false">IF(A81="N/A"," ",IF(ISERROR(Q81),I69*Pwresc,Q81))</f>
        <v>17.5400009155273</v>
      </c>
      <c r="J81" s="398"/>
      <c r="K81" s="399"/>
      <c r="L81" s="399"/>
      <c r="M81" s="404"/>
      <c r="N81" s="401" t="n">
        <f aca="false">IF(A81="N/A"," ",VLOOKUP(A81,PeakPowerCurves,(IF(BMO4=2,3,IF(BMO4=1,2,4))),FALSE()))</f>
        <v>31.1399993896484</v>
      </c>
      <c r="O81" s="401" t="n">
        <f aca="false">IF(A81="N/A"," ",VLOOKUP(A81,SatSunPeakPwr,(IF(BMO4=2,3,IF(BMO4=1,2,4))),FALSE()))</f>
        <v>25.2900009155273</v>
      </c>
      <c r="P81" s="401" t="n">
        <f aca="false">IF(A81="N/A"," ",VLOOKUP(A81,SatSunPeakPwr,(IF(BMO4=2,7,IF(BMO4=1,6,8))),FALSE()))</f>
        <v>19.7900009155273</v>
      </c>
      <c r="Q81" s="402" t="n">
        <f aca="false">IF(A81="N/A"," ",(VLOOKUP(A81,OPPowerPrices,(IF(BMO4=2,7,IF(BMO4=1,6,8))),FALSE())))</f>
        <v>17.5400009155273</v>
      </c>
      <c r="R81" s="403" t="e">
        <f aca="false">IF(A81="N/A"," ",(VLOOKUP($A81,IRTable,2)))</f>
        <v>#N/A</v>
      </c>
      <c r="AF81" s="352" t="n">
        <v>38899</v>
      </c>
      <c r="AG81" s="311" t="n">
        <v>20</v>
      </c>
      <c r="AH81" s="311" t="n">
        <v>5</v>
      </c>
      <c r="AI81" s="311" t="n">
        <v>6</v>
      </c>
      <c r="AJ81" s="311" t="n">
        <v>1</v>
      </c>
      <c r="AK81" s="311" t="n">
        <v>31</v>
      </c>
      <c r="AU81" s="406"/>
    </row>
    <row r="82" customFormat="false" ht="12.75" hidden="false" customHeight="false" outlineLevel="0" collapsed="false">
      <c r="A82" s="352" t="n">
        <f aca="false">Option4!A49</f>
        <v>38626</v>
      </c>
      <c r="B82" s="396" t="n">
        <f aca="false">IF(A82="N/A"," ",IF(ISERROR(N82),B70*Pwresc,N82)*VLOOKUP(MONTH(A82),Curveadj,3))</f>
        <v>32.0415614843369</v>
      </c>
      <c r="C82" s="397" t="n">
        <f aca="false">IF(A82="N/A"," ",(IF(AND(Scaler4=1,MONTH(A82)&gt;=6,MONTH(A82)&lt;=8,OR($M$37="REGION 2",$M$37="REGION 2A",$M$37="REGION 2B",$M$37="REGION 3",$M$37="REGION 3A",$M$37="REGION 3B",$M$37="REGION 3C",$M$37="REGION 4",$M$37="REGION 4B",$M$37="REGION 4C",$M$37="REGION 5",$M$37="REGION 5A")),((0.059228/(B82/100))-(0.4980013/(SQRT(B82/100)))+2.137988),HLOOKUP(MONTH(A82),ScalarTable,28))))</f>
        <v>1.005</v>
      </c>
      <c r="D82" s="398" t="n">
        <f aca="false">IF(A82="N/A"," ",C82*B82)</f>
        <v>32.2017692917585</v>
      </c>
      <c r="E82" s="396" t="n">
        <f aca="false">IF(A82="N/A"," ",IF(ISERROR(O82),E70*Pwresc,O82)*VLOOKUP(MONTH(A82),Curveadj,3))</f>
        <v>20.2860012054443</v>
      </c>
      <c r="F82" s="398" t="n">
        <f aca="false">IF(A82="N/A"," ",E82*C82)</f>
        <v>20.3874312114716</v>
      </c>
      <c r="G82" s="396" t="n">
        <f aca="false">IF(A82="N/A"," ",IF(ISERROR(P82),G70*Pwresc,P82)*VLOOKUP(MONTH(A82),Curveadj,3))</f>
        <v>14.7865009307861</v>
      </c>
      <c r="H82" s="398" t="n">
        <f aca="false">IF(A82="N/A"," ",G82*C82)</f>
        <v>14.8604334354401</v>
      </c>
      <c r="I82" s="398" t="n">
        <f aca="false">IF(A82="N/A"," ",IF(ISERROR(Q82),I70*Pwresc,Q82))</f>
        <v>17.040002822876</v>
      </c>
      <c r="J82" s="398"/>
      <c r="K82" s="399"/>
      <c r="L82" s="399"/>
      <c r="M82" s="404"/>
      <c r="N82" s="401" t="n">
        <f aca="false">IF(A82="N/A"," ",VLOOKUP(A82,PeakPowerCurves,(IF(BMO4=2,3,IF(BMO4=1,2,4))),FALSE()))</f>
        <v>32.0415614843369</v>
      </c>
      <c r="O82" s="401" t="n">
        <f aca="false">IF(A82="N/A"," ",VLOOKUP(A82,SatSunPeakPwr,(IF(BMO4=2,3,IF(BMO4=1,2,4))),FALSE()))</f>
        <v>20.2860012054443</v>
      </c>
      <c r="P82" s="401" t="n">
        <f aca="false">IF(A82="N/A"," ",VLOOKUP(A82,SatSunPeakPwr,(IF(BMO4=2,7,IF(BMO4=1,6,8))),FALSE()))</f>
        <v>14.7865009307861</v>
      </c>
      <c r="Q82" s="402" t="n">
        <f aca="false">IF(A82="N/A"," ",(VLOOKUP(A82,OPPowerPrices,(IF(BMO4=2,7,IF(BMO4=1,6,8))),FALSE())))</f>
        <v>17.040002822876</v>
      </c>
      <c r="R82" s="403" t="e">
        <f aca="false">IF(A82="N/A"," ",(VLOOKUP($A82,IRTable,2)))</f>
        <v>#N/A</v>
      </c>
      <c r="AF82" s="352" t="n">
        <v>38930</v>
      </c>
      <c r="AG82" s="311" t="n">
        <v>23</v>
      </c>
      <c r="AH82" s="311" t="n">
        <v>4</v>
      </c>
      <c r="AI82" s="311" t="n">
        <v>4</v>
      </c>
      <c r="AJ82" s="311" t="n">
        <v>0</v>
      </c>
      <c r="AK82" s="311" t="n">
        <v>31</v>
      </c>
      <c r="AU82" s="406"/>
    </row>
    <row r="83" customFormat="false" ht="12.75" hidden="false" customHeight="false" outlineLevel="0" collapsed="false">
      <c r="A83" s="352" t="n">
        <f aca="false">Option4!A50</f>
        <v>38657</v>
      </c>
      <c r="B83" s="396" t="n">
        <f aca="false">IF(A83="N/A"," ",IF(ISERROR(N83),B71*Pwresc,N83)*VLOOKUP(MONTH(A83),Curveadj,3))</f>
        <v>32.1415637731552</v>
      </c>
      <c r="C83" s="397" t="n">
        <f aca="false">IF(A83="N/A"," ",(IF(AND(Scaler4=1,MONTH(A83)&gt;=6,MONTH(A83)&lt;=8,OR($M$37="REGION 2",$M$37="REGION 2A",$M$37="REGION 2B",$M$37="REGION 3",$M$37="REGION 3A",$M$37="REGION 3B",$M$37="REGION 3C",$M$37="REGION 4",$M$37="REGION 4B",$M$37="REGION 4C",$M$37="REGION 5",$M$37="REGION 5A")),((0.059228/(B83/100))-(0.4980013/(SQRT(B83/100)))+2.137988),HLOOKUP(MONTH(A83),ScalarTable,28))))</f>
        <v>1.0825</v>
      </c>
      <c r="D83" s="398" t="n">
        <f aca="false">IF(A83="N/A"," ",C83*B83)</f>
        <v>34.7932427844405</v>
      </c>
      <c r="E83" s="396" t="n">
        <f aca="false">IF(A83="N/A"," ",IF(ISERROR(O83),E71*Pwresc,O83)*VLOOKUP(MONTH(A83),Curveadj,3))</f>
        <v>22.2900009155273</v>
      </c>
      <c r="F83" s="398" t="n">
        <f aca="false">IF(A83="N/A"," ",E83*C83)</f>
        <v>24.1289259910584</v>
      </c>
      <c r="G83" s="396" t="n">
        <f aca="false">IF(A83="N/A"," ",IF(ISERROR(P83),G71*Pwresc,P83)*VLOOKUP(MONTH(A83),Curveadj,3))</f>
        <v>14.7900009155273</v>
      </c>
      <c r="H83" s="398" t="n">
        <f aca="false">IF(A83="N/A"," ",G83*C83)</f>
        <v>16.0101759910584</v>
      </c>
      <c r="I83" s="398" t="n">
        <f aca="false">IF(A83="N/A"," ",IF(ISERROR(Q83),I71*Pwresc,Q83))</f>
        <v>18.0400009155273</v>
      </c>
      <c r="J83" s="398"/>
      <c r="K83" s="399"/>
      <c r="L83" s="399"/>
      <c r="M83" s="404"/>
      <c r="N83" s="401" t="n">
        <f aca="false">IF(A83="N/A"," ",VLOOKUP(A83,PeakPowerCurves,(IF(BMO4=2,3,IF(BMO4=1,2,4))),FALSE()))</f>
        <v>32.1415637731552</v>
      </c>
      <c r="O83" s="401" t="n">
        <f aca="false">IF(A83="N/A"," ",VLOOKUP(A83,SatSunPeakPwr,(IF(BMO4=2,3,IF(BMO4=1,2,4))),FALSE()))</f>
        <v>22.2900009155273</v>
      </c>
      <c r="P83" s="401" t="n">
        <f aca="false">IF(A83="N/A"," ",VLOOKUP(A83,SatSunPeakPwr,(IF(BMO4=2,7,IF(BMO4=1,6,8))),FALSE()))</f>
        <v>14.7900009155273</v>
      </c>
      <c r="Q83" s="402" t="n">
        <f aca="false">IF(A83="N/A"," ",(VLOOKUP(A83,OPPowerPrices,(IF(BMO4=2,7,IF(BMO4=1,6,8))),FALSE())))</f>
        <v>18.0400009155273</v>
      </c>
      <c r="R83" s="403" t="e">
        <f aca="false">IF(A83="N/A"," ",(VLOOKUP($A83,IRTable,2)))</f>
        <v>#N/A</v>
      </c>
      <c r="AF83" s="352" t="n">
        <v>38961</v>
      </c>
      <c r="AG83" s="311" t="n">
        <v>20</v>
      </c>
      <c r="AH83" s="311" t="n">
        <v>5</v>
      </c>
      <c r="AI83" s="311" t="n">
        <v>5</v>
      </c>
      <c r="AJ83" s="311" t="n">
        <v>1</v>
      </c>
      <c r="AK83" s="311" t="n">
        <v>30</v>
      </c>
      <c r="AU83" s="406"/>
    </row>
    <row r="84" customFormat="false" ht="12.75" hidden="false" customHeight="false" outlineLevel="0" collapsed="false">
      <c r="A84" s="352" t="n">
        <f aca="false">Option4!A51</f>
        <v>38687</v>
      </c>
      <c r="B84" s="396" t="n">
        <f aca="false">IF(A84="N/A"," ",IF(ISERROR(N84),B72*Pwresc,N84)*VLOOKUP(MONTH(A84),Curveadj,3))</f>
        <v>32.2415622472763</v>
      </c>
      <c r="C84" s="397" t="n">
        <f aca="false">IF(A84="N/A"," ",(IF(AND(Scaler4=1,MONTH(A84)&gt;=6,MONTH(A84)&lt;=8,OR($M$37="REGION 2",$M$37="REGION 2A",$M$37="REGION 2B",$M$37="REGION 3",$M$37="REGION 3A",$M$37="REGION 3B",$M$37="REGION 3C",$M$37="REGION 4",$M$37="REGION 4B",$M$37="REGION 4C",$M$37="REGION 5",$M$37="REGION 5A")),((0.059228/(B84/100))-(0.4980013/(SQRT(B84/100)))+2.137988),HLOOKUP(MONTH(A84),ScalarTable,28))))</f>
        <v>1.02125</v>
      </c>
      <c r="D84" s="398" t="n">
        <f aca="false">IF(A84="N/A"," ",C84*B84)</f>
        <v>32.9266954450309</v>
      </c>
      <c r="E84" s="396" t="n">
        <f aca="false">IF(A84="N/A"," ",IF(ISERROR(O84),E72*Pwresc,O84)*VLOOKUP(MONTH(A84),Curveadj,3))</f>
        <v>27.2900009155273</v>
      </c>
      <c r="F84" s="398" t="n">
        <f aca="false">IF(A84="N/A"," ",E84*C84)</f>
        <v>27.8699134349823</v>
      </c>
      <c r="G84" s="396" t="n">
        <f aca="false">IF(A84="N/A"," ",IF(ISERROR(P84),G72*Pwresc,P84)*VLOOKUP(MONTH(A84),Curveadj,3))</f>
        <v>21.7900009155273</v>
      </c>
      <c r="H84" s="398" t="n">
        <f aca="false">IF(A84="N/A"," ",G84*C84)</f>
        <v>22.2530384349823</v>
      </c>
      <c r="I84" s="398" t="n">
        <f aca="false">IF(A84="N/A"," ",IF(ISERROR(Q84),I72*Pwresc,Q84))</f>
        <v>20.2900009155273</v>
      </c>
      <c r="J84" s="398"/>
      <c r="K84" s="399"/>
      <c r="L84" s="399"/>
      <c r="M84" s="404"/>
      <c r="N84" s="401" t="n">
        <f aca="false">IF(A84="N/A"," ",VLOOKUP(A84,PeakPowerCurves,(IF(BMO4=2,3,IF(BMO4=1,2,4))),FALSE()))</f>
        <v>32.2415622472763</v>
      </c>
      <c r="O84" s="401" t="n">
        <f aca="false">IF(A84="N/A"," ",VLOOKUP(A84,SatSunPeakPwr,(IF(BMO4=2,3,IF(BMO4=1,2,4))),FALSE()))</f>
        <v>27.2900009155273</v>
      </c>
      <c r="P84" s="401" t="n">
        <f aca="false">IF(A84="N/A"," ",VLOOKUP(A84,SatSunPeakPwr,(IF(BMO4=2,7,IF(BMO4=1,6,8))),FALSE()))</f>
        <v>21.7900009155273</v>
      </c>
      <c r="Q84" s="402" t="n">
        <f aca="false">IF(A84="N/A"," ",(VLOOKUP(A84,OPPowerPrices,(IF(BMO4=2,7,IF(BMO4=1,6,8))),FALSE())))</f>
        <v>20.2900009155273</v>
      </c>
      <c r="R84" s="403" t="e">
        <f aca="false">IF(A84="N/A"," ",(VLOOKUP($A84,IRTable,2)))</f>
        <v>#N/A</v>
      </c>
      <c r="AF84" s="352" t="n">
        <v>38991</v>
      </c>
      <c r="AG84" s="311" t="n">
        <v>22</v>
      </c>
      <c r="AH84" s="311" t="n">
        <v>4</v>
      </c>
      <c r="AI84" s="311" t="n">
        <v>5</v>
      </c>
      <c r="AJ84" s="311" t="n">
        <v>0</v>
      </c>
      <c r="AK84" s="311" t="n">
        <v>31</v>
      </c>
      <c r="AU84" s="406"/>
    </row>
    <row r="85" customFormat="false" ht="12.75" hidden="false" customHeight="false" outlineLevel="0" collapsed="false">
      <c r="A85" s="352" t="n">
        <f aca="false">Option4!A52</f>
        <v>38718</v>
      </c>
      <c r="B85" s="396" t="n">
        <f aca="false">IF(A85="N/A"," ",IF(ISERROR(N85),B73*Pwresc,N85)*VLOOKUP(MONTH(A85),Curveadj,3))</f>
        <v>35.1157172066825</v>
      </c>
      <c r="C85" s="397" t="n">
        <f aca="false">IF(A85="N/A"," ",(IF(AND(Scaler4=1,MONTH(A85)&gt;=6,MONTH(A85)&lt;=8,OR($M$37="REGION 2",$M$37="REGION 2A",$M$37="REGION 2B",$M$37="REGION 3",$M$37="REGION 3A",$M$37="REGION 3B",$M$37="REGION 3C",$M$37="REGION 4",$M$37="REGION 4B",$M$37="REGION 4C",$M$37="REGION 5",$M$37="REGION 5A")),((0.059228/(B85/100))-(0.4980013/(SQRT(B85/100)))+2.137988),HLOOKUP(MONTH(A85),ScalarTable,28))))</f>
        <v>1.02007383501259</v>
      </c>
      <c r="D85" s="398" t="n">
        <f aca="false">IF(A85="N/A"," ",C85*B85)</f>
        <v>35.8206243202383</v>
      </c>
      <c r="E85" s="396" t="n">
        <f aca="false">IF(A85="N/A"," ",IF(ISERROR(O85),E73*Pwresc,O85)*VLOOKUP(MONTH(A85),Curveadj,3))</f>
        <v>35.75</v>
      </c>
      <c r="F85" s="398" t="n">
        <f aca="false">IF(A85="N/A"," ",E85*C85)</f>
        <v>36.4676396017003</v>
      </c>
      <c r="G85" s="396" t="n">
        <f aca="false">IF(A85="N/A"," ",IF(ISERROR(P85),G73*Pwresc,P85)*VLOOKUP(MONTH(A85),Curveadj,3))</f>
        <v>25.25</v>
      </c>
      <c r="H85" s="398" t="n">
        <f aca="false">IF(A85="N/A"," ",G85*C85)</f>
        <v>25.756864334068</v>
      </c>
      <c r="I85" s="398" t="n">
        <f aca="false">IF(A85="N/A"," ",IF(ISERROR(Q85),I73*Pwresc,Q85))</f>
        <v>22.5</v>
      </c>
      <c r="J85" s="398"/>
      <c r="K85" s="399"/>
      <c r="L85" s="399"/>
      <c r="M85" s="404"/>
      <c r="N85" s="401" t="n">
        <f aca="false">IF(A85="N/A"," ",VLOOKUP(A85,PeakPowerCurves,(IF(BMO4=2,3,IF(BMO4=1,2,4))),FALSE()))</f>
        <v>35.1157172066825</v>
      </c>
      <c r="O85" s="401" t="n">
        <f aca="false">IF(A85="N/A"," ",VLOOKUP(A85,SatSunPeakPwr,(IF(BMO4=2,3,IF(BMO4=1,2,4))),FALSE()))</f>
        <v>35.75</v>
      </c>
      <c r="P85" s="401" t="n">
        <f aca="false">IF(A85="N/A"," ",VLOOKUP(A85,SatSunPeakPwr,(IF(BMO4=2,7,IF(BMO4=1,6,8))),FALSE()))</f>
        <v>25.25</v>
      </c>
      <c r="Q85" s="402" t="n">
        <f aca="false">IF(A85="N/A"," ",(VLOOKUP(A85,OPPowerPrices,(IF(BMO4=2,7,IF(BMO4=1,6,8))),FALSE())))</f>
        <v>22.5</v>
      </c>
      <c r="R85" s="403" t="e">
        <f aca="false">IF(A85="N/A"," ",(VLOOKUP($A85,IRTable,2)))</f>
        <v>#N/A</v>
      </c>
      <c r="AF85" s="352" t="n">
        <v>39022</v>
      </c>
      <c r="AG85" s="311" t="n">
        <v>21</v>
      </c>
      <c r="AH85" s="311" t="n">
        <v>4</v>
      </c>
      <c r="AI85" s="311" t="n">
        <v>5</v>
      </c>
      <c r="AJ85" s="311" t="n">
        <v>1</v>
      </c>
      <c r="AK85" s="311" t="n">
        <v>30</v>
      </c>
      <c r="AU85" s="406"/>
    </row>
    <row r="86" customFormat="false" ht="12.75" hidden="false" customHeight="false" outlineLevel="0" collapsed="false">
      <c r="A86" s="352" t="n">
        <f aca="false">Option4!A53</f>
        <v>38749</v>
      </c>
      <c r="B86" s="396" t="n">
        <f aca="false">IF(A86="N/A"," ",IF(ISERROR(N86),B74*Pwresc,N86)*VLOOKUP(MONTH(A86),Curveadj,3))</f>
        <v>34.5157149178641</v>
      </c>
      <c r="C86" s="397" t="n">
        <f aca="false">IF(A86="N/A"," ",(IF(AND(Scaler4=1,MONTH(A86)&gt;=6,MONTH(A86)&lt;=8,OR($M$37="REGION 2",$M$37="REGION 2A",$M$37="REGION 2B",$M$37="REGION 3",$M$37="REGION 3A",$M$37="REGION 3B",$M$37="REGION 3C",$M$37="REGION 4",$M$37="REGION 4B",$M$37="REGION 4C",$M$37="REGION 5",$M$37="REGION 5A")),((0.059228/(B86/100))-(0.4980013/(SQRT(B86/100)))+2.137988),HLOOKUP(MONTH(A86),ScalarTable,28))))</f>
        <v>1.02007383501259</v>
      </c>
      <c r="D86" s="398" t="n">
        <f aca="false">IF(A86="N/A"," ",C86*B86)</f>
        <v>35.2085776844671</v>
      </c>
      <c r="E86" s="396" t="n">
        <f aca="false">IF(A86="N/A"," ",IF(ISERROR(O86),E74*Pwresc,O86)*VLOOKUP(MONTH(A86),Curveadj,3))</f>
        <v>31.2460021972656</v>
      </c>
      <c r="F86" s="398" t="n">
        <f aca="false">IF(A86="N/A"," ",E86*C86)</f>
        <v>31.8732292901767</v>
      </c>
      <c r="G86" s="396" t="n">
        <f aca="false">IF(A86="N/A"," ",IF(ISERROR(P86),G74*Pwresc,P86)*VLOOKUP(MONTH(A86),Curveadj,3))</f>
        <v>22.7465019226074</v>
      </c>
      <c r="H86" s="398" t="n">
        <f aca="false">IF(A86="N/A"," ",G86*C86)</f>
        <v>23.2031114493155</v>
      </c>
      <c r="I86" s="398" t="n">
        <f aca="false">IF(A86="N/A"," ",IF(ISERROR(Q86),I74*Pwresc,Q86))</f>
        <v>21</v>
      </c>
      <c r="J86" s="398"/>
      <c r="K86" s="399"/>
      <c r="L86" s="399"/>
      <c r="M86" s="404"/>
      <c r="N86" s="401" t="n">
        <f aca="false">IF(A86="N/A"," ",VLOOKUP(A86,PeakPowerCurves,(IF(BMO4=2,3,IF(BMO4=1,2,4))),FALSE()))</f>
        <v>34.5157149178641</v>
      </c>
      <c r="O86" s="401" t="n">
        <f aca="false">IF(A86="N/A"," ",VLOOKUP(A86,SatSunPeakPwr,(IF(BMO4=2,3,IF(BMO4=1,2,4))),FALSE()))</f>
        <v>31.2460021972656</v>
      </c>
      <c r="P86" s="401" t="n">
        <f aca="false">IF(A86="N/A"," ",VLOOKUP(A86,SatSunPeakPwr,(IF(BMO4=2,7,IF(BMO4=1,6,8))),FALSE()))</f>
        <v>22.7465019226074</v>
      </c>
      <c r="Q86" s="402" t="n">
        <f aca="false">IF(A86="N/A"," ",(VLOOKUP(A86,OPPowerPrices,(IF(BMO4=2,7,IF(BMO4=1,6,8))),FALSE())))</f>
        <v>21</v>
      </c>
      <c r="R86" s="403" t="e">
        <f aca="false">IF(A86="N/A"," ",(VLOOKUP($A86,IRTable,2)))</f>
        <v>#N/A</v>
      </c>
      <c r="AF86" s="352" t="n">
        <v>39052</v>
      </c>
      <c r="AG86" s="311" t="n">
        <v>20</v>
      </c>
      <c r="AH86" s="311" t="n">
        <v>5</v>
      </c>
      <c r="AI86" s="311" t="n">
        <v>6</v>
      </c>
      <c r="AJ86" s="311" t="n">
        <v>1</v>
      </c>
      <c r="AK86" s="311" t="n">
        <v>31</v>
      </c>
      <c r="AU86" s="406"/>
    </row>
    <row r="87" customFormat="false" ht="12.75" hidden="false" customHeight="false" outlineLevel="0" collapsed="false">
      <c r="A87" s="352" t="n">
        <f aca="false">Option4!A54</f>
        <v>38777</v>
      </c>
      <c r="B87" s="396" t="n">
        <f aca="false">IF(A87="N/A"," ",IF(ISERROR(N87),B75*Pwresc,N87)*VLOOKUP(MONTH(A87),Curveadj,3))</f>
        <v>33.2276797627294</v>
      </c>
      <c r="C87" s="397" t="n">
        <f aca="false">IF(A87="N/A"," ",(IF(AND(Scaler4=1,MONTH(A87)&gt;=6,MONTH(A87)&lt;=8,OR($M$37="REGION 2",$M$37="REGION 2A",$M$37="REGION 2B",$M$37="REGION 3",$M$37="REGION 3A",$M$37="REGION 3B",$M$37="REGION 3C",$M$37="REGION 4",$M$37="REGION 4B",$M$37="REGION 4C",$M$37="REGION 5",$M$37="REGION 5A")),((0.059228/(B87/100))-(0.4980013/(SQRT(B87/100)))+2.137988),HLOOKUP(MONTH(A87),ScalarTable,28))))</f>
        <v>1.0173448699422</v>
      </c>
      <c r="D87" s="398" t="n">
        <f aca="false">IF(A87="N/A"," ",C87*B87)</f>
        <v>33.8040095466949</v>
      </c>
      <c r="E87" s="396" t="n">
        <f aca="false">IF(A87="N/A"," ",IF(ISERROR(O87),E75*Pwresc,O87)*VLOOKUP(MONTH(A87),Curveadj,3))</f>
        <v>25.5</v>
      </c>
      <c r="F87" s="398" t="n">
        <f aca="false">IF(A87="N/A"," ",E87*C87)</f>
        <v>25.942294183526</v>
      </c>
      <c r="G87" s="396" t="n">
        <f aca="false">IF(A87="N/A"," ",IF(ISERROR(P87),G75*Pwresc,P87)*VLOOKUP(MONTH(A87),Curveadj,3))</f>
        <v>20</v>
      </c>
      <c r="H87" s="398" t="n">
        <f aca="false">IF(A87="N/A"," ",G87*C87)</f>
        <v>20.3468973988439</v>
      </c>
      <c r="I87" s="398" t="n">
        <f aca="false">IF(A87="N/A"," ",IF(ISERROR(Q87),I75*Pwresc,Q87))</f>
        <v>22</v>
      </c>
      <c r="J87" s="398"/>
      <c r="K87" s="399"/>
      <c r="L87" s="399"/>
      <c r="M87" s="404"/>
      <c r="N87" s="401" t="n">
        <f aca="false">IF(A87="N/A"," ",VLOOKUP(A87,PeakPowerCurves,(IF(BMO4=2,3,IF(BMO4=1,2,4))),FALSE()))</f>
        <v>33.2276797627294</v>
      </c>
      <c r="O87" s="401" t="n">
        <f aca="false">IF(A87="N/A"," ",VLOOKUP(A87,SatSunPeakPwr,(IF(BMO4=2,3,IF(BMO4=1,2,4))),FALSE()))</f>
        <v>25.5</v>
      </c>
      <c r="P87" s="401" t="n">
        <f aca="false">IF(A87="N/A"," ",VLOOKUP(A87,SatSunPeakPwr,(IF(BMO4=2,7,IF(BMO4=1,6,8))),FALSE()))</f>
        <v>20</v>
      </c>
      <c r="Q87" s="402" t="n">
        <f aca="false">IF(A87="N/A"," ",(VLOOKUP(A87,OPPowerPrices,(IF(BMO4=2,7,IF(BMO4=1,6,8))),FALSE())))</f>
        <v>22</v>
      </c>
      <c r="R87" s="403" t="e">
        <f aca="false">IF(A87="N/A"," ",(VLOOKUP($A87,IRTable,2)))</f>
        <v>#N/A</v>
      </c>
      <c r="AF87" s="352" t="n">
        <v>39083</v>
      </c>
      <c r="AG87" s="311" t="n">
        <v>22</v>
      </c>
      <c r="AH87" s="311" t="n">
        <v>4</v>
      </c>
      <c r="AI87" s="311" t="n">
        <v>5</v>
      </c>
      <c r="AJ87" s="311" t="n">
        <v>1</v>
      </c>
      <c r="AK87" s="311" t="n">
        <v>31</v>
      </c>
      <c r="AU87" s="406"/>
    </row>
    <row r="88" customFormat="false" ht="12.75" hidden="false" customHeight="false" outlineLevel="0" collapsed="false">
      <c r="A88" s="352" t="n">
        <f aca="false">Option4!A55</f>
        <v>38808</v>
      </c>
      <c r="B88" s="396" t="n">
        <f aca="false">IF(A88="N/A"," ",IF(ISERROR(N88),B76*Pwresc,N88)*VLOOKUP(MONTH(A88),Curveadj,3))</f>
        <v>33.4276805256688</v>
      </c>
      <c r="C88" s="397" t="n">
        <f aca="false">IF(A88="N/A"," ",(IF(AND(Scaler4=1,MONTH(A88)&gt;=6,MONTH(A88)&lt;=8,OR($M$37="REGION 2",$M$37="REGION 2A",$M$37="REGION 2B",$M$37="REGION 3",$M$37="REGION 3A",$M$37="REGION 3B",$M$37="REGION 3C",$M$37="REGION 4",$M$37="REGION 4B",$M$37="REGION 4C",$M$37="REGION 5",$M$37="REGION 5A")),((0.059228/(B88/100))-(0.4980013/(SQRT(B88/100)))+2.137988),HLOOKUP(MONTH(A88),ScalarTable,28))))</f>
        <v>1.005</v>
      </c>
      <c r="D88" s="398" t="n">
        <f aca="false">IF(A88="N/A"," ",C88*B88)</f>
        <v>33.5948189282972</v>
      </c>
      <c r="E88" s="396" t="n">
        <f aca="false">IF(A88="N/A"," ",IF(ISERROR(O88),E76*Pwresc,O88)*VLOOKUP(MONTH(A88),Curveadj,3))</f>
        <v>22</v>
      </c>
      <c r="F88" s="398" t="n">
        <f aca="false">IF(A88="N/A"," ",E88*C88)</f>
        <v>22.11</v>
      </c>
      <c r="G88" s="396" t="n">
        <f aca="false">IF(A88="N/A"," ",IF(ISERROR(P88),G76*Pwresc,P88)*VLOOKUP(MONTH(A88),Curveadj,3))</f>
        <v>16.4950008392334</v>
      </c>
      <c r="H88" s="398" t="n">
        <f aca="false">IF(A88="N/A"," ",G88*C88)</f>
        <v>16.5774758434296</v>
      </c>
      <c r="I88" s="398" t="n">
        <f aca="false">IF(A88="N/A"," ",IF(ISERROR(Q88),I76*Pwresc,Q88))</f>
        <v>19</v>
      </c>
      <c r="J88" s="398"/>
      <c r="K88" s="399"/>
      <c r="L88" s="399"/>
      <c r="M88" s="404"/>
      <c r="N88" s="401" t="n">
        <f aca="false">IF(A88="N/A"," ",VLOOKUP(A88,PeakPowerCurves,(IF(BMO4=2,3,IF(BMO4=1,2,4))),FALSE()))</f>
        <v>33.4276805256688</v>
      </c>
      <c r="O88" s="401" t="n">
        <f aca="false">IF(A88="N/A"," ",VLOOKUP(A88,SatSunPeakPwr,(IF(BMO4=2,3,IF(BMO4=1,2,4))),FALSE()))</f>
        <v>22</v>
      </c>
      <c r="P88" s="401" t="n">
        <f aca="false">IF(A88="N/A"," ",VLOOKUP(A88,SatSunPeakPwr,(IF(BMO4=2,7,IF(BMO4=1,6,8))),FALSE()))</f>
        <v>16.4950008392334</v>
      </c>
      <c r="Q88" s="402" t="n">
        <f aca="false">IF(A88="N/A"," ",(VLOOKUP(A88,OPPowerPrices,(IF(BMO4=2,7,IF(BMO4=1,6,8))),FALSE())))</f>
        <v>19</v>
      </c>
      <c r="R88" s="403" t="e">
        <f aca="false">IF(A88="N/A"," ",(VLOOKUP($A88,IRTable,2)))</f>
        <v>#N/A</v>
      </c>
      <c r="AF88" s="352" t="n">
        <v>39114</v>
      </c>
      <c r="AG88" s="311" t="n">
        <v>20</v>
      </c>
      <c r="AH88" s="311" t="n">
        <v>4</v>
      </c>
      <c r="AI88" s="311" t="n">
        <v>4</v>
      </c>
      <c r="AJ88" s="311" t="n">
        <v>0</v>
      </c>
      <c r="AK88" s="311" t="n">
        <v>28</v>
      </c>
      <c r="AU88" s="406"/>
    </row>
    <row r="89" customFormat="false" ht="12.75" hidden="false" customHeight="false" outlineLevel="0" collapsed="false">
      <c r="A89" s="352" t="n">
        <f aca="false">Option4!A56</f>
        <v>38838</v>
      </c>
      <c r="B89" s="396" t="n">
        <f aca="false">IF(A89="N/A"," ",IF(ISERROR(N89),B77*Pwresc,N89)*VLOOKUP(MONTH(A89),Curveadj,3))</f>
        <v>36.7050018310547</v>
      </c>
      <c r="C89" s="397" t="n">
        <f aca="false">IF(A89="N/A"," ",(IF(AND(Scaler4=1,MONTH(A89)&gt;=6,MONTH(A89)&lt;=8,OR($M$37="REGION 2",$M$37="REGION 2A",$M$37="REGION 2B",$M$37="REGION 3",$M$37="REGION 3A",$M$37="REGION 3B",$M$37="REGION 3C",$M$37="REGION 4",$M$37="REGION 4B",$M$37="REGION 4C",$M$37="REGION 5",$M$37="REGION 5A")),((0.059228/(B89/100))-(0.4980013/(SQRT(B89/100)))+2.137988),HLOOKUP(MONTH(A89),ScalarTable,28))))</f>
        <v>1.075625</v>
      </c>
      <c r="D89" s="398" t="n">
        <f aca="false">IF(A89="N/A"," ",C89*B89)</f>
        <v>39.4808175945282</v>
      </c>
      <c r="E89" s="396" t="n">
        <f aca="false">IF(A89="N/A"," ",IF(ISERROR(O89),E77*Pwresc,O89)*VLOOKUP(MONTH(A89),Curveadj,3))</f>
        <v>22.2900009155273</v>
      </c>
      <c r="F89" s="398" t="n">
        <f aca="false">IF(A89="N/A"," ",E89*C89)</f>
        <v>23.9756822347641</v>
      </c>
      <c r="G89" s="396" t="n">
        <f aca="false">IF(A89="N/A"," ",IF(ISERROR(P89),G77*Pwresc,P89)*VLOOKUP(MONTH(A89),Curveadj,3))</f>
        <v>15.7950000762939</v>
      </c>
      <c r="H89" s="398" t="n">
        <f aca="false">IF(A89="N/A"," ",G89*C89)</f>
        <v>16.9894969570637</v>
      </c>
      <c r="I89" s="398" t="n">
        <f aca="false">IF(A89="N/A"," ",IF(ISERROR(Q89),I77*Pwresc,Q89))</f>
        <v>19.5400009155273</v>
      </c>
      <c r="J89" s="398"/>
      <c r="K89" s="399"/>
      <c r="L89" s="399"/>
      <c r="M89" s="404"/>
      <c r="N89" s="401" t="n">
        <f aca="false">IF(A89="N/A"," ",VLOOKUP(A89,PeakPowerCurves,(IF(BMO4=2,3,IF(BMO4=1,2,4))),FALSE()))</f>
        <v>36.7050018310547</v>
      </c>
      <c r="O89" s="401" t="n">
        <f aca="false">IF(A89="N/A"," ",VLOOKUP(A89,SatSunPeakPwr,(IF(BMO4=2,3,IF(BMO4=1,2,4))),FALSE()))</f>
        <v>22.2900009155273</v>
      </c>
      <c r="P89" s="401" t="n">
        <f aca="false">IF(A89="N/A"," ",VLOOKUP(A89,SatSunPeakPwr,(IF(BMO4=2,7,IF(BMO4=1,6,8))),FALSE()))</f>
        <v>15.7950000762939</v>
      </c>
      <c r="Q89" s="402" t="n">
        <f aca="false">IF(A89="N/A"," ",(VLOOKUP(A89,OPPowerPrices,(IF(BMO4=2,7,IF(BMO4=1,6,8))),FALSE())))</f>
        <v>19.5400009155273</v>
      </c>
      <c r="R89" s="403" t="e">
        <f aca="false">IF(A89="N/A"," ",(VLOOKUP($A89,IRTable,2)))</f>
        <v>#N/A</v>
      </c>
      <c r="AF89" s="352" t="n">
        <v>39142</v>
      </c>
      <c r="AG89" s="311" t="n">
        <v>22</v>
      </c>
      <c r="AH89" s="311" t="n">
        <v>5</v>
      </c>
      <c r="AI89" s="311" t="n">
        <v>4</v>
      </c>
      <c r="AJ89" s="311" t="n">
        <v>0</v>
      </c>
      <c r="AK89" s="311" t="n">
        <v>31</v>
      </c>
      <c r="AU89" s="406"/>
    </row>
    <row r="90" customFormat="false" ht="12.75" hidden="false" customHeight="false" outlineLevel="0" collapsed="false">
      <c r="A90" s="352" t="n">
        <f aca="false">Option4!A57</f>
        <v>38869</v>
      </c>
      <c r="B90" s="396" t="n">
        <f aca="false">IF(A90="N/A"," ",IF(ISERROR(N90),B78*Pwresc,N90)*VLOOKUP(MONTH(A90),Curveadj,3))</f>
        <v>42.6250038146973</v>
      </c>
      <c r="C90" s="397" t="n">
        <f aca="false">IF(A90="N/A"," ",(IF(AND(Scaler4=1,MONTH(A90)&gt;=6,MONTH(A90)&lt;=8,OR($M$37="REGION 2",$M$37="REGION 2A",$M$37="REGION 2B",$M$37="REGION 3",$M$37="REGION 3A",$M$37="REGION 3B",$M$37="REGION 3C",$M$37="REGION 4",$M$37="REGION 4B",$M$37="REGION 4C",$M$37="REGION 5",$M$37="REGION 5A")),((0.059228/(B90/100))-(0.4980013/(SQRT(B90/100)))+2.137988),HLOOKUP(MONTH(A90),ScalarTable,28))))</f>
        <v>1.53</v>
      </c>
      <c r="D90" s="398" t="n">
        <f aca="false">IF(A90="N/A"," ",C90*B90)</f>
        <v>65.2162558364868</v>
      </c>
      <c r="E90" s="396" t="n">
        <f aca="false">IF(A90="N/A"," ",IF(ISERROR(O90),E78*Pwresc,O90)*VLOOKUP(MONTH(A90),Curveadj,3))</f>
        <v>29.2900009155273</v>
      </c>
      <c r="F90" s="398" t="n">
        <f aca="false">IF(A90="N/A"," ",E90*C90)</f>
        <v>44.8137014007568</v>
      </c>
      <c r="G90" s="396" t="n">
        <f aca="false">IF(A90="N/A"," ",IF(ISERROR(P90),G78*Pwresc,P90)*VLOOKUP(MONTH(A90),Curveadj,3))</f>
        <v>19.7900009155273</v>
      </c>
      <c r="H90" s="398" t="n">
        <f aca="false">IF(A90="N/A"," ",G90*C90)</f>
        <v>30.2787014007568</v>
      </c>
      <c r="I90" s="398" t="n">
        <f aca="false">IF(A90="N/A"," ",IF(ISERROR(Q90),I78*Pwresc,Q90))</f>
        <v>22.5400009155273</v>
      </c>
      <c r="J90" s="398"/>
      <c r="K90" s="399"/>
      <c r="L90" s="399"/>
      <c r="M90" s="404"/>
      <c r="N90" s="401" t="n">
        <f aca="false">IF(A90="N/A"," ",VLOOKUP(A90,PeakPowerCurves,(IF(BMO4=2,3,IF(BMO4=1,2,4))),FALSE()))</f>
        <v>42.6250038146973</v>
      </c>
      <c r="O90" s="401" t="n">
        <f aca="false">IF(A90="N/A"," ",VLOOKUP(A90,SatSunPeakPwr,(IF(BMO4=2,3,IF(BMO4=1,2,4))),FALSE()))</f>
        <v>29.2900009155273</v>
      </c>
      <c r="P90" s="401" t="n">
        <f aca="false">IF(A90="N/A"," ",VLOOKUP(A90,SatSunPeakPwr,(IF(BMO4=2,7,IF(BMO4=1,6,8))),FALSE()))</f>
        <v>19.7900009155273</v>
      </c>
      <c r="Q90" s="402" t="n">
        <f aca="false">IF(A90="N/A"," ",(VLOOKUP(A90,OPPowerPrices,(IF(BMO4=2,7,IF(BMO4=1,6,8))),FALSE())))</f>
        <v>22.5400009155273</v>
      </c>
      <c r="R90" s="403" t="e">
        <f aca="false">IF(A90="N/A"," ",(VLOOKUP($A90,IRTable,2)))</f>
        <v>#N/A</v>
      </c>
      <c r="AF90" s="352" t="n">
        <v>39173</v>
      </c>
      <c r="AG90" s="311" t="n">
        <v>21</v>
      </c>
      <c r="AH90" s="311" t="n">
        <v>4</v>
      </c>
      <c r="AI90" s="311" t="n">
        <v>5</v>
      </c>
      <c r="AJ90" s="311" t="n">
        <v>0</v>
      </c>
      <c r="AK90" s="311" t="n">
        <v>30</v>
      </c>
      <c r="AU90" s="406"/>
    </row>
    <row r="91" customFormat="false" ht="12.75" hidden="false" customHeight="false" outlineLevel="0" collapsed="false">
      <c r="A91" s="352" t="n">
        <f aca="false">Option4!A58</f>
        <v>38899</v>
      </c>
      <c r="B91" s="396" t="n">
        <f aca="false">IF(A91="N/A"," ",IF(ISERROR(N91),B79*Pwresc,N91)*VLOOKUP(MONTH(A91),Curveadj,3))</f>
        <v>51.75</v>
      </c>
      <c r="C91" s="397" t="n">
        <f aca="false">IF(A91="N/A"," ",(IF(AND(Scaler4=1,MONTH(A91)&gt;=6,MONTH(A91)&lt;=8,OR($M$37="REGION 2",$M$37="REGION 2A",$M$37="REGION 2B",$M$37="REGION 3",$M$37="REGION 3A",$M$37="REGION 3B",$M$37="REGION 3C",$M$37="REGION 4",$M$37="REGION 4B",$M$37="REGION 4C",$M$37="REGION 5",$M$37="REGION 5A")),((0.059228/(B91/100))-(0.4980013/(SQRT(B91/100)))+2.137988),HLOOKUP(MONTH(A91),ScalarTable,28))))</f>
        <v>1.63</v>
      </c>
      <c r="D91" s="398" t="n">
        <f aca="false">IF(A91="N/A"," ",C91*B91)</f>
        <v>84.3525</v>
      </c>
      <c r="E91" s="396" t="n">
        <f aca="false">IF(A91="N/A"," ",IF(ISERROR(O91),E79*Pwresc,O91)*VLOOKUP(MONTH(A91),Curveadj,3))</f>
        <v>35.2900009155273</v>
      </c>
      <c r="F91" s="398" t="n">
        <f aca="false">IF(A91="N/A"," ",E91*C91)</f>
        <v>57.5227014923096</v>
      </c>
      <c r="G91" s="396" t="n">
        <f aca="false">IF(A91="N/A"," ",IF(ISERROR(P91),G79*Pwresc,P91)*VLOOKUP(MONTH(A91),Curveadj,3))</f>
        <v>25.7900009155273</v>
      </c>
      <c r="H91" s="398" t="n">
        <f aca="false">IF(A91="N/A"," ",G91*C91)</f>
        <v>42.0377014923096</v>
      </c>
      <c r="I91" s="398" t="n">
        <f aca="false">IF(A91="N/A"," ",IF(ISERROR(Q91),I79*Pwresc,Q91))</f>
        <v>23.0400009155273</v>
      </c>
      <c r="J91" s="398"/>
      <c r="K91" s="399"/>
      <c r="L91" s="399"/>
      <c r="M91" s="404"/>
      <c r="N91" s="401" t="n">
        <f aca="false">IF(A91="N/A"," ",VLOOKUP(A91,PeakPowerCurves,(IF(BMO4=2,3,IF(BMO4=1,2,4))),FALSE()))</f>
        <v>51.75</v>
      </c>
      <c r="O91" s="401" t="n">
        <f aca="false">IF(A91="N/A"," ",VLOOKUP(A91,SatSunPeakPwr,(IF(BMO4=2,3,IF(BMO4=1,2,4))),FALSE()))</f>
        <v>35.2900009155273</v>
      </c>
      <c r="P91" s="401" t="n">
        <f aca="false">IF(A91="N/A"," ",VLOOKUP(A91,SatSunPeakPwr,(IF(BMO4=2,7,IF(BMO4=1,6,8))),FALSE()))</f>
        <v>25.7900009155273</v>
      </c>
      <c r="Q91" s="402" t="n">
        <f aca="false">IF(A91="N/A"," ",(VLOOKUP(A91,OPPowerPrices,(IF(BMO4=2,7,IF(BMO4=1,6,8))),FALSE())))</f>
        <v>23.0400009155273</v>
      </c>
      <c r="R91" s="403" t="e">
        <f aca="false">IF(A91="N/A"," ",(VLOOKUP($A91,IRTable,2)))</f>
        <v>#N/A</v>
      </c>
      <c r="AF91" s="352" t="n">
        <v>39203</v>
      </c>
      <c r="AG91" s="311" t="n">
        <v>22</v>
      </c>
      <c r="AH91" s="311" t="n">
        <v>4</v>
      </c>
      <c r="AI91" s="311" t="n">
        <v>5</v>
      </c>
      <c r="AJ91" s="311" t="n">
        <v>1</v>
      </c>
      <c r="AK91" s="311" t="n">
        <v>31</v>
      </c>
      <c r="AU91" s="406"/>
    </row>
    <row r="92" customFormat="false" ht="12.75" hidden="false" customHeight="false" outlineLevel="0" collapsed="false">
      <c r="A92" s="352" t="n">
        <f aca="false">Option4!A59</f>
        <v>38930</v>
      </c>
      <c r="B92" s="396" t="n">
        <f aca="false">IF(A92="N/A"," ",IF(ISERROR(N92),B80*Pwresc,N92)*VLOOKUP(MONTH(A92),Curveadj,3))</f>
        <v>51.75</v>
      </c>
      <c r="C92" s="397" t="n">
        <f aca="false">IF(A92="N/A"," ",(IF(AND(Scaler4=1,MONTH(A92)&gt;=6,MONTH(A92)&lt;=8,OR($M$37="REGION 2",$M$37="REGION 2A",$M$37="REGION 2B",$M$37="REGION 3",$M$37="REGION 3A",$M$37="REGION 3B",$M$37="REGION 3C",$M$37="REGION 4",$M$37="REGION 4B",$M$37="REGION 4C",$M$37="REGION 5",$M$37="REGION 5A")),((0.059228/(B92/100))-(0.4980013/(SQRT(B92/100)))+2.137988),HLOOKUP(MONTH(A92),ScalarTable,28))))</f>
        <v>1.63</v>
      </c>
      <c r="D92" s="398" t="n">
        <f aca="false">IF(A92="N/A"," ",C92*B92)</f>
        <v>84.3525</v>
      </c>
      <c r="E92" s="396" t="n">
        <f aca="false">IF(A92="N/A"," ",IF(ISERROR(O92),E80*Pwresc,O92)*VLOOKUP(MONTH(A92),Curveadj,3))</f>
        <v>33.2900047302246</v>
      </c>
      <c r="F92" s="398" t="n">
        <f aca="false">IF(A92="N/A"," ",E92*C92)</f>
        <v>54.2627077102661</v>
      </c>
      <c r="G92" s="396" t="n">
        <f aca="false">IF(A92="N/A"," ",IF(ISERROR(P92),G80*Pwresc,P92)*VLOOKUP(MONTH(A92),Curveadj,3))</f>
        <v>25.7900009155273</v>
      </c>
      <c r="H92" s="398" t="n">
        <f aca="false">IF(A92="N/A"," ",G92*C92)</f>
        <v>42.0377014923096</v>
      </c>
      <c r="I92" s="398" t="n">
        <f aca="false">IF(A92="N/A"," ",IF(ISERROR(Q92),I80*Pwresc,Q92))</f>
        <v>24.0400009155273</v>
      </c>
      <c r="J92" s="398"/>
      <c r="K92" s="399"/>
      <c r="L92" s="399"/>
      <c r="M92" s="404"/>
      <c r="N92" s="401" t="n">
        <f aca="false">IF(A92="N/A"," ",VLOOKUP(A92,PeakPowerCurves,(IF(BMO4=2,3,IF(BMO4=1,2,4))),FALSE()))</f>
        <v>51.75</v>
      </c>
      <c r="O92" s="401" t="n">
        <f aca="false">IF(A92="N/A"," ",VLOOKUP(A92,SatSunPeakPwr,(IF(BMO4=2,3,IF(BMO4=1,2,4))),FALSE()))</f>
        <v>33.2900047302246</v>
      </c>
      <c r="P92" s="401" t="n">
        <f aca="false">IF(A92="N/A"," ",VLOOKUP(A92,SatSunPeakPwr,(IF(BMO4=2,7,IF(BMO4=1,6,8))),FALSE()))</f>
        <v>25.7900009155273</v>
      </c>
      <c r="Q92" s="402" t="n">
        <f aca="false">IF(A92="N/A"," ",(VLOOKUP(A92,OPPowerPrices,(IF(BMO4=2,7,IF(BMO4=1,6,8))),FALSE())))</f>
        <v>24.0400009155273</v>
      </c>
      <c r="R92" s="403" t="e">
        <f aca="false">IF(A92="N/A"," ",(VLOOKUP($A92,IRTable,2)))</f>
        <v>#N/A</v>
      </c>
      <c r="AF92" s="352" t="n">
        <v>39234</v>
      </c>
      <c r="AG92" s="311" t="n">
        <v>21</v>
      </c>
      <c r="AH92" s="311" t="n">
        <v>5</v>
      </c>
      <c r="AI92" s="311" t="n">
        <v>4</v>
      </c>
      <c r="AJ92" s="311" t="n">
        <v>0</v>
      </c>
      <c r="AK92" s="311" t="n">
        <v>30</v>
      </c>
      <c r="AU92" s="406"/>
    </row>
    <row r="93" customFormat="false" ht="12.75" hidden="false" customHeight="false" outlineLevel="0" collapsed="false">
      <c r="A93" s="352" t="n">
        <f aca="false">Option4!A60</f>
        <v>38961</v>
      </c>
      <c r="B93" s="396" t="n">
        <f aca="false">IF(A93="N/A"," ",IF(ISERROR(N93),B81*Pwresc,N93)*VLOOKUP(MONTH(A93),Curveadj,3))</f>
        <v>30.8299999237061</v>
      </c>
      <c r="C93" s="397" t="n">
        <f aca="false">IF(A93="N/A"," ",(IF(AND(Scaler4=1,MONTH(A93)&gt;=6,MONTH(A93)&lt;=8,OR($M$37="REGION 2",$M$37="REGION 2A",$M$37="REGION 2B",$M$37="REGION 3",$M$37="REGION 3A",$M$37="REGION 3B",$M$37="REGION 3C",$M$37="REGION 4",$M$37="REGION 4B",$M$37="REGION 4C",$M$37="REGION 5",$M$37="REGION 5A")),((0.059228/(B93/100))-(0.4980013/(SQRT(B93/100)))+2.137988),HLOOKUP(MONTH(A93),ScalarTable,28))))</f>
        <v>1.35125</v>
      </c>
      <c r="D93" s="398" t="n">
        <f aca="false">IF(A93="N/A"," ",C93*B93)</f>
        <v>41.6590373969078</v>
      </c>
      <c r="E93" s="396" t="n">
        <f aca="false">IF(A93="N/A"," ",IF(ISERROR(O93),E81*Pwresc,O93)*VLOOKUP(MONTH(A93),Curveadj,3))</f>
        <v>25.2900009155273</v>
      </c>
      <c r="F93" s="398" t="n">
        <f aca="false">IF(A93="N/A"," ",E93*C93)</f>
        <v>34.1731137371063</v>
      </c>
      <c r="G93" s="396" t="n">
        <f aca="false">IF(A93="N/A"," ",IF(ISERROR(P93),G81*Pwresc,P93)*VLOOKUP(MONTH(A93),Curveadj,3))</f>
        <v>19.7900009155273</v>
      </c>
      <c r="H93" s="398" t="n">
        <f aca="false">IF(A93="N/A"," ",G93*C93)</f>
        <v>26.7412387371063</v>
      </c>
      <c r="I93" s="398" t="n">
        <f aca="false">IF(A93="N/A"," ",IF(ISERROR(Q93),I81*Pwresc,Q93))</f>
        <v>18.0400009155273</v>
      </c>
      <c r="J93" s="398"/>
      <c r="K93" s="399"/>
      <c r="L93" s="399"/>
      <c r="M93" s="404"/>
      <c r="N93" s="401" t="n">
        <f aca="false">IF(A93="N/A"," ",VLOOKUP(A93,PeakPowerCurves,(IF(BMO4=2,3,IF(BMO4=1,2,4))),FALSE()))</f>
        <v>30.8299999237061</v>
      </c>
      <c r="O93" s="401" t="n">
        <f aca="false">IF(A93="N/A"," ",VLOOKUP(A93,SatSunPeakPwr,(IF(BMO4=2,3,IF(BMO4=1,2,4))),FALSE()))</f>
        <v>25.2900009155273</v>
      </c>
      <c r="P93" s="401" t="n">
        <f aca="false">IF(A93="N/A"," ",VLOOKUP(A93,SatSunPeakPwr,(IF(BMO4=2,7,IF(BMO4=1,6,8))),FALSE()))</f>
        <v>19.7900009155273</v>
      </c>
      <c r="Q93" s="402" t="n">
        <f aca="false">IF(A93="N/A"," ",(VLOOKUP(A93,OPPowerPrices,(IF(BMO4=2,7,IF(BMO4=1,6,8))),FALSE())))</f>
        <v>18.0400009155273</v>
      </c>
      <c r="R93" s="403" t="e">
        <f aca="false">IF(A93="N/A"," ",(VLOOKUP($A93,IRTable,2)))</f>
        <v>#N/A</v>
      </c>
      <c r="AF93" s="352" t="n">
        <v>39264</v>
      </c>
      <c r="AG93" s="311" t="n">
        <v>21</v>
      </c>
      <c r="AH93" s="311" t="n">
        <v>4</v>
      </c>
      <c r="AI93" s="311" t="n">
        <v>6</v>
      </c>
      <c r="AJ93" s="311" t="n">
        <v>1</v>
      </c>
      <c r="AK93" s="311" t="n">
        <v>31</v>
      </c>
      <c r="AU93" s="406"/>
    </row>
    <row r="94" customFormat="false" ht="12.75" hidden="false" customHeight="false" outlineLevel="0" collapsed="false">
      <c r="A94" s="352" t="n">
        <f aca="false">Option4!A61</f>
        <v>38991</v>
      </c>
      <c r="B94" s="396" t="n">
        <f aca="false">IF(A94="N/A"," ",IF(ISERROR(N94),B82*Pwresc,N94)*VLOOKUP(MONTH(A94),Curveadj,3))</f>
        <v>31.9815639257431</v>
      </c>
      <c r="C94" s="397" t="n">
        <f aca="false">IF(A94="N/A"," ",(IF(AND(Scaler4=1,MONTH(A94)&gt;=6,MONTH(A94)&lt;=8,OR($M$37="REGION 2",$M$37="REGION 2A",$M$37="REGION 2B",$M$37="REGION 3",$M$37="REGION 3A",$M$37="REGION 3B",$M$37="REGION 3C",$M$37="REGION 4",$M$37="REGION 4B",$M$37="REGION 4C",$M$37="REGION 5",$M$37="REGION 5A")),((0.059228/(B94/100))-(0.4980013/(SQRT(B94/100)))+2.137988),HLOOKUP(MONTH(A94),ScalarTable,28))))</f>
        <v>1.005</v>
      </c>
      <c r="D94" s="398" t="n">
        <f aca="false">IF(A94="N/A"," ",C94*B94)</f>
        <v>32.1414717453718</v>
      </c>
      <c r="E94" s="396" t="n">
        <f aca="false">IF(A94="N/A"," ",IF(ISERROR(O94),E82*Pwresc,O94)*VLOOKUP(MONTH(A94),Curveadj,3))</f>
        <v>20.2860012054443</v>
      </c>
      <c r="F94" s="398" t="n">
        <f aca="false">IF(A94="N/A"," ",E94*C94)</f>
        <v>20.3874312114716</v>
      </c>
      <c r="G94" s="396" t="n">
        <f aca="false">IF(A94="N/A"," ",IF(ISERROR(P94),G82*Pwresc,P94)*VLOOKUP(MONTH(A94),Curveadj,3))</f>
        <v>14.7865009307861</v>
      </c>
      <c r="H94" s="398" t="n">
        <f aca="false">IF(A94="N/A"," ",G94*C94)</f>
        <v>14.8604334354401</v>
      </c>
      <c r="I94" s="398" t="n">
        <f aca="false">IF(A94="N/A"," ",IF(ISERROR(Q94),I82*Pwresc,Q94))</f>
        <v>17.540002822876</v>
      </c>
      <c r="J94" s="398"/>
      <c r="K94" s="399"/>
      <c r="L94" s="399"/>
      <c r="M94" s="404"/>
      <c r="N94" s="401" t="n">
        <f aca="false">IF(A94="N/A"," ",VLOOKUP(A94,PeakPowerCurves,(IF(BMO4=2,3,IF(BMO4=1,2,4))),FALSE()))</f>
        <v>31.9815639257431</v>
      </c>
      <c r="O94" s="401" t="n">
        <f aca="false">IF(A94="N/A"," ",VLOOKUP(A94,SatSunPeakPwr,(IF(BMO4=2,3,IF(BMO4=1,2,4))),FALSE()))</f>
        <v>20.2860012054443</v>
      </c>
      <c r="P94" s="401" t="n">
        <f aca="false">IF(A94="N/A"," ",VLOOKUP(A94,SatSunPeakPwr,(IF(BMO4=2,7,IF(BMO4=1,6,8))),FALSE()))</f>
        <v>14.7865009307861</v>
      </c>
      <c r="Q94" s="402" t="n">
        <f aca="false">IF(A94="N/A"," ",(VLOOKUP(A94,OPPowerPrices,(IF(BMO4=2,7,IF(BMO4=1,6,8))),FALSE())))</f>
        <v>17.540002822876</v>
      </c>
      <c r="R94" s="403" t="e">
        <f aca="false">IF(A94="N/A"," ",(VLOOKUP($A94,IRTable,2)))</f>
        <v>#N/A</v>
      </c>
      <c r="AF94" s="352" t="n">
        <v>39295</v>
      </c>
      <c r="AG94" s="311" t="n">
        <v>23</v>
      </c>
      <c r="AH94" s="311" t="n">
        <v>4</v>
      </c>
      <c r="AI94" s="311" t="n">
        <v>4</v>
      </c>
      <c r="AJ94" s="311" t="n">
        <v>0</v>
      </c>
      <c r="AK94" s="311" t="n">
        <v>31</v>
      </c>
      <c r="AU94" s="406"/>
    </row>
    <row r="95" customFormat="false" ht="12.75" hidden="false" customHeight="false" outlineLevel="0" collapsed="false">
      <c r="A95" s="352" t="n">
        <f aca="false">Option4!A62</f>
        <v>39022</v>
      </c>
      <c r="B95" s="396" t="n">
        <f aca="false">IF(A95="N/A"," ",IF(ISERROR(N95),B83*Pwresc,N95)*VLOOKUP(MONTH(A95),Curveadj,3))</f>
        <v>32.0815623998642</v>
      </c>
      <c r="C95" s="397" t="n">
        <f aca="false">IF(A95="N/A"," ",(IF(AND(Scaler4=1,MONTH(A95)&gt;=6,MONTH(A95)&lt;=8,OR($M$37="REGION 2",$M$37="REGION 2A",$M$37="REGION 2B",$M$37="REGION 3",$M$37="REGION 3A",$M$37="REGION 3B",$M$37="REGION 3C",$M$37="REGION 4",$M$37="REGION 4B",$M$37="REGION 4C",$M$37="REGION 5",$M$37="REGION 5A")),((0.059228/(B95/100))-(0.4980013/(SQRT(B95/100)))+2.137988),HLOOKUP(MONTH(A95),ScalarTable,28))))</f>
        <v>1.0825</v>
      </c>
      <c r="D95" s="398" t="n">
        <f aca="false">IF(A95="N/A"," ",C95*B95)</f>
        <v>34.728291297853</v>
      </c>
      <c r="E95" s="396" t="n">
        <f aca="false">IF(A95="N/A"," ",IF(ISERROR(O95),E83*Pwresc,O95)*VLOOKUP(MONTH(A95),Curveadj,3))</f>
        <v>22.2900009155273</v>
      </c>
      <c r="F95" s="398" t="n">
        <f aca="false">IF(A95="N/A"," ",E95*C95)</f>
        <v>24.1289259910584</v>
      </c>
      <c r="G95" s="396" t="n">
        <f aca="false">IF(A95="N/A"," ",IF(ISERROR(P95),G83*Pwresc,P95)*VLOOKUP(MONTH(A95),Curveadj,3))</f>
        <v>14.7900009155273</v>
      </c>
      <c r="H95" s="398" t="n">
        <f aca="false">IF(A95="N/A"," ",G95*C95)</f>
        <v>16.0101759910584</v>
      </c>
      <c r="I95" s="398" t="n">
        <f aca="false">IF(A95="N/A"," ",IF(ISERROR(Q95),I83*Pwresc,Q95))</f>
        <v>18.5400009155273</v>
      </c>
      <c r="J95" s="398"/>
      <c r="K95" s="399"/>
      <c r="L95" s="399"/>
      <c r="M95" s="404"/>
      <c r="N95" s="401" t="n">
        <f aca="false">IF(A95="N/A"," ",VLOOKUP(A95,PeakPowerCurves,(IF(BMO4=2,3,IF(BMO4=1,2,4))),FALSE()))</f>
        <v>32.0815623998642</v>
      </c>
      <c r="O95" s="401" t="n">
        <f aca="false">IF(A95="N/A"," ",VLOOKUP(A95,SatSunPeakPwr,(IF(BMO4=2,3,IF(BMO4=1,2,4))),FALSE()))</f>
        <v>22.2900009155273</v>
      </c>
      <c r="P95" s="401" t="n">
        <f aca="false">IF(A95="N/A"," ",VLOOKUP(A95,SatSunPeakPwr,(IF(BMO4=2,7,IF(BMO4=1,6,8))),FALSE()))</f>
        <v>14.7900009155273</v>
      </c>
      <c r="Q95" s="402" t="n">
        <f aca="false">IF(A95="N/A"," ",(VLOOKUP(A95,OPPowerPrices,(IF(BMO4=2,7,IF(BMO4=1,6,8))),FALSE())))</f>
        <v>18.5400009155273</v>
      </c>
      <c r="R95" s="403" t="e">
        <f aca="false">IF(A95="N/A"," ",(VLOOKUP($A95,IRTable,2)))</f>
        <v>#N/A</v>
      </c>
      <c r="AF95" s="352" t="n">
        <v>39326</v>
      </c>
      <c r="AG95" s="311" t="n">
        <v>19</v>
      </c>
      <c r="AH95" s="311" t="n">
        <v>5</v>
      </c>
      <c r="AI95" s="311" t="n">
        <v>6</v>
      </c>
      <c r="AJ95" s="311" t="n">
        <v>1</v>
      </c>
      <c r="AK95" s="311" t="n">
        <v>30</v>
      </c>
      <c r="AU95" s="406"/>
    </row>
    <row r="96" customFormat="false" ht="12.75" hidden="false" customHeight="false" outlineLevel="0" collapsed="false">
      <c r="A96" s="352" t="n">
        <f aca="false">Option4!A63</f>
        <v>39052</v>
      </c>
      <c r="B96" s="396" t="n">
        <f aca="false">IF(A96="N/A"," ",IF(ISERROR(N96),B84*Pwresc,N96)*VLOOKUP(MONTH(A96),Curveadj,3))</f>
        <v>32.1815608739853</v>
      </c>
      <c r="C96" s="397" t="n">
        <f aca="false">IF(A96="N/A"," ",(IF(AND(Scaler4=1,MONTH(A96)&gt;=6,MONTH(A96)&lt;=8,OR($M$37="REGION 2",$M$37="REGION 2A",$M$37="REGION 2B",$M$37="REGION 3",$M$37="REGION 3A",$M$37="REGION 3B",$M$37="REGION 3C",$M$37="REGION 4",$M$37="REGION 4B",$M$37="REGION 4C",$M$37="REGION 5",$M$37="REGION 5A")),((0.059228/(B96/100))-(0.4980013/(SQRT(B96/100)))+2.137988),HLOOKUP(MONTH(A96),ScalarTable,28))))</f>
        <v>1.02125</v>
      </c>
      <c r="D96" s="398" t="n">
        <f aca="false">IF(A96="N/A"," ",C96*B96)</f>
        <v>32.8654190425575</v>
      </c>
      <c r="E96" s="396" t="n">
        <f aca="false">IF(A96="N/A"," ",IF(ISERROR(O96),E84*Pwresc,O96)*VLOOKUP(MONTH(A96),Curveadj,3))</f>
        <v>27.2900009155273</v>
      </c>
      <c r="F96" s="398" t="n">
        <f aca="false">IF(A96="N/A"," ",E96*C96)</f>
        <v>27.8699134349823</v>
      </c>
      <c r="G96" s="396" t="n">
        <f aca="false">IF(A96="N/A"," ",IF(ISERROR(P96),G84*Pwresc,P96)*VLOOKUP(MONTH(A96),Curveadj,3))</f>
        <v>21.7900009155273</v>
      </c>
      <c r="H96" s="398" t="n">
        <f aca="false">IF(A96="N/A"," ",G96*C96)</f>
        <v>22.2530384349823</v>
      </c>
      <c r="I96" s="398" t="n">
        <f aca="false">IF(A96="N/A"," ",IF(ISERROR(Q96),I84*Pwresc,Q96))</f>
        <v>20.7900009155273</v>
      </c>
      <c r="J96" s="398"/>
      <c r="K96" s="399"/>
      <c r="L96" s="399"/>
      <c r="M96" s="404"/>
      <c r="N96" s="401" t="n">
        <f aca="false">IF(A96="N/A"," ",VLOOKUP(A96,PeakPowerCurves,(IF(BMO4=2,3,IF(BMO4=1,2,4))),FALSE()))</f>
        <v>32.1815608739853</v>
      </c>
      <c r="O96" s="401" t="n">
        <f aca="false">IF(A96="N/A"," ",VLOOKUP(A96,SatSunPeakPwr,(IF(BMO4=2,3,IF(BMO4=1,2,4))),FALSE()))</f>
        <v>27.2900009155273</v>
      </c>
      <c r="P96" s="401" t="n">
        <f aca="false">IF(A96="N/A"," ",VLOOKUP(A96,SatSunPeakPwr,(IF(BMO4=2,7,IF(BMO4=1,6,8))),FALSE()))</f>
        <v>21.7900009155273</v>
      </c>
      <c r="Q96" s="402" t="n">
        <f aca="false">IF(A96="N/A"," ",(VLOOKUP(A96,OPPowerPrices,(IF(BMO4=2,7,IF(BMO4=1,6,8))),FALSE())))</f>
        <v>20.7900009155273</v>
      </c>
      <c r="R96" s="403" t="e">
        <f aca="false">IF(A96="N/A"," ",(VLOOKUP($A96,IRTable,2)))</f>
        <v>#N/A</v>
      </c>
      <c r="AF96" s="352" t="n">
        <v>39356</v>
      </c>
      <c r="AG96" s="311" t="n">
        <v>23</v>
      </c>
      <c r="AH96" s="311" t="n">
        <v>4</v>
      </c>
      <c r="AI96" s="311" t="n">
        <v>4</v>
      </c>
      <c r="AJ96" s="311" t="n">
        <v>0</v>
      </c>
      <c r="AK96" s="311" t="n">
        <v>31</v>
      </c>
      <c r="AU96" s="406"/>
    </row>
    <row r="97" customFormat="false" ht="12.75" hidden="false" customHeight="false" outlineLevel="0" collapsed="false">
      <c r="A97" s="352" t="str">
        <f aca="false">Option4!A64</f>
        <v>N/A</v>
      </c>
      <c r="B97" s="396" t="str">
        <f aca="false">IF(A97="N/A"," ",IF(ISERROR(N97),B85*Pwresc,N97)*VLOOKUP(MONTH(A97),Curveadj,3))</f>
        <v> </v>
      </c>
      <c r="C97" s="397" t="str">
        <f aca="false">IF(A97="N/A"," ",(IF(AND(Scaler4=1,MONTH(A97)&gt;=6,MONTH(A97)&lt;=8,OR($M$37="REGION 2",$M$37="REGION 2A",$M$37="REGION 2B",$M$37="REGION 3",$M$37="REGION 3A",$M$37="REGION 3B",$M$37="REGION 3C",$M$37="REGION 4",$M$37="REGION 4B",$M$37="REGION 4C",$M$37="REGION 5",$M$37="REGION 5A")),((0.059228/(B97/100))-(0.4980013/(SQRT(B97/100)))+2.137988),HLOOKUP(MONTH(A97),ScalarTable,28))))</f>
        <v> </v>
      </c>
      <c r="D97" s="398" t="str">
        <f aca="false">IF(A97="N/A"," ",C97*B97)</f>
        <v> </v>
      </c>
      <c r="E97" s="396" t="str">
        <f aca="false">IF(A97="N/A"," ",IF(ISERROR(O97),E85*Pwresc,O97)*VLOOKUP(MONTH(A97),Curveadj,3))</f>
        <v> </v>
      </c>
      <c r="F97" s="398" t="str">
        <f aca="false">IF(A97="N/A"," ",E97*C97)</f>
        <v> </v>
      </c>
      <c r="G97" s="396" t="str">
        <f aca="false">IF(A97="N/A"," ",IF(ISERROR(P97),G85*Pwresc,P97)*VLOOKUP(MONTH(A97),Curveadj,3))</f>
        <v> </v>
      </c>
      <c r="H97" s="398" t="str">
        <f aca="false">IF(A97="N/A"," ",G97*C97)</f>
        <v> </v>
      </c>
      <c r="I97" s="398" t="str">
        <f aca="false">IF(A97="N/A"," ",IF(ISERROR(Q97),I85*Pwresc,Q97))</f>
        <v> </v>
      </c>
      <c r="J97" s="398"/>
      <c r="K97" s="399"/>
      <c r="L97" s="399"/>
      <c r="M97" s="404"/>
      <c r="N97" s="401" t="str">
        <f aca="false">IF(A97="N/A"," ",VLOOKUP(A97,PeakPowerCurves,(IF(BMO4=2,3,IF(BMO4=1,2,4))),FALSE()))</f>
        <v> </v>
      </c>
      <c r="O97" s="401" t="str">
        <f aca="false">IF(A97="N/A"," ",VLOOKUP(A97,SatSunPeakPwr,(IF(BMO4=2,3,IF(BMO4=1,2,4))),FALSE()))</f>
        <v> </v>
      </c>
      <c r="P97" s="401" t="str">
        <f aca="false">IF(A97="N/A"," ",VLOOKUP(A97,SatSunPeakPwr,(IF(BMO4=2,7,IF(BMO4=1,6,8))),FALSE()))</f>
        <v> </v>
      </c>
      <c r="Q97" s="402" t="str">
        <f aca="false">IF(A97="N/A"," ",(VLOOKUP(A97,OPPowerPrices,(IF(BMO4=2,7,IF(BMO4=1,6,8))),FALSE())))</f>
        <v> </v>
      </c>
      <c r="R97" s="403" t="str">
        <f aca="false">IF(A97="N/A"," ",(VLOOKUP($A97,IRTable,2)))</f>
        <v> </v>
      </c>
      <c r="AF97" s="352" t="n">
        <v>39387</v>
      </c>
      <c r="AG97" s="311" t="n">
        <v>21</v>
      </c>
      <c r="AH97" s="311" t="n">
        <v>4</v>
      </c>
      <c r="AI97" s="311" t="n">
        <v>5</v>
      </c>
      <c r="AJ97" s="311" t="n">
        <v>1</v>
      </c>
      <c r="AK97" s="311" t="n">
        <v>30</v>
      </c>
      <c r="AU97" s="406"/>
    </row>
    <row r="98" customFormat="false" ht="12.75" hidden="false" customHeight="false" outlineLevel="0" collapsed="false">
      <c r="A98" s="352" t="str">
        <f aca="false">Option4!A65</f>
        <v>N/A</v>
      </c>
      <c r="B98" s="396" t="str">
        <f aca="false">IF(A98="N/A"," ",IF(ISERROR(N98),B86*Pwresc,N98)*VLOOKUP(MONTH(A98),Curveadj,3))</f>
        <v> </v>
      </c>
      <c r="C98" s="397" t="str">
        <f aca="false">IF(A98="N/A"," ",(IF(AND(Scaler4=1,MONTH(A98)&gt;=6,MONTH(A98)&lt;=8,OR($M$37="REGION 2",$M$37="REGION 2A",$M$37="REGION 2B",$M$37="REGION 3",$M$37="REGION 3A",$M$37="REGION 3B",$M$37="REGION 3C",$M$37="REGION 4",$M$37="REGION 4B",$M$37="REGION 4C",$M$37="REGION 5",$M$37="REGION 5A")),((0.059228/(B98/100))-(0.4980013/(SQRT(B98/100)))+2.137988),HLOOKUP(MONTH(A98),ScalarTable,28))))</f>
        <v> </v>
      </c>
      <c r="D98" s="398" t="str">
        <f aca="false">IF(A98="N/A"," ",C98*B98)</f>
        <v> </v>
      </c>
      <c r="E98" s="396" t="str">
        <f aca="false">IF(A98="N/A"," ",IF(ISERROR(O98),E86*Pwresc,O98)*VLOOKUP(MONTH(A98),Curveadj,3))</f>
        <v> </v>
      </c>
      <c r="F98" s="398" t="str">
        <f aca="false">IF(A98="N/A"," ",E98*C98)</f>
        <v> </v>
      </c>
      <c r="G98" s="396" t="str">
        <f aca="false">IF(A98="N/A"," ",IF(ISERROR(P98),G86*Pwresc,P98)*VLOOKUP(MONTH(A98),Curveadj,3))</f>
        <v> </v>
      </c>
      <c r="H98" s="398" t="str">
        <f aca="false">IF(A98="N/A"," ",G98*C98)</f>
        <v> </v>
      </c>
      <c r="I98" s="398" t="str">
        <f aca="false">IF(A98="N/A"," ",IF(ISERROR(Q98),I86*Pwresc,Q98))</f>
        <v> </v>
      </c>
      <c r="J98" s="398"/>
      <c r="K98" s="399"/>
      <c r="L98" s="399"/>
      <c r="M98" s="404"/>
      <c r="N98" s="401" t="str">
        <f aca="false">IF(A98="N/A"," ",VLOOKUP(A98,PeakPowerCurves,(IF(BMO4=2,3,IF(BMO4=1,2,4))),FALSE()))</f>
        <v> </v>
      </c>
      <c r="O98" s="401" t="str">
        <f aca="false">IF(A98="N/A"," ",VLOOKUP(A98,SatSunPeakPwr,(IF(BMO4=2,3,IF(BMO4=1,2,4))),FALSE()))</f>
        <v> </v>
      </c>
      <c r="P98" s="401" t="str">
        <f aca="false">IF(A98="N/A"," ",VLOOKUP(A98,SatSunPeakPwr,(IF(BMO4=2,7,IF(BMO4=1,6,8))),FALSE()))</f>
        <v> </v>
      </c>
      <c r="Q98" s="402" t="str">
        <f aca="false">IF(A98="N/A"," ",(VLOOKUP(A98,OPPowerPrices,(IF(BMO4=2,7,IF(BMO4=1,6,8))),FALSE())))</f>
        <v> </v>
      </c>
      <c r="R98" s="403" t="str">
        <f aca="false">IF(A98="N/A"," ",(VLOOKUP($A98,IRTable,2)))</f>
        <v> </v>
      </c>
      <c r="AF98" s="352" t="n">
        <v>39417</v>
      </c>
      <c r="AG98" s="311" t="n">
        <v>20</v>
      </c>
      <c r="AH98" s="311" t="n">
        <v>5</v>
      </c>
      <c r="AI98" s="311" t="n">
        <v>6</v>
      </c>
      <c r="AJ98" s="311" t="n">
        <v>1</v>
      </c>
      <c r="AK98" s="311" t="n">
        <v>31</v>
      </c>
      <c r="AU98" s="406"/>
    </row>
    <row r="99" customFormat="false" ht="12.75" hidden="false" customHeight="false" outlineLevel="0" collapsed="false">
      <c r="A99" s="352" t="str">
        <f aca="false">Option4!A66</f>
        <v>N/A</v>
      </c>
      <c r="B99" s="396" t="str">
        <f aca="false">IF(A99="N/A"," ",IF(ISERROR(N99),B87*Pwresc,N99)*VLOOKUP(MONTH(A99),Curveadj,3))</f>
        <v> </v>
      </c>
      <c r="C99" s="397" t="str">
        <f aca="false">IF(A99="N/A"," ",(IF(AND(Scaler4=1,MONTH(A99)&gt;=6,MONTH(A99)&lt;=8,OR($M$37="REGION 2",$M$37="REGION 2A",$M$37="REGION 2B",$M$37="REGION 3",$M$37="REGION 3A",$M$37="REGION 3B",$M$37="REGION 3C",$M$37="REGION 4",$M$37="REGION 4B",$M$37="REGION 4C",$M$37="REGION 5",$M$37="REGION 5A")),((0.059228/(B99/100))-(0.4980013/(SQRT(B99/100)))+2.137988),HLOOKUP(MONTH(A99),ScalarTable,28))))</f>
        <v> </v>
      </c>
      <c r="D99" s="398" t="str">
        <f aca="false">IF(A99="N/A"," ",C99*B99)</f>
        <v> </v>
      </c>
      <c r="E99" s="396" t="str">
        <f aca="false">IF(A99="N/A"," ",IF(ISERROR(O99),E87*Pwresc,O99)*VLOOKUP(MONTH(A99),Curveadj,3))</f>
        <v> </v>
      </c>
      <c r="F99" s="398" t="str">
        <f aca="false">IF(A99="N/A"," ",E99*C99)</f>
        <v> </v>
      </c>
      <c r="G99" s="396" t="str">
        <f aca="false">IF(A99="N/A"," ",IF(ISERROR(P99),G87*Pwresc,P99)*VLOOKUP(MONTH(A99),Curveadj,3))</f>
        <v> </v>
      </c>
      <c r="H99" s="398" t="str">
        <f aca="false">IF(A99="N/A"," ",G99*C99)</f>
        <v> </v>
      </c>
      <c r="I99" s="398" t="str">
        <f aca="false">IF(A99="N/A"," ",IF(ISERROR(Q99),I87*Pwresc,Q99))</f>
        <v> </v>
      </c>
      <c r="J99" s="398"/>
      <c r="K99" s="399"/>
      <c r="L99" s="399"/>
      <c r="M99" s="404"/>
      <c r="N99" s="401" t="str">
        <f aca="false">IF(A99="N/A"," ",VLOOKUP(A99,PeakPowerCurves,(IF(BMO4=2,3,IF(BMO4=1,2,4))),FALSE()))</f>
        <v> </v>
      </c>
      <c r="O99" s="401" t="str">
        <f aca="false">IF(A99="N/A"," ",VLOOKUP(A99,SatSunPeakPwr,(IF(BMO4=2,3,IF(BMO4=1,2,4))),FALSE()))</f>
        <v> </v>
      </c>
      <c r="P99" s="401" t="str">
        <f aca="false">IF(A99="N/A"," ",VLOOKUP(A99,SatSunPeakPwr,(IF(BMO4=2,7,IF(BMO4=1,6,8))),FALSE()))</f>
        <v> </v>
      </c>
      <c r="Q99" s="402" t="str">
        <f aca="false">IF(A99="N/A"," ",(VLOOKUP(A99,OPPowerPrices,(IF(BMO4=2,7,IF(BMO4=1,6,8))),FALSE())))</f>
        <v> </v>
      </c>
      <c r="R99" s="403" t="str">
        <f aca="false">IF(A99="N/A"," ",(VLOOKUP($A99,IRTable,2)))</f>
        <v> </v>
      </c>
      <c r="AF99" s="352" t="n">
        <v>39448</v>
      </c>
      <c r="AG99" s="311" t="n">
        <v>22</v>
      </c>
      <c r="AH99" s="311" t="n">
        <v>4</v>
      </c>
      <c r="AI99" s="311" t="n">
        <v>5</v>
      </c>
      <c r="AJ99" s="311" t="n">
        <v>1</v>
      </c>
      <c r="AK99" s="311" t="n">
        <v>31</v>
      </c>
      <c r="AU99" s="406"/>
    </row>
    <row r="100" customFormat="false" ht="12.75" hidden="false" customHeight="false" outlineLevel="0" collapsed="false">
      <c r="A100" s="352" t="str">
        <f aca="false">Option4!A67</f>
        <v>N/A</v>
      </c>
      <c r="B100" s="396" t="str">
        <f aca="false">IF(A100="N/A"," ",IF(ISERROR(N100),B88*Pwresc,N100)*VLOOKUP(MONTH(A100),Curveadj,3))</f>
        <v> </v>
      </c>
      <c r="C100" s="397" t="str">
        <f aca="false">IF(A100="N/A"," ",(IF(AND(Scaler4=1,MONTH(A100)&gt;=6,MONTH(A100)&lt;=8,OR($M$37="REGION 2",$M$37="REGION 2A",$M$37="REGION 2B",$M$37="REGION 3",$M$37="REGION 3A",$M$37="REGION 3B",$M$37="REGION 3C",$M$37="REGION 4",$M$37="REGION 4B",$M$37="REGION 4C",$M$37="REGION 5",$M$37="REGION 5A")),((0.059228/(B100/100))-(0.4980013/(SQRT(B100/100)))+2.137988),HLOOKUP(MONTH(A100),ScalarTable,28))))</f>
        <v> </v>
      </c>
      <c r="D100" s="398" t="str">
        <f aca="false">IF(A100="N/A"," ",C100*B100)</f>
        <v> </v>
      </c>
      <c r="E100" s="396" t="str">
        <f aca="false">IF(A100="N/A"," ",IF(ISERROR(O100),E88*Pwresc,O100)*VLOOKUP(MONTH(A100),Curveadj,3))</f>
        <v> </v>
      </c>
      <c r="F100" s="398" t="str">
        <f aca="false">IF(A100="N/A"," ",E100*C100)</f>
        <v> </v>
      </c>
      <c r="G100" s="396" t="str">
        <f aca="false">IF(A100="N/A"," ",IF(ISERROR(P100),G88*Pwresc,P100)*VLOOKUP(MONTH(A100),Curveadj,3))</f>
        <v> </v>
      </c>
      <c r="H100" s="398" t="str">
        <f aca="false">IF(A100="N/A"," ",G100*C100)</f>
        <v> </v>
      </c>
      <c r="I100" s="398" t="str">
        <f aca="false">IF(A100="N/A"," ",IF(ISERROR(Q100),I88*Pwresc,Q100))</f>
        <v> </v>
      </c>
      <c r="J100" s="398"/>
      <c r="K100" s="399"/>
      <c r="L100" s="399"/>
      <c r="M100" s="404"/>
      <c r="N100" s="401" t="str">
        <f aca="false">IF(A100="N/A"," ",VLOOKUP(A100,PeakPowerCurves,(IF(BMO4=2,3,IF(BMO4=1,2,4))),FALSE()))</f>
        <v> </v>
      </c>
      <c r="O100" s="401" t="str">
        <f aca="false">IF(A100="N/A"," ",VLOOKUP(A100,SatSunPeakPwr,(IF(BMO4=2,3,IF(BMO4=1,2,4))),FALSE()))</f>
        <v> </v>
      </c>
      <c r="P100" s="401" t="str">
        <f aca="false">IF(A100="N/A"," ",VLOOKUP(A100,SatSunPeakPwr,(IF(BMO4=2,7,IF(BMO4=1,6,8))),FALSE()))</f>
        <v> </v>
      </c>
      <c r="Q100" s="402" t="str">
        <f aca="false">IF(A100="N/A"," ",(VLOOKUP(A100,OPPowerPrices,(IF(BMO4=2,7,IF(BMO4=1,6,8))),FALSE())))</f>
        <v> </v>
      </c>
      <c r="R100" s="403" t="str">
        <f aca="false">IF(A100="N/A"," ",(VLOOKUP($A100,IRTable,2)))</f>
        <v> </v>
      </c>
      <c r="AF100" s="352" t="n">
        <v>39479</v>
      </c>
      <c r="AG100" s="311" t="n">
        <v>21</v>
      </c>
      <c r="AH100" s="311" t="n">
        <v>4</v>
      </c>
      <c r="AI100" s="311" t="n">
        <v>4</v>
      </c>
      <c r="AJ100" s="311" t="n">
        <v>0</v>
      </c>
      <c r="AK100" s="311" t="n">
        <v>29</v>
      </c>
      <c r="AU100" s="406"/>
    </row>
    <row r="101" customFormat="false" ht="12.75" hidden="false" customHeight="false" outlineLevel="0" collapsed="false">
      <c r="A101" s="352" t="str">
        <f aca="false">Option4!A68</f>
        <v>N/A</v>
      </c>
      <c r="B101" s="396" t="str">
        <f aca="false">IF(A101="N/A"," ",IF(ISERROR(N101),B89*Pwresc,N101)*VLOOKUP(MONTH(A101),Curveadj,3))</f>
        <v> </v>
      </c>
      <c r="C101" s="397" t="str">
        <f aca="false">IF(A101="N/A"," ",(IF(AND(Scaler4=1,MONTH(A101)&gt;=6,MONTH(A101)&lt;=8,OR($M$37="REGION 2",$M$37="REGION 2A",$M$37="REGION 2B",$M$37="REGION 3",$M$37="REGION 3A",$M$37="REGION 3B",$M$37="REGION 3C",$M$37="REGION 4",$M$37="REGION 4B",$M$37="REGION 4C",$M$37="REGION 5",$M$37="REGION 5A")),((0.059228/(B101/100))-(0.4980013/(SQRT(B101/100)))+2.137988),HLOOKUP(MONTH(A101),ScalarTable,28))))</f>
        <v> </v>
      </c>
      <c r="D101" s="398" t="str">
        <f aca="false">IF(A101="N/A"," ",C101*B101)</f>
        <v> </v>
      </c>
      <c r="E101" s="396" t="str">
        <f aca="false">IF(A101="N/A"," ",IF(ISERROR(O101),E89*Pwresc,O101)*VLOOKUP(MONTH(A101),Curveadj,3))</f>
        <v> </v>
      </c>
      <c r="F101" s="398" t="str">
        <f aca="false">IF(A101="N/A"," ",E101*C101)</f>
        <v> </v>
      </c>
      <c r="G101" s="396" t="str">
        <f aca="false">IF(A101="N/A"," ",IF(ISERROR(P101),G89*Pwresc,P101)*VLOOKUP(MONTH(A101),Curveadj,3))</f>
        <v> </v>
      </c>
      <c r="H101" s="398" t="str">
        <f aca="false">IF(A101="N/A"," ",G101*C101)</f>
        <v> </v>
      </c>
      <c r="I101" s="398" t="str">
        <f aca="false">IF(A101="N/A"," ",IF(ISERROR(Q101),I89*Pwresc,Q101))</f>
        <v> </v>
      </c>
      <c r="J101" s="398"/>
      <c r="K101" s="399"/>
      <c r="L101" s="399"/>
      <c r="M101" s="404"/>
      <c r="N101" s="401" t="str">
        <f aca="false">IF(A101="N/A"," ",VLOOKUP(A101,PeakPowerCurves,(IF(BMO4=2,3,IF(BMO4=1,2,4))),FALSE()))</f>
        <v> </v>
      </c>
      <c r="O101" s="401" t="str">
        <f aca="false">IF(A101="N/A"," ",VLOOKUP(A101,SatSunPeakPwr,(IF(BMO4=2,3,IF(BMO4=1,2,4))),FALSE()))</f>
        <v> </v>
      </c>
      <c r="P101" s="401" t="str">
        <f aca="false">IF(A101="N/A"," ",VLOOKUP(A101,SatSunPeakPwr,(IF(BMO4=2,7,IF(BMO4=1,6,8))),FALSE()))</f>
        <v> </v>
      </c>
      <c r="Q101" s="402" t="str">
        <f aca="false">IF(A101="N/A"," ",(VLOOKUP(A101,OPPowerPrices,(IF(BMO4=2,7,IF(BMO4=1,6,8))),FALSE())))</f>
        <v> </v>
      </c>
      <c r="R101" s="403" t="str">
        <f aca="false">IF(A101="N/A"," ",(VLOOKUP($A101,IRTable,2)))</f>
        <v> </v>
      </c>
      <c r="AF101" s="352" t="n">
        <v>39508</v>
      </c>
      <c r="AG101" s="311" t="n">
        <v>21</v>
      </c>
      <c r="AH101" s="311" t="n">
        <v>5</v>
      </c>
      <c r="AI101" s="311" t="n">
        <v>5</v>
      </c>
      <c r="AJ101" s="311" t="n">
        <v>0</v>
      </c>
      <c r="AK101" s="311" t="n">
        <v>31</v>
      </c>
      <c r="AU101" s="406"/>
    </row>
    <row r="102" customFormat="false" ht="12.75" hidden="false" customHeight="false" outlineLevel="0" collapsed="false">
      <c r="A102" s="352" t="str">
        <f aca="false">Option4!A69</f>
        <v>N/A</v>
      </c>
      <c r="B102" s="396" t="str">
        <f aca="false">IF(A102="N/A"," ",IF(ISERROR(N102),B90*Pwresc,N102)*VLOOKUP(MONTH(A102),Curveadj,3))</f>
        <v> </v>
      </c>
      <c r="C102" s="397" t="str">
        <f aca="false">IF(A102="N/A"," ",(IF(AND(Scaler4=1,MONTH(A102)&gt;=6,MONTH(A102)&lt;=8,OR($M$37="REGION 2",$M$37="REGION 2A",$M$37="REGION 2B",$M$37="REGION 3",$M$37="REGION 3A",$M$37="REGION 3B",$M$37="REGION 3C",$M$37="REGION 4",$M$37="REGION 4B",$M$37="REGION 4C",$M$37="REGION 5",$M$37="REGION 5A")),((0.059228/(B102/100))-(0.4980013/(SQRT(B102/100)))+2.137988),HLOOKUP(MONTH(A102),ScalarTable,28))))</f>
        <v> </v>
      </c>
      <c r="D102" s="398" t="str">
        <f aca="false">IF(A102="N/A"," ",C102*B102)</f>
        <v> </v>
      </c>
      <c r="E102" s="396" t="str">
        <f aca="false">IF(A102="N/A"," ",IF(ISERROR(O102),E90*Pwresc,O102)*VLOOKUP(MONTH(A102),Curveadj,3))</f>
        <v> </v>
      </c>
      <c r="F102" s="398" t="str">
        <f aca="false">IF(A102="N/A"," ",E102*C102)</f>
        <v> </v>
      </c>
      <c r="G102" s="396" t="str">
        <f aca="false">IF(A102="N/A"," ",IF(ISERROR(P102),G90*Pwresc,P102)*VLOOKUP(MONTH(A102),Curveadj,3))</f>
        <v> </v>
      </c>
      <c r="H102" s="398" t="str">
        <f aca="false">IF(A102="N/A"," ",G102*C102)</f>
        <v> </v>
      </c>
      <c r="I102" s="398" t="str">
        <f aca="false">IF(A102="N/A"," ",IF(ISERROR(Q102),I90*Pwresc,Q102))</f>
        <v> </v>
      </c>
      <c r="J102" s="398"/>
      <c r="K102" s="399"/>
      <c r="L102" s="399"/>
      <c r="M102" s="404"/>
      <c r="N102" s="401" t="str">
        <f aca="false">IF(A102="N/A"," ",VLOOKUP(A102,PeakPowerCurves,(IF(BMO4=2,3,IF(BMO4=1,2,4))),FALSE()))</f>
        <v> </v>
      </c>
      <c r="O102" s="401" t="str">
        <f aca="false">IF(A102="N/A"," ",VLOOKUP(A102,SatSunPeakPwr,(IF(BMO4=2,3,IF(BMO4=1,2,4))),FALSE()))</f>
        <v> </v>
      </c>
      <c r="P102" s="401" t="str">
        <f aca="false">IF(A102="N/A"," ",VLOOKUP(A102,SatSunPeakPwr,(IF(BMO4=2,7,IF(BMO4=1,6,8))),FALSE()))</f>
        <v> </v>
      </c>
      <c r="Q102" s="402" t="str">
        <f aca="false">IF(A102="N/A"," ",(VLOOKUP(A102,OPPowerPrices,(IF(BMO4=2,7,IF(BMO4=1,6,8))),FALSE())))</f>
        <v> </v>
      </c>
      <c r="R102" s="403" t="str">
        <f aca="false">IF(A102="N/A"," ",(VLOOKUP($A102,IRTable,2)))</f>
        <v> </v>
      </c>
      <c r="AF102" s="352" t="n">
        <v>39539</v>
      </c>
      <c r="AG102" s="311" t="n">
        <v>22</v>
      </c>
      <c r="AH102" s="311" t="n">
        <v>4</v>
      </c>
      <c r="AI102" s="311" t="n">
        <v>4</v>
      </c>
      <c r="AJ102" s="311" t="n">
        <v>0</v>
      </c>
      <c r="AK102" s="311" t="n">
        <v>30</v>
      </c>
      <c r="AU102" s="406"/>
    </row>
    <row r="103" customFormat="false" ht="12.75" hidden="false" customHeight="false" outlineLevel="0" collapsed="false">
      <c r="A103" s="352" t="str">
        <f aca="false">Option4!A70</f>
        <v>N/A</v>
      </c>
      <c r="B103" s="396" t="str">
        <f aca="false">IF(A103="N/A"," ",IF(ISERROR(N103),B91*Pwresc,N103)*VLOOKUP(MONTH(A103),Curveadj,3))</f>
        <v> </v>
      </c>
      <c r="C103" s="397" t="str">
        <f aca="false">IF(A103="N/A"," ",(IF(AND(Scaler4=1,MONTH(A103)&gt;=6,MONTH(A103)&lt;=8,OR($M$37="REGION 2",$M$37="REGION 2A",$M$37="REGION 2B",$M$37="REGION 3",$M$37="REGION 3A",$M$37="REGION 3B",$M$37="REGION 3C",$M$37="REGION 4",$M$37="REGION 4B",$M$37="REGION 4C",$M$37="REGION 5",$M$37="REGION 5A")),((0.059228/(B103/100))-(0.4980013/(SQRT(B103/100)))+2.137988),HLOOKUP(MONTH(A103),ScalarTable,28))))</f>
        <v> </v>
      </c>
      <c r="D103" s="398" t="str">
        <f aca="false">IF(A103="N/A"," ",C103*B103)</f>
        <v> </v>
      </c>
      <c r="E103" s="396" t="str">
        <f aca="false">IF(A103="N/A"," ",IF(ISERROR(O103),E91*Pwresc,O103)*VLOOKUP(MONTH(A103),Curveadj,3))</f>
        <v> </v>
      </c>
      <c r="F103" s="398" t="str">
        <f aca="false">IF(A103="N/A"," ",E103*C103)</f>
        <v> </v>
      </c>
      <c r="G103" s="396" t="str">
        <f aca="false">IF(A103="N/A"," ",IF(ISERROR(P103),G91*Pwresc,P103)*VLOOKUP(MONTH(A103),Curveadj,3))</f>
        <v> </v>
      </c>
      <c r="H103" s="398" t="str">
        <f aca="false">IF(A103="N/A"," ",G103*C103)</f>
        <v> </v>
      </c>
      <c r="I103" s="398" t="str">
        <f aca="false">IF(A103="N/A"," ",IF(ISERROR(Q103),I91*Pwresc,Q103))</f>
        <v> </v>
      </c>
      <c r="J103" s="398"/>
      <c r="K103" s="399"/>
      <c r="L103" s="399"/>
      <c r="M103" s="404"/>
      <c r="N103" s="401" t="str">
        <f aca="false">IF(A103="N/A"," ",VLOOKUP(A103,PeakPowerCurves,(IF(BMO4=2,3,IF(BMO4=1,2,4))),FALSE()))</f>
        <v> </v>
      </c>
      <c r="O103" s="401" t="str">
        <f aca="false">IF(A103="N/A"," ",VLOOKUP(A103,SatSunPeakPwr,(IF(BMO4=2,3,IF(BMO4=1,2,4))),FALSE()))</f>
        <v> </v>
      </c>
      <c r="P103" s="401" t="str">
        <f aca="false">IF(A103="N/A"," ",VLOOKUP(A103,SatSunPeakPwr,(IF(BMO4=2,7,IF(BMO4=1,6,8))),FALSE()))</f>
        <v> </v>
      </c>
      <c r="Q103" s="402" t="str">
        <f aca="false">IF(A103="N/A"," ",(VLOOKUP(A103,OPPowerPrices,(IF(BMO4=2,7,IF(BMO4=1,6,8))),FALSE())))</f>
        <v> </v>
      </c>
      <c r="R103" s="403" t="str">
        <f aca="false">IF(A103="N/A"," ",(VLOOKUP($A103,IRTable,2)))</f>
        <v> </v>
      </c>
      <c r="AF103" s="352" t="n">
        <v>39569</v>
      </c>
      <c r="AG103" s="311" t="n">
        <v>21</v>
      </c>
      <c r="AH103" s="311" t="n">
        <v>5</v>
      </c>
      <c r="AI103" s="311" t="n">
        <v>5</v>
      </c>
      <c r="AJ103" s="311" t="n">
        <v>1</v>
      </c>
      <c r="AK103" s="311" t="n">
        <v>31</v>
      </c>
      <c r="AU103" s="406"/>
    </row>
    <row r="104" customFormat="false" ht="12.75" hidden="false" customHeight="false" outlineLevel="0" collapsed="false">
      <c r="A104" s="352" t="str">
        <f aca="false">Option4!A71</f>
        <v>N/A</v>
      </c>
      <c r="B104" s="396" t="str">
        <f aca="false">IF(A104="N/A"," ",IF(ISERROR(N104),B92*Pwresc,N104)*VLOOKUP(MONTH(A104),Curveadj,3))</f>
        <v> </v>
      </c>
      <c r="C104" s="397" t="str">
        <f aca="false">IF(A104="N/A"," ",(IF(AND(Scaler4=1,MONTH(A104)&gt;=6,MONTH(A104)&lt;=8,OR($M$37="REGION 2",$M$37="REGION 2A",$M$37="REGION 2B",$M$37="REGION 3",$M$37="REGION 3A",$M$37="REGION 3B",$M$37="REGION 3C",$M$37="REGION 4",$M$37="REGION 4B",$M$37="REGION 4C",$M$37="REGION 5",$M$37="REGION 5A")),((0.059228/(B104/100))-(0.4980013/(SQRT(B104/100)))+2.137988),HLOOKUP(MONTH(A104),ScalarTable,28))))</f>
        <v> </v>
      </c>
      <c r="D104" s="398" t="str">
        <f aca="false">IF(A104="N/A"," ",C104*B104)</f>
        <v> </v>
      </c>
      <c r="E104" s="396" t="str">
        <f aca="false">IF(A104="N/A"," ",IF(ISERROR(O104),E92*Pwresc,O104)*VLOOKUP(MONTH(A104),Curveadj,3))</f>
        <v> </v>
      </c>
      <c r="F104" s="398" t="str">
        <f aca="false">IF(A104="N/A"," ",E104*C104)</f>
        <v> </v>
      </c>
      <c r="G104" s="396" t="str">
        <f aca="false">IF(A104="N/A"," ",IF(ISERROR(P104),G92*Pwresc,P104)*VLOOKUP(MONTH(A104),Curveadj,3))</f>
        <v> </v>
      </c>
      <c r="H104" s="398" t="str">
        <f aca="false">IF(A104="N/A"," ",G104*C104)</f>
        <v> </v>
      </c>
      <c r="I104" s="398" t="str">
        <f aca="false">IF(A104="N/A"," ",IF(ISERROR(Q104),I92*Pwresc,Q104))</f>
        <v> </v>
      </c>
      <c r="J104" s="398"/>
      <c r="K104" s="399"/>
      <c r="L104" s="399"/>
      <c r="M104" s="404"/>
      <c r="N104" s="401" t="str">
        <f aca="false">IF(A104="N/A"," ",VLOOKUP(A104,PeakPowerCurves,(IF(BMO4=2,3,IF(BMO4=1,2,4))),FALSE()))</f>
        <v> </v>
      </c>
      <c r="O104" s="401" t="str">
        <f aca="false">IF(A104="N/A"," ",VLOOKUP(A104,SatSunPeakPwr,(IF(BMO4=2,3,IF(BMO4=1,2,4))),FALSE()))</f>
        <v> </v>
      </c>
      <c r="P104" s="401" t="str">
        <f aca="false">IF(A104="N/A"," ",VLOOKUP(A104,SatSunPeakPwr,(IF(BMO4=2,7,IF(BMO4=1,6,8))),FALSE()))</f>
        <v> </v>
      </c>
      <c r="Q104" s="402" t="str">
        <f aca="false">IF(A104="N/A"," ",(VLOOKUP(A104,OPPowerPrices,(IF(BMO4=2,7,IF(BMO4=1,6,8))),FALSE())))</f>
        <v> </v>
      </c>
      <c r="R104" s="403" t="str">
        <f aca="false">IF(A104="N/A"," ",(VLOOKUP($A104,IRTable,2)))</f>
        <v> </v>
      </c>
      <c r="AF104" s="352" t="n">
        <v>39600</v>
      </c>
      <c r="AG104" s="311" t="n">
        <v>21</v>
      </c>
      <c r="AH104" s="311" t="n">
        <v>4</v>
      </c>
      <c r="AI104" s="311" t="n">
        <v>5</v>
      </c>
      <c r="AJ104" s="311" t="n">
        <v>0</v>
      </c>
      <c r="AK104" s="311" t="n">
        <v>30</v>
      </c>
      <c r="AU104" s="406"/>
    </row>
    <row r="105" customFormat="false" ht="12.75" hidden="false" customHeight="false" outlineLevel="0" collapsed="false">
      <c r="A105" s="352" t="str">
        <f aca="false">Option4!A72</f>
        <v>N/A</v>
      </c>
      <c r="B105" s="396" t="str">
        <f aca="false">IF(A105="N/A"," ",IF(ISERROR(N105),B93*Pwresc,N105)*VLOOKUP(MONTH(A105),Curveadj,3))</f>
        <v> </v>
      </c>
      <c r="C105" s="397" t="str">
        <f aca="false">IF(A105="N/A"," ",(IF(AND(Scaler4=1,MONTH(A105)&gt;=6,MONTH(A105)&lt;=8,OR($M$37="REGION 2",$M$37="REGION 2A",$M$37="REGION 2B",$M$37="REGION 3",$M$37="REGION 3A",$M$37="REGION 3B",$M$37="REGION 3C",$M$37="REGION 4",$M$37="REGION 4B",$M$37="REGION 4C",$M$37="REGION 5",$M$37="REGION 5A")),((0.059228/(B105/100))-(0.4980013/(SQRT(B105/100)))+2.137988),HLOOKUP(MONTH(A105),ScalarTable,28))))</f>
        <v> </v>
      </c>
      <c r="D105" s="398" t="str">
        <f aca="false">IF(A105="N/A"," ",C105*B105)</f>
        <v> </v>
      </c>
      <c r="E105" s="396" t="str">
        <f aca="false">IF(A105="N/A"," ",IF(ISERROR(O105),E93*Pwresc,O105)*VLOOKUP(MONTH(A105),Curveadj,3))</f>
        <v> </v>
      </c>
      <c r="F105" s="398" t="str">
        <f aca="false">IF(A105="N/A"," ",E105*C105)</f>
        <v> </v>
      </c>
      <c r="G105" s="396" t="str">
        <f aca="false">IF(A105="N/A"," ",IF(ISERROR(P105),G93*Pwresc,P105)*VLOOKUP(MONTH(A105),Curveadj,3))</f>
        <v> </v>
      </c>
      <c r="H105" s="398" t="str">
        <f aca="false">IF(A105="N/A"," ",G105*C105)</f>
        <v> </v>
      </c>
      <c r="I105" s="398" t="str">
        <f aca="false">IF(A105="N/A"," ",IF(ISERROR(Q105),I93*Pwresc,Q105))</f>
        <v> </v>
      </c>
      <c r="J105" s="398"/>
      <c r="K105" s="399"/>
      <c r="L105" s="399"/>
      <c r="M105" s="404"/>
      <c r="N105" s="401" t="str">
        <f aca="false">IF(A105="N/A"," ",VLOOKUP(A105,PeakPowerCurves,(IF(BMO4=2,3,IF(BMO4=1,2,4))),FALSE()))</f>
        <v> </v>
      </c>
      <c r="O105" s="401" t="str">
        <f aca="false">IF(A105="N/A"," ",VLOOKUP(A105,SatSunPeakPwr,(IF(BMO4=2,3,IF(BMO4=1,2,4))),FALSE()))</f>
        <v> </v>
      </c>
      <c r="P105" s="401" t="str">
        <f aca="false">IF(A105="N/A"," ",VLOOKUP(A105,SatSunPeakPwr,(IF(BMO4=2,7,IF(BMO4=1,6,8))),FALSE()))</f>
        <v> </v>
      </c>
      <c r="Q105" s="402" t="str">
        <f aca="false">IF(A105="N/A"," ",(VLOOKUP(A105,OPPowerPrices,(IF(BMO4=2,7,IF(BMO4=1,6,8))),FALSE())))</f>
        <v> </v>
      </c>
      <c r="R105" s="403" t="str">
        <f aca="false">IF(A105="N/A"," ",(VLOOKUP($A105,IRTable,2)))</f>
        <v> </v>
      </c>
      <c r="AF105" s="352" t="n">
        <v>39630</v>
      </c>
      <c r="AG105" s="311" t="n">
        <v>22</v>
      </c>
      <c r="AH105" s="311" t="n">
        <v>4</v>
      </c>
      <c r="AI105" s="311" t="n">
        <v>5</v>
      </c>
      <c r="AJ105" s="311" t="n">
        <v>1</v>
      </c>
      <c r="AK105" s="311" t="n">
        <v>31</v>
      </c>
      <c r="AU105" s="406"/>
    </row>
    <row r="106" customFormat="false" ht="12.75" hidden="false" customHeight="false" outlineLevel="0" collapsed="false">
      <c r="A106" s="352" t="str">
        <f aca="false">Option4!A73</f>
        <v>N/A</v>
      </c>
      <c r="B106" s="396" t="str">
        <f aca="false">IF(A106="N/A"," ",IF(ISERROR(N106),B94*Pwresc,N106)*VLOOKUP(MONTH(A106),Curveadj,3))</f>
        <v> </v>
      </c>
      <c r="C106" s="397" t="str">
        <f aca="false">IF(A106="N/A"," ",(IF(AND(Scaler4=1,MONTH(A106)&gt;=6,MONTH(A106)&lt;=8,OR($M$37="REGION 2",$M$37="REGION 2A",$M$37="REGION 2B",$M$37="REGION 3",$M$37="REGION 3A",$M$37="REGION 3B",$M$37="REGION 3C",$M$37="REGION 4",$M$37="REGION 4B",$M$37="REGION 4C",$M$37="REGION 5",$M$37="REGION 5A")),((0.059228/(B106/100))-(0.4980013/(SQRT(B106/100)))+2.137988),HLOOKUP(MONTH(A106),ScalarTable,28))))</f>
        <v> </v>
      </c>
      <c r="D106" s="398" t="str">
        <f aca="false">IF(A106="N/A"," ",C106*B106)</f>
        <v> </v>
      </c>
      <c r="E106" s="396" t="str">
        <f aca="false">IF(A106="N/A"," ",IF(ISERROR(O106),E94*Pwresc,O106)*VLOOKUP(MONTH(A106),Curveadj,3))</f>
        <v> </v>
      </c>
      <c r="F106" s="398" t="str">
        <f aca="false">IF(A106="N/A"," ",E106*C106)</f>
        <v> </v>
      </c>
      <c r="G106" s="396" t="str">
        <f aca="false">IF(A106="N/A"," ",IF(ISERROR(P106),G94*Pwresc,P106)*VLOOKUP(MONTH(A106),Curveadj,3))</f>
        <v> </v>
      </c>
      <c r="H106" s="398" t="str">
        <f aca="false">IF(A106="N/A"," ",G106*C106)</f>
        <v> </v>
      </c>
      <c r="I106" s="398" t="str">
        <f aca="false">IF(A106="N/A"," ",IF(ISERROR(Q106),I94*Pwresc,Q106))</f>
        <v> </v>
      </c>
      <c r="J106" s="398"/>
      <c r="K106" s="399"/>
      <c r="L106" s="399"/>
      <c r="M106" s="404"/>
      <c r="N106" s="401" t="str">
        <f aca="false">IF(A106="N/A"," ",VLOOKUP(A106,PeakPowerCurves,(IF(BMO4=2,3,IF(BMO4=1,2,4))),FALSE()))</f>
        <v> </v>
      </c>
      <c r="O106" s="401" t="str">
        <f aca="false">IF(A106="N/A"," ",VLOOKUP(A106,SatSunPeakPwr,(IF(BMO4=2,3,IF(BMO4=1,2,4))),FALSE()))</f>
        <v> </v>
      </c>
      <c r="P106" s="401" t="str">
        <f aca="false">IF(A106="N/A"," ",VLOOKUP(A106,SatSunPeakPwr,(IF(BMO4=2,7,IF(BMO4=1,6,8))),FALSE()))</f>
        <v> </v>
      </c>
      <c r="Q106" s="402" t="str">
        <f aca="false">IF(A106="N/A"," ",(VLOOKUP(A106,OPPowerPrices,(IF(BMO4=2,7,IF(BMO4=1,6,8))),FALSE())))</f>
        <v> </v>
      </c>
      <c r="R106" s="403" t="str">
        <f aca="false">IF(A106="N/A"," ",(VLOOKUP($A106,IRTable,2)))</f>
        <v> </v>
      </c>
      <c r="AF106" s="352" t="n">
        <v>39661</v>
      </c>
      <c r="AG106" s="311" t="n">
        <v>21</v>
      </c>
      <c r="AH106" s="311" t="n">
        <v>5</v>
      </c>
      <c r="AI106" s="311" t="n">
        <v>5</v>
      </c>
      <c r="AJ106" s="311" t="n">
        <v>0</v>
      </c>
      <c r="AK106" s="311" t="n">
        <v>31</v>
      </c>
      <c r="AU106" s="406"/>
    </row>
    <row r="107" customFormat="false" ht="12.75" hidden="false" customHeight="false" outlineLevel="0" collapsed="false">
      <c r="A107" s="352" t="str">
        <f aca="false">Option4!A74</f>
        <v>N/A</v>
      </c>
      <c r="B107" s="396" t="str">
        <f aca="false">IF(A107="N/A"," ",IF(ISERROR(N107),B95*Pwresc,N107)*VLOOKUP(MONTH(A107),Curveadj,3))</f>
        <v> </v>
      </c>
      <c r="C107" s="397" t="str">
        <f aca="false">IF(A107="N/A"," ",(IF(AND(Scaler4=1,MONTH(A107)&gt;=6,MONTH(A107)&lt;=8,OR($M$37="REGION 2",$M$37="REGION 2A",$M$37="REGION 2B",$M$37="REGION 3",$M$37="REGION 3A",$M$37="REGION 3B",$M$37="REGION 3C",$M$37="REGION 4",$M$37="REGION 4B",$M$37="REGION 4C",$M$37="REGION 5",$M$37="REGION 5A")),((0.059228/(B107/100))-(0.4980013/(SQRT(B107/100)))+2.137988),HLOOKUP(MONTH(A107),ScalarTable,28))))</f>
        <v> </v>
      </c>
      <c r="D107" s="398" t="str">
        <f aca="false">IF(A107="N/A"," ",C107*B107)</f>
        <v> </v>
      </c>
      <c r="E107" s="396" t="str">
        <f aca="false">IF(A107="N/A"," ",IF(ISERROR(O107),E95*Pwresc,O107)*VLOOKUP(MONTH(A107),Curveadj,3))</f>
        <v> </v>
      </c>
      <c r="F107" s="398" t="str">
        <f aca="false">IF(A107="N/A"," ",E107*C107)</f>
        <v> </v>
      </c>
      <c r="G107" s="396" t="str">
        <f aca="false">IF(A107="N/A"," ",IF(ISERROR(P107),G95*Pwresc,P107)*VLOOKUP(MONTH(A107),Curveadj,3))</f>
        <v> </v>
      </c>
      <c r="H107" s="398" t="str">
        <f aca="false">IF(A107="N/A"," ",G107*C107)</f>
        <v> </v>
      </c>
      <c r="I107" s="398" t="str">
        <f aca="false">IF(A107="N/A"," ",IF(ISERROR(Q107),I95*Pwresc,Q107))</f>
        <v> </v>
      </c>
      <c r="J107" s="398"/>
      <c r="K107" s="399"/>
      <c r="L107" s="399"/>
      <c r="M107" s="404"/>
      <c r="N107" s="401" t="str">
        <f aca="false">IF(A107="N/A"," ",VLOOKUP(A107,PeakPowerCurves,(IF(BMO4=2,3,IF(BMO4=1,2,4))),FALSE()))</f>
        <v> </v>
      </c>
      <c r="O107" s="401" t="str">
        <f aca="false">IF(A107="N/A"," ",VLOOKUP(A107,SatSunPeakPwr,(IF(BMO4=2,3,IF(BMO4=1,2,4))),FALSE()))</f>
        <v> </v>
      </c>
      <c r="P107" s="401" t="str">
        <f aca="false">IF(A107="N/A"," ",VLOOKUP(A107,SatSunPeakPwr,(IF(BMO4=2,7,IF(BMO4=1,6,8))),FALSE()))</f>
        <v> </v>
      </c>
      <c r="Q107" s="402" t="str">
        <f aca="false">IF(A107="N/A"," ",(VLOOKUP(A107,OPPowerPrices,(IF(BMO4=2,7,IF(BMO4=1,6,8))),FALSE())))</f>
        <v> </v>
      </c>
      <c r="R107" s="403" t="str">
        <f aca="false">IF(A107="N/A"," ",(VLOOKUP($A107,IRTable,2)))</f>
        <v> </v>
      </c>
      <c r="AF107" s="352" t="n">
        <v>39692</v>
      </c>
      <c r="AG107" s="311" t="n">
        <v>21</v>
      </c>
      <c r="AH107" s="311" t="n">
        <v>4</v>
      </c>
      <c r="AI107" s="311" t="n">
        <v>5</v>
      </c>
      <c r="AJ107" s="311" t="n">
        <v>1</v>
      </c>
      <c r="AK107" s="311" t="n">
        <v>30</v>
      </c>
      <c r="AU107" s="406"/>
    </row>
    <row r="108" customFormat="false" ht="12.75" hidden="false" customHeight="false" outlineLevel="0" collapsed="false">
      <c r="A108" s="352" t="str">
        <f aca="false">Option4!A75</f>
        <v>N/A</v>
      </c>
      <c r="B108" s="396" t="str">
        <f aca="false">IF(A108="N/A"," ",IF(ISERROR(N108),B96*Pwresc,N108)*VLOOKUP(MONTH(A108),Curveadj,3))</f>
        <v> </v>
      </c>
      <c r="C108" s="397" t="str">
        <f aca="false">IF(A108="N/A"," ",(IF(AND(Scaler4=1,MONTH(A108)&gt;=6,MONTH(A108)&lt;=8,OR($M$37="REGION 2",$M$37="REGION 2A",$M$37="REGION 2B",$M$37="REGION 3",$M$37="REGION 3A",$M$37="REGION 3B",$M$37="REGION 3C",$M$37="REGION 4",$M$37="REGION 4B",$M$37="REGION 4C",$M$37="REGION 5",$M$37="REGION 5A")),((0.059228/(B108/100))-(0.4980013/(SQRT(B108/100)))+2.137988),HLOOKUP(MONTH(A108),ScalarTable,28))))</f>
        <v> </v>
      </c>
      <c r="D108" s="398" t="str">
        <f aca="false">IF(A108="N/A"," ",C108*B108)</f>
        <v> </v>
      </c>
      <c r="E108" s="396" t="str">
        <f aca="false">IF(A108="N/A"," ",IF(ISERROR(O108),E96*Pwresc,O108)*VLOOKUP(MONTH(A108),Curveadj,3))</f>
        <v> </v>
      </c>
      <c r="F108" s="398" t="str">
        <f aca="false">IF(A108="N/A"," ",E108*C108)</f>
        <v> </v>
      </c>
      <c r="G108" s="396" t="str">
        <f aca="false">IF(A108="N/A"," ",IF(ISERROR(P108),G96*Pwresc,P108)*VLOOKUP(MONTH(A108),Curveadj,3))</f>
        <v> </v>
      </c>
      <c r="H108" s="398" t="str">
        <f aca="false">IF(A108="N/A"," ",G108*C108)</f>
        <v> </v>
      </c>
      <c r="I108" s="398" t="str">
        <f aca="false">IF(A108="N/A"," ",IF(ISERROR(Q108),I96*Pwresc,Q108))</f>
        <v> </v>
      </c>
      <c r="J108" s="398"/>
      <c r="K108" s="399"/>
      <c r="L108" s="399"/>
      <c r="M108" s="404"/>
      <c r="N108" s="401" t="str">
        <f aca="false">IF(A108="N/A"," ",VLOOKUP(A108,PeakPowerCurves,(IF(BMO4=2,3,IF(BMO4=1,2,4))),FALSE()))</f>
        <v> </v>
      </c>
      <c r="O108" s="401" t="str">
        <f aca="false">IF(A108="N/A"," ",VLOOKUP(A108,SatSunPeakPwr,(IF(BMO4=2,3,IF(BMO4=1,2,4))),FALSE()))</f>
        <v> </v>
      </c>
      <c r="P108" s="401" t="str">
        <f aca="false">IF(A108="N/A"," ",VLOOKUP(A108,SatSunPeakPwr,(IF(BMO4=2,7,IF(BMO4=1,6,8))),FALSE()))</f>
        <v> </v>
      </c>
      <c r="Q108" s="402" t="str">
        <f aca="false">IF(A108="N/A"," ",(VLOOKUP(A108,OPPowerPrices,(IF(BMO4=2,7,IF(BMO4=1,6,8))),FALSE())))</f>
        <v> </v>
      </c>
      <c r="R108" s="403" t="str">
        <f aca="false">IF(A108="N/A"," ",(VLOOKUP($A108,IRTable,2)))</f>
        <v> </v>
      </c>
      <c r="AF108" s="352" t="n">
        <v>39722</v>
      </c>
      <c r="AG108" s="311" t="n">
        <v>23</v>
      </c>
      <c r="AH108" s="311" t="n">
        <v>4</v>
      </c>
      <c r="AI108" s="311" t="n">
        <v>4</v>
      </c>
      <c r="AJ108" s="311" t="n">
        <v>0</v>
      </c>
      <c r="AK108" s="311" t="n">
        <v>31</v>
      </c>
      <c r="AU108" s="406"/>
    </row>
    <row r="109" customFormat="false" ht="12.75" hidden="false" customHeight="false" outlineLevel="0" collapsed="false">
      <c r="A109" s="352" t="str">
        <f aca="false">Option4!A76</f>
        <v>N/A</v>
      </c>
      <c r="B109" s="396" t="str">
        <f aca="false">IF(A109="N/A"," ",IF(ISERROR(N109),B97*Pwresc,N109)*VLOOKUP(MONTH(A109),Curveadj,3))</f>
        <v> </v>
      </c>
      <c r="C109" s="397" t="str">
        <f aca="false">IF(A109="N/A"," ",(IF(AND(Scaler4=1,MONTH(A109)&gt;=6,MONTH(A109)&lt;=8,OR($M$37="REGION 2",$M$37="REGION 2A",$M$37="REGION 2B",$M$37="REGION 3",$M$37="REGION 3A",$M$37="REGION 3B",$M$37="REGION 3C",$M$37="REGION 4",$M$37="REGION 4B",$M$37="REGION 4C",$M$37="REGION 5",$M$37="REGION 5A")),((0.059228/(B109/100))-(0.4980013/(SQRT(B109/100)))+2.137988),HLOOKUP(MONTH(A109),ScalarTable,28))))</f>
        <v> </v>
      </c>
      <c r="D109" s="398" t="str">
        <f aca="false">IF(A109="N/A"," ",C109*B109)</f>
        <v> </v>
      </c>
      <c r="E109" s="396" t="str">
        <f aca="false">IF(A109="N/A"," ",IF(ISERROR(O109),E97*Pwresc,O109)*VLOOKUP(MONTH(A109),Curveadj,3))</f>
        <v> </v>
      </c>
      <c r="F109" s="398" t="str">
        <f aca="false">IF(A109="N/A"," ",E109*C109)</f>
        <v> </v>
      </c>
      <c r="G109" s="396" t="str">
        <f aca="false">IF(A109="N/A"," ",IF(ISERROR(P109),G97*Pwresc,P109)*VLOOKUP(MONTH(A109),Curveadj,3))</f>
        <v> </v>
      </c>
      <c r="H109" s="398" t="str">
        <f aca="false">IF(A109="N/A"," ",G109*C109)</f>
        <v> </v>
      </c>
      <c r="I109" s="398" t="str">
        <f aca="false">IF(A109="N/A"," ",IF(ISERROR(Q109),I97*Pwresc,Q109))</f>
        <v> </v>
      </c>
      <c r="J109" s="398"/>
      <c r="K109" s="399"/>
      <c r="L109" s="399"/>
      <c r="M109" s="404"/>
      <c r="N109" s="401" t="str">
        <f aca="false">IF(A109="N/A"," ",VLOOKUP(A109,PeakPowerCurves,(IF(BMO4=2,3,IF(BMO4=1,2,4))),FALSE()))</f>
        <v> </v>
      </c>
      <c r="O109" s="401" t="str">
        <f aca="false">IF(A109="N/A"," ",VLOOKUP(A109,SatSunPeakPwr,(IF(BMO4=2,3,IF(BMO4=1,2,4))),FALSE()))</f>
        <v> </v>
      </c>
      <c r="P109" s="401" t="str">
        <f aca="false">IF(A109="N/A"," ",VLOOKUP(A109,SatSunPeakPwr,(IF(BMO4=2,7,IF(BMO4=1,6,8))),FALSE()))</f>
        <v> </v>
      </c>
      <c r="Q109" s="402" t="str">
        <f aca="false">IF(A109="N/A"," ",(VLOOKUP(A109,OPPowerPrices,(IF(BMO4=2,7,IF(BMO4=1,6,8))),FALSE())))</f>
        <v> </v>
      </c>
      <c r="R109" s="403" t="str">
        <f aca="false">IF(A109="N/A"," ",(VLOOKUP($A109,IRTable,2)))</f>
        <v> </v>
      </c>
      <c r="AF109" s="352" t="n">
        <v>39753</v>
      </c>
      <c r="AG109" s="311" t="n">
        <v>19</v>
      </c>
      <c r="AH109" s="311" t="n">
        <v>5</v>
      </c>
      <c r="AI109" s="311" t="n">
        <v>6</v>
      </c>
      <c r="AJ109" s="311" t="n">
        <v>1</v>
      </c>
      <c r="AK109" s="311" t="n">
        <v>30</v>
      </c>
      <c r="AU109" s="406"/>
    </row>
    <row r="110" customFormat="false" ht="12.75" hidden="false" customHeight="false" outlineLevel="0" collapsed="false">
      <c r="A110" s="352" t="str">
        <f aca="false">Option4!A77</f>
        <v>N/A</v>
      </c>
      <c r="B110" s="396" t="str">
        <f aca="false">IF(A110="N/A"," ",IF(ISERROR(N110),B98*Pwresc,N110)*VLOOKUP(MONTH(A110),Curveadj,3))</f>
        <v> </v>
      </c>
      <c r="C110" s="397" t="str">
        <f aca="false">IF(A110="N/A"," ",(IF(AND(Scaler4=1,MONTH(A110)&gt;=6,MONTH(A110)&lt;=8,OR($M$37="REGION 2",$M$37="REGION 2A",$M$37="REGION 2B",$M$37="REGION 3",$M$37="REGION 3A",$M$37="REGION 3B",$M$37="REGION 3C",$M$37="REGION 4",$M$37="REGION 4B",$M$37="REGION 4C",$M$37="REGION 5",$M$37="REGION 5A")),((0.059228/(B110/100))-(0.4980013/(SQRT(B110/100)))+2.137988),HLOOKUP(MONTH(A110),ScalarTable,28))))</f>
        <v> </v>
      </c>
      <c r="D110" s="398" t="str">
        <f aca="false">IF(A110="N/A"," ",C110*B110)</f>
        <v> </v>
      </c>
      <c r="E110" s="396" t="str">
        <f aca="false">IF(A110="N/A"," ",IF(ISERROR(O110),E98*Pwresc,O110)*VLOOKUP(MONTH(A110),Curveadj,3))</f>
        <v> </v>
      </c>
      <c r="F110" s="398" t="str">
        <f aca="false">IF(A110="N/A"," ",E110*C110)</f>
        <v> </v>
      </c>
      <c r="G110" s="396" t="str">
        <f aca="false">IF(A110="N/A"," ",IF(ISERROR(P110),G98*Pwresc,P110)*VLOOKUP(MONTH(A110),Curveadj,3))</f>
        <v> </v>
      </c>
      <c r="H110" s="398" t="str">
        <f aca="false">IF(A110="N/A"," ",G110*C110)</f>
        <v> </v>
      </c>
      <c r="I110" s="398" t="str">
        <f aca="false">IF(A110="N/A"," ",IF(ISERROR(Q110),I98*Pwresc,Q110))</f>
        <v> </v>
      </c>
      <c r="J110" s="398"/>
      <c r="K110" s="399"/>
      <c r="L110" s="399"/>
      <c r="M110" s="404"/>
      <c r="N110" s="401" t="str">
        <f aca="false">IF(A110="N/A"," ",VLOOKUP(A110,PeakPowerCurves,(IF(BMO4=2,3,IF(BMO4=1,2,4))),FALSE()))</f>
        <v> </v>
      </c>
      <c r="O110" s="401" t="str">
        <f aca="false">IF(A110="N/A"," ",VLOOKUP(A110,SatSunPeakPwr,(IF(BMO4=2,3,IF(BMO4=1,2,4))),FALSE()))</f>
        <v> </v>
      </c>
      <c r="P110" s="401" t="str">
        <f aca="false">IF(A110="N/A"," ",VLOOKUP(A110,SatSunPeakPwr,(IF(BMO4=2,7,IF(BMO4=1,6,8))),FALSE()))</f>
        <v> </v>
      </c>
      <c r="Q110" s="402" t="str">
        <f aca="false">IF(A110="N/A"," ",(VLOOKUP(A110,OPPowerPrices,(IF(BMO4=2,7,IF(BMO4=1,6,8))),FALSE())))</f>
        <v> </v>
      </c>
      <c r="R110" s="403" t="str">
        <f aca="false">IF(A110="N/A"," ",(VLOOKUP($A110,IRTable,2)))</f>
        <v> </v>
      </c>
      <c r="AF110" s="352" t="n">
        <v>39783</v>
      </c>
      <c r="AG110" s="311" t="n">
        <v>22</v>
      </c>
      <c r="AH110" s="311" t="n">
        <v>4</v>
      </c>
      <c r="AI110" s="311" t="n">
        <v>5</v>
      </c>
      <c r="AJ110" s="311" t="n">
        <v>1</v>
      </c>
      <c r="AK110" s="311" t="n">
        <v>31</v>
      </c>
      <c r="AU110" s="406"/>
    </row>
    <row r="111" customFormat="false" ht="12.75" hidden="false" customHeight="false" outlineLevel="0" collapsed="false">
      <c r="A111" s="352" t="str">
        <f aca="false">Option4!A78</f>
        <v>N/A</v>
      </c>
      <c r="B111" s="396" t="str">
        <f aca="false">IF(A111="N/A"," ",IF(ISERROR(N111),B99*Pwresc,N111)*VLOOKUP(MONTH(A111),Curveadj,3))</f>
        <v> </v>
      </c>
      <c r="C111" s="397" t="str">
        <f aca="false">IF(A111="N/A"," ",(IF(AND(Scaler4=1,MONTH(A111)&gt;=6,MONTH(A111)&lt;=8,OR($M$37="REGION 2",$M$37="REGION 2A",$M$37="REGION 2B",$M$37="REGION 3",$M$37="REGION 3A",$M$37="REGION 3B",$M$37="REGION 3C",$M$37="REGION 4",$M$37="REGION 4B",$M$37="REGION 4C",$M$37="REGION 5",$M$37="REGION 5A")),((0.059228/(B111/100))-(0.4980013/(SQRT(B111/100)))+2.137988),HLOOKUP(MONTH(A111),ScalarTable,28))))</f>
        <v> </v>
      </c>
      <c r="D111" s="398" t="str">
        <f aca="false">IF(A111="N/A"," ",C111*B111)</f>
        <v> </v>
      </c>
      <c r="E111" s="396" t="str">
        <f aca="false">IF(A111="N/A"," ",IF(ISERROR(O111),E99*Pwresc,O111)*VLOOKUP(MONTH(A111),Curveadj,3))</f>
        <v> </v>
      </c>
      <c r="F111" s="398" t="str">
        <f aca="false">IF(A111="N/A"," ",E111*C111)</f>
        <v> </v>
      </c>
      <c r="G111" s="396" t="str">
        <f aca="false">IF(A111="N/A"," ",IF(ISERROR(P111),G99*Pwresc,P111)*VLOOKUP(MONTH(A111),Curveadj,3))</f>
        <v> </v>
      </c>
      <c r="H111" s="398" t="str">
        <f aca="false">IF(A111="N/A"," ",G111*C111)</f>
        <v> </v>
      </c>
      <c r="I111" s="398" t="str">
        <f aca="false">IF(A111="N/A"," ",IF(ISERROR(Q111),I99*Pwresc,Q111))</f>
        <v> </v>
      </c>
      <c r="J111" s="398"/>
      <c r="K111" s="399"/>
      <c r="L111" s="399"/>
      <c r="M111" s="404"/>
      <c r="N111" s="401" t="str">
        <f aca="false">IF(A111="N/A"," ",VLOOKUP(A111,PeakPowerCurves,(IF(BMO4=2,3,IF(BMO4=1,2,4))),FALSE()))</f>
        <v> </v>
      </c>
      <c r="O111" s="401" t="str">
        <f aca="false">IF(A111="N/A"," ",VLOOKUP(A111,SatSunPeakPwr,(IF(BMO4=2,3,IF(BMO4=1,2,4))),FALSE()))</f>
        <v> </v>
      </c>
      <c r="P111" s="401" t="str">
        <f aca="false">IF(A111="N/A"," ",VLOOKUP(A111,SatSunPeakPwr,(IF(BMO4=2,7,IF(BMO4=1,6,8))),FALSE()))</f>
        <v> </v>
      </c>
      <c r="Q111" s="402" t="str">
        <f aca="false">IF(A111="N/A"," ",(VLOOKUP(A111,OPPowerPrices,(IF(BMO4=2,7,IF(BMO4=1,6,8))),FALSE())))</f>
        <v> </v>
      </c>
      <c r="R111" s="403" t="str">
        <f aca="false">IF(A111="N/A"," ",(VLOOKUP($A111,IRTable,2)))</f>
        <v> </v>
      </c>
      <c r="AF111" s="352" t="n">
        <v>39814</v>
      </c>
      <c r="AG111" s="311" t="n">
        <v>21</v>
      </c>
      <c r="AH111" s="311" t="n">
        <v>5</v>
      </c>
      <c r="AI111" s="311" t="n">
        <v>5</v>
      </c>
      <c r="AJ111" s="311" t="n">
        <v>1</v>
      </c>
      <c r="AK111" s="311" t="n">
        <v>31</v>
      </c>
      <c r="AU111" s="406"/>
    </row>
    <row r="112" customFormat="false" ht="12.75" hidden="false" customHeight="false" outlineLevel="0" collapsed="false">
      <c r="A112" s="352" t="str">
        <f aca="false">Option4!A79</f>
        <v>N/A</v>
      </c>
      <c r="B112" s="396" t="str">
        <f aca="false">IF(A112="N/A"," ",IF(ISERROR(N112),B100*Pwresc,N112)*VLOOKUP(MONTH(A112),Curveadj,3))</f>
        <v> </v>
      </c>
      <c r="C112" s="397" t="str">
        <f aca="false">IF(A112="N/A"," ",(IF(AND(Scaler4=1,MONTH(A112)&gt;=6,MONTH(A112)&lt;=8,OR($M$37="REGION 2",$M$37="REGION 2A",$M$37="REGION 2B",$M$37="REGION 3",$M$37="REGION 3A",$M$37="REGION 3B",$M$37="REGION 3C",$M$37="REGION 4",$M$37="REGION 4B",$M$37="REGION 4C",$M$37="REGION 5",$M$37="REGION 5A")),((0.059228/(B112/100))-(0.4980013/(SQRT(B112/100)))+2.137988),HLOOKUP(MONTH(A112),ScalarTable,28))))</f>
        <v> </v>
      </c>
      <c r="D112" s="398" t="str">
        <f aca="false">IF(A112="N/A"," ",C112*B112)</f>
        <v> </v>
      </c>
      <c r="E112" s="396" t="str">
        <f aca="false">IF(A112="N/A"," ",IF(ISERROR(O112),E100*Pwresc,O112)*VLOOKUP(MONTH(A112),Curveadj,3))</f>
        <v> </v>
      </c>
      <c r="F112" s="398" t="str">
        <f aca="false">IF(A112="N/A"," ",E112*C112)</f>
        <v> </v>
      </c>
      <c r="G112" s="396" t="str">
        <f aca="false">IF(A112="N/A"," ",IF(ISERROR(P112),G100*Pwresc,P112)*VLOOKUP(MONTH(A112),Curveadj,3))</f>
        <v> </v>
      </c>
      <c r="H112" s="398" t="str">
        <f aca="false">IF(A112="N/A"," ",G112*C112)</f>
        <v> </v>
      </c>
      <c r="I112" s="398" t="str">
        <f aca="false">IF(A112="N/A"," ",IF(ISERROR(Q112),I100*Pwresc,Q112))</f>
        <v> </v>
      </c>
      <c r="J112" s="398"/>
      <c r="K112" s="399"/>
      <c r="L112" s="399"/>
      <c r="M112" s="404"/>
      <c r="N112" s="401" t="str">
        <f aca="false">IF(A112="N/A"," ",VLOOKUP(A112,PeakPowerCurves,(IF(BMO4=2,3,IF(BMO4=1,2,4))),FALSE()))</f>
        <v> </v>
      </c>
      <c r="O112" s="401" t="str">
        <f aca="false">IF(A112="N/A"," ",VLOOKUP(A112,SatSunPeakPwr,(IF(BMO4=2,3,IF(BMO4=1,2,4))),FALSE()))</f>
        <v> </v>
      </c>
      <c r="P112" s="401" t="str">
        <f aca="false">IF(A112="N/A"," ",VLOOKUP(A112,SatSunPeakPwr,(IF(BMO4=2,7,IF(BMO4=1,6,8))),FALSE()))</f>
        <v> </v>
      </c>
      <c r="Q112" s="402" t="str">
        <f aca="false">IF(A112="N/A"," ",(VLOOKUP(A112,OPPowerPrices,(IF(BMO4=2,7,IF(BMO4=1,6,8))),FALSE())))</f>
        <v> </v>
      </c>
      <c r="R112" s="403" t="str">
        <f aca="false">IF(A112="N/A"," ",(VLOOKUP($A112,IRTable,2)))</f>
        <v> </v>
      </c>
      <c r="AF112" s="352" t="n">
        <v>39845</v>
      </c>
      <c r="AG112" s="311" t="n">
        <v>20</v>
      </c>
      <c r="AH112" s="311" t="n">
        <v>4</v>
      </c>
      <c r="AI112" s="311" t="n">
        <v>4</v>
      </c>
      <c r="AJ112" s="311" t="n">
        <v>0</v>
      </c>
      <c r="AK112" s="311" t="n">
        <v>28</v>
      </c>
      <c r="AU112" s="406"/>
    </row>
    <row r="113" customFormat="false" ht="12.75" hidden="false" customHeight="false" outlineLevel="0" collapsed="false">
      <c r="A113" s="352" t="str">
        <f aca="false">Option4!A80</f>
        <v>N/A</v>
      </c>
      <c r="B113" s="396" t="str">
        <f aca="false">IF(A113="N/A"," ",IF(ISERROR(N113),B101*Pwresc,N113)*VLOOKUP(MONTH(A113),Curveadj,3))</f>
        <v> </v>
      </c>
      <c r="C113" s="397" t="str">
        <f aca="false">IF(A113="N/A"," ",(IF(AND(Scaler4=1,MONTH(A113)&gt;=6,MONTH(A113)&lt;=8,OR($M$37="REGION 2",$M$37="REGION 2A",$M$37="REGION 2B",$M$37="REGION 3",$M$37="REGION 3A",$M$37="REGION 3B",$M$37="REGION 3C",$M$37="REGION 4",$M$37="REGION 4B",$M$37="REGION 4C",$M$37="REGION 5",$M$37="REGION 5A")),((0.059228/(B113/100))-(0.4980013/(SQRT(B113/100)))+2.137988),HLOOKUP(MONTH(A113),ScalarTable,28))))</f>
        <v> </v>
      </c>
      <c r="D113" s="398" t="str">
        <f aca="false">IF(A113="N/A"," ",C113*B113)</f>
        <v> </v>
      </c>
      <c r="E113" s="396" t="str">
        <f aca="false">IF(A113="N/A"," ",IF(ISERROR(O113),E101*Pwresc,O113)*VLOOKUP(MONTH(A113),Curveadj,3))</f>
        <v> </v>
      </c>
      <c r="F113" s="398" t="str">
        <f aca="false">IF(A113="N/A"," ",E113*C113)</f>
        <v> </v>
      </c>
      <c r="G113" s="396" t="str">
        <f aca="false">IF(A113="N/A"," ",IF(ISERROR(P113),G101*Pwresc,P113)*VLOOKUP(MONTH(A113),Curveadj,3))</f>
        <v> </v>
      </c>
      <c r="H113" s="398" t="str">
        <f aca="false">IF(A113="N/A"," ",G113*C113)</f>
        <v> </v>
      </c>
      <c r="I113" s="398" t="str">
        <f aca="false">IF(A113="N/A"," ",IF(ISERROR(Q113),I101*Pwresc,Q113))</f>
        <v> </v>
      </c>
      <c r="J113" s="398"/>
      <c r="K113" s="399"/>
      <c r="L113" s="399"/>
      <c r="M113" s="404"/>
      <c r="N113" s="401" t="str">
        <f aca="false">IF(A113="N/A"," ",VLOOKUP(A113,PeakPowerCurves,(IF(BMO4=2,3,IF(BMO4=1,2,4))),FALSE()))</f>
        <v> </v>
      </c>
      <c r="O113" s="401" t="str">
        <f aca="false">IF(A113="N/A"," ",VLOOKUP(A113,SatSunPeakPwr,(IF(BMO4=2,3,IF(BMO4=1,2,4))),FALSE()))</f>
        <v> </v>
      </c>
      <c r="P113" s="401" t="str">
        <f aca="false">IF(A113="N/A"," ",VLOOKUP(A113,SatSunPeakPwr,(IF(BMO4=2,7,IF(BMO4=1,6,8))),FALSE()))</f>
        <v> </v>
      </c>
      <c r="Q113" s="402" t="str">
        <f aca="false">IF(A113="N/A"," ",(VLOOKUP(A113,OPPowerPrices,(IF(BMO4=2,7,IF(BMO4=1,6,8))),FALSE())))</f>
        <v> </v>
      </c>
      <c r="R113" s="403" t="str">
        <f aca="false">IF(A113="N/A"," ",(VLOOKUP($A113,IRTable,2)))</f>
        <v> </v>
      </c>
      <c r="AF113" s="352" t="n">
        <v>39873</v>
      </c>
      <c r="AG113" s="311" t="n">
        <v>22</v>
      </c>
      <c r="AH113" s="311" t="n">
        <v>4</v>
      </c>
      <c r="AI113" s="311" t="n">
        <v>5</v>
      </c>
      <c r="AJ113" s="311" t="n">
        <v>0</v>
      </c>
      <c r="AK113" s="311" t="n">
        <v>31</v>
      </c>
      <c r="AU113" s="406"/>
    </row>
    <row r="114" customFormat="false" ht="12.75" hidden="false" customHeight="false" outlineLevel="0" collapsed="false">
      <c r="A114" s="352" t="str">
        <f aca="false">Option4!A81</f>
        <v>N/A</v>
      </c>
      <c r="B114" s="396" t="str">
        <f aca="false">IF(A114="N/A"," ",IF(ISERROR(N114),B102*Pwresc,N114)*VLOOKUP(MONTH(A114),Curveadj,3))</f>
        <v> </v>
      </c>
      <c r="C114" s="397" t="str">
        <f aca="false">IF(A114="N/A"," ",(IF(AND(Scaler4=1,MONTH(A114)&gt;=6,MONTH(A114)&lt;=8,OR($M$37="REGION 2",$M$37="REGION 2A",$M$37="REGION 2B",$M$37="REGION 3",$M$37="REGION 3A",$M$37="REGION 3B",$M$37="REGION 3C",$M$37="REGION 4",$M$37="REGION 4B",$M$37="REGION 4C",$M$37="REGION 5",$M$37="REGION 5A")),((0.059228/(B114/100))-(0.4980013/(SQRT(B114/100)))+2.137988),HLOOKUP(MONTH(A114),ScalarTable,28))))</f>
        <v> </v>
      </c>
      <c r="D114" s="398" t="str">
        <f aca="false">IF(A114="N/A"," ",C114*B114)</f>
        <v> </v>
      </c>
      <c r="E114" s="396" t="str">
        <f aca="false">IF(A114="N/A"," ",IF(ISERROR(O114),E102*Pwresc,O114)*VLOOKUP(MONTH(A114),Curveadj,3))</f>
        <v> </v>
      </c>
      <c r="F114" s="398" t="str">
        <f aca="false">IF(A114="N/A"," ",E114*C114)</f>
        <v> </v>
      </c>
      <c r="G114" s="396" t="str">
        <f aca="false">IF(A114="N/A"," ",IF(ISERROR(P114),G102*Pwresc,P114)*VLOOKUP(MONTH(A114),Curveadj,3))</f>
        <v> </v>
      </c>
      <c r="H114" s="398" t="str">
        <f aca="false">IF(A114="N/A"," ",G114*C114)</f>
        <v> </v>
      </c>
      <c r="I114" s="398" t="str">
        <f aca="false">IF(A114="N/A"," ",IF(ISERROR(Q114),I102*Pwresc,Q114))</f>
        <v> </v>
      </c>
      <c r="J114" s="398"/>
      <c r="K114" s="399"/>
      <c r="L114" s="399"/>
      <c r="M114" s="404"/>
      <c r="N114" s="401" t="str">
        <f aca="false">IF(A114="N/A"," ",VLOOKUP(A114,PeakPowerCurves,(IF(BMO4=2,3,IF(BMO4=1,2,4))),FALSE()))</f>
        <v> </v>
      </c>
      <c r="O114" s="401" t="str">
        <f aca="false">IF(A114="N/A"," ",VLOOKUP(A114,SatSunPeakPwr,(IF(BMO4=2,3,IF(BMO4=1,2,4))),FALSE()))</f>
        <v> </v>
      </c>
      <c r="P114" s="401" t="str">
        <f aca="false">IF(A114="N/A"," ",VLOOKUP(A114,SatSunPeakPwr,(IF(BMO4=2,7,IF(BMO4=1,6,8))),FALSE()))</f>
        <v> </v>
      </c>
      <c r="Q114" s="402" t="str">
        <f aca="false">IF(A114="N/A"," ",(VLOOKUP(A114,OPPowerPrices,(IF(BMO4=2,7,IF(BMO4=1,6,8))),FALSE())))</f>
        <v> </v>
      </c>
      <c r="R114" s="403" t="str">
        <f aca="false">IF(A114="N/A"," ",(VLOOKUP($A114,IRTable,2)))</f>
        <v> </v>
      </c>
      <c r="AF114" s="352" t="n">
        <v>39904</v>
      </c>
      <c r="AG114" s="311" t="n">
        <v>22</v>
      </c>
      <c r="AH114" s="311" t="n">
        <v>4</v>
      </c>
      <c r="AI114" s="311" t="n">
        <v>4</v>
      </c>
      <c r="AJ114" s="311" t="n">
        <v>0</v>
      </c>
      <c r="AK114" s="311" t="n">
        <v>30</v>
      </c>
      <c r="AU114" s="406"/>
    </row>
    <row r="115" customFormat="false" ht="12.75" hidden="false" customHeight="false" outlineLevel="0" collapsed="false">
      <c r="A115" s="352" t="str">
        <f aca="false">Option4!A82</f>
        <v>N/A</v>
      </c>
      <c r="B115" s="396" t="str">
        <f aca="false">IF(A115="N/A"," ",IF(ISERROR(N115),B103*Pwresc,N115)*VLOOKUP(MONTH(A115),Curveadj,3))</f>
        <v> </v>
      </c>
      <c r="C115" s="397" t="str">
        <f aca="false">IF(A115="N/A"," ",(IF(AND(Scaler4=1,MONTH(A115)&gt;=6,MONTH(A115)&lt;=8,OR($M$37="REGION 2",$M$37="REGION 2A",$M$37="REGION 2B",$M$37="REGION 3",$M$37="REGION 3A",$M$37="REGION 3B",$M$37="REGION 3C",$M$37="REGION 4",$M$37="REGION 4B",$M$37="REGION 4C",$M$37="REGION 5",$M$37="REGION 5A")),((0.059228/(B115/100))-(0.4980013/(SQRT(B115/100)))+2.137988),HLOOKUP(MONTH(A115),ScalarTable,28))))</f>
        <v> </v>
      </c>
      <c r="D115" s="398" t="str">
        <f aca="false">IF(A115="N/A"," ",C115*B115)</f>
        <v> </v>
      </c>
      <c r="E115" s="396" t="str">
        <f aca="false">IF(A115="N/A"," ",IF(ISERROR(O115),E103*Pwresc,O115)*VLOOKUP(MONTH(A115),Curveadj,3))</f>
        <v> </v>
      </c>
      <c r="F115" s="398" t="str">
        <f aca="false">IF(A115="N/A"," ",E115*C115)</f>
        <v> </v>
      </c>
      <c r="G115" s="396" t="str">
        <f aca="false">IF(A115="N/A"," ",IF(ISERROR(P115),G103*Pwresc,P115)*VLOOKUP(MONTH(A115),Curveadj,3))</f>
        <v> </v>
      </c>
      <c r="H115" s="398" t="str">
        <f aca="false">IF(A115="N/A"," ",G115*C115)</f>
        <v> </v>
      </c>
      <c r="I115" s="398" t="str">
        <f aca="false">IF(A115="N/A"," ",IF(ISERROR(Q115),I103*Pwresc,Q115))</f>
        <v> </v>
      </c>
      <c r="J115" s="398"/>
      <c r="K115" s="399"/>
      <c r="L115" s="399"/>
      <c r="M115" s="404"/>
      <c r="N115" s="401" t="str">
        <f aca="false">IF(A115="N/A"," ",VLOOKUP(A115,PeakPowerCurves,(IF(BMO4=2,3,IF(BMO4=1,2,4))),FALSE()))</f>
        <v> </v>
      </c>
      <c r="O115" s="401" t="str">
        <f aca="false">IF(A115="N/A"," ",VLOOKUP(A115,SatSunPeakPwr,(IF(BMO4=2,3,IF(BMO4=1,2,4))),FALSE()))</f>
        <v> </v>
      </c>
      <c r="P115" s="401" t="str">
        <f aca="false">IF(A115="N/A"," ",VLOOKUP(A115,SatSunPeakPwr,(IF(BMO4=2,7,IF(BMO4=1,6,8))),FALSE()))</f>
        <v> </v>
      </c>
      <c r="Q115" s="402" t="str">
        <f aca="false">IF(A115="N/A"," ",(VLOOKUP(A115,OPPowerPrices,(IF(BMO4=2,7,IF(BMO4=1,6,8))),FALSE())))</f>
        <v> </v>
      </c>
      <c r="R115" s="403" t="str">
        <f aca="false">IF(A115="N/A"," ",(VLOOKUP($A115,IRTable,2)))</f>
        <v> </v>
      </c>
      <c r="AF115" s="352" t="n">
        <v>39934</v>
      </c>
      <c r="AG115" s="311" t="n">
        <v>20</v>
      </c>
      <c r="AH115" s="311" t="n">
        <v>5</v>
      </c>
      <c r="AI115" s="311" t="n">
        <v>6</v>
      </c>
      <c r="AJ115" s="311" t="n">
        <v>1</v>
      </c>
      <c r="AK115" s="311" t="n">
        <v>31</v>
      </c>
      <c r="AU115" s="406"/>
    </row>
    <row r="116" customFormat="false" ht="12.75" hidden="false" customHeight="false" outlineLevel="0" collapsed="false">
      <c r="A116" s="352" t="str">
        <f aca="false">Option4!A83</f>
        <v>N/A</v>
      </c>
      <c r="B116" s="396" t="str">
        <f aca="false">IF(A116="N/A"," ",IF(ISERROR(N116),B104*Pwresc,N116)*VLOOKUP(MONTH(A116),Curveadj,3))</f>
        <v> </v>
      </c>
      <c r="C116" s="397" t="str">
        <f aca="false">IF(A116="N/A"," ",(IF(AND(Scaler4=1,MONTH(A116)&gt;=6,MONTH(A116)&lt;=8,OR($M$37="REGION 2",$M$37="REGION 2A",$M$37="REGION 2B",$M$37="REGION 3",$M$37="REGION 3A",$M$37="REGION 3B",$M$37="REGION 3C",$M$37="REGION 4",$M$37="REGION 4B",$M$37="REGION 4C",$M$37="REGION 5",$M$37="REGION 5A")),((0.059228/(B116/100))-(0.4980013/(SQRT(B116/100)))+2.137988),HLOOKUP(MONTH(A116),ScalarTable,28))))</f>
        <v> </v>
      </c>
      <c r="D116" s="398" t="str">
        <f aca="false">IF(A116="N/A"," ",C116*B116)</f>
        <v> </v>
      </c>
      <c r="E116" s="396" t="str">
        <f aca="false">IF(A116="N/A"," ",IF(ISERROR(O116),E104*Pwresc,O116)*VLOOKUP(MONTH(A116),Curveadj,3))</f>
        <v> </v>
      </c>
      <c r="F116" s="398" t="str">
        <f aca="false">IF(A116="N/A"," ",E116*C116)</f>
        <v> </v>
      </c>
      <c r="G116" s="396" t="str">
        <f aca="false">IF(A116="N/A"," ",IF(ISERROR(P116),G104*Pwresc,P116)*VLOOKUP(MONTH(A116),Curveadj,3))</f>
        <v> </v>
      </c>
      <c r="H116" s="398" t="str">
        <f aca="false">IF(A116="N/A"," ",G116*C116)</f>
        <v> </v>
      </c>
      <c r="I116" s="398" t="str">
        <f aca="false">IF(A116="N/A"," ",IF(ISERROR(Q116),I104*Pwresc,Q116))</f>
        <v> </v>
      </c>
      <c r="J116" s="398"/>
      <c r="K116" s="399"/>
      <c r="L116" s="399"/>
      <c r="M116" s="404"/>
      <c r="N116" s="401" t="str">
        <f aca="false">IF(A116="N/A"," ",VLOOKUP(A116,PeakPowerCurves,(IF(BMO4=2,3,IF(BMO4=1,2,4))),FALSE()))</f>
        <v> </v>
      </c>
      <c r="O116" s="401" t="str">
        <f aca="false">IF(A116="N/A"," ",VLOOKUP(A116,SatSunPeakPwr,(IF(BMO4=2,3,IF(BMO4=1,2,4))),FALSE()))</f>
        <v> </v>
      </c>
      <c r="P116" s="401" t="str">
        <f aca="false">IF(A116="N/A"," ",VLOOKUP(A116,SatSunPeakPwr,(IF(BMO4=2,7,IF(BMO4=1,6,8))),FALSE()))</f>
        <v> </v>
      </c>
      <c r="Q116" s="402" t="str">
        <f aca="false">IF(A116="N/A"," ",(VLOOKUP(A116,OPPowerPrices,(IF(BMO4=2,7,IF(BMO4=1,6,8))),FALSE())))</f>
        <v> </v>
      </c>
      <c r="R116" s="403" t="str">
        <f aca="false">IF(A116="N/A"," ",(VLOOKUP($A116,IRTable,2)))</f>
        <v> </v>
      </c>
      <c r="AF116" s="352" t="n">
        <v>39965</v>
      </c>
      <c r="AG116" s="311" t="n">
        <v>22</v>
      </c>
      <c r="AH116" s="311" t="n">
        <v>4</v>
      </c>
      <c r="AI116" s="311" t="n">
        <v>4</v>
      </c>
      <c r="AJ116" s="311" t="n">
        <v>0</v>
      </c>
      <c r="AK116" s="311" t="n">
        <v>30</v>
      </c>
      <c r="AU116" s="406"/>
    </row>
    <row r="117" customFormat="false" ht="12.75" hidden="false" customHeight="false" outlineLevel="0" collapsed="false">
      <c r="A117" s="352" t="str">
        <f aca="false">Option4!A84</f>
        <v>N/A</v>
      </c>
      <c r="B117" s="396" t="str">
        <f aca="false">IF(A117="N/A"," ",IF(ISERROR(N117),B105*Pwresc,N117)*VLOOKUP(MONTH(A117),Curveadj,3))</f>
        <v> </v>
      </c>
      <c r="C117" s="397" t="str">
        <f aca="false">IF(A117="N/A"," ",(IF(AND(Scaler4=1,MONTH(A117)&gt;=6,MONTH(A117)&lt;=8,OR($M$37="REGION 2",$M$37="REGION 2A",$M$37="REGION 2B",$M$37="REGION 3",$M$37="REGION 3A",$M$37="REGION 3B",$M$37="REGION 3C",$M$37="REGION 4",$M$37="REGION 4B",$M$37="REGION 4C",$M$37="REGION 5",$M$37="REGION 5A")),((0.059228/(B117/100))-(0.4980013/(SQRT(B117/100)))+2.137988),HLOOKUP(MONTH(A117),ScalarTable,28))))</f>
        <v> </v>
      </c>
      <c r="D117" s="398" t="str">
        <f aca="false">IF(A117="N/A"," ",C117*B117)</f>
        <v> </v>
      </c>
      <c r="E117" s="396" t="str">
        <f aca="false">IF(A117="N/A"," ",IF(ISERROR(O117),E105*Pwresc,O117)*VLOOKUP(MONTH(A117),Curveadj,3))</f>
        <v> </v>
      </c>
      <c r="F117" s="398" t="str">
        <f aca="false">IF(A117="N/A"," ",E117*C117)</f>
        <v> </v>
      </c>
      <c r="G117" s="396" t="str">
        <f aca="false">IF(A117="N/A"," ",IF(ISERROR(P117),G105*Pwresc,P117)*VLOOKUP(MONTH(A117),Curveadj,3))</f>
        <v> </v>
      </c>
      <c r="H117" s="398" t="str">
        <f aca="false">IF(A117="N/A"," ",G117*C117)</f>
        <v> </v>
      </c>
      <c r="I117" s="398" t="str">
        <f aca="false">IF(A117="N/A"," ",IF(ISERROR(Q117),I105*Pwresc,Q117))</f>
        <v> </v>
      </c>
      <c r="J117" s="398"/>
      <c r="K117" s="399"/>
      <c r="L117" s="399"/>
      <c r="M117" s="404"/>
      <c r="N117" s="401" t="str">
        <f aca="false">IF(A117="N/A"," ",VLOOKUP(A117,PeakPowerCurves,(IF(BMO4=2,3,IF(BMO4=1,2,4))),FALSE()))</f>
        <v> </v>
      </c>
      <c r="O117" s="401" t="str">
        <f aca="false">IF(A117="N/A"," ",VLOOKUP(A117,SatSunPeakPwr,(IF(BMO4=2,3,IF(BMO4=1,2,4))),FALSE()))</f>
        <v> </v>
      </c>
      <c r="P117" s="401" t="str">
        <f aca="false">IF(A117="N/A"," ",VLOOKUP(A117,SatSunPeakPwr,(IF(BMO4=2,7,IF(BMO4=1,6,8))),FALSE()))</f>
        <v> </v>
      </c>
      <c r="Q117" s="402" t="str">
        <f aca="false">IF(A117="N/A"," ",(VLOOKUP(A117,OPPowerPrices,(IF(BMO4=2,7,IF(BMO4=1,6,8))),FALSE())))</f>
        <v> </v>
      </c>
      <c r="R117" s="403" t="str">
        <f aca="false">IF(A117="N/A"," ",(VLOOKUP($A117,IRTable,2)))</f>
        <v> </v>
      </c>
      <c r="AF117" s="352" t="n">
        <v>39995</v>
      </c>
      <c r="AG117" s="311" t="n">
        <v>23</v>
      </c>
      <c r="AH117" s="311" t="n">
        <v>3</v>
      </c>
      <c r="AI117" s="311" t="n">
        <v>5</v>
      </c>
      <c r="AJ117" s="311" t="n">
        <v>1</v>
      </c>
      <c r="AK117" s="311" t="n">
        <v>31</v>
      </c>
      <c r="AU117" s="406"/>
    </row>
    <row r="118" customFormat="false" ht="12.75" hidden="false" customHeight="false" outlineLevel="0" collapsed="false">
      <c r="A118" s="352" t="str">
        <f aca="false">Option4!A85</f>
        <v>N/A</v>
      </c>
      <c r="B118" s="396" t="str">
        <f aca="false">IF(A118="N/A"," ",IF(ISERROR(N118),B106*Pwresc,N118)*VLOOKUP(MONTH(A118),Curveadj,3))</f>
        <v> </v>
      </c>
      <c r="C118" s="397" t="str">
        <f aca="false">IF(A118="N/A"," ",(IF(AND(Scaler4=1,MONTH(A118)&gt;=6,MONTH(A118)&lt;=8,OR($M$37="REGION 2",$M$37="REGION 2A",$M$37="REGION 2B",$M$37="REGION 3",$M$37="REGION 3A",$M$37="REGION 3B",$M$37="REGION 3C",$M$37="REGION 4",$M$37="REGION 4B",$M$37="REGION 4C",$M$37="REGION 5",$M$37="REGION 5A")),((0.059228/(B118/100))-(0.4980013/(SQRT(B118/100)))+2.137988),HLOOKUP(MONTH(A118),ScalarTable,28))))</f>
        <v> </v>
      </c>
      <c r="D118" s="398" t="str">
        <f aca="false">IF(A118="N/A"," ",C118*B118)</f>
        <v> </v>
      </c>
      <c r="E118" s="396" t="str">
        <f aca="false">IF(A118="N/A"," ",IF(ISERROR(O118),E106*Pwresc,O118)*VLOOKUP(MONTH(A118),Curveadj,3))</f>
        <v> </v>
      </c>
      <c r="F118" s="398" t="str">
        <f aca="false">IF(A118="N/A"," ",E118*C118)</f>
        <v> </v>
      </c>
      <c r="G118" s="396" t="str">
        <f aca="false">IF(A118="N/A"," ",IF(ISERROR(P118),G106*Pwresc,P118)*VLOOKUP(MONTH(A118),Curveadj,3))</f>
        <v> </v>
      </c>
      <c r="H118" s="398" t="str">
        <f aca="false">IF(A118="N/A"," ",G118*C118)</f>
        <v> </v>
      </c>
      <c r="I118" s="398" t="str">
        <f aca="false">IF(A118="N/A"," ",IF(ISERROR(Q118),I106*Pwresc,Q118))</f>
        <v> </v>
      </c>
      <c r="J118" s="398"/>
      <c r="K118" s="399"/>
      <c r="L118" s="399"/>
      <c r="M118" s="404"/>
      <c r="N118" s="401" t="str">
        <f aca="false">IF(A118="N/A"," ",VLOOKUP(A118,PeakPowerCurves,(IF(BMO4=2,3,IF(BMO4=1,2,4))),FALSE()))</f>
        <v> </v>
      </c>
      <c r="O118" s="401" t="str">
        <f aca="false">IF(A118="N/A"," ",VLOOKUP(A118,SatSunPeakPwr,(IF(BMO4=2,3,IF(BMO4=1,2,4))),FALSE()))</f>
        <v> </v>
      </c>
      <c r="P118" s="401" t="str">
        <f aca="false">IF(A118="N/A"," ",VLOOKUP(A118,SatSunPeakPwr,(IF(BMO4=2,7,IF(BMO4=1,6,8))),FALSE()))</f>
        <v> </v>
      </c>
      <c r="Q118" s="402" t="str">
        <f aca="false">IF(A118="N/A"," ",(VLOOKUP(A118,OPPowerPrices,(IF(BMO4=2,7,IF(BMO4=1,6,8))),FALSE())))</f>
        <v> </v>
      </c>
      <c r="R118" s="403" t="str">
        <f aca="false">IF(A118="N/A"," ",(VLOOKUP($A118,IRTable,2)))</f>
        <v> </v>
      </c>
      <c r="AF118" s="352" t="n">
        <v>40026</v>
      </c>
      <c r="AG118" s="311" t="n">
        <v>21</v>
      </c>
      <c r="AH118" s="311" t="n">
        <v>5</v>
      </c>
      <c r="AI118" s="311" t="n">
        <v>5</v>
      </c>
      <c r="AJ118" s="311" t="n">
        <v>0</v>
      </c>
      <c r="AK118" s="311" t="n">
        <v>31</v>
      </c>
      <c r="AU118" s="406"/>
    </row>
    <row r="119" customFormat="false" ht="12.75" hidden="false" customHeight="false" outlineLevel="0" collapsed="false">
      <c r="A119" s="352" t="str">
        <f aca="false">Option4!A86</f>
        <v>N/A</v>
      </c>
      <c r="B119" s="396" t="str">
        <f aca="false">IF(A119="N/A"," ",IF(ISERROR(N119),B107*Pwresc,N119)*VLOOKUP(MONTH(A119),Curveadj,3))</f>
        <v> </v>
      </c>
      <c r="C119" s="397" t="str">
        <f aca="false">IF(A119="N/A"," ",(IF(AND(Scaler4=1,MONTH(A119)&gt;=6,MONTH(A119)&lt;=8,OR($M$37="REGION 2",$M$37="REGION 2A",$M$37="REGION 2B",$M$37="REGION 3",$M$37="REGION 3A",$M$37="REGION 3B",$M$37="REGION 3C",$M$37="REGION 4",$M$37="REGION 4B",$M$37="REGION 4C",$M$37="REGION 5",$M$37="REGION 5A")),((0.059228/(B119/100))-(0.4980013/(SQRT(B119/100)))+2.137988),HLOOKUP(MONTH(A119),ScalarTable,28))))</f>
        <v> </v>
      </c>
      <c r="D119" s="398" t="str">
        <f aca="false">IF(A119="N/A"," ",C119*B119)</f>
        <v> </v>
      </c>
      <c r="E119" s="396" t="str">
        <f aca="false">IF(A119="N/A"," ",IF(ISERROR(O119),E107*Pwresc,O119)*VLOOKUP(MONTH(A119),Curveadj,3))</f>
        <v> </v>
      </c>
      <c r="F119" s="398" t="str">
        <f aca="false">IF(A119="N/A"," ",E119*C119)</f>
        <v> </v>
      </c>
      <c r="G119" s="396" t="str">
        <f aca="false">IF(A119="N/A"," ",IF(ISERROR(P119),G107*Pwresc,P119)*VLOOKUP(MONTH(A119),Curveadj,3))</f>
        <v> </v>
      </c>
      <c r="H119" s="398" t="str">
        <f aca="false">IF(A119="N/A"," ",G119*C119)</f>
        <v> </v>
      </c>
      <c r="I119" s="398" t="str">
        <f aca="false">IF(A119="N/A"," ",IF(ISERROR(Q119),I107*Pwresc,Q119))</f>
        <v> </v>
      </c>
      <c r="J119" s="398"/>
      <c r="K119" s="399"/>
      <c r="L119" s="399"/>
      <c r="M119" s="404"/>
      <c r="N119" s="401" t="str">
        <f aca="false">IF(A119="N/A"," ",VLOOKUP(A119,PeakPowerCurves,(IF(BMO4=2,3,IF(BMO4=1,2,4))),FALSE()))</f>
        <v> </v>
      </c>
      <c r="O119" s="401" t="str">
        <f aca="false">IF(A119="N/A"," ",VLOOKUP(A119,SatSunPeakPwr,(IF(BMO4=2,3,IF(BMO4=1,2,4))),FALSE()))</f>
        <v> </v>
      </c>
      <c r="P119" s="401" t="str">
        <f aca="false">IF(A119="N/A"," ",VLOOKUP(A119,SatSunPeakPwr,(IF(BMO4=2,7,IF(BMO4=1,6,8))),FALSE()))</f>
        <v> </v>
      </c>
      <c r="Q119" s="402" t="str">
        <f aca="false">IF(A119="N/A"," ",(VLOOKUP(A119,OPPowerPrices,(IF(BMO4=2,7,IF(BMO4=1,6,8))),FALSE())))</f>
        <v> </v>
      </c>
      <c r="R119" s="403" t="str">
        <f aca="false">IF(A119="N/A"," ",(VLOOKUP($A119,IRTable,2)))</f>
        <v> </v>
      </c>
      <c r="AF119" s="352" t="n">
        <v>40057</v>
      </c>
      <c r="AG119" s="311" t="n">
        <v>21</v>
      </c>
      <c r="AH119" s="311" t="n">
        <v>4</v>
      </c>
      <c r="AI119" s="311" t="n">
        <v>5</v>
      </c>
      <c r="AJ119" s="311" t="n">
        <v>1</v>
      </c>
      <c r="AK119" s="311" t="n">
        <v>30</v>
      </c>
      <c r="AU119" s="406"/>
    </row>
    <row r="120" customFormat="false" ht="12.75" hidden="false" customHeight="false" outlineLevel="0" collapsed="false">
      <c r="A120" s="352" t="str">
        <f aca="false">Option4!A87</f>
        <v>N/A</v>
      </c>
      <c r="B120" s="396" t="str">
        <f aca="false">IF(A120="N/A"," ",IF(ISERROR(N120),B108*Pwresc,N120)*VLOOKUP(MONTH(A120),Curveadj,3))</f>
        <v> </v>
      </c>
      <c r="C120" s="397" t="str">
        <f aca="false">IF(A120="N/A"," ",(IF(AND(Scaler4=1,MONTH(A120)&gt;=6,MONTH(A120)&lt;=8,OR($M$37="REGION 2",$M$37="REGION 2A",$M$37="REGION 2B",$M$37="REGION 3",$M$37="REGION 3A",$M$37="REGION 3B",$M$37="REGION 3C",$M$37="REGION 4",$M$37="REGION 4B",$M$37="REGION 4C",$M$37="REGION 5",$M$37="REGION 5A")),((0.059228/(B120/100))-(0.4980013/(SQRT(B120/100)))+2.137988),HLOOKUP(MONTH(A120),ScalarTable,28))))</f>
        <v> </v>
      </c>
      <c r="D120" s="398" t="str">
        <f aca="false">IF(A120="N/A"," ",C120*B120)</f>
        <v> </v>
      </c>
      <c r="E120" s="396" t="str">
        <f aca="false">IF(A120="N/A"," ",IF(ISERROR(O120),E108*Pwresc,O120)*VLOOKUP(MONTH(A120),Curveadj,3))</f>
        <v> </v>
      </c>
      <c r="F120" s="398" t="str">
        <f aca="false">IF(A120="N/A"," ",E120*C120)</f>
        <v> </v>
      </c>
      <c r="G120" s="396" t="str">
        <f aca="false">IF(A120="N/A"," ",IF(ISERROR(P120),G108*Pwresc,P120)*VLOOKUP(MONTH(A120),Curveadj,3))</f>
        <v> </v>
      </c>
      <c r="H120" s="398" t="str">
        <f aca="false">IF(A120="N/A"," ",G120*C120)</f>
        <v> </v>
      </c>
      <c r="I120" s="398" t="str">
        <f aca="false">IF(A120="N/A"," ",IF(ISERROR(Q120),I108*Pwresc,Q120))</f>
        <v> </v>
      </c>
      <c r="J120" s="398"/>
      <c r="K120" s="399"/>
      <c r="L120" s="399"/>
      <c r="M120" s="404"/>
      <c r="N120" s="401" t="str">
        <f aca="false">IF(A120="N/A"," ",VLOOKUP(A120,PeakPowerCurves,(IF(BMO4=2,3,IF(BMO4=1,2,4))),FALSE()))</f>
        <v> </v>
      </c>
      <c r="O120" s="401" t="str">
        <f aca="false">IF(A120="N/A"," ",VLOOKUP(A120,SatSunPeakPwr,(IF(BMO4=2,3,IF(BMO4=1,2,4))),FALSE()))</f>
        <v> </v>
      </c>
      <c r="P120" s="401" t="str">
        <f aca="false">IF(A120="N/A"," ",VLOOKUP(A120,SatSunPeakPwr,(IF(BMO4=2,7,IF(BMO4=1,6,8))),FALSE()))</f>
        <v> </v>
      </c>
      <c r="Q120" s="402" t="str">
        <f aca="false">IF(A120="N/A"," ",(VLOOKUP(A120,OPPowerPrices,(IF(BMO4=2,7,IF(BMO4=1,6,8))),FALSE())))</f>
        <v> </v>
      </c>
      <c r="R120" s="403" t="str">
        <f aca="false">IF(A120="N/A"," ",(VLOOKUP($A120,IRTable,2)))</f>
        <v> </v>
      </c>
      <c r="AF120" s="352" t="n">
        <v>40087</v>
      </c>
      <c r="AG120" s="311" t="n">
        <v>22</v>
      </c>
      <c r="AH120" s="311" t="n">
        <v>5</v>
      </c>
      <c r="AI120" s="311" t="n">
        <v>4</v>
      </c>
      <c r="AJ120" s="311" t="n">
        <v>0</v>
      </c>
      <c r="AK120" s="311" t="n">
        <v>31</v>
      </c>
      <c r="AU120" s="406"/>
    </row>
    <row r="121" customFormat="false" ht="12.75" hidden="false" customHeight="false" outlineLevel="0" collapsed="false">
      <c r="A121" s="352" t="str">
        <f aca="false">Option4!A88</f>
        <v>N/A</v>
      </c>
      <c r="B121" s="396" t="str">
        <f aca="false">IF(A121="N/A"," ",IF(ISERROR(N121),B109*Pwresc,N121)*VLOOKUP(MONTH(A121),Curveadj,3))</f>
        <v> </v>
      </c>
      <c r="C121" s="397" t="str">
        <f aca="false">IF(A121="N/A"," ",(IF(AND(Scaler4=1,MONTH(A121)&gt;=6,MONTH(A121)&lt;=8,OR($M$37="REGION 2",$M$37="REGION 2A",$M$37="REGION 2B",$M$37="REGION 3",$M$37="REGION 3A",$M$37="REGION 3B",$M$37="REGION 3C",$M$37="REGION 4",$M$37="REGION 4B",$M$37="REGION 4C",$M$37="REGION 5",$M$37="REGION 5A")),((0.059228/(B121/100))-(0.4980013/(SQRT(B121/100)))+2.137988),HLOOKUP(MONTH(A121),ScalarTable,28))))</f>
        <v> </v>
      </c>
      <c r="D121" s="398" t="str">
        <f aca="false">IF(A121="N/A"," ",C121*B121)</f>
        <v> </v>
      </c>
      <c r="E121" s="396" t="str">
        <f aca="false">IF(A121="N/A"," ",IF(ISERROR(O121),E109*Pwresc,O121)*VLOOKUP(MONTH(A121),Curveadj,3))</f>
        <v> </v>
      </c>
      <c r="F121" s="398" t="str">
        <f aca="false">IF(A121="N/A"," ",E121*C121)</f>
        <v> </v>
      </c>
      <c r="G121" s="396" t="str">
        <f aca="false">IF(A121="N/A"," ",IF(ISERROR(P121),G109*Pwresc,P121)*VLOOKUP(MONTH(A121),Curveadj,3))</f>
        <v> </v>
      </c>
      <c r="H121" s="398" t="str">
        <f aca="false">IF(A121="N/A"," ",G121*C121)</f>
        <v> </v>
      </c>
      <c r="I121" s="398" t="str">
        <f aca="false">IF(A121="N/A"," ",IF(ISERROR(Q121),I109*Pwresc,Q121))</f>
        <v> </v>
      </c>
      <c r="J121" s="398"/>
      <c r="K121" s="399"/>
      <c r="L121" s="399"/>
      <c r="M121" s="404"/>
      <c r="N121" s="401" t="str">
        <f aca="false">IF(A121="N/A"," ",VLOOKUP(A121,PeakPowerCurves,(IF(BMO4=2,3,IF(BMO4=1,2,4))),FALSE()))</f>
        <v> </v>
      </c>
      <c r="O121" s="401" t="str">
        <f aca="false">IF(A121="N/A"," ",VLOOKUP(A121,SatSunPeakPwr,(IF(BMO4=2,3,IF(BMO4=1,2,4))),FALSE()))</f>
        <v> </v>
      </c>
      <c r="P121" s="401" t="str">
        <f aca="false">IF(A121="N/A"," ",VLOOKUP(A121,SatSunPeakPwr,(IF(BMO4=2,7,IF(BMO4=1,6,8))),FALSE()))</f>
        <v> </v>
      </c>
      <c r="Q121" s="402" t="str">
        <f aca="false">IF(A121="N/A"," ",(VLOOKUP(A121,OPPowerPrices,(IF(BMO4=2,7,IF(BMO4=1,6,8))),FALSE())))</f>
        <v> </v>
      </c>
      <c r="R121" s="403" t="str">
        <f aca="false">IF(A121="N/A"," ",(VLOOKUP($A121,IRTable,2)))</f>
        <v> </v>
      </c>
      <c r="AF121" s="352" t="n">
        <v>40118</v>
      </c>
      <c r="AG121" s="311" t="n">
        <v>20</v>
      </c>
      <c r="AH121" s="311" t="n">
        <v>4</v>
      </c>
      <c r="AI121" s="311" t="n">
        <v>6</v>
      </c>
      <c r="AJ121" s="311" t="n">
        <v>1</v>
      </c>
      <c r="AK121" s="311" t="n">
        <v>30</v>
      </c>
      <c r="AU121" s="406"/>
    </row>
    <row r="122" customFormat="false" ht="12.75" hidden="false" customHeight="false" outlineLevel="0" collapsed="false">
      <c r="A122" s="352" t="str">
        <f aca="false">Option4!A89</f>
        <v>N/A</v>
      </c>
      <c r="B122" s="396" t="str">
        <f aca="false">IF(A122="N/A"," ",IF(ISERROR(N122),B110*Pwresc,N122)*VLOOKUP(MONTH(A122),Curveadj,3))</f>
        <v> </v>
      </c>
      <c r="C122" s="397" t="str">
        <f aca="false">IF(A122="N/A"," ",(IF(AND(Scaler4=1,MONTH(A122)&gt;=6,MONTH(A122)&lt;=8,OR($M$37="REGION 2",$M$37="REGION 2A",$M$37="REGION 2B",$M$37="REGION 3",$M$37="REGION 3A",$M$37="REGION 3B",$M$37="REGION 3C",$M$37="REGION 4",$M$37="REGION 4B",$M$37="REGION 4C",$M$37="REGION 5",$M$37="REGION 5A")),((0.059228/(B122/100))-(0.4980013/(SQRT(B122/100)))+2.137988),HLOOKUP(MONTH(A122),ScalarTable,28))))</f>
        <v> </v>
      </c>
      <c r="D122" s="398" t="str">
        <f aca="false">IF(A122="N/A"," ",C122*B122)</f>
        <v> </v>
      </c>
      <c r="E122" s="396" t="str">
        <f aca="false">IF(A122="N/A"," ",IF(ISERROR(O122),E110*Pwresc,O122)*VLOOKUP(MONTH(A122),Curveadj,3))</f>
        <v> </v>
      </c>
      <c r="F122" s="398" t="str">
        <f aca="false">IF(A122="N/A"," ",E122*C122)</f>
        <v> </v>
      </c>
      <c r="G122" s="396" t="str">
        <f aca="false">IF(A122="N/A"," ",IF(ISERROR(P122),G110*Pwresc,P122)*VLOOKUP(MONTH(A122),Curveadj,3))</f>
        <v> </v>
      </c>
      <c r="H122" s="398" t="str">
        <f aca="false">IF(A122="N/A"," ",G122*C122)</f>
        <v> </v>
      </c>
      <c r="I122" s="398" t="str">
        <f aca="false">IF(A122="N/A"," ",IF(ISERROR(Q122),I110*Pwresc,Q122))</f>
        <v> </v>
      </c>
      <c r="J122" s="398"/>
      <c r="K122" s="399"/>
      <c r="L122" s="399"/>
      <c r="M122" s="404"/>
      <c r="N122" s="401" t="str">
        <f aca="false">IF(A122="N/A"," ",VLOOKUP(A122,PeakPowerCurves,(IF(BMO4=2,3,IF(BMO4=1,2,4))),FALSE()))</f>
        <v> </v>
      </c>
      <c r="O122" s="401" t="str">
        <f aca="false">IF(A122="N/A"," ",VLOOKUP(A122,SatSunPeakPwr,(IF(BMO4=2,3,IF(BMO4=1,2,4))),FALSE()))</f>
        <v> </v>
      </c>
      <c r="P122" s="401" t="str">
        <f aca="false">IF(A122="N/A"," ",VLOOKUP(A122,SatSunPeakPwr,(IF(BMO4=2,7,IF(BMO4=1,6,8))),FALSE()))</f>
        <v> </v>
      </c>
      <c r="Q122" s="402" t="str">
        <f aca="false">IF(A122="N/A"," ",(VLOOKUP(A122,OPPowerPrices,(IF(BMO4=2,7,IF(BMO4=1,6,8))),FALSE())))</f>
        <v> </v>
      </c>
      <c r="R122" s="403" t="str">
        <f aca="false">IF(A122="N/A"," ",(VLOOKUP($A122,IRTable,2)))</f>
        <v> </v>
      </c>
      <c r="AF122" s="352" t="n">
        <v>40148</v>
      </c>
      <c r="AG122" s="311" t="n">
        <v>22</v>
      </c>
      <c r="AH122" s="311" t="n">
        <v>4</v>
      </c>
      <c r="AI122" s="311" t="n">
        <v>5</v>
      </c>
      <c r="AJ122" s="311" t="n">
        <v>1</v>
      </c>
      <c r="AK122" s="311" t="n">
        <v>31</v>
      </c>
      <c r="AU122" s="406"/>
    </row>
    <row r="123" customFormat="false" ht="12.75" hidden="false" customHeight="false" outlineLevel="0" collapsed="false">
      <c r="A123" s="352" t="str">
        <f aca="false">Option4!A90</f>
        <v>N/A</v>
      </c>
      <c r="B123" s="396" t="str">
        <f aca="false">IF(A123="N/A"," ",IF(ISERROR(N123),B111*Pwresc,N123)*VLOOKUP(MONTH(A123),Curveadj,3))</f>
        <v> </v>
      </c>
      <c r="C123" s="397" t="str">
        <f aca="false">IF(A123="N/A"," ",(IF(AND(Scaler4=1,MONTH(A123)&gt;=6,MONTH(A123)&lt;=8,OR($M$37="REGION 2",$M$37="REGION 2A",$M$37="REGION 2B",$M$37="REGION 3",$M$37="REGION 3A",$M$37="REGION 3B",$M$37="REGION 3C",$M$37="REGION 4",$M$37="REGION 4B",$M$37="REGION 4C",$M$37="REGION 5",$M$37="REGION 5A")),((0.059228/(B123/100))-(0.4980013/(SQRT(B123/100)))+2.137988),HLOOKUP(MONTH(A123),ScalarTable,28))))</f>
        <v> </v>
      </c>
      <c r="D123" s="398" t="str">
        <f aca="false">IF(A123="N/A"," ",C123*B123)</f>
        <v> </v>
      </c>
      <c r="E123" s="396" t="str">
        <f aca="false">IF(A123="N/A"," ",IF(ISERROR(O123),E111*Pwresc,O123)*VLOOKUP(MONTH(A123),Curveadj,3))</f>
        <v> </v>
      </c>
      <c r="F123" s="398" t="str">
        <f aca="false">IF(A123="N/A"," ",E123*C123)</f>
        <v> </v>
      </c>
      <c r="G123" s="396" t="str">
        <f aca="false">IF(A123="N/A"," ",IF(ISERROR(P123),G111*Pwresc,P123)*VLOOKUP(MONTH(A123),Curveadj,3))</f>
        <v> </v>
      </c>
      <c r="H123" s="398" t="str">
        <f aca="false">IF(A123="N/A"," ",G123*C123)</f>
        <v> </v>
      </c>
      <c r="I123" s="398" t="str">
        <f aca="false">IF(A123="N/A"," ",IF(ISERROR(Q123),I111*Pwresc,Q123))</f>
        <v> </v>
      </c>
      <c r="J123" s="398"/>
      <c r="K123" s="399"/>
      <c r="L123" s="399"/>
      <c r="M123" s="404"/>
      <c r="N123" s="401" t="str">
        <f aca="false">IF(A123="N/A"," ",VLOOKUP(A123,PeakPowerCurves,(IF(BMO4=2,3,IF(BMO4=1,2,4))),FALSE()))</f>
        <v> </v>
      </c>
      <c r="O123" s="401" t="str">
        <f aca="false">IF(A123="N/A"," ",VLOOKUP(A123,SatSunPeakPwr,(IF(BMO4=2,3,IF(BMO4=1,2,4))),FALSE()))</f>
        <v> </v>
      </c>
      <c r="P123" s="401" t="str">
        <f aca="false">IF(A123="N/A"," ",VLOOKUP(A123,SatSunPeakPwr,(IF(BMO4=2,7,IF(BMO4=1,6,8))),FALSE()))</f>
        <v> </v>
      </c>
      <c r="Q123" s="402" t="str">
        <f aca="false">IF(A123="N/A"," ",(VLOOKUP(A123,OPPowerPrices,(IF(BMO4=2,7,IF(BMO4=1,6,8))),FALSE())))</f>
        <v> </v>
      </c>
      <c r="R123" s="403" t="str">
        <f aca="false">IF(A123="N/A"," ",(VLOOKUP($A123,IRTable,2)))</f>
        <v> </v>
      </c>
      <c r="AF123" s="352" t="n">
        <v>40179</v>
      </c>
      <c r="AG123" s="311" t="n">
        <v>20</v>
      </c>
      <c r="AH123" s="311" t="n">
        <v>5</v>
      </c>
      <c r="AI123" s="311" t="n">
        <v>6</v>
      </c>
      <c r="AJ123" s="311" t="n">
        <v>1</v>
      </c>
      <c r="AK123" s="311" t="n">
        <v>31</v>
      </c>
      <c r="AU123" s="406"/>
    </row>
    <row r="124" customFormat="false" ht="12.75" hidden="false" customHeight="false" outlineLevel="0" collapsed="false">
      <c r="A124" s="352" t="str">
        <f aca="false">Option4!A91</f>
        <v>N/A</v>
      </c>
      <c r="B124" s="396" t="str">
        <f aca="false">IF(A124="N/A"," ",IF(ISERROR(N124),B112*Pwresc,N124)*VLOOKUP(MONTH(A124),Curveadj,3))</f>
        <v> </v>
      </c>
      <c r="C124" s="397" t="str">
        <f aca="false">IF(A124="N/A"," ",(IF(AND(Scaler4=1,MONTH(A124)&gt;=6,MONTH(A124)&lt;=8,OR($M$37="REGION 2",$M$37="REGION 2A",$M$37="REGION 2B",$M$37="REGION 3",$M$37="REGION 3A",$M$37="REGION 3B",$M$37="REGION 3C",$M$37="REGION 4",$M$37="REGION 4B",$M$37="REGION 4C",$M$37="REGION 5",$M$37="REGION 5A")),((0.059228/(B124/100))-(0.4980013/(SQRT(B124/100)))+2.137988),HLOOKUP(MONTH(A124),ScalarTable,28))))</f>
        <v> </v>
      </c>
      <c r="D124" s="398" t="str">
        <f aca="false">IF(A124="N/A"," ",C124*B124)</f>
        <v> </v>
      </c>
      <c r="E124" s="396" t="str">
        <f aca="false">IF(A124="N/A"," ",IF(ISERROR(O124),E112*Pwresc,O124)*VLOOKUP(MONTH(A124),Curveadj,3))</f>
        <v> </v>
      </c>
      <c r="F124" s="398" t="str">
        <f aca="false">IF(A124="N/A"," ",E124*C124)</f>
        <v> </v>
      </c>
      <c r="G124" s="396" t="str">
        <f aca="false">IF(A124="N/A"," ",IF(ISERROR(P124),G112*Pwresc,P124)*VLOOKUP(MONTH(A124),Curveadj,3))</f>
        <v> </v>
      </c>
      <c r="H124" s="398" t="str">
        <f aca="false">IF(A124="N/A"," ",G124*C124)</f>
        <v> </v>
      </c>
      <c r="I124" s="398" t="str">
        <f aca="false">IF(A124="N/A"," ",IF(ISERROR(Q124),I112*Pwresc,Q124))</f>
        <v> </v>
      </c>
      <c r="J124" s="398"/>
      <c r="K124" s="399"/>
      <c r="L124" s="399"/>
      <c r="M124" s="404"/>
      <c r="N124" s="401" t="str">
        <f aca="false">IF(A124="N/A"," ",VLOOKUP(A124,PeakPowerCurves,(IF(BMO4=2,3,IF(BMO4=1,2,4))),FALSE()))</f>
        <v> </v>
      </c>
      <c r="O124" s="401" t="str">
        <f aca="false">IF(A124="N/A"," ",VLOOKUP(A124,SatSunPeakPwr,(IF(BMO4=2,3,IF(BMO4=1,2,4))),FALSE()))</f>
        <v> </v>
      </c>
      <c r="P124" s="401" t="str">
        <f aca="false">IF(A124="N/A"," ",VLOOKUP(A124,SatSunPeakPwr,(IF(BMO4=2,7,IF(BMO4=1,6,8))),FALSE()))</f>
        <v> </v>
      </c>
      <c r="Q124" s="402" t="str">
        <f aca="false">IF(A124="N/A"," ",(VLOOKUP(A124,OPPowerPrices,(IF(BMO4=2,7,IF(BMO4=1,6,8))),FALSE())))</f>
        <v> </v>
      </c>
      <c r="R124" s="403" t="str">
        <f aca="false">IF(A124="N/A"," ",(VLOOKUP($A124,IRTable,2)))</f>
        <v> </v>
      </c>
      <c r="AF124" s="352" t="n">
        <v>40210</v>
      </c>
      <c r="AG124" s="311" t="n">
        <v>20</v>
      </c>
      <c r="AH124" s="311" t="n">
        <v>4</v>
      </c>
      <c r="AI124" s="311" t="n">
        <v>4</v>
      </c>
      <c r="AJ124" s="311" t="n">
        <v>0</v>
      </c>
      <c r="AK124" s="311" t="n">
        <v>28</v>
      </c>
      <c r="AU124" s="406"/>
    </row>
    <row r="125" customFormat="false" ht="12.75" hidden="false" customHeight="false" outlineLevel="0" collapsed="false">
      <c r="A125" s="352" t="str">
        <f aca="false">Option4!A92</f>
        <v>N/A</v>
      </c>
      <c r="B125" s="396" t="str">
        <f aca="false">IF(A125="N/A"," ",IF(ISERROR(N125),B113*Pwresc,N125)*VLOOKUP(MONTH(A125),Curveadj,3))</f>
        <v> </v>
      </c>
      <c r="C125" s="397" t="str">
        <f aca="false">IF(A125="N/A"," ",(IF(AND(Scaler4=1,MONTH(A125)&gt;=6,MONTH(A125)&lt;=8,OR($M$37="REGION 2",$M$37="REGION 2A",$M$37="REGION 2B",$M$37="REGION 3",$M$37="REGION 3A",$M$37="REGION 3B",$M$37="REGION 3C",$M$37="REGION 4",$M$37="REGION 4B",$M$37="REGION 4C",$M$37="REGION 5",$M$37="REGION 5A")),((0.059228/(B125/100))-(0.4980013/(SQRT(B125/100)))+2.137988),HLOOKUP(MONTH(A125),ScalarTable,28))))</f>
        <v> </v>
      </c>
      <c r="D125" s="398" t="str">
        <f aca="false">IF(A125="N/A"," ",C125*B125)</f>
        <v> </v>
      </c>
      <c r="E125" s="396" t="str">
        <f aca="false">IF(A125="N/A"," ",IF(ISERROR(O125),E113*Pwresc,O125)*VLOOKUP(MONTH(A125),Curveadj,3))</f>
        <v> </v>
      </c>
      <c r="F125" s="398" t="str">
        <f aca="false">IF(A125="N/A"," ",E125*C125)</f>
        <v> </v>
      </c>
      <c r="G125" s="396" t="str">
        <f aca="false">IF(A125="N/A"," ",IF(ISERROR(P125),G113*Pwresc,P125)*VLOOKUP(MONTH(A125),Curveadj,3))</f>
        <v> </v>
      </c>
      <c r="H125" s="398" t="str">
        <f aca="false">IF(A125="N/A"," ",G125*C125)</f>
        <v> </v>
      </c>
      <c r="I125" s="398" t="str">
        <f aca="false">IF(A125="N/A"," ",IF(ISERROR(Q125),I113*Pwresc,Q125))</f>
        <v> </v>
      </c>
      <c r="J125" s="398"/>
      <c r="K125" s="399"/>
      <c r="L125" s="399"/>
      <c r="M125" s="404"/>
      <c r="N125" s="401" t="str">
        <f aca="false">IF(A125="N/A"," ",VLOOKUP(A125,PeakPowerCurves,(IF(BMO4=2,3,IF(BMO4=1,2,4))),FALSE()))</f>
        <v> </v>
      </c>
      <c r="O125" s="401" t="str">
        <f aca="false">IF(A125="N/A"," ",VLOOKUP(A125,SatSunPeakPwr,(IF(BMO4=2,3,IF(BMO4=1,2,4))),FALSE()))</f>
        <v> </v>
      </c>
      <c r="P125" s="401" t="str">
        <f aca="false">IF(A125="N/A"," ",VLOOKUP(A125,SatSunPeakPwr,(IF(BMO4=2,7,IF(BMO4=1,6,8))),FALSE()))</f>
        <v> </v>
      </c>
      <c r="Q125" s="402" t="str">
        <f aca="false">IF(A125="N/A"," ",(VLOOKUP(A125,OPPowerPrices,(IF(BMO4=2,7,IF(BMO4=1,6,8))),FALSE())))</f>
        <v> </v>
      </c>
      <c r="R125" s="403" t="str">
        <f aca="false">IF(A125="N/A"," ",(VLOOKUP($A125,IRTable,2)))</f>
        <v> </v>
      </c>
      <c r="AF125" s="352" t="n">
        <v>40238</v>
      </c>
      <c r="AG125" s="311" t="n">
        <v>23</v>
      </c>
      <c r="AH125" s="311" t="n">
        <v>4</v>
      </c>
      <c r="AI125" s="311" t="n">
        <v>4</v>
      </c>
      <c r="AJ125" s="311" t="n">
        <v>0</v>
      </c>
      <c r="AK125" s="311" t="n">
        <v>31</v>
      </c>
      <c r="AU125" s="406"/>
    </row>
    <row r="126" customFormat="false" ht="12.75" hidden="false" customHeight="false" outlineLevel="0" collapsed="false">
      <c r="A126" s="352" t="str">
        <f aca="false">Option4!A93</f>
        <v>N/A</v>
      </c>
      <c r="B126" s="396" t="str">
        <f aca="false">IF(A126="N/A"," ",IF(ISERROR(N126),B114*Pwresc,N126)*VLOOKUP(MONTH(A126),Curveadj,3))</f>
        <v> </v>
      </c>
      <c r="C126" s="397" t="str">
        <f aca="false">IF(A126="N/A"," ",(IF(AND(Scaler4=1,MONTH(A126)&gt;=6,MONTH(A126)&lt;=8,OR($M$37="REGION 2",$M$37="REGION 2A",$M$37="REGION 2B",$M$37="REGION 3",$M$37="REGION 3A",$M$37="REGION 3B",$M$37="REGION 3C",$M$37="REGION 4",$M$37="REGION 4B",$M$37="REGION 4C",$M$37="REGION 5",$M$37="REGION 5A")),((0.059228/(B126/100))-(0.4980013/(SQRT(B126/100)))+2.137988),HLOOKUP(MONTH(A126),ScalarTable,28))))</f>
        <v> </v>
      </c>
      <c r="D126" s="398" t="str">
        <f aca="false">IF(A126="N/A"," ",C126*B126)</f>
        <v> </v>
      </c>
      <c r="E126" s="396" t="str">
        <f aca="false">IF(A126="N/A"," ",IF(ISERROR(O126),E114*Pwresc,O126)*VLOOKUP(MONTH(A126),Curveadj,3))</f>
        <v> </v>
      </c>
      <c r="F126" s="398" t="str">
        <f aca="false">IF(A126="N/A"," ",E126*C126)</f>
        <v> </v>
      </c>
      <c r="G126" s="396" t="str">
        <f aca="false">IF(A126="N/A"," ",IF(ISERROR(P126),G114*Pwresc,P126)*VLOOKUP(MONTH(A126),Curveadj,3))</f>
        <v> </v>
      </c>
      <c r="H126" s="398" t="str">
        <f aca="false">IF(A126="N/A"," ",G126*C126)</f>
        <v> </v>
      </c>
      <c r="I126" s="398" t="str">
        <f aca="false">IF(A126="N/A"," ",IF(ISERROR(Q126),I114*Pwresc,Q126))</f>
        <v> </v>
      </c>
      <c r="J126" s="398"/>
      <c r="K126" s="399"/>
      <c r="L126" s="399"/>
      <c r="M126" s="404"/>
      <c r="N126" s="401" t="str">
        <f aca="false">IF(A126="N/A"," ",VLOOKUP(A126,PeakPowerCurves,(IF(BMO4=2,3,IF(BMO4=1,2,4))),FALSE()))</f>
        <v> </v>
      </c>
      <c r="O126" s="401" t="str">
        <f aca="false">IF(A126="N/A"," ",VLOOKUP(A126,SatSunPeakPwr,(IF(BMO4=2,3,IF(BMO4=1,2,4))),FALSE()))</f>
        <v> </v>
      </c>
      <c r="P126" s="401" t="str">
        <f aca="false">IF(A126="N/A"," ",VLOOKUP(A126,SatSunPeakPwr,(IF(BMO4=2,7,IF(BMO4=1,6,8))),FALSE()))</f>
        <v> </v>
      </c>
      <c r="Q126" s="402" t="str">
        <f aca="false">IF(A126="N/A"," ",(VLOOKUP(A126,OPPowerPrices,(IF(BMO4=2,7,IF(BMO4=1,6,8))),FALSE())))</f>
        <v> </v>
      </c>
      <c r="R126" s="403" t="str">
        <f aca="false">IF(A126="N/A"," ",(VLOOKUP($A126,IRTable,2)))</f>
        <v> </v>
      </c>
      <c r="AF126" s="352" t="n">
        <v>40269</v>
      </c>
      <c r="AG126" s="311" t="n">
        <v>22</v>
      </c>
      <c r="AH126" s="311" t="n">
        <v>4</v>
      </c>
      <c r="AI126" s="311" t="n">
        <v>4</v>
      </c>
      <c r="AJ126" s="311" t="n">
        <v>0</v>
      </c>
      <c r="AK126" s="311" t="n">
        <v>30</v>
      </c>
      <c r="AU126" s="406"/>
    </row>
    <row r="127" customFormat="false" ht="12.75" hidden="false" customHeight="false" outlineLevel="0" collapsed="false">
      <c r="A127" s="352" t="str">
        <f aca="false">Option4!A94</f>
        <v>N/A</v>
      </c>
      <c r="B127" s="396" t="str">
        <f aca="false">IF(A127="N/A"," ",IF(ISERROR(N127),B115*Pwresc,N127)*VLOOKUP(MONTH(A127),Curveadj,3))</f>
        <v> </v>
      </c>
      <c r="C127" s="397" t="str">
        <f aca="false">IF(A127="N/A"," ",(IF(AND(Scaler4=1,MONTH(A127)&gt;=6,MONTH(A127)&lt;=8,OR($M$37="REGION 2",$M$37="REGION 2A",$M$37="REGION 2B",$M$37="REGION 3",$M$37="REGION 3A",$M$37="REGION 3B",$M$37="REGION 3C",$M$37="REGION 4",$M$37="REGION 4B",$M$37="REGION 4C",$M$37="REGION 5",$M$37="REGION 5A")),((0.059228/(B127/100))-(0.4980013/(SQRT(B127/100)))+2.137988),HLOOKUP(MONTH(A127),ScalarTable,28))))</f>
        <v> </v>
      </c>
      <c r="D127" s="398" t="str">
        <f aca="false">IF(A127="N/A"," ",C127*B127)</f>
        <v> </v>
      </c>
      <c r="E127" s="396" t="str">
        <f aca="false">IF(A127="N/A"," ",IF(ISERROR(O127),E115*Pwresc,O127)*VLOOKUP(MONTH(A127),Curveadj,3))</f>
        <v> </v>
      </c>
      <c r="F127" s="398" t="str">
        <f aca="false">IF(A127="N/A"," ",E127*C127)</f>
        <v> </v>
      </c>
      <c r="G127" s="396" t="str">
        <f aca="false">IF(A127="N/A"," ",IF(ISERROR(P127),G115*Pwresc,P127)*VLOOKUP(MONTH(A127),Curveadj,3))</f>
        <v> </v>
      </c>
      <c r="H127" s="398" t="str">
        <f aca="false">IF(A127="N/A"," ",G127*C127)</f>
        <v> </v>
      </c>
      <c r="I127" s="398" t="str">
        <f aca="false">IF(A127="N/A"," ",IF(ISERROR(Q127),I115*Pwresc,Q127))</f>
        <v> </v>
      </c>
      <c r="J127" s="398"/>
      <c r="K127" s="399"/>
      <c r="L127" s="399"/>
      <c r="M127" s="404"/>
      <c r="N127" s="401" t="str">
        <f aca="false">IF(A127="N/A"," ",VLOOKUP(A127,PeakPowerCurves,(IF(BMO4=2,3,IF(BMO4=1,2,4))),FALSE()))</f>
        <v> </v>
      </c>
      <c r="O127" s="401" t="str">
        <f aca="false">IF(A127="N/A"," ",VLOOKUP(A127,SatSunPeakPwr,(IF(BMO4=2,3,IF(BMO4=1,2,4))),FALSE()))</f>
        <v> </v>
      </c>
      <c r="P127" s="401" t="str">
        <f aca="false">IF(A127="N/A"," ",VLOOKUP(A127,SatSunPeakPwr,(IF(BMO4=2,7,IF(BMO4=1,6,8))),FALSE()))</f>
        <v> </v>
      </c>
      <c r="Q127" s="402" t="str">
        <f aca="false">IF(A127="N/A"," ",(VLOOKUP(A127,OPPowerPrices,(IF(BMO4=2,7,IF(BMO4=1,6,8))),FALSE())))</f>
        <v> </v>
      </c>
      <c r="R127" s="403" t="str">
        <f aca="false">IF(A127="N/A"," ",(VLOOKUP($A127,IRTable,2)))</f>
        <v> </v>
      </c>
      <c r="AF127" s="352" t="n">
        <v>40299</v>
      </c>
      <c r="AG127" s="311" t="n">
        <v>20</v>
      </c>
      <c r="AH127" s="311" t="n">
        <v>5</v>
      </c>
      <c r="AI127" s="311" t="n">
        <v>6</v>
      </c>
      <c r="AJ127" s="311" t="n">
        <v>1</v>
      </c>
      <c r="AK127" s="311" t="n">
        <v>31</v>
      </c>
      <c r="AU127" s="406"/>
    </row>
    <row r="128" customFormat="false" ht="12.75" hidden="false" customHeight="false" outlineLevel="0" collapsed="false">
      <c r="A128" s="352" t="str">
        <f aca="false">Option4!A95</f>
        <v>N/A</v>
      </c>
      <c r="B128" s="396" t="str">
        <f aca="false">IF(A128="N/A"," ",IF(ISERROR(N128),B116*Pwresc,N128)*VLOOKUP(MONTH(A128),Curveadj,3))</f>
        <v> </v>
      </c>
      <c r="C128" s="397" t="str">
        <f aca="false">IF(A128="N/A"," ",(IF(AND(Scaler4=1,MONTH(A128)&gt;=6,MONTH(A128)&lt;=8,OR($M$37="REGION 2",$M$37="REGION 2A",$M$37="REGION 2B",$M$37="REGION 3",$M$37="REGION 3A",$M$37="REGION 3B",$M$37="REGION 3C",$M$37="REGION 4",$M$37="REGION 4B",$M$37="REGION 4C",$M$37="REGION 5",$M$37="REGION 5A")),((0.059228/(B128/100))-(0.4980013/(SQRT(B128/100)))+2.137988),HLOOKUP(MONTH(A128),ScalarTable,28))))</f>
        <v> </v>
      </c>
      <c r="D128" s="398" t="str">
        <f aca="false">IF(A128="N/A"," ",C128*B128)</f>
        <v> </v>
      </c>
      <c r="E128" s="396" t="str">
        <f aca="false">IF(A128="N/A"," ",IF(ISERROR(O128),E116*Pwresc,O128)*VLOOKUP(MONTH(A128),Curveadj,3))</f>
        <v> </v>
      </c>
      <c r="F128" s="398" t="str">
        <f aca="false">IF(A128="N/A"," ",E128*C128)</f>
        <v> </v>
      </c>
      <c r="G128" s="396" t="str">
        <f aca="false">IF(A128="N/A"," ",IF(ISERROR(P128),G116*Pwresc,P128)*VLOOKUP(MONTH(A128),Curveadj,3))</f>
        <v> </v>
      </c>
      <c r="H128" s="398" t="str">
        <f aca="false">IF(A128="N/A"," ",G128*C128)</f>
        <v> </v>
      </c>
      <c r="I128" s="398" t="str">
        <f aca="false">IF(A128="N/A"," ",IF(ISERROR(Q128),I116*Pwresc,Q128))</f>
        <v> </v>
      </c>
      <c r="J128" s="398"/>
      <c r="K128" s="399"/>
      <c r="L128" s="399"/>
      <c r="M128" s="404"/>
      <c r="N128" s="401" t="str">
        <f aca="false">IF(A128="N/A"," ",VLOOKUP(A128,PeakPowerCurves,(IF(BMO4=2,3,IF(BMO4=1,2,4))),FALSE()))</f>
        <v> </v>
      </c>
      <c r="O128" s="401" t="str">
        <f aca="false">IF(A128="N/A"," ",VLOOKUP(A128,SatSunPeakPwr,(IF(BMO4=2,3,IF(BMO4=1,2,4))),FALSE()))</f>
        <v> </v>
      </c>
      <c r="P128" s="401" t="str">
        <f aca="false">IF(A128="N/A"," ",VLOOKUP(A128,SatSunPeakPwr,(IF(BMO4=2,7,IF(BMO4=1,6,8))),FALSE()))</f>
        <v> </v>
      </c>
      <c r="Q128" s="402" t="str">
        <f aca="false">IF(A128="N/A"," ",(VLOOKUP(A128,OPPowerPrices,(IF(BMO4=2,7,IF(BMO4=1,6,8))),FALSE())))</f>
        <v> </v>
      </c>
      <c r="R128" s="403" t="str">
        <f aca="false">IF(A128="N/A"," ",(VLOOKUP($A128,IRTable,2)))</f>
        <v> </v>
      </c>
      <c r="AF128" s="352" t="n">
        <v>40330</v>
      </c>
      <c r="AG128" s="311" t="n">
        <v>22</v>
      </c>
      <c r="AH128" s="311" t="n">
        <v>4</v>
      </c>
      <c r="AI128" s="311" t="n">
        <v>4</v>
      </c>
      <c r="AJ128" s="311" t="n">
        <v>0</v>
      </c>
      <c r="AK128" s="311" t="n">
        <v>30</v>
      </c>
      <c r="AU128" s="406"/>
    </row>
    <row r="129" customFormat="false" ht="12.75" hidden="false" customHeight="false" outlineLevel="0" collapsed="false">
      <c r="A129" s="352" t="str">
        <f aca="false">Option4!A96</f>
        <v>N/A</v>
      </c>
      <c r="B129" s="396" t="str">
        <f aca="false">IF(A129="N/A"," ",IF(ISERROR(N129),B117*Pwresc,N129)*VLOOKUP(MONTH(A129),Curveadj,3))</f>
        <v> </v>
      </c>
      <c r="C129" s="397" t="str">
        <f aca="false">IF(A129="N/A"," ",(IF(AND(Scaler4=1,MONTH(A129)&gt;=6,MONTH(A129)&lt;=8,OR($M$37="REGION 2",$M$37="REGION 2A",$M$37="REGION 2B",$M$37="REGION 3",$M$37="REGION 3A",$M$37="REGION 3B",$M$37="REGION 3C",$M$37="REGION 4",$M$37="REGION 4B",$M$37="REGION 4C",$M$37="REGION 5",$M$37="REGION 5A")),((0.059228/(B129/100))-(0.4980013/(SQRT(B129/100)))+2.137988),HLOOKUP(MONTH(A129),ScalarTable,28))))</f>
        <v> </v>
      </c>
      <c r="D129" s="398" t="str">
        <f aca="false">IF(A129="N/A"," ",C129*B129)</f>
        <v> </v>
      </c>
      <c r="E129" s="396" t="str">
        <f aca="false">IF(A129="N/A"," ",IF(ISERROR(O129),E117*Pwresc,O129)*VLOOKUP(MONTH(A129),Curveadj,3))</f>
        <v> </v>
      </c>
      <c r="F129" s="398" t="str">
        <f aca="false">IF(A129="N/A"," ",E129*C129)</f>
        <v> </v>
      </c>
      <c r="G129" s="396" t="str">
        <f aca="false">IF(A129="N/A"," ",IF(ISERROR(P129),G117*Pwresc,P129)*VLOOKUP(MONTH(A129),Curveadj,3))</f>
        <v> </v>
      </c>
      <c r="H129" s="398" t="str">
        <f aca="false">IF(A129="N/A"," ",G129*C129)</f>
        <v> </v>
      </c>
      <c r="I129" s="398" t="str">
        <f aca="false">IF(A129="N/A"," ",IF(ISERROR(Q129),I117*Pwresc,Q129))</f>
        <v> </v>
      </c>
      <c r="J129" s="398"/>
      <c r="K129" s="399"/>
      <c r="L129" s="399"/>
      <c r="M129" s="404"/>
      <c r="N129" s="401" t="str">
        <f aca="false">IF(A129="N/A"," ",VLOOKUP(A129,PeakPowerCurves,(IF(BMO4=2,3,IF(BMO4=1,2,4))),FALSE()))</f>
        <v> </v>
      </c>
      <c r="O129" s="401" t="str">
        <f aca="false">IF(A129="N/A"," ",VLOOKUP(A129,SatSunPeakPwr,(IF(BMO4=2,3,IF(BMO4=1,2,4))),FALSE()))</f>
        <v> </v>
      </c>
      <c r="P129" s="401" t="str">
        <f aca="false">IF(A129="N/A"," ",VLOOKUP(A129,SatSunPeakPwr,(IF(BMO4=2,7,IF(BMO4=1,6,8))),FALSE()))</f>
        <v> </v>
      </c>
      <c r="Q129" s="402" t="str">
        <f aca="false">IF(A129="N/A"," ",(VLOOKUP(A129,OPPowerPrices,(IF(BMO4=2,7,IF(BMO4=1,6,8))),FALSE())))</f>
        <v> </v>
      </c>
      <c r="R129" s="403" t="str">
        <f aca="false">IF(A129="N/A"," ",(VLOOKUP($A129,IRTable,2)))</f>
        <v> </v>
      </c>
      <c r="AF129" s="352" t="n">
        <v>40360</v>
      </c>
      <c r="AG129" s="311" t="n">
        <v>21</v>
      </c>
      <c r="AH129" s="311" t="n">
        <v>5</v>
      </c>
      <c r="AI129" s="311" t="n">
        <v>5</v>
      </c>
      <c r="AJ129" s="311" t="n">
        <v>1</v>
      </c>
      <c r="AK129" s="311" t="n">
        <v>31</v>
      </c>
      <c r="AU129" s="406"/>
    </row>
    <row r="130" customFormat="false" ht="12.75" hidden="false" customHeight="false" outlineLevel="0" collapsed="false">
      <c r="A130" s="352" t="str">
        <f aca="false">Option4!A97</f>
        <v>N/A</v>
      </c>
      <c r="B130" s="396" t="str">
        <f aca="false">IF(A130="N/A"," ",IF(ISERROR(N130),B118*Pwresc,N130)*VLOOKUP(MONTH(A130),Curveadj,3))</f>
        <v> </v>
      </c>
      <c r="C130" s="397" t="str">
        <f aca="false">IF(A130="N/A"," ",(IF(AND(Scaler4=1,MONTH(A130)&gt;=6,MONTH(A130)&lt;=8,OR($M$37="REGION 2",$M$37="REGION 2A",$M$37="REGION 2B",$M$37="REGION 3",$M$37="REGION 3A",$M$37="REGION 3B",$M$37="REGION 3C",$M$37="REGION 4",$M$37="REGION 4B",$M$37="REGION 4C",$M$37="REGION 5",$M$37="REGION 5A")),((0.059228/(B130/100))-(0.4980013/(SQRT(B130/100)))+2.137988),HLOOKUP(MONTH(A130),ScalarTable,28))))</f>
        <v> </v>
      </c>
      <c r="D130" s="398" t="str">
        <f aca="false">IF(A130="N/A"," ",C130*B130)</f>
        <v> </v>
      </c>
      <c r="E130" s="396" t="str">
        <f aca="false">IF(A130="N/A"," ",IF(ISERROR(O130),E118*Pwresc,O130)*VLOOKUP(MONTH(A130),Curveadj,3))</f>
        <v> </v>
      </c>
      <c r="F130" s="398" t="str">
        <f aca="false">IF(A130="N/A"," ",E130*C130)</f>
        <v> </v>
      </c>
      <c r="G130" s="396" t="str">
        <f aca="false">IF(A130="N/A"," ",IF(ISERROR(P130),G118*Pwresc,P130)*VLOOKUP(MONTH(A130),Curveadj,3))</f>
        <v> </v>
      </c>
      <c r="H130" s="398" t="str">
        <f aca="false">IF(A130="N/A"," ",G130*C130)</f>
        <v> </v>
      </c>
      <c r="I130" s="398" t="str">
        <f aca="false">IF(A130="N/A"," ",IF(ISERROR(Q130),I118*Pwresc,Q130))</f>
        <v> </v>
      </c>
      <c r="J130" s="398"/>
      <c r="K130" s="399"/>
      <c r="L130" s="399"/>
      <c r="M130" s="404"/>
      <c r="N130" s="401" t="str">
        <f aca="false">IF(A130="N/A"," ",VLOOKUP(A130,PeakPowerCurves,(IF(BMO4=2,3,IF(BMO4=1,2,4))),FALSE()))</f>
        <v> </v>
      </c>
      <c r="O130" s="401" t="str">
        <f aca="false">IF(A130="N/A"," ",VLOOKUP(A130,SatSunPeakPwr,(IF(BMO4=2,3,IF(BMO4=1,2,4))),FALSE()))</f>
        <v> </v>
      </c>
      <c r="P130" s="401" t="str">
        <f aca="false">IF(A130="N/A"," ",VLOOKUP(A130,SatSunPeakPwr,(IF(BMO4=2,7,IF(BMO4=1,6,8))),FALSE()))</f>
        <v> </v>
      </c>
      <c r="Q130" s="402" t="str">
        <f aca="false">IF(A130="N/A"," ",(VLOOKUP(A130,OPPowerPrices,(IF(BMO4=2,7,IF(BMO4=1,6,8))),FALSE())))</f>
        <v> </v>
      </c>
      <c r="R130" s="403" t="str">
        <f aca="false">IF(A130="N/A"," ",(VLOOKUP($A130,IRTable,2)))</f>
        <v> </v>
      </c>
      <c r="AF130" s="352" t="n">
        <v>40391</v>
      </c>
      <c r="AG130" s="311" t="n">
        <v>22</v>
      </c>
      <c r="AH130" s="311" t="n">
        <v>4</v>
      </c>
      <c r="AI130" s="311" t="n">
        <v>5</v>
      </c>
      <c r="AJ130" s="311" t="n">
        <v>0</v>
      </c>
      <c r="AK130" s="311" t="n">
        <v>31</v>
      </c>
      <c r="AU130" s="406"/>
    </row>
    <row r="131" customFormat="false" ht="12.75" hidden="false" customHeight="false" outlineLevel="0" collapsed="false">
      <c r="A131" s="352" t="str">
        <f aca="false">Option4!A98</f>
        <v>N/A</v>
      </c>
      <c r="B131" s="396" t="str">
        <f aca="false">IF(A131="N/A"," ",IF(ISERROR(N131),B119*Pwresc,N131)*VLOOKUP(MONTH(A131),Curveadj,3))</f>
        <v> </v>
      </c>
      <c r="C131" s="397" t="str">
        <f aca="false">IF(A131="N/A"," ",(IF(AND(Scaler4=1,MONTH(A131)&gt;=6,MONTH(A131)&lt;=8,OR($M$37="REGION 2",$M$37="REGION 2A",$M$37="REGION 2B",$M$37="REGION 3",$M$37="REGION 3A",$M$37="REGION 3B",$M$37="REGION 3C",$M$37="REGION 4",$M$37="REGION 4B",$M$37="REGION 4C",$M$37="REGION 5",$M$37="REGION 5A")),((0.059228/(B131/100))-(0.4980013/(SQRT(B131/100)))+2.137988),HLOOKUP(MONTH(A131),ScalarTable,28))))</f>
        <v> </v>
      </c>
      <c r="D131" s="398" t="str">
        <f aca="false">IF(A131="N/A"," ",C131*B131)</f>
        <v> </v>
      </c>
      <c r="E131" s="396" t="str">
        <f aca="false">IF(A131="N/A"," ",IF(ISERROR(O131),E119*Pwresc,O131)*VLOOKUP(MONTH(A131),Curveadj,3))</f>
        <v> </v>
      </c>
      <c r="F131" s="398" t="str">
        <f aca="false">IF(A131="N/A"," ",E131*C131)</f>
        <v> </v>
      </c>
      <c r="G131" s="396" t="str">
        <f aca="false">IF(A131="N/A"," ",IF(ISERROR(P131),G119*Pwresc,P131)*VLOOKUP(MONTH(A131),Curveadj,3))</f>
        <v> </v>
      </c>
      <c r="H131" s="398" t="str">
        <f aca="false">IF(A131="N/A"," ",G131*C131)</f>
        <v> </v>
      </c>
      <c r="I131" s="398" t="str">
        <f aca="false">IF(A131="N/A"," ",IF(ISERROR(Q131),I119*Pwresc,Q131))</f>
        <v> </v>
      </c>
      <c r="J131" s="398"/>
      <c r="K131" s="399"/>
      <c r="L131" s="399"/>
      <c r="M131" s="404"/>
      <c r="N131" s="401" t="str">
        <f aca="false">IF(A131="N/A"," ",VLOOKUP(A131,PeakPowerCurves,(IF(BMO4=2,3,IF(BMO4=1,2,4))),FALSE()))</f>
        <v> </v>
      </c>
      <c r="O131" s="401" t="str">
        <f aca="false">IF(A131="N/A"," ",VLOOKUP(A131,SatSunPeakPwr,(IF(BMO4=2,3,IF(BMO4=1,2,4))),FALSE()))</f>
        <v> </v>
      </c>
      <c r="P131" s="401" t="str">
        <f aca="false">IF(A131="N/A"," ",VLOOKUP(A131,SatSunPeakPwr,(IF(BMO4=2,7,IF(BMO4=1,6,8))),FALSE()))</f>
        <v> </v>
      </c>
      <c r="Q131" s="402" t="str">
        <f aca="false">IF(A131="N/A"," ",(VLOOKUP(A131,OPPowerPrices,(IF(BMO4=2,7,IF(BMO4=1,6,8))),FALSE())))</f>
        <v> </v>
      </c>
      <c r="R131" s="403" t="str">
        <f aca="false">IF(A131="N/A"," ",(VLOOKUP($A131,IRTable,2)))</f>
        <v> </v>
      </c>
      <c r="AF131" s="352" t="n">
        <v>40422</v>
      </c>
      <c r="AG131" s="311" t="n">
        <v>21</v>
      </c>
      <c r="AH131" s="311" t="n">
        <v>4</v>
      </c>
      <c r="AI131" s="311" t="n">
        <v>5</v>
      </c>
      <c r="AJ131" s="311" t="n">
        <v>1</v>
      </c>
      <c r="AK131" s="311" t="n">
        <v>30</v>
      </c>
      <c r="AU131" s="406"/>
    </row>
    <row r="132" customFormat="false" ht="12.75" hidden="false" customHeight="false" outlineLevel="0" collapsed="false">
      <c r="A132" s="352" t="str">
        <f aca="false">Option4!A99</f>
        <v>N/A</v>
      </c>
      <c r="B132" s="396" t="str">
        <f aca="false">IF(A132="N/A"," ",IF(ISERROR(N132),B120*Pwresc,N132)*VLOOKUP(MONTH(A132),Curveadj,3))</f>
        <v> </v>
      </c>
      <c r="C132" s="397" t="str">
        <f aca="false">IF(A132="N/A"," ",(IF(AND(Scaler4=1,MONTH(A132)&gt;=6,MONTH(A132)&lt;=8,OR($M$37="REGION 2",$M$37="REGION 2A",$M$37="REGION 2B",$M$37="REGION 3",$M$37="REGION 3A",$M$37="REGION 3B",$M$37="REGION 3C",$M$37="REGION 4",$M$37="REGION 4B",$M$37="REGION 4C",$M$37="REGION 5",$M$37="REGION 5A")),((0.059228/(B132/100))-(0.4980013/(SQRT(B132/100)))+2.137988),HLOOKUP(MONTH(A132),ScalarTable,28))))</f>
        <v> </v>
      </c>
      <c r="D132" s="398" t="str">
        <f aca="false">IF(A132="N/A"," ",C132*B132)</f>
        <v> </v>
      </c>
      <c r="E132" s="396" t="str">
        <f aca="false">IF(A132="N/A"," ",IF(ISERROR(O132),E120*Pwresc,O132)*VLOOKUP(MONTH(A132),Curveadj,3))</f>
        <v> </v>
      </c>
      <c r="F132" s="398" t="str">
        <f aca="false">IF(A132="N/A"," ",E132*C132)</f>
        <v> </v>
      </c>
      <c r="G132" s="396" t="str">
        <f aca="false">IF(A132="N/A"," ",IF(ISERROR(P132),G120*Pwresc,P132)*VLOOKUP(MONTH(A132),Curveadj,3))</f>
        <v> </v>
      </c>
      <c r="H132" s="398" t="str">
        <f aca="false">IF(A132="N/A"," ",G132*C132)</f>
        <v> </v>
      </c>
      <c r="I132" s="398" t="str">
        <f aca="false">IF(A132="N/A"," ",IF(ISERROR(Q132),I120*Pwresc,Q132))</f>
        <v> </v>
      </c>
      <c r="J132" s="398"/>
      <c r="K132" s="399"/>
      <c r="L132" s="399"/>
      <c r="M132" s="404"/>
      <c r="N132" s="401" t="str">
        <f aca="false">IF(A132="N/A"," ",VLOOKUP(A132,PeakPowerCurves,(IF(BMO4=2,3,IF(BMO4=1,2,4))),FALSE()))</f>
        <v> </v>
      </c>
      <c r="O132" s="401" t="str">
        <f aca="false">IF(A132="N/A"," ",VLOOKUP(A132,SatSunPeakPwr,(IF(BMO4=2,3,IF(BMO4=1,2,4))),FALSE()))</f>
        <v> </v>
      </c>
      <c r="P132" s="401" t="str">
        <f aca="false">IF(A132="N/A"," ",VLOOKUP(A132,SatSunPeakPwr,(IF(BMO4=2,7,IF(BMO4=1,6,8))),FALSE()))</f>
        <v> </v>
      </c>
      <c r="Q132" s="402" t="str">
        <f aca="false">IF(A132="N/A"," ",(VLOOKUP(A132,OPPowerPrices,(IF(BMO4=2,7,IF(BMO4=1,6,8))),FALSE())))</f>
        <v> </v>
      </c>
      <c r="R132" s="403" t="str">
        <f aca="false">IF(A132="N/A"," ",(VLOOKUP($A132,IRTable,2)))</f>
        <v> </v>
      </c>
      <c r="AF132" s="352" t="n">
        <v>40452</v>
      </c>
      <c r="AG132" s="311" t="n">
        <v>21</v>
      </c>
      <c r="AH132" s="311" t="n">
        <v>5</v>
      </c>
      <c r="AI132" s="311" t="n">
        <v>5</v>
      </c>
      <c r="AJ132" s="311" t="n">
        <v>0</v>
      </c>
      <c r="AK132" s="311" t="n">
        <v>31</v>
      </c>
      <c r="AU132" s="406"/>
    </row>
    <row r="133" customFormat="false" ht="12.75" hidden="false" customHeight="false" outlineLevel="0" collapsed="false">
      <c r="A133" s="352" t="str">
        <f aca="false">Option4!A100</f>
        <v>N/A</v>
      </c>
      <c r="B133" s="396" t="str">
        <f aca="false">IF(A133="N/A"," ",IF(ISERROR(N133),B121*Pwresc,N133)*VLOOKUP(MONTH(A133),Curveadj,3))</f>
        <v> </v>
      </c>
      <c r="C133" s="397" t="str">
        <f aca="false">IF(A133="N/A"," ",(IF(AND(Scaler4=1,MONTH(A133)&gt;=6,MONTH(A133)&lt;=8,OR($M$37="REGION 2",$M$37="REGION 2A",$M$37="REGION 2B",$M$37="REGION 3",$M$37="REGION 3A",$M$37="REGION 3B",$M$37="REGION 3C",$M$37="REGION 4",$M$37="REGION 4B",$M$37="REGION 4C",$M$37="REGION 5",$M$37="REGION 5A")),((0.059228/(B133/100))-(0.4980013/(SQRT(B133/100)))+2.137988),HLOOKUP(MONTH(A133),ScalarTable,28))))</f>
        <v> </v>
      </c>
      <c r="D133" s="398" t="str">
        <f aca="false">IF(A133="N/A"," ",C133*B133)</f>
        <v> </v>
      </c>
      <c r="E133" s="396" t="str">
        <f aca="false">IF(A133="N/A"," ",IF(ISERROR(O133),E121*Pwresc,O133)*VLOOKUP(MONTH(A133),Curveadj,3))</f>
        <v> </v>
      </c>
      <c r="F133" s="398" t="str">
        <f aca="false">IF(A133="N/A"," ",E133*C133)</f>
        <v> </v>
      </c>
      <c r="G133" s="396" t="str">
        <f aca="false">IF(A133="N/A"," ",IF(ISERROR(P133),G121*Pwresc,P133)*VLOOKUP(MONTH(A133),Curveadj,3))</f>
        <v> </v>
      </c>
      <c r="H133" s="398" t="str">
        <f aca="false">IF(A133="N/A"," ",G133*C133)</f>
        <v> </v>
      </c>
      <c r="I133" s="398" t="str">
        <f aca="false">IF(A133="N/A"," ",IF(ISERROR(Q133),I121*Pwresc,Q133))</f>
        <v> </v>
      </c>
      <c r="J133" s="398"/>
      <c r="K133" s="399"/>
      <c r="L133" s="399"/>
      <c r="M133" s="404"/>
      <c r="N133" s="401" t="str">
        <f aca="false">IF(A133="N/A"," ",VLOOKUP(A133,PeakPowerCurves,(IF(BMO4=2,3,IF(BMO4=1,2,4))),FALSE()))</f>
        <v> </v>
      </c>
      <c r="O133" s="401" t="str">
        <f aca="false">IF(A133="N/A"," ",VLOOKUP(A133,SatSunPeakPwr,(IF(BMO4=2,3,IF(BMO4=1,2,4))),FALSE()))</f>
        <v> </v>
      </c>
      <c r="P133" s="401" t="str">
        <f aca="false">IF(A133="N/A"," ",VLOOKUP(A133,SatSunPeakPwr,(IF(BMO4=2,7,IF(BMO4=1,6,8))),FALSE()))</f>
        <v> </v>
      </c>
      <c r="Q133" s="402" t="str">
        <f aca="false">IF(A133="N/A"," ",(VLOOKUP(A133,OPPowerPrices,(IF(BMO4=2,7,IF(BMO4=1,6,8))),FALSE())))</f>
        <v> </v>
      </c>
      <c r="R133" s="403" t="str">
        <f aca="false">IF(A133="N/A"," ",(VLOOKUP($A133,IRTable,2)))</f>
        <v> </v>
      </c>
      <c r="AF133" s="352" t="n">
        <v>40483</v>
      </c>
      <c r="AG133" s="311" t="n">
        <v>21</v>
      </c>
      <c r="AH133" s="311" t="n">
        <v>4</v>
      </c>
      <c r="AI133" s="311" t="n">
        <v>5</v>
      </c>
      <c r="AJ133" s="311" t="n">
        <v>1</v>
      </c>
      <c r="AK133" s="311" t="n">
        <v>30</v>
      </c>
      <c r="AU133" s="406"/>
    </row>
    <row r="134" customFormat="false" ht="12.75" hidden="false" customHeight="false" outlineLevel="0" collapsed="false">
      <c r="A134" s="352" t="str">
        <f aca="false">Option4!A101</f>
        <v>N/A</v>
      </c>
      <c r="B134" s="396" t="str">
        <f aca="false">IF(A134="N/A"," ",IF(ISERROR(N134),B122*Pwresc,N134)*VLOOKUP(MONTH(A134),Curveadj,3))</f>
        <v> </v>
      </c>
      <c r="C134" s="397" t="str">
        <f aca="false">IF(A134="N/A"," ",(IF(AND(Scaler4=1,MONTH(A134)&gt;=6,MONTH(A134)&lt;=8,OR($M$37="REGION 2",$M$37="REGION 2A",$M$37="REGION 2B",$M$37="REGION 3",$M$37="REGION 3A",$M$37="REGION 3B",$M$37="REGION 3C",$M$37="REGION 4",$M$37="REGION 4B",$M$37="REGION 4C",$M$37="REGION 5",$M$37="REGION 5A")),((0.059228/(B134/100))-(0.4980013/(SQRT(B134/100)))+2.137988),HLOOKUP(MONTH(A134),ScalarTable,28))))</f>
        <v> </v>
      </c>
      <c r="D134" s="398" t="str">
        <f aca="false">IF(A134="N/A"," ",C134*B134)</f>
        <v> </v>
      </c>
      <c r="E134" s="396" t="str">
        <f aca="false">IF(A134="N/A"," ",IF(ISERROR(O134),E122*Pwresc,O134)*VLOOKUP(MONTH(A134),Curveadj,3))</f>
        <v> </v>
      </c>
      <c r="F134" s="398" t="str">
        <f aca="false">IF(A134="N/A"," ",E134*C134)</f>
        <v> </v>
      </c>
      <c r="G134" s="396" t="str">
        <f aca="false">IF(A134="N/A"," ",IF(ISERROR(P134),G122*Pwresc,P134)*VLOOKUP(MONTH(A134),Curveadj,3))</f>
        <v> </v>
      </c>
      <c r="H134" s="398" t="str">
        <f aca="false">IF(A134="N/A"," ",G134*C134)</f>
        <v> </v>
      </c>
      <c r="I134" s="398" t="str">
        <f aca="false">IF(A134="N/A"," ",IF(ISERROR(Q134),I122*Pwresc,Q134))</f>
        <v> </v>
      </c>
      <c r="J134" s="398"/>
      <c r="K134" s="399"/>
      <c r="L134" s="399"/>
      <c r="M134" s="404"/>
      <c r="N134" s="401" t="str">
        <f aca="false">IF(A134="N/A"," ",VLOOKUP(A134,PeakPowerCurves,(IF(BMO4=2,3,IF(BMO4=1,2,4))),FALSE()))</f>
        <v> </v>
      </c>
      <c r="O134" s="401" t="str">
        <f aca="false">IF(A134="N/A"," ",VLOOKUP(A134,SatSunPeakPwr,(IF(BMO4=2,3,IF(BMO4=1,2,4))),FALSE()))</f>
        <v> </v>
      </c>
      <c r="P134" s="401" t="str">
        <f aca="false">IF(A134="N/A"," ",VLOOKUP(A134,SatSunPeakPwr,(IF(BMO4=2,7,IF(BMO4=1,6,8))),FALSE()))</f>
        <v> </v>
      </c>
      <c r="Q134" s="402" t="str">
        <f aca="false">IF(A134="N/A"," ",(VLOOKUP(A134,OPPowerPrices,(IF(BMO4=2,7,IF(BMO4=1,6,8))),FALSE())))</f>
        <v> </v>
      </c>
      <c r="R134" s="403" t="str">
        <f aca="false">IF(A134="N/A"," ",(VLOOKUP($A134,IRTable,2)))</f>
        <v> </v>
      </c>
      <c r="AF134" s="352" t="n">
        <v>40513</v>
      </c>
      <c r="AG134" s="311" t="n">
        <v>23</v>
      </c>
      <c r="AH134" s="311" t="n">
        <v>3</v>
      </c>
      <c r="AI134" s="311" t="n">
        <v>5</v>
      </c>
      <c r="AJ134" s="311" t="n">
        <v>1</v>
      </c>
      <c r="AK134" s="311" t="n">
        <v>31</v>
      </c>
      <c r="AU134" s="406"/>
    </row>
    <row r="135" customFormat="false" ht="12.75" hidden="false" customHeight="false" outlineLevel="0" collapsed="false">
      <c r="A135" s="352" t="str">
        <f aca="false">Option4!A102</f>
        <v>N/A</v>
      </c>
      <c r="B135" s="396" t="str">
        <f aca="false">IF(A135="N/A"," ",IF(ISERROR(N135),B123*Pwresc,N135)*VLOOKUP(MONTH(A135),Curveadj,3))</f>
        <v> </v>
      </c>
      <c r="C135" s="397" t="str">
        <f aca="false">IF(A135="N/A"," ",(IF(AND(Scaler4=1,MONTH(A135)&gt;=6,MONTH(A135)&lt;=8,OR($M$37="REGION 2",$M$37="REGION 2A",$M$37="REGION 2B",$M$37="REGION 3",$M$37="REGION 3A",$M$37="REGION 3B",$M$37="REGION 3C",$M$37="REGION 4",$M$37="REGION 4B",$M$37="REGION 4C",$M$37="REGION 5",$M$37="REGION 5A")),((0.059228/(B135/100))-(0.4980013/(SQRT(B135/100)))+2.137988),HLOOKUP(MONTH(A135),ScalarTable,28))))</f>
        <v> </v>
      </c>
      <c r="D135" s="398" t="str">
        <f aca="false">IF(A135="N/A"," ",C135*B135)</f>
        <v> </v>
      </c>
      <c r="E135" s="396" t="str">
        <f aca="false">IF(A135="N/A"," ",IF(ISERROR(O135),E123*Pwresc,O135)*VLOOKUP(MONTH(A135),Curveadj,3))</f>
        <v> </v>
      </c>
      <c r="F135" s="398" t="str">
        <f aca="false">IF(A135="N/A"," ",E135*C135)</f>
        <v> </v>
      </c>
      <c r="G135" s="396" t="str">
        <f aca="false">IF(A135="N/A"," ",IF(ISERROR(P135),G123*Pwresc,P135)*VLOOKUP(MONTH(A135),Curveadj,3))</f>
        <v> </v>
      </c>
      <c r="H135" s="398" t="str">
        <f aca="false">IF(A135="N/A"," ",G135*C135)</f>
        <v> </v>
      </c>
      <c r="I135" s="398" t="str">
        <f aca="false">IF(A135="N/A"," ",IF(ISERROR(Q135),I123*Pwresc,Q135))</f>
        <v> </v>
      </c>
      <c r="J135" s="398"/>
      <c r="K135" s="399"/>
      <c r="L135" s="399"/>
      <c r="M135" s="404"/>
      <c r="N135" s="401" t="str">
        <f aca="false">IF(A135="N/A"," ",VLOOKUP(A135,PeakPowerCurves,(IF(BMO4=2,3,IF(BMO4=1,2,4))),FALSE()))</f>
        <v> </v>
      </c>
      <c r="O135" s="401" t="str">
        <f aca="false">IF(A135="N/A"," ",VLOOKUP(A135,SatSunPeakPwr,(IF(BMO4=2,3,IF(BMO4=1,2,4))),FALSE()))</f>
        <v> </v>
      </c>
      <c r="P135" s="401" t="str">
        <f aca="false">IF(A135="N/A"," ",VLOOKUP(A135,SatSunPeakPwr,(IF(BMO4=2,7,IF(BMO4=1,6,8))),FALSE()))</f>
        <v> </v>
      </c>
      <c r="Q135" s="402" t="str">
        <f aca="false">IF(A135="N/A"," ",(VLOOKUP(A135,OPPowerPrices,(IF(BMO4=2,7,IF(BMO4=1,6,8))),FALSE())))</f>
        <v> </v>
      </c>
      <c r="R135" s="403" t="str">
        <f aca="false">IF(A135="N/A"," ",(VLOOKUP($A135,IRTable,2)))</f>
        <v> </v>
      </c>
      <c r="AF135" s="352" t="n">
        <v>40544</v>
      </c>
      <c r="AG135" s="311" t="n">
        <v>21</v>
      </c>
      <c r="AH135" s="311" t="n">
        <v>4</v>
      </c>
      <c r="AI135" s="311" t="n">
        <v>6</v>
      </c>
      <c r="AJ135" s="311" t="n">
        <v>1</v>
      </c>
      <c r="AK135" s="311" t="n">
        <v>31</v>
      </c>
      <c r="AU135" s="406"/>
    </row>
    <row r="136" customFormat="false" ht="12.75" hidden="false" customHeight="false" outlineLevel="0" collapsed="false">
      <c r="A136" s="352" t="str">
        <f aca="false">Option4!A103</f>
        <v>N/A</v>
      </c>
      <c r="B136" s="396" t="str">
        <f aca="false">IF(A136="N/A"," ",IF(ISERROR(N136),B124*Pwresc,N136)*VLOOKUP(MONTH(A136),Curveadj,3))</f>
        <v> </v>
      </c>
      <c r="C136" s="397" t="str">
        <f aca="false">IF(A136="N/A"," ",(IF(AND(Scaler4=1,MONTH(A136)&gt;=6,MONTH(A136)&lt;=8,OR($M$37="REGION 2",$M$37="REGION 2A",$M$37="REGION 2B",$M$37="REGION 3",$M$37="REGION 3A",$M$37="REGION 3B",$M$37="REGION 3C",$M$37="REGION 4",$M$37="REGION 4B",$M$37="REGION 4C",$M$37="REGION 5",$M$37="REGION 5A")),((0.059228/(B136/100))-(0.4980013/(SQRT(B136/100)))+2.137988),HLOOKUP(MONTH(A136),ScalarTable,28))))</f>
        <v> </v>
      </c>
      <c r="D136" s="398" t="str">
        <f aca="false">IF(A136="N/A"," ",C136*B136)</f>
        <v> </v>
      </c>
      <c r="E136" s="396" t="str">
        <f aca="false">IF(A136="N/A"," ",IF(ISERROR(O136),E124*Pwresc,O136)*VLOOKUP(MONTH(A136),Curveadj,3))</f>
        <v> </v>
      </c>
      <c r="F136" s="398" t="str">
        <f aca="false">IF(A136="N/A"," ",E136*C136)</f>
        <v> </v>
      </c>
      <c r="G136" s="396" t="str">
        <f aca="false">IF(A136="N/A"," ",IF(ISERROR(P136),G124*Pwresc,P136)*VLOOKUP(MONTH(A136),Curveadj,3))</f>
        <v> </v>
      </c>
      <c r="H136" s="398" t="str">
        <f aca="false">IF(A136="N/A"," ",G136*C136)</f>
        <v> </v>
      </c>
      <c r="I136" s="398" t="str">
        <f aca="false">IF(A136="N/A"," ",IF(ISERROR(Q136),I124*Pwresc,Q136))</f>
        <v> </v>
      </c>
      <c r="J136" s="398"/>
      <c r="K136" s="399"/>
      <c r="L136" s="399"/>
      <c r="M136" s="404"/>
      <c r="N136" s="401" t="str">
        <f aca="false">IF(A136="N/A"," ",VLOOKUP(A136,PeakPowerCurves,(IF(BMO4=2,3,IF(BMO4=1,2,4))),FALSE()))</f>
        <v> </v>
      </c>
      <c r="O136" s="401" t="str">
        <f aca="false">IF(A136="N/A"," ",VLOOKUP(A136,SatSunPeakPwr,(IF(BMO4=2,3,IF(BMO4=1,2,4))),FALSE()))</f>
        <v> </v>
      </c>
      <c r="P136" s="401" t="str">
        <f aca="false">IF(A136="N/A"," ",VLOOKUP(A136,SatSunPeakPwr,(IF(BMO4=2,7,IF(BMO4=1,6,8))),FALSE()))</f>
        <v> </v>
      </c>
      <c r="Q136" s="402" t="str">
        <f aca="false">IF(A136="N/A"," ",(VLOOKUP(A136,OPPowerPrices,(IF(BMO4=2,7,IF(BMO4=1,6,8))),FALSE())))</f>
        <v> </v>
      </c>
      <c r="R136" s="403" t="str">
        <f aca="false">IF(A136="N/A"," ",(VLOOKUP($A136,IRTable,2)))</f>
        <v> </v>
      </c>
      <c r="AF136" s="352" t="n">
        <v>40575</v>
      </c>
      <c r="AG136" s="311" t="n">
        <v>20</v>
      </c>
      <c r="AH136" s="311" t="n">
        <v>4</v>
      </c>
      <c r="AI136" s="311" t="n">
        <v>4</v>
      </c>
      <c r="AJ136" s="311" t="n">
        <v>0</v>
      </c>
      <c r="AK136" s="311" t="n">
        <v>28</v>
      </c>
      <c r="AU136" s="406"/>
    </row>
    <row r="137" customFormat="false" ht="12.75" hidden="false" customHeight="false" outlineLevel="0" collapsed="false">
      <c r="A137" s="352" t="str">
        <f aca="false">Option4!A104</f>
        <v>N/A</v>
      </c>
      <c r="B137" s="396" t="str">
        <f aca="false">IF(A137="N/A"," ",IF(ISERROR(N137),B125*Pwresc,N137)*VLOOKUP(MONTH(A137),Curveadj,3))</f>
        <v> </v>
      </c>
      <c r="C137" s="397" t="str">
        <f aca="false">IF(A137="N/A"," ",(IF(AND(Scaler4=1,MONTH(A137)&gt;=6,MONTH(A137)&lt;=8,OR($M$37="REGION 2",$M$37="REGION 2A",$M$37="REGION 2B",$M$37="REGION 3",$M$37="REGION 3A",$M$37="REGION 3B",$M$37="REGION 3C",$M$37="REGION 4",$M$37="REGION 4B",$M$37="REGION 4C",$M$37="REGION 5",$M$37="REGION 5A")),((0.059228/(B137/100))-(0.4980013/(SQRT(B137/100)))+2.137988),HLOOKUP(MONTH(A137),ScalarTable,28))))</f>
        <v> </v>
      </c>
      <c r="D137" s="398" t="str">
        <f aca="false">IF(A137="N/A"," ",C137*B137)</f>
        <v> </v>
      </c>
      <c r="E137" s="396" t="str">
        <f aca="false">IF(A137="N/A"," ",IF(ISERROR(O137),E125*Pwresc,O137)*VLOOKUP(MONTH(A137),Curveadj,3))</f>
        <v> </v>
      </c>
      <c r="F137" s="398" t="str">
        <f aca="false">IF(A137="N/A"," ",E137*C137)</f>
        <v> </v>
      </c>
      <c r="G137" s="396" t="str">
        <f aca="false">IF(A137="N/A"," ",IF(ISERROR(P137),G125*Pwresc,P137)*VLOOKUP(MONTH(A137),Curveadj,3))</f>
        <v> </v>
      </c>
      <c r="H137" s="398" t="str">
        <f aca="false">IF(A137="N/A"," ",G137*C137)</f>
        <v> </v>
      </c>
      <c r="I137" s="398" t="str">
        <f aca="false">IF(A137="N/A"," ",IF(ISERROR(Q137),I125*Pwresc,Q137))</f>
        <v> </v>
      </c>
      <c r="J137" s="398"/>
      <c r="K137" s="399"/>
      <c r="L137" s="399"/>
      <c r="M137" s="404"/>
      <c r="N137" s="401" t="str">
        <f aca="false">IF(A137="N/A"," ",VLOOKUP(A137,PeakPowerCurves,(IF(BMO4=2,3,IF(BMO4=1,2,4))),FALSE()))</f>
        <v> </v>
      </c>
      <c r="O137" s="401" t="str">
        <f aca="false">IF(A137="N/A"," ",VLOOKUP(A137,SatSunPeakPwr,(IF(BMO4=2,3,IF(BMO4=1,2,4))),FALSE()))</f>
        <v> </v>
      </c>
      <c r="P137" s="401" t="str">
        <f aca="false">IF(A137="N/A"," ",VLOOKUP(A137,SatSunPeakPwr,(IF(BMO4=2,7,IF(BMO4=1,6,8))),FALSE()))</f>
        <v> </v>
      </c>
      <c r="Q137" s="402" t="str">
        <f aca="false">IF(A137="N/A"," ",(VLOOKUP(A137,OPPowerPrices,(IF(BMO4=2,7,IF(BMO4=1,6,8))),FALSE())))</f>
        <v> </v>
      </c>
      <c r="R137" s="403" t="str">
        <f aca="false">IF(A137="N/A"," ",(VLOOKUP($A137,IRTable,2)))</f>
        <v> </v>
      </c>
      <c r="AF137" s="352" t="n">
        <v>40603</v>
      </c>
      <c r="AG137" s="311" t="n">
        <v>23</v>
      </c>
      <c r="AH137" s="311" t="n">
        <v>4</v>
      </c>
      <c r="AI137" s="311" t="n">
        <v>4</v>
      </c>
      <c r="AJ137" s="311" t="n">
        <v>0</v>
      </c>
      <c r="AK137" s="311" t="n">
        <v>31</v>
      </c>
      <c r="AU137" s="406"/>
    </row>
    <row r="138" customFormat="false" ht="12.75" hidden="false" customHeight="false" outlineLevel="0" collapsed="false">
      <c r="A138" s="352" t="str">
        <f aca="false">Option4!A105</f>
        <v>N/A</v>
      </c>
      <c r="B138" s="396" t="str">
        <f aca="false">IF(A138="N/A"," ",IF(ISERROR(N138),B126*Pwresc,N138)*VLOOKUP(MONTH(A138),Curveadj,3))</f>
        <v> </v>
      </c>
      <c r="C138" s="397" t="str">
        <f aca="false">IF(A138="N/A"," ",(IF(AND(Scaler4=1,MONTH(A138)&gt;=6,MONTH(A138)&lt;=8,OR($M$37="REGION 2",$M$37="REGION 2A",$M$37="REGION 2B",$M$37="REGION 3",$M$37="REGION 3A",$M$37="REGION 3B",$M$37="REGION 3C",$M$37="REGION 4",$M$37="REGION 4B",$M$37="REGION 4C",$M$37="REGION 5",$M$37="REGION 5A")),((0.059228/(B138/100))-(0.4980013/(SQRT(B138/100)))+2.137988),HLOOKUP(MONTH(A138),ScalarTable,28))))</f>
        <v> </v>
      </c>
      <c r="D138" s="398" t="str">
        <f aca="false">IF(A138="N/A"," ",C138*B138)</f>
        <v> </v>
      </c>
      <c r="E138" s="396" t="str">
        <f aca="false">IF(A138="N/A"," ",IF(ISERROR(O138),E126*Pwresc,O138)*VLOOKUP(MONTH(A138),Curveadj,3))</f>
        <v> </v>
      </c>
      <c r="F138" s="398" t="str">
        <f aca="false">IF(A138="N/A"," ",E138*C138)</f>
        <v> </v>
      </c>
      <c r="G138" s="396" t="str">
        <f aca="false">IF(A138="N/A"," ",IF(ISERROR(P138),G126*Pwresc,P138)*VLOOKUP(MONTH(A138),Curveadj,3))</f>
        <v> </v>
      </c>
      <c r="H138" s="398" t="str">
        <f aca="false">IF(A138="N/A"," ",G138*C138)</f>
        <v> </v>
      </c>
      <c r="I138" s="398" t="str">
        <f aca="false">IF(A138="N/A"," ",IF(ISERROR(Q138),I126*Pwresc,Q138))</f>
        <v> </v>
      </c>
      <c r="J138" s="398"/>
      <c r="K138" s="399"/>
      <c r="L138" s="399"/>
      <c r="M138" s="404"/>
      <c r="N138" s="401" t="str">
        <f aca="false">IF(A138="N/A"," ",VLOOKUP(A138,PeakPowerCurves,(IF(BMO4=2,3,IF(BMO4=1,2,4))),FALSE()))</f>
        <v> </v>
      </c>
      <c r="O138" s="401" t="str">
        <f aca="false">IF(A138="N/A"," ",VLOOKUP(A138,SatSunPeakPwr,(IF(BMO4=2,3,IF(BMO4=1,2,4))),FALSE()))</f>
        <v> </v>
      </c>
      <c r="P138" s="401" t="str">
        <f aca="false">IF(A138="N/A"," ",VLOOKUP(A138,SatSunPeakPwr,(IF(BMO4=2,7,IF(BMO4=1,6,8))),FALSE()))</f>
        <v> </v>
      </c>
      <c r="Q138" s="402" t="str">
        <f aca="false">IF(A138="N/A"," ",(VLOOKUP(A138,OPPowerPrices,(IF(BMO4=2,7,IF(BMO4=1,6,8))),FALSE())))</f>
        <v> </v>
      </c>
      <c r="R138" s="403" t="str">
        <f aca="false">IF(A138="N/A"," ",(VLOOKUP($A138,IRTable,2)))</f>
        <v> </v>
      </c>
      <c r="AF138" s="352" t="n">
        <v>40634</v>
      </c>
      <c r="AG138" s="311" t="n">
        <v>21</v>
      </c>
      <c r="AH138" s="311" t="n">
        <v>5</v>
      </c>
      <c r="AI138" s="311" t="n">
        <v>4</v>
      </c>
      <c r="AJ138" s="311" t="n">
        <v>0</v>
      </c>
      <c r="AK138" s="311" t="n">
        <v>30</v>
      </c>
      <c r="AU138" s="406"/>
    </row>
    <row r="139" customFormat="false" ht="12.75" hidden="false" customHeight="false" outlineLevel="0" collapsed="false">
      <c r="A139" s="352" t="str">
        <f aca="false">Option4!A106</f>
        <v>N/A</v>
      </c>
      <c r="B139" s="396" t="str">
        <f aca="false">IF(A139="N/A"," ",IF(ISERROR(N139),B127*Pwresc,N139)*VLOOKUP(MONTH(A139),Curveadj,3))</f>
        <v> </v>
      </c>
      <c r="C139" s="397" t="str">
        <f aca="false">IF(A139="N/A"," ",(IF(AND(Scaler4=1,MONTH(A139)&gt;=6,MONTH(A139)&lt;=8,OR($M$37="REGION 2",$M$37="REGION 2A",$M$37="REGION 2B",$M$37="REGION 3",$M$37="REGION 3A",$M$37="REGION 3B",$M$37="REGION 3C",$M$37="REGION 4",$M$37="REGION 4B",$M$37="REGION 4C",$M$37="REGION 5",$M$37="REGION 5A")),((0.059228/(B139/100))-(0.4980013/(SQRT(B139/100)))+2.137988),HLOOKUP(MONTH(A139),ScalarTable,28))))</f>
        <v> </v>
      </c>
      <c r="D139" s="398" t="str">
        <f aca="false">IF(A139="N/A"," ",C139*B139)</f>
        <v> </v>
      </c>
      <c r="E139" s="396" t="str">
        <f aca="false">IF(A139="N/A"," ",IF(ISERROR(O139),E127*Pwresc,O139)*VLOOKUP(MONTH(A139),Curveadj,3))</f>
        <v> </v>
      </c>
      <c r="F139" s="398" t="str">
        <f aca="false">IF(A139="N/A"," ",E139*C139)</f>
        <v> </v>
      </c>
      <c r="G139" s="396" t="str">
        <f aca="false">IF(A139="N/A"," ",IF(ISERROR(P139),G127*Pwresc,P139)*VLOOKUP(MONTH(A139),Curveadj,3))</f>
        <v> </v>
      </c>
      <c r="H139" s="398" t="str">
        <f aca="false">IF(A139="N/A"," ",G139*C139)</f>
        <v> </v>
      </c>
      <c r="I139" s="398" t="str">
        <f aca="false">IF(A139="N/A"," ",IF(ISERROR(Q139),I127*Pwresc,Q139))</f>
        <v> </v>
      </c>
      <c r="J139" s="398"/>
      <c r="K139" s="399"/>
      <c r="L139" s="399"/>
      <c r="M139" s="404"/>
      <c r="N139" s="401" t="str">
        <f aca="false">IF(A139="N/A"," ",VLOOKUP(A139,PeakPowerCurves,(IF(BMO4=2,3,IF(BMO4=1,2,4))),FALSE()))</f>
        <v> </v>
      </c>
      <c r="O139" s="401" t="str">
        <f aca="false">IF(A139="N/A"," ",VLOOKUP(A139,SatSunPeakPwr,(IF(BMO4=2,3,IF(BMO4=1,2,4))),FALSE()))</f>
        <v> </v>
      </c>
      <c r="P139" s="401" t="str">
        <f aca="false">IF(A139="N/A"," ",VLOOKUP(A139,SatSunPeakPwr,(IF(BMO4=2,7,IF(BMO4=1,6,8))),FALSE()))</f>
        <v> </v>
      </c>
      <c r="Q139" s="402" t="str">
        <f aca="false">IF(A139="N/A"," ",(VLOOKUP(A139,OPPowerPrices,(IF(BMO4=2,7,IF(BMO4=1,6,8))),FALSE())))</f>
        <v> </v>
      </c>
      <c r="R139" s="403" t="str">
        <f aca="false">IF(A139="N/A"," ",(VLOOKUP($A139,IRTable,2)))</f>
        <v> </v>
      </c>
      <c r="AF139" s="352" t="n">
        <v>40664</v>
      </c>
      <c r="AG139" s="311" t="n">
        <v>21</v>
      </c>
      <c r="AH139" s="311" t="n">
        <v>4</v>
      </c>
      <c r="AI139" s="311" t="n">
        <v>6</v>
      </c>
      <c r="AJ139" s="311" t="n">
        <v>1</v>
      </c>
      <c r="AK139" s="311" t="n">
        <v>31</v>
      </c>
      <c r="AU139" s="406"/>
    </row>
    <row r="140" customFormat="false" ht="12.75" hidden="false" customHeight="false" outlineLevel="0" collapsed="false">
      <c r="A140" s="352" t="str">
        <f aca="false">Option4!A107</f>
        <v>N/A</v>
      </c>
      <c r="B140" s="396" t="str">
        <f aca="false">IF(A140="N/A"," ",IF(ISERROR(N140),B128*Pwresc,N140)*VLOOKUP(MONTH(A140),Curveadj,3))</f>
        <v> </v>
      </c>
      <c r="C140" s="397" t="str">
        <f aca="false">IF(A140="N/A"," ",(IF(AND(Scaler4=1,MONTH(A140)&gt;=6,MONTH(A140)&lt;=8,OR($M$37="REGION 2",$M$37="REGION 2A",$M$37="REGION 2B",$M$37="REGION 3",$M$37="REGION 3A",$M$37="REGION 3B",$M$37="REGION 3C",$M$37="REGION 4",$M$37="REGION 4B",$M$37="REGION 4C",$M$37="REGION 5",$M$37="REGION 5A")),((0.059228/(B140/100))-(0.4980013/(SQRT(B140/100)))+2.137988),HLOOKUP(MONTH(A140),ScalarTable,28))))</f>
        <v> </v>
      </c>
      <c r="D140" s="398" t="str">
        <f aca="false">IF(A140="N/A"," ",C140*B140)</f>
        <v> </v>
      </c>
      <c r="E140" s="396" t="str">
        <f aca="false">IF(A140="N/A"," ",IF(ISERROR(O140),E128*Pwresc,O140)*VLOOKUP(MONTH(A140),Curveadj,3))</f>
        <v> </v>
      </c>
      <c r="F140" s="398" t="str">
        <f aca="false">IF(A140="N/A"," ",E140*C140)</f>
        <v> </v>
      </c>
      <c r="G140" s="396" t="str">
        <f aca="false">IF(A140="N/A"," ",IF(ISERROR(P140),G128*Pwresc,P140)*VLOOKUP(MONTH(A140),Curveadj,3))</f>
        <v> </v>
      </c>
      <c r="H140" s="398" t="str">
        <f aca="false">IF(A140="N/A"," ",G140*C140)</f>
        <v> </v>
      </c>
      <c r="I140" s="398" t="str">
        <f aca="false">IF(A140="N/A"," ",IF(ISERROR(Q140),I128*Pwresc,Q140))</f>
        <v> </v>
      </c>
      <c r="J140" s="398"/>
      <c r="K140" s="399"/>
      <c r="L140" s="399"/>
      <c r="M140" s="404"/>
      <c r="N140" s="401" t="str">
        <f aca="false">IF(A140="N/A"," ",VLOOKUP(A140,PeakPowerCurves,(IF(BMO4=2,3,IF(BMO4=1,2,4))),FALSE()))</f>
        <v> </v>
      </c>
      <c r="O140" s="401" t="str">
        <f aca="false">IF(A140="N/A"," ",VLOOKUP(A140,SatSunPeakPwr,(IF(BMO4=2,3,IF(BMO4=1,2,4))),FALSE()))</f>
        <v> </v>
      </c>
      <c r="P140" s="401" t="str">
        <f aca="false">IF(A140="N/A"," ",VLOOKUP(A140,SatSunPeakPwr,(IF(BMO4=2,7,IF(BMO4=1,6,8))),FALSE()))</f>
        <v> </v>
      </c>
      <c r="Q140" s="402" t="str">
        <f aca="false">IF(A140="N/A"," ",(VLOOKUP(A140,OPPowerPrices,(IF(BMO4=2,7,IF(BMO4=1,6,8))),FALSE())))</f>
        <v> </v>
      </c>
      <c r="R140" s="403" t="str">
        <f aca="false">IF(A140="N/A"," ",(VLOOKUP($A140,IRTable,2)))</f>
        <v> </v>
      </c>
      <c r="AF140" s="352" t="n">
        <v>40695</v>
      </c>
      <c r="AG140" s="311" t="n">
        <v>22</v>
      </c>
      <c r="AH140" s="311" t="n">
        <v>4</v>
      </c>
      <c r="AI140" s="311" t="n">
        <v>4</v>
      </c>
      <c r="AJ140" s="311" t="n">
        <v>0</v>
      </c>
      <c r="AK140" s="311" t="n">
        <v>30</v>
      </c>
      <c r="AU140" s="406"/>
    </row>
    <row r="141" customFormat="false" ht="12.75" hidden="false" customHeight="false" outlineLevel="0" collapsed="false">
      <c r="A141" s="352" t="str">
        <f aca="false">Option4!A108</f>
        <v>N/A</v>
      </c>
      <c r="B141" s="396" t="str">
        <f aca="false">IF(A141="N/A"," ",IF(ISERROR(N141),B129*Pwresc,N141)*VLOOKUP(MONTH(A141),Curveadj,3))</f>
        <v> </v>
      </c>
      <c r="C141" s="397" t="str">
        <f aca="false">IF(A141="N/A"," ",(IF(AND(Scaler4=1,MONTH(A141)&gt;=6,MONTH(A141)&lt;=8,OR($M$37="REGION 2",$M$37="REGION 2A",$M$37="REGION 2B",$M$37="REGION 3",$M$37="REGION 3A",$M$37="REGION 3B",$M$37="REGION 3C",$M$37="REGION 4",$M$37="REGION 4B",$M$37="REGION 4C",$M$37="REGION 5",$M$37="REGION 5A")),((0.059228/(B141/100))-(0.4980013/(SQRT(B141/100)))+2.137988),HLOOKUP(MONTH(A141),ScalarTable,28))))</f>
        <v> </v>
      </c>
      <c r="D141" s="398" t="str">
        <f aca="false">IF(A141="N/A"," ",C141*B141)</f>
        <v> </v>
      </c>
      <c r="E141" s="396" t="str">
        <f aca="false">IF(A141="N/A"," ",IF(ISERROR(O141),E129*Pwresc,O141)*VLOOKUP(MONTH(A141),Curveadj,3))</f>
        <v> </v>
      </c>
      <c r="F141" s="398" t="str">
        <f aca="false">IF(A141="N/A"," ",E141*C141)</f>
        <v> </v>
      </c>
      <c r="G141" s="396" t="str">
        <f aca="false">IF(A141="N/A"," ",IF(ISERROR(P141),G129*Pwresc,P141)*VLOOKUP(MONTH(A141),Curveadj,3))</f>
        <v> </v>
      </c>
      <c r="H141" s="398" t="str">
        <f aca="false">IF(A141="N/A"," ",G141*C141)</f>
        <v> </v>
      </c>
      <c r="I141" s="398" t="str">
        <f aca="false">IF(A141="N/A"," ",IF(ISERROR(Q141),I129*Pwresc,Q141))</f>
        <v> </v>
      </c>
      <c r="J141" s="398"/>
      <c r="K141" s="399"/>
      <c r="L141" s="399"/>
      <c r="M141" s="404"/>
      <c r="N141" s="401" t="str">
        <f aca="false">IF(A141="N/A"," ",VLOOKUP(A141,PeakPowerCurves,(IF(BMO4=2,3,IF(BMO4=1,2,4))),FALSE()))</f>
        <v> </v>
      </c>
      <c r="O141" s="401" t="str">
        <f aca="false">IF(A141="N/A"," ",VLOOKUP(A141,SatSunPeakPwr,(IF(BMO4=2,3,IF(BMO4=1,2,4))),FALSE()))</f>
        <v> </v>
      </c>
      <c r="P141" s="401" t="str">
        <f aca="false">IF(A141="N/A"," ",VLOOKUP(A141,SatSunPeakPwr,(IF(BMO4=2,7,IF(BMO4=1,6,8))),FALSE()))</f>
        <v> </v>
      </c>
      <c r="Q141" s="402" t="str">
        <f aca="false">IF(A141="N/A"," ",(VLOOKUP(A141,OPPowerPrices,(IF(BMO4=2,7,IF(BMO4=1,6,8))),FALSE())))</f>
        <v> </v>
      </c>
      <c r="R141" s="403" t="str">
        <f aca="false">IF(A141="N/A"," ",(VLOOKUP($A141,IRTable,2)))</f>
        <v> </v>
      </c>
      <c r="AF141" s="352" t="n">
        <v>40725</v>
      </c>
      <c r="AG141" s="311" t="n">
        <v>20</v>
      </c>
      <c r="AH141" s="311" t="n">
        <v>5</v>
      </c>
      <c r="AI141" s="311" t="n">
        <v>6</v>
      </c>
      <c r="AJ141" s="311" t="n">
        <v>1</v>
      </c>
      <c r="AK141" s="311" t="n">
        <v>31</v>
      </c>
      <c r="AU141" s="406"/>
    </row>
    <row r="142" customFormat="false" ht="12.75" hidden="false" customHeight="false" outlineLevel="0" collapsed="false">
      <c r="A142" s="352" t="str">
        <f aca="false">Option4!A109</f>
        <v>N/A</v>
      </c>
      <c r="B142" s="396" t="str">
        <f aca="false">IF(A142="N/A"," ",IF(ISERROR(N142),B130*Pwresc,N142)*VLOOKUP(MONTH(A142),Curveadj,3))</f>
        <v> </v>
      </c>
      <c r="C142" s="397" t="str">
        <f aca="false">IF(A142="N/A"," ",(IF(AND(Scaler4=1,MONTH(A142)&gt;=6,MONTH(A142)&lt;=8,OR($M$37="REGION 2",$M$37="REGION 2A",$M$37="REGION 2B",$M$37="REGION 3",$M$37="REGION 3A",$M$37="REGION 3B",$M$37="REGION 3C",$M$37="REGION 4",$M$37="REGION 4B",$M$37="REGION 4C",$M$37="REGION 5",$M$37="REGION 5A")),((0.059228/(B142/100))-(0.4980013/(SQRT(B142/100)))+2.137988),HLOOKUP(MONTH(A142),ScalarTable,28))))</f>
        <v> </v>
      </c>
      <c r="D142" s="398" t="str">
        <f aca="false">IF(A142="N/A"," ",C142*B142)</f>
        <v> </v>
      </c>
      <c r="E142" s="396" t="str">
        <f aca="false">IF(A142="N/A"," ",IF(ISERROR(O142),E130*Pwresc,O142)*VLOOKUP(MONTH(A142),Curveadj,3))</f>
        <v> </v>
      </c>
      <c r="F142" s="398" t="str">
        <f aca="false">IF(A142="N/A"," ",E142*C142)</f>
        <v> </v>
      </c>
      <c r="G142" s="396" t="str">
        <f aca="false">IF(A142="N/A"," ",IF(ISERROR(P142),G130*Pwresc,P142)*VLOOKUP(MONTH(A142),Curveadj,3))</f>
        <v> </v>
      </c>
      <c r="H142" s="398" t="str">
        <f aca="false">IF(A142="N/A"," ",G142*C142)</f>
        <v> </v>
      </c>
      <c r="I142" s="398" t="str">
        <f aca="false">IF(A142="N/A"," ",IF(ISERROR(Q142),I130*Pwresc,Q142))</f>
        <v> </v>
      </c>
      <c r="J142" s="398"/>
      <c r="K142" s="399"/>
      <c r="L142" s="399"/>
      <c r="M142" s="404"/>
      <c r="N142" s="401" t="str">
        <f aca="false">IF(A142="N/A"," ",VLOOKUP(A142,PeakPowerCurves,(IF(BMO4=2,3,IF(BMO4=1,2,4))),FALSE()))</f>
        <v> </v>
      </c>
      <c r="O142" s="401" t="str">
        <f aca="false">IF(A142="N/A"," ",VLOOKUP(A142,SatSunPeakPwr,(IF(BMO4=2,3,IF(BMO4=1,2,4))),FALSE()))</f>
        <v> </v>
      </c>
      <c r="P142" s="401" t="str">
        <f aca="false">IF(A142="N/A"," ",VLOOKUP(A142,SatSunPeakPwr,(IF(BMO4=2,7,IF(BMO4=1,6,8))),FALSE()))</f>
        <v> </v>
      </c>
      <c r="Q142" s="402" t="str">
        <f aca="false">IF(A142="N/A"," ",(VLOOKUP(A142,OPPowerPrices,(IF(BMO4=2,7,IF(BMO4=1,6,8))),FALSE())))</f>
        <v> </v>
      </c>
      <c r="R142" s="403" t="str">
        <f aca="false">IF(A142="N/A"," ",(VLOOKUP($A142,IRTable,2)))</f>
        <v> </v>
      </c>
      <c r="AF142" s="352" t="n">
        <v>40756</v>
      </c>
      <c r="AG142" s="311" t="n">
        <v>23</v>
      </c>
      <c r="AH142" s="311" t="n">
        <v>4</v>
      </c>
      <c r="AI142" s="311" t="n">
        <v>4</v>
      </c>
      <c r="AJ142" s="311" t="n">
        <v>0</v>
      </c>
      <c r="AK142" s="311" t="n">
        <v>31</v>
      </c>
      <c r="AU142" s="406"/>
    </row>
    <row r="143" customFormat="false" ht="12.75" hidden="false" customHeight="false" outlineLevel="0" collapsed="false">
      <c r="A143" s="352" t="str">
        <f aca="false">Option4!A110</f>
        <v>N/A</v>
      </c>
      <c r="B143" s="396" t="str">
        <f aca="false">IF(A143="N/A"," ",IF(ISERROR(N143),B131*Pwresc,N143)*VLOOKUP(MONTH(A143),Curveadj,3))</f>
        <v> </v>
      </c>
      <c r="C143" s="397" t="str">
        <f aca="false">IF(A143="N/A"," ",(IF(AND(Scaler4=1,MONTH(A143)&gt;=6,MONTH(A143)&lt;=8,OR($M$37="REGION 2",$M$37="REGION 2A",$M$37="REGION 2B",$M$37="REGION 3",$M$37="REGION 3A",$M$37="REGION 3B",$M$37="REGION 3C",$M$37="REGION 4",$M$37="REGION 4B",$M$37="REGION 4C",$M$37="REGION 5",$M$37="REGION 5A")),((0.059228/(B143/100))-(0.4980013/(SQRT(B143/100)))+2.137988),HLOOKUP(MONTH(A143),ScalarTable,28))))</f>
        <v> </v>
      </c>
      <c r="D143" s="398" t="str">
        <f aca="false">IF(A143="N/A"," ",C143*B143)</f>
        <v> </v>
      </c>
      <c r="E143" s="396" t="str">
        <f aca="false">IF(A143="N/A"," ",IF(ISERROR(O143),E131*Pwresc,O143)*VLOOKUP(MONTH(A143),Curveadj,3))</f>
        <v> </v>
      </c>
      <c r="F143" s="398" t="str">
        <f aca="false">IF(A143="N/A"," ",E143*C143)</f>
        <v> </v>
      </c>
      <c r="G143" s="396" t="str">
        <f aca="false">IF(A143="N/A"," ",IF(ISERROR(P143),G131*Pwresc,P143)*VLOOKUP(MONTH(A143),Curveadj,3))</f>
        <v> </v>
      </c>
      <c r="H143" s="398" t="str">
        <f aca="false">IF(A143="N/A"," ",G143*C143)</f>
        <v> </v>
      </c>
      <c r="I143" s="398" t="str">
        <f aca="false">IF(A143="N/A"," ",IF(ISERROR(Q143),I131*Pwresc,Q143))</f>
        <v> </v>
      </c>
      <c r="J143" s="398"/>
      <c r="K143" s="399"/>
      <c r="L143" s="399"/>
      <c r="M143" s="404"/>
      <c r="N143" s="401" t="str">
        <f aca="false">IF(A143="N/A"," ",VLOOKUP(A143,PeakPowerCurves,(IF(BMO4=2,3,IF(BMO4=1,2,4))),FALSE()))</f>
        <v> </v>
      </c>
      <c r="O143" s="401" t="str">
        <f aca="false">IF(A143="N/A"," ",VLOOKUP(A143,SatSunPeakPwr,(IF(BMO4=2,3,IF(BMO4=1,2,4))),FALSE()))</f>
        <v> </v>
      </c>
      <c r="P143" s="401" t="str">
        <f aca="false">IF(A143="N/A"," ",VLOOKUP(A143,SatSunPeakPwr,(IF(BMO4=2,7,IF(BMO4=1,6,8))),FALSE()))</f>
        <v> </v>
      </c>
      <c r="Q143" s="402" t="str">
        <f aca="false">IF(A143="N/A"," ",(VLOOKUP(A143,OPPowerPrices,(IF(BMO4=2,7,IF(BMO4=1,6,8))),FALSE())))</f>
        <v> </v>
      </c>
      <c r="R143" s="403" t="str">
        <f aca="false">IF(A143="N/A"," ",(VLOOKUP($A143,IRTable,2)))</f>
        <v> </v>
      </c>
      <c r="AF143" s="352" t="n">
        <v>40787</v>
      </c>
      <c r="AG143" s="311" t="n">
        <v>21</v>
      </c>
      <c r="AH143" s="311" t="n">
        <v>4</v>
      </c>
      <c r="AI143" s="311" t="n">
        <v>5</v>
      </c>
      <c r="AJ143" s="311" t="n">
        <v>1</v>
      </c>
      <c r="AK143" s="311" t="n">
        <v>30</v>
      </c>
      <c r="AU143" s="406"/>
    </row>
    <row r="144" customFormat="false" ht="12.75" hidden="false" customHeight="false" outlineLevel="0" collapsed="false">
      <c r="A144" s="352" t="str">
        <f aca="false">Option4!A111</f>
        <v>N/A</v>
      </c>
      <c r="B144" s="396" t="str">
        <f aca="false">IF(A144="N/A"," ",IF(ISERROR(N144),B132*Pwresc,N144)*VLOOKUP(MONTH(A144),Curveadj,3))</f>
        <v> </v>
      </c>
      <c r="C144" s="397" t="str">
        <f aca="false">IF(A144="N/A"," ",(IF(AND(Scaler4=1,MONTH(A144)&gt;=6,MONTH(A144)&lt;=8,OR($M$37="REGION 2",$M$37="REGION 2A",$M$37="REGION 2B",$M$37="REGION 3",$M$37="REGION 3A",$M$37="REGION 3B",$M$37="REGION 3C",$M$37="REGION 4",$M$37="REGION 4B",$M$37="REGION 4C",$M$37="REGION 5",$M$37="REGION 5A")),((0.059228/(B144/100))-(0.4980013/(SQRT(B144/100)))+2.137988),HLOOKUP(MONTH(A144),ScalarTable,28))))</f>
        <v> </v>
      </c>
      <c r="D144" s="398" t="str">
        <f aca="false">IF(A144="N/A"," ",C144*B144)</f>
        <v> </v>
      </c>
      <c r="E144" s="396" t="str">
        <f aca="false">IF(A144="N/A"," ",IF(ISERROR(O144),E132*Pwresc,O144)*VLOOKUP(MONTH(A144),Curveadj,3))</f>
        <v> </v>
      </c>
      <c r="F144" s="398" t="str">
        <f aca="false">IF(A144="N/A"," ",E144*C144)</f>
        <v> </v>
      </c>
      <c r="G144" s="396" t="str">
        <f aca="false">IF(A144="N/A"," ",IF(ISERROR(P144),G132*Pwresc,P144)*VLOOKUP(MONTH(A144),Curveadj,3))</f>
        <v> </v>
      </c>
      <c r="H144" s="398" t="str">
        <f aca="false">IF(A144="N/A"," ",G144*C144)</f>
        <v> </v>
      </c>
      <c r="I144" s="398" t="str">
        <f aca="false">IF(A144="N/A"," ",IF(ISERROR(Q144),I132*Pwresc,Q144))</f>
        <v> </v>
      </c>
      <c r="J144" s="398"/>
      <c r="K144" s="399"/>
      <c r="L144" s="399"/>
      <c r="M144" s="404"/>
      <c r="N144" s="401" t="str">
        <f aca="false">IF(A144="N/A"," ",VLOOKUP(A144,PeakPowerCurves,(IF(BMO4=2,3,IF(BMO4=1,2,4))),FALSE()))</f>
        <v> </v>
      </c>
      <c r="O144" s="401" t="str">
        <f aca="false">IF(A144="N/A"," ",VLOOKUP(A144,SatSunPeakPwr,(IF(BMO4=2,3,IF(BMO4=1,2,4))),FALSE()))</f>
        <v> </v>
      </c>
      <c r="P144" s="401" t="str">
        <f aca="false">IF(A144="N/A"," ",VLOOKUP(A144,SatSunPeakPwr,(IF(BMO4=2,7,IF(BMO4=1,6,8))),FALSE()))</f>
        <v> </v>
      </c>
      <c r="Q144" s="402" t="str">
        <f aca="false">IF(A144="N/A"," ",(VLOOKUP(A144,OPPowerPrices,(IF(BMO4=2,7,IF(BMO4=1,6,8))),FALSE())))</f>
        <v> </v>
      </c>
      <c r="R144" s="403" t="str">
        <f aca="false">IF(A144="N/A"," ",(VLOOKUP($A144,IRTable,2)))</f>
        <v> </v>
      </c>
      <c r="AF144" s="352" t="n">
        <v>40817</v>
      </c>
      <c r="AG144" s="311" t="n">
        <v>21</v>
      </c>
      <c r="AH144" s="311" t="n">
        <v>5</v>
      </c>
      <c r="AI144" s="311" t="n">
        <v>5</v>
      </c>
      <c r="AJ144" s="311" t="n">
        <v>0</v>
      </c>
      <c r="AK144" s="311" t="n">
        <v>31</v>
      </c>
      <c r="AU144" s="406"/>
    </row>
    <row r="145" customFormat="false" ht="12.75" hidden="false" customHeight="false" outlineLevel="0" collapsed="false">
      <c r="A145" s="352" t="str">
        <f aca="false">Option4!A112</f>
        <v>N/A</v>
      </c>
      <c r="B145" s="396" t="str">
        <f aca="false">IF(A145="N/A"," ",IF(ISERROR(N145),B133*Pwresc,N145)*VLOOKUP(MONTH(A145),Curveadj,3))</f>
        <v> </v>
      </c>
      <c r="C145" s="397" t="str">
        <f aca="false">IF(A145="N/A"," ",(IF(AND(Scaler4=1,MONTH(A145)&gt;=6,MONTH(A145)&lt;=8,OR($M$37="REGION 2",$M$37="REGION 2A",$M$37="REGION 2B",$M$37="REGION 3",$M$37="REGION 3A",$M$37="REGION 3B",$M$37="REGION 3C",$M$37="REGION 4",$M$37="REGION 4B",$M$37="REGION 4C",$M$37="REGION 5",$M$37="REGION 5A")),((0.059228/(B145/100))-(0.4980013/(SQRT(B145/100)))+2.137988),HLOOKUP(MONTH(A145),ScalarTable,28))))</f>
        <v> </v>
      </c>
      <c r="D145" s="398" t="str">
        <f aca="false">IF(A145="N/A"," ",C145*B145)</f>
        <v> </v>
      </c>
      <c r="E145" s="396" t="str">
        <f aca="false">IF(A145="N/A"," ",IF(ISERROR(O145),E133*Pwresc,O145)*VLOOKUP(MONTH(A145),Curveadj,3))</f>
        <v> </v>
      </c>
      <c r="F145" s="398" t="str">
        <f aca="false">IF(A145="N/A"," ",E145*C145)</f>
        <v> </v>
      </c>
      <c r="G145" s="396" t="str">
        <f aca="false">IF(A145="N/A"," ",IF(ISERROR(P145),G133*Pwresc,P145)*VLOOKUP(MONTH(A145),Curveadj,3))</f>
        <v> </v>
      </c>
      <c r="H145" s="398" t="str">
        <f aca="false">IF(A145="N/A"," ",G145*C145)</f>
        <v> </v>
      </c>
      <c r="I145" s="398" t="str">
        <f aca="false">IF(A145="N/A"," ",IF(ISERROR(Q145),I133*Pwresc,Q145))</f>
        <v> </v>
      </c>
      <c r="J145" s="398"/>
      <c r="K145" s="399"/>
      <c r="L145" s="399"/>
      <c r="M145" s="404"/>
      <c r="N145" s="401" t="str">
        <f aca="false">IF(A145="N/A"," ",VLOOKUP(A145,PeakPowerCurves,(IF(BMO4=2,3,IF(BMO4=1,2,4))),FALSE()))</f>
        <v> </v>
      </c>
      <c r="O145" s="401" t="str">
        <f aca="false">IF(A145="N/A"," ",VLOOKUP(A145,SatSunPeakPwr,(IF(BMO4=2,3,IF(BMO4=1,2,4))),FALSE()))</f>
        <v> </v>
      </c>
      <c r="P145" s="401" t="str">
        <f aca="false">IF(A145="N/A"," ",VLOOKUP(A145,SatSunPeakPwr,(IF(BMO4=2,7,IF(BMO4=1,6,8))),FALSE()))</f>
        <v> </v>
      </c>
      <c r="Q145" s="402" t="str">
        <f aca="false">IF(A145="N/A"," ",(VLOOKUP(A145,OPPowerPrices,(IF(BMO4=2,7,IF(BMO4=1,6,8))),FALSE())))</f>
        <v> </v>
      </c>
      <c r="R145" s="403" t="str">
        <f aca="false">IF(A145="N/A"," ",(VLOOKUP($A145,IRTable,2)))</f>
        <v> </v>
      </c>
      <c r="AF145" s="352" t="n">
        <v>40848</v>
      </c>
      <c r="AG145" s="311" t="n">
        <v>21</v>
      </c>
      <c r="AH145" s="311" t="n">
        <v>4</v>
      </c>
      <c r="AI145" s="311" t="n">
        <v>5</v>
      </c>
      <c r="AJ145" s="311" t="n">
        <v>1</v>
      </c>
      <c r="AK145" s="311" t="n">
        <v>30</v>
      </c>
      <c r="AU145" s="406"/>
    </row>
    <row r="146" customFormat="false" ht="12.75" hidden="false" customHeight="false" outlineLevel="0" collapsed="false">
      <c r="A146" s="352" t="str">
        <f aca="false">Option4!A113</f>
        <v>N/A</v>
      </c>
      <c r="B146" s="396" t="str">
        <f aca="false">IF(A146="N/A"," ",IF(ISERROR(N146),B134*Pwresc,N146)*VLOOKUP(MONTH(A146),Curveadj,3))</f>
        <v> </v>
      </c>
      <c r="C146" s="397" t="str">
        <f aca="false">IF(A146="N/A"," ",(IF(AND(Scaler4=1,MONTH(A146)&gt;=6,MONTH(A146)&lt;=8,OR($M$37="REGION 2",$M$37="REGION 2A",$M$37="REGION 2B",$M$37="REGION 3",$M$37="REGION 3A",$M$37="REGION 3B",$M$37="REGION 3C",$M$37="REGION 4",$M$37="REGION 4B",$M$37="REGION 4C",$M$37="REGION 5",$M$37="REGION 5A")),((0.059228/(B146/100))-(0.4980013/(SQRT(B146/100)))+2.137988),HLOOKUP(MONTH(A146),ScalarTable,28))))</f>
        <v> </v>
      </c>
      <c r="D146" s="398" t="str">
        <f aca="false">IF(A146="N/A"," ",C146*B146)</f>
        <v> </v>
      </c>
      <c r="E146" s="396" t="str">
        <f aca="false">IF(A146="N/A"," ",IF(ISERROR(O146),E134*Pwresc,O146)*VLOOKUP(MONTH(A146),Curveadj,3))</f>
        <v> </v>
      </c>
      <c r="F146" s="398" t="str">
        <f aca="false">IF(A146="N/A"," ",E146*C146)</f>
        <v> </v>
      </c>
      <c r="G146" s="396" t="str">
        <f aca="false">IF(A146="N/A"," ",IF(ISERROR(P146),G134*Pwresc,P146)*VLOOKUP(MONTH(A146),Curveadj,3))</f>
        <v> </v>
      </c>
      <c r="H146" s="398" t="str">
        <f aca="false">IF(A146="N/A"," ",G146*C146)</f>
        <v> </v>
      </c>
      <c r="I146" s="398" t="str">
        <f aca="false">IF(A146="N/A"," ",IF(ISERROR(Q146),I134*Pwresc,Q146))</f>
        <v> </v>
      </c>
      <c r="J146" s="398"/>
      <c r="K146" s="399"/>
      <c r="L146" s="399"/>
      <c r="M146" s="404"/>
      <c r="N146" s="401" t="str">
        <f aca="false">IF(A146="N/A"," ",VLOOKUP(A146,PeakPowerCurves,(IF(BMO4=2,3,IF(BMO4=1,2,4))),FALSE()))</f>
        <v> </v>
      </c>
      <c r="O146" s="401" t="str">
        <f aca="false">IF(A146="N/A"," ",VLOOKUP(A146,SatSunPeakPwr,(IF(BMO4=2,3,IF(BMO4=1,2,4))),FALSE()))</f>
        <v> </v>
      </c>
      <c r="P146" s="401" t="str">
        <f aca="false">IF(A146="N/A"," ",VLOOKUP(A146,SatSunPeakPwr,(IF(BMO4=2,7,IF(BMO4=1,6,8))),FALSE()))</f>
        <v> </v>
      </c>
      <c r="Q146" s="402" t="str">
        <f aca="false">IF(A146="N/A"," ",(VLOOKUP(A146,OPPowerPrices,(IF(BMO4=2,7,IF(BMO4=1,6,8))),FALSE())))</f>
        <v> </v>
      </c>
      <c r="R146" s="403" t="str">
        <f aca="false">IF(A146="N/A"," ",(VLOOKUP($A146,IRTable,2)))</f>
        <v> </v>
      </c>
      <c r="AF146" s="352" t="n">
        <v>40878</v>
      </c>
      <c r="AG146" s="311" t="n">
        <v>21</v>
      </c>
      <c r="AH146" s="311" t="n">
        <v>5</v>
      </c>
      <c r="AI146" s="311" t="n">
        <v>5</v>
      </c>
      <c r="AJ146" s="311" t="n">
        <v>1</v>
      </c>
      <c r="AK146" s="311" t="n">
        <v>31</v>
      </c>
      <c r="AU146" s="406"/>
    </row>
    <row r="147" customFormat="false" ht="12.75" hidden="false" customHeight="false" outlineLevel="0" collapsed="false">
      <c r="A147" s="352" t="str">
        <f aca="false">Option4!A114</f>
        <v>N/A</v>
      </c>
      <c r="B147" s="396" t="str">
        <f aca="false">IF(A147="N/A"," ",IF(ISERROR(N147),B135*Pwresc,N147)*VLOOKUP(MONTH(A147),Curveadj,3))</f>
        <v> </v>
      </c>
      <c r="C147" s="397" t="str">
        <f aca="false">IF(A147="N/A"," ",(IF(AND(Scaler4=1,MONTH(A147)&gt;=6,MONTH(A147)&lt;=8,OR($M$37="REGION 2",$M$37="REGION 2A",$M$37="REGION 2B",$M$37="REGION 3",$M$37="REGION 3A",$M$37="REGION 3B",$M$37="REGION 3C",$M$37="REGION 4",$M$37="REGION 4B",$M$37="REGION 4C",$M$37="REGION 5",$M$37="REGION 5A")),((0.059228/(B147/100))-(0.4980013/(SQRT(B147/100)))+2.137988),HLOOKUP(MONTH(A147),ScalarTable,28))))</f>
        <v> </v>
      </c>
      <c r="D147" s="398" t="str">
        <f aca="false">IF(A147="N/A"," ",C147*B147)</f>
        <v> </v>
      </c>
      <c r="E147" s="396" t="str">
        <f aca="false">IF(A147="N/A"," ",IF(ISERROR(O147),E135*Pwresc,O147)*VLOOKUP(MONTH(A147),Curveadj,3))</f>
        <v> </v>
      </c>
      <c r="F147" s="398" t="str">
        <f aca="false">IF(A147="N/A"," ",E147*C147)</f>
        <v> </v>
      </c>
      <c r="G147" s="396" t="str">
        <f aca="false">IF(A147="N/A"," ",IF(ISERROR(P147),G135*Pwresc,P147)*VLOOKUP(MONTH(A147),Curveadj,3))</f>
        <v> </v>
      </c>
      <c r="H147" s="398" t="str">
        <f aca="false">IF(A147="N/A"," ",G147*C147)</f>
        <v> </v>
      </c>
      <c r="I147" s="398" t="str">
        <f aca="false">IF(A147="N/A"," ",IF(ISERROR(Q147),I135*Pwresc,Q147))</f>
        <v> </v>
      </c>
      <c r="J147" s="398"/>
      <c r="K147" s="399"/>
      <c r="L147" s="399"/>
      <c r="M147" s="404"/>
      <c r="N147" s="401" t="str">
        <f aca="false">IF(A147="N/A"," ",VLOOKUP(A147,PeakPowerCurves,(IF(BMO4=2,3,IF(BMO4=1,2,4))),FALSE()))</f>
        <v> </v>
      </c>
      <c r="O147" s="401" t="str">
        <f aca="false">IF(A147="N/A"," ",VLOOKUP(A147,SatSunPeakPwr,(IF(BMO4=2,3,IF(BMO4=1,2,4))),FALSE()))</f>
        <v> </v>
      </c>
      <c r="P147" s="401" t="str">
        <f aca="false">IF(A147="N/A"," ",VLOOKUP(A147,SatSunPeakPwr,(IF(BMO4=2,7,IF(BMO4=1,6,8))),FALSE()))</f>
        <v> </v>
      </c>
      <c r="Q147" s="402" t="str">
        <f aca="false">IF(A147="N/A"," ",(VLOOKUP(A147,OPPowerPrices,(IF(BMO4=2,7,IF(BMO4=1,6,8))),FALSE())))</f>
        <v> </v>
      </c>
      <c r="R147" s="403" t="str">
        <f aca="false">IF(A147="N/A"," ",(VLOOKUP($A147,IRTable,2)))</f>
        <v> </v>
      </c>
      <c r="AF147" s="352" t="n">
        <v>40909</v>
      </c>
      <c r="AG147" s="311" t="n">
        <v>21</v>
      </c>
      <c r="AH147" s="311" t="n">
        <v>4</v>
      </c>
      <c r="AI147" s="311" t="n">
        <v>6</v>
      </c>
      <c r="AJ147" s="311" t="n">
        <v>1</v>
      </c>
      <c r="AK147" s="311" t="n">
        <v>31</v>
      </c>
      <c r="AU147" s="406"/>
    </row>
    <row r="148" customFormat="false" ht="12.75" hidden="false" customHeight="false" outlineLevel="0" collapsed="false">
      <c r="A148" s="352" t="str">
        <f aca="false">Option4!A115</f>
        <v>N/A</v>
      </c>
      <c r="B148" s="396" t="str">
        <f aca="false">IF(A148="N/A"," ",IF(ISERROR(N148),B136*Pwresc,N148)*VLOOKUP(MONTH(A148),Curveadj,3))</f>
        <v> </v>
      </c>
      <c r="C148" s="397" t="str">
        <f aca="false">IF(A148="N/A"," ",(IF(AND(Scaler4=1,MONTH(A148)&gt;=6,MONTH(A148)&lt;=8,OR($M$37="REGION 2",$M$37="REGION 2A",$M$37="REGION 2B",$M$37="REGION 3",$M$37="REGION 3A",$M$37="REGION 3B",$M$37="REGION 3C",$M$37="REGION 4",$M$37="REGION 4B",$M$37="REGION 4C",$M$37="REGION 5",$M$37="REGION 5A")),((0.059228/(B148/100))-(0.4980013/(SQRT(B148/100)))+2.137988),HLOOKUP(MONTH(A148),ScalarTable,28))))</f>
        <v> </v>
      </c>
      <c r="D148" s="398" t="str">
        <f aca="false">IF(A148="N/A"," ",C148*B148)</f>
        <v> </v>
      </c>
      <c r="E148" s="396" t="str">
        <f aca="false">IF(A148="N/A"," ",IF(ISERROR(O148),E136*Pwresc,O148)*VLOOKUP(MONTH(A148),Curveadj,3))</f>
        <v> </v>
      </c>
      <c r="F148" s="398" t="str">
        <f aca="false">IF(A148="N/A"," ",E148*C148)</f>
        <v> </v>
      </c>
      <c r="G148" s="396" t="str">
        <f aca="false">IF(A148="N/A"," ",IF(ISERROR(P148),G136*Pwresc,P148)*VLOOKUP(MONTH(A148),Curveadj,3))</f>
        <v> </v>
      </c>
      <c r="H148" s="398" t="str">
        <f aca="false">IF(A148="N/A"," ",G148*C148)</f>
        <v> </v>
      </c>
      <c r="I148" s="398" t="str">
        <f aca="false">IF(A148="N/A"," ",IF(ISERROR(Q148),I136*Pwresc,Q148))</f>
        <v> </v>
      </c>
      <c r="J148" s="398"/>
      <c r="K148" s="399"/>
      <c r="L148" s="399"/>
      <c r="M148" s="404"/>
      <c r="N148" s="401" t="str">
        <f aca="false">IF(A148="N/A"," ",VLOOKUP(A148,PeakPowerCurves,(IF(BMO4=2,3,IF(BMO4=1,2,4))),FALSE()))</f>
        <v> </v>
      </c>
      <c r="O148" s="401" t="str">
        <f aca="false">IF(A148="N/A"," ",VLOOKUP(A148,SatSunPeakPwr,(IF(BMO4=2,3,IF(BMO4=1,2,4))),FALSE()))</f>
        <v> </v>
      </c>
      <c r="P148" s="401" t="str">
        <f aca="false">IF(A148="N/A"," ",VLOOKUP(A148,SatSunPeakPwr,(IF(BMO4=2,7,IF(BMO4=1,6,8))),FALSE()))</f>
        <v> </v>
      </c>
      <c r="Q148" s="402" t="str">
        <f aca="false">IF(A148="N/A"," ",(VLOOKUP(A148,OPPowerPrices,(IF(BMO4=2,7,IF(BMO4=1,6,8))),FALSE())))</f>
        <v> </v>
      </c>
      <c r="R148" s="403" t="str">
        <f aca="false">IF(A148="N/A"," ",(VLOOKUP($A148,IRTable,2)))</f>
        <v> </v>
      </c>
      <c r="AF148" s="352" t="n">
        <v>40940</v>
      </c>
      <c r="AG148" s="311" t="n">
        <v>21</v>
      </c>
      <c r="AH148" s="311" t="n">
        <v>4</v>
      </c>
      <c r="AI148" s="311" t="n">
        <v>4</v>
      </c>
      <c r="AJ148" s="311" t="n">
        <v>0</v>
      </c>
      <c r="AK148" s="311" t="n">
        <v>29</v>
      </c>
      <c r="AU148" s="406"/>
    </row>
    <row r="149" customFormat="false" ht="12.75" hidden="false" customHeight="false" outlineLevel="0" collapsed="false">
      <c r="A149" s="352" t="str">
        <f aca="false">Option4!A116</f>
        <v>N/A</v>
      </c>
      <c r="B149" s="396" t="str">
        <f aca="false">IF(A149="N/A"," ",IF(ISERROR(N149),B137*Pwresc,N149)*VLOOKUP(MONTH(A149),Curveadj,3))</f>
        <v> </v>
      </c>
      <c r="C149" s="397" t="str">
        <f aca="false">IF(A149="N/A"," ",(IF(AND(Scaler4=1,MONTH(A149)&gt;=6,MONTH(A149)&lt;=8,OR($M$37="REGION 2",$M$37="REGION 2A",$M$37="REGION 2B",$M$37="REGION 3",$M$37="REGION 3A",$M$37="REGION 3B",$M$37="REGION 3C",$M$37="REGION 4",$M$37="REGION 4B",$M$37="REGION 4C",$M$37="REGION 5",$M$37="REGION 5A")),((0.059228/(B149/100))-(0.4980013/(SQRT(B149/100)))+2.137988),HLOOKUP(MONTH(A149),ScalarTable,28))))</f>
        <v> </v>
      </c>
      <c r="D149" s="398" t="str">
        <f aca="false">IF(A149="N/A"," ",C149*B149)</f>
        <v> </v>
      </c>
      <c r="E149" s="396" t="str">
        <f aca="false">IF(A149="N/A"," ",IF(ISERROR(O149),E137*Pwresc,O149)*VLOOKUP(MONTH(A149),Curveadj,3))</f>
        <v> </v>
      </c>
      <c r="F149" s="398" t="str">
        <f aca="false">IF(A149="N/A"," ",E149*C149)</f>
        <v> </v>
      </c>
      <c r="G149" s="396" t="str">
        <f aca="false">IF(A149="N/A"," ",IF(ISERROR(P149),G137*Pwresc,P149)*VLOOKUP(MONTH(A149),Curveadj,3))</f>
        <v> </v>
      </c>
      <c r="H149" s="398" t="str">
        <f aca="false">IF(A149="N/A"," ",G149*C149)</f>
        <v> </v>
      </c>
      <c r="I149" s="398" t="str">
        <f aca="false">IF(A149="N/A"," ",IF(ISERROR(Q149),I137*Pwresc,Q149))</f>
        <v> </v>
      </c>
      <c r="J149" s="398"/>
      <c r="K149" s="399"/>
      <c r="L149" s="399"/>
      <c r="M149" s="404"/>
      <c r="N149" s="401" t="str">
        <f aca="false">IF(A149="N/A"," ",VLOOKUP(A149,PeakPowerCurves,(IF(BMO4=2,3,IF(BMO4=1,2,4))),FALSE()))</f>
        <v> </v>
      </c>
      <c r="O149" s="401" t="str">
        <f aca="false">IF(A149="N/A"," ",VLOOKUP(A149,SatSunPeakPwr,(IF(BMO4=2,3,IF(BMO4=1,2,4))),FALSE()))</f>
        <v> </v>
      </c>
      <c r="P149" s="401" t="str">
        <f aca="false">IF(A149="N/A"," ",VLOOKUP(A149,SatSunPeakPwr,(IF(BMO4=2,7,IF(BMO4=1,6,8))),FALSE()))</f>
        <v> </v>
      </c>
      <c r="Q149" s="402" t="str">
        <f aca="false">IF(A149="N/A"," ",(VLOOKUP(A149,OPPowerPrices,(IF(BMO4=2,7,IF(BMO4=1,6,8))),FALSE())))</f>
        <v> </v>
      </c>
      <c r="R149" s="403" t="str">
        <f aca="false">IF(A149="N/A"," ",(VLOOKUP($A149,IRTable,2)))</f>
        <v> </v>
      </c>
      <c r="AF149" s="352" t="n">
        <v>40969</v>
      </c>
      <c r="AG149" s="311" t="n">
        <v>22</v>
      </c>
      <c r="AH149" s="311" t="n">
        <v>5</v>
      </c>
      <c r="AI149" s="311" t="n">
        <v>4</v>
      </c>
      <c r="AJ149" s="311" t="n">
        <v>0</v>
      </c>
      <c r="AK149" s="311" t="n">
        <v>31</v>
      </c>
      <c r="AU149" s="406"/>
    </row>
    <row r="150" customFormat="false" ht="12.75" hidden="false" customHeight="false" outlineLevel="0" collapsed="false">
      <c r="A150" s="352" t="str">
        <f aca="false">Option4!A117</f>
        <v>N/A</v>
      </c>
      <c r="B150" s="396" t="str">
        <f aca="false">IF(A150="N/A"," ",IF(ISERROR(N150),B138*Pwresc,N150)*VLOOKUP(MONTH(A150),Curveadj,3))</f>
        <v> </v>
      </c>
      <c r="C150" s="397" t="str">
        <f aca="false">IF(A150="N/A"," ",(IF(AND(Scaler4=1,MONTH(A150)&gt;=6,MONTH(A150)&lt;=8,OR($M$37="REGION 2",$M$37="REGION 2A",$M$37="REGION 2B",$M$37="REGION 3",$M$37="REGION 3A",$M$37="REGION 3B",$M$37="REGION 3C",$M$37="REGION 4",$M$37="REGION 4B",$M$37="REGION 4C",$M$37="REGION 5",$M$37="REGION 5A")),((0.059228/(B150/100))-(0.4980013/(SQRT(B150/100)))+2.137988),HLOOKUP(MONTH(A150),ScalarTable,28))))</f>
        <v> </v>
      </c>
      <c r="D150" s="398" t="str">
        <f aca="false">IF(A150="N/A"," ",C150*B150)</f>
        <v> </v>
      </c>
      <c r="E150" s="396" t="str">
        <f aca="false">IF(A150="N/A"," ",IF(ISERROR(O150),E138*Pwresc,O150)*VLOOKUP(MONTH(A150),Curveadj,3))</f>
        <v> </v>
      </c>
      <c r="F150" s="398" t="str">
        <f aca="false">IF(A150="N/A"," ",E150*C150)</f>
        <v> </v>
      </c>
      <c r="G150" s="396" t="str">
        <f aca="false">IF(A150="N/A"," ",IF(ISERROR(P150),G138*Pwresc,P150)*VLOOKUP(MONTH(A150),Curveadj,3))</f>
        <v> </v>
      </c>
      <c r="H150" s="398" t="str">
        <f aca="false">IF(A150="N/A"," ",G150*C150)</f>
        <v> </v>
      </c>
      <c r="I150" s="398" t="str">
        <f aca="false">IF(A150="N/A"," ",IF(ISERROR(Q150),I138*Pwresc,Q150))</f>
        <v> </v>
      </c>
      <c r="J150" s="398"/>
      <c r="K150" s="399"/>
      <c r="L150" s="399"/>
      <c r="M150" s="404"/>
      <c r="N150" s="401" t="str">
        <f aca="false">IF(A150="N/A"," ",VLOOKUP(A150,PeakPowerCurves,(IF(BMO4=2,3,IF(BMO4=1,2,4))),FALSE()))</f>
        <v> </v>
      </c>
      <c r="O150" s="401" t="str">
        <f aca="false">IF(A150="N/A"," ",VLOOKUP(A150,SatSunPeakPwr,(IF(BMO4=2,3,IF(BMO4=1,2,4))),FALSE()))</f>
        <v> </v>
      </c>
      <c r="P150" s="401" t="str">
        <f aca="false">IF(A150="N/A"," ",VLOOKUP(A150,SatSunPeakPwr,(IF(BMO4=2,7,IF(BMO4=1,6,8))),FALSE()))</f>
        <v> </v>
      </c>
      <c r="Q150" s="402" t="str">
        <f aca="false">IF(A150="N/A"," ",(VLOOKUP(A150,OPPowerPrices,(IF(BMO4=2,7,IF(BMO4=1,6,8))),FALSE())))</f>
        <v> </v>
      </c>
      <c r="R150" s="403" t="str">
        <f aca="false">IF(A150="N/A"," ",(VLOOKUP($A150,IRTable,2)))</f>
        <v> </v>
      </c>
      <c r="AF150" s="352" t="n">
        <v>41000</v>
      </c>
      <c r="AG150" s="311" t="n">
        <v>21</v>
      </c>
      <c r="AH150" s="311" t="n">
        <v>4</v>
      </c>
      <c r="AI150" s="311" t="n">
        <v>5</v>
      </c>
      <c r="AJ150" s="311" t="n">
        <v>0</v>
      </c>
      <c r="AK150" s="311" t="n">
        <v>30</v>
      </c>
      <c r="AU150" s="406"/>
    </row>
    <row r="151" customFormat="false" ht="12.75" hidden="false" customHeight="false" outlineLevel="0" collapsed="false">
      <c r="A151" s="352" t="str">
        <f aca="false">Option4!A118</f>
        <v>N/A</v>
      </c>
      <c r="B151" s="396" t="str">
        <f aca="false">IF(A151="N/A"," ",IF(ISERROR(N151),B139*Pwresc,N151)*VLOOKUP(MONTH(A151),Curveadj,3))</f>
        <v> </v>
      </c>
      <c r="C151" s="397" t="str">
        <f aca="false">IF(A151="N/A"," ",(IF(AND(Scaler4=1,MONTH(A151)&gt;=6,MONTH(A151)&lt;=8,OR($M$37="REGION 2",$M$37="REGION 2A",$M$37="REGION 2B",$M$37="REGION 3",$M$37="REGION 3A",$M$37="REGION 3B",$M$37="REGION 3C",$M$37="REGION 4",$M$37="REGION 4B",$M$37="REGION 4C",$M$37="REGION 5",$M$37="REGION 5A")),((0.059228/(B151/100))-(0.4980013/(SQRT(B151/100)))+2.137988),HLOOKUP(MONTH(A151),ScalarTable,28))))</f>
        <v> </v>
      </c>
      <c r="D151" s="398" t="str">
        <f aca="false">IF(A151="N/A"," ",C151*B151)</f>
        <v> </v>
      </c>
      <c r="E151" s="396" t="str">
        <f aca="false">IF(A151="N/A"," ",IF(ISERROR(O151),E139*Pwresc,O151)*VLOOKUP(MONTH(A151),Curveadj,3))</f>
        <v> </v>
      </c>
      <c r="F151" s="398" t="str">
        <f aca="false">IF(A151="N/A"," ",E151*C151)</f>
        <v> </v>
      </c>
      <c r="G151" s="396" t="str">
        <f aca="false">IF(A151="N/A"," ",IF(ISERROR(P151),G139*Pwresc,P151)*VLOOKUP(MONTH(A151),Curveadj,3))</f>
        <v> </v>
      </c>
      <c r="H151" s="398" t="str">
        <f aca="false">IF(A151="N/A"," ",G151*C151)</f>
        <v> </v>
      </c>
      <c r="I151" s="398" t="str">
        <f aca="false">IF(A151="N/A"," ",IF(ISERROR(Q151),I139*Pwresc,Q151))</f>
        <v> </v>
      </c>
      <c r="J151" s="398"/>
      <c r="K151" s="399"/>
      <c r="L151" s="399"/>
      <c r="M151" s="404"/>
      <c r="N151" s="401" t="str">
        <f aca="false">IF(A151="N/A"," ",VLOOKUP(A151,PeakPowerCurves,(IF(BMO4=2,3,IF(BMO4=1,2,4))),FALSE()))</f>
        <v> </v>
      </c>
      <c r="O151" s="401" t="str">
        <f aca="false">IF(A151="N/A"," ",VLOOKUP(A151,SatSunPeakPwr,(IF(BMO4=2,3,IF(BMO4=1,2,4))),FALSE()))</f>
        <v> </v>
      </c>
      <c r="P151" s="401" t="str">
        <f aca="false">IF(A151="N/A"," ",VLOOKUP(A151,SatSunPeakPwr,(IF(BMO4=2,7,IF(BMO4=1,6,8))),FALSE()))</f>
        <v> </v>
      </c>
      <c r="Q151" s="402" t="str">
        <f aca="false">IF(A151="N/A"," ",(VLOOKUP(A151,OPPowerPrices,(IF(BMO4=2,7,IF(BMO4=1,6,8))),FALSE())))</f>
        <v> </v>
      </c>
      <c r="R151" s="403" t="str">
        <f aca="false">IF(A151="N/A"," ",(VLOOKUP($A151,IRTable,2)))</f>
        <v> </v>
      </c>
      <c r="AF151" s="352" t="n">
        <v>41030</v>
      </c>
      <c r="AG151" s="311" t="n">
        <v>22</v>
      </c>
      <c r="AH151" s="311" t="n">
        <v>4</v>
      </c>
      <c r="AI151" s="311" t="n">
        <v>5</v>
      </c>
      <c r="AJ151" s="311" t="n">
        <v>1</v>
      </c>
      <c r="AK151" s="311" t="n">
        <v>31</v>
      </c>
      <c r="AU151" s="406"/>
    </row>
    <row r="152" customFormat="false" ht="12.75" hidden="false" customHeight="false" outlineLevel="0" collapsed="false">
      <c r="A152" s="352" t="str">
        <f aca="false">Option4!A119</f>
        <v>N/A</v>
      </c>
      <c r="B152" s="396" t="str">
        <f aca="false">IF(A152="N/A"," ",IF(ISERROR(N152),B140*Pwresc,N152)*VLOOKUP(MONTH(A152),Curveadj,3))</f>
        <v> </v>
      </c>
      <c r="C152" s="397" t="str">
        <f aca="false">IF(A152="N/A"," ",(IF(AND(Scaler4=1,MONTH(A152)&gt;=6,MONTH(A152)&lt;=8,OR($M$37="REGION 2",$M$37="REGION 2A",$M$37="REGION 2B",$M$37="REGION 3",$M$37="REGION 3A",$M$37="REGION 3B",$M$37="REGION 3C",$M$37="REGION 4",$M$37="REGION 4B",$M$37="REGION 4C",$M$37="REGION 5",$M$37="REGION 5A")),((0.059228/(B152/100))-(0.4980013/(SQRT(B152/100)))+2.137988),HLOOKUP(MONTH(A152),ScalarTable,28))))</f>
        <v> </v>
      </c>
      <c r="D152" s="398" t="str">
        <f aca="false">IF(A152="N/A"," ",C152*B152)</f>
        <v> </v>
      </c>
      <c r="E152" s="396" t="str">
        <f aca="false">IF(A152="N/A"," ",IF(ISERROR(O152),E140*Pwresc,O152)*VLOOKUP(MONTH(A152),Curveadj,3))</f>
        <v> </v>
      </c>
      <c r="F152" s="398" t="str">
        <f aca="false">IF(A152="N/A"," ",E152*C152)</f>
        <v> </v>
      </c>
      <c r="G152" s="396" t="str">
        <f aca="false">IF(A152="N/A"," ",IF(ISERROR(P152),G140*Pwresc,P152)*VLOOKUP(MONTH(A152),Curveadj,3))</f>
        <v> </v>
      </c>
      <c r="H152" s="398" t="str">
        <f aca="false">IF(A152="N/A"," ",G152*C152)</f>
        <v> </v>
      </c>
      <c r="I152" s="398" t="str">
        <f aca="false">IF(A152="N/A"," ",IF(ISERROR(Q152),I140*Pwresc,Q152))</f>
        <v> </v>
      </c>
      <c r="J152" s="398"/>
      <c r="K152" s="399"/>
      <c r="L152" s="399"/>
      <c r="M152" s="404"/>
      <c r="N152" s="401" t="str">
        <f aca="false">IF(A152="N/A"," ",VLOOKUP(A152,PeakPowerCurves,(IF(BMO4=2,3,IF(BMO4=1,2,4))),FALSE()))</f>
        <v> </v>
      </c>
      <c r="O152" s="401" t="str">
        <f aca="false">IF(A152="N/A"," ",VLOOKUP(A152,SatSunPeakPwr,(IF(BMO4=2,3,IF(BMO4=1,2,4))),FALSE()))</f>
        <v> </v>
      </c>
      <c r="P152" s="401" t="str">
        <f aca="false">IF(A152="N/A"," ",VLOOKUP(A152,SatSunPeakPwr,(IF(BMO4=2,7,IF(BMO4=1,6,8))),FALSE()))</f>
        <v> </v>
      </c>
      <c r="Q152" s="402" t="str">
        <f aca="false">IF(A152="N/A"," ",(VLOOKUP(A152,OPPowerPrices,(IF(BMO4=2,7,IF(BMO4=1,6,8))),FALSE())))</f>
        <v> </v>
      </c>
      <c r="R152" s="403" t="str">
        <f aca="false">IF(A152="N/A"," ",(VLOOKUP($A152,IRTable,2)))</f>
        <v> </v>
      </c>
      <c r="AF152" s="352" t="n">
        <v>41061</v>
      </c>
      <c r="AG152" s="311" t="n">
        <v>21</v>
      </c>
      <c r="AH152" s="311" t="n">
        <v>5</v>
      </c>
      <c r="AI152" s="311" t="n">
        <v>4</v>
      </c>
      <c r="AJ152" s="311" t="n">
        <v>0</v>
      </c>
      <c r="AK152" s="311" t="n">
        <v>30</v>
      </c>
      <c r="AU152" s="406"/>
    </row>
    <row r="153" customFormat="false" ht="12.75" hidden="false" customHeight="false" outlineLevel="0" collapsed="false">
      <c r="A153" s="352" t="str">
        <f aca="false">Option4!A120</f>
        <v>N/A</v>
      </c>
      <c r="B153" s="396" t="str">
        <f aca="false">IF(A153="N/A"," ",IF(ISERROR(N153),B141*Pwresc,N153)*VLOOKUP(MONTH(A153),Curveadj,3))</f>
        <v> </v>
      </c>
      <c r="C153" s="397" t="str">
        <f aca="false">IF(A153="N/A"," ",(IF(AND(Scaler4=1,MONTH(A153)&gt;=6,MONTH(A153)&lt;=8,OR($M$37="REGION 2",$M$37="REGION 2A",$M$37="REGION 2B",$M$37="REGION 3",$M$37="REGION 3A",$M$37="REGION 3B",$M$37="REGION 3C",$M$37="REGION 4",$M$37="REGION 4B",$M$37="REGION 4C",$M$37="REGION 5",$M$37="REGION 5A")),((0.059228/(B153/100))-(0.4980013/(SQRT(B153/100)))+2.137988),HLOOKUP(MONTH(A153),ScalarTable,28))))</f>
        <v> </v>
      </c>
      <c r="D153" s="398" t="str">
        <f aca="false">IF(A153="N/A"," ",C153*B153)</f>
        <v> </v>
      </c>
      <c r="E153" s="396" t="str">
        <f aca="false">IF(A153="N/A"," ",IF(ISERROR(O153),E141*Pwresc,O153)*VLOOKUP(MONTH(A153),Curveadj,3))</f>
        <v> </v>
      </c>
      <c r="F153" s="398" t="str">
        <f aca="false">IF(A153="N/A"," ",E153*C153)</f>
        <v> </v>
      </c>
      <c r="G153" s="396" t="str">
        <f aca="false">IF(A153="N/A"," ",IF(ISERROR(P153),G141*Pwresc,P153)*VLOOKUP(MONTH(A153),Curveadj,3))</f>
        <v> </v>
      </c>
      <c r="H153" s="398" t="str">
        <f aca="false">IF(A153="N/A"," ",G153*C153)</f>
        <v> </v>
      </c>
      <c r="I153" s="398" t="str">
        <f aca="false">IF(A153="N/A"," ",IF(ISERROR(Q153),I141*Pwresc,Q153))</f>
        <v> </v>
      </c>
      <c r="J153" s="398"/>
      <c r="K153" s="399"/>
      <c r="L153" s="399"/>
      <c r="M153" s="404"/>
      <c r="N153" s="401" t="str">
        <f aca="false">IF(A153="N/A"," ",VLOOKUP(A153,PeakPowerCurves,(IF(BMO4=2,3,IF(BMO4=1,2,4))),FALSE()))</f>
        <v> </v>
      </c>
      <c r="O153" s="401" t="str">
        <f aca="false">IF(A153="N/A"," ",VLOOKUP(A153,SatSunPeakPwr,(IF(BMO4=2,3,IF(BMO4=1,2,4))),FALSE()))</f>
        <v> </v>
      </c>
      <c r="P153" s="401" t="str">
        <f aca="false">IF(A153="N/A"," ",VLOOKUP(A153,SatSunPeakPwr,(IF(BMO4=2,7,IF(BMO4=1,6,8))),FALSE()))</f>
        <v> </v>
      </c>
      <c r="Q153" s="402" t="str">
        <f aca="false">IF(A153="N/A"," ",(VLOOKUP(A153,OPPowerPrices,(IF(BMO4=2,7,IF(BMO4=1,6,8))),FALSE())))</f>
        <v> </v>
      </c>
      <c r="R153" s="403" t="str">
        <f aca="false">IF(A153="N/A"," ",(VLOOKUP($A153,IRTable,2)))</f>
        <v> </v>
      </c>
      <c r="AF153" s="352" t="n">
        <v>41091</v>
      </c>
      <c r="AG153" s="311" t="n">
        <v>21</v>
      </c>
      <c r="AH153" s="311" t="n">
        <v>4</v>
      </c>
      <c r="AI153" s="311" t="n">
        <v>6</v>
      </c>
      <c r="AJ153" s="311" t="n">
        <v>1</v>
      </c>
      <c r="AK153" s="311" t="n">
        <v>31</v>
      </c>
      <c r="AU153" s="406"/>
    </row>
    <row r="154" customFormat="false" ht="12.75" hidden="false" customHeight="false" outlineLevel="0" collapsed="false">
      <c r="A154" s="352" t="str">
        <f aca="false">Option4!A121</f>
        <v>N/A</v>
      </c>
      <c r="B154" s="396" t="str">
        <f aca="false">IF(A154="N/A"," ",IF(ISERROR(N154),B142*Pwresc,N154)*VLOOKUP(MONTH(A154),Curveadj,3))</f>
        <v> </v>
      </c>
      <c r="C154" s="397" t="str">
        <f aca="false">IF(A154="N/A"," ",(IF(AND(Scaler4=1,MONTH(A154)&gt;=6,MONTH(A154)&lt;=8,OR($M$37="REGION 2",$M$37="REGION 2A",$M$37="REGION 2B",$M$37="REGION 3",$M$37="REGION 3A",$M$37="REGION 3B",$M$37="REGION 3C",$M$37="REGION 4",$M$37="REGION 4B",$M$37="REGION 4C",$M$37="REGION 5",$M$37="REGION 5A")),((0.059228/(B154/100))-(0.4980013/(SQRT(B154/100)))+2.137988),HLOOKUP(MONTH(A154),ScalarTable,28))))</f>
        <v> </v>
      </c>
      <c r="D154" s="398" t="str">
        <f aca="false">IF(A154="N/A"," ",C154*B154)</f>
        <v> </v>
      </c>
      <c r="E154" s="396" t="str">
        <f aca="false">IF(A154="N/A"," ",IF(ISERROR(O154),E142*Pwresc,O154)*VLOOKUP(MONTH(A154),Curveadj,3))</f>
        <v> </v>
      </c>
      <c r="F154" s="398" t="str">
        <f aca="false">IF(A154="N/A"," ",E154*C154)</f>
        <v> </v>
      </c>
      <c r="G154" s="396" t="str">
        <f aca="false">IF(A154="N/A"," ",IF(ISERROR(P154),G142*Pwresc,P154)*VLOOKUP(MONTH(A154),Curveadj,3))</f>
        <v> </v>
      </c>
      <c r="H154" s="398" t="str">
        <f aca="false">IF(A154="N/A"," ",G154*C154)</f>
        <v> </v>
      </c>
      <c r="I154" s="398" t="str">
        <f aca="false">IF(A154="N/A"," ",IF(ISERROR(Q154),I142*Pwresc,Q154))</f>
        <v> </v>
      </c>
      <c r="J154" s="398"/>
      <c r="K154" s="399"/>
      <c r="L154" s="399"/>
      <c r="M154" s="404"/>
      <c r="N154" s="401" t="str">
        <f aca="false">IF(A154="N/A"," ",VLOOKUP(A154,PeakPowerCurves,(IF(BMO4=2,3,IF(BMO4=1,2,4))),FALSE()))</f>
        <v> </v>
      </c>
      <c r="O154" s="401" t="str">
        <f aca="false">IF(A154="N/A"," ",VLOOKUP(A154,SatSunPeakPwr,(IF(BMO4=2,3,IF(BMO4=1,2,4))),FALSE()))</f>
        <v> </v>
      </c>
      <c r="P154" s="401" t="str">
        <f aca="false">IF(A154="N/A"," ",VLOOKUP(A154,SatSunPeakPwr,(IF(BMO4=2,7,IF(BMO4=1,6,8))),FALSE()))</f>
        <v> </v>
      </c>
      <c r="Q154" s="402" t="str">
        <f aca="false">IF(A154="N/A"," ",(VLOOKUP(A154,OPPowerPrices,(IF(BMO4=2,7,IF(BMO4=1,6,8))),FALSE())))</f>
        <v> </v>
      </c>
      <c r="R154" s="403" t="str">
        <f aca="false">IF(A154="N/A"," ",(VLOOKUP($A154,IRTable,2)))</f>
        <v> </v>
      </c>
      <c r="AF154" s="352" t="n">
        <v>41122</v>
      </c>
      <c r="AG154" s="311" t="n">
        <v>23</v>
      </c>
      <c r="AH154" s="311" t="n">
        <v>4</v>
      </c>
      <c r="AI154" s="311" t="n">
        <v>4</v>
      </c>
      <c r="AJ154" s="311" t="n">
        <v>0</v>
      </c>
      <c r="AK154" s="311" t="n">
        <v>31</v>
      </c>
      <c r="AU154" s="406"/>
    </row>
    <row r="155" customFormat="false" ht="12.75" hidden="false" customHeight="false" outlineLevel="0" collapsed="false">
      <c r="A155" s="352" t="str">
        <f aca="false">Option4!A122</f>
        <v>N/A</v>
      </c>
      <c r="B155" s="396" t="str">
        <f aca="false">IF(A155="N/A"," ",IF(ISERROR(N155),B143*Pwresc,N155)*VLOOKUP(MONTH(A155),Curveadj,3))</f>
        <v> </v>
      </c>
      <c r="C155" s="397" t="str">
        <f aca="false">IF(A155="N/A"," ",(IF(AND(Scaler4=1,MONTH(A155)&gt;=6,MONTH(A155)&lt;=8,OR($M$37="REGION 2",$M$37="REGION 2A",$M$37="REGION 2B",$M$37="REGION 3",$M$37="REGION 3A",$M$37="REGION 3B",$M$37="REGION 3C",$M$37="REGION 4",$M$37="REGION 4B",$M$37="REGION 4C",$M$37="REGION 5",$M$37="REGION 5A")),((0.059228/(B155/100))-(0.4980013/(SQRT(B155/100)))+2.137988),HLOOKUP(MONTH(A155),ScalarTable,28))))</f>
        <v> </v>
      </c>
      <c r="D155" s="398" t="str">
        <f aca="false">IF(A155="N/A"," ",C155*B155)</f>
        <v> </v>
      </c>
      <c r="E155" s="396" t="str">
        <f aca="false">IF(A155="N/A"," ",IF(ISERROR(O155),E143*Pwresc,O155)*VLOOKUP(MONTH(A155),Curveadj,3))</f>
        <v> </v>
      </c>
      <c r="F155" s="398" t="str">
        <f aca="false">IF(A155="N/A"," ",E155*C155)</f>
        <v> </v>
      </c>
      <c r="G155" s="396" t="str">
        <f aca="false">IF(A155="N/A"," ",IF(ISERROR(P155),G143*Pwresc,P155)*VLOOKUP(MONTH(A155),Curveadj,3))</f>
        <v> </v>
      </c>
      <c r="H155" s="398" t="str">
        <f aca="false">IF(A155="N/A"," ",G155*C155)</f>
        <v> </v>
      </c>
      <c r="I155" s="398" t="str">
        <f aca="false">IF(A155="N/A"," ",IF(ISERROR(Q155),I143*Pwresc,Q155))</f>
        <v> </v>
      </c>
      <c r="J155" s="398"/>
      <c r="K155" s="399"/>
      <c r="L155" s="399"/>
      <c r="M155" s="404"/>
      <c r="N155" s="401" t="str">
        <f aca="false">IF(A155="N/A"," ",VLOOKUP(A155,PeakPowerCurves,(IF(BMO4=2,3,IF(BMO4=1,2,4))),FALSE()))</f>
        <v> </v>
      </c>
      <c r="O155" s="401" t="str">
        <f aca="false">IF(A155="N/A"," ",VLOOKUP(A155,SatSunPeakPwr,(IF(BMO4=2,3,IF(BMO4=1,2,4))),FALSE()))</f>
        <v> </v>
      </c>
      <c r="P155" s="401" t="str">
        <f aca="false">IF(A155="N/A"," ",VLOOKUP(A155,SatSunPeakPwr,(IF(BMO4=2,7,IF(BMO4=1,6,8))),FALSE()))</f>
        <v> </v>
      </c>
      <c r="Q155" s="402" t="str">
        <f aca="false">IF(A155="N/A"," ",(VLOOKUP(A155,OPPowerPrices,(IF(BMO4=2,7,IF(BMO4=1,6,8))),FALSE())))</f>
        <v> </v>
      </c>
      <c r="R155" s="403" t="str">
        <f aca="false">IF(A155="N/A"," ",(VLOOKUP($A155,IRTable,2)))</f>
        <v> </v>
      </c>
      <c r="AF155" s="352" t="n">
        <v>41153</v>
      </c>
      <c r="AG155" s="311" t="n">
        <v>19</v>
      </c>
      <c r="AH155" s="311" t="n">
        <v>5</v>
      </c>
      <c r="AI155" s="311" t="n">
        <v>6</v>
      </c>
      <c r="AJ155" s="311" t="n">
        <v>1</v>
      </c>
      <c r="AK155" s="311" t="n">
        <v>30</v>
      </c>
      <c r="AU155" s="406"/>
    </row>
    <row r="156" customFormat="false" ht="12.75" hidden="false" customHeight="false" outlineLevel="0" collapsed="false">
      <c r="A156" s="352" t="str">
        <f aca="false">Option4!A123</f>
        <v>N/A</v>
      </c>
      <c r="B156" s="396" t="str">
        <f aca="false">IF(A156="N/A"," ",IF(ISERROR(N156),B144*Pwresc,N156)*VLOOKUP(MONTH(A156),Curveadj,3))</f>
        <v> </v>
      </c>
      <c r="C156" s="397" t="str">
        <f aca="false">IF(A156="N/A"," ",(IF(AND(Scaler4=1,MONTH(A156)&gt;=6,MONTH(A156)&lt;=8,OR($M$37="REGION 2",$M$37="REGION 2A",$M$37="REGION 2B",$M$37="REGION 3",$M$37="REGION 3A",$M$37="REGION 3B",$M$37="REGION 3C",$M$37="REGION 4",$M$37="REGION 4B",$M$37="REGION 4C",$M$37="REGION 5",$M$37="REGION 5A")),((0.059228/(B156/100))-(0.4980013/(SQRT(B156/100)))+2.137988),HLOOKUP(MONTH(A156),ScalarTable,28))))</f>
        <v> </v>
      </c>
      <c r="D156" s="398" t="str">
        <f aca="false">IF(A156="N/A"," ",C156*B156)</f>
        <v> </v>
      </c>
      <c r="E156" s="396" t="str">
        <f aca="false">IF(A156="N/A"," ",IF(ISERROR(O156),E144*Pwresc,O156)*VLOOKUP(MONTH(A156),Curveadj,3))</f>
        <v> </v>
      </c>
      <c r="F156" s="398" t="str">
        <f aca="false">IF(A156="N/A"," ",E156*C156)</f>
        <v> </v>
      </c>
      <c r="G156" s="396" t="str">
        <f aca="false">IF(A156="N/A"," ",IF(ISERROR(P156),G144*Pwresc,P156)*VLOOKUP(MONTH(A156),Curveadj,3))</f>
        <v> </v>
      </c>
      <c r="H156" s="398" t="str">
        <f aca="false">IF(A156="N/A"," ",G156*C156)</f>
        <v> </v>
      </c>
      <c r="I156" s="398" t="str">
        <f aca="false">IF(A156="N/A"," ",IF(ISERROR(Q156),I144*Pwresc,Q156))</f>
        <v> </v>
      </c>
      <c r="J156" s="398"/>
      <c r="K156" s="399"/>
      <c r="L156" s="399"/>
      <c r="M156" s="404"/>
      <c r="N156" s="401" t="str">
        <f aca="false">IF(A156="N/A"," ",VLOOKUP(A156,PeakPowerCurves,(IF(BMO4=2,3,IF(BMO4=1,2,4))),FALSE()))</f>
        <v> </v>
      </c>
      <c r="O156" s="401" t="str">
        <f aca="false">IF(A156="N/A"," ",VLOOKUP(A156,SatSunPeakPwr,(IF(BMO4=2,3,IF(BMO4=1,2,4))),FALSE()))</f>
        <v> </v>
      </c>
      <c r="P156" s="401" t="str">
        <f aca="false">IF(A156="N/A"," ",VLOOKUP(A156,SatSunPeakPwr,(IF(BMO4=2,7,IF(BMO4=1,6,8))),FALSE()))</f>
        <v> </v>
      </c>
      <c r="Q156" s="402" t="str">
        <f aca="false">IF(A156="N/A"," ",(VLOOKUP(A156,OPPowerPrices,(IF(BMO4=2,7,IF(BMO4=1,6,8))),FALSE())))</f>
        <v> </v>
      </c>
      <c r="R156" s="403" t="str">
        <f aca="false">IF(A156="N/A"," ",(VLOOKUP($A156,IRTable,2)))</f>
        <v> </v>
      </c>
      <c r="AF156" s="352" t="n">
        <v>41183</v>
      </c>
      <c r="AG156" s="311" t="n">
        <v>23</v>
      </c>
      <c r="AH156" s="311" t="n">
        <v>4</v>
      </c>
      <c r="AI156" s="311" t="n">
        <v>4</v>
      </c>
      <c r="AJ156" s="311" t="n">
        <v>0</v>
      </c>
      <c r="AK156" s="311" t="n">
        <v>31</v>
      </c>
      <c r="AU156" s="406"/>
    </row>
    <row r="157" customFormat="false" ht="12.75" hidden="false" customHeight="false" outlineLevel="0" collapsed="false">
      <c r="A157" s="352" t="str">
        <f aca="false">Option4!A124</f>
        <v>N/A</v>
      </c>
      <c r="B157" s="396" t="str">
        <f aca="false">IF(A157="N/A"," ",IF(ISERROR(N157),B145*Pwresc,N157)*VLOOKUP(MONTH(A157),Curveadj,3))</f>
        <v> </v>
      </c>
      <c r="C157" s="397" t="str">
        <f aca="false">IF(A157="N/A"," ",(IF(AND(Scaler4=1,MONTH(A157)&gt;=6,MONTH(A157)&lt;=8,OR($M$37="REGION 2",$M$37="REGION 2A",$M$37="REGION 2B",$M$37="REGION 3",$M$37="REGION 3A",$M$37="REGION 3B",$M$37="REGION 3C",$M$37="REGION 4",$M$37="REGION 4B",$M$37="REGION 4C",$M$37="REGION 5",$M$37="REGION 5A")),((0.059228/(B157/100))-(0.4980013/(SQRT(B157/100)))+2.137988),HLOOKUP(MONTH(A157),ScalarTable,28))))</f>
        <v> </v>
      </c>
      <c r="D157" s="398" t="str">
        <f aca="false">IF(A157="N/A"," ",C157*B157)</f>
        <v> </v>
      </c>
      <c r="E157" s="396" t="str">
        <f aca="false">IF(A157="N/A"," ",IF(ISERROR(O157),E145*Pwresc,O157)*VLOOKUP(MONTH(A157),Curveadj,3))</f>
        <v> </v>
      </c>
      <c r="F157" s="398" t="str">
        <f aca="false">IF(A157="N/A"," ",E157*C157)</f>
        <v> </v>
      </c>
      <c r="G157" s="396" t="str">
        <f aca="false">IF(A157="N/A"," ",IF(ISERROR(P157),G145*Pwresc,P157)*VLOOKUP(MONTH(A157),Curveadj,3))</f>
        <v> </v>
      </c>
      <c r="H157" s="398" t="str">
        <f aca="false">IF(A157="N/A"," ",G157*C157)</f>
        <v> </v>
      </c>
      <c r="I157" s="398" t="str">
        <f aca="false">IF(A157="N/A"," ",IF(ISERROR(Q157),I145*Pwresc,Q157))</f>
        <v> </v>
      </c>
      <c r="J157" s="398"/>
      <c r="K157" s="399"/>
      <c r="L157" s="399"/>
      <c r="M157" s="404"/>
      <c r="N157" s="401" t="str">
        <f aca="false">IF(A157="N/A"," ",VLOOKUP(A157,PeakPowerCurves,(IF(BMO4=2,3,IF(BMO4=1,2,4))),FALSE()))</f>
        <v> </v>
      </c>
      <c r="O157" s="401" t="str">
        <f aca="false">IF(A157="N/A"," ",VLOOKUP(A157,SatSunPeakPwr,(IF(BMO4=2,3,IF(BMO4=1,2,4))),FALSE()))</f>
        <v> </v>
      </c>
      <c r="P157" s="401" t="str">
        <f aca="false">IF(A157="N/A"," ",VLOOKUP(A157,SatSunPeakPwr,(IF(BMO4=2,7,IF(BMO4=1,6,8))),FALSE()))</f>
        <v> </v>
      </c>
      <c r="Q157" s="402" t="str">
        <f aca="false">IF(A157="N/A"," ",(VLOOKUP(A157,OPPowerPrices,(IF(BMO4=2,7,IF(BMO4=1,6,8))),FALSE())))</f>
        <v> </v>
      </c>
      <c r="R157" s="403" t="str">
        <f aca="false">IF(A157="N/A"," ",(VLOOKUP($A157,IRTable,2)))</f>
        <v> </v>
      </c>
      <c r="AF157" s="352" t="n">
        <v>41214</v>
      </c>
      <c r="AG157" s="311" t="n">
        <v>21</v>
      </c>
      <c r="AH157" s="311" t="n">
        <v>4</v>
      </c>
      <c r="AI157" s="311" t="n">
        <v>5</v>
      </c>
      <c r="AJ157" s="311" t="n">
        <v>1</v>
      </c>
      <c r="AK157" s="311" t="n">
        <v>30</v>
      </c>
      <c r="AU157" s="406"/>
    </row>
    <row r="158" customFormat="false" ht="12.75" hidden="false" customHeight="false" outlineLevel="0" collapsed="false">
      <c r="A158" s="352" t="str">
        <f aca="false">Option4!A125</f>
        <v>N/A</v>
      </c>
      <c r="B158" s="396" t="str">
        <f aca="false">IF(A158="N/A"," ",IF(ISERROR(N158),B146*Pwresc,N158)*VLOOKUP(MONTH(A158),Curveadj,3))</f>
        <v> </v>
      </c>
      <c r="C158" s="397" t="str">
        <f aca="false">IF(A158="N/A"," ",(IF(AND(Scaler4=1,MONTH(A158)&gt;=6,MONTH(A158)&lt;=8,OR($M$37="REGION 2",$M$37="REGION 2A",$M$37="REGION 2B",$M$37="REGION 3",$M$37="REGION 3A",$M$37="REGION 3B",$M$37="REGION 3C",$M$37="REGION 4",$M$37="REGION 4B",$M$37="REGION 4C",$M$37="REGION 5",$M$37="REGION 5A")),((0.059228/(B158/100))-(0.4980013/(SQRT(B158/100)))+2.137988),HLOOKUP(MONTH(A158),ScalarTable,28))))</f>
        <v> </v>
      </c>
      <c r="D158" s="398" t="str">
        <f aca="false">IF(A158="N/A"," ",C158*B158)</f>
        <v> </v>
      </c>
      <c r="E158" s="396" t="str">
        <f aca="false">IF(A158="N/A"," ",IF(ISERROR(O158),E146*Pwresc,O158)*VLOOKUP(MONTH(A158),Curveadj,3))</f>
        <v> </v>
      </c>
      <c r="F158" s="398" t="str">
        <f aca="false">IF(A158="N/A"," ",E158*C158)</f>
        <v> </v>
      </c>
      <c r="G158" s="396" t="str">
        <f aca="false">IF(A158="N/A"," ",IF(ISERROR(P158),G146*Pwresc,P158)*VLOOKUP(MONTH(A158),Curveadj,3))</f>
        <v> </v>
      </c>
      <c r="H158" s="398" t="str">
        <f aca="false">IF(A158="N/A"," ",G158*C158)</f>
        <v> </v>
      </c>
      <c r="I158" s="398" t="str">
        <f aca="false">IF(A158="N/A"," ",IF(ISERROR(Q158),I146*Pwresc,Q158))</f>
        <v> </v>
      </c>
      <c r="J158" s="398"/>
      <c r="K158" s="399"/>
      <c r="L158" s="399"/>
      <c r="M158" s="404"/>
      <c r="N158" s="401" t="str">
        <f aca="false">IF(A158="N/A"," ",VLOOKUP(A158,PeakPowerCurves,(IF(BMO4=2,3,IF(BMO4=1,2,4))),FALSE()))</f>
        <v> </v>
      </c>
      <c r="O158" s="401" t="str">
        <f aca="false">IF(A158="N/A"," ",VLOOKUP(A158,SatSunPeakPwr,(IF(BMO4=2,3,IF(BMO4=1,2,4))),FALSE()))</f>
        <v> </v>
      </c>
      <c r="P158" s="401" t="str">
        <f aca="false">IF(A158="N/A"," ",VLOOKUP(A158,SatSunPeakPwr,(IF(BMO4=2,7,IF(BMO4=1,6,8))),FALSE()))</f>
        <v> </v>
      </c>
      <c r="Q158" s="402" t="str">
        <f aca="false">IF(A158="N/A"," ",(VLOOKUP(A158,OPPowerPrices,(IF(BMO4=2,7,IF(BMO4=1,6,8))),FALSE())))</f>
        <v> </v>
      </c>
      <c r="R158" s="403" t="str">
        <f aca="false">IF(A158="N/A"," ",(VLOOKUP($A158,IRTable,2)))</f>
        <v> </v>
      </c>
      <c r="AF158" s="352" t="n">
        <v>41244</v>
      </c>
      <c r="AG158" s="311" t="n">
        <v>20</v>
      </c>
      <c r="AH158" s="311" t="n">
        <v>5</v>
      </c>
      <c r="AI158" s="311" t="n">
        <v>6</v>
      </c>
      <c r="AJ158" s="311" t="n">
        <v>1</v>
      </c>
      <c r="AK158" s="311" t="n">
        <v>31</v>
      </c>
      <c r="AU158" s="406"/>
    </row>
    <row r="159" customFormat="false" ht="12.75" hidden="false" customHeight="false" outlineLevel="0" collapsed="false">
      <c r="A159" s="352" t="str">
        <f aca="false">Option4!A126</f>
        <v>N/A</v>
      </c>
      <c r="B159" s="396" t="str">
        <f aca="false">IF(A159="N/A"," ",IF(ISERROR(N159),B147*Pwresc,N159)*VLOOKUP(MONTH(A159),Curveadj,3))</f>
        <v> </v>
      </c>
      <c r="C159" s="397" t="str">
        <f aca="false">IF(A159="N/A"," ",(IF(AND(Scaler4=1,MONTH(A159)&gt;=6,MONTH(A159)&lt;=8,OR($M$37="REGION 2",$M$37="REGION 2A",$M$37="REGION 2B",$M$37="REGION 3",$M$37="REGION 3A",$M$37="REGION 3B",$M$37="REGION 3C",$M$37="REGION 4",$M$37="REGION 4B",$M$37="REGION 4C",$M$37="REGION 5",$M$37="REGION 5A")),((0.059228/(B159/100))-(0.4980013/(SQRT(B159/100)))+2.137988),HLOOKUP(MONTH(A159),ScalarTable,28))))</f>
        <v> </v>
      </c>
      <c r="D159" s="398" t="str">
        <f aca="false">IF(A159="N/A"," ",C159*B159)</f>
        <v> </v>
      </c>
      <c r="E159" s="396" t="str">
        <f aca="false">IF(A159="N/A"," ",IF(ISERROR(O159),E147*Pwresc,O159)*VLOOKUP(MONTH(A159),Curveadj,3))</f>
        <v> </v>
      </c>
      <c r="F159" s="398" t="str">
        <f aca="false">IF(A159="N/A"," ",E159*C159)</f>
        <v> </v>
      </c>
      <c r="G159" s="396" t="str">
        <f aca="false">IF(A159="N/A"," ",IF(ISERROR(P159),G147*Pwresc,P159)*VLOOKUP(MONTH(A159),Curveadj,3))</f>
        <v> </v>
      </c>
      <c r="H159" s="398" t="str">
        <f aca="false">IF(A159="N/A"," ",G159*C159)</f>
        <v> </v>
      </c>
      <c r="I159" s="398" t="str">
        <f aca="false">IF(A159="N/A"," ",IF(ISERROR(Q159),I147*Pwresc,Q159))</f>
        <v> </v>
      </c>
      <c r="J159" s="398"/>
      <c r="K159" s="399"/>
      <c r="L159" s="399"/>
      <c r="M159" s="404"/>
      <c r="N159" s="401" t="str">
        <f aca="false">IF(A159="N/A"," ",VLOOKUP(A159,PeakPowerCurves,(IF(BMO4=2,3,IF(BMO4=1,2,4))),FALSE()))</f>
        <v> </v>
      </c>
      <c r="O159" s="401" t="str">
        <f aca="false">IF(A159="N/A"," ",VLOOKUP(A159,SatSunPeakPwr,(IF(BMO4=2,3,IF(BMO4=1,2,4))),FALSE()))</f>
        <v> </v>
      </c>
      <c r="P159" s="401" t="str">
        <f aca="false">IF(A159="N/A"," ",VLOOKUP(A159,SatSunPeakPwr,(IF(BMO4=2,7,IF(BMO4=1,6,8))),FALSE()))</f>
        <v> </v>
      </c>
      <c r="Q159" s="402" t="str">
        <f aca="false">IF(A159="N/A"," ",(VLOOKUP(A159,OPPowerPrices,(IF(BMO4=2,7,IF(BMO4=1,6,8))),FALSE())))</f>
        <v> </v>
      </c>
      <c r="R159" s="403" t="str">
        <f aca="false">IF(A159="N/A"," ",(VLOOKUP($A159,IRTable,2)))</f>
        <v> </v>
      </c>
      <c r="AF159" s="352" t="n">
        <v>41275</v>
      </c>
      <c r="AG159" s="311" t="n">
        <v>22</v>
      </c>
      <c r="AH159" s="311" t="n">
        <v>4</v>
      </c>
      <c r="AI159" s="311" t="n">
        <v>5</v>
      </c>
      <c r="AJ159" s="311" t="n">
        <v>1</v>
      </c>
      <c r="AK159" s="311" t="n">
        <v>31</v>
      </c>
      <c r="AU159" s="406"/>
    </row>
    <row r="160" customFormat="false" ht="12.75" hidden="false" customHeight="false" outlineLevel="0" collapsed="false">
      <c r="A160" s="352" t="str">
        <f aca="false">Option4!A127</f>
        <v>N/A</v>
      </c>
      <c r="B160" s="396" t="str">
        <f aca="false">IF(A160="N/A"," ",IF(ISERROR(N160),B148*Pwresc,N160)*VLOOKUP(MONTH(A160),Curveadj,3))</f>
        <v> </v>
      </c>
      <c r="C160" s="397" t="str">
        <f aca="false">IF(A160="N/A"," ",(IF(AND(Scaler4=1,MONTH(A160)&gt;=6,MONTH(A160)&lt;=8,OR($M$37="REGION 2",$M$37="REGION 2A",$M$37="REGION 2B",$M$37="REGION 3",$M$37="REGION 3A",$M$37="REGION 3B",$M$37="REGION 3C",$M$37="REGION 4",$M$37="REGION 4B",$M$37="REGION 4C",$M$37="REGION 5",$M$37="REGION 5A")),((0.059228/(B160/100))-(0.4980013/(SQRT(B160/100)))+2.137988),HLOOKUP(MONTH(A160),ScalarTable,28))))</f>
        <v> </v>
      </c>
      <c r="D160" s="398" t="str">
        <f aca="false">IF(A160="N/A"," ",C160*B160)</f>
        <v> </v>
      </c>
      <c r="E160" s="396" t="str">
        <f aca="false">IF(A160="N/A"," ",IF(ISERROR(O160),E148*Pwresc,O160)*VLOOKUP(MONTH(A160),Curveadj,3))</f>
        <v> </v>
      </c>
      <c r="F160" s="398" t="str">
        <f aca="false">IF(A160="N/A"," ",E160*C160)</f>
        <v> </v>
      </c>
      <c r="G160" s="396" t="str">
        <f aca="false">IF(A160="N/A"," ",IF(ISERROR(P160),G148*Pwresc,P160)*VLOOKUP(MONTH(A160),Curveadj,3))</f>
        <v> </v>
      </c>
      <c r="H160" s="398" t="str">
        <f aca="false">IF(A160="N/A"," ",G160*C160)</f>
        <v> </v>
      </c>
      <c r="I160" s="398" t="str">
        <f aca="false">IF(A160="N/A"," ",IF(ISERROR(Q160),I148*Pwresc,Q160))</f>
        <v> </v>
      </c>
      <c r="J160" s="398"/>
      <c r="K160" s="399"/>
      <c r="L160" s="399"/>
      <c r="M160" s="404"/>
      <c r="N160" s="401" t="str">
        <f aca="false">IF(A160="N/A"," ",VLOOKUP(A160,PeakPowerCurves,(IF(BMO4=2,3,IF(BMO4=1,2,4))),FALSE()))</f>
        <v> </v>
      </c>
      <c r="O160" s="401" t="str">
        <f aca="false">IF(A160="N/A"," ",VLOOKUP(A160,SatSunPeakPwr,(IF(BMO4=2,3,IF(BMO4=1,2,4))),FALSE()))</f>
        <v> </v>
      </c>
      <c r="P160" s="401" t="str">
        <f aca="false">IF(A160="N/A"," ",VLOOKUP(A160,SatSunPeakPwr,(IF(BMO4=2,7,IF(BMO4=1,6,8))),FALSE()))</f>
        <v> </v>
      </c>
      <c r="Q160" s="402" t="str">
        <f aca="false">IF(A160="N/A"," ",(VLOOKUP(A160,OPPowerPrices,(IF(BMO4=2,7,IF(BMO4=1,6,8))),FALSE())))</f>
        <v> </v>
      </c>
      <c r="R160" s="403" t="str">
        <f aca="false">IF(A160="N/A"," ",(VLOOKUP($A160,IRTable,2)))</f>
        <v> </v>
      </c>
      <c r="AF160" s="352" t="n">
        <v>41306</v>
      </c>
      <c r="AG160" s="311" t="n">
        <v>20</v>
      </c>
      <c r="AH160" s="311" t="n">
        <v>4</v>
      </c>
      <c r="AI160" s="311" t="n">
        <v>4</v>
      </c>
      <c r="AJ160" s="311" t="n">
        <v>0</v>
      </c>
      <c r="AK160" s="311" t="n">
        <v>28</v>
      </c>
      <c r="AU160" s="406"/>
    </row>
    <row r="161" customFormat="false" ht="12.75" hidden="false" customHeight="false" outlineLevel="0" collapsed="false">
      <c r="A161" s="352" t="str">
        <f aca="false">Option4!A128</f>
        <v>N/A</v>
      </c>
      <c r="B161" s="396" t="str">
        <f aca="false">IF(A161="N/A"," ",IF(ISERROR(N161),B149*Pwresc,N161)*VLOOKUP(MONTH(A161),Curveadj,3))</f>
        <v> </v>
      </c>
      <c r="C161" s="397" t="str">
        <f aca="false">IF(A161="N/A"," ",(IF(AND(Scaler4=1,MONTH(A161)&gt;=6,MONTH(A161)&lt;=8,OR($M$37="REGION 2",$M$37="REGION 2A",$M$37="REGION 2B",$M$37="REGION 3",$M$37="REGION 3A",$M$37="REGION 3B",$M$37="REGION 3C",$M$37="REGION 4",$M$37="REGION 4B",$M$37="REGION 4C",$M$37="REGION 5",$M$37="REGION 5A")),((0.059228/(B161/100))-(0.4980013/(SQRT(B161/100)))+2.137988),HLOOKUP(MONTH(A161),ScalarTable,28))))</f>
        <v> </v>
      </c>
      <c r="D161" s="398" t="str">
        <f aca="false">IF(A161="N/A"," ",C161*B161)</f>
        <v> </v>
      </c>
      <c r="E161" s="396" t="str">
        <f aca="false">IF(A161="N/A"," ",IF(ISERROR(O161),E149*Pwresc,O161)*VLOOKUP(MONTH(A161),Curveadj,3))</f>
        <v> </v>
      </c>
      <c r="F161" s="398" t="str">
        <f aca="false">IF(A161="N/A"," ",E161*C161)</f>
        <v> </v>
      </c>
      <c r="G161" s="396" t="str">
        <f aca="false">IF(A161="N/A"," ",IF(ISERROR(P161),G149*Pwresc,P161)*VLOOKUP(MONTH(A161),Curveadj,3))</f>
        <v> </v>
      </c>
      <c r="H161" s="398" t="str">
        <f aca="false">IF(A161="N/A"," ",G161*C161)</f>
        <v> </v>
      </c>
      <c r="I161" s="398" t="str">
        <f aca="false">IF(A161="N/A"," ",IF(ISERROR(Q161),I149*Pwresc,Q161))</f>
        <v> </v>
      </c>
      <c r="J161" s="398"/>
      <c r="K161" s="399"/>
      <c r="L161" s="399"/>
      <c r="M161" s="404"/>
      <c r="N161" s="401" t="str">
        <f aca="false">IF(A161="N/A"," ",VLOOKUP(A161,PeakPowerCurves,(IF(BMO4=2,3,IF(BMO4=1,2,4))),FALSE()))</f>
        <v> </v>
      </c>
      <c r="O161" s="401" t="str">
        <f aca="false">IF(A161="N/A"," ",VLOOKUP(A161,SatSunPeakPwr,(IF(BMO4=2,3,IF(BMO4=1,2,4))),FALSE()))</f>
        <v> </v>
      </c>
      <c r="P161" s="401" t="str">
        <f aca="false">IF(A161="N/A"," ",VLOOKUP(A161,SatSunPeakPwr,(IF(BMO4=2,7,IF(BMO4=1,6,8))),FALSE()))</f>
        <v> </v>
      </c>
      <c r="Q161" s="402" t="str">
        <f aca="false">IF(A161="N/A"," ",(VLOOKUP(A161,OPPowerPrices,(IF(BMO4=2,7,IF(BMO4=1,6,8))),FALSE())))</f>
        <v> </v>
      </c>
      <c r="R161" s="403" t="str">
        <f aca="false">IF(A161="N/A"," ",(VLOOKUP($A161,IRTable,2)))</f>
        <v> </v>
      </c>
      <c r="AF161" s="352" t="n">
        <v>41334</v>
      </c>
      <c r="AG161" s="311" t="n">
        <v>21</v>
      </c>
      <c r="AH161" s="311" t="n">
        <v>5</v>
      </c>
      <c r="AI161" s="311" t="n">
        <v>5</v>
      </c>
      <c r="AJ161" s="311" t="n">
        <v>0</v>
      </c>
      <c r="AK161" s="311" t="n">
        <v>31</v>
      </c>
      <c r="AU161" s="406"/>
    </row>
    <row r="162" customFormat="false" ht="12.75" hidden="false" customHeight="false" outlineLevel="0" collapsed="false">
      <c r="A162" s="352" t="str">
        <f aca="false">Option4!A129</f>
        <v>N/A</v>
      </c>
      <c r="B162" s="396" t="str">
        <f aca="false">IF(A162="N/A"," ",IF(ISERROR(N162),B150*Pwresc,N162)*VLOOKUP(MONTH(A162),Curveadj,3))</f>
        <v> </v>
      </c>
      <c r="C162" s="397" t="str">
        <f aca="false">IF(A162="N/A"," ",(IF(AND(Scaler4=1,MONTH(A162)&gt;=6,MONTH(A162)&lt;=8,OR($M$37="REGION 2",$M$37="REGION 2A",$M$37="REGION 2B",$M$37="REGION 3",$M$37="REGION 3A",$M$37="REGION 3B",$M$37="REGION 3C",$M$37="REGION 4",$M$37="REGION 4B",$M$37="REGION 4C",$M$37="REGION 5",$M$37="REGION 5A")),((0.059228/(B162/100))-(0.4980013/(SQRT(B162/100)))+2.137988),HLOOKUP(MONTH(A162),ScalarTable,28))))</f>
        <v> </v>
      </c>
      <c r="D162" s="398" t="str">
        <f aca="false">IF(A162="N/A"," ",C162*B162)</f>
        <v> </v>
      </c>
      <c r="E162" s="396" t="str">
        <f aca="false">IF(A162="N/A"," ",IF(ISERROR(O162),E150*Pwresc,O162)*VLOOKUP(MONTH(A162),Curveadj,3))</f>
        <v> </v>
      </c>
      <c r="F162" s="398" t="str">
        <f aca="false">IF(A162="N/A"," ",E162*C162)</f>
        <v> </v>
      </c>
      <c r="G162" s="396" t="str">
        <f aca="false">IF(A162="N/A"," ",IF(ISERROR(P162),G150*Pwresc,P162)*VLOOKUP(MONTH(A162),Curveadj,3))</f>
        <v> </v>
      </c>
      <c r="H162" s="398" t="str">
        <f aca="false">IF(A162="N/A"," ",G162*C162)</f>
        <v> </v>
      </c>
      <c r="I162" s="398" t="str">
        <f aca="false">IF(A162="N/A"," ",IF(ISERROR(Q162),I150*Pwresc,Q162))</f>
        <v> </v>
      </c>
      <c r="J162" s="398"/>
      <c r="K162" s="399"/>
      <c r="L162" s="399"/>
      <c r="M162" s="404"/>
      <c r="N162" s="401" t="str">
        <f aca="false">IF(A162="N/A"," ",VLOOKUP(A162,PeakPowerCurves,(IF(BMO4=2,3,IF(BMO4=1,2,4))),FALSE()))</f>
        <v> </v>
      </c>
      <c r="O162" s="401" t="str">
        <f aca="false">IF(A162="N/A"," ",VLOOKUP(A162,SatSunPeakPwr,(IF(BMO4=2,3,IF(BMO4=1,2,4))),FALSE()))</f>
        <v> </v>
      </c>
      <c r="P162" s="401" t="str">
        <f aca="false">IF(A162="N/A"," ",VLOOKUP(A162,SatSunPeakPwr,(IF(BMO4=2,7,IF(BMO4=1,6,8))),FALSE()))</f>
        <v> </v>
      </c>
      <c r="Q162" s="402" t="str">
        <f aca="false">IF(A162="N/A"," ",(VLOOKUP(A162,OPPowerPrices,(IF(BMO4=2,7,IF(BMO4=1,6,8))),FALSE())))</f>
        <v> </v>
      </c>
      <c r="R162" s="403" t="str">
        <f aca="false">IF(A162="N/A"," ",(VLOOKUP($A162,IRTable,2)))</f>
        <v> </v>
      </c>
      <c r="AF162" s="352" t="n">
        <v>41365</v>
      </c>
      <c r="AG162" s="311" t="n">
        <v>22</v>
      </c>
      <c r="AH162" s="311" t="n">
        <v>4</v>
      </c>
      <c r="AI162" s="311" t="n">
        <v>4</v>
      </c>
      <c r="AJ162" s="311" t="n">
        <v>0</v>
      </c>
      <c r="AK162" s="311" t="n">
        <v>30</v>
      </c>
      <c r="AU162" s="406"/>
    </row>
    <row r="163" customFormat="false" ht="12.75" hidden="false" customHeight="false" outlineLevel="0" collapsed="false">
      <c r="A163" s="352" t="str">
        <f aca="false">Option4!A130</f>
        <v>N/A</v>
      </c>
      <c r="B163" s="396" t="str">
        <f aca="false">IF(A163="N/A"," ",IF(ISERROR(N163),B151*Pwresc,N163)*VLOOKUP(MONTH(A163),Curveadj,3))</f>
        <v> </v>
      </c>
      <c r="C163" s="397" t="str">
        <f aca="false">IF(A163="N/A"," ",(IF(AND(Scaler4=1,MONTH(A163)&gt;=6,MONTH(A163)&lt;=8,OR($M$37="REGION 2",$M$37="REGION 2A",$M$37="REGION 2B",$M$37="REGION 3",$M$37="REGION 3A",$M$37="REGION 3B",$M$37="REGION 3C",$M$37="REGION 4",$M$37="REGION 4B",$M$37="REGION 4C",$M$37="REGION 5",$M$37="REGION 5A")),((0.059228/(B163/100))-(0.4980013/(SQRT(B163/100)))+2.137988),HLOOKUP(MONTH(A163),ScalarTable,28))))</f>
        <v> </v>
      </c>
      <c r="D163" s="398" t="str">
        <f aca="false">IF(A163="N/A"," ",C163*B163)</f>
        <v> </v>
      </c>
      <c r="E163" s="396" t="str">
        <f aca="false">IF(A163="N/A"," ",IF(ISERROR(O163),E151*Pwresc,O163)*VLOOKUP(MONTH(A163),Curveadj,3))</f>
        <v> </v>
      </c>
      <c r="F163" s="398" t="str">
        <f aca="false">IF(A163="N/A"," ",E163*C163)</f>
        <v> </v>
      </c>
      <c r="G163" s="396" t="str">
        <f aca="false">IF(A163="N/A"," ",IF(ISERROR(P163),G151*Pwresc,P163)*VLOOKUP(MONTH(A163),Curveadj,3))</f>
        <v> </v>
      </c>
      <c r="H163" s="398" t="str">
        <f aca="false">IF(A163="N/A"," ",G163*C163)</f>
        <v> </v>
      </c>
      <c r="I163" s="398" t="str">
        <f aca="false">IF(A163="N/A"," ",IF(ISERROR(Q163),I151*Pwresc,Q163))</f>
        <v> </v>
      </c>
      <c r="J163" s="398"/>
      <c r="K163" s="399"/>
      <c r="L163" s="399"/>
      <c r="M163" s="404"/>
      <c r="N163" s="401" t="str">
        <f aca="false">IF(A163="N/A"," ",VLOOKUP(A163,PeakPowerCurves,(IF(BMO4=2,3,IF(BMO4=1,2,4))),FALSE()))</f>
        <v> </v>
      </c>
      <c r="O163" s="401" t="str">
        <f aca="false">IF(A163="N/A"," ",VLOOKUP(A163,SatSunPeakPwr,(IF(BMO4=2,3,IF(BMO4=1,2,4))),FALSE()))</f>
        <v> </v>
      </c>
      <c r="P163" s="401" t="str">
        <f aca="false">IF(A163="N/A"," ",VLOOKUP(A163,SatSunPeakPwr,(IF(BMO4=2,7,IF(BMO4=1,6,8))),FALSE()))</f>
        <v> </v>
      </c>
      <c r="Q163" s="402" t="str">
        <f aca="false">IF(A163="N/A"," ",(VLOOKUP(A163,OPPowerPrices,(IF(BMO4=2,7,IF(BMO4=1,6,8))),FALSE())))</f>
        <v> </v>
      </c>
      <c r="R163" s="403" t="str">
        <f aca="false">IF(A163="N/A"," ",(VLOOKUP($A163,IRTable,2)))</f>
        <v> </v>
      </c>
      <c r="AF163" s="352" t="n">
        <v>41395</v>
      </c>
      <c r="AG163" s="311" t="n">
        <v>22</v>
      </c>
      <c r="AH163" s="311" t="n">
        <v>4</v>
      </c>
      <c r="AI163" s="311" t="n">
        <v>5</v>
      </c>
      <c r="AJ163" s="311" t="n">
        <v>1</v>
      </c>
      <c r="AK163" s="311" t="n">
        <v>31</v>
      </c>
      <c r="AU163" s="406"/>
    </row>
    <row r="164" customFormat="false" ht="12.75" hidden="false" customHeight="false" outlineLevel="0" collapsed="false">
      <c r="A164" s="352" t="str">
        <f aca="false">Option4!A131</f>
        <v>N/A</v>
      </c>
      <c r="B164" s="396" t="str">
        <f aca="false">IF(A164="N/A"," ",IF(ISERROR(N164),B152*Pwresc,N164)*VLOOKUP(MONTH(A164),Curveadj,3))</f>
        <v> </v>
      </c>
      <c r="C164" s="397" t="str">
        <f aca="false">IF(A164="N/A"," ",(IF(AND(Scaler4=1,MONTH(A164)&gt;=6,MONTH(A164)&lt;=8,OR($M$37="REGION 2",$M$37="REGION 2A",$M$37="REGION 2B",$M$37="REGION 3",$M$37="REGION 3A",$M$37="REGION 3B",$M$37="REGION 3C",$M$37="REGION 4",$M$37="REGION 4B",$M$37="REGION 4C",$M$37="REGION 5",$M$37="REGION 5A")),((0.059228/(B164/100))-(0.4980013/(SQRT(B164/100)))+2.137988),HLOOKUP(MONTH(A164),ScalarTable,28))))</f>
        <v> </v>
      </c>
      <c r="D164" s="398" t="str">
        <f aca="false">IF(A164="N/A"," ",C164*B164)</f>
        <v> </v>
      </c>
      <c r="E164" s="396" t="str">
        <f aca="false">IF(A164="N/A"," ",IF(ISERROR(O164),E152*Pwresc,O164)*VLOOKUP(MONTH(A164),Curveadj,3))</f>
        <v> </v>
      </c>
      <c r="F164" s="398" t="str">
        <f aca="false">IF(A164="N/A"," ",E164*C164)</f>
        <v> </v>
      </c>
      <c r="G164" s="396" t="str">
        <f aca="false">IF(A164="N/A"," ",IF(ISERROR(P164),G152*Pwresc,P164)*VLOOKUP(MONTH(A164),Curveadj,3))</f>
        <v> </v>
      </c>
      <c r="H164" s="398" t="str">
        <f aca="false">IF(A164="N/A"," ",G164*C164)</f>
        <v> </v>
      </c>
      <c r="I164" s="398" t="str">
        <f aca="false">IF(A164="N/A"," ",IF(ISERROR(Q164),I152*Pwresc,Q164))</f>
        <v> </v>
      </c>
      <c r="J164" s="398"/>
      <c r="K164" s="399"/>
      <c r="L164" s="399"/>
      <c r="M164" s="404"/>
      <c r="N164" s="401" t="str">
        <f aca="false">IF(A164="N/A"," ",VLOOKUP(A164,PeakPowerCurves,(IF(BMO4=2,3,IF(BMO4=1,2,4))),FALSE()))</f>
        <v> </v>
      </c>
      <c r="O164" s="401" t="str">
        <f aca="false">IF(A164="N/A"," ",VLOOKUP(A164,SatSunPeakPwr,(IF(BMO4=2,3,IF(BMO4=1,2,4))),FALSE()))</f>
        <v> </v>
      </c>
      <c r="P164" s="401" t="str">
        <f aca="false">IF(A164="N/A"," ",VLOOKUP(A164,SatSunPeakPwr,(IF(BMO4=2,7,IF(BMO4=1,6,8))),FALSE()))</f>
        <v> </v>
      </c>
      <c r="Q164" s="402" t="str">
        <f aca="false">IF(A164="N/A"," ",(VLOOKUP(A164,OPPowerPrices,(IF(BMO4=2,7,IF(BMO4=1,6,8))),FALSE())))</f>
        <v> </v>
      </c>
      <c r="R164" s="403" t="str">
        <f aca="false">IF(A164="N/A"," ",(VLOOKUP($A164,IRTable,2)))</f>
        <v> </v>
      </c>
      <c r="AF164" s="352" t="n">
        <v>41426</v>
      </c>
      <c r="AG164" s="311" t="n">
        <v>20</v>
      </c>
      <c r="AH164" s="311" t="n">
        <v>5</v>
      </c>
      <c r="AI164" s="311" t="n">
        <v>5</v>
      </c>
      <c r="AJ164" s="311" t="n">
        <v>0</v>
      </c>
      <c r="AK164" s="311" t="n">
        <v>30</v>
      </c>
      <c r="AU164" s="406"/>
    </row>
    <row r="165" customFormat="false" ht="12.75" hidden="false" customHeight="false" outlineLevel="0" collapsed="false">
      <c r="A165" s="352" t="str">
        <f aca="false">Option4!A132</f>
        <v>N/A</v>
      </c>
      <c r="B165" s="396" t="str">
        <f aca="false">IF(A165="N/A"," ",IF(ISERROR(N165),B153*Pwresc,N165)*VLOOKUP(MONTH(A165),Curveadj,3))</f>
        <v> </v>
      </c>
      <c r="C165" s="397" t="str">
        <f aca="false">IF(A165="N/A"," ",(IF(AND(Scaler4=1,MONTH(A165)&gt;=6,MONTH(A165)&lt;=8,OR($M$37="REGION 2",$M$37="REGION 2A",$M$37="REGION 2B",$M$37="REGION 3",$M$37="REGION 3A",$M$37="REGION 3B",$M$37="REGION 3C",$M$37="REGION 4",$M$37="REGION 4B",$M$37="REGION 4C",$M$37="REGION 5",$M$37="REGION 5A")),((0.059228/(B165/100))-(0.4980013/(SQRT(B165/100)))+2.137988),HLOOKUP(MONTH(A165),ScalarTable,28))))</f>
        <v> </v>
      </c>
      <c r="D165" s="398" t="str">
        <f aca="false">IF(A165="N/A"," ",C165*B165)</f>
        <v> </v>
      </c>
      <c r="E165" s="396" t="str">
        <f aca="false">IF(A165="N/A"," ",IF(ISERROR(O165),E153*Pwresc,O165)*VLOOKUP(MONTH(A165),Curveadj,3))</f>
        <v> </v>
      </c>
      <c r="F165" s="398" t="str">
        <f aca="false">IF(A165="N/A"," ",E165*C165)</f>
        <v> </v>
      </c>
      <c r="G165" s="396" t="str">
        <f aca="false">IF(A165="N/A"," ",IF(ISERROR(P165),G153*Pwresc,P165)*VLOOKUP(MONTH(A165),Curveadj,3))</f>
        <v> </v>
      </c>
      <c r="H165" s="398" t="str">
        <f aca="false">IF(A165="N/A"," ",G165*C165)</f>
        <v> </v>
      </c>
      <c r="I165" s="398" t="str">
        <f aca="false">IF(A165="N/A"," ",IF(ISERROR(Q165),I153*Pwresc,Q165))</f>
        <v> </v>
      </c>
      <c r="J165" s="398"/>
      <c r="K165" s="399"/>
      <c r="L165" s="399"/>
      <c r="M165" s="404"/>
      <c r="N165" s="401" t="str">
        <f aca="false">IF(A165="N/A"," ",VLOOKUP(A165,PeakPowerCurves,(IF(BMO4=2,3,IF(BMO4=1,2,4))),FALSE()))</f>
        <v> </v>
      </c>
      <c r="O165" s="401" t="str">
        <f aca="false">IF(A165="N/A"," ",VLOOKUP(A165,SatSunPeakPwr,(IF(BMO4=2,3,IF(BMO4=1,2,4))),FALSE()))</f>
        <v> </v>
      </c>
      <c r="P165" s="401" t="str">
        <f aca="false">IF(A165="N/A"," ",VLOOKUP(A165,SatSunPeakPwr,(IF(BMO4=2,7,IF(BMO4=1,6,8))),FALSE()))</f>
        <v> </v>
      </c>
      <c r="Q165" s="402" t="str">
        <f aca="false">IF(A165="N/A"," ",(VLOOKUP(A165,OPPowerPrices,(IF(BMO4=2,7,IF(BMO4=1,6,8))),FALSE())))</f>
        <v> </v>
      </c>
      <c r="R165" s="403" t="str">
        <f aca="false">IF(A165="N/A"," ",(VLOOKUP($A165,IRTable,2)))</f>
        <v> </v>
      </c>
      <c r="AF165" s="352" t="n">
        <v>41456</v>
      </c>
      <c r="AG165" s="311" t="n">
        <v>22</v>
      </c>
      <c r="AH165" s="311" t="n">
        <v>4</v>
      </c>
      <c r="AI165" s="311" t="n">
        <v>5</v>
      </c>
      <c r="AJ165" s="311" t="n">
        <v>1</v>
      </c>
      <c r="AK165" s="311" t="n">
        <v>31</v>
      </c>
      <c r="AU165" s="406"/>
    </row>
    <row r="166" customFormat="false" ht="12.75" hidden="false" customHeight="false" outlineLevel="0" collapsed="false">
      <c r="A166" s="352" t="str">
        <f aca="false">Option4!A133</f>
        <v>N/A</v>
      </c>
      <c r="B166" s="396" t="str">
        <f aca="false">IF(A166="N/A"," ",IF(ISERROR(N166),B154*Pwresc,N166)*VLOOKUP(MONTH(A166),Curveadj,3))</f>
        <v> </v>
      </c>
      <c r="C166" s="397" t="str">
        <f aca="false">IF(A166="N/A"," ",(IF(AND(Scaler4=1,MONTH(A166)&gt;=6,MONTH(A166)&lt;=8,OR($M$37="REGION 2",$M$37="REGION 2A",$M$37="REGION 2B",$M$37="REGION 3",$M$37="REGION 3A",$M$37="REGION 3B",$M$37="REGION 3C",$M$37="REGION 4",$M$37="REGION 4B",$M$37="REGION 4C",$M$37="REGION 5",$M$37="REGION 5A")),((0.059228/(B166/100))-(0.4980013/(SQRT(B166/100)))+2.137988),HLOOKUP(MONTH(A166),ScalarTable,28))))</f>
        <v> </v>
      </c>
      <c r="D166" s="398" t="str">
        <f aca="false">IF(A166="N/A"," ",C166*B166)</f>
        <v> </v>
      </c>
      <c r="E166" s="396" t="str">
        <f aca="false">IF(A166="N/A"," ",IF(ISERROR(O166),E154*Pwresc,O166)*VLOOKUP(MONTH(A166),Curveadj,3))</f>
        <v> </v>
      </c>
      <c r="F166" s="398" t="str">
        <f aca="false">IF(A166="N/A"," ",E166*C166)</f>
        <v> </v>
      </c>
      <c r="G166" s="396" t="str">
        <f aca="false">IF(A166="N/A"," ",IF(ISERROR(P166),G154*Pwresc,P166)*VLOOKUP(MONTH(A166),Curveadj,3))</f>
        <v> </v>
      </c>
      <c r="H166" s="398" t="str">
        <f aca="false">IF(A166="N/A"," ",G166*C166)</f>
        <v> </v>
      </c>
      <c r="I166" s="398" t="str">
        <f aca="false">IF(A166="N/A"," ",IF(ISERROR(Q166),I154*Pwresc,Q166))</f>
        <v> </v>
      </c>
      <c r="J166" s="398"/>
      <c r="K166" s="399"/>
      <c r="L166" s="399"/>
      <c r="M166" s="404"/>
      <c r="N166" s="401" t="str">
        <f aca="false">IF(A166="N/A"," ",VLOOKUP(A166,PeakPowerCurves,(IF(BMO4=2,3,IF(BMO4=1,2,4))),FALSE()))</f>
        <v> </v>
      </c>
      <c r="O166" s="401" t="str">
        <f aca="false">IF(A166="N/A"," ",VLOOKUP(A166,SatSunPeakPwr,(IF(BMO4=2,3,IF(BMO4=1,2,4))),FALSE()))</f>
        <v> </v>
      </c>
      <c r="P166" s="401" t="str">
        <f aca="false">IF(A166="N/A"," ",VLOOKUP(A166,SatSunPeakPwr,(IF(BMO4=2,7,IF(BMO4=1,6,8))),FALSE()))</f>
        <v> </v>
      </c>
      <c r="Q166" s="402" t="str">
        <f aca="false">IF(A166="N/A"," ",(VLOOKUP(A166,OPPowerPrices,(IF(BMO4=2,7,IF(BMO4=1,6,8))),FALSE())))</f>
        <v> </v>
      </c>
      <c r="R166" s="403" t="str">
        <f aca="false">IF(A166="N/A"," ",(VLOOKUP($A166,IRTable,2)))</f>
        <v> </v>
      </c>
      <c r="AF166" s="352" t="n">
        <v>41487</v>
      </c>
      <c r="AG166" s="311" t="n">
        <v>22</v>
      </c>
      <c r="AH166" s="311" t="n">
        <v>5</v>
      </c>
      <c r="AI166" s="311" t="n">
        <v>4</v>
      </c>
      <c r="AJ166" s="311" t="n">
        <v>0</v>
      </c>
      <c r="AK166" s="311" t="n">
        <v>31</v>
      </c>
      <c r="AU166" s="406"/>
    </row>
    <row r="167" customFormat="false" ht="12.75" hidden="false" customHeight="false" outlineLevel="0" collapsed="false">
      <c r="A167" s="352" t="str">
        <f aca="false">Option4!A134</f>
        <v>N/A</v>
      </c>
      <c r="B167" s="396" t="str">
        <f aca="false">IF(A167="N/A"," ",IF(ISERROR(N167),B155*Pwresc,N167)*VLOOKUP(MONTH(A167),Curveadj,3))</f>
        <v> </v>
      </c>
      <c r="C167" s="397" t="str">
        <f aca="false">IF(A167="N/A"," ",(IF(AND(Scaler4=1,MONTH(A167)&gt;=6,MONTH(A167)&lt;=8,OR($M$37="REGION 2",$M$37="REGION 2A",$M$37="REGION 2B",$M$37="REGION 3",$M$37="REGION 3A",$M$37="REGION 3B",$M$37="REGION 3C",$M$37="REGION 4",$M$37="REGION 4B",$M$37="REGION 4C",$M$37="REGION 5",$M$37="REGION 5A")),((0.059228/(B167/100))-(0.4980013/(SQRT(B167/100)))+2.137988),HLOOKUP(MONTH(A167),ScalarTable,28))))</f>
        <v> </v>
      </c>
      <c r="D167" s="398" t="str">
        <f aca="false">IF(A167="N/A"," ",C167*B167)</f>
        <v> </v>
      </c>
      <c r="E167" s="396" t="str">
        <f aca="false">IF(A167="N/A"," ",IF(ISERROR(O167),E155*Pwresc,O167)*VLOOKUP(MONTH(A167),Curveadj,3))</f>
        <v> </v>
      </c>
      <c r="F167" s="398" t="str">
        <f aca="false">IF(A167="N/A"," ",E167*C167)</f>
        <v> </v>
      </c>
      <c r="G167" s="396" t="str">
        <f aca="false">IF(A167="N/A"," ",IF(ISERROR(P167),G155*Pwresc,P167)*VLOOKUP(MONTH(A167),Curveadj,3))</f>
        <v> </v>
      </c>
      <c r="H167" s="398" t="str">
        <f aca="false">IF(A167="N/A"," ",G167*C167)</f>
        <v> </v>
      </c>
      <c r="I167" s="398" t="str">
        <f aca="false">IF(A167="N/A"," ",IF(ISERROR(Q167),I155*Pwresc,Q167))</f>
        <v> </v>
      </c>
      <c r="J167" s="398"/>
      <c r="K167" s="399"/>
      <c r="L167" s="399"/>
      <c r="M167" s="404"/>
      <c r="N167" s="401" t="str">
        <f aca="false">IF(A167="N/A"," ",VLOOKUP(A167,PeakPowerCurves,(IF(BMO4=2,3,IF(BMO4=1,2,4))),FALSE()))</f>
        <v> </v>
      </c>
      <c r="O167" s="401" t="str">
        <f aca="false">IF(A167="N/A"," ",VLOOKUP(A167,SatSunPeakPwr,(IF(BMO4=2,3,IF(BMO4=1,2,4))),FALSE()))</f>
        <v> </v>
      </c>
      <c r="P167" s="401" t="str">
        <f aca="false">IF(A167="N/A"," ",VLOOKUP(A167,SatSunPeakPwr,(IF(BMO4=2,7,IF(BMO4=1,6,8))),FALSE()))</f>
        <v> </v>
      </c>
      <c r="Q167" s="402" t="str">
        <f aca="false">IF(A167="N/A"," ",(VLOOKUP(A167,OPPowerPrices,(IF(BMO4=2,7,IF(BMO4=1,6,8))),FALSE())))</f>
        <v> </v>
      </c>
      <c r="R167" s="403" t="str">
        <f aca="false">IF(A167="N/A"," ",(VLOOKUP($A167,IRTable,2)))</f>
        <v> </v>
      </c>
      <c r="AF167" s="352" t="n">
        <v>41518</v>
      </c>
      <c r="AG167" s="311" t="n">
        <v>20</v>
      </c>
      <c r="AH167" s="311" t="n">
        <v>4</v>
      </c>
      <c r="AI167" s="311" t="n">
        <v>6</v>
      </c>
      <c r="AJ167" s="311" t="n">
        <v>1</v>
      </c>
      <c r="AK167" s="311" t="n">
        <v>30</v>
      </c>
      <c r="AU167" s="406"/>
    </row>
    <row r="168" customFormat="false" ht="12.75" hidden="false" customHeight="false" outlineLevel="0" collapsed="false">
      <c r="A168" s="352" t="str">
        <f aca="false">Option4!A135</f>
        <v>N/A</v>
      </c>
      <c r="B168" s="396" t="str">
        <f aca="false">IF(A168="N/A"," ",IF(ISERROR(N168),B156*Pwresc,N168)*VLOOKUP(MONTH(A168),Curveadj,3))</f>
        <v> </v>
      </c>
      <c r="C168" s="397" t="str">
        <f aca="false">IF(A168="N/A"," ",(IF(AND(Scaler4=1,MONTH(A168)&gt;=6,MONTH(A168)&lt;=8,OR($M$37="REGION 2",$M$37="REGION 2A",$M$37="REGION 2B",$M$37="REGION 3",$M$37="REGION 3A",$M$37="REGION 3B",$M$37="REGION 3C",$M$37="REGION 4",$M$37="REGION 4B",$M$37="REGION 4C",$M$37="REGION 5",$M$37="REGION 5A")),((0.059228/(B168/100))-(0.4980013/(SQRT(B168/100)))+2.137988),HLOOKUP(MONTH(A168),ScalarTable,28))))</f>
        <v> </v>
      </c>
      <c r="D168" s="398" t="str">
        <f aca="false">IF(A168="N/A"," ",C168*B168)</f>
        <v> </v>
      </c>
      <c r="E168" s="396" t="str">
        <f aca="false">IF(A168="N/A"," ",IF(ISERROR(O168),E156*Pwresc,O168)*VLOOKUP(MONTH(A168),Curveadj,3))</f>
        <v> </v>
      </c>
      <c r="F168" s="398" t="str">
        <f aca="false">IF(A168="N/A"," ",E168*C168)</f>
        <v> </v>
      </c>
      <c r="G168" s="396" t="str">
        <f aca="false">IF(A168="N/A"," ",IF(ISERROR(P168),G156*Pwresc,P168)*VLOOKUP(MONTH(A168),Curveadj,3))</f>
        <v> </v>
      </c>
      <c r="H168" s="398" t="str">
        <f aca="false">IF(A168="N/A"," ",G168*C168)</f>
        <v> </v>
      </c>
      <c r="I168" s="398" t="str">
        <f aca="false">IF(A168="N/A"," ",IF(ISERROR(Q168),I156*Pwresc,Q168))</f>
        <v> </v>
      </c>
      <c r="J168" s="398"/>
      <c r="K168" s="399"/>
      <c r="L168" s="399"/>
      <c r="M168" s="404"/>
      <c r="N168" s="401" t="str">
        <f aca="false">IF(A168="N/A"," ",VLOOKUP(A168,PeakPowerCurves,(IF(BMO4=2,3,IF(BMO4=1,2,4))),FALSE()))</f>
        <v> </v>
      </c>
      <c r="O168" s="401" t="str">
        <f aca="false">IF(A168="N/A"," ",VLOOKUP(A168,SatSunPeakPwr,(IF(BMO4=2,3,IF(BMO4=1,2,4))),FALSE()))</f>
        <v> </v>
      </c>
      <c r="P168" s="401" t="str">
        <f aca="false">IF(A168="N/A"," ",VLOOKUP(A168,SatSunPeakPwr,(IF(BMO4=2,7,IF(BMO4=1,6,8))),FALSE()))</f>
        <v> </v>
      </c>
      <c r="Q168" s="402" t="str">
        <f aca="false">IF(A168="N/A"," ",(VLOOKUP(A168,OPPowerPrices,(IF(BMO4=2,7,IF(BMO4=1,6,8))),FALSE())))</f>
        <v> </v>
      </c>
      <c r="R168" s="403" t="str">
        <f aca="false">IF(A168="N/A"," ",(VLOOKUP($A168,IRTable,2)))</f>
        <v> </v>
      </c>
      <c r="AF168" s="352" t="n">
        <v>41548</v>
      </c>
      <c r="AG168" s="311" t="n">
        <v>23</v>
      </c>
      <c r="AH168" s="311" t="n">
        <v>4</v>
      </c>
      <c r="AI168" s="311" t="n">
        <v>4</v>
      </c>
      <c r="AJ168" s="311" t="n">
        <v>0</v>
      </c>
      <c r="AK168" s="311" t="n">
        <v>31</v>
      </c>
      <c r="AU168" s="406"/>
    </row>
    <row r="169" customFormat="false" ht="12.75" hidden="false" customHeight="false" outlineLevel="0" collapsed="false">
      <c r="A169" s="352" t="str">
        <f aca="false">Option4!A136</f>
        <v>N/A</v>
      </c>
      <c r="B169" s="396" t="str">
        <f aca="false">IF(A169="N/A"," ",IF(ISERROR(N169),B157*Pwresc,N169)*VLOOKUP(MONTH(A169),Curveadj,3))</f>
        <v> </v>
      </c>
      <c r="C169" s="397" t="str">
        <f aca="false">IF(A169="N/A"," ",(IF(AND(Scaler4=1,MONTH(A169)&gt;=6,MONTH(A169)&lt;=8,OR($M$37="REGION 2",$M$37="REGION 2A",$M$37="REGION 2B",$M$37="REGION 3",$M$37="REGION 3A",$M$37="REGION 3B",$M$37="REGION 3C",$M$37="REGION 4",$M$37="REGION 4B",$M$37="REGION 4C",$M$37="REGION 5",$M$37="REGION 5A")),((0.059228/(B169/100))-(0.4980013/(SQRT(B169/100)))+2.137988),HLOOKUP(MONTH(A169),ScalarTable,28))))</f>
        <v> </v>
      </c>
      <c r="D169" s="398" t="str">
        <f aca="false">IF(A169="N/A"," ",C169*B169)</f>
        <v> </v>
      </c>
      <c r="E169" s="396" t="str">
        <f aca="false">IF(A169="N/A"," ",IF(ISERROR(O169),E157*Pwresc,O169)*VLOOKUP(MONTH(A169),Curveadj,3))</f>
        <v> </v>
      </c>
      <c r="F169" s="398" t="str">
        <f aca="false">IF(A169="N/A"," ",E169*C169)</f>
        <v> </v>
      </c>
      <c r="G169" s="396" t="str">
        <f aca="false">IF(A169="N/A"," ",IF(ISERROR(P169),G157*Pwresc,P169)*VLOOKUP(MONTH(A169),Curveadj,3))</f>
        <v> </v>
      </c>
      <c r="H169" s="398" t="str">
        <f aca="false">IF(A169="N/A"," ",G169*C169)</f>
        <v> </v>
      </c>
      <c r="I169" s="398" t="str">
        <f aca="false">IF(A169="N/A"," ",IF(ISERROR(Q169),I157*Pwresc,Q169))</f>
        <v> </v>
      </c>
      <c r="J169" s="398"/>
      <c r="K169" s="399"/>
      <c r="L169" s="399"/>
      <c r="M169" s="404"/>
      <c r="N169" s="401" t="str">
        <f aca="false">IF(A169="N/A"," ",VLOOKUP(A169,PeakPowerCurves,(IF(BMO4=2,3,IF(BMO4=1,2,4))),FALSE()))</f>
        <v> </v>
      </c>
      <c r="O169" s="401" t="str">
        <f aca="false">IF(A169="N/A"," ",VLOOKUP(A169,SatSunPeakPwr,(IF(BMO4=2,3,IF(BMO4=1,2,4))),FALSE()))</f>
        <v> </v>
      </c>
      <c r="P169" s="401" t="str">
        <f aca="false">IF(A169="N/A"," ",VLOOKUP(A169,SatSunPeakPwr,(IF(BMO4=2,7,IF(BMO4=1,6,8))),FALSE()))</f>
        <v> </v>
      </c>
      <c r="Q169" s="402" t="str">
        <f aca="false">IF(A169="N/A"," ",(VLOOKUP(A169,OPPowerPrices,(IF(BMO4=2,7,IF(BMO4=1,6,8))),FALSE())))</f>
        <v> </v>
      </c>
      <c r="R169" s="403" t="str">
        <f aca="false">IF(A169="N/A"," ",(VLOOKUP($A169,IRTable,2)))</f>
        <v> </v>
      </c>
      <c r="AF169" s="352" t="n">
        <v>41579</v>
      </c>
      <c r="AG169" s="311" t="n">
        <v>20</v>
      </c>
      <c r="AH169" s="311" t="n">
        <v>5</v>
      </c>
      <c r="AI169" s="311" t="n">
        <v>5</v>
      </c>
      <c r="AJ169" s="311" t="n">
        <v>1</v>
      </c>
      <c r="AK169" s="311" t="n">
        <v>30</v>
      </c>
      <c r="AU169" s="406"/>
    </row>
    <row r="170" customFormat="false" ht="12.75" hidden="false" customHeight="false" outlineLevel="0" collapsed="false">
      <c r="A170" s="352" t="str">
        <f aca="false">Option4!A137</f>
        <v>N/A</v>
      </c>
      <c r="B170" s="396" t="str">
        <f aca="false">IF(A170="N/A"," ",IF(ISERROR(N170),B158*Pwresc,N170)*VLOOKUP(MONTH(A170),Curveadj,3))</f>
        <v> </v>
      </c>
      <c r="C170" s="397" t="str">
        <f aca="false">IF(A170="N/A"," ",(IF(AND(Scaler4=1,MONTH(A170)&gt;=6,MONTH(A170)&lt;=8,OR($M$37="REGION 2",$M$37="REGION 2A",$M$37="REGION 2B",$M$37="REGION 3",$M$37="REGION 3A",$M$37="REGION 3B",$M$37="REGION 3C",$M$37="REGION 4",$M$37="REGION 4B",$M$37="REGION 4C",$M$37="REGION 5",$M$37="REGION 5A")),((0.059228/(B170/100))-(0.4980013/(SQRT(B170/100)))+2.137988),HLOOKUP(MONTH(A170),ScalarTable,28))))</f>
        <v> </v>
      </c>
      <c r="D170" s="398" t="str">
        <f aca="false">IF(A170="N/A"," ",C170*B170)</f>
        <v> </v>
      </c>
      <c r="E170" s="396" t="str">
        <f aca="false">IF(A170="N/A"," ",IF(ISERROR(O170),E158*Pwresc,O170)*VLOOKUP(MONTH(A170),Curveadj,3))</f>
        <v> </v>
      </c>
      <c r="F170" s="398" t="str">
        <f aca="false">IF(A170="N/A"," ",E170*C170)</f>
        <v> </v>
      </c>
      <c r="G170" s="396" t="str">
        <f aca="false">IF(A170="N/A"," ",IF(ISERROR(P170),G158*Pwresc,P170)*VLOOKUP(MONTH(A170),Curveadj,3))</f>
        <v> </v>
      </c>
      <c r="H170" s="398" t="str">
        <f aca="false">IF(A170="N/A"," ",G170*C170)</f>
        <v> </v>
      </c>
      <c r="I170" s="398" t="str">
        <f aca="false">IF(A170="N/A"," ",IF(ISERROR(Q170),I158*Pwresc,Q170))</f>
        <v> </v>
      </c>
      <c r="J170" s="398"/>
      <c r="K170" s="399"/>
      <c r="L170" s="399"/>
      <c r="M170" s="404"/>
      <c r="N170" s="401" t="str">
        <f aca="false">IF(A170="N/A"," ",VLOOKUP(A170,PeakPowerCurves,(IF(BMO4=2,3,IF(BMO4=1,2,4))),FALSE()))</f>
        <v> </v>
      </c>
      <c r="O170" s="401" t="str">
        <f aca="false">IF(A170="N/A"," ",VLOOKUP(A170,SatSunPeakPwr,(IF(BMO4=2,3,IF(BMO4=1,2,4))),FALSE()))</f>
        <v> </v>
      </c>
      <c r="P170" s="401" t="str">
        <f aca="false">IF(A170="N/A"," ",VLOOKUP(A170,SatSunPeakPwr,(IF(BMO4=2,7,IF(BMO4=1,6,8))),FALSE()))</f>
        <v> </v>
      </c>
      <c r="Q170" s="402" t="str">
        <f aca="false">IF(A170="N/A"," ",(VLOOKUP(A170,OPPowerPrices,(IF(BMO4=2,7,IF(BMO4=1,6,8))),FALSE())))</f>
        <v> </v>
      </c>
      <c r="R170" s="403" t="str">
        <f aca="false">IF(A170="N/A"," ",(VLOOKUP($A170,IRTable,2)))</f>
        <v> </v>
      </c>
      <c r="AF170" s="352" t="n">
        <v>41609</v>
      </c>
      <c r="AG170" s="311" t="n">
        <v>21</v>
      </c>
      <c r="AH170" s="311" t="n">
        <v>4</v>
      </c>
      <c r="AI170" s="311" t="n">
        <v>6</v>
      </c>
      <c r="AJ170" s="311" t="n">
        <v>1</v>
      </c>
      <c r="AK170" s="311" t="n">
        <v>31</v>
      </c>
      <c r="AU170" s="406"/>
    </row>
    <row r="171" customFormat="false" ht="12.75" hidden="false" customHeight="false" outlineLevel="0" collapsed="false">
      <c r="A171" s="352" t="str">
        <f aca="false">Option4!A138</f>
        <v>N/A</v>
      </c>
      <c r="B171" s="396" t="str">
        <f aca="false">IF(A171="N/A"," ",IF(ISERROR(N171),B159*Pwresc,N171)*VLOOKUP(MONTH(A171),Curveadj,3))</f>
        <v> </v>
      </c>
      <c r="C171" s="397" t="str">
        <f aca="false">IF(A171="N/A"," ",(IF(AND(Scaler4=1,MONTH(A171)&gt;=6,MONTH(A171)&lt;=8,OR($M$37="REGION 2",$M$37="REGION 2A",$M$37="REGION 2B",$M$37="REGION 3",$M$37="REGION 3A",$M$37="REGION 3B",$M$37="REGION 3C",$M$37="REGION 4",$M$37="REGION 4B",$M$37="REGION 4C",$M$37="REGION 5",$M$37="REGION 5A")),((0.059228/(B171/100))-(0.4980013/(SQRT(B171/100)))+2.137988),HLOOKUP(MONTH(A171),ScalarTable,28))))</f>
        <v> </v>
      </c>
      <c r="D171" s="398" t="str">
        <f aca="false">IF(A171="N/A"," ",C171*B171)</f>
        <v> </v>
      </c>
      <c r="E171" s="396" t="str">
        <f aca="false">IF(A171="N/A"," ",IF(ISERROR(O171),E159*Pwresc,O171)*VLOOKUP(MONTH(A171),Curveadj,3))</f>
        <v> </v>
      </c>
      <c r="F171" s="398" t="str">
        <f aca="false">IF(A171="N/A"," ",E171*C171)</f>
        <v> </v>
      </c>
      <c r="G171" s="396" t="str">
        <f aca="false">IF(A171="N/A"," ",IF(ISERROR(P171),G159*Pwresc,P171)*VLOOKUP(MONTH(A171),Curveadj,3))</f>
        <v> </v>
      </c>
      <c r="H171" s="398" t="str">
        <f aca="false">IF(A171="N/A"," ",G171*C171)</f>
        <v> </v>
      </c>
      <c r="I171" s="398" t="str">
        <f aca="false">IF(A171="N/A"," ",IF(ISERROR(Q171),I159*Pwresc,Q171))</f>
        <v> </v>
      </c>
      <c r="J171" s="398"/>
      <c r="K171" s="399"/>
      <c r="L171" s="399"/>
      <c r="M171" s="404"/>
      <c r="N171" s="401" t="str">
        <f aca="false">IF(A171="N/A"," ",VLOOKUP(A171,PeakPowerCurves,(IF(BMO4=2,3,IF(BMO4=1,2,4))),FALSE()))</f>
        <v> </v>
      </c>
      <c r="O171" s="401" t="str">
        <f aca="false">IF(A171="N/A"," ",VLOOKUP(A171,SatSunPeakPwr,(IF(BMO4=2,3,IF(BMO4=1,2,4))),FALSE()))</f>
        <v> </v>
      </c>
      <c r="P171" s="401" t="str">
        <f aca="false">IF(A171="N/A"," ",VLOOKUP(A171,SatSunPeakPwr,(IF(BMO4=2,7,IF(BMO4=1,6,8))),FALSE()))</f>
        <v> </v>
      </c>
      <c r="Q171" s="402" t="str">
        <f aca="false">IF(A171="N/A"," ",(VLOOKUP(A171,OPPowerPrices,(IF(BMO4=2,7,IF(BMO4=1,6,8))),FALSE())))</f>
        <v> </v>
      </c>
      <c r="R171" s="403" t="str">
        <f aca="false">IF(A171="N/A"," ",(VLOOKUP($A171,IRTable,2)))</f>
        <v> </v>
      </c>
      <c r="AF171" s="352" t="n">
        <v>41640</v>
      </c>
      <c r="AG171" s="311" t="n">
        <v>22</v>
      </c>
      <c r="AH171" s="311" t="n">
        <v>4</v>
      </c>
      <c r="AI171" s="311" t="n">
        <v>5</v>
      </c>
      <c r="AJ171" s="311" t="n">
        <v>1</v>
      </c>
      <c r="AK171" s="311" t="n">
        <v>31</v>
      </c>
      <c r="AU171" s="406"/>
    </row>
    <row r="172" customFormat="false" ht="12.75" hidden="false" customHeight="false" outlineLevel="0" collapsed="false">
      <c r="A172" s="352" t="str">
        <f aca="false">Option4!A139</f>
        <v>N/A</v>
      </c>
      <c r="B172" s="396" t="str">
        <f aca="false">IF(A172="N/A"," ",IF(ISERROR(N172),B160*Pwresc,N172)*VLOOKUP(MONTH(A172),Curveadj,3))</f>
        <v> </v>
      </c>
      <c r="C172" s="397" t="str">
        <f aca="false">IF(A172="N/A"," ",(IF(AND(Scaler4=1,MONTH(A172)&gt;=6,MONTH(A172)&lt;=8,OR($M$37="REGION 2",$M$37="REGION 2A",$M$37="REGION 2B",$M$37="REGION 3",$M$37="REGION 3A",$M$37="REGION 3B",$M$37="REGION 3C",$M$37="REGION 4",$M$37="REGION 4B",$M$37="REGION 4C",$M$37="REGION 5",$M$37="REGION 5A")),((0.059228/(B172/100))-(0.4980013/(SQRT(B172/100)))+2.137988),HLOOKUP(MONTH(A172),ScalarTable,28))))</f>
        <v> </v>
      </c>
      <c r="D172" s="398" t="str">
        <f aca="false">IF(A172="N/A"," ",C172*B172)</f>
        <v> </v>
      </c>
      <c r="E172" s="396" t="str">
        <f aca="false">IF(A172="N/A"," ",IF(ISERROR(O172),E160*Pwresc,O172)*VLOOKUP(MONTH(A172),Curveadj,3))</f>
        <v> </v>
      </c>
      <c r="F172" s="398" t="str">
        <f aca="false">IF(A172="N/A"," ",E172*C172)</f>
        <v> </v>
      </c>
      <c r="G172" s="396" t="str">
        <f aca="false">IF(A172="N/A"," ",IF(ISERROR(P172),G160*Pwresc,P172)*VLOOKUP(MONTH(A172),Curveadj,3))</f>
        <v> </v>
      </c>
      <c r="H172" s="398" t="str">
        <f aca="false">IF(A172="N/A"," ",G172*C172)</f>
        <v> </v>
      </c>
      <c r="I172" s="398" t="str">
        <f aca="false">IF(A172="N/A"," ",IF(ISERROR(Q172),I160*Pwresc,Q172))</f>
        <v> </v>
      </c>
      <c r="J172" s="398"/>
      <c r="K172" s="399"/>
      <c r="L172" s="399"/>
      <c r="M172" s="404"/>
      <c r="N172" s="401" t="str">
        <f aca="false">IF(A172="N/A"," ",VLOOKUP(A172,PeakPowerCurves,(IF(BMO4=2,3,IF(BMO4=1,2,4))),FALSE()))</f>
        <v> </v>
      </c>
      <c r="O172" s="401" t="str">
        <f aca="false">IF(A172="N/A"," ",VLOOKUP(A172,SatSunPeakPwr,(IF(BMO4=2,3,IF(BMO4=1,2,4))),FALSE()))</f>
        <v> </v>
      </c>
      <c r="P172" s="401" t="str">
        <f aca="false">IF(A172="N/A"," ",VLOOKUP(A172,SatSunPeakPwr,(IF(BMO4=2,7,IF(BMO4=1,6,8))),FALSE()))</f>
        <v> </v>
      </c>
      <c r="Q172" s="402" t="str">
        <f aca="false">IF(A172="N/A"," ",(VLOOKUP(A172,OPPowerPrices,(IF(BMO4=2,7,IF(BMO4=1,6,8))),FALSE())))</f>
        <v> </v>
      </c>
      <c r="R172" s="403" t="str">
        <f aca="false">IF(A172="N/A"," ",(VLOOKUP($A172,IRTable,2)))</f>
        <v> </v>
      </c>
      <c r="AF172" s="352" t="n">
        <v>41671</v>
      </c>
      <c r="AG172" s="311" t="n">
        <v>20</v>
      </c>
      <c r="AH172" s="311" t="n">
        <v>4</v>
      </c>
      <c r="AI172" s="311" t="n">
        <v>4</v>
      </c>
      <c r="AJ172" s="311" t="n">
        <v>0</v>
      </c>
      <c r="AK172" s="311" t="n">
        <v>28</v>
      </c>
      <c r="AU172" s="406"/>
    </row>
    <row r="173" customFormat="false" ht="12.75" hidden="false" customHeight="false" outlineLevel="0" collapsed="false">
      <c r="A173" s="352" t="str">
        <f aca="false">Option4!A140</f>
        <v>N/A</v>
      </c>
      <c r="B173" s="396" t="str">
        <f aca="false">IF(A173="N/A"," ",IF(ISERROR(N173),B161*Pwresc,N173)*VLOOKUP(MONTH(A173),Curveadj,3))</f>
        <v> </v>
      </c>
      <c r="C173" s="397" t="str">
        <f aca="false">IF(A173="N/A"," ",(IF(AND(Scaler4=1,MONTH(A173)&gt;=6,MONTH(A173)&lt;=8,OR($M$37="REGION 2",$M$37="REGION 2A",$M$37="REGION 2B",$M$37="REGION 3",$M$37="REGION 3A",$M$37="REGION 3B",$M$37="REGION 3C",$M$37="REGION 4",$M$37="REGION 4B",$M$37="REGION 4C",$M$37="REGION 5",$M$37="REGION 5A")),((0.059228/(B173/100))-(0.4980013/(SQRT(B173/100)))+2.137988),HLOOKUP(MONTH(A173),ScalarTable,28))))</f>
        <v> </v>
      </c>
      <c r="D173" s="398" t="str">
        <f aca="false">IF(A173="N/A"," ",C173*B173)</f>
        <v> </v>
      </c>
      <c r="E173" s="396" t="str">
        <f aca="false">IF(A173="N/A"," ",IF(ISERROR(O173),E161*Pwresc,O173)*VLOOKUP(MONTH(A173),Curveadj,3))</f>
        <v> </v>
      </c>
      <c r="F173" s="398" t="str">
        <f aca="false">IF(A173="N/A"," ",E173*C173)</f>
        <v> </v>
      </c>
      <c r="G173" s="396" t="str">
        <f aca="false">IF(A173="N/A"," ",IF(ISERROR(P173),G161*Pwresc,P173)*VLOOKUP(MONTH(A173),Curveadj,3))</f>
        <v> </v>
      </c>
      <c r="H173" s="398" t="str">
        <f aca="false">IF(A173="N/A"," ",G173*C173)</f>
        <v> </v>
      </c>
      <c r="I173" s="398" t="str">
        <f aca="false">IF(A173="N/A"," ",IF(ISERROR(Q173),I161*Pwresc,Q173))</f>
        <v> </v>
      </c>
      <c r="J173" s="398"/>
      <c r="K173" s="399"/>
      <c r="L173" s="399"/>
      <c r="M173" s="404"/>
      <c r="N173" s="401" t="str">
        <f aca="false">IF(A173="N/A"," ",VLOOKUP(A173,PeakPowerCurves,(IF(BMO4=2,3,IF(BMO4=1,2,4))),FALSE()))</f>
        <v> </v>
      </c>
      <c r="O173" s="401" t="str">
        <f aca="false">IF(A173="N/A"," ",VLOOKUP(A173,SatSunPeakPwr,(IF(BMO4=2,3,IF(BMO4=1,2,4))),FALSE()))</f>
        <v> </v>
      </c>
      <c r="P173" s="401" t="str">
        <f aca="false">IF(A173="N/A"," ",VLOOKUP(A173,SatSunPeakPwr,(IF(BMO4=2,7,IF(BMO4=1,6,8))),FALSE()))</f>
        <v> </v>
      </c>
      <c r="Q173" s="402" t="str">
        <f aca="false">IF(A173="N/A"," ",(VLOOKUP(A173,OPPowerPrices,(IF(BMO4=2,7,IF(BMO4=1,6,8))),FALSE())))</f>
        <v> </v>
      </c>
      <c r="R173" s="403" t="str">
        <f aca="false">IF(A173="N/A"," ",(VLOOKUP($A173,IRTable,2)))</f>
        <v> </v>
      </c>
      <c r="AF173" s="352" t="n">
        <v>41699</v>
      </c>
      <c r="AG173" s="311" t="n">
        <v>21</v>
      </c>
      <c r="AH173" s="311" t="n">
        <v>5</v>
      </c>
      <c r="AI173" s="311" t="n">
        <v>5</v>
      </c>
      <c r="AJ173" s="311" t="n">
        <v>0</v>
      </c>
      <c r="AK173" s="311" t="n">
        <v>31</v>
      </c>
      <c r="AU173" s="406"/>
    </row>
    <row r="174" customFormat="false" ht="12.75" hidden="false" customHeight="false" outlineLevel="0" collapsed="false">
      <c r="A174" s="352" t="str">
        <f aca="false">Option4!A141</f>
        <v>N/A</v>
      </c>
      <c r="B174" s="396" t="str">
        <f aca="false">IF(A174="N/A"," ",IF(ISERROR(N174),B162*Pwresc,N174)*VLOOKUP(MONTH(A174),Curveadj,3))</f>
        <v> </v>
      </c>
      <c r="C174" s="397" t="str">
        <f aca="false">IF(A174="N/A"," ",(IF(AND(Scaler4=1,MONTH(A174)&gt;=6,MONTH(A174)&lt;=8,OR($M$37="REGION 2",$M$37="REGION 2A",$M$37="REGION 2B",$M$37="REGION 3",$M$37="REGION 3A",$M$37="REGION 3B",$M$37="REGION 3C",$M$37="REGION 4",$M$37="REGION 4B",$M$37="REGION 4C",$M$37="REGION 5",$M$37="REGION 5A")),((0.059228/(B174/100))-(0.4980013/(SQRT(B174/100)))+2.137988),HLOOKUP(MONTH(A174),ScalarTable,28))))</f>
        <v> </v>
      </c>
      <c r="D174" s="398" t="str">
        <f aca="false">IF(A174="N/A"," ",C174*B174)</f>
        <v> </v>
      </c>
      <c r="E174" s="396" t="str">
        <f aca="false">IF(A174="N/A"," ",IF(ISERROR(O174),E162*Pwresc,O174)*VLOOKUP(MONTH(A174),Curveadj,3))</f>
        <v> </v>
      </c>
      <c r="F174" s="398" t="str">
        <f aca="false">IF(A174="N/A"," ",E174*C174)</f>
        <v> </v>
      </c>
      <c r="G174" s="396" t="str">
        <f aca="false">IF(A174="N/A"," ",IF(ISERROR(P174),G162*Pwresc,P174)*VLOOKUP(MONTH(A174),Curveadj,3))</f>
        <v> </v>
      </c>
      <c r="H174" s="398" t="str">
        <f aca="false">IF(A174="N/A"," ",G174*C174)</f>
        <v> </v>
      </c>
      <c r="I174" s="398" t="str">
        <f aca="false">IF(A174="N/A"," ",IF(ISERROR(Q174),I162*Pwresc,Q174))</f>
        <v> </v>
      </c>
      <c r="J174" s="398"/>
      <c r="K174" s="399"/>
      <c r="L174" s="399"/>
      <c r="M174" s="404"/>
      <c r="N174" s="401" t="str">
        <f aca="false">IF(A174="N/A"," ",VLOOKUP(A174,PeakPowerCurves,(IF(BMO4=2,3,IF(BMO4=1,2,4))),FALSE()))</f>
        <v> </v>
      </c>
      <c r="O174" s="401" t="str">
        <f aca="false">IF(A174="N/A"," ",VLOOKUP(A174,SatSunPeakPwr,(IF(BMO4=2,3,IF(BMO4=1,2,4))),FALSE()))</f>
        <v> </v>
      </c>
      <c r="P174" s="401" t="str">
        <f aca="false">IF(A174="N/A"," ",VLOOKUP(A174,SatSunPeakPwr,(IF(BMO4=2,7,IF(BMO4=1,6,8))),FALSE()))</f>
        <v> </v>
      </c>
      <c r="Q174" s="402" t="str">
        <f aca="false">IF(A174="N/A"," ",(VLOOKUP(A174,OPPowerPrices,(IF(BMO4=2,7,IF(BMO4=1,6,8))),FALSE())))</f>
        <v> </v>
      </c>
      <c r="R174" s="403" t="str">
        <f aca="false">IF(A174="N/A"," ",(VLOOKUP($A174,IRTable,2)))</f>
        <v> </v>
      </c>
      <c r="AF174" s="352" t="n">
        <v>41730</v>
      </c>
      <c r="AG174" s="311" t="n">
        <v>22</v>
      </c>
      <c r="AH174" s="311" t="n">
        <v>4</v>
      </c>
      <c r="AI174" s="311" t="n">
        <v>4</v>
      </c>
      <c r="AJ174" s="311" t="n">
        <v>0</v>
      </c>
      <c r="AK174" s="311" t="n">
        <v>30</v>
      </c>
      <c r="AU174" s="406"/>
    </row>
    <row r="175" customFormat="false" ht="12.75" hidden="false" customHeight="false" outlineLevel="0" collapsed="false">
      <c r="A175" s="352" t="str">
        <f aca="false">Option4!A142</f>
        <v>N/A</v>
      </c>
      <c r="B175" s="396" t="str">
        <f aca="false">IF(A175="N/A"," ",IF(ISERROR(N175),B163*Pwresc,N175)*VLOOKUP(MONTH(A175),Curveadj,3))</f>
        <v> </v>
      </c>
      <c r="C175" s="397" t="str">
        <f aca="false">IF(A175="N/A"," ",(IF(AND(Scaler4=1,MONTH(A175)&gt;=6,MONTH(A175)&lt;=8,OR($M$37="REGION 2",$M$37="REGION 2A",$M$37="REGION 2B",$M$37="REGION 3",$M$37="REGION 3A",$M$37="REGION 3B",$M$37="REGION 3C",$M$37="REGION 4",$M$37="REGION 4B",$M$37="REGION 4C",$M$37="REGION 5",$M$37="REGION 5A")),((0.059228/(B175/100))-(0.4980013/(SQRT(B175/100)))+2.137988),HLOOKUP(MONTH(A175),ScalarTable,28))))</f>
        <v> </v>
      </c>
      <c r="D175" s="398" t="str">
        <f aca="false">IF(A175="N/A"," ",C175*B175)</f>
        <v> </v>
      </c>
      <c r="E175" s="396" t="str">
        <f aca="false">IF(A175="N/A"," ",IF(ISERROR(O175),E163*Pwresc,O175)*VLOOKUP(MONTH(A175),Curveadj,3))</f>
        <v> </v>
      </c>
      <c r="F175" s="398" t="str">
        <f aca="false">IF(A175="N/A"," ",E175*C175)</f>
        <v> </v>
      </c>
      <c r="G175" s="396" t="str">
        <f aca="false">IF(A175="N/A"," ",IF(ISERROR(P175),G163*Pwresc,P175)*VLOOKUP(MONTH(A175),Curveadj,3))</f>
        <v> </v>
      </c>
      <c r="H175" s="398" t="str">
        <f aca="false">IF(A175="N/A"," ",G175*C175)</f>
        <v> </v>
      </c>
      <c r="I175" s="398" t="str">
        <f aca="false">IF(A175="N/A"," ",IF(ISERROR(Q175),I163*Pwresc,Q175))</f>
        <v> </v>
      </c>
      <c r="J175" s="398"/>
      <c r="K175" s="399"/>
      <c r="L175" s="399"/>
      <c r="M175" s="404"/>
      <c r="N175" s="401" t="str">
        <f aca="false">IF(A175="N/A"," ",VLOOKUP(A175,PeakPowerCurves,(IF(BMO4=2,3,IF(BMO4=1,2,4))),FALSE()))</f>
        <v> </v>
      </c>
      <c r="O175" s="401" t="str">
        <f aca="false">IF(A175="N/A"," ",VLOOKUP(A175,SatSunPeakPwr,(IF(BMO4=2,3,IF(BMO4=1,2,4))),FALSE()))</f>
        <v> </v>
      </c>
      <c r="P175" s="401" t="str">
        <f aca="false">IF(A175="N/A"," ",VLOOKUP(A175,SatSunPeakPwr,(IF(BMO4=2,7,IF(BMO4=1,6,8))),FALSE()))</f>
        <v> </v>
      </c>
      <c r="Q175" s="402" t="str">
        <f aca="false">IF(A175="N/A"," ",(VLOOKUP(A175,OPPowerPrices,(IF(BMO4=2,7,IF(BMO4=1,6,8))),FALSE())))</f>
        <v> </v>
      </c>
      <c r="R175" s="403" t="str">
        <f aca="false">IF(A175="N/A"," ",(VLOOKUP($A175,IRTable,2)))</f>
        <v> </v>
      </c>
      <c r="AF175" s="352" t="n">
        <v>41760</v>
      </c>
      <c r="AG175" s="311" t="n">
        <v>21</v>
      </c>
      <c r="AH175" s="311" t="n">
        <v>5</v>
      </c>
      <c r="AI175" s="311" t="n">
        <v>5</v>
      </c>
      <c r="AJ175" s="311" t="n">
        <v>1</v>
      </c>
      <c r="AK175" s="311" t="n">
        <v>31</v>
      </c>
      <c r="AU175" s="406"/>
    </row>
    <row r="176" customFormat="false" ht="12.75" hidden="false" customHeight="false" outlineLevel="0" collapsed="false">
      <c r="A176" s="352" t="str">
        <f aca="false">Option4!A143</f>
        <v>N/A</v>
      </c>
      <c r="B176" s="396" t="str">
        <f aca="false">IF(A176="N/A"," ",IF(ISERROR(N176),B164*Pwresc,N176)*VLOOKUP(MONTH(A176),Curveadj,3))</f>
        <v> </v>
      </c>
      <c r="C176" s="397" t="str">
        <f aca="false">IF(A176="N/A"," ",(IF(AND(Scaler4=1,MONTH(A176)&gt;=6,MONTH(A176)&lt;=8,OR($M$37="REGION 2",$M$37="REGION 2A",$M$37="REGION 2B",$M$37="REGION 3",$M$37="REGION 3A",$M$37="REGION 3B",$M$37="REGION 3C",$M$37="REGION 4",$M$37="REGION 4B",$M$37="REGION 4C",$M$37="REGION 5",$M$37="REGION 5A")),((0.059228/(B176/100))-(0.4980013/(SQRT(B176/100)))+2.137988),HLOOKUP(MONTH(A176),ScalarTable,28))))</f>
        <v> </v>
      </c>
      <c r="D176" s="398" t="str">
        <f aca="false">IF(A176="N/A"," ",C176*B176)</f>
        <v> </v>
      </c>
      <c r="E176" s="396" t="str">
        <f aca="false">IF(A176="N/A"," ",IF(ISERROR(O176),E164*Pwresc,O176)*VLOOKUP(MONTH(A176),Curveadj,3))</f>
        <v> </v>
      </c>
      <c r="F176" s="398" t="str">
        <f aca="false">IF(A176="N/A"," ",E176*C176)</f>
        <v> </v>
      </c>
      <c r="G176" s="396" t="str">
        <f aca="false">IF(A176="N/A"," ",IF(ISERROR(P176),G164*Pwresc,P176)*VLOOKUP(MONTH(A176),Curveadj,3))</f>
        <v> </v>
      </c>
      <c r="H176" s="398" t="str">
        <f aca="false">IF(A176="N/A"," ",G176*C176)</f>
        <v> </v>
      </c>
      <c r="I176" s="398" t="str">
        <f aca="false">IF(A176="N/A"," ",IF(ISERROR(Q176),I164*Pwresc,Q176))</f>
        <v> </v>
      </c>
      <c r="J176" s="398"/>
      <c r="K176" s="399"/>
      <c r="L176" s="399"/>
      <c r="M176" s="404"/>
      <c r="N176" s="401" t="str">
        <f aca="false">IF(A176="N/A"," ",VLOOKUP(A176,PeakPowerCurves,(IF(BMO4=2,3,IF(BMO4=1,2,4))),FALSE()))</f>
        <v> </v>
      </c>
      <c r="O176" s="401" t="str">
        <f aca="false">IF(A176="N/A"," ",VLOOKUP(A176,SatSunPeakPwr,(IF(BMO4=2,3,IF(BMO4=1,2,4))),FALSE()))</f>
        <v> </v>
      </c>
      <c r="P176" s="401" t="str">
        <f aca="false">IF(A176="N/A"," ",VLOOKUP(A176,SatSunPeakPwr,(IF(BMO4=2,7,IF(BMO4=1,6,8))),FALSE()))</f>
        <v> </v>
      </c>
      <c r="Q176" s="402" t="str">
        <f aca="false">IF(A176="N/A"," ",(VLOOKUP(A176,OPPowerPrices,(IF(BMO4=2,7,IF(BMO4=1,6,8))),FALSE())))</f>
        <v> </v>
      </c>
      <c r="R176" s="403" t="str">
        <f aca="false">IF(A176="N/A"," ",(VLOOKUP($A176,IRTable,2)))</f>
        <v> </v>
      </c>
      <c r="AF176" s="352" t="n">
        <v>41791</v>
      </c>
      <c r="AG176" s="311" t="n">
        <v>21</v>
      </c>
      <c r="AH176" s="311" t="n">
        <v>4</v>
      </c>
      <c r="AI176" s="311" t="n">
        <v>5</v>
      </c>
      <c r="AJ176" s="311" t="n">
        <v>0</v>
      </c>
      <c r="AK176" s="311" t="n">
        <v>30</v>
      </c>
      <c r="AU176" s="406"/>
    </row>
    <row r="177" customFormat="false" ht="12.75" hidden="false" customHeight="false" outlineLevel="0" collapsed="false">
      <c r="A177" s="352" t="str">
        <f aca="false">Option4!A144</f>
        <v>N/A</v>
      </c>
      <c r="B177" s="396" t="str">
        <f aca="false">IF(A177="N/A"," ",IF(ISERROR(N177),B165*Pwresc,N177)*VLOOKUP(MONTH(A177),Curveadj,3))</f>
        <v> </v>
      </c>
      <c r="C177" s="397" t="str">
        <f aca="false">IF(A177="N/A"," ",(IF(AND(Scaler4=1,MONTH(A177)&gt;=6,MONTH(A177)&lt;=8,OR($M$37="REGION 2",$M$37="REGION 2A",$M$37="REGION 2B",$M$37="REGION 3",$M$37="REGION 3A",$M$37="REGION 3B",$M$37="REGION 3C",$M$37="REGION 4",$M$37="REGION 4B",$M$37="REGION 4C",$M$37="REGION 5",$M$37="REGION 5A")),((0.059228/(B177/100))-(0.4980013/(SQRT(B177/100)))+2.137988),HLOOKUP(MONTH(A177),ScalarTable,28))))</f>
        <v> </v>
      </c>
      <c r="D177" s="398" t="str">
        <f aca="false">IF(A177="N/A"," ",C177*B177)</f>
        <v> </v>
      </c>
      <c r="E177" s="396" t="str">
        <f aca="false">IF(A177="N/A"," ",IF(ISERROR(O177),E165*Pwresc,O177)*VLOOKUP(MONTH(A177),Curveadj,3))</f>
        <v> </v>
      </c>
      <c r="F177" s="398" t="str">
        <f aca="false">IF(A177="N/A"," ",E177*C177)</f>
        <v> </v>
      </c>
      <c r="G177" s="396" t="str">
        <f aca="false">IF(A177="N/A"," ",IF(ISERROR(P177),G165*Pwresc,P177)*VLOOKUP(MONTH(A177),Curveadj,3))</f>
        <v> </v>
      </c>
      <c r="H177" s="398" t="str">
        <f aca="false">IF(A177="N/A"," ",G177*C177)</f>
        <v> </v>
      </c>
      <c r="I177" s="398" t="str">
        <f aca="false">IF(A177="N/A"," ",IF(ISERROR(Q177),I165*Pwresc,Q177))</f>
        <v> </v>
      </c>
      <c r="J177" s="398"/>
      <c r="K177" s="399"/>
      <c r="L177" s="399"/>
      <c r="M177" s="404"/>
      <c r="N177" s="401" t="str">
        <f aca="false">IF(A177="N/A"," ",VLOOKUP(A177,PeakPowerCurves,(IF(BMO4=2,3,IF(BMO4=1,2,4))),FALSE()))</f>
        <v> </v>
      </c>
      <c r="O177" s="401" t="str">
        <f aca="false">IF(A177="N/A"," ",VLOOKUP(A177,SatSunPeakPwr,(IF(BMO4=2,3,IF(BMO4=1,2,4))),FALSE()))</f>
        <v> </v>
      </c>
      <c r="P177" s="401" t="str">
        <f aca="false">IF(A177="N/A"," ",VLOOKUP(A177,SatSunPeakPwr,(IF(BMO4=2,7,IF(BMO4=1,6,8))),FALSE()))</f>
        <v> </v>
      </c>
      <c r="Q177" s="402" t="str">
        <f aca="false">IF(A177="N/A"," ",(VLOOKUP(A177,OPPowerPrices,(IF(BMO4=2,7,IF(BMO4=1,6,8))),FALSE())))</f>
        <v> </v>
      </c>
      <c r="R177" s="403" t="str">
        <f aca="false">IF(A177="N/A"," ",(VLOOKUP($A177,IRTable,2)))</f>
        <v> </v>
      </c>
      <c r="AF177" s="352" t="n">
        <v>41821</v>
      </c>
      <c r="AG177" s="311" t="n">
        <v>22</v>
      </c>
      <c r="AH177" s="311" t="n">
        <v>4</v>
      </c>
      <c r="AI177" s="311" t="n">
        <v>5</v>
      </c>
      <c r="AJ177" s="311" t="n">
        <v>1</v>
      </c>
      <c r="AK177" s="311" t="n">
        <v>31</v>
      </c>
      <c r="AU177" s="406"/>
    </row>
    <row r="178" customFormat="false" ht="12.75" hidden="false" customHeight="false" outlineLevel="0" collapsed="false">
      <c r="A178" s="352" t="str">
        <f aca="false">Option4!A145</f>
        <v>N/A</v>
      </c>
      <c r="B178" s="396" t="str">
        <f aca="false">IF(A178="N/A"," ",IF(ISERROR(N178),B166*Pwresc,N178)*VLOOKUP(MONTH(A178),Curveadj,3))</f>
        <v> </v>
      </c>
      <c r="C178" s="397" t="str">
        <f aca="false">IF(A178="N/A"," ",(IF(AND(Scaler4=1,MONTH(A178)&gt;=6,MONTH(A178)&lt;=8,OR($M$37="REGION 2",$M$37="REGION 2A",$M$37="REGION 2B",$M$37="REGION 3",$M$37="REGION 3A",$M$37="REGION 3B",$M$37="REGION 3C",$M$37="REGION 4",$M$37="REGION 4B",$M$37="REGION 4C",$M$37="REGION 5",$M$37="REGION 5A")),((0.059228/(B178/100))-(0.4980013/(SQRT(B178/100)))+2.137988),HLOOKUP(MONTH(A178),ScalarTable,28))))</f>
        <v> </v>
      </c>
      <c r="D178" s="398" t="str">
        <f aca="false">IF(A178="N/A"," ",C178*B178)</f>
        <v> </v>
      </c>
      <c r="E178" s="396" t="str">
        <f aca="false">IF(A178="N/A"," ",IF(ISERROR(O178),E166*Pwresc,O178)*VLOOKUP(MONTH(A178),Curveadj,3))</f>
        <v> </v>
      </c>
      <c r="F178" s="398" t="str">
        <f aca="false">IF(A178="N/A"," ",E178*C178)</f>
        <v> </v>
      </c>
      <c r="G178" s="396" t="str">
        <f aca="false">IF(A178="N/A"," ",IF(ISERROR(P178),G166*Pwresc,P178)*VLOOKUP(MONTH(A178),Curveadj,3))</f>
        <v> </v>
      </c>
      <c r="H178" s="398" t="str">
        <f aca="false">IF(A178="N/A"," ",G178*C178)</f>
        <v> </v>
      </c>
      <c r="I178" s="398" t="str">
        <f aca="false">IF(A178="N/A"," ",IF(ISERROR(Q178),I166*Pwresc,Q178))</f>
        <v> </v>
      </c>
      <c r="J178" s="398"/>
      <c r="K178" s="399"/>
      <c r="L178" s="399"/>
      <c r="M178" s="404"/>
      <c r="N178" s="401" t="str">
        <f aca="false">IF(A178="N/A"," ",VLOOKUP(A178,PeakPowerCurves,(IF(BMO4=2,3,IF(BMO4=1,2,4))),FALSE()))</f>
        <v> </v>
      </c>
      <c r="O178" s="401" t="str">
        <f aca="false">IF(A178="N/A"," ",VLOOKUP(A178,SatSunPeakPwr,(IF(BMO4=2,3,IF(BMO4=1,2,4))),FALSE()))</f>
        <v> </v>
      </c>
      <c r="P178" s="401" t="str">
        <f aca="false">IF(A178="N/A"," ",VLOOKUP(A178,SatSunPeakPwr,(IF(BMO4=2,7,IF(BMO4=1,6,8))),FALSE()))</f>
        <v> </v>
      </c>
      <c r="Q178" s="402" t="str">
        <f aca="false">IF(A178="N/A"," ",(VLOOKUP(A178,OPPowerPrices,(IF(BMO4=2,7,IF(BMO4=1,6,8))),FALSE())))</f>
        <v> </v>
      </c>
      <c r="R178" s="403" t="str">
        <f aca="false">IF(A178="N/A"," ",(VLOOKUP($A178,IRTable,2)))</f>
        <v> </v>
      </c>
      <c r="AF178" s="352" t="n">
        <v>41852</v>
      </c>
      <c r="AG178" s="311" t="n">
        <v>21</v>
      </c>
      <c r="AH178" s="311" t="n">
        <v>5</v>
      </c>
      <c r="AI178" s="311" t="n">
        <v>5</v>
      </c>
      <c r="AJ178" s="311" t="n">
        <v>0</v>
      </c>
      <c r="AK178" s="311" t="n">
        <v>31</v>
      </c>
      <c r="AU178" s="406"/>
    </row>
    <row r="179" customFormat="false" ht="12.75" hidden="false" customHeight="false" outlineLevel="0" collapsed="false">
      <c r="A179" s="352" t="str">
        <f aca="false">Option4!A146</f>
        <v>N/A</v>
      </c>
      <c r="B179" s="396" t="str">
        <f aca="false">IF(A179="N/A"," ",IF(ISERROR(N179),B167*Pwresc,N179)*VLOOKUP(MONTH(A179),Curveadj,3))</f>
        <v> </v>
      </c>
      <c r="C179" s="397" t="str">
        <f aca="false">IF(A179="N/A"," ",(IF(AND(Scaler4=1,MONTH(A179)&gt;=6,MONTH(A179)&lt;=8,OR($M$37="REGION 2",$M$37="REGION 2A",$M$37="REGION 2B",$M$37="REGION 3",$M$37="REGION 3A",$M$37="REGION 3B",$M$37="REGION 3C",$M$37="REGION 4",$M$37="REGION 4B",$M$37="REGION 4C",$M$37="REGION 5",$M$37="REGION 5A")),((0.059228/(B179/100))-(0.4980013/(SQRT(B179/100)))+2.137988),HLOOKUP(MONTH(A179),ScalarTable,28))))</f>
        <v> </v>
      </c>
      <c r="D179" s="398" t="str">
        <f aca="false">IF(A179="N/A"," ",C179*B179)</f>
        <v> </v>
      </c>
      <c r="E179" s="396" t="str">
        <f aca="false">IF(A179="N/A"," ",IF(ISERROR(O179),E167*Pwresc,O179)*VLOOKUP(MONTH(A179),Curveadj,3))</f>
        <v> </v>
      </c>
      <c r="F179" s="398" t="str">
        <f aca="false">IF(A179="N/A"," ",E179*C179)</f>
        <v> </v>
      </c>
      <c r="G179" s="396" t="str">
        <f aca="false">IF(A179="N/A"," ",IF(ISERROR(P179),G167*Pwresc,P179)*VLOOKUP(MONTH(A179),Curveadj,3))</f>
        <v> </v>
      </c>
      <c r="H179" s="398" t="str">
        <f aca="false">IF(A179="N/A"," ",G179*C179)</f>
        <v> </v>
      </c>
      <c r="I179" s="398" t="str">
        <f aca="false">IF(A179="N/A"," ",IF(ISERROR(Q179),I167*Pwresc,Q179))</f>
        <v> </v>
      </c>
      <c r="J179" s="398"/>
      <c r="K179" s="399"/>
      <c r="L179" s="399"/>
      <c r="M179" s="404"/>
      <c r="N179" s="401" t="str">
        <f aca="false">IF(A179="N/A"," ",VLOOKUP(A179,PeakPowerCurves,(IF(BMO4=2,3,IF(BMO4=1,2,4))),FALSE()))</f>
        <v> </v>
      </c>
      <c r="O179" s="401" t="str">
        <f aca="false">IF(A179="N/A"," ",VLOOKUP(A179,SatSunPeakPwr,(IF(BMO4=2,3,IF(BMO4=1,2,4))),FALSE()))</f>
        <v> </v>
      </c>
      <c r="P179" s="401" t="str">
        <f aca="false">IF(A179="N/A"," ",VLOOKUP(A179,SatSunPeakPwr,(IF(BMO4=2,7,IF(BMO4=1,6,8))),FALSE()))</f>
        <v> </v>
      </c>
      <c r="Q179" s="402" t="str">
        <f aca="false">IF(A179="N/A"," ",(VLOOKUP(A179,OPPowerPrices,(IF(BMO4=2,7,IF(BMO4=1,6,8))),FALSE())))</f>
        <v> </v>
      </c>
      <c r="R179" s="403" t="str">
        <f aca="false">IF(A179="N/A"," ",(VLOOKUP($A179,IRTable,2)))</f>
        <v> </v>
      </c>
      <c r="AF179" s="352" t="n">
        <v>41883</v>
      </c>
      <c r="AG179" s="311" t="n">
        <v>21</v>
      </c>
      <c r="AH179" s="311" t="n">
        <v>4</v>
      </c>
      <c r="AI179" s="311" t="n">
        <v>5</v>
      </c>
      <c r="AJ179" s="311" t="n">
        <v>1</v>
      </c>
      <c r="AK179" s="311" t="n">
        <v>30</v>
      </c>
      <c r="AU179" s="406"/>
    </row>
    <row r="180" customFormat="false" ht="12.75" hidden="false" customHeight="false" outlineLevel="0" collapsed="false">
      <c r="A180" s="352" t="str">
        <f aca="false">Option4!A147</f>
        <v>N/A</v>
      </c>
      <c r="B180" s="396" t="str">
        <f aca="false">IF(A180="N/A"," ",IF(ISERROR(N180),B168*Pwresc,N180)*VLOOKUP(MONTH(A180),Curveadj,3))</f>
        <v> </v>
      </c>
      <c r="C180" s="397" t="str">
        <f aca="false">IF(A180="N/A"," ",(IF(AND(Scaler4=1,MONTH(A180)&gt;=6,MONTH(A180)&lt;=8,OR($M$37="REGION 2",$M$37="REGION 2A",$M$37="REGION 2B",$M$37="REGION 3",$M$37="REGION 3A",$M$37="REGION 3B",$M$37="REGION 3C",$M$37="REGION 4",$M$37="REGION 4B",$M$37="REGION 4C",$M$37="REGION 5",$M$37="REGION 5A")),((0.059228/(B180/100))-(0.4980013/(SQRT(B180/100)))+2.137988),HLOOKUP(MONTH(A180),ScalarTable,28))))</f>
        <v> </v>
      </c>
      <c r="D180" s="398" t="str">
        <f aca="false">IF(A180="N/A"," ",C180*B180)</f>
        <v> </v>
      </c>
      <c r="E180" s="396" t="str">
        <f aca="false">IF(A180="N/A"," ",IF(ISERROR(O180),E168*Pwresc,O180)*VLOOKUP(MONTH(A180),Curveadj,3))</f>
        <v> </v>
      </c>
      <c r="F180" s="398" t="str">
        <f aca="false">IF(A180="N/A"," ",E180*C180)</f>
        <v> </v>
      </c>
      <c r="G180" s="396" t="str">
        <f aca="false">IF(A180="N/A"," ",IF(ISERROR(P180),G168*Pwresc,P180)*VLOOKUP(MONTH(A180),Curveadj,3))</f>
        <v> </v>
      </c>
      <c r="H180" s="398" t="str">
        <f aca="false">IF(A180="N/A"," ",G180*C180)</f>
        <v> </v>
      </c>
      <c r="I180" s="398" t="str">
        <f aca="false">IF(A180="N/A"," ",IF(ISERROR(Q180),I168*Pwresc,Q180))</f>
        <v> </v>
      </c>
      <c r="J180" s="398"/>
      <c r="K180" s="399"/>
      <c r="L180" s="399"/>
      <c r="M180" s="404"/>
      <c r="N180" s="401" t="str">
        <f aca="false">IF(A180="N/A"," ",VLOOKUP(A180,PeakPowerCurves,(IF(BMO4=2,3,IF(BMO4=1,2,4))),FALSE()))</f>
        <v> </v>
      </c>
      <c r="O180" s="401" t="str">
        <f aca="false">IF(A180="N/A"," ",VLOOKUP(A180,SatSunPeakPwr,(IF(BMO4=2,3,IF(BMO4=1,2,4))),FALSE()))</f>
        <v> </v>
      </c>
      <c r="P180" s="401" t="str">
        <f aca="false">IF(A180="N/A"," ",VLOOKUP(A180,SatSunPeakPwr,(IF(BMO4=2,7,IF(BMO4=1,6,8))),FALSE()))</f>
        <v> </v>
      </c>
      <c r="Q180" s="402" t="str">
        <f aca="false">IF(A180="N/A"," ",(VLOOKUP(A180,OPPowerPrices,(IF(BMO4=2,7,IF(BMO4=1,6,8))),FALSE())))</f>
        <v> </v>
      </c>
      <c r="R180" s="403" t="str">
        <f aca="false">IF(A180="N/A"," ",(VLOOKUP($A180,IRTable,2)))</f>
        <v> </v>
      </c>
      <c r="AF180" s="352" t="n">
        <v>41913</v>
      </c>
      <c r="AG180" s="311" t="n">
        <v>23</v>
      </c>
      <c r="AH180" s="311" t="n">
        <v>4</v>
      </c>
      <c r="AI180" s="311" t="n">
        <v>4</v>
      </c>
      <c r="AJ180" s="311" t="n">
        <v>0</v>
      </c>
      <c r="AK180" s="311" t="n">
        <v>31</v>
      </c>
      <c r="AU180" s="406"/>
    </row>
    <row r="181" customFormat="false" ht="12.75" hidden="false" customHeight="false" outlineLevel="0" collapsed="false">
      <c r="A181" s="352" t="str">
        <f aca="false">Option4!A148</f>
        <v>N/A</v>
      </c>
      <c r="B181" s="396" t="str">
        <f aca="false">IF(A181="N/A"," ",IF(ISERROR(N181),B169*Pwresc,N181)*VLOOKUP(MONTH(A181),Curveadj,3))</f>
        <v> </v>
      </c>
      <c r="C181" s="397" t="str">
        <f aca="false">IF(A181="N/A"," ",(IF(AND(Scaler4=1,MONTH(A181)&gt;=6,MONTH(A181)&lt;=8,OR($M$37="REGION 2",$M$37="REGION 2A",$M$37="REGION 2B",$M$37="REGION 3",$M$37="REGION 3A",$M$37="REGION 3B",$M$37="REGION 3C",$M$37="REGION 4",$M$37="REGION 4B",$M$37="REGION 4C",$M$37="REGION 5",$M$37="REGION 5A")),((0.059228/(B181/100))-(0.4980013/(SQRT(B181/100)))+2.137988),HLOOKUP(MONTH(A181),ScalarTable,28))))</f>
        <v> </v>
      </c>
      <c r="D181" s="398" t="str">
        <f aca="false">IF(A181="N/A"," ",C181*B181)</f>
        <v> </v>
      </c>
      <c r="E181" s="396" t="str">
        <f aca="false">IF(A181="N/A"," ",IF(ISERROR(O181),E169*Pwresc,O181)*VLOOKUP(MONTH(A181),Curveadj,3))</f>
        <v> </v>
      </c>
      <c r="F181" s="398" t="str">
        <f aca="false">IF(A181="N/A"," ",E181*C181)</f>
        <v> </v>
      </c>
      <c r="G181" s="396" t="str">
        <f aca="false">IF(A181="N/A"," ",IF(ISERROR(P181),G169*Pwresc,P181)*VLOOKUP(MONTH(A181),Curveadj,3))</f>
        <v> </v>
      </c>
      <c r="H181" s="398" t="str">
        <f aca="false">IF(A181="N/A"," ",G181*C181)</f>
        <v> </v>
      </c>
      <c r="I181" s="398" t="str">
        <f aca="false">IF(A181="N/A"," ",IF(ISERROR(Q181),I169*Pwresc,Q181))</f>
        <v> </v>
      </c>
      <c r="J181" s="398"/>
      <c r="K181" s="399"/>
      <c r="L181" s="399"/>
      <c r="M181" s="404"/>
      <c r="N181" s="401" t="str">
        <f aca="false">IF(A181="N/A"," ",VLOOKUP(A181,PeakPowerCurves,(IF(BMO4=2,3,IF(BMO4=1,2,4))),FALSE()))</f>
        <v> </v>
      </c>
      <c r="O181" s="401" t="str">
        <f aca="false">IF(A181="N/A"," ",VLOOKUP(A181,SatSunPeakPwr,(IF(BMO4=2,3,IF(BMO4=1,2,4))),FALSE()))</f>
        <v> </v>
      </c>
      <c r="P181" s="401" t="str">
        <f aca="false">IF(A181="N/A"," ",VLOOKUP(A181,SatSunPeakPwr,(IF(BMO4=2,7,IF(BMO4=1,6,8))),FALSE()))</f>
        <v> </v>
      </c>
      <c r="Q181" s="402" t="str">
        <f aca="false">IF(A181="N/A"," ",(VLOOKUP(A181,OPPowerPrices,(IF(BMO4=2,7,IF(BMO4=1,6,8))),FALSE())))</f>
        <v> </v>
      </c>
      <c r="R181" s="403" t="str">
        <f aca="false">IF(A181="N/A"," ",(VLOOKUP($A181,IRTable,2)))</f>
        <v> </v>
      </c>
      <c r="AF181" s="352" t="n">
        <v>41944</v>
      </c>
      <c r="AG181" s="311" t="n">
        <v>19</v>
      </c>
      <c r="AH181" s="311" t="n">
        <v>5</v>
      </c>
      <c r="AI181" s="311" t="n">
        <v>6</v>
      </c>
      <c r="AJ181" s="311" t="n">
        <v>1</v>
      </c>
      <c r="AK181" s="311" t="n">
        <v>30</v>
      </c>
      <c r="AU181" s="406"/>
    </row>
    <row r="182" customFormat="false" ht="12.75" hidden="false" customHeight="false" outlineLevel="0" collapsed="false">
      <c r="A182" s="352" t="str">
        <f aca="false">Option4!A149</f>
        <v>N/A</v>
      </c>
      <c r="B182" s="396" t="str">
        <f aca="false">IF(A182="N/A"," ",IF(ISERROR(N182),B170*Pwresc,N182)*VLOOKUP(MONTH(A182),Curveadj,3))</f>
        <v> </v>
      </c>
      <c r="C182" s="397" t="str">
        <f aca="false">IF(A182="N/A"," ",(IF(AND(Scaler4=1,MONTH(A182)&gt;=6,MONTH(A182)&lt;=8,OR($M$37="REGION 2",$M$37="REGION 2A",$M$37="REGION 2B",$M$37="REGION 3",$M$37="REGION 3A",$M$37="REGION 3B",$M$37="REGION 3C",$M$37="REGION 4",$M$37="REGION 4B",$M$37="REGION 4C",$M$37="REGION 5",$M$37="REGION 5A")),((0.059228/(B182/100))-(0.4980013/(SQRT(B182/100)))+2.137988),HLOOKUP(MONTH(A182),ScalarTable,28))))</f>
        <v> </v>
      </c>
      <c r="D182" s="398" t="str">
        <f aca="false">IF(A182="N/A"," ",C182*B182)</f>
        <v> </v>
      </c>
      <c r="E182" s="396" t="str">
        <f aca="false">IF(A182="N/A"," ",IF(ISERROR(O182),E170*Pwresc,O182)*VLOOKUP(MONTH(A182),Curveadj,3))</f>
        <v> </v>
      </c>
      <c r="F182" s="398" t="str">
        <f aca="false">IF(A182="N/A"," ",E182*C182)</f>
        <v> </v>
      </c>
      <c r="G182" s="396" t="str">
        <f aca="false">IF(A182="N/A"," ",IF(ISERROR(P182),G170*Pwresc,P182)*VLOOKUP(MONTH(A182),Curveadj,3))</f>
        <v> </v>
      </c>
      <c r="H182" s="398" t="str">
        <f aca="false">IF(A182="N/A"," ",G182*C182)</f>
        <v> </v>
      </c>
      <c r="I182" s="398" t="str">
        <f aca="false">IF(A182="N/A"," ",IF(ISERROR(Q182),I170*Pwresc,Q182))</f>
        <v> </v>
      </c>
      <c r="J182" s="398"/>
      <c r="K182" s="399"/>
      <c r="L182" s="399"/>
      <c r="M182" s="404"/>
      <c r="N182" s="401" t="str">
        <f aca="false">IF(A182="N/A"," ",VLOOKUP(A182,PeakPowerCurves,(IF(BMO4=2,3,IF(BMO4=1,2,4))),FALSE()))</f>
        <v> </v>
      </c>
      <c r="O182" s="401" t="str">
        <f aca="false">IF(A182="N/A"," ",VLOOKUP(A182,SatSunPeakPwr,(IF(BMO4=2,3,IF(BMO4=1,2,4))),FALSE()))</f>
        <v> </v>
      </c>
      <c r="P182" s="401" t="str">
        <f aca="false">IF(A182="N/A"," ",VLOOKUP(A182,SatSunPeakPwr,(IF(BMO4=2,7,IF(BMO4=1,6,8))),FALSE()))</f>
        <v> </v>
      </c>
      <c r="Q182" s="402" t="str">
        <f aca="false">IF(A182="N/A"," ",(VLOOKUP(A182,OPPowerPrices,(IF(BMO4=2,7,IF(BMO4=1,6,8))),FALSE())))</f>
        <v> </v>
      </c>
      <c r="R182" s="403" t="str">
        <f aca="false">IF(A182="N/A"," ",(VLOOKUP($A182,IRTable,2)))</f>
        <v> </v>
      </c>
      <c r="AF182" s="352" t="n">
        <v>41974</v>
      </c>
      <c r="AG182" s="311" t="n">
        <v>22</v>
      </c>
      <c r="AH182" s="311" t="n">
        <v>4</v>
      </c>
      <c r="AI182" s="311" t="n">
        <v>5</v>
      </c>
      <c r="AJ182" s="311" t="n">
        <v>1</v>
      </c>
      <c r="AK182" s="311" t="n">
        <v>31</v>
      </c>
      <c r="AU182" s="406"/>
    </row>
    <row r="183" customFormat="false" ht="12.75" hidden="false" customHeight="false" outlineLevel="0" collapsed="false">
      <c r="A183" s="352" t="str">
        <f aca="false">Option4!A150</f>
        <v>N/A</v>
      </c>
      <c r="B183" s="396" t="str">
        <f aca="false">IF(A183="N/A"," ",IF(ISERROR(N183),B171*Pwresc,N183)*VLOOKUP(MONTH(A183),Curveadj,3))</f>
        <v> </v>
      </c>
      <c r="C183" s="397" t="str">
        <f aca="false">IF(A183="N/A"," ",(IF(AND(Scaler4=1,MONTH(A183)&gt;=6,MONTH(A183)&lt;=8,OR($M$37="REGION 2",$M$37="REGION 2A",$M$37="REGION 2B",$M$37="REGION 3",$M$37="REGION 3A",$M$37="REGION 3B",$M$37="REGION 3C",$M$37="REGION 4",$M$37="REGION 4B",$M$37="REGION 4C",$M$37="REGION 5",$M$37="REGION 5A")),((0.059228/(B183/100))-(0.4980013/(SQRT(B183/100)))+2.137988),HLOOKUP(MONTH(A183),ScalarTable,28))))</f>
        <v> </v>
      </c>
      <c r="D183" s="398" t="str">
        <f aca="false">IF(A183="N/A"," ",C183*B183)</f>
        <v> </v>
      </c>
      <c r="E183" s="396" t="str">
        <f aca="false">IF(A183="N/A"," ",IF(ISERROR(O183),E171*Pwresc,O183)*VLOOKUP(MONTH(A183),Curveadj,3))</f>
        <v> </v>
      </c>
      <c r="F183" s="398" t="str">
        <f aca="false">IF(A183="N/A"," ",E183*C183)</f>
        <v> </v>
      </c>
      <c r="G183" s="396" t="str">
        <f aca="false">IF(A183="N/A"," ",IF(ISERROR(P183),G171*Pwresc,P183)*VLOOKUP(MONTH(A183),Curveadj,3))</f>
        <v> </v>
      </c>
      <c r="H183" s="398" t="str">
        <f aca="false">IF(A183="N/A"," ",G183*C183)</f>
        <v> </v>
      </c>
      <c r="I183" s="398" t="str">
        <f aca="false">IF(A183="N/A"," ",IF(ISERROR(Q183),I171*Pwresc,Q183))</f>
        <v> </v>
      </c>
      <c r="J183" s="398"/>
      <c r="K183" s="399"/>
      <c r="L183" s="399"/>
      <c r="M183" s="404"/>
      <c r="N183" s="401" t="str">
        <f aca="false">IF(A183="N/A"," ",VLOOKUP(A183,PeakPowerCurves,(IF(BMO4=2,3,IF(BMO4=1,2,4))),FALSE()))</f>
        <v> </v>
      </c>
      <c r="O183" s="401" t="str">
        <f aca="false">IF(A183="N/A"," ",VLOOKUP(A183,SatSunPeakPwr,(IF(BMO4=2,3,IF(BMO4=1,2,4))),FALSE()))</f>
        <v> </v>
      </c>
      <c r="P183" s="401" t="str">
        <f aca="false">IF(A183="N/A"," ",VLOOKUP(A183,SatSunPeakPwr,(IF(BMO4=2,7,IF(BMO4=1,6,8))),FALSE()))</f>
        <v> </v>
      </c>
      <c r="Q183" s="402" t="str">
        <f aca="false">IF(A183="N/A"," ",(VLOOKUP(A183,OPPowerPrices,(IF(BMO4=2,7,IF(BMO4=1,6,8))),FALSE())))</f>
        <v> </v>
      </c>
      <c r="R183" s="403" t="str">
        <f aca="false">IF(A183="N/A"," ",(VLOOKUP($A183,IRTable,2)))</f>
        <v> </v>
      </c>
      <c r="AF183" s="352" t="n">
        <v>42005</v>
      </c>
      <c r="AG183" s="311" t="n">
        <v>21</v>
      </c>
      <c r="AH183" s="311" t="n">
        <v>5</v>
      </c>
      <c r="AI183" s="311" t="n">
        <v>5</v>
      </c>
      <c r="AJ183" s="311" t="n">
        <v>1</v>
      </c>
      <c r="AK183" s="311" t="n">
        <v>31</v>
      </c>
      <c r="AU183" s="406"/>
    </row>
    <row r="184" customFormat="false" ht="12.75" hidden="false" customHeight="false" outlineLevel="0" collapsed="false">
      <c r="A184" s="352" t="str">
        <f aca="false">Option4!A151</f>
        <v>N/A</v>
      </c>
      <c r="B184" s="396" t="str">
        <f aca="false">IF(A184="N/A"," ",IF(ISERROR(N184),B172*Pwresc,N184)*VLOOKUP(MONTH(A184),Curveadj,3))</f>
        <v> </v>
      </c>
      <c r="C184" s="397" t="str">
        <f aca="false">IF(A184="N/A"," ",(IF(AND(Scaler4=1,MONTH(A184)&gt;=6,MONTH(A184)&lt;=8,OR($M$37="REGION 2",$M$37="REGION 2A",$M$37="REGION 2B",$M$37="REGION 3",$M$37="REGION 3A",$M$37="REGION 3B",$M$37="REGION 3C",$M$37="REGION 4",$M$37="REGION 4B",$M$37="REGION 4C",$M$37="REGION 5",$M$37="REGION 5A")),((0.059228/(B184/100))-(0.4980013/(SQRT(B184/100)))+2.137988),HLOOKUP(MONTH(A184),ScalarTable,28))))</f>
        <v> </v>
      </c>
      <c r="D184" s="398" t="str">
        <f aca="false">IF(A184="N/A"," ",C184*B184)</f>
        <v> </v>
      </c>
      <c r="E184" s="396" t="str">
        <f aca="false">IF(A184="N/A"," ",IF(ISERROR(O184),E172*Pwresc,O184)*VLOOKUP(MONTH(A184),Curveadj,3))</f>
        <v> </v>
      </c>
      <c r="F184" s="398" t="str">
        <f aca="false">IF(A184="N/A"," ",E184*C184)</f>
        <v> </v>
      </c>
      <c r="G184" s="396" t="str">
        <f aca="false">IF(A184="N/A"," ",IF(ISERROR(P184),G172*Pwresc,P184)*VLOOKUP(MONTH(A184),Curveadj,3))</f>
        <v> </v>
      </c>
      <c r="H184" s="398" t="str">
        <f aca="false">IF(A184="N/A"," ",G184*C184)</f>
        <v> </v>
      </c>
      <c r="I184" s="398" t="str">
        <f aca="false">IF(A184="N/A"," ",IF(ISERROR(Q184),I172*Pwresc,Q184))</f>
        <v> </v>
      </c>
      <c r="J184" s="398"/>
      <c r="K184" s="399"/>
      <c r="L184" s="399"/>
      <c r="M184" s="404"/>
      <c r="N184" s="401" t="str">
        <f aca="false">IF(A184="N/A"," ",VLOOKUP(A184,PeakPowerCurves,(IF(BMO4=2,3,IF(BMO4=1,2,4))),FALSE()))</f>
        <v> </v>
      </c>
      <c r="O184" s="401" t="str">
        <f aca="false">IF(A184="N/A"," ",VLOOKUP(A184,SatSunPeakPwr,(IF(BMO4=2,3,IF(BMO4=1,2,4))),FALSE()))</f>
        <v> </v>
      </c>
      <c r="P184" s="401" t="str">
        <f aca="false">IF(A184="N/A"," ",VLOOKUP(A184,SatSunPeakPwr,(IF(BMO4=2,7,IF(BMO4=1,6,8))),FALSE()))</f>
        <v> </v>
      </c>
      <c r="Q184" s="402" t="str">
        <f aca="false">IF(A184="N/A"," ",(VLOOKUP(A184,OPPowerPrices,(IF(BMO4=2,7,IF(BMO4=1,6,8))),FALSE())))</f>
        <v> </v>
      </c>
      <c r="R184" s="403" t="str">
        <f aca="false">IF(A184="N/A"," ",(VLOOKUP($A184,IRTable,2)))</f>
        <v> </v>
      </c>
      <c r="AF184" s="352" t="n">
        <v>42036</v>
      </c>
      <c r="AG184" s="311" t="n">
        <v>20</v>
      </c>
      <c r="AH184" s="311" t="n">
        <v>4</v>
      </c>
      <c r="AI184" s="311" t="n">
        <v>4</v>
      </c>
      <c r="AJ184" s="311" t="n">
        <v>0</v>
      </c>
      <c r="AK184" s="311" t="n">
        <v>28</v>
      </c>
      <c r="AU184" s="406"/>
    </row>
    <row r="185" customFormat="false" ht="12.75" hidden="false" customHeight="false" outlineLevel="0" collapsed="false">
      <c r="A185" s="352" t="str">
        <f aca="false">Option4!A152</f>
        <v>N/A</v>
      </c>
      <c r="B185" s="396" t="str">
        <f aca="false">IF(A185="N/A"," ",IF(ISERROR(N185),B173*Pwresc,N185)*VLOOKUP(MONTH(A185),Curveadj,3))</f>
        <v> </v>
      </c>
      <c r="C185" s="397" t="str">
        <f aca="false">IF(A185="N/A"," ",(IF(AND(Scaler4=1,MONTH(A185)&gt;=6,MONTH(A185)&lt;=8,OR($M$37="REGION 2",$M$37="REGION 2A",$M$37="REGION 2B",$M$37="REGION 3",$M$37="REGION 3A",$M$37="REGION 3B",$M$37="REGION 3C",$M$37="REGION 4",$M$37="REGION 4B",$M$37="REGION 4C",$M$37="REGION 5",$M$37="REGION 5A")),((0.059228/(B185/100))-(0.4980013/(SQRT(B185/100)))+2.137988),HLOOKUP(MONTH(A185),ScalarTable,28))))</f>
        <v> </v>
      </c>
      <c r="D185" s="398" t="str">
        <f aca="false">IF(A185="N/A"," ",C185*B185)</f>
        <v> </v>
      </c>
      <c r="E185" s="396" t="str">
        <f aca="false">IF(A185="N/A"," ",IF(ISERROR(O185),E173*Pwresc,O185)*VLOOKUP(MONTH(A185),Curveadj,3))</f>
        <v> </v>
      </c>
      <c r="F185" s="398" t="str">
        <f aca="false">IF(A185="N/A"," ",E185*C185)</f>
        <v> </v>
      </c>
      <c r="G185" s="396" t="str">
        <f aca="false">IF(A185="N/A"," ",IF(ISERROR(P185),G173*Pwresc,P185)*VLOOKUP(MONTH(A185),Curveadj,3))</f>
        <v> </v>
      </c>
      <c r="H185" s="398" t="str">
        <f aca="false">IF(A185="N/A"," ",G185*C185)</f>
        <v> </v>
      </c>
      <c r="I185" s="398" t="str">
        <f aca="false">IF(A185="N/A"," ",IF(ISERROR(Q185),I173*Pwresc,Q185))</f>
        <v> </v>
      </c>
      <c r="J185" s="398"/>
      <c r="K185" s="399"/>
      <c r="L185" s="399"/>
      <c r="M185" s="404"/>
      <c r="N185" s="401" t="str">
        <f aca="false">IF(A185="N/A"," ",VLOOKUP(A185,PeakPowerCurves,(IF(BMO4=2,3,IF(BMO4=1,2,4))),FALSE()))</f>
        <v> </v>
      </c>
      <c r="O185" s="401" t="str">
        <f aca="false">IF(A185="N/A"," ",VLOOKUP(A185,SatSunPeakPwr,(IF(BMO4=2,3,IF(BMO4=1,2,4))),FALSE()))</f>
        <v> </v>
      </c>
      <c r="P185" s="401" t="str">
        <f aca="false">IF(A185="N/A"," ",VLOOKUP(A185,SatSunPeakPwr,(IF(BMO4=2,7,IF(BMO4=1,6,8))),FALSE()))</f>
        <v> </v>
      </c>
      <c r="Q185" s="402" t="str">
        <f aca="false">IF(A185="N/A"," ",(VLOOKUP(A185,OPPowerPrices,(IF(BMO4=2,7,IF(BMO4=1,6,8))),FALSE())))</f>
        <v> </v>
      </c>
      <c r="R185" s="403" t="str">
        <f aca="false">IF(A185="N/A"," ",(VLOOKUP($A185,IRTable,2)))</f>
        <v> </v>
      </c>
      <c r="AF185" s="352" t="n">
        <v>42064</v>
      </c>
      <c r="AG185" s="311" t="n">
        <v>22</v>
      </c>
      <c r="AH185" s="311" t="n">
        <v>4</v>
      </c>
      <c r="AI185" s="311" t="n">
        <v>5</v>
      </c>
      <c r="AJ185" s="311" t="n">
        <v>0</v>
      </c>
      <c r="AK185" s="311" t="n">
        <v>31</v>
      </c>
      <c r="AU185" s="406"/>
    </row>
    <row r="186" customFormat="false" ht="12.75" hidden="false" customHeight="false" outlineLevel="0" collapsed="false">
      <c r="A186" s="352" t="str">
        <f aca="false">Option4!A153</f>
        <v>N/A</v>
      </c>
      <c r="B186" s="396" t="str">
        <f aca="false">IF(A186="N/A"," ",IF(ISERROR(N186),B174*Pwresc,N186)*VLOOKUP(MONTH(A186),Curveadj,3))</f>
        <v> </v>
      </c>
      <c r="C186" s="397" t="str">
        <f aca="false">IF(A186="N/A"," ",(IF(AND(Scaler4=1,MONTH(A186)&gt;=6,MONTH(A186)&lt;=8,OR($M$37="REGION 2",$M$37="REGION 2A",$M$37="REGION 2B",$M$37="REGION 3",$M$37="REGION 3A",$M$37="REGION 3B",$M$37="REGION 3C",$M$37="REGION 4",$M$37="REGION 4B",$M$37="REGION 4C",$M$37="REGION 5",$M$37="REGION 5A")),((0.059228/(B186/100))-(0.4980013/(SQRT(B186/100)))+2.137988),HLOOKUP(MONTH(A186),ScalarTable,28))))</f>
        <v> </v>
      </c>
      <c r="D186" s="398" t="str">
        <f aca="false">IF(A186="N/A"," ",C186*B186)</f>
        <v> </v>
      </c>
      <c r="E186" s="396" t="str">
        <f aca="false">IF(A186="N/A"," ",IF(ISERROR(O186),E174*Pwresc,O186)*VLOOKUP(MONTH(A186),Curveadj,3))</f>
        <v> </v>
      </c>
      <c r="F186" s="398" t="str">
        <f aca="false">IF(A186="N/A"," ",E186*C186)</f>
        <v> </v>
      </c>
      <c r="G186" s="396" t="str">
        <f aca="false">IF(A186="N/A"," ",IF(ISERROR(P186),G174*Pwresc,P186)*VLOOKUP(MONTH(A186),Curveadj,3))</f>
        <v> </v>
      </c>
      <c r="H186" s="398" t="str">
        <f aca="false">IF(A186="N/A"," ",G186*C186)</f>
        <v> </v>
      </c>
      <c r="I186" s="398" t="str">
        <f aca="false">IF(A186="N/A"," ",IF(ISERROR(Q186),I174*Pwresc,Q186))</f>
        <v> </v>
      </c>
      <c r="J186" s="398"/>
      <c r="K186" s="399"/>
      <c r="L186" s="399"/>
      <c r="M186" s="404"/>
      <c r="N186" s="401" t="str">
        <f aca="false">IF(A186="N/A"," ",VLOOKUP(A186,PeakPowerCurves,(IF(BMO4=2,3,IF(BMO4=1,2,4))),FALSE()))</f>
        <v> </v>
      </c>
      <c r="O186" s="401" t="str">
        <f aca="false">IF(A186="N/A"," ",VLOOKUP(A186,SatSunPeakPwr,(IF(BMO4=2,3,IF(BMO4=1,2,4))),FALSE()))</f>
        <v> </v>
      </c>
      <c r="P186" s="401" t="str">
        <f aca="false">IF(A186="N/A"," ",VLOOKUP(A186,SatSunPeakPwr,(IF(BMO4=2,7,IF(BMO4=1,6,8))),FALSE()))</f>
        <v> </v>
      </c>
      <c r="Q186" s="402" t="str">
        <f aca="false">IF(A186="N/A"," ",(VLOOKUP(A186,OPPowerPrices,(IF(BMO4=2,7,IF(BMO4=1,6,8))),FALSE())))</f>
        <v> </v>
      </c>
      <c r="R186" s="403" t="str">
        <f aca="false">IF(A186="N/A"," ",(VLOOKUP($A186,IRTable,2)))</f>
        <v> </v>
      </c>
      <c r="AF186" s="352" t="n">
        <v>42095</v>
      </c>
      <c r="AG186" s="311" t="n">
        <v>22</v>
      </c>
      <c r="AH186" s="311" t="n">
        <v>4</v>
      </c>
      <c r="AI186" s="311" t="n">
        <v>4</v>
      </c>
      <c r="AJ186" s="311" t="n">
        <v>0</v>
      </c>
      <c r="AK186" s="311" t="n">
        <v>30</v>
      </c>
      <c r="AU186" s="406"/>
    </row>
    <row r="187" customFormat="false" ht="12.75" hidden="false" customHeight="false" outlineLevel="0" collapsed="false">
      <c r="A187" s="352" t="str">
        <f aca="false">Option4!A154</f>
        <v>N/A</v>
      </c>
      <c r="B187" s="396" t="str">
        <f aca="false">IF(A187="N/A"," ",IF(ISERROR(N187),B175*Pwresc,N187)*VLOOKUP(MONTH(A187),Curveadj,3))</f>
        <v> </v>
      </c>
      <c r="C187" s="397" t="str">
        <f aca="false">IF(A187="N/A"," ",(IF(AND(Scaler4=1,MONTH(A187)&gt;=6,MONTH(A187)&lt;=8,OR($M$37="REGION 2",$M$37="REGION 2A",$M$37="REGION 2B",$M$37="REGION 3",$M$37="REGION 3A",$M$37="REGION 3B",$M$37="REGION 3C",$M$37="REGION 4",$M$37="REGION 4B",$M$37="REGION 4C",$M$37="REGION 5",$M$37="REGION 5A")),((0.059228/(B187/100))-(0.4980013/(SQRT(B187/100)))+2.137988),HLOOKUP(MONTH(A187),ScalarTable,28))))</f>
        <v> </v>
      </c>
      <c r="D187" s="398" t="str">
        <f aca="false">IF(A187="N/A"," ",C187*B187)</f>
        <v> </v>
      </c>
      <c r="E187" s="396" t="str">
        <f aca="false">IF(A187="N/A"," ",IF(ISERROR(O187),E175*Pwresc,O187)*VLOOKUP(MONTH(A187),Curveadj,3))</f>
        <v> </v>
      </c>
      <c r="F187" s="398" t="str">
        <f aca="false">IF(A187="N/A"," ",E187*C187)</f>
        <v> </v>
      </c>
      <c r="G187" s="396" t="str">
        <f aca="false">IF(A187="N/A"," ",IF(ISERROR(P187),G175*Pwresc,P187)*VLOOKUP(MONTH(A187),Curveadj,3))</f>
        <v> </v>
      </c>
      <c r="H187" s="398" t="str">
        <f aca="false">IF(A187="N/A"," ",G187*C187)</f>
        <v> </v>
      </c>
      <c r="I187" s="398" t="str">
        <f aca="false">IF(A187="N/A"," ",IF(ISERROR(Q187),I175*Pwresc,Q187))</f>
        <v> </v>
      </c>
      <c r="J187" s="398"/>
      <c r="K187" s="399"/>
      <c r="L187" s="399"/>
      <c r="M187" s="404"/>
      <c r="N187" s="401" t="str">
        <f aca="false">IF(A187="N/A"," ",VLOOKUP(A187,PeakPowerCurves,(IF(BMO4=2,3,IF(BMO4=1,2,4))),FALSE()))</f>
        <v> </v>
      </c>
      <c r="O187" s="401" t="str">
        <f aca="false">IF(A187="N/A"," ",VLOOKUP(A187,SatSunPeakPwr,(IF(BMO4=2,3,IF(BMO4=1,2,4))),FALSE()))</f>
        <v> </v>
      </c>
      <c r="P187" s="401" t="str">
        <f aca="false">IF(A187="N/A"," ",VLOOKUP(A187,SatSunPeakPwr,(IF(BMO4=2,7,IF(BMO4=1,6,8))),FALSE()))</f>
        <v> </v>
      </c>
      <c r="Q187" s="402" t="str">
        <f aca="false">IF(A187="N/A"," ",(VLOOKUP(A187,OPPowerPrices,(IF(BMO4=2,7,IF(BMO4=1,6,8))),FALSE())))</f>
        <v> </v>
      </c>
      <c r="R187" s="403" t="str">
        <f aca="false">IF(A187="N/A"," ",(VLOOKUP($A187,IRTable,2)))</f>
        <v> </v>
      </c>
      <c r="AF187" s="352" t="n">
        <v>42125</v>
      </c>
      <c r="AG187" s="311" t="n">
        <v>20</v>
      </c>
      <c r="AH187" s="311" t="n">
        <v>5</v>
      </c>
      <c r="AI187" s="311" t="n">
        <v>6</v>
      </c>
      <c r="AJ187" s="311" t="n">
        <v>1</v>
      </c>
      <c r="AK187" s="311" t="n">
        <v>31</v>
      </c>
      <c r="AU187" s="406"/>
    </row>
    <row r="188" customFormat="false" ht="12.75" hidden="false" customHeight="false" outlineLevel="0" collapsed="false">
      <c r="A188" s="352" t="str">
        <f aca="false">Option4!A155</f>
        <v>N/A</v>
      </c>
      <c r="B188" s="396" t="str">
        <f aca="false">IF(A188="N/A"," ",IF(ISERROR(N188),B176*Pwresc,N188)*VLOOKUP(MONTH(A188),Curveadj,3))</f>
        <v> </v>
      </c>
      <c r="C188" s="397" t="str">
        <f aca="false">IF(A188="N/A"," ",(IF(AND(Scaler4=1,MONTH(A188)&gt;=6,MONTH(A188)&lt;=8,OR($M$37="REGION 2",$M$37="REGION 2A",$M$37="REGION 2B",$M$37="REGION 3",$M$37="REGION 3A",$M$37="REGION 3B",$M$37="REGION 3C",$M$37="REGION 4",$M$37="REGION 4B",$M$37="REGION 4C",$M$37="REGION 5",$M$37="REGION 5A")),((0.059228/(B188/100))-(0.4980013/(SQRT(B188/100)))+2.137988),HLOOKUP(MONTH(A188),ScalarTable,28))))</f>
        <v> </v>
      </c>
      <c r="D188" s="398" t="str">
        <f aca="false">IF(A188="N/A"," ",C188*B188)</f>
        <v> </v>
      </c>
      <c r="E188" s="396" t="str">
        <f aca="false">IF(A188="N/A"," ",IF(ISERROR(O188),E176*Pwresc,O188)*VLOOKUP(MONTH(A188),Curveadj,3))</f>
        <v> </v>
      </c>
      <c r="F188" s="398" t="str">
        <f aca="false">IF(A188="N/A"," ",E188*C188)</f>
        <v> </v>
      </c>
      <c r="G188" s="396" t="str">
        <f aca="false">IF(A188="N/A"," ",IF(ISERROR(P188),G176*Pwresc,P188)*VLOOKUP(MONTH(A188),Curveadj,3))</f>
        <v> </v>
      </c>
      <c r="H188" s="398" t="str">
        <f aca="false">IF(A188="N/A"," ",G188*C188)</f>
        <v> </v>
      </c>
      <c r="I188" s="398" t="str">
        <f aca="false">IF(A188="N/A"," ",IF(ISERROR(Q188),I176*Pwresc,Q188))</f>
        <v> </v>
      </c>
      <c r="J188" s="398"/>
      <c r="K188" s="399"/>
      <c r="L188" s="399"/>
      <c r="M188" s="404"/>
      <c r="N188" s="401" t="str">
        <f aca="false">IF(A188="N/A"," ",VLOOKUP(A188,PeakPowerCurves,(IF(BMO4=2,3,IF(BMO4=1,2,4))),FALSE()))</f>
        <v> </v>
      </c>
      <c r="O188" s="401" t="str">
        <f aca="false">IF(A188="N/A"," ",VLOOKUP(A188,SatSunPeakPwr,(IF(BMO4=2,3,IF(BMO4=1,2,4))),FALSE()))</f>
        <v> </v>
      </c>
      <c r="P188" s="401" t="str">
        <f aca="false">IF(A188="N/A"," ",VLOOKUP(A188,SatSunPeakPwr,(IF(BMO4=2,7,IF(BMO4=1,6,8))),FALSE()))</f>
        <v> </v>
      </c>
      <c r="Q188" s="402" t="str">
        <f aca="false">IF(A188="N/A"," ",(VLOOKUP(A188,OPPowerPrices,(IF(BMO4=2,7,IF(BMO4=1,6,8))),FALSE())))</f>
        <v> </v>
      </c>
      <c r="R188" s="403" t="str">
        <f aca="false">IF(A188="N/A"," ",(VLOOKUP($A188,IRTable,2)))</f>
        <v> </v>
      </c>
      <c r="AF188" s="352" t="n">
        <v>42156</v>
      </c>
      <c r="AG188" s="311" t="n">
        <v>22</v>
      </c>
      <c r="AH188" s="311" t="n">
        <v>4</v>
      </c>
      <c r="AI188" s="311" t="n">
        <v>4</v>
      </c>
      <c r="AJ188" s="311" t="n">
        <v>0</v>
      </c>
      <c r="AK188" s="311" t="n">
        <v>30</v>
      </c>
      <c r="AU188" s="406"/>
    </row>
    <row r="189" customFormat="false" ht="12.75" hidden="false" customHeight="false" outlineLevel="0" collapsed="false">
      <c r="A189" s="352" t="str">
        <f aca="false">Option4!A156</f>
        <v>N/A</v>
      </c>
      <c r="B189" s="396" t="str">
        <f aca="false">IF(A189="N/A"," ",IF(ISERROR(N189),B177*Pwresc,N189)*VLOOKUP(MONTH(A189),Curveadj,3))</f>
        <v> </v>
      </c>
      <c r="C189" s="397" t="str">
        <f aca="false">IF(A189="N/A"," ",(IF(AND(Scaler4=1,MONTH(A189)&gt;=6,MONTH(A189)&lt;=8,OR($M$37="REGION 2",$M$37="REGION 2A",$M$37="REGION 2B",$M$37="REGION 3",$M$37="REGION 3A",$M$37="REGION 3B",$M$37="REGION 3C",$M$37="REGION 4",$M$37="REGION 4B",$M$37="REGION 4C",$M$37="REGION 5",$M$37="REGION 5A")),((0.059228/(B189/100))-(0.4980013/(SQRT(B189/100)))+2.137988),HLOOKUP(MONTH(A189),ScalarTable,28))))</f>
        <v> </v>
      </c>
      <c r="D189" s="398" t="str">
        <f aca="false">IF(A189="N/A"," ",C189*B189)</f>
        <v> </v>
      </c>
      <c r="E189" s="396" t="str">
        <f aca="false">IF(A189="N/A"," ",IF(ISERROR(O189),E177*Pwresc,O189)*VLOOKUP(MONTH(A189),Curveadj,3))</f>
        <v> </v>
      </c>
      <c r="F189" s="398" t="str">
        <f aca="false">IF(A189="N/A"," ",E189*C189)</f>
        <v> </v>
      </c>
      <c r="G189" s="396" t="str">
        <f aca="false">IF(A189="N/A"," ",IF(ISERROR(P189),G177*Pwresc,P189)*VLOOKUP(MONTH(A189),Curveadj,3))</f>
        <v> </v>
      </c>
      <c r="H189" s="398" t="str">
        <f aca="false">IF(A189="N/A"," ",G189*C189)</f>
        <v> </v>
      </c>
      <c r="I189" s="398" t="str">
        <f aca="false">IF(A189="N/A"," ",IF(ISERROR(Q189),I177*Pwresc,Q189))</f>
        <v> </v>
      </c>
      <c r="J189" s="398"/>
      <c r="K189" s="399"/>
      <c r="L189" s="399"/>
      <c r="M189" s="404"/>
      <c r="N189" s="401" t="str">
        <f aca="false">IF(A189="N/A"," ",VLOOKUP(A189,PeakPowerCurves,(IF(BMO4=2,3,IF(BMO4=1,2,4))),FALSE()))</f>
        <v> </v>
      </c>
      <c r="O189" s="401" t="str">
        <f aca="false">IF(A189="N/A"," ",VLOOKUP(A189,SatSunPeakPwr,(IF(BMO4=2,3,IF(BMO4=1,2,4))),FALSE()))</f>
        <v> </v>
      </c>
      <c r="P189" s="401" t="str">
        <f aca="false">IF(A189="N/A"," ",VLOOKUP(A189,SatSunPeakPwr,(IF(BMO4=2,7,IF(BMO4=1,6,8))),FALSE()))</f>
        <v> </v>
      </c>
      <c r="Q189" s="402" t="str">
        <f aca="false">IF(A189="N/A"," ",(VLOOKUP(A189,OPPowerPrices,(IF(BMO4=2,7,IF(BMO4=1,6,8))),FALSE())))</f>
        <v> </v>
      </c>
      <c r="R189" s="403" t="str">
        <f aca="false">IF(A189="N/A"," ",(VLOOKUP($A189,IRTable,2)))</f>
        <v> </v>
      </c>
      <c r="AF189" s="352" t="n">
        <v>42186</v>
      </c>
      <c r="AG189" s="311" t="n">
        <v>23</v>
      </c>
      <c r="AH189" s="311" t="n">
        <v>3</v>
      </c>
      <c r="AI189" s="311" t="n">
        <v>5</v>
      </c>
      <c r="AJ189" s="311" t="n">
        <v>1</v>
      </c>
      <c r="AK189" s="311" t="n">
        <v>31</v>
      </c>
      <c r="AU189" s="406"/>
    </row>
    <row r="190" customFormat="false" ht="12.75" hidden="false" customHeight="false" outlineLevel="0" collapsed="false">
      <c r="A190" s="352" t="str">
        <f aca="false">Option4!A157</f>
        <v>N/A</v>
      </c>
      <c r="B190" s="396" t="str">
        <f aca="false">IF(A190="N/A"," ",IF(ISERROR(N190),B178*Pwresc,N190)*VLOOKUP(MONTH(A190),Curveadj,3))</f>
        <v> </v>
      </c>
      <c r="C190" s="397" t="str">
        <f aca="false">IF(A190="N/A"," ",(IF(AND(Scaler4=1,MONTH(A190)&gt;=6,MONTH(A190)&lt;=8,OR($M$37="REGION 2",$M$37="REGION 2A",$M$37="REGION 2B",$M$37="REGION 3",$M$37="REGION 3A",$M$37="REGION 3B",$M$37="REGION 3C",$M$37="REGION 4",$M$37="REGION 4B",$M$37="REGION 4C",$M$37="REGION 5",$M$37="REGION 5A")),((0.059228/(B190/100))-(0.4980013/(SQRT(B190/100)))+2.137988),HLOOKUP(MONTH(A190),ScalarTable,28))))</f>
        <v> </v>
      </c>
      <c r="D190" s="398" t="str">
        <f aca="false">IF(A190="N/A"," ",C190*B190)</f>
        <v> </v>
      </c>
      <c r="E190" s="396" t="str">
        <f aca="false">IF(A190="N/A"," ",IF(ISERROR(O190),E178*Pwresc,O190)*VLOOKUP(MONTH(A190),Curveadj,3))</f>
        <v> </v>
      </c>
      <c r="F190" s="398" t="str">
        <f aca="false">IF(A190="N/A"," ",E190*C190)</f>
        <v> </v>
      </c>
      <c r="G190" s="396" t="str">
        <f aca="false">IF(A190="N/A"," ",IF(ISERROR(P190),G178*Pwresc,P190)*VLOOKUP(MONTH(A190),Curveadj,3))</f>
        <v> </v>
      </c>
      <c r="H190" s="398" t="str">
        <f aca="false">IF(A190="N/A"," ",G190*C190)</f>
        <v> </v>
      </c>
      <c r="I190" s="398" t="str">
        <f aca="false">IF(A190="N/A"," ",IF(ISERROR(Q190),I178*Pwresc,Q190))</f>
        <v> </v>
      </c>
      <c r="J190" s="398"/>
      <c r="K190" s="399"/>
      <c r="L190" s="399"/>
      <c r="M190" s="404"/>
      <c r="N190" s="401" t="str">
        <f aca="false">IF(A190="N/A"," ",VLOOKUP(A190,PeakPowerCurves,(IF(BMO4=2,3,IF(BMO4=1,2,4))),FALSE()))</f>
        <v> </v>
      </c>
      <c r="O190" s="401" t="str">
        <f aca="false">IF(A190="N/A"," ",VLOOKUP(A190,SatSunPeakPwr,(IF(BMO4=2,3,IF(BMO4=1,2,4))),FALSE()))</f>
        <v> </v>
      </c>
      <c r="P190" s="401" t="str">
        <f aca="false">IF(A190="N/A"," ",VLOOKUP(A190,SatSunPeakPwr,(IF(BMO4=2,7,IF(BMO4=1,6,8))),FALSE()))</f>
        <v> </v>
      </c>
      <c r="Q190" s="402" t="str">
        <f aca="false">IF(A190="N/A"," ",(VLOOKUP(A190,OPPowerPrices,(IF(BMO4=2,7,IF(BMO4=1,6,8))),FALSE())))</f>
        <v> </v>
      </c>
      <c r="R190" s="403" t="str">
        <f aca="false">IF(A190="N/A"," ",(VLOOKUP($A190,IRTable,2)))</f>
        <v> </v>
      </c>
      <c r="AF190" s="352" t="n">
        <v>42217</v>
      </c>
      <c r="AG190" s="311" t="n">
        <v>21</v>
      </c>
      <c r="AH190" s="311" t="n">
        <v>5</v>
      </c>
      <c r="AI190" s="311" t="n">
        <v>5</v>
      </c>
      <c r="AJ190" s="311" t="n">
        <v>0</v>
      </c>
      <c r="AK190" s="311" t="n">
        <v>31</v>
      </c>
      <c r="AU190" s="406"/>
    </row>
    <row r="191" customFormat="false" ht="12.75" hidden="false" customHeight="false" outlineLevel="0" collapsed="false">
      <c r="A191" s="352" t="str">
        <f aca="false">Option4!A158</f>
        <v>N/A</v>
      </c>
      <c r="B191" s="396" t="str">
        <f aca="false">IF(A191="N/A"," ",IF(ISERROR(N191),B179*Pwresc,N191)*VLOOKUP(MONTH(A191),Curveadj,3))</f>
        <v> </v>
      </c>
      <c r="C191" s="397" t="str">
        <f aca="false">IF(A191="N/A"," ",(IF(AND(Scaler4=1,MONTH(A191)&gt;=6,MONTH(A191)&lt;=8,OR($M$37="REGION 2",$M$37="REGION 2A",$M$37="REGION 2B",$M$37="REGION 3",$M$37="REGION 3A",$M$37="REGION 3B",$M$37="REGION 3C",$M$37="REGION 4",$M$37="REGION 4B",$M$37="REGION 4C",$M$37="REGION 5",$M$37="REGION 5A")),((0.059228/(B191/100))-(0.4980013/(SQRT(B191/100)))+2.137988),HLOOKUP(MONTH(A191),ScalarTable,28))))</f>
        <v> </v>
      </c>
      <c r="D191" s="398" t="str">
        <f aca="false">IF(A191="N/A"," ",C191*B191)</f>
        <v> </v>
      </c>
      <c r="E191" s="396" t="str">
        <f aca="false">IF(A191="N/A"," ",IF(ISERROR(O191),E179*Pwresc,O191)*VLOOKUP(MONTH(A191),Curveadj,3))</f>
        <v> </v>
      </c>
      <c r="F191" s="398" t="str">
        <f aca="false">IF(A191="N/A"," ",E191*C191)</f>
        <v> </v>
      </c>
      <c r="G191" s="396" t="str">
        <f aca="false">IF(A191="N/A"," ",IF(ISERROR(P191),G179*Pwresc,P191)*VLOOKUP(MONTH(A191),Curveadj,3))</f>
        <v> </v>
      </c>
      <c r="H191" s="398" t="str">
        <f aca="false">IF(A191="N/A"," ",G191*C191)</f>
        <v> </v>
      </c>
      <c r="I191" s="398" t="str">
        <f aca="false">IF(A191="N/A"," ",IF(ISERROR(Q191),I179*Pwresc,Q191))</f>
        <v> </v>
      </c>
      <c r="J191" s="398"/>
      <c r="K191" s="399"/>
      <c r="L191" s="399"/>
      <c r="M191" s="404"/>
      <c r="N191" s="401" t="str">
        <f aca="false">IF(A191="N/A"," ",VLOOKUP(A191,PeakPowerCurves,(IF(BMO4=2,3,IF(BMO4=1,2,4))),FALSE()))</f>
        <v> </v>
      </c>
      <c r="O191" s="401" t="str">
        <f aca="false">IF(A191="N/A"," ",VLOOKUP(A191,SatSunPeakPwr,(IF(BMO4=2,3,IF(BMO4=1,2,4))),FALSE()))</f>
        <v> </v>
      </c>
      <c r="P191" s="401" t="str">
        <f aca="false">IF(A191="N/A"," ",VLOOKUP(A191,SatSunPeakPwr,(IF(BMO4=2,7,IF(BMO4=1,6,8))),FALSE()))</f>
        <v> </v>
      </c>
      <c r="Q191" s="402" t="str">
        <f aca="false">IF(A191="N/A"," ",(VLOOKUP(A191,OPPowerPrices,(IF(BMO4=2,7,IF(BMO4=1,6,8))),FALSE())))</f>
        <v> </v>
      </c>
      <c r="R191" s="403" t="str">
        <f aca="false">IF(A191="N/A"," ",(VLOOKUP($A191,IRTable,2)))</f>
        <v> </v>
      </c>
      <c r="AF191" s="352" t="n">
        <v>42248</v>
      </c>
      <c r="AG191" s="311" t="n">
        <v>21</v>
      </c>
      <c r="AH191" s="311" t="n">
        <v>4</v>
      </c>
      <c r="AI191" s="311" t="n">
        <v>5</v>
      </c>
      <c r="AJ191" s="311" t="n">
        <v>1</v>
      </c>
      <c r="AK191" s="311" t="n">
        <v>30</v>
      </c>
      <c r="AU191" s="406"/>
    </row>
    <row r="192" customFormat="false" ht="12.75" hidden="false" customHeight="false" outlineLevel="0" collapsed="false">
      <c r="A192" s="352" t="str">
        <f aca="false">Option4!A159</f>
        <v>N/A</v>
      </c>
      <c r="B192" s="396" t="str">
        <f aca="false">IF(A192="N/A"," ",IF(ISERROR(N192),B180*Pwresc,N192)*VLOOKUP(MONTH(A192),Curveadj,3))</f>
        <v> </v>
      </c>
      <c r="C192" s="397" t="str">
        <f aca="false">IF(A192="N/A"," ",(IF(AND(Scaler4=1,MONTH(A192)&gt;=6,MONTH(A192)&lt;=8,OR($M$37="REGION 2",$M$37="REGION 2A",$M$37="REGION 2B",$M$37="REGION 3",$M$37="REGION 3A",$M$37="REGION 3B",$M$37="REGION 3C",$M$37="REGION 4",$M$37="REGION 4B",$M$37="REGION 4C",$M$37="REGION 5",$M$37="REGION 5A")),((0.059228/(B192/100))-(0.4980013/(SQRT(B192/100)))+2.137988),HLOOKUP(MONTH(A192),ScalarTable,28))))</f>
        <v> </v>
      </c>
      <c r="D192" s="398" t="str">
        <f aca="false">IF(A192="N/A"," ",C192*B192)</f>
        <v> </v>
      </c>
      <c r="E192" s="396" t="str">
        <f aca="false">IF(A192="N/A"," ",IF(ISERROR(O192),E180*Pwresc,O192)*VLOOKUP(MONTH(A192),Curveadj,3))</f>
        <v> </v>
      </c>
      <c r="F192" s="398" t="str">
        <f aca="false">IF(A192="N/A"," ",E192*C192)</f>
        <v> </v>
      </c>
      <c r="G192" s="396" t="str">
        <f aca="false">IF(A192="N/A"," ",IF(ISERROR(P192),G180*Pwresc,P192)*VLOOKUP(MONTH(A192),Curveadj,3))</f>
        <v> </v>
      </c>
      <c r="H192" s="398" t="str">
        <f aca="false">IF(A192="N/A"," ",G192*C192)</f>
        <v> </v>
      </c>
      <c r="I192" s="398" t="str">
        <f aca="false">IF(A192="N/A"," ",IF(ISERROR(Q192),I180*Pwresc,Q192))</f>
        <v> </v>
      </c>
      <c r="J192" s="398"/>
      <c r="K192" s="399"/>
      <c r="L192" s="399"/>
      <c r="M192" s="404"/>
      <c r="N192" s="401" t="str">
        <f aca="false">IF(A192="N/A"," ",VLOOKUP(A192,PeakPowerCurves,(IF(BMO4=2,3,IF(BMO4=1,2,4))),FALSE()))</f>
        <v> </v>
      </c>
      <c r="O192" s="401" t="str">
        <f aca="false">IF(A192="N/A"," ",VLOOKUP(A192,SatSunPeakPwr,(IF(BMO4=2,3,IF(BMO4=1,2,4))),FALSE()))</f>
        <v> </v>
      </c>
      <c r="P192" s="401" t="str">
        <f aca="false">IF(A192="N/A"," ",VLOOKUP(A192,SatSunPeakPwr,(IF(BMO4=2,7,IF(BMO4=1,6,8))),FALSE()))</f>
        <v> </v>
      </c>
      <c r="Q192" s="402" t="str">
        <f aca="false">IF(A192="N/A"," ",(VLOOKUP(A192,OPPowerPrices,(IF(BMO4=2,7,IF(BMO4=1,6,8))),FALSE())))</f>
        <v> </v>
      </c>
      <c r="R192" s="403" t="str">
        <f aca="false">IF(A192="N/A"," ",(VLOOKUP($A192,IRTable,2)))</f>
        <v> </v>
      </c>
      <c r="AF192" s="352" t="n">
        <v>42278</v>
      </c>
      <c r="AG192" s="311" t="n">
        <v>22</v>
      </c>
      <c r="AH192" s="311" t="n">
        <v>5</v>
      </c>
      <c r="AI192" s="311" t="n">
        <v>4</v>
      </c>
      <c r="AJ192" s="311" t="n">
        <v>0</v>
      </c>
      <c r="AK192" s="311" t="n">
        <v>31</v>
      </c>
      <c r="AU192" s="406"/>
    </row>
    <row r="193" customFormat="false" ht="12.75" hidden="false" customHeight="false" outlineLevel="0" collapsed="false">
      <c r="A193" s="352" t="str">
        <f aca="false">Option4!A160</f>
        <v>N/A</v>
      </c>
      <c r="B193" s="396" t="str">
        <f aca="false">IF(A193="N/A"," ",IF(ISERROR(N193),B181*Pwresc,N193)*VLOOKUP(MONTH(A193),Curveadj,3))</f>
        <v> </v>
      </c>
      <c r="C193" s="397" t="str">
        <f aca="false">IF(A193="N/A"," ",(IF(AND(Scaler4=1,MONTH(A193)&gt;=6,MONTH(A193)&lt;=8,OR($M$37="REGION 2",$M$37="REGION 2A",$M$37="REGION 2B",$M$37="REGION 3",$M$37="REGION 3A",$M$37="REGION 3B",$M$37="REGION 3C",$M$37="REGION 4",$M$37="REGION 4B",$M$37="REGION 4C",$M$37="REGION 5",$M$37="REGION 5A")),((0.059228/(B193/100))-(0.4980013/(SQRT(B193/100)))+2.137988),HLOOKUP(MONTH(A193),ScalarTable,28))))</f>
        <v> </v>
      </c>
      <c r="D193" s="398" t="str">
        <f aca="false">IF(A193="N/A"," ",C193*B193)</f>
        <v> </v>
      </c>
      <c r="E193" s="396" t="str">
        <f aca="false">IF(A193="N/A"," ",IF(ISERROR(O193),E181*Pwresc,O193)*VLOOKUP(MONTH(A193),Curveadj,3))</f>
        <v> </v>
      </c>
      <c r="F193" s="398" t="str">
        <f aca="false">IF(A193="N/A"," ",E193*C193)</f>
        <v> </v>
      </c>
      <c r="G193" s="396" t="str">
        <f aca="false">IF(A193="N/A"," ",IF(ISERROR(P193),G181*Pwresc,P193)*VLOOKUP(MONTH(A193),Curveadj,3))</f>
        <v> </v>
      </c>
      <c r="H193" s="398" t="str">
        <f aca="false">IF(A193="N/A"," ",G193*C193)</f>
        <v> </v>
      </c>
      <c r="I193" s="398" t="str">
        <f aca="false">IF(A193="N/A"," ",IF(ISERROR(Q193),I181*Pwresc,Q193))</f>
        <v> </v>
      </c>
      <c r="J193" s="398"/>
      <c r="K193" s="399"/>
      <c r="L193" s="399"/>
      <c r="M193" s="404"/>
      <c r="N193" s="401" t="str">
        <f aca="false">IF(A193="N/A"," ",VLOOKUP(A193,PeakPowerCurves,(IF(BMO4=2,3,IF(BMO4=1,2,4))),FALSE()))</f>
        <v> </v>
      </c>
      <c r="O193" s="401" t="str">
        <f aca="false">IF(A193="N/A"," ",VLOOKUP(A193,SatSunPeakPwr,(IF(BMO4=2,3,IF(BMO4=1,2,4))),FALSE()))</f>
        <v> </v>
      </c>
      <c r="P193" s="401" t="str">
        <f aca="false">IF(A193="N/A"," ",VLOOKUP(A193,SatSunPeakPwr,(IF(BMO4=2,7,IF(BMO4=1,6,8))),FALSE()))</f>
        <v> </v>
      </c>
      <c r="Q193" s="402" t="str">
        <f aca="false">IF(A193="N/A"," ",(VLOOKUP(A193,OPPowerPrices,(IF(BMO4=2,7,IF(BMO4=1,6,8))),FALSE())))</f>
        <v> </v>
      </c>
      <c r="R193" s="403" t="str">
        <f aca="false">IF(A193="N/A"," ",(VLOOKUP($A193,IRTable,2)))</f>
        <v> </v>
      </c>
      <c r="AF193" s="352" t="n">
        <v>42309</v>
      </c>
      <c r="AG193" s="311" t="n">
        <v>20</v>
      </c>
      <c r="AH193" s="311" t="n">
        <v>4</v>
      </c>
      <c r="AI193" s="311" t="n">
        <v>6</v>
      </c>
      <c r="AJ193" s="311" t="n">
        <v>1</v>
      </c>
      <c r="AK193" s="311" t="n">
        <v>30</v>
      </c>
      <c r="AU193" s="406"/>
    </row>
    <row r="194" customFormat="false" ht="12.75" hidden="false" customHeight="false" outlineLevel="0" collapsed="false">
      <c r="A194" s="352" t="str">
        <f aca="false">Option4!A161</f>
        <v>N/A</v>
      </c>
      <c r="B194" s="396" t="str">
        <f aca="false">IF(A194="N/A"," ",IF(ISERROR(N194),B182*Pwresc,N194)*VLOOKUP(MONTH(A194),Curveadj,3))</f>
        <v> </v>
      </c>
      <c r="C194" s="397" t="str">
        <f aca="false">IF(A194="N/A"," ",(IF(AND(Scaler4=1,MONTH(A194)&gt;=6,MONTH(A194)&lt;=8,OR($M$37="REGION 2",$M$37="REGION 2A",$M$37="REGION 2B",$M$37="REGION 3",$M$37="REGION 3A",$M$37="REGION 3B",$M$37="REGION 3C",$M$37="REGION 4",$M$37="REGION 4B",$M$37="REGION 4C",$M$37="REGION 5",$M$37="REGION 5A")),((0.059228/(B194/100))-(0.4980013/(SQRT(B194/100)))+2.137988),HLOOKUP(MONTH(A194),ScalarTable,28))))</f>
        <v> </v>
      </c>
      <c r="D194" s="398" t="str">
        <f aca="false">IF(A194="N/A"," ",C194*B194)</f>
        <v> </v>
      </c>
      <c r="E194" s="396" t="str">
        <f aca="false">IF(A194="N/A"," ",IF(ISERROR(O194),E182*Pwresc,O194)*VLOOKUP(MONTH(A194),Curveadj,3))</f>
        <v> </v>
      </c>
      <c r="F194" s="398" t="str">
        <f aca="false">IF(A194="N/A"," ",E194*C194)</f>
        <v> </v>
      </c>
      <c r="G194" s="396" t="str">
        <f aca="false">IF(A194="N/A"," ",IF(ISERROR(P194),G182*Pwresc,P194)*VLOOKUP(MONTH(A194),Curveadj,3))</f>
        <v> </v>
      </c>
      <c r="H194" s="398" t="str">
        <f aca="false">IF(A194="N/A"," ",G194*C194)</f>
        <v> </v>
      </c>
      <c r="I194" s="398" t="str">
        <f aca="false">IF(A194="N/A"," ",IF(ISERROR(Q194),I182*Pwresc,Q194))</f>
        <v> </v>
      </c>
      <c r="J194" s="398"/>
      <c r="K194" s="399"/>
      <c r="L194" s="399"/>
      <c r="M194" s="404"/>
      <c r="N194" s="401" t="str">
        <f aca="false">IF(A194="N/A"," ",VLOOKUP(A194,PeakPowerCurves,(IF(BMO4=2,3,IF(BMO4=1,2,4))),FALSE()))</f>
        <v> </v>
      </c>
      <c r="O194" s="401" t="str">
        <f aca="false">IF(A194="N/A"," ",VLOOKUP(A194,SatSunPeakPwr,(IF(BMO4=2,3,IF(BMO4=1,2,4))),FALSE()))</f>
        <v> </v>
      </c>
      <c r="P194" s="401" t="str">
        <f aca="false">IF(A194="N/A"," ",VLOOKUP(A194,SatSunPeakPwr,(IF(BMO4=2,7,IF(BMO4=1,6,8))),FALSE()))</f>
        <v> </v>
      </c>
      <c r="Q194" s="402" t="str">
        <f aca="false">IF(A194="N/A"," ",(VLOOKUP(A194,OPPowerPrices,(IF(BMO4=2,7,IF(BMO4=1,6,8))),FALSE())))</f>
        <v> </v>
      </c>
      <c r="R194" s="403" t="str">
        <f aca="false">IF(A194="N/A"," ",(VLOOKUP($A194,IRTable,2)))</f>
        <v> </v>
      </c>
      <c r="AF194" s="352" t="n">
        <v>42339</v>
      </c>
      <c r="AG194" s="311" t="n">
        <v>22</v>
      </c>
      <c r="AH194" s="311" t="n">
        <v>4</v>
      </c>
      <c r="AI194" s="311" t="n">
        <v>5</v>
      </c>
      <c r="AJ194" s="311" t="n">
        <v>1</v>
      </c>
      <c r="AK194" s="311" t="n">
        <v>31</v>
      </c>
      <c r="AU194" s="406"/>
    </row>
    <row r="195" customFormat="false" ht="12.75" hidden="false" customHeight="false" outlineLevel="0" collapsed="false">
      <c r="A195" s="352" t="str">
        <f aca="false">Option4!A162</f>
        <v>N/A</v>
      </c>
      <c r="B195" s="396" t="str">
        <f aca="false">IF(A195="N/A"," ",IF(ISERROR(N195),B183*Pwresc,N195)*VLOOKUP(MONTH(A195),Curveadj,3))</f>
        <v> </v>
      </c>
      <c r="C195" s="397" t="str">
        <f aca="false">IF(A195="N/A"," ",(IF(AND(Scaler4=1,MONTH(A195)&gt;=6,MONTH(A195)&lt;=8,OR($M$37="REGION 2",$M$37="REGION 2A",$M$37="REGION 2B",$M$37="REGION 3",$M$37="REGION 3A",$M$37="REGION 3B",$M$37="REGION 3C",$M$37="REGION 4",$M$37="REGION 4B",$M$37="REGION 4C",$M$37="REGION 5",$M$37="REGION 5A")),((0.059228/(B195/100))-(0.4980013/(SQRT(B195/100)))+2.137988),HLOOKUP(MONTH(A195),ScalarTable,28))))</f>
        <v> </v>
      </c>
      <c r="D195" s="398" t="str">
        <f aca="false">IF(A195="N/A"," ",C195*B195)</f>
        <v> </v>
      </c>
      <c r="E195" s="396" t="str">
        <f aca="false">IF(A195="N/A"," ",IF(ISERROR(O195),E183*Pwresc,O195)*VLOOKUP(MONTH(A195),Curveadj,3))</f>
        <v> </v>
      </c>
      <c r="F195" s="398" t="str">
        <f aca="false">IF(A195="N/A"," ",E195*C195)</f>
        <v> </v>
      </c>
      <c r="G195" s="396" t="str">
        <f aca="false">IF(A195="N/A"," ",IF(ISERROR(P195),G183*Pwresc,P195)*VLOOKUP(MONTH(A195),Curveadj,3))</f>
        <v> </v>
      </c>
      <c r="H195" s="398" t="str">
        <f aca="false">IF(A195="N/A"," ",G195*C195)</f>
        <v> </v>
      </c>
      <c r="I195" s="398" t="str">
        <f aca="false">IF(A195="N/A"," ",IF(ISERROR(Q195),I183*Pwresc,Q195))</f>
        <v> </v>
      </c>
      <c r="J195" s="398"/>
      <c r="K195" s="399"/>
      <c r="L195" s="399"/>
      <c r="M195" s="404"/>
      <c r="N195" s="401" t="str">
        <f aca="false">IF(A195="N/A"," ",VLOOKUP(A195,PeakPowerCurves,(IF(BMO4=2,3,IF(BMO4=1,2,4))),FALSE()))</f>
        <v> </v>
      </c>
      <c r="O195" s="401" t="str">
        <f aca="false">IF(A195="N/A"," ",VLOOKUP(A195,SatSunPeakPwr,(IF(BMO4=2,3,IF(BMO4=1,2,4))),FALSE()))</f>
        <v> </v>
      </c>
      <c r="P195" s="401" t="str">
        <f aca="false">IF(A195="N/A"," ",VLOOKUP(A195,SatSunPeakPwr,(IF(BMO4=2,7,IF(BMO4=1,6,8))),FALSE()))</f>
        <v> </v>
      </c>
      <c r="Q195" s="402" t="str">
        <f aca="false">IF(A195="N/A"," ",(VLOOKUP(A195,OPPowerPrices,(IF(BMO4=2,7,IF(BMO4=1,6,8))),FALSE())))</f>
        <v> </v>
      </c>
      <c r="R195" s="403" t="str">
        <f aca="false">IF(A195="N/A"," ",(VLOOKUP($A195,IRTable,2)))</f>
        <v> </v>
      </c>
      <c r="AF195" s="352" t="n">
        <v>42370</v>
      </c>
      <c r="AG195" s="311" t="n">
        <v>20</v>
      </c>
      <c r="AH195" s="311" t="n">
        <v>5</v>
      </c>
      <c r="AI195" s="311" t="n">
        <v>6</v>
      </c>
      <c r="AJ195" s="311" t="n">
        <v>1</v>
      </c>
      <c r="AK195" s="311" t="n">
        <v>31</v>
      </c>
      <c r="AU195" s="406"/>
    </row>
    <row r="196" customFormat="false" ht="12.75" hidden="false" customHeight="false" outlineLevel="0" collapsed="false">
      <c r="A196" s="352" t="str">
        <f aca="false">Option4!A163</f>
        <v>N/A</v>
      </c>
      <c r="B196" s="396" t="str">
        <f aca="false">IF(A196="N/A"," ",IF(ISERROR(N196),B184*Pwresc,N196)*VLOOKUP(MONTH(A196),Curveadj,3))</f>
        <v> </v>
      </c>
      <c r="C196" s="397" t="str">
        <f aca="false">IF(A196="N/A"," ",(IF(AND(Scaler4=1,MONTH(A196)&gt;=6,MONTH(A196)&lt;=8,OR($M$37="REGION 2",$M$37="REGION 2A",$M$37="REGION 2B",$M$37="REGION 3",$M$37="REGION 3A",$M$37="REGION 3B",$M$37="REGION 3C",$M$37="REGION 4",$M$37="REGION 4B",$M$37="REGION 4C",$M$37="REGION 5",$M$37="REGION 5A")),((0.059228/(B196/100))-(0.4980013/(SQRT(B196/100)))+2.137988),HLOOKUP(MONTH(A196),ScalarTable,28))))</f>
        <v> </v>
      </c>
      <c r="D196" s="398" t="str">
        <f aca="false">IF(A196="N/A"," ",C196*B196)</f>
        <v> </v>
      </c>
      <c r="E196" s="396" t="str">
        <f aca="false">IF(A196="N/A"," ",IF(ISERROR(O196),E184*Pwresc,O196)*VLOOKUP(MONTH(A196),Curveadj,3))</f>
        <v> </v>
      </c>
      <c r="F196" s="398" t="str">
        <f aca="false">IF(A196="N/A"," ",E196*C196)</f>
        <v> </v>
      </c>
      <c r="G196" s="396" t="str">
        <f aca="false">IF(A196="N/A"," ",IF(ISERROR(P196),G184*Pwresc,P196)*VLOOKUP(MONTH(A196),Curveadj,3))</f>
        <v> </v>
      </c>
      <c r="H196" s="398" t="str">
        <f aca="false">IF(A196="N/A"," ",G196*C196)</f>
        <v> </v>
      </c>
      <c r="I196" s="398" t="str">
        <f aca="false">IF(A196="N/A"," ",IF(ISERROR(Q196),I184*Pwresc,Q196))</f>
        <v> </v>
      </c>
      <c r="J196" s="398"/>
      <c r="K196" s="399"/>
      <c r="L196" s="399"/>
      <c r="M196" s="404"/>
      <c r="N196" s="401" t="str">
        <f aca="false">IF(A196="N/A"," ",VLOOKUP(A196,PeakPowerCurves,(IF(BMO4=2,3,IF(BMO4=1,2,4))),FALSE()))</f>
        <v> </v>
      </c>
      <c r="O196" s="401" t="str">
        <f aca="false">IF(A196="N/A"," ",VLOOKUP(A196,SatSunPeakPwr,(IF(BMO4=2,3,IF(BMO4=1,2,4))),FALSE()))</f>
        <v> </v>
      </c>
      <c r="P196" s="401" t="str">
        <f aca="false">IF(A196="N/A"," ",VLOOKUP(A196,SatSunPeakPwr,(IF(BMO4=2,7,IF(BMO4=1,6,8))),FALSE()))</f>
        <v> </v>
      </c>
      <c r="Q196" s="402" t="str">
        <f aca="false">IF(A196="N/A"," ",(VLOOKUP(A196,OPPowerPrices,(IF(BMO4=2,7,IF(BMO4=1,6,8))),FALSE())))</f>
        <v> </v>
      </c>
      <c r="R196" s="403" t="str">
        <f aca="false">IF(A196="N/A"," ",(VLOOKUP($A196,IRTable,2)))</f>
        <v> </v>
      </c>
      <c r="AF196" s="352" t="n">
        <v>42401</v>
      </c>
      <c r="AG196" s="311" t="n">
        <v>21</v>
      </c>
      <c r="AH196" s="311" t="n">
        <v>4</v>
      </c>
      <c r="AI196" s="311" t="n">
        <v>4</v>
      </c>
      <c r="AJ196" s="311" t="n">
        <v>0</v>
      </c>
      <c r="AK196" s="311" t="n">
        <v>29</v>
      </c>
      <c r="AU196" s="406"/>
    </row>
    <row r="197" customFormat="false" ht="12.75" hidden="false" customHeight="false" outlineLevel="0" collapsed="false">
      <c r="A197" s="352" t="str">
        <f aca="false">Option4!A164</f>
        <v>N/A</v>
      </c>
      <c r="B197" s="396" t="str">
        <f aca="false">IF(A197="N/A"," ",IF(ISERROR(N197),B185*Pwresc,N197)*VLOOKUP(MONTH(A197),Curveadj,3))</f>
        <v> </v>
      </c>
      <c r="C197" s="397" t="str">
        <f aca="false">IF(A197="N/A"," ",(IF(AND(Scaler4=1,MONTH(A197)&gt;=6,MONTH(A197)&lt;=8,OR($M$37="REGION 2",$M$37="REGION 2A",$M$37="REGION 2B",$M$37="REGION 3",$M$37="REGION 3A",$M$37="REGION 3B",$M$37="REGION 3C",$M$37="REGION 4",$M$37="REGION 4B",$M$37="REGION 4C",$M$37="REGION 5",$M$37="REGION 5A")),((0.059228/(B197/100))-(0.4980013/(SQRT(B197/100)))+2.137988),HLOOKUP(MONTH(A197),ScalarTable,28))))</f>
        <v> </v>
      </c>
      <c r="D197" s="398" t="str">
        <f aca="false">IF(A197="N/A"," ",C197*B197)</f>
        <v> </v>
      </c>
      <c r="E197" s="396" t="str">
        <f aca="false">IF(A197="N/A"," ",IF(ISERROR(O197),E185*Pwresc,O197)*VLOOKUP(MONTH(A197),Curveadj,3))</f>
        <v> </v>
      </c>
      <c r="F197" s="398" t="str">
        <f aca="false">IF(A197="N/A"," ",E197*C197)</f>
        <v> </v>
      </c>
      <c r="G197" s="396" t="str">
        <f aca="false">IF(A197="N/A"," ",IF(ISERROR(P197),G185*Pwresc,P197)*VLOOKUP(MONTH(A197),Curveadj,3))</f>
        <v> </v>
      </c>
      <c r="H197" s="398" t="str">
        <f aca="false">IF(A197="N/A"," ",G197*C197)</f>
        <v> </v>
      </c>
      <c r="I197" s="398" t="str">
        <f aca="false">IF(A197="N/A"," ",IF(ISERROR(Q197),I185*Pwresc,Q197))</f>
        <v> </v>
      </c>
      <c r="J197" s="398"/>
      <c r="K197" s="399"/>
      <c r="L197" s="399"/>
      <c r="M197" s="404"/>
      <c r="N197" s="401" t="str">
        <f aca="false">IF(A197="N/A"," ",VLOOKUP(A197,PeakPowerCurves,(IF(BMO4=2,3,IF(BMO4=1,2,4))),FALSE()))</f>
        <v> </v>
      </c>
      <c r="O197" s="401" t="str">
        <f aca="false">IF(A197="N/A"," ",VLOOKUP(A197,SatSunPeakPwr,(IF(BMO4=2,3,IF(BMO4=1,2,4))),FALSE()))</f>
        <v> </v>
      </c>
      <c r="P197" s="401" t="str">
        <f aca="false">IF(A197="N/A"," ",VLOOKUP(A197,SatSunPeakPwr,(IF(BMO4=2,7,IF(BMO4=1,6,8))),FALSE()))</f>
        <v> </v>
      </c>
      <c r="Q197" s="402" t="str">
        <f aca="false">IF(A197="N/A"," ",(VLOOKUP(A197,OPPowerPrices,(IF(BMO4=2,7,IF(BMO4=1,6,8))),FALSE())))</f>
        <v> </v>
      </c>
      <c r="R197" s="403" t="str">
        <f aca="false">IF(A197="N/A"," ",(VLOOKUP($A197,IRTable,2)))</f>
        <v> </v>
      </c>
      <c r="AF197" s="352" t="n">
        <v>42430</v>
      </c>
      <c r="AG197" s="311" t="n">
        <v>23</v>
      </c>
      <c r="AH197" s="311" t="n">
        <v>4</v>
      </c>
      <c r="AI197" s="311" t="n">
        <v>4</v>
      </c>
      <c r="AJ197" s="311" t="n">
        <v>0</v>
      </c>
      <c r="AK197" s="311" t="n">
        <v>31</v>
      </c>
      <c r="AU197" s="406"/>
    </row>
    <row r="198" customFormat="false" ht="12.75" hidden="false" customHeight="false" outlineLevel="0" collapsed="false">
      <c r="A198" s="352" t="str">
        <f aca="false">Option4!A165</f>
        <v>N/A</v>
      </c>
      <c r="B198" s="396" t="str">
        <f aca="false">IF(A198="N/A"," ",IF(ISERROR(N198),B186*Pwresc,N198)*VLOOKUP(MONTH(A198),Curveadj,3))</f>
        <v> </v>
      </c>
      <c r="C198" s="397" t="str">
        <f aca="false">IF(A198="N/A"," ",(IF(AND(Scaler4=1,MONTH(A198)&gt;=6,MONTH(A198)&lt;=8,OR($M$37="REGION 2",$M$37="REGION 2A",$M$37="REGION 2B",$M$37="REGION 3",$M$37="REGION 3A",$M$37="REGION 3B",$M$37="REGION 3C",$M$37="REGION 4",$M$37="REGION 4B",$M$37="REGION 4C",$M$37="REGION 5",$M$37="REGION 5A")),((0.059228/(B198/100))-(0.4980013/(SQRT(B198/100)))+2.137988),HLOOKUP(MONTH(A198),ScalarTable,28))))</f>
        <v> </v>
      </c>
      <c r="D198" s="398" t="str">
        <f aca="false">IF(A198="N/A"," ",C198*B198)</f>
        <v> </v>
      </c>
      <c r="E198" s="396" t="str">
        <f aca="false">IF(A198="N/A"," ",IF(ISERROR(O198),E186*Pwresc,O198)*VLOOKUP(MONTH(A198),Curveadj,3))</f>
        <v> </v>
      </c>
      <c r="F198" s="398" t="str">
        <f aca="false">IF(A198="N/A"," ",E198*C198)</f>
        <v> </v>
      </c>
      <c r="G198" s="396" t="str">
        <f aca="false">IF(A198="N/A"," ",IF(ISERROR(P198),G186*Pwresc,P198)*VLOOKUP(MONTH(A198),Curveadj,3))</f>
        <v> </v>
      </c>
      <c r="H198" s="398" t="str">
        <f aca="false">IF(A198="N/A"," ",G198*C198)</f>
        <v> </v>
      </c>
      <c r="I198" s="398" t="str">
        <f aca="false">IF(A198="N/A"," ",IF(ISERROR(Q198),I186*Pwresc,Q198))</f>
        <v> </v>
      </c>
      <c r="J198" s="398"/>
      <c r="K198" s="399"/>
      <c r="L198" s="399"/>
      <c r="M198" s="404"/>
      <c r="N198" s="401" t="str">
        <f aca="false">IF(A198="N/A"," ",VLOOKUP(A198,PeakPowerCurves,(IF(BMO4=2,3,IF(BMO4=1,2,4))),FALSE()))</f>
        <v> </v>
      </c>
      <c r="O198" s="401" t="str">
        <f aca="false">IF(A198="N/A"," ",VLOOKUP(A198,SatSunPeakPwr,(IF(BMO4=2,3,IF(BMO4=1,2,4))),FALSE()))</f>
        <v> </v>
      </c>
      <c r="P198" s="401" t="str">
        <f aca="false">IF(A198="N/A"," ",VLOOKUP(A198,SatSunPeakPwr,(IF(BMO4=2,7,IF(BMO4=1,6,8))),FALSE()))</f>
        <v> </v>
      </c>
      <c r="Q198" s="402" t="str">
        <f aca="false">IF(A198="N/A"," ",(VLOOKUP(A198,OPPowerPrices,(IF(BMO4=2,7,IF(BMO4=1,6,8))),FALSE())))</f>
        <v> </v>
      </c>
      <c r="R198" s="403" t="str">
        <f aca="false">IF(A198="N/A"," ",(VLOOKUP($A198,IRTable,2)))</f>
        <v> </v>
      </c>
      <c r="AF198" s="352" t="n">
        <v>42461</v>
      </c>
      <c r="AG198" s="311" t="n">
        <v>21</v>
      </c>
      <c r="AH198" s="311" t="n">
        <v>5</v>
      </c>
      <c r="AI198" s="311" t="n">
        <v>4</v>
      </c>
      <c r="AJ198" s="311" t="n">
        <v>0</v>
      </c>
      <c r="AK198" s="311" t="n">
        <v>30</v>
      </c>
      <c r="AU198" s="406"/>
    </row>
    <row r="199" customFormat="false" ht="12.75" hidden="false" customHeight="false" outlineLevel="0" collapsed="false">
      <c r="A199" s="352" t="str">
        <f aca="false">Option4!A166</f>
        <v>N/A</v>
      </c>
      <c r="B199" s="396" t="str">
        <f aca="false">IF(A199="N/A"," ",IF(ISERROR(N199),B187*Pwresc,N199)*VLOOKUP(MONTH(A199),Curveadj,3))</f>
        <v> </v>
      </c>
      <c r="C199" s="397" t="str">
        <f aca="false">IF(A199="N/A"," ",(IF(AND(Scaler4=1,MONTH(A199)&gt;=6,MONTH(A199)&lt;=8,OR($M$37="REGION 2",$M$37="REGION 2A",$M$37="REGION 2B",$M$37="REGION 3",$M$37="REGION 3A",$M$37="REGION 3B",$M$37="REGION 3C",$M$37="REGION 4",$M$37="REGION 4B",$M$37="REGION 4C",$M$37="REGION 5",$M$37="REGION 5A")),((0.059228/(B199/100))-(0.4980013/(SQRT(B199/100)))+2.137988),HLOOKUP(MONTH(A199),ScalarTable,28))))</f>
        <v> </v>
      </c>
      <c r="D199" s="398" t="str">
        <f aca="false">IF(A199="N/A"," ",C199*B199)</f>
        <v> </v>
      </c>
      <c r="E199" s="396" t="str">
        <f aca="false">IF(A199="N/A"," ",IF(ISERROR(O199),E187*Pwresc,O199)*VLOOKUP(MONTH(A199),Curveadj,3))</f>
        <v> </v>
      </c>
      <c r="F199" s="398" t="str">
        <f aca="false">IF(A199="N/A"," ",E199*C199)</f>
        <v> </v>
      </c>
      <c r="G199" s="396" t="str">
        <f aca="false">IF(A199="N/A"," ",IF(ISERROR(P199),G187*Pwresc,P199)*VLOOKUP(MONTH(A199),Curveadj,3))</f>
        <v> </v>
      </c>
      <c r="H199" s="398" t="str">
        <f aca="false">IF(A199="N/A"," ",G199*C199)</f>
        <v> </v>
      </c>
      <c r="I199" s="398" t="str">
        <f aca="false">IF(A199="N/A"," ",IF(ISERROR(Q199),I187*Pwresc,Q199))</f>
        <v> </v>
      </c>
      <c r="J199" s="398"/>
      <c r="K199" s="399"/>
      <c r="L199" s="399"/>
      <c r="M199" s="404"/>
      <c r="N199" s="401" t="str">
        <f aca="false">IF(A199="N/A"," ",VLOOKUP(A199,PeakPowerCurves,(IF(BMO4=2,3,IF(BMO4=1,2,4))),FALSE()))</f>
        <v> </v>
      </c>
      <c r="O199" s="401" t="str">
        <f aca="false">IF(A199="N/A"," ",VLOOKUP(A199,SatSunPeakPwr,(IF(BMO4=2,3,IF(BMO4=1,2,4))),FALSE()))</f>
        <v> </v>
      </c>
      <c r="P199" s="401" t="str">
        <f aca="false">IF(A199="N/A"," ",VLOOKUP(A199,SatSunPeakPwr,(IF(BMO4=2,7,IF(BMO4=1,6,8))),FALSE()))</f>
        <v> </v>
      </c>
      <c r="Q199" s="402" t="str">
        <f aca="false">IF(A199="N/A"," ",(VLOOKUP(A199,OPPowerPrices,(IF(BMO4=2,7,IF(BMO4=1,6,8))),FALSE())))</f>
        <v> </v>
      </c>
      <c r="R199" s="403" t="str">
        <f aca="false">IF(A199="N/A"," ",(VLOOKUP($A199,IRTable,2)))</f>
        <v> </v>
      </c>
      <c r="AF199" s="352" t="n">
        <v>42491</v>
      </c>
      <c r="AG199" s="311" t="n">
        <v>21</v>
      </c>
      <c r="AH199" s="311" t="n">
        <v>4</v>
      </c>
      <c r="AI199" s="311" t="n">
        <v>6</v>
      </c>
      <c r="AJ199" s="311" t="n">
        <v>1</v>
      </c>
      <c r="AK199" s="311" t="n">
        <v>31</v>
      </c>
      <c r="AU199" s="406"/>
    </row>
    <row r="200" customFormat="false" ht="12.75" hidden="false" customHeight="false" outlineLevel="0" collapsed="false">
      <c r="A200" s="352" t="str">
        <f aca="false">Option4!A167</f>
        <v>N/A</v>
      </c>
      <c r="B200" s="396" t="str">
        <f aca="false">IF(A200="N/A"," ",IF(ISERROR(N200),B188*Pwresc,N200)*VLOOKUP(MONTH(A200),Curveadj,3))</f>
        <v> </v>
      </c>
      <c r="C200" s="397" t="str">
        <f aca="false">IF(A200="N/A"," ",(IF(AND(Scaler4=1,MONTH(A200)&gt;=6,MONTH(A200)&lt;=8,OR($M$37="REGION 2",$M$37="REGION 2A",$M$37="REGION 2B",$M$37="REGION 3",$M$37="REGION 3A",$M$37="REGION 3B",$M$37="REGION 3C",$M$37="REGION 4",$M$37="REGION 4B",$M$37="REGION 4C",$M$37="REGION 5",$M$37="REGION 5A")),((0.059228/(B200/100))-(0.4980013/(SQRT(B200/100)))+2.137988),HLOOKUP(MONTH(A200),ScalarTable,28))))</f>
        <v> </v>
      </c>
      <c r="D200" s="398" t="str">
        <f aca="false">IF(A200="N/A"," ",C200*B200)</f>
        <v> </v>
      </c>
      <c r="E200" s="396" t="str">
        <f aca="false">IF(A200="N/A"," ",IF(ISERROR(O200),E188*Pwresc,O200)*VLOOKUP(MONTH(A200),Curveadj,3))</f>
        <v> </v>
      </c>
      <c r="F200" s="398" t="str">
        <f aca="false">IF(A200="N/A"," ",E200*C200)</f>
        <v> </v>
      </c>
      <c r="G200" s="396" t="str">
        <f aca="false">IF(A200="N/A"," ",IF(ISERROR(P200),G188*Pwresc,P200)*VLOOKUP(MONTH(A200),Curveadj,3))</f>
        <v> </v>
      </c>
      <c r="H200" s="398" t="str">
        <f aca="false">IF(A200="N/A"," ",G200*C200)</f>
        <v> </v>
      </c>
      <c r="I200" s="398" t="str">
        <f aca="false">IF(A200="N/A"," ",IF(ISERROR(Q200),I188*Pwresc,Q200))</f>
        <v> </v>
      </c>
      <c r="J200" s="398"/>
      <c r="K200" s="399"/>
      <c r="L200" s="399"/>
      <c r="M200" s="404"/>
      <c r="N200" s="401" t="str">
        <f aca="false">IF(A200="N/A"," ",VLOOKUP(A200,PeakPowerCurves,(IF(BMO4=2,3,IF(BMO4=1,2,4))),FALSE()))</f>
        <v> </v>
      </c>
      <c r="O200" s="401" t="str">
        <f aca="false">IF(A200="N/A"," ",VLOOKUP(A200,SatSunPeakPwr,(IF(BMO4=2,3,IF(BMO4=1,2,4))),FALSE()))</f>
        <v> </v>
      </c>
      <c r="P200" s="401" t="str">
        <f aca="false">IF(A200="N/A"," ",VLOOKUP(A200,SatSunPeakPwr,(IF(BMO4=2,7,IF(BMO4=1,6,8))),FALSE()))</f>
        <v> </v>
      </c>
      <c r="Q200" s="402" t="str">
        <f aca="false">IF(A200="N/A"," ",(VLOOKUP(A200,OPPowerPrices,(IF(BMO4=2,7,IF(BMO4=1,6,8))),FALSE())))</f>
        <v> </v>
      </c>
      <c r="R200" s="403" t="str">
        <f aca="false">IF(A200="N/A"," ",(VLOOKUP($A200,IRTable,2)))</f>
        <v> </v>
      </c>
      <c r="AF200" s="352" t="n">
        <v>42522</v>
      </c>
      <c r="AG200" s="311" t="n">
        <v>22</v>
      </c>
      <c r="AH200" s="311" t="n">
        <v>4</v>
      </c>
      <c r="AI200" s="311" t="n">
        <v>4</v>
      </c>
      <c r="AJ200" s="311" t="n">
        <v>0</v>
      </c>
      <c r="AK200" s="311" t="n">
        <v>30</v>
      </c>
      <c r="AU200" s="406"/>
    </row>
    <row r="201" customFormat="false" ht="12.75" hidden="false" customHeight="false" outlineLevel="0" collapsed="false">
      <c r="A201" s="352" t="str">
        <f aca="false">Option4!A168</f>
        <v>N/A</v>
      </c>
      <c r="B201" s="396" t="str">
        <f aca="false">IF(A201="N/A"," ",IF(ISERROR(N201),B189*Pwresc,N201)*VLOOKUP(MONTH(A201),Curveadj,3))</f>
        <v> </v>
      </c>
      <c r="C201" s="397" t="str">
        <f aca="false">IF(A201="N/A"," ",(IF(AND(Scaler4=1,MONTH(A201)&gt;=6,MONTH(A201)&lt;=8,OR($M$37="REGION 2",$M$37="REGION 2A",$M$37="REGION 2B",$M$37="REGION 3",$M$37="REGION 3A",$M$37="REGION 3B",$M$37="REGION 3C",$M$37="REGION 4",$M$37="REGION 4B",$M$37="REGION 4C",$M$37="REGION 5",$M$37="REGION 5A")),((0.059228/(B201/100))-(0.4980013/(SQRT(B201/100)))+2.137988),HLOOKUP(MONTH(A201),ScalarTable,28))))</f>
        <v> </v>
      </c>
      <c r="D201" s="398" t="str">
        <f aca="false">IF(A201="N/A"," ",C201*B201)</f>
        <v> </v>
      </c>
      <c r="E201" s="396" t="str">
        <f aca="false">IF(A201="N/A"," ",IF(ISERROR(O201),E189*Pwresc,O201)*VLOOKUP(MONTH(A201),Curveadj,3))</f>
        <v> </v>
      </c>
      <c r="F201" s="398" t="str">
        <f aca="false">IF(A201="N/A"," ",E201*C201)</f>
        <v> </v>
      </c>
      <c r="G201" s="396" t="str">
        <f aca="false">IF(A201="N/A"," ",IF(ISERROR(P201),G189*Pwresc,P201)*VLOOKUP(MONTH(A201),Curveadj,3))</f>
        <v> </v>
      </c>
      <c r="H201" s="398" t="str">
        <f aca="false">IF(A201="N/A"," ",G201*C201)</f>
        <v> </v>
      </c>
      <c r="I201" s="398" t="str">
        <f aca="false">IF(A201="N/A"," ",IF(ISERROR(Q201),I189*Pwresc,Q201))</f>
        <v> </v>
      </c>
      <c r="J201" s="398"/>
      <c r="K201" s="399"/>
      <c r="L201" s="399"/>
      <c r="M201" s="404"/>
      <c r="N201" s="401" t="str">
        <f aca="false">IF(A201="N/A"," ",VLOOKUP(A201,PeakPowerCurves,(IF(BMO4=2,3,IF(BMO4=1,2,4))),FALSE()))</f>
        <v> </v>
      </c>
      <c r="O201" s="401" t="str">
        <f aca="false">IF(A201="N/A"," ",VLOOKUP(A201,SatSunPeakPwr,(IF(BMO4=2,3,IF(BMO4=1,2,4))),FALSE()))</f>
        <v> </v>
      </c>
      <c r="P201" s="401" t="str">
        <f aca="false">IF(A201="N/A"," ",VLOOKUP(A201,SatSunPeakPwr,(IF(BMO4=2,7,IF(BMO4=1,6,8))),FALSE()))</f>
        <v> </v>
      </c>
      <c r="Q201" s="402" t="str">
        <f aca="false">IF(A201="N/A"," ",(VLOOKUP(A201,OPPowerPrices,(IF(BMO4=2,7,IF(BMO4=1,6,8))),FALSE())))</f>
        <v> </v>
      </c>
      <c r="R201" s="403" t="str">
        <f aca="false">IF(A201="N/A"," ",(VLOOKUP($A201,IRTable,2)))</f>
        <v> </v>
      </c>
      <c r="AF201" s="352" t="n">
        <v>42552</v>
      </c>
      <c r="AG201" s="311" t="n">
        <v>20</v>
      </c>
      <c r="AH201" s="311" t="n">
        <v>5</v>
      </c>
      <c r="AI201" s="311" t="n">
        <v>6</v>
      </c>
      <c r="AJ201" s="311" t="n">
        <v>1</v>
      </c>
      <c r="AK201" s="311" t="n">
        <v>31</v>
      </c>
      <c r="AU201" s="406"/>
    </row>
    <row r="202" customFormat="false" ht="12.75" hidden="false" customHeight="false" outlineLevel="0" collapsed="false">
      <c r="A202" s="352" t="str">
        <f aca="false">Option4!A169</f>
        <v>N/A</v>
      </c>
      <c r="B202" s="396" t="str">
        <f aca="false">IF(A202="N/A"," ",IF(ISERROR(N202),B190*Pwresc,N202)*VLOOKUP(MONTH(A202),Curveadj,3))</f>
        <v> </v>
      </c>
      <c r="C202" s="397" t="str">
        <f aca="false">IF(A202="N/A"," ",(IF(AND(Scaler4=1,MONTH(A202)&gt;=6,MONTH(A202)&lt;=8,OR($M$37="REGION 2",$M$37="REGION 2A",$M$37="REGION 2B",$M$37="REGION 3",$M$37="REGION 3A",$M$37="REGION 3B",$M$37="REGION 3C",$M$37="REGION 4",$M$37="REGION 4B",$M$37="REGION 4C",$M$37="REGION 5",$M$37="REGION 5A")),((0.059228/(B202/100))-(0.4980013/(SQRT(B202/100)))+2.137988),HLOOKUP(MONTH(A202),ScalarTable,28))))</f>
        <v> </v>
      </c>
      <c r="D202" s="398" t="str">
        <f aca="false">IF(A202="N/A"," ",C202*B202)</f>
        <v> </v>
      </c>
      <c r="E202" s="396" t="str">
        <f aca="false">IF(A202="N/A"," ",IF(ISERROR(O202),E190*Pwresc,O202)*VLOOKUP(MONTH(A202),Curveadj,3))</f>
        <v> </v>
      </c>
      <c r="F202" s="398" t="str">
        <f aca="false">IF(A202="N/A"," ",E202*C202)</f>
        <v> </v>
      </c>
      <c r="G202" s="396" t="str">
        <f aca="false">IF(A202="N/A"," ",IF(ISERROR(P202),G190*Pwresc,P202)*VLOOKUP(MONTH(A202),Curveadj,3))</f>
        <v> </v>
      </c>
      <c r="H202" s="398" t="str">
        <f aca="false">IF(A202="N/A"," ",G202*C202)</f>
        <v> </v>
      </c>
      <c r="I202" s="398" t="str">
        <f aca="false">IF(A202="N/A"," ",IF(ISERROR(Q202),I190*Pwresc,Q202))</f>
        <v> </v>
      </c>
      <c r="J202" s="398"/>
      <c r="K202" s="399"/>
      <c r="L202" s="399"/>
      <c r="M202" s="404"/>
      <c r="N202" s="401" t="str">
        <f aca="false">IF(A202="N/A"," ",VLOOKUP(A202,PeakPowerCurves,(IF(BMO4=2,3,IF(BMO4=1,2,4))),FALSE()))</f>
        <v> </v>
      </c>
      <c r="O202" s="401" t="str">
        <f aca="false">IF(A202="N/A"," ",VLOOKUP(A202,SatSunPeakPwr,(IF(BMO4=2,3,IF(BMO4=1,2,4))),FALSE()))</f>
        <v> </v>
      </c>
      <c r="P202" s="401" t="str">
        <f aca="false">IF(A202="N/A"," ",VLOOKUP(A202,SatSunPeakPwr,(IF(BMO4=2,7,IF(BMO4=1,6,8))),FALSE()))</f>
        <v> </v>
      </c>
      <c r="Q202" s="402" t="str">
        <f aca="false">IF(A202="N/A"," ",(VLOOKUP(A202,OPPowerPrices,(IF(BMO4=2,7,IF(BMO4=1,6,8))),FALSE())))</f>
        <v> </v>
      </c>
      <c r="R202" s="403" t="str">
        <f aca="false">IF(A202="N/A"," ",(VLOOKUP($A202,IRTable,2)))</f>
        <v> </v>
      </c>
      <c r="AF202" s="352" t="n">
        <v>42583</v>
      </c>
      <c r="AG202" s="311" t="n">
        <v>23</v>
      </c>
      <c r="AH202" s="311" t="n">
        <v>4</v>
      </c>
      <c r="AI202" s="311" t="n">
        <v>4</v>
      </c>
      <c r="AJ202" s="311" t="n">
        <v>0</v>
      </c>
      <c r="AK202" s="311" t="n">
        <v>31</v>
      </c>
      <c r="AU202" s="406"/>
    </row>
    <row r="203" customFormat="false" ht="12.75" hidden="false" customHeight="false" outlineLevel="0" collapsed="false">
      <c r="A203" s="352" t="str">
        <f aca="false">Option4!A170</f>
        <v>N/A</v>
      </c>
      <c r="B203" s="396" t="str">
        <f aca="false">IF(A203="N/A"," ",IF(ISERROR(N203),B191*Pwresc,N203)*VLOOKUP(MONTH(A203),Curveadj,3))</f>
        <v> </v>
      </c>
      <c r="C203" s="397" t="str">
        <f aca="false">IF(A203="N/A"," ",(IF(AND(Scaler4=1,MONTH(A203)&gt;=6,MONTH(A203)&lt;=8,OR($M$37="REGION 2",$M$37="REGION 2A",$M$37="REGION 2B",$M$37="REGION 3",$M$37="REGION 3A",$M$37="REGION 3B",$M$37="REGION 3C",$M$37="REGION 4",$M$37="REGION 4B",$M$37="REGION 4C",$M$37="REGION 5",$M$37="REGION 5A")),((0.059228/(B203/100))-(0.4980013/(SQRT(B203/100)))+2.137988),HLOOKUP(MONTH(A203),ScalarTable,28))))</f>
        <v> </v>
      </c>
      <c r="D203" s="398" t="str">
        <f aca="false">IF(A203="N/A"," ",C203*B203)</f>
        <v> </v>
      </c>
      <c r="E203" s="396" t="str">
        <f aca="false">IF(A203="N/A"," ",IF(ISERROR(O203),E191*Pwresc,O203)*VLOOKUP(MONTH(A203),Curveadj,3))</f>
        <v> </v>
      </c>
      <c r="F203" s="398" t="str">
        <f aca="false">IF(A203="N/A"," ",E203*C203)</f>
        <v> </v>
      </c>
      <c r="G203" s="396" t="str">
        <f aca="false">IF(A203="N/A"," ",IF(ISERROR(P203),G191*Pwresc,P203)*VLOOKUP(MONTH(A203),Curveadj,3))</f>
        <v> </v>
      </c>
      <c r="H203" s="398" t="str">
        <f aca="false">IF(A203="N/A"," ",G203*C203)</f>
        <v> </v>
      </c>
      <c r="I203" s="398" t="str">
        <f aca="false">IF(A203="N/A"," ",IF(ISERROR(Q203),I191*Pwresc,Q203))</f>
        <v> </v>
      </c>
      <c r="J203" s="398"/>
      <c r="K203" s="399"/>
      <c r="L203" s="399"/>
      <c r="M203" s="404"/>
      <c r="N203" s="401" t="str">
        <f aca="false">IF(A203="N/A"," ",VLOOKUP(A203,PeakPowerCurves,(IF(BMO4=2,3,IF(BMO4=1,2,4))),FALSE()))</f>
        <v> </v>
      </c>
      <c r="O203" s="401" t="str">
        <f aca="false">IF(A203="N/A"," ",VLOOKUP(A203,SatSunPeakPwr,(IF(BMO4=2,3,IF(BMO4=1,2,4))),FALSE()))</f>
        <v> </v>
      </c>
      <c r="P203" s="401" t="str">
        <f aca="false">IF(A203="N/A"," ",VLOOKUP(A203,SatSunPeakPwr,(IF(BMO4=2,7,IF(BMO4=1,6,8))),FALSE()))</f>
        <v> </v>
      </c>
      <c r="Q203" s="402" t="str">
        <f aca="false">IF(A203="N/A"," ",(VLOOKUP(A203,OPPowerPrices,(IF(BMO4=2,7,IF(BMO4=1,6,8))),FALSE())))</f>
        <v> </v>
      </c>
      <c r="R203" s="403" t="str">
        <f aca="false">IF(A203="N/A"," ",(VLOOKUP($A203,IRTable,2)))</f>
        <v> </v>
      </c>
      <c r="AF203" s="352" t="n">
        <v>42614</v>
      </c>
      <c r="AG203" s="311" t="n">
        <v>21</v>
      </c>
      <c r="AH203" s="311" t="n">
        <v>4</v>
      </c>
      <c r="AI203" s="311" t="n">
        <v>5</v>
      </c>
      <c r="AJ203" s="311" t="n">
        <v>1</v>
      </c>
      <c r="AK203" s="311" t="n">
        <v>30</v>
      </c>
      <c r="AU203" s="406"/>
    </row>
    <row r="204" customFormat="false" ht="12.75" hidden="false" customHeight="false" outlineLevel="0" collapsed="false">
      <c r="A204" s="352" t="str">
        <f aca="false">Option4!A171</f>
        <v>N/A</v>
      </c>
      <c r="B204" s="396" t="str">
        <f aca="false">IF(A204="N/A"," ",IF(ISERROR(N204),B192*Pwresc,N204)*VLOOKUP(MONTH(A204),Curveadj,3))</f>
        <v> </v>
      </c>
      <c r="C204" s="397" t="str">
        <f aca="false">IF(A204="N/A"," ",(IF(AND(Scaler4=1,MONTH(A204)&gt;=6,MONTH(A204)&lt;=8,OR($M$37="REGION 2",$M$37="REGION 2A",$M$37="REGION 2B",$M$37="REGION 3",$M$37="REGION 3A",$M$37="REGION 3B",$M$37="REGION 3C",$M$37="REGION 4",$M$37="REGION 4B",$M$37="REGION 4C",$M$37="REGION 5",$M$37="REGION 5A")),((0.059228/(B204/100))-(0.4980013/(SQRT(B204/100)))+2.137988),HLOOKUP(MONTH(A204),ScalarTable,28))))</f>
        <v> </v>
      </c>
      <c r="D204" s="398" t="str">
        <f aca="false">IF(A204="N/A"," ",C204*B204)</f>
        <v> </v>
      </c>
      <c r="E204" s="396" t="str">
        <f aca="false">IF(A204="N/A"," ",IF(ISERROR(O204),E192*Pwresc,O204)*VLOOKUP(MONTH(A204),Curveadj,3))</f>
        <v> </v>
      </c>
      <c r="F204" s="398" t="str">
        <f aca="false">IF(A204="N/A"," ",E204*C204)</f>
        <v> </v>
      </c>
      <c r="G204" s="396" t="str">
        <f aca="false">IF(A204="N/A"," ",IF(ISERROR(P204),G192*Pwresc,P204)*VLOOKUP(MONTH(A204),Curveadj,3))</f>
        <v> </v>
      </c>
      <c r="H204" s="398" t="str">
        <f aca="false">IF(A204="N/A"," ",G204*C204)</f>
        <v> </v>
      </c>
      <c r="I204" s="398" t="str">
        <f aca="false">IF(A204="N/A"," ",IF(ISERROR(Q204),I192*Pwresc,Q204))</f>
        <v> </v>
      </c>
      <c r="J204" s="398"/>
      <c r="K204" s="399"/>
      <c r="L204" s="399"/>
      <c r="M204" s="404"/>
      <c r="N204" s="401" t="str">
        <f aca="false">IF(A204="N/A"," ",VLOOKUP(A204,PeakPowerCurves,(IF(BMO4=2,3,IF(BMO4=1,2,4))),FALSE()))</f>
        <v> </v>
      </c>
      <c r="O204" s="401" t="str">
        <f aca="false">IF(A204="N/A"," ",VLOOKUP(A204,SatSunPeakPwr,(IF(BMO4=2,3,IF(BMO4=1,2,4))),FALSE()))</f>
        <v> </v>
      </c>
      <c r="P204" s="401" t="str">
        <f aca="false">IF(A204="N/A"," ",VLOOKUP(A204,SatSunPeakPwr,(IF(BMO4=2,7,IF(BMO4=1,6,8))),FALSE()))</f>
        <v> </v>
      </c>
      <c r="Q204" s="402" t="str">
        <f aca="false">IF(A204="N/A"," ",(VLOOKUP(A204,OPPowerPrices,(IF(BMO4=2,7,IF(BMO4=1,6,8))),FALSE())))</f>
        <v> </v>
      </c>
      <c r="R204" s="403" t="str">
        <f aca="false">IF(A204="N/A"," ",(VLOOKUP($A204,IRTable,2)))</f>
        <v> </v>
      </c>
      <c r="AF204" s="352" t="n">
        <v>42644</v>
      </c>
      <c r="AG204" s="311" t="n">
        <v>21</v>
      </c>
      <c r="AH204" s="311" t="n">
        <v>5</v>
      </c>
      <c r="AI204" s="311" t="n">
        <v>5</v>
      </c>
      <c r="AJ204" s="311" t="n">
        <v>0</v>
      </c>
      <c r="AK204" s="311" t="n">
        <v>31</v>
      </c>
      <c r="AU204" s="406"/>
    </row>
    <row r="205" customFormat="false" ht="12.75" hidden="false" customHeight="false" outlineLevel="0" collapsed="false">
      <c r="A205" s="352" t="str">
        <f aca="false">Option4!A172</f>
        <v>N/A</v>
      </c>
      <c r="B205" s="396" t="str">
        <f aca="false">IF(A205="N/A"," ",IF(ISERROR(N205),B193*Pwresc,N205)*VLOOKUP(MONTH(A205),Curveadj,3))</f>
        <v> </v>
      </c>
      <c r="C205" s="397" t="str">
        <f aca="false">IF(A205="N/A"," ",(IF(AND(Scaler4=1,MONTH(A205)&gt;=6,MONTH(A205)&lt;=8,OR($M$37="REGION 2",$M$37="REGION 2A",$M$37="REGION 2B",$M$37="REGION 3",$M$37="REGION 3A",$M$37="REGION 3B",$M$37="REGION 3C",$M$37="REGION 4",$M$37="REGION 4B",$M$37="REGION 4C",$M$37="REGION 5",$M$37="REGION 5A")),((0.059228/(B205/100))-(0.4980013/(SQRT(B205/100)))+2.137988),HLOOKUP(MONTH(A205),ScalarTable,28))))</f>
        <v> </v>
      </c>
      <c r="D205" s="398" t="str">
        <f aca="false">IF(A205="N/A"," ",C205*B205)</f>
        <v> </v>
      </c>
      <c r="E205" s="396" t="str">
        <f aca="false">IF(A205="N/A"," ",IF(ISERROR(O205),E193*Pwresc,O205)*VLOOKUP(MONTH(A205),Curveadj,3))</f>
        <v> </v>
      </c>
      <c r="F205" s="398" t="str">
        <f aca="false">IF(A205="N/A"," ",E205*C205)</f>
        <v> </v>
      </c>
      <c r="G205" s="396" t="str">
        <f aca="false">IF(A205="N/A"," ",IF(ISERROR(P205),G193*Pwresc,P205)*VLOOKUP(MONTH(A205),Curveadj,3))</f>
        <v> </v>
      </c>
      <c r="H205" s="398" t="str">
        <f aca="false">IF(A205="N/A"," ",G205*C205)</f>
        <v> </v>
      </c>
      <c r="I205" s="398" t="str">
        <f aca="false">IF(A205="N/A"," ",IF(ISERROR(Q205),I193*Pwresc,Q205))</f>
        <v> </v>
      </c>
      <c r="J205" s="398"/>
      <c r="K205" s="399"/>
      <c r="L205" s="399"/>
      <c r="M205" s="404"/>
      <c r="N205" s="401" t="str">
        <f aca="false">IF(A205="N/A"," ",VLOOKUP(A205,PeakPowerCurves,(IF(BMO4=2,3,IF(BMO4=1,2,4))),FALSE()))</f>
        <v> </v>
      </c>
      <c r="O205" s="401" t="str">
        <f aca="false">IF(A205="N/A"," ",VLOOKUP(A205,SatSunPeakPwr,(IF(BMO4=2,3,IF(BMO4=1,2,4))),FALSE()))</f>
        <v> </v>
      </c>
      <c r="P205" s="401" t="str">
        <f aca="false">IF(A205="N/A"," ",VLOOKUP(A205,SatSunPeakPwr,(IF(BMO4=2,7,IF(BMO4=1,6,8))),FALSE()))</f>
        <v> </v>
      </c>
      <c r="Q205" s="402" t="str">
        <f aca="false">IF(A205="N/A"," ",(VLOOKUP(A205,OPPowerPrices,(IF(BMO4=2,7,IF(BMO4=1,6,8))),FALSE())))</f>
        <v> </v>
      </c>
      <c r="R205" s="403" t="str">
        <f aca="false">IF(A205="N/A"," ",(VLOOKUP($A205,IRTable,2)))</f>
        <v> </v>
      </c>
      <c r="AF205" s="352" t="n">
        <v>42675</v>
      </c>
      <c r="AG205" s="311" t="n">
        <v>21</v>
      </c>
      <c r="AH205" s="311" t="n">
        <v>4</v>
      </c>
      <c r="AI205" s="311" t="n">
        <v>5</v>
      </c>
      <c r="AJ205" s="311" t="n">
        <v>1</v>
      </c>
      <c r="AK205" s="311" t="n">
        <v>30</v>
      </c>
      <c r="AU205" s="406"/>
    </row>
    <row r="206" customFormat="false" ht="12.75" hidden="false" customHeight="false" outlineLevel="0" collapsed="false">
      <c r="A206" s="352" t="str">
        <f aca="false">Option4!A173</f>
        <v>N/A</v>
      </c>
      <c r="B206" s="396" t="str">
        <f aca="false">IF(A206="N/A"," ",IF(ISERROR(N206),B194*Pwresc,N206)*VLOOKUP(MONTH(A206),Curveadj,3))</f>
        <v> </v>
      </c>
      <c r="C206" s="397" t="str">
        <f aca="false">IF(A206="N/A"," ",(IF(AND(Scaler4=1,MONTH(A206)&gt;=6,MONTH(A206)&lt;=8,OR($M$37="REGION 2",$M$37="REGION 2A",$M$37="REGION 2B",$M$37="REGION 3",$M$37="REGION 3A",$M$37="REGION 3B",$M$37="REGION 3C",$M$37="REGION 4",$M$37="REGION 4B",$M$37="REGION 4C",$M$37="REGION 5",$M$37="REGION 5A")),((0.059228/(B206/100))-(0.4980013/(SQRT(B206/100)))+2.137988),HLOOKUP(MONTH(A206),ScalarTable,28))))</f>
        <v> </v>
      </c>
      <c r="D206" s="398" t="str">
        <f aca="false">IF(A206="N/A"," ",C206*B206)</f>
        <v> </v>
      </c>
      <c r="E206" s="396" t="str">
        <f aca="false">IF(A206="N/A"," ",IF(ISERROR(O206),E194*Pwresc,O206)*VLOOKUP(MONTH(A206),Curveadj,3))</f>
        <v> </v>
      </c>
      <c r="F206" s="398" t="str">
        <f aca="false">IF(A206="N/A"," ",E206*C206)</f>
        <v> </v>
      </c>
      <c r="G206" s="396" t="str">
        <f aca="false">IF(A206="N/A"," ",IF(ISERROR(P206),G194*Pwresc,P206)*VLOOKUP(MONTH(A206),Curveadj,3))</f>
        <v> </v>
      </c>
      <c r="H206" s="398" t="str">
        <f aca="false">IF(A206="N/A"," ",G206*C206)</f>
        <v> </v>
      </c>
      <c r="I206" s="398" t="str">
        <f aca="false">IF(A206="N/A"," ",IF(ISERROR(Q206),I194*Pwresc,Q206))</f>
        <v> </v>
      </c>
      <c r="J206" s="398"/>
      <c r="K206" s="399"/>
      <c r="L206" s="399"/>
      <c r="M206" s="404"/>
      <c r="N206" s="401" t="str">
        <f aca="false">IF(A206="N/A"," ",VLOOKUP(A206,PeakPowerCurves,(IF(BMO4=2,3,IF(BMO4=1,2,4))),FALSE()))</f>
        <v> </v>
      </c>
      <c r="O206" s="401" t="str">
        <f aca="false">IF(A206="N/A"," ",VLOOKUP(A206,SatSunPeakPwr,(IF(BMO4=2,3,IF(BMO4=1,2,4))),FALSE()))</f>
        <v> </v>
      </c>
      <c r="P206" s="401" t="str">
        <f aca="false">IF(A206="N/A"," ",VLOOKUP(A206,SatSunPeakPwr,(IF(BMO4=2,7,IF(BMO4=1,6,8))),FALSE()))</f>
        <v> </v>
      </c>
      <c r="Q206" s="402" t="str">
        <f aca="false">IF(A206="N/A"," ",(VLOOKUP(A206,OPPowerPrices,(IF(BMO4=2,7,IF(BMO4=1,6,8))),FALSE())))</f>
        <v> </v>
      </c>
      <c r="R206" s="403" t="str">
        <f aca="false">IF(A206="N/A"," ",(VLOOKUP($A206,IRTable,2)))</f>
        <v> </v>
      </c>
      <c r="AF206" s="352" t="n">
        <v>42705</v>
      </c>
      <c r="AG206" s="311" t="n">
        <v>21</v>
      </c>
      <c r="AH206" s="311" t="n">
        <v>5</v>
      </c>
      <c r="AI206" s="311" t="n">
        <v>5</v>
      </c>
      <c r="AJ206" s="311" t="n">
        <v>1</v>
      </c>
      <c r="AK206" s="311" t="n">
        <v>31</v>
      </c>
      <c r="AU206" s="406"/>
    </row>
    <row r="207" customFormat="false" ht="12.75" hidden="false" customHeight="false" outlineLevel="0" collapsed="false">
      <c r="A207" s="352" t="str">
        <f aca="false">Option4!A174</f>
        <v>N/A</v>
      </c>
      <c r="B207" s="396" t="str">
        <f aca="false">IF(A207="N/A"," ",IF(ISERROR(N207),B195*Pwresc,N207)*VLOOKUP(MONTH(A207),Curveadj,3))</f>
        <v> </v>
      </c>
      <c r="C207" s="397" t="str">
        <f aca="false">IF(A207="N/A"," ",(IF(AND(Scaler4=1,MONTH(A207)&gt;=6,MONTH(A207)&lt;=8,OR($M$37="REGION 2",$M$37="REGION 2A",$M$37="REGION 2B",$M$37="REGION 3",$M$37="REGION 3A",$M$37="REGION 3B",$M$37="REGION 3C",$M$37="REGION 4",$M$37="REGION 4B",$M$37="REGION 4C",$M$37="REGION 5",$M$37="REGION 5A")),((0.059228/(B207/100))-(0.4980013/(SQRT(B207/100)))+2.137988),HLOOKUP(MONTH(A207),ScalarTable,28))))</f>
        <v> </v>
      </c>
      <c r="D207" s="398" t="str">
        <f aca="false">IF(A207="N/A"," ",C207*B207)</f>
        <v> </v>
      </c>
      <c r="E207" s="396" t="str">
        <f aca="false">IF(A207="N/A"," ",IF(ISERROR(O207),E195*Pwresc,O207)*VLOOKUP(MONTH(A207),Curveadj,3))</f>
        <v> </v>
      </c>
      <c r="F207" s="398" t="str">
        <f aca="false">IF(A207="N/A"," ",E207*C207)</f>
        <v> </v>
      </c>
      <c r="G207" s="396" t="str">
        <f aca="false">IF(A207="N/A"," ",IF(ISERROR(P207),G195*Pwresc,P207)*VLOOKUP(MONTH(A207),Curveadj,3))</f>
        <v> </v>
      </c>
      <c r="H207" s="398" t="str">
        <f aca="false">IF(A207="N/A"," ",G207*C207)</f>
        <v> </v>
      </c>
      <c r="I207" s="398" t="str">
        <f aca="false">IF(A207="N/A"," ",IF(ISERROR(Q207),I195*Pwresc,Q207))</f>
        <v> </v>
      </c>
      <c r="J207" s="398"/>
      <c r="K207" s="399"/>
      <c r="L207" s="399"/>
      <c r="M207" s="404"/>
      <c r="N207" s="401" t="str">
        <f aca="false">IF(A207="N/A"," ",VLOOKUP(A207,PeakPowerCurves,(IF(BMO4=2,3,IF(BMO4=1,2,4))),FALSE()))</f>
        <v> </v>
      </c>
      <c r="O207" s="401" t="str">
        <f aca="false">IF(A207="N/A"," ",VLOOKUP(A207,SatSunPeakPwr,(IF(BMO4=2,3,IF(BMO4=1,2,4))),FALSE()))</f>
        <v> </v>
      </c>
      <c r="P207" s="401" t="str">
        <f aca="false">IF(A207="N/A"," ",VLOOKUP(A207,SatSunPeakPwr,(IF(BMO4=2,7,IF(BMO4=1,6,8))),FALSE()))</f>
        <v> </v>
      </c>
      <c r="Q207" s="402" t="str">
        <f aca="false">IF(A207="N/A"," ",(VLOOKUP(A207,OPPowerPrices,(IF(BMO4=2,7,IF(BMO4=1,6,8))),FALSE())))</f>
        <v> </v>
      </c>
      <c r="R207" s="403" t="str">
        <f aca="false">IF(A207="N/A"," ",(VLOOKUP($A207,IRTable,2)))</f>
        <v> </v>
      </c>
      <c r="AF207" s="352" t="n">
        <v>42736</v>
      </c>
      <c r="AG207" s="311" t="n">
        <v>21</v>
      </c>
      <c r="AH207" s="311" t="n">
        <v>4</v>
      </c>
      <c r="AI207" s="311" t="n">
        <v>6</v>
      </c>
      <c r="AJ207" s="311" t="n">
        <v>1</v>
      </c>
      <c r="AK207" s="311" t="n">
        <v>31</v>
      </c>
      <c r="AU207" s="406"/>
    </row>
    <row r="208" customFormat="false" ht="12.75" hidden="false" customHeight="false" outlineLevel="0" collapsed="false">
      <c r="A208" s="352" t="str">
        <f aca="false">Option4!A175</f>
        <v>N/A</v>
      </c>
      <c r="B208" s="396" t="str">
        <f aca="false">IF(A208="N/A"," ",IF(ISERROR(N208),B196*Pwresc,N208)*VLOOKUP(MONTH(A208),Curveadj,3))</f>
        <v> </v>
      </c>
      <c r="C208" s="397" t="str">
        <f aca="false">IF(A208="N/A"," ",(IF(AND(Scaler4=1,MONTH(A208)&gt;=6,MONTH(A208)&lt;=8,OR($M$37="REGION 2",$M$37="REGION 2A",$M$37="REGION 2B",$M$37="REGION 3",$M$37="REGION 3A",$M$37="REGION 3B",$M$37="REGION 3C",$M$37="REGION 4",$M$37="REGION 4B",$M$37="REGION 4C",$M$37="REGION 5",$M$37="REGION 5A")),((0.059228/(B208/100))-(0.4980013/(SQRT(B208/100)))+2.137988),HLOOKUP(MONTH(A208),ScalarTable,28))))</f>
        <v> </v>
      </c>
      <c r="D208" s="398" t="str">
        <f aca="false">IF(A208="N/A"," ",C208*B208)</f>
        <v> </v>
      </c>
      <c r="E208" s="396" t="str">
        <f aca="false">IF(A208="N/A"," ",IF(ISERROR(O208),E196*Pwresc,O208)*VLOOKUP(MONTH(A208),Curveadj,3))</f>
        <v> </v>
      </c>
      <c r="F208" s="398" t="str">
        <f aca="false">IF(A208="N/A"," ",E208*C208)</f>
        <v> </v>
      </c>
      <c r="G208" s="396" t="str">
        <f aca="false">IF(A208="N/A"," ",IF(ISERROR(P208),G196*Pwresc,P208)*VLOOKUP(MONTH(A208),Curveadj,3))</f>
        <v> </v>
      </c>
      <c r="H208" s="398" t="str">
        <f aca="false">IF(A208="N/A"," ",G208*C208)</f>
        <v> </v>
      </c>
      <c r="I208" s="398" t="str">
        <f aca="false">IF(A208="N/A"," ",IF(ISERROR(Q208),I196*Pwresc,Q208))</f>
        <v> </v>
      </c>
      <c r="J208" s="398"/>
      <c r="K208" s="399"/>
      <c r="L208" s="399"/>
      <c r="M208" s="404"/>
      <c r="N208" s="401" t="str">
        <f aca="false">IF(A208="N/A"," ",VLOOKUP(A208,PeakPowerCurves,(IF(BMO4=2,3,IF(BMO4=1,2,4))),FALSE()))</f>
        <v> </v>
      </c>
      <c r="O208" s="401" t="str">
        <f aca="false">IF(A208="N/A"," ",VLOOKUP(A208,SatSunPeakPwr,(IF(BMO4=2,3,IF(BMO4=1,2,4))),FALSE()))</f>
        <v> </v>
      </c>
      <c r="P208" s="401" t="str">
        <f aca="false">IF(A208="N/A"," ",VLOOKUP(A208,SatSunPeakPwr,(IF(BMO4=2,7,IF(BMO4=1,6,8))),FALSE()))</f>
        <v> </v>
      </c>
      <c r="Q208" s="402" t="str">
        <f aca="false">IF(A208="N/A"," ",(VLOOKUP(A208,OPPowerPrices,(IF(BMO4=2,7,IF(BMO4=1,6,8))),FALSE())))</f>
        <v> </v>
      </c>
      <c r="R208" s="403" t="str">
        <f aca="false">IF(A208="N/A"," ",(VLOOKUP($A208,IRTable,2)))</f>
        <v> </v>
      </c>
      <c r="AF208" s="352" t="n">
        <v>42767</v>
      </c>
      <c r="AG208" s="311" t="n">
        <v>20</v>
      </c>
      <c r="AH208" s="311" t="n">
        <v>4</v>
      </c>
      <c r="AI208" s="311" t="n">
        <v>4</v>
      </c>
      <c r="AJ208" s="311" t="n">
        <v>0</v>
      </c>
      <c r="AK208" s="311" t="n">
        <v>28</v>
      </c>
      <c r="AU208" s="406"/>
    </row>
    <row r="209" customFormat="false" ht="12.75" hidden="false" customHeight="false" outlineLevel="0" collapsed="false">
      <c r="A209" s="352" t="str">
        <f aca="false">Option4!A176</f>
        <v>N/A</v>
      </c>
      <c r="B209" s="396" t="str">
        <f aca="false">IF(A209="N/A"," ",IF(ISERROR(N209),B197*Pwresc,N209)*VLOOKUP(MONTH(A209),Curveadj,3))</f>
        <v> </v>
      </c>
      <c r="C209" s="397" t="str">
        <f aca="false">IF(A209="N/A"," ",(IF(AND(Scaler4=1,MONTH(A209)&gt;=6,MONTH(A209)&lt;=8,OR($M$37="REGION 2",$M$37="REGION 2A",$M$37="REGION 2B",$M$37="REGION 3",$M$37="REGION 3A",$M$37="REGION 3B",$M$37="REGION 3C",$M$37="REGION 4",$M$37="REGION 4B",$M$37="REGION 4C",$M$37="REGION 5",$M$37="REGION 5A")),((0.059228/(B209/100))-(0.4980013/(SQRT(B209/100)))+2.137988),HLOOKUP(MONTH(A209),ScalarTable,28))))</f>
        <v> </v>
      </c>
      <c r="D209" s="398" t="str">
        <f aca="false">IF(A209="N/A"," ",C209*B209)</f>
        <v> </v>
      </c>
      <c r="E209" s="396" t="str">
        <f aca="false">IF(A209="N/A"," ",IF(ISERROR(O209),E197*Pwresc,O209)*VLOOKUP(MONTH(A209),Curveadj,3))</f>
        <v> </v>
      </c>
      <c r="F209" s="398" t="str">
        <f aca="false">IF(A209="N/A"," ",E209*C209)</f>
        <v> </v>
      </c>
      <c r="G209" s="396" t="str">
        <f aca="false">IF(A209="N/A"," ",IF(ISERROR(P209),G197*Pwresc,P209)*VLOOKUP(MONTH(A209),Curveadj,3))</f>
        <v> </v>
      </c>
      <c r="H209" s="398" t="str">
        <f aca="false">IF(A209="N/A"," ",G209*C209)</f>
        <v> </v>
      </c>
      <c r="I209" s="398" t="str">
        <f aca="false">IF(A209="N/A"," ",IF(ISERROR(Q209),I197*Pwresc,Q209))</f>
        <v> </v>
      </c>
      <c r="J209" s="398"/>
      <c r="K209" s="399"/>
      <c r="L209" s="399"/>
      <c r="M209" s="404"/>
      <c r="N209" s="401" t="str">
        <f aca="false">IF(A209="N/A"," ",VLOOKUP(A209,PeakPowerCurves,(IF(BMO4=2,3,IF(BMO4=1,2,4))),FALSE()))</f>
        <v> </v>
      </c>
      <c r="O209" s="401" t="str">
        <f aca="false">IF(A209="N/A"," ",VLOOKUP(A209,SatSunPeakPwr,(IF(BMO4=2,3,IF(BMO4=1,2,4))),FALSE()))</f>
        <v> </v>
      </c>
      <c r="P209" s="401" t="str">
        <f aca="false">IF(A209="N/A"," ",VLOOKUP(A209,SatSunPeakPwr,(IF(BMO4=2,7,IF(BMO4=1,6,8))),FALSE()))</f>
        <v> </v>
      </c>
      <c r="Q209" s="402" t="str">
        <f aca="false">IF(A209="N/A"," ",(VLOOKUP(A209,OPPowerPrices,(IF(BMO4=2,7,IF(BMO4=1,6,8))),FALSE())))</f>
        <v> </v>
      </c>
      <c r="R209" s="403" t="str">
        <f aca="false">IF(A209="N/A"," ",(VLOOKUP($A209,IRTable,2)))</f>
        <v> </v>
      </c>
      <c r="AF209" s="352" t="n">
        <v>42795</v>
      </c>
      <c r="AG209" s="311" t="n">
        <v>23</v>
      </c>
      <c r="AH209" s="311" t="n">
        <v>4</v>
      </c>
      <c r="AI209" s="311" t="n">
        <v>4</v>
      </c>
      <c r="AJ209" s="311" t="n">
        <v>0</v>
      </c>
      <c r="AK209" s="311" t="n">
        <v>31</v>
      </c>
      <c r="AU209" s="406"/>
    </row>
    <row r="210" customFormat="false" ht="12.75" hidden="false" customHeight="false" outlineLevel="0" collapsed="false">
      <c r="A210" s="352" t="str">
        <f aca="false">Option4!A177</f>
        <v>N/A</v>
      </c>
      <c r="B210" s="396" t="str">
        <f aca="false">IF(A210="N/A"," ",IF(ISERROR(N210),B198*Pwresc,N210)*VLOOKUP(MONTH(A210),Curveadj,3))</f>
        <v> </v>
      </c>
      <c r="C210" s="397" t="str">
        <f aca="false">IF(A210="N/A"," ",(IF(AND(Scaler4=1,MONTH(A210)&gt;=6,MONTH(A210)&lt;=8,OR($M$37="REGION 2",$M$37="REGION 2A",$M$37="REGION 2B",$M$37="REGION 3",$M$37="REGION 3A",$M$37="REGION 3B",$M$37="REGION 3C",$M$37="REGION 4",$M$37="REGION 4B",$M$37="REGION 4C",$M$37="REGION 5",$M$37="REGION 5A")),((0.059228/(B210/100))-(0.4980013/(SQRT(B210/100)))+2.137988),HLOOKUP(MONTH(A210),ScalarTable,28))))</f>
        <v> </v>
      </c>
      <c r="D210" s="398" t="str">
        <f aca="false">IF(A210="N/A"," ",C210*B210)</f>
        <v> </v>
      </c>
      <c r="E210" s="396" t="str">
        <f aca="false">IF(A210="N/A"," ",IF(ISERROR(O210),E198*Pwresc,O210)*VLOOKUP(MONTH(A210),Curveadj,3))</f>
        <v> </v>
      </c>
      <c r="F210" s="398" t="str">
        <f aca="false">IF(A210="N/A"," ",E210*C210)</f>
        <v> </v>
      </c>
      <c r="G210" s="396" t="str">
        <f aca="false">IF(A210="N/A"," ",IF(ISERROR(P210),G198*Pwresc,P210)*VLOOKUP(MONTH(A210),Curveadj,3))</f>
        <v> </v>
      </c>
      <c r="H210" s="398" t="str">
        <f aca="false">IF(A210="N/A"," ",G210*C210)</f>
        <v> </v>
      </c>
      <c r="I210" s="398" t="str">
        <f aca="false">IF(A210="N/A"," ",IF(ISERROR(Q210),I198*Pwresc,Q210))</f>
        <v> </v>
      </c>
      <c r="J210" s="398"/>
      <c r="K210" s="399"/>
      <c r="L210" s="399"/>
      <c r="M210" s="404"/>
      <c r="N210" s="401" t="str">
        <f aca="false">IF(A210="N/A"," ",VLOOKUP(A210,PeakPowerCurves,(IF(BMO4=2,3,IF(BMO4=1,2,4))),FALSE()))</f>
        <v> </v>
      </c>
      <c r="O210" s="401" t="str">
        <f aca="false">IF(A210="N/A"," ",VLOOKUP(A210,SatSunPeakPwr,(IF(BMO4=2,3,IF(BMO4=1,2,4))),FALSE()))</f>
        <v> </v>
      </c>
      <c r="P210" s="401" t="str">
        <f aca="false">IF(A210="N/A"," ",VLOOKUP(A210,SatSunPeakPwr,(IF(BMO4=2,7,IF(BMO4=1,6,8))),FALSE()))</f>
        <v> </v>
      </c>
      <c r="Q210" s="402" t="str">
        <f aca="false">IF(A210="N/A"," ",(VLOOKUP(A210,OPPowerPrices,(IF(BMO4=2,7,IF(BMO4=1,6,8))),FALSE())))</f>
        <v> </v>
      </c>
      <c r="R210" s="403" t="str">
        <f aca="false">IF(A210="N/A"," ",(VLOOKUP($A210,IRTable,2)))</f>
        <v> </v>
      </c>
      <c r="AF210" s="352" t="n">
        <v>42826</v>
      </c>
      <c r="AG210" s="311" t="n">
        <v>20</v>
      </c>
      <c r="AH210" s="311" t="n">
        <v>5</v>
      </c>
      <c r="AI210" s="311" t="n">
        <v>5</v>
      </c>
      <c r="AJ210" s="311" t="n">
        <v>0</v>
      </c>
      <c r="AK210" s="311" t="n">
        <v>30</v>
      </c>
      <c r="AU210" s="406"/>
    </row>
    <row r="211" customFormat="false" ht="12.75" hidden="false" customHeight="false" outlineLevel="0" collapsed="false">
      <c r="A211" s="352" t="str">
        <f aca="false">Option4!A178</f>
        <v>N/A</v>
      </c>
      <c r="B211" s="396" t="str">
        <f aca="false">IF(A211="N/A"," ",IF(ISERROR(N211),B199*Pwresc,N211)*VLOOKUP(MONTH(A211),Curveadj,3))</f>
        <v> </v>
      </c>
      <c r="C211" s="397" t="str">
        <f aca="false">IF(A211="N/A"," ",(IF(AND(Scaler4=1,MONTH(A211)&gt;=6,MONTH(A211)&lt;=8,OR($M$37="REGION 2",$M$37="REGION 2A",$M$37="REGION 2B",$M$37="REGION 3",$M$37="REGION 3A",$M$37="REGION 3B",$M$37="REGION 3C",$M$37="REGION 4",$M$37="REGION 4B",$M$37="REGION 4C",$M$37="REGION 5",$M$37="REGION 5A")),((0.059228/(B211/100))-(0.4980013/(SQRT(B211/100)))+2.137988),HLOOKUP(MONTH(A211),ScalarTable,28))))</f>
        <v> </v>
      </c>
      <c r="D211" s="398" t="str">
        <f aca="false">IF(A211="N/A"," ",C211*B211)</f>
        <v> </v>
      </c>
      <c r="E211" s="396" t="str">
        <f aca="false">IF(A211="N/A"," ",IF(ISERROR(O211),E199*Pwresc,O211)*VLOOKUP(MONTH(A211),Curveadj,3))</f>
        <v> </v>
      </c>
      <c r="F211" s="398" t="str">
        <f aca="false">IF(A211="N/A"," ",E211*C211)</f>
        <v> </v>
      </c>
      <c r="G211" s="396" t="str">
        <f aca="false">IF(A211="N/A"," ",IF(ISERROR(P211),G199*Pwresc,P211)*VLOOKUP(MONTH(A211),Curveadj,3))</f>
        <v> </v>
      </c>
      <c r="H211" s="398" t="str">
        <f aca="false">IF(A211="N/A"," ",G211*C211)</f>
        <v> </v>
      </c>
      <c r="I211" s="398" t="str">
        <f aca="false">IF(A211="N/A"," ",IF(ISERROR(Q211),I199*Pwresc,Q211))</f>
        <v> </v>
      </c>
      <c r="J211" s="398"/>
      <c r="K211" s="399"/>
      <c r="L211" s="399"/>
      <c r="M211" s="404"/>
      <c r="N211" s="401" t="str">
        <f aca="false">IF(A211="N/A"," ",VLOOKUP(A211,PeakPowerCurves,(IF(BMO4=2,3,IF(BMO4=1,2,4))),FALSE()))</f>
        <v> </v>
      </c>
      <c r="O211" s="401" t="str">
        <f aca="false">IF(A211="N/A"," ",VLOOKUP(A211,SatSunPeakPwr,(IF(BMO4=2,3,IF(BMO4=1,2,4))),FALSE()))</f>
        <v> </v>
      </c>
      <c r="P211" s="401" t="str">
        <f aca="false">IF(A211="N/A"," ",VLOOKUP(A211,SatSunPeakPwr,(IF(BMO4=2,7,IF(BMO4=1,6,8))),FALSE()))</f>
        <v> </v>
      </c>
      <c r="Q211" s="402" t="str">
        <f aca="false">IF(A211="N/A"," ",(VLOOKUP(A211,OPPowerPrices,(IF(BMO4=2,7,IF(BMO4=1,6,8))),FALSE())))</f>
        <v> </v>
      </c>
      <c r="R211" s="403" t="str">
        <f aca="false">IF(A211="N/A"," ",(VLOOKUP($A211,IRTable,2)))</f>
        <v> </v>
      </c>
      <c r="AF211" s="352" t="n">
        <v>42856</v>
      </c>
      <c r="AG211" s="311" t="n">
        <v>22</v>
      </c>
      <c r="AH211" s="311" t="n">
        <v>4</v>
      </c>
      <c r="AI211" s="311" t="n">
        <v>5</v>
      </c>
      <c r="AJ211" s="311" t="n">
        <v>1</v>
      </c>
      <c r="AK211" s="311" t="n">
        <v>31</v>
      </c>
      <c r="AU211" s="406"/>
    </row>
    <row r="212" customFormat="false" ht="12.75" hidden="false" customHeight="false" outlineLevel="0" collapsed="false">
      <c r="A212" s="352" t="str">
        <f aca="false">Option4!A179</f>
        <v>N/A</v>
      </c>
      <c r="B212" s="396" t="str">
        <f aca="false">IF(A212="N/A"," ",IF(ISERROR(N212),B200*Pwresc,N212)*VLOOKUP(MONTH(A212),Curveadj,3))</f>
        <v> </v>
      </c>
      <c r="C212" s="397" t="str">
        <f aca="false">IF(A212="N/A"," ",(IF(AND(Scaler4=1,MONTH(A212)&gt;=6,MONTH(A212)&lt;=8,OR($M$37="REGION 2",$M$37="REGION 2A",$M$37="REGION 2B",$M$37="REGION 3",$M$37="REGION 3A",$M$37="REGION 3B",$M$37="REGION 3C",$M$37="REGION 4",$M$37="REGION 4B",$M$37="REGION 4C",$M$37="REGION 5",$M$37="REGION 5A")),((0.059228/(B212/100))-(0.4980013/(SQRT(B212/100)))+2.137988),HLOOKUP(MONTH(A212),ScalarTable,28))))</f>
        <v> </v>
      </c>
      <c r="D212" s="398" t="str">
        <f aca="false">IF(A212="N/A"," ",C212*B212)</f>
        <v> </v>
      </c>
      <c r="E212" s="396" t="str">
        <f aca="false">IF(A212="N/A"," ",IF(ISERROR(O212),E200*Pwresc,O212)*VLOOKUP(MONTH(A212),Curveadj,3))</f>
        <v> </v>
      </c>
      <c r="F212" s="398" t="str">
        <f aca="false">IF(A212="N/A"," ",E212*C212)</f>
        <v> </v>
      </c>
      <c r="G212" s="396" t="str">
        <f aca="false">IF(A212="N/A"," ",IF(ISERROR(P212),G200*Pwresc,P212)*VLOOKUP(MONTH(A212),Curveadj,3))</f>
        <v> </v>
      </c>
      <c r="H212" s="398" t="str">
        <f aca="false">IF(A212="N/A"," ",G212*C212)</f>
        <v> </v>
      </c>
      <c r="I212" s="398" t="str">
        <f aca="false">IF(A212="N/A"," ",IF(ISERROR(Q212),I200*Pwresc,Q212))</f>
        <v> </v>
      </c>
      <c r="J212" s="398"/>
      <c r="K212" s="399"/>
      <c r="L212" s="399"/>
      <c r="M212" s="404"/>
      <c r="N212" s="401" t="str">
        <f aca="false">IF(A212="N/A"," ",VLOOKUP(A212,PeakPowerCurves,(IF(BMO4=2,3,IF(BMO4=1,2,4))),FALSE()))</f>
        <v> </v>
      </c>
      <c r="O212" s="401" t="str">
        <f aca="false">IF(A212="N/A"," ",VLOOKUP(A212,SatSunPeakPwr,(IF(BMO4=2,3,IF(BMO4=1,2,4))),FALSE()))</f>
        <v> </v>
      </c>
      <c r="P212" s="401" t="str">
        <f aca="false">IF(A212="N/A"," ",VLOOKUP(A212,SatSunPeakPwr,(IF(BMO4=2,7,IF(BMO4=1,6,8))),FALSE()))</f>
        <v> </v>
      </c>
      <c r="Q212" s="402" t="str">
        <f aca="false">IF(A212="N/A"," ",(VLOOKUP(A212,OPPowerPrices,(IF(BMO4=2,7,IF(BMO4=1,6,8))),FALSE())))</f>
        <v> </v>
      </c>
      <c r="R212" s="403" t="str">
        <f aca="false">IF(A212="N/A"," ",(VLOOKUP($A212,IRTable,2)))</f>
        <v> </v>
      </c>
      <c r="AF212" s="352" t="n">
        <v>42887</v>
      </c>
      <c r="AG212" s="311" t="n">
        <v>22</v>
      </c>
      <c r="AH212" s="311" t="n">
        <v>4</v>
      </c>
      <c r="AI212" s="311" t="n">
        <v>4</v>
      </c>
      <c r="AJ212" s="311" t="n">
        <v>0</v>
      </c>
      <c r="AK212" s="311" t="n">
        <v>30</v>
      </c>
      <c r="AU212" s="406"/>
    </row>
    <row r="213" customFormat="false" ht="12.75" hidden="false" customHeight="false" outlineLevel="0" collapsed="false">
      <c r="A213" s="352" t="str">
        <f aca="false">Option4!A180</f>
        <v>N/A</v>
      </c>
      <c r="B213" s="396" t="str">
        <f aca="false">IF(A213="N/A"," ",IF(ISERROR(N213),B201*Pwresc,N213)*VLOOKUP(MONTH(A213),Curveadj,3))</f>
        <v> </v>
      </c>
      <c r="C213" s="397" t="str">
        <f aca="false">IF(A213="N/A"," ",(IF(AND(Scaler4=1,MONTH(A213)&gt;=6,MONTH(A213)&lt;=8,OR($M$37="REGION 2",$M$37="REGION 2A",$M$37="REGION 2B",$M$37="REGION 3",$M$37="REGION 3A",$M$37="REGION 3B",$M$37="REGION 3C",$M$37="REGION 4",$M$37="REGION 4B",$M$37="REGION 4C",$M$37="REGION 5",$M$37="REGION 5A")),((0.059228/(B213/100))-(0.4980013/(SQRT(B213/100)))+2.137988),HLOOKUP(MONTH(A213),ScalarTable,28))))</f>
        <v> </v>
      </c>
      <c r="D213" s="398" t="str">
        <f aca="false">IF(A213="N/A"," ",C213*B213)</f>
        <v> </v>
      </c>
      <c r="E213" s="396" t="str">
        <f aca="false">IF(A213="N/A"," ",IF(ISERROR(O213),E201*Pwresc,O213)*VLOOKUP(MONTH(A213),Curveadj,3))</f>
        <v> </v>
      </c>
      <c r="F213" s="398" t="str">
        <f aca="false">IF(A213="N/A"," ",E213*C213)</f>
        <v> </v>
      </c>
      <c r="G213" s="396" t="str">
        <f aca="false">IF(A213="N/A"," ",IF(ISERROR(P213),G201*Pwresc,P213)*VLOOKUP(MONTH(A213),Curveadj,3))</f>
        <v> </v>
      </c>
      <c r="H213" s="398" t="str">
        <f aca="false">IF(A213="N/A"," ",G213*C213)</f>
        <v> </v>
      </c>
      <c r="I213" s="398" t="str">
        <f aca="false">IF(A213="N/A"," ",IF(ISERROR(Q213),I201*Pwresc,Q213))</f>
        <v> </v>
      </c>
      <c r="J213" s="398"/>
      <c r="K213" s="399"/>
      <c r="L213" s="399"/>
      <c r="M213" s="404"/>
      <c r="N213" s="401" t="str">
        <f aca="false">IF(A213="N/A"," ",VLOOKUP(A213,PeakPowerCurves,(IF(BMO4=2,3,IF(BMO4=1,2,4))),FALSE()))</f>
        <v> </v>
      </c>
      <c r="O213" s="401" t="str">
        <f aca="false">IF(A213="N/A"," ",VLOOKUP(A213,SatSunPeakPwr,(IF(BMO4=2,3,IF(BMO4=1,2,4))),FALSE()))</f>
        <v> </v>
      </c>
      <c r="P213" s="401" t="str">
        <f aca="false">IF(A213="N/A"," ",VLOOKUP(A213,SatSunPeakPwr,(IF(BMO4=2,7,IF(BMO4=1,6,8))),FALSE()))</f>
        <v> </v>
      </c>
      <c r="Q213" s="402" t="str">
        <f aca="false">IF(A213="N/A"," ",(VLOOKUP(A213,OPPowerPrices,(IF(BMO4=2,7,IF(BMO4=1,6,8))),FALSE())))</f>
        <v> </v>
      </c>
      <c r="R213" s="403" t="str">
        <f aca="false">IF(A213="N/A"," ",(VLOOKUP($A213,IRTable,2)))</f>
        <v> </v>
      </c>
      <c r="AF213" s="352" t="n">
        <v>42917</v>
      </c>
      <c r="AG213" s="311" t="n">
        <v>20</v>
      </c>
      <c r="AH213" s="311" t="n">
        <v>5</v>
      </c>
      <c r="AI213" s="311" t="n">
        <v>6</v>
      </c>
      <c r="AJ213" s="311" t="n">
        <v>1</v>
      </c>
      <c r="AK213" s="311" t="n">
        <v>31</v>
      </c>
      <c r="AU213" s="406"/>
    </row>
    <row r="214" customFormat="false" ht="12.75" hidden="false" customHeight="false" outlineLevel="0" collapsed="false">
      <c r="A214" s="352" t="str">
        <f aca="false">Option4!A181</f>
        <v>N/A</v>
      </c>
      <c r="B214" s="396" t="str">
        <f aca="false">IF(A214="N/A"," ",IF(ISERROR(N214),B202*Pwresc,N214)*VLOOKUP(MONTH(A214),Curveadj,3))</f>
        <v> </v>
      </c>
      <c r="C214" s="397" t="str">
        <f aca="false">IF(A214="N/A"," ",(IF(AND(Scaler4=1,MONTH(A214)&gt;=6,MONTH(A214)&lt;=8,OR($M$37="REGION 2",$M$37="REGION 2A",$M$37="REGION 2B",$M$37="REGION 3",$M$37="REGION 3A",$M$37="REGION 3B",$M$37="REGION 3C",$M$37="REGION 4",$M$37="REGION 4B",$M$37="REGION 4C",$M$37="REGION 5",$M$37="REGION 5A")),((0.059228/(B214/100))-(0.4980013/(SQRT(B214/100)))+2.137988),HLOOKUP(MONTH(A214),ScalarTable,28))))</f>
        <v> </v>
      </c>
      <c r="D214" s="398" t="str">
        <f aca="false">IF(A214="N/A"," ",C214*B214)</f>
        <v> </v>
      </c>
      <c r="E214" s="396" t="str">
        <f aca="false">IF(A214="N/A"," ",IF(ISERROR(O214),E202*Pwresc,O214)*VLOOKUP(MONTH(A214),Curveadj,3))</f>
        <v> </v>
      </c>
      <c r="F214" s="398" t="str">
        <f aca="false">IF(A214="N/A"," ",E214*C214)</f>
        <v> </v>
      </c>
      <c r="G214" s="396" t="str">
        <f aca="false">IF(A214="N/A"," ",IF(ISERROR(P214),G202*Pwresc,P214)*VLOOKUP(MONTH(A214),Curveadj,3))</f>
        <v> </v>
      </c>
      <c r="H214" s="398" t="str">
        <f aca="false">IF(A214="N/A"," ",G214*C214)</f>
        <v> </v>
      </c>
      <c r="I214" s="398" t="str">
        <f aca="false">IF(A214="N/A"," ",IF(ISERROR(Q214),I202*Pwresc,Q214))</f>
        <v> </v>
      </c>
      <c r="J214" s="398"/>
      <c r="K214" s="399"/>
      <c r="L214" s="399"/>
      <c r="M214" s="404"/>
      <c r="N214" s="401" t="str">
        <f aca="false">IF(A214="N/A"," ",VLOOKUP(A214,PeakPowerCurves,(IF(BMO4=2,3,IF(BMO4=1,2,4))),FALSE()))</f>
        <v> </v>
      </c>
      <c r="O214" s="401" t="str">
        <f aca="false">IF(A214="N/A"," ",VLOOKUP(A214,SatSunPeakPwr,(IF(BMO4=2,3,IF(BMO4=1,2,4))),FALSE()))</f>
        <v> </v>
      </c>
      <c r="P214" s="401" t="str">
        <f aca="false">IF(A214="N/A"," ",VLOOKUP(A214,SatSunPeakPwr,(IF(BMO4=2,7,IF(BMO4=1,6,8))),FALSE()))</f>
        <v> </v>
      </c>
      <c r="Q214" s="402" t="str">
        <f aca="false">IF(A214="N/A"," ",(VLOOKUP(A214,OPPowerPrices,(IF(BMO4=2,7,IF(BMO4=1,6,8))),FALSE())))</f>
        <v> </v>
      </c>
      <c r="R214" s="403" t="str">
        <f aca="false">IF(A214="N/A"," ",(VLOOKUP($A214,IRTable,2)))</f>
        <v> </v>
      </c>
      <c r="AF214" s="352" t="n">
        <v>42948</v>
      </c>
      <c r="AG214" s="311" t="n">
        <v>23</v>
      </c>
      <c r="AH214" s="311" t="n">
        <v>4</v>
      </c>
      <c r="AI214" s="311" t="n">
        <v>4</v>
      </c>
      <c r="AJ214" s="311" t="n">
        <v>0</v>
      </c>
      <c r="AK214" s="311" t="n">
        <v>31</v>
      </c>
      <c r="AU214" s="406"/>
    </row>
    <row r="215" customFormat="false" ht="12.75" hidden="false" customHeight="false" outlineLevel="0" collapsed="false">
      <c r="A215" s="352" t="str">
        <f aca="false">Option4!A182</f>
        <v>N/A</v>
      </c>
      <c r="B215" s="396" t="str">
        <f aca="false">IF(A215="N/A"," ",IF(ISERROR(N215),B203*Pwresc,N215)*VLOOKUP(MONTH(A215),Curveadj,3))</f>
        <v> </v>
      </c>
      <c r="C215" s="397" t="str">
        <f aca="false">IF(A215="N/A"," ",(IF(AND(Scaler4=1,MONTH(A215)&gt;=6,MONTH(A215)&lt;=8,OR($M$37="REGION 2",$M$37="REGION 2A",$M$37="REGION 2B",$M$37="REGION 3",$M$37="REGION 3A",$M$37="REGION 3B",$M$37="REGION 3C",$M$37="REGION 4",$M$37="REGION 4B",$M$37="REGION 4C",$M$37="REGION 5",$M$37="REGION 5A")),((0.059228/(B215/100))-(0.4980013/(SQRT(B215/100)))+2.137988),HLOOKUP(MONTH(A215),ScalarTable,28))))</f>
        <v> </v>
      </c>
      <c r="D215" s="398" t="str">
        <f aca="false">IF(A215="N/A"," ",C215*B215)</f>
        <v> </v>
      </c>
      <c r="E215" s="396" t="str">
        <f aca="false">IF(A215="N/A"," ",IF(ISERROR(O215),E203*Pwresc,O215)*VLOOKUP(MONTH(A215),Curveadj,3))</f>
        <v> </v>
      </c>
      <c r="F215" s="398" t="str">
        <f aca="false">IF(A215="N/A"," ",E215*C215)</f>
        <v> </v>
      </c>
      <c r="G215" s="396" t="str">
        <f aca="false">IF(A215="N/A"," ",IF(ISERROR(P215),G203*Pwresc,P215)*VLOOKUP(MONTH(A215),Curveadj,3))</f>
        <v> </v>
      </c>
      <c r="H215" s="398" t="str">
        <f aca="false">IF(A215="N/A"," ",G215*C215)</f>
        <v> </v>
      </c>
      <c r="I215" s="398" t="str">
        <f aca="false">IF(A215="N/A"," ",IF(ISERROR(Q215),I203*Pwresc,Q215))</f>
        <v> </v>
      </c>
      <c r="J215" s="398"/>
      <c r="K215" s="399"/>
      <c r="L215" s="399"/>
      <c r="M215" s="404"/>
      <c r="N215" s="401" t="str">
        <f aca="false">IF(A215="N/A"," ",VLOOKUP(A215,PeakPowerCurves,(IF(BMO4=2,3,IF(BMO4=1,2,4))),FALSE()))</f>
        <v> </v>
      </c>
      <c r="O215" s="401" t="str">
        <f aca="false">IF(A215="N/A"," ",VLOOKUP(A215,SatSunPeakPwr,(IF(BMO4=2,3,IF(BMO4=1,2,4))),FALSE()))</f>
        <v> </v>
      </c>
      <c r="P215" s="401" t="str">
        <f aca="false">IF(A215="N/A"," ",VLOOKUP(A215,SatSunPeakPwr,(IF(BMO4=2,7,IF(BMO4=1,6,8))),FALSE()))</f>
        <v> </v>
      </c>
      <c r="Q215" s="402" t="str">
        <f aca="false">IF(A215="N/A"," ",(VLOOKUP(A215,OPPowerPrices,(IF(BMO4=2,7,IF(BMO4=1,6,8))),FALSE())))</f>
        <v> </v>
      </c>
      <c r="R215" s="403" t="str">
        <f aca="false">IF(A215="N/A"," ",(VLOOKUP($A215,IRTable,2)))</f>
        <v> </v>
      </c>
      <c r="AF215" s="352" t="n">
        <v>42979</v>
      </c>
      <c r="AG215" s="311" t="n">
        <v>20</v>
      </c>
      <c r="AH215" s="311" t="n">
        <v>5</v>
      </c>
      <c r="AI215" s="311" t="n">
        <v>5</v>
      </c>
      <c r="AJ215" s="311" t="n">
        <v>1</v>
      </c>
      <c r="AK215" s="311" t="n">
        <v>30</v>
      </c>
      <c r="AU215" s="406"/>
    </row>
    <row r="216" customFormat="false" ht="12.75" hidden="false" customHeight="false" outlineLevel="0" collapsed="false">
      <c r="A216" s="352" t="str">
        <f aca="false">Option4!A183</f>
        <v>N/A</v>
      </c>
      <c r="B216" s="396" t="str">
        <f aca="false">IF(A216="N/A"," ",IF(ISERROR(N216),B204*Pwresc,N216)*VLOOKUP(MONTH(A216),Curveadj,3))</f>
        <v> </v>
      </c>
      <c r="C216" s="397" t="str">
        <f aca="false">IF(A216="N/A"," ",(IF(AND(Scaler4=1,MONTH(A216)&gt;=6,MONTH(A216)&lt;=8,OR($M$37="REGION 2",$M$37="REGION 2A",$M$37="REGION 2B",$M$37="REGION 3",$M$37="REGION 3A",$M$37="REGION 3B",$M$37="REGION 3C",$M$37="REGION 4",$M$37="REGION 4B",$M$37="REGION 4C",$M$37="REGION 5",$M$37="REGION 5A")),((0.059228/(B216/100))-(0.4980013/(SQRT(B216/100)))+2.137988),HLOOKUP(MONTH(A216),ScalarTable,28))))</f>
        <v> </v>
      </c>
      <c r="D216" s="398" t="str">
        <f aca="false">IF(A216="N/A"," ",C216*B216)</f>
        <v> </v>
      </c>
      <c r="E216" s="396" t="str">
        <f aca="false">IF(A216="N/A"," ",IF(ISERROR(O216),E204*Pwresc,O216)*VLOOKUP(MONTH(A216),Curveadj,3))</f>
        <v> </v>
      </c>
      <c r="F216" s="398" t="str">
        <f aca="false">IF(A216="N/A"," ",E216*C216)</f>
        <v> </v>
      </c>
      <c r="G216" s="396" t="str">
        <f aca="false">IF(A216="N/A"," ",IF(ISERROR(P216),G204*Pwresc,P216)*VLOOKUP(MONTH(A216),Curveadj,3))</f>
        <v> </v>
      </c>
      <c r="H216" s="398" t="str">
        <f aca="false">IF(A216="N/A"," ",G216*C216)</f>
        <v> </v>
      </c>
      <c r="I216" s="398" t="str">
        <f aca="false">IF(A216="N/A"," ",IF(ISERROR(Q216),I204*Pwresc,Q216))</f>
        <v> </v>
      </c>
      <c r="J216" s="398"/>
      <c r="K216" s="399"/>
      <c r="L216" s="399"/>
      <c r="M216" s="404"/>
      <c r="N216" s="401" t="str">
        <f aca="false">IF(A216="N/A"," ",VLOOKUP(A216,PeakPowerCurves,(IF(BMO4=2,3,IF(BMO4=1,2,4))),FALSE()))</f>
        <v> </v>
      </c>
      <c r="O216" s="401" t="str">
        <f aca="false">IF(A216="N/A"," ",VLOOKUP(A216,SatSunPeakPwr,(IF(BMO4=2,3,IF(BMO4=1,2,4))),FALSE()))</f>
        <v> </v>
      </c>
      <c r="P216" s="401" t="str">
        <f aca="false">IF(A216="N/A"," ",VLOOKUP(A216,SatSunPeakPwr,(IF(BMO4=2,7,IF(BMO4=1,6,8))),FALSE()))</f>
        <v> </v>
      </c>
      <c r="Q216" s="402" t="str">
        <f aca="false">IF(A216="N/A"," ",(VLOOKUP(A216,OPPowerPrices,(IF(BMO4=2,7,IF(BMO4=1,6,8))),FALSE())))</f>
        <v> </v>
      </c>
      <c r="R216" s="403" t="str">
        <f aca="false">IF(A216="N/A"," ",(VLOOKUP($A216,IRTable,2)))</f>
        <v> </v>
      </c>
      <c r="AF216" s="352" t="n">
        <v>43009</v>
      </c>
      <c r="AG216" s="311" t="n">
        <v>22</v>
      </c>
      <c r="AH216" s="311" t="n">
        <v>4</v>
      </c>
      <c r="AI216" s="311" t="n">
        <v>5</v>
      </c>
      <c r="AJ216" s="311" t="n">
        <v>0</v>
      </c>
      <c r="AK216" s="311" t="n">
        <v>31</v>
      </c>
      <c r="AU216" s="406"/>
    </row>
    <row r="217" customFormat="false" ht="12.75" hidden="false" customHeight="false" outlineLevel="0" collapsed="false">
      <c r="A217" s="352" t="str">
        <f aca="false">Option4!A184</f>
        <v>N/A</v>
      </c>
      <c r="B217" s="396" t="str">
        <f aca="false">IF(A217="N/A"," ",IF(ISERROR(N217),B205*Pwresc,N217)*VLOOKUP(MONTH(A217),Curveadj,3))</f>
        <v> </v>
      </c>
      <c r="C217" s="397" t="str">
        <f aca="false">IF(A217="N/A"," ",(IF(AND(Scaler4=1,MONTH(A217)&gt;=6,MONTH(A217)&lt;=8,OR($M$37="REGION 2",$M$37="REGION 2A",$M$37="REGION 2B",$M$37="REGION 3",$M$37="REGION 3A",$M$37="REGION 3B",$M$37="REGION 3C",$M$37="REGION 4",$M$37="REGION 4B",$M$37="REGION 4C",$M$37="REGION 5",$M$37="REGION 5A")),((0.059228/(B217/100))-(0.4980013/(SQRT(B217/100)))+2.137988),HLOOKUP(MONTH(A217),ScalarTable,28))))</f>
        <v> </v>
      </c>
      <c r="D217" s="398" t="str">
        <f aca="false">IF(A217="N/A"," ",C217*B217)</f>
        <v> </v>
      </c>
      <c r="E217" s="396" t="str">
        <f aca="false">IF(A217="N/A"," ",IF(ISERROR(O217),E205*Pwresc,O217)*VLOOKUP(MONTH(A217),Curveadj,3))</f>
        <v> </v>
      </c>
      <c r="F217" s="398" t="str">
        <f aca="false">IF(A217="N/A"," ",E217*C217)</f>
        <v> </v>
      </c>
      <c r="G217" s="396" t="str">
        <f aca="false">IF(A217="N/A"," ",IF(ISERROR(P217),G205*Pwresc,P217)*VLOOKUP(MONTH(A217),Curveadj,3))</f>
        <v> </v>
      </c>
      <c r="H217" s="398" t="str">
        <f aca="false">IF(A217="N/A"," ",G217*C217)</f>
        <v> </v>
      </c>
      <c r="I217" s="398" t="str">
        <f aca="false">IF(A217="N/A"," ",IF(ISERROR(Q217),I205*Pwresc,Q217))</f>
        <v> </v>
      </c>
      <c r="J217" s="398"/>
      <c r="K217" s="399"/>
      <c r="L217" s="399"/>
      <c r="M217" s="404"/>
      <c r="N217" s="401" t="str">
        <f aca="false">IF(A217="N/A"," ",VLOOKUP(A217,PeakPowerCurves,(IF(BMO4=2,3,IF(BMO4=1,2,4))),FALSE()))</f>
        <v> </v>
      </c>
      <c r="O217" s="401" t="str">
        <f aca="false">IF(A217="N/A"," ",VLOOKUP(A217,SatSunPeakPwr,(IF(BMO4=2,3,IF(BMO4=1,2,4))),FALSE()))</f>
        <v> </v>
      </c>
      <c r="P217" s="401" t="str">
        <f aca="false">IF(A217="N/A"," ",VLOOKUP(A217,SatSunPeakPwr,(IF(BMO4=2,7,IF(BMO4=1,6,8))),FALSE()))</f>
        <v> </v>
      </c>
      <c r="Q217" s="402" t="str">
        <f aca="false">IF(A217="N/A"," ",(VLOOKUP(A217,OPPowerPrices,(IF(BMO4=2,7,IF(BMO4=1,6,8))),FALSE())))</f>
        <v> </v>
      </c>
      <c r="R217" s="403" t="str">
        <f aca="false">IF(A217="N/A"," ",(VLOOKUP($A217,IRTable,2)))</f>
        <v> </v>
      </c>
      <c r="AF217" s="352" t="n">
        <v>43040</v>
      </c>
      <c r="AG217" s="311" t="n">
        <v>21</v>
      </c>
      <c r="AH217" s="311" t="n">
        <v>4</v>
      </c>
      <c r="AI217" s="311" t="n">
        <v>5</v>
      </c>
      <c r="AJ217" s="311" t="n">
        <v>1</v>
      </c>
      <c r="AK217" s="311" t="n">
        <v>30</v>
      </c>
      <c r="AU217" s="406"/>
    </row>
    <row r="218" customFormat="false" ht="12.75" hidden="false" customHeight="false" outlineLevel="0" collapsed="false">
      <c r="A218" s="352" t="str">
        <f aca="false">Option4!A185</f>
        <v>N/A</v>
      </c>
      <c r="B218" s="396" t="str">
        <f aca="false">IF(A218="N/A"," ",IF(ISERROR(N218),B206*Pwresc,N218)*VLOOKUP(MONTH(A218),Curveadj,3))</f>
        <v> </v>
      </c>
      <c r="C218" s="397" t="str">
        <f aca="false">IF(A218="N/A"," ",(IF(AND(Scaler4=1,MONTH(A218)&gt;=6,MONTH(A218)&lt;=8,OR($M$37="REGION 2",$M$37="REGION 2A",$M$37="REGION 2B",$M$37="REGION 3",$M$37="REGION 3A",$M$37="REGION 3B",$M$37="REGION 3C",$M$37="REGION 4",$M$37="REGION 4B",$M$37="REGION 4C",$M$37="REGION 5",$M$37="REGION 5A")),((0.059228/(B218/100))-(0.4980013/(SQRT(B218/100)))+2.137988),HLOOKUP(MONTH(A218),ScalarTable,28))))</f>
        <v> </v>
      </c>
      <c r="D218" s="398" t="str">
        <f aca="false">IF(A218="N/A"," ",C218*B218)</f>
        <v> </v>
      </c>
      <c r="E218" s="396" t="str">
        <f aca="false">IF(A218="N/A"," ",IF(ISERROR(O218),E206*Pwresc,O218)*VLOOKUP(MONTH(A218),Curveadj,3))</f>
        <v> </v>
      </c>
      <c r="F218" s="398" t="str">
        <f aca="false">IF(A218="N/A"," ",E218*C218)</f>
        <v> </v>
      </c>
      <c r="G218" s="396" t="str">
        <f aca="false">IF(A218="N/A"," ",IF(ISERROR(P218),G206*Pwresc,P218)*VLOOKUP(MONTH(A218),Curveadj,3))</f>
        <v> </v>
      </c>
      <c r="H218" s="398" t="str">
        <f aca="false">IF(A218="N/A"," ",G218*C218)</f>
        <v> </v>
      </c>
      <c r="I218" s="398" t="str">
        <f aca="false">IF(A218="N/A"," ",IF(ISERROR(Q218),I206*Pwresc,Q218))</f>
        <v> </v>
      </c>
      <c r="J218" s="398"/>
      <c r="K218" s="399"/>
      <c r="L218" s="399"/>
      <c r="M218" s="404"/>
      <c r="N218" s="401" t="str">
        <f aca="false">IF(A218="N/A"," ",VLOOKUP(A218,PeakPowerCurves,(IF(BMO4=2,3,IF(BMO4=1,2,4))),FALSE()))</f>
        <v> </v>
      </c>
      <c r="O218" s="401" t="str">
        <f aca="false">IF(A218="N/A"," ",VLOOKUP(A218,SatSunPeakPwr,(IF(BMO4=2,3,IF(BMO4=1,2,4))),FALSE()))</f>
        <v> </v>
      </c>
      <c r="P218" s="401" t="str">
        <f aca="false">IF(A218="N/A"," ",VLOOKUP(A218,SatSunPeakPwr,(IF(BMO4=2,7,IF(BMO4=1,6,8))),FALSE()))</f>
        <v> </v>
      </c>
      <c r="Q218" s="402" t="str">
        <f aca="false">IF(A218="N/A"," ",(VLOOKUP(A218,OPPowerPrices,(IF(BMO4=2,7,IF(BMO4=1,6,8))),FALSE())))</f>
        <v> </v>
      </c>
      <c r="R218" s="403" t="str">
        <f aca="false">IF(A218="N/A"," ",(VLOOKUP($A218,IRTable,2)))</f>
        <v> </v>
      </c>
      <c r="AF218" s="352" t="n">
        <v>43070</v>
      </c>
      <c r="AG218" s="311" t="n">
        <v>20</v>
      </c>
      <c r="AH218" s="311" t="n">
        <v>5</v>
      </c>
      <c r="AI218" s="311" t="n">
        <v>6</v>
      </c>
      <c r="AJ218" s="311" t="n">
        <v>1</v>
      </c>
      <c r="AK218" s="311" t="n">
        <v>31</v>
      </c>
      <c r="AU218" s="406"/>
    </row>
    <row r="219" customFormat="false" ht="12.75" hidden="false" customHeight="false" outlineLevel="0" collapsed="false">
      <c r="A219" s="352" t="str">
        <f aca="false">Option4!A186</f>
        <v>N/A</v>
      </c>
      <c r="B219" s="396" t="str">
        <f aca="false">IF(A219="N/A"," ",IF(ISERROR(N219),B207*Pwresc,N219)*VLOOKUP(MONTH(A219),Curveadj,3))</f>
        <v> </v>
      </c>
      <c r="C219" s="397" t="str">
        <f aca="false">IF(A219="N/A"," ",(IF(AND(Scaler4=1,MONTH(A219)&gt;=6,MONTH(A219)&lt;=8,OR($M$37="REGION 2",$M$37="REGION 2A",$M$37="REGION 2B",$M$37="REGION 3",$M$37="REGION 3A",$M$37="REGION 3B",$M$37="REGION 3C",$M$37="REGION 4",$M$37="REGION 4B",$M$37="REGION 4C",$M$37="REGION 5",$M$37="REGION 5A")),((0.059228/(B219/100))-(0.4980013/(SQRT(B219/100)))+2.137988),HLOOKUP(MONTH(A219),ScalarTable,28))))</f>
        <v> </v>
      </c>
      <c r="D219" s="398" t="str">
        <f aca="false">IF(A219="N/A"," ",C219*B219)</f>
        <v> </v>
      </c>
      <c r="E219" s="396" t="str">
        <f aca="false">IF(A219="N/A"," ",IF(ISERROR(O219),E207*Pwresc,O219)*VLOOKUP(MONTH(A219),Curveadj,3))</f>
        <v> </v>
      </c>
      <c r="F219" s="398" t="str">
        <f aca="false">IF(A219="N/A"," ",E219*C219)</f>
        <v> </v>
      </c>
      <c r="G219" s="396" t="str">
        <f aca="false">IF(A219="N/A"," ",IF(ISERROR(P219),G207*Pwresc,P219)*VLOOKUP(MONTH(A219),Curveadj,3))</f>
        <v> </v>
      </c>
      <c r="H219" s="398" t="str">
        <f aca="false">IF(A219="N/A"," ",G219*C219)</f>
        <v> </v>
      </c>
      <c r="I219" s="398" t="str">
        <f aca="false">IF(A219="N/A"," ",IF(ISERROR(Q219),I207*Pwresc,Q219))</f>
        <v> </v>
      </c>
      <c r="J219" s="398"/>
      <c r="K219" s="399"/>
      <c r="L219" s="399"/>
      <c r="M219" s="404"/>
      <c r="N219" s="401" t="str">
        <f aca="false">IF(A219="N/A"," ",VLOOKUP(A219,PeakPowerCurves,(IF(BMO4=2,3,IF(BMO4=1,2,4))),FALSE()))</f>
        <v> </v>
      </c>
      <c r="O219" s="401" t="str">
        <f aca="false">IF(A219="N/A"," ",VLOOKUP(A219,SatSunPeakPwr,(IF(BMO4=2,3,IF(BMO4=1,2,4))),FALSE()))</f>
        <v> </v>
      </c>
      <c r="P219" s="401" t="str">
        <f aca="false">IF(A219="N/A"," ",VLOOKUP(A219,SatSunPeakPwr,(IF(BMO4=2,7,IF(BMO4=1,6,8))),FALSE()))</f>
        <v> </v>
      </c>
      <c r="Q219" s="402" t="str">
        <f aca="false">IF(A219="N/A"," ",(VLOOKUP(A219,OPPowerPrices,(IF(BMO4=2,7,IF(BMO4=1,6,8))),FALSE())))</f>
        <v> </v>
      </c>
      <c r="R219" s="403" t="str">
        <f aca="false">IF(A219="N/A"," ",(VLOOKUP($A219,IRTable,2)))</f>
        <v> </v>
      </c>
      <c r="AF219" s="352" t="n">
        <v>43101</v>
      </c>
      <c r="AG219" s="311" t="n">
        <v>22</v>
      </c>
      <c r="AH219" s="311" t="n">
        <v>4</v>
      </c>
      <c r="AI219" s="311" t="n">
        <v>5</v>
      </c>
      <c r="AJ219" s="311" t="n">
        <v>1</v>
      </c>
      <c r="AK219" s="311" t="n">
        <v>31</v>
      </c>
      <c r="AU219" s="406"/>
    </row>
    <row r="220" customFormat="false" ht="12.75" hidden="false" customHeight="false" outlineLevel="0" collapsed="false">
      <c r="A220" s="352" t="str">
        <f aca="false">Option4!A187</f>
        <v>N/A</v>
      </c>
      <c r="B220" s="396" t="str">
        <f aca="false">IF(A220="N/A"," ",IF(ISERROR(N220),B208*Pwresc,N220)*VLOOKUP(MONTH(A220),Curveadj,3))</f>
        <v> </v>
      </c>
      <c r="C220" s="397" t="str">
        <f aca="false">IF(A220="N/A"," ",(IF(AND(Scaler4=1,MONTH(A220)&gt;=6,MONTH(A220)&lt;=8,OR($M$37="REGION 2",$M$37="REGION 2A",$M$37="REGION 2B",$M$37="REGION 3",$M$37="REGION 3A",$M$37="REGION 3B",$M$37="REGION 3C",$M$37="REGION 4",$M$37="REGION 4B",$M$37="REGION 4C",$M$37="REGION 5",$M$37="REGION 5A")),((0.059228/(B220/100))-(0.4980013/(SQRT(B220/100)))+2.137988),HLOOKUP(MONTH(A220),ScalarTable,28))))</f>
        <v> </v>
      </c>
      <c r="D220" s="398" t="str">
        <f aca="false">IF(A220="N/A"," ",C220*B220)</f>
        <v> </v>
      </c>
      <c r="E220" s="396" t="str">
        <f aca="false">IF(A220="N/A"," ",IF(ISERROR(O220),E208*Pwresc,O220)*VLOOKUP(MONTH(A220),Curveadj,3))</f>
        <v> </v>
      </c>
      <c r="F220" s="398" t="str">
        <f aca="false">IF(A220="N/A"," ",E220*C220)</f>
        <v> </v>
      </c>
      <c r="G220" s="396" t="str">
        <f aca="false">IF(A220="N/A"," ",IF(ISERROR(P220),G208*Pwresc,P220)*VLOOKUP(MONTH(A220),Curveadj,3))</f>
        <v> </v>
      </c>
      <c r="H220" s="398" t="str">
        <f aca="false">IF(A220="N/A"," ",G220*C220)</f>
        <v> </v>
      </c>
      <c r="I220" s="398" t="str">
        <f aca="false">IF(A220="N/A"," ",IF(ISERROR(Q220),I208*Pwresc,Q220))</f>
        <v> </v>
      </c>
      <c r="J220" s="398"/>
      <c r="K220" s="399"/>
      <c r="L220" s="399"/>
      <c r="M220" s="404"/>
      <c r="N220" s="401" t="str">
        <f aca="false">IF(A220="N/A"," ",VLOOKUP(A220,PeakPowerCurves,(IF(BMO4=2,3,IF(BMO4=1,2,4))),FALSE()))</f>
        <v> </v>
      </c>
      <c r="O220" s="401" t="str">
        <f aca="false">IF(A220="N/A"," ",VLOOKUP(A220,SatSunPeakPwr,(IF(BMO4=2,3,IF(BMO4=1,2,4))),FALSE()))</f>
        <v> </v>
      </c>
      <c r="P220" s="401" t="str">
        <f aca="false">IF(A220="N/A"," ",VLOOKUP(A220,SatSunPeakPwr,(IF(BMO4=2,7,IF(BMO4=1,6,8))),FALSE()))</f>
        <v> </v>
      </c>
      <c r="Q220" s="402" t="str">
        <f aca="false">IF(A220="N/A"," ",(VLOOKUP(A220,OPPowerPrices,(IF(BMO4=2,7,IF(BMO4=1,6,8))),FALSE())))</f>
        <v> </v>
      </c>
      <c r="R220" s="403" t="str">
        <f aca="false">IF(A220="N/A"," ",(VLOOKUP($A220,IRTable,2)))</f>
        <v> </v>
      </c>
      <c r="AF220" s="352" t="n">
        <v>43132</v>
      </c>
      <c r="AG220" s="311" t="n">
        <v>20</v>
      </c>
      <c r="AH220" s="311" t="n">
        <v>4</v>
      </c>
      <c r="AI220" s="311" t="n">
        <v>4</v>
      </c>
      <c r="AJ220" s="311" t="n">
        <v>0</v>
      </c>
      <c r="AK220" s="311" t="n">
        <v>28</v>
      </c>
      <c r="AU220" s="406"/>
    </row>
    <row r="221" customFormat="false" ht="12.75" hidden="false" customHeight="false" outlineLevel="0" collapsed="false">
      <c r="A221" s="352" t="str">
        <f aca="false">Option4!A188</f>
        <v>N/A</v>
      </c>
      <c r="B221" s="396" t="str">
        <f aca="false">IF(A221="N/A"," ",IF(ISERROR(N221),B209*Pwresc,N221)*VLOOKUP(MONTH(A221),Curveadj,3))</f>
        <v> </v>
      </c>
      <c r="C221" s="397" t="str">
        <f aca="false">IF(A221="N/A"," ",(IF(AND(Scaler4=1,MONTH(A221)&gt;=6,MONTH(A221)&lt;=8,OR($M$37="REGION 2",$M$37="REGION 2A",$M$37="REGION 2B",$M$37="REGION 3",$M$37="REGION 3A",$M$37="REGION 3B",$M$37="REGION 3C",$M$37="REGION 4",$M$37="REGION 4B",$M$37="REGION 4C",$M$37="REGION 5",$M$37="REGION 5A")),((0.059228/(B221/100))-(0.4980013/(SQRT(B221/100)))+2.137988),HLOOKUP(MONTH(A221),ScalarTable,28))))</f>
        <v> </v>
      </c>
      <c r="D221" s="398" t="str">
        <f aca="false">IF(A221="N/A"," ",C221*B221)</f>
        <v> </v>
      </c>
      <c r="E221" s="396" t="str">
        <f aca="false">IF(A221="N/A"," ",IF(ISERROR(O221),E209*Pwresc,O221)*VLOOKUP(MONTH(A221),Curveadj,3))</f>
        <v> </v>
      </c>
      <c r="F221" s="398" t="str">
        <f aca="false">IF(A221="N/A"," ",E221*C221)</f>
        <v> </v>
      </c>
      <c r="G221" s="396" t="str">
        <f aca="false">IF(A221="N/A"," ",IF(ISERROR(P221),G209*Pwresc,P221)*VLOOKUP(MONTH(A221),Curveadj,3))</f>
        <v> </v>
      </c>
      <c r="H221" s="398" t="str">
        <f aca="false">IF(A221="N/A"," ",G221*C221)</f>
        <v> </v>
      </c>
      <c r="I221" s="398" t="str">
        <f aca="false">IF(A221="N/A"," ",IF(ISERROR(Q221),I209*Pwresc,Q221))</f>
        <v> </v>
      </c>
      <c r="J221" s="398"/>
      <c r="K221" s="399"/>
      <c r="L221" s="399"/>
      <c r="M221" s="404"/>
      <c r="N221" s="401" t="str">
        <f aca="false">IF(A221="N/A"," ",VLOOKUP(A221,PeakPowerCurves,(IF(BMO4=2,3,IF(BMO4=1,2,4))),FALSE()))</f>
        <v> </v>
      </c>
      <c r="O221" s="401" t="str">
        <f aca="false">IF(A221="N/A"," ",VLOOKUP(A221,SatSunPeakPwr,(IF(BMO4=2,3,IF(BMO4=1,2,4))),FALSE()))</f>
        <v> </v>
      </c>
      <c r="P221" s="401" t="str">
        <f aca="false">IF(A221="N/A"," ",VLOOKUP(A221,SatSunPeakPwr,(IF(BMO4=2,7,IF(BMO4=1,6,8))),FALSE()))</f>
        <v> </v>
      </c>
      <c r="Q221" s="402" t="str">
        <f aca="false">IF(A221="N/A"," ",(VLOOKUP(A221,OPPowerPrices,(IF(BMO4=2,7,IF(BMO4=1,6,8))),FALSE())))</f>
        <v> </v>
      </c>
      <c r="R221" s="403" t="str">
        <f aca="false">IF(A221="N/A"," ",(VLOOKUP($A221,IRTable,2)))</f>
        <v> </v>
      </c>
      <c r="AF221" s="352" t="n">
        <v>43160</v>
      </c>
      <c r="AG221" s="311" t="n">
        <v>22</v>
      </c>
      <c r="AH221" s="311" t="n">
        <v>5</v>
      </c>
      <c r="AI221" s="311" t="n">
        <v>4</v>
      </c>
      <c r="AJ221" s="311" t="n">
        <v>0</v>
      </c>
      <c r="AK221" s="311" t="n">
        <v>31</v>
      </c>
      <c r="AU221" s="406"/>
    </row>
    <row r="222" customFormat="false" ht="12.75" hidden="false" customHeight="false" outlineLevel="0" collapsed="false">
      <c r="A222" s="352" t="str">
        <f aca="false">Option4!A189</f>
        <v>N/A</v>
      </c>
      <c r="B222" s="396" t="str">
        <f aca="false">IF(A222="N/A"," ",IF(ISERROR(N222),B210*Pwresc,N222)*VLOOKUP(MONTH(A222),Curveadj,3))</f>
        <v> </v>
      </c>
      <c r="C222" s="397" t="str">
        <f aca="false">IF(A222="N/A"," ",(IF(AND(Scaler4=1,MONTH(A222)&gt;=6,MONTH(A222)&lt;=8,OR($M$37="REGION 2",$M$37="REGION 2A",$M$37="REGION 2B",$M$37="REGION 3",$M$37="REGION 3A",$M$37="REGION 3B",$M$37="REGION 3C",$M$37="REGION 4",$M$37="REGION 4B",$M$37="REGION 4C",$M$37="REGION 5",$M$37="REGION 5A")),((0.059228/(B222/100))-(0.4980013/(SQRT(B222/100)))+2.137988),HLOOKUP(MONTH(A222),ScalarTable,28))))</f>
        <v> </v>
      </c>
      <c r="D222" s="398" t="str">
        <f aca="false">IF(A222="N/A"," ",C222*B222)</f>
        <v> </v>
      </c>
      <c r="E222" s="396" t="str">
        <f aca="false">IF(A222="N/A"," ",IF(ISERROR(O222),E210*Pwresc,O222)*VLOOKUP(MONTH(A222),Curveadj,3))</f>
        <v> </v>
      </c>
      <c r="F222" s="398" t="str">
        <f aca="false">IF(A222="N/A"," ",E222*C222)</f>
        <v> </v>
      </c>
      <c r="G222" s="396" t="str">
        <f aca="false">IF(A222="N/A"," ",IF(ISERROR(P222),G210*Pwresc,P222)*VLOOKUP(MONTH(A222),Curveadj,3))</f>
        <v> </v>
      </c>
      <c r="H222" s="398" t="str">
        <f aca="false">IF(A222="N/A"," ",G222*C222)</f>
        <v> </v>
      </c>
      <c r="I222" s="398" t="str">
        <f aca="false">IF(A222="N/A"," ",IF(ISERROR(Q222),I210*Pwresc,Q222))</f>
        <v> </v>
      </c>
      <c r="J222" s="398"/>
      <c r="K222" s="399"/>
      <c r="L222" s="399"/>
      <c r="M222" s="404"/>
      <c r="N222" s="401" t="str">
        <f aca="false">IF(A222="N/A"," ",VLOOKUP(A222,PeakPowerCurves,(IF(BMO4=2,3,IF(BMO4=1,2,4))),FALSE()))</f>
        <v> </v>
      </c>
      <c r="O222" s="401" t="str">
        <f aca="false">IF(A222="N/A"," ",VLOOKUP(A222,SatSunPeakPwr,(IF(BMO4=2,3,IF(BMO4=1,2,4))),FALSE()))</f>
        <v> </v>
      </c>
      <c r="P222" s="401" t="str">
        <f aca="false">IF(A222="N/A"," ",VLOOKUP(A222,SatSunPeakPwr,(IF(BMO4=2,7,IF(BMO4=1,6,8))),FALSE()))</f>
        <v> </v>
      </c>
      <c r="Q222" s="402" t="str">
        <f aca="false">IF(A222="N/A"," ",(VLOOKUP(A222,OPPowerPrices,(IF(BMO4=2,7,IF(BMO4=1,6,8))),FALSE())))</f>
        <v> </v>
      </c>
      <c r="R222" s="403" t="str">
        <f aca="false">IF(A222="N/A"," ",(VLOOKUP($A222,IRTable,2)))</f>
        <v> </v>
      </c>
      <c r="AF222" s="352" t="n">
        <v>43191</v>
      </c>
      <c r="AG222" s="311" t="n">
        <v>21</v>
      </c>
      <c r="AH222" s="311" t="n">
        <v>4</v>
      </c>
      <c r="AI222" s="311" t="n">
        <v>5</v>
      </c>
      <c r="AJ222" s="311" t="n">
        <v>0</v>
      </c>
      <c r="AK222" s="311" t="n">
        <v>30</v>
      </c>
      <c r="AU222" s="406"/>
    </row>
    <row r="223" customFormat="false" ht="12.75" hidden="false" customHeight="false" outlineLevel="0" collapsed="false">
      <c r="A223" s="352" t="str">
        <f aca="false">Option4!A190</f>
        <v>N/A</v>
      </c>
      <c r="B223" s="396" t="str">
        <f aca="false">IF(A223="N/A"," ",IF(ISERROR(N223),B211*Pwresc,N223)*VLOOKUP(MONTH(A223),Curveadj,3))</f>
        <v> </v>
      </c>
      <c r="C223" s="397" t="str">
        <f aca="false">IF(A223="N/A"," ",(IF(AND(Scaler4=1,MONTH(A223)&gt;=6,MONTH(A223)&lt;=8,OR($M$37="REGION 2",$M$37="REGION 2A",$M$37="REGION 2B",$M$37="REGION 3",$M$37="REGION 3A",$M$37="REGION 3B",$M$37="REGION 3C",$M$37="REGION 4",$M$37="REGION 4B",$M$37="REGION 4C",$M$37="REGION 5",$M$37="REGION 5A")),((0.059228/(B223/100))-(0.4980013/(SQRT(B223/100)))+2.137988),HLOOKUP(MONTH(A223),ScalarTable,28))))</f>
        <v> </v>
      </c>
      <c r="D223" s="398" t="str">
        <f aca="false">IF(A223="N/A"," ",C223*B223)</f>
        <v> </v>
      </c>
      <c r="E223" s="396" t="str">
        <f aca="false">IF(A223="N/A"," ",IF(ISERROR(O223),E211*Pwresc,O223)*VLOOKUP(MONTH(A223),Curveadj,3))</f>
        <v> </v>
      </c>
      <c r="F223" s="398" t="str">
        <f aca="false">IF(A223="N/A"," ",E223*C223)</f>
        <v> </v>
      </c>
      <c r="G223" s="396" t="str">
        <f aca="false">IF(A223="N/A"," ",IF(ISERROR(P223),G211*Pwresc,P223)*VLOOKUP(MONTH(A223),Curveadj,3))</f>
        <v> </v>
      </c>
      <c r="H223" s="398" t="str">
        <f aca="false">IF(A223="N/A"," ",G223*C223)</f>
        <v> </v>
      </c>
      <c r="I223" s="398" t="str">
        <f aca="false">IF(A223="N/A"," ",IF(ISERROR(Q223),I211*Pwresc,Q223))</f>
        <v> </v>
      </c>
      <c r="J223" s="398"/>
      <c r="K223" s="399"/>
      <c r="L223" s="399"/>
      <c r="M223" s="404"/>
      <c r="N223" s="401" t="str">
        <f aca="false">IF(A223="N/A"," ",VLOOKUP(A223,PeakPowerCurves,(IF(BMO4=2,3,IF(BMO4=1,2,4))),FALSE()))</f>
        <v> </v>
      </c>
      <c r="O223" s="401" t="str">
        <f aca="false">IF(A223="N/A"," ",VLOOKUP(A223,SatSunPeakPwr,(IF(BMO4=2,3,IF(BMO4=1,2,4))),FALSE()))</f>
        <v> </v>
      </c>
      <c r="P223" s="401" t="str">
        <f aca="false">IF(A223="N/A"," ",VLOOKUP(A223,SatSunPeakPwr,(IF(BMO4=2,7,IF(BMO4=1,6,8))),FALSE()))</f>
        <v> </v>
      </c>
      <c r="Q223" s="402" t="str">
        <f aca="false">IF(A223="N/A"," ",(VLOOKUP(A223,OPPowerPrices,(IF(BMO4=2,7,IF(BMO4=1,6,8))),FALSE())))</f>
        <v> </v>
      </c>
      <c r="R223" s="403" t="str">
        <f aca="false">IF(A223="N/A"," ",(VLOOKUP($A223,IRTable,2)))</f>
        <v> </v>
      </c>
      <c r="AF223" s="352" t="n">
        <v>43221</v>
      </c>
      <c r="AG223" s="311" t="n">
        <v>22</v>
      </c>
      <c r="AH223" s="311" t="n">
        <v>4</v>
      </c>
      <c r="AI223" s="311" t="n">
        <v>5</v>
      </c>
      <c r="AJ223" s="311" t="n">
        <v>1</v>
      </c>
      <c r="AK223" s="311" t="n">
        <v>31</v>
      </c>
      <c r="AU223" s="406"/>
    </row>
    <row r="224" customFormat="false" ht="12.75" hidden="false" customHeight="false" outlineLevel="0" collapsed="false">
      <c r="A224" s="352" t="str">
        <f aca="false">Option4!A191</f>
        <v>N/A</v>
      </c>
      <c r="B224" s="396" t="str">
        <f aca="false">IF(A224="N/A"," ",IF(ISERROR(N224),B212*Pwresc,N224)*VLOOKUP(MONTH(A224),Curveadj,3))</f>
        <v> </v>
      </c>
      <c r="C224" s="397" t="str">
        <f aca="false">IF(A224="N/A"," ",(IF(AND(Scaler4=1,MONTH(A224)&gt;=6,MONTH(A224)&lt;=8,OR($M$37="REGION 2",$M$37="REGION 2A",$M$37="REGION 2B",$M$37="REGION 3",$M$37="REGION 3A",$M$37="REGION 3B",$M$37="REGION 3C",$M$37="REGION 4",$M$37="REGION 4B",$M$37="REGION 4C",$M$37="REGION 5",$M$37="REGION 5A")),((0.059228/(B224/100))-(0.4980013/(SQRT(B224/100)))+2.137988),HLOOKUP(MONTH(A224),ScalarTable,28))))</f>
        <v> </v>
      </c>
      <c r="D224" s="398" t="str">
        <f aca="false">IF(A224="N/A"," ",C224*B224)</f>
        <v> </v>
      </c>
      <c r="E224" s="396" t="str">
        <f aca="false">IF(A224="N/A"," ",IF(ISERROR(O224),E212*Pwresc,O224)*VLOOKUP(MONTH(A224),Curveadj,3))</f>
        <v> </v>
      </c>
      <c r="F224" s="398" t="str">
        <f aca="false">IF(A224="N/A"," ",E224*C224)</f>
        <v> </v>
      </c>
      <c r="G224" s="396" t="str">
        <f aca="false">IF(A224="N/A"," ",IF(ISERROR(P224),G212*Pwresc,P224)*VLOOKUP(MONTH(A224),Curveadj,3))</f>
        <v> </v>
      </c>
      <c r="H224" s="398" t="str">
        <f aca="false">IF(A224="N/A"," ",G224*C224)</f>
        <v> </v>
      </c>
      <c r="I224" s="398" t="str">
        <f aca="false">IF(A224="N/A"," ",IF(ISERROR(Q224),I212*Pwresc,Q224))</f>
        <v> </v>
      </c>
      <c r="J224" s="398"/>
      <c r="K224" s="399"/>
      <c r="L224" s="399"/>
      <c r="M224" s="404"/>
      <c r="N224" s="401" t="str">
        <f aca="false">IF(A224="N/A"," ",VLOOKUP(A224,PeakPowerCurves,(IF(BMO4=2,3,IF(BMO4=1,2,4))),FALSE()))</f>
        <v> </v>
      </c>
      <c r="O224" s="401" t="str">
        <f aca="false">IF(A224="N/A"," ",VLOOKUP(A224,SatSunPeakPwr,(IF(BMO4=2,3,IF(BMO4=1,2,4))),FALSE()))</f>
        <v> </v>
      </c>
      <c r="P224" s="401" t="str">
        <f aca="false">IF(A224="N/A"," ",VLOOKUP(A224,SatSunPeakPwr,(IF(BMO4=2,7,IF(BMO4=1,6,8))),FALSE()))</f>
        <v> </v>
      </c>
      <c r="Q224" s="402" t="str">
        <f aca="false">IF(A224="N/A"," ",(VLOOKUP(A224,OPPowerPrices,(IF(BMO4=2,7,IF(BMO4=1,6,8))),FALSE())))</f>
        <v> </v>
      </c>
      <c r="R224" s="403" t="str">
        <f aca="false">IF(A224="N/A"," ",(VLOOKUP($A224,IRTable,2)))</f>
        <v> </v>
      </c>
      <c r="AF224" s="352" t="n">
        <v>43252</v>
      </c>
      <c r="AG224" s="311" t="n">
        <v>21</v>
      </c>
      <c r="AH224" s="311" t="n">
        <v>5</v>
      </c>
      <c r="AI224" s="311" t="n">
        <v>4</v>
      </c>
      <c r="AJ224" s="311" t="n">
        <v>0</v>
      </c>
      <c r="AK224" s="311" t="n">
        <v>30</v>
      </c>
      <c r="AU224" s="406"/>
    </row>
    <row r="225" customFormat="false" ht="12.75" hidden="false" customHeight="false" outlineLevel="0" collapsed="false">
      <c r="A225" s="352" t="str">
        <f aca="false">Option4!A192</f>
        <v>N/A</v>
      </c>
      <c r="B225" s="396" t="str">
        <f aca="false">IF(A225="N/A"," ",IF(ISERROR(N225),B213*Pwresc,N225)*VLOOKUP(MONTH(A225),Curveadj,3))</f>
        <v> </v>
      </c>
      <c r="C225" s="397" t="str">
        <f aca="false">IF(A225="N/A"," ",(IF(AND(Scaler4=1,MONTH(A225)&gt;=6,MONTH(A225)&lt;=8,OR($M$37="REGION 2",$M$37="REGION 2A",$M$37="REGION 2B",$M$37="REGION 3",$M$37="REGION 3A",$M$37="REGION 3B",$M$37="REGION 3C",$M$37="REGION 4",$M$37="REGION 4B",$M$37="REGION 4C",$M$37="REGION 5",$M$37="REGION 5A")),((0.059228/(B225/100))-(0.4980013/(SQRT(B225/100)))+2.137988),HLOOKUP(MONTH(A225),ScalarTable,28))))</f>
        <v> </v>
      </c>
      <c r="D225" s="398" t="str">
        <f aca="false">IF(A225="N/A"," ",C225*B225)</f>
        <v> </v>
      </c>
      <c r="E225" s="396" t="str">
        <f aca="false">IF(A225="N/A"," ",IF(ISERROR(O225),E213*Pwresc,O225)*VLOOKUP(MONTH(A225),Curveadj,3))</f>
        <v> </v>
      </c>
      <c r="F225" s="398" t="str">
        <f aca="false">IF(A225="N/A"," ",E225*C225)</f>
        <v> </v>
      </c>
      <c r="G225" s="396" t="str">
        <f aca="false">IF(A225="N/A"," ",IF(ISERROR(P225),G213*Pwresc,P225)*VLOOKUP(MONTH(A225),Curveadj,3))</f>
        <v> </v>
      </c>
      <c r="H225" s="398" t="str">
        <f aca="false">IF(A225="N/A"," ",G225*C225)</f>
        <v> </v>
      </c>
      <c r="I225" s="398" t="str">
        <f aca="false">IF(A225="N/A"," ",IF(ISERROR(Q225),I213*Pwresc,Q225))</f>
        <v> </v>
      </c>
      <c r="J225" s="398"/>
      <c r="K225" s="399"/>
      <c r="L225" s="399"/>
      <c r="M225" s="404"/>
      <c r="N225" s="401" t="str">
        <f aca="false">IF(A225="N/A"," ",VLOOKUP(A225,PeakPowerCurves,(IF(BMO4=2,3,IF(BMO4=1,2,4))),FALSE()))</f>
        <v> </v>
      </c>
      <c r="O225" s="401" t="str">
        <f aca="false">IF(A225="N/A"," ",VLOOKUP(A225,SatSunPeakPwr,(IF(BMO4=2,3,IF(BMO4=1,2,4))),FALSE()))</f>
        <v> </v>
      </c>
      <c r="P225" s="401" t="str">
        <f aca="false">IF(A225="N/A"," ",VLOOKUP(A225,SatSunPeakPwr,(IF(BMO4=2,7,IF(BMO4=1,6,8))),FALSE()))</f>
        <v> </v>
      </c>
      <c r="Q225" s="402" t="str">
        <f aca="false">IF(A225="N/A"," ",(VLOOKUP(A225,OPPowerPrices,(IF(BMO4=2,7,IF(BMO4=1,6,8))),FALSE())))</f>
        <v> </v>
      </c>
      <c r="R225" s="403" t="str">
        <f aca="false">IF(A225="N/A"," ",(VLOOKUP($A225,IRTable,2)))</f>
        <v> </v>
      </c>
      <c r="AF225" s="352" t="n">
        <v>43282</v>
      </c>
      <c r="AG225" s="311" t="n">
        <v>21</v>
      </c>
      <c r="AH225" s="311" t="n">
        <v>4</v>
      </c>
      <c r="AI225" s="311" t="n">
        <v>6</v>
      </c>
      <c r="AJ225" s="311" t="n">
        <v>1</v>
      </c>
      <c r="AK225" s="311" t="n">
        <v>31</v>
      </c>
      <c r="AU225" s="406"/>
    </row>
    <row r="226" customFormat="false" ht="12.75" hidden="false" customHeight="false" outlineLevel="0" collapsed="false">
      <c r="A226" s="352" t="str">
        <f aca="false">Option4!A193</f>
        <v>N/A</v>
      </c>
      <c r="B226" s="396" t="str">
        <f aca="false">IF(A226="N/A"," ",IF(ISERROR(N226),B214*Pwresc,N226)*VLOOKUP(MONTH(A226),Curveadj,3))</f>
        <v> </v>
      </c>
      <c r="C226" s="397" t="str">
        <f aca="false">IF(A226="N/A"," ",(IF(AND(Scaler4=1,MONTH(A226)&gt;=6,MONTH(A226)&lt;=8,OR($M$37="REGION 2",$M$37="REGION 2A",$M$37="REGION 2B",$M$37="REGION 3",$M$37="REGION 3A",$M$37="REGION 3B",$M$37="REGION 3C",$M$37="REGION 4",$M$37="REGION 4B",$M$37="REGION 4C",$M$37="REGION 5",$M$37="REGION 5A")),((0.059228/(B226/100))-(0.4980013/(SQRT(B226/100)))+2.137988),HLOOKUP(MONTH(A226),ScalarTable,28))))</f>
        <v> </v>
      </c>
      <c r="D226" s="398" t="str">
        <f aca="false">IF(A226="N/A"," ",C226*B226)</f>
        <v> </v>
      </c>
      <c r="E226" s="396" t="str">
        <f aca="false">IF(A226="N/A"," ",IF(ISERROR(O226),E214*Pwresc,O226)*VLOOKUP(MONTH(A226),Curveadj,3))</f>
        <v> </v>
      </c>
      <c r="F226" s="398" t="str">
        <f aca="false">IF(A226="N/A"," ",E226*C226)</f>
        <v> </v>
      </c>
      <c r="G226" s="396" t="str">
        <f aca="false">IF(A226="N/A"," ",IF(ISERROR(P226),G214*Pwresc,P226)*VLOOKUP(MONTH(A226),Curveadj,3))</f>
        <v> </v>
      </c>
      <c r="H226" s="398" t="str">
        <f aca="false">IF(A226="N/A"," ",G226*C226)</f>
        <v> </v>
      </c>
      <c r="I226" s="398" t="str">
        <f aca="false">IF(A226="N/A"," ",IF(ISERROR(Q226),I214*Pwresc,Q226))</f>
        <v> </v>
      </c>
      <c r="J226" s="398"/>
      <c r="K226" s="399"/>
      <c r="L226" s="399"/>
      <c r="M226" s="404"/>
      <c r="N226" s="401" t="str">
        <f aca="false">IF(A226="N/A"," ",VLOOKUP(A226,PeakPowerCurves,(IF(BMO4=2,3,IF(BMO4=1,2,4))),FALSE()))</f>
        <v> </v>
      </c>
      <c r="O226" s="401" t="str">
        <f aca="false">IF(A226="N/A"," ",VLOOKUP(A226,SatSunPeakPwr,(IF(BMO4=2,3,IF(BMO4=1,2,4))),FALSE()))</f>
        <v> </v>
      </c>
      <c r="P226" s="401" t="str">
        <f aca="false">IF(A226="N/A"," ",VLOOKUP(A226,SatSunPeakPwr,(IF(BMO4=2,7,IF(BMO4=1,6,8))),FALSE()))</f>
        <v> </v>
      </c>
      <c r="Q226" s="402" t="str">
        <f aca="false">IF(A226="N/A"," ",(VLOOKUP(A226,OPPowerPrices,(IF(BMO4=2,7,IF(BMO4=1,6,8))),FALSE())))</f>
        <v> </v>
      </c>
      <c r="R226" s="403" t="str">
        <f aca="false">IF(A226="N/A"," ",(VLOOKUP($A226,IRTable,2)))</f>
        <v> </v>
      </c>
      <c r="AF226" s="352" t="n">
        <v>43313</v>
      </c>
      <c r="AG226" s="311" t="n">
        <v>23</v>
      </c>
      <c r="AH226" s="311" t="n">
        <v>4</v>
      </c>
      <c r="AI226" s="311" t="n">
        <v>4</v>
      </c>
      <c r="AJ226" s="311" t="n">
        <v>0</v>
      </c>
      <c r="AK226" s="311" t="n">
        <v>31</v>
      </c>
      <c r="AU226" s="406"/>
    </row>
    <row r="227" customFormat="false" ht="12.75" hidden="false" customHeight="false" outlineLevel="0" collapsed="false">
      <c r="A227" s="352" t="str">
        <f aca="false">Option4!A194</f>
        <v>N/A</v>
      </c>
      <c r="B227" s="396" t="str">
        <f aca="false">IF(A227="N/A"," ",IF(ISERROR(N227),B215*Pwresc,N227)*VLOOKUP(MONTH(A227),Curveadj,3))</f>
        <v> </v>
      </c>
      <c r="C227" s="397" t="str">
        <f aca="false">IF(A227="N/A"," ",(IF(AND(Scaler4=1,MONTH(A227)&gt;=6,MONTH(A227)&lt;=8,OR($M$37="REGION 2",$M$37="REGION 2A",$M$37="REGION 2B",$M$37="REGION 3",$M$37="REGION 3A",$M$37="REGION 3B",$M$37="REGION 3C",$M$37="REGION 4",$M$37="REGION 4B",$M$37="REGION 4C",$M$37="REGION 5",$M$37="REGION 5A")),((0.059228/(B227/100))-(0.4980013/(SQRT(B227/100)))+2.137988),HLOOKUP(MONTH(A227),ScalarTable,28))))</f>
        <v> </v>
      </c>
      <c r="D227" s="398" t="str">
        <f aca="false">IF(A227="N/A"," ",C227*B227)</f>
        <v> </v>
      </c>
      <c r="E227" s="396" t="str">
        <f aca="false">IF(A227="N/A"," ",IF(ISERROR(O227),E215*Pwresc,O227)*VLOOKUP(MONTH(A227),Curveadj,3))</f>
        <v> </v>
      </c>
      <c r="F227" s="398" t="str">
        <f aca="false">IF(A227="N/A"," ",E227*C227)</f>
        <v> </v>
      </c>
      <c r="G227" s="396" t="str">
        <f aca="false">IF(A227="N/A"," ",IF(ISERROR(P227),G215*Pwresc,P227)*VLOOKUP(MONTH(A227),Curveadj,3))</f>
        <v> </v>
      </c>
      <c r="H227" s="398" t="str">
        <f aca="false">IF(A227="N/A"," ",G227*C227)</f>
        <v> </v>
      </c>
      <c r="I227" s="398" t="str">
        <f aca="false">IF(A227="N/A"," ",IF(ISERROR(Q227),I215*Pwresc,Q227))</f>
        <v> </v>
      </c>
      <c r="J227" s="398"/>
      <c r="K227" s="399"/>
      <c r="L227" s="399"/>
      <c r="M227" s="404"/>
      <c r="N227" s="401" t="str">
        <f aca="false">IF(A227="N/A"," ",VLOOKUP(A227,PeakPowerCurves,(IF(BMO4=2,3,IF(BMO4=1,2,4))),FALSE()))</f>
        <v> </v>
      </c>
      <c r="O227" s="401" t="str">
        <f aca="false">IF(A227="N/A"," ",VLOOKUP(A227,SatSunPeakPwr,(IF(BMO4=2,3,IF(BMO4=1,2,4))),FALSE()))</f>
        <v> </v>
      </c>
      <c r="P227" s="401" t="str">
        <f aca="false">IF(A227="N/A"," ",VLOOKUP(A227,SatSunPeakPwr,(IF(BMO4=2,7,IF(BMO4=1,6,8))),FALSE()))</f>
        <v> </v>
      </c>
      <c r="Q227" s="402" t="str">
        <f aca="false">IF(A227="N/A"," ",(VLOOKUP(A227,OPPowerPrices,(IF(BMO4=2,7,IF(BMO4=1,6,8))),FALSE())))</f>
        <v> </v>
      </c>
      <c r="R227" s="403" t="str">
        <f aca="false">IF(A227="N/A"," ",(VLOOKUP($A227,IRTable,2)))</f>
        <v> </v>
      </c>
      <c r="AF227" s="352" t="n">
        <v>43344</v>
      </c>
      <c r="AG227" s="311" t="n">
        <v>19</v>
      </c>
      <c r="AH227" s="311" t="n">
        <v>5</v>
      </c>
      <c r="AI227" s="311" t="n">
        <v>6</v>
      </c>
      <c r="AJ227" s="311" t="n">
        <v>1</v>
      </c>
      <c r="AK227" s="311" t="n">
        <v>30</v>
      </c>
      <c r="AU227" s="406"/>
    </row>
    <row r="228" customFormat="false" ht="12.75" hidden="false" customHeight="false" outlineLevel="0" collapsed="false">
      <c r="A228" s="352" t="str">
        <f aca="false">Option4!A195</f>
        <v>N/A</v>
      </c>
      <c r="B228" s="396" t="str">
        <f aca="false">IF(A228="N/A"," ",IF(ISERROR(N228),B216*Pwresc,N228)*VLOOKUP(MONTH(A228),Curveadj,3))</f>
        <v> </v>
      </c>
      <c r="C228" s="397" t="str">
        <f aca="false">IF(A228="N/A"," ",(IF(AND(Scaler4=1,MONTH(A228)&gt;=6,MONTH(A228)&lt;=8,OR($M$37="REGION 2",$M$37="REGION 2A",$M$37="REGION 2B",$M$37="REGION 3",$M$37="REGION 3A",$M$37="REGION 3B",$M$37="REGION 3C",$M$37="REGION 4",$M$37="REGION 4B",$M$37="REGION 4C",$M$37="REGION 5",$M$37="REGION 5A")),((0.059228/(B228/100))-(0.4980013/(SQRT(B228/100)))+2.137988),HLOOKUP(MONTH(A228),ScalarTable,28))))</f>
        <v> </v>
      </c>
      <c r="D228" s="398" t="str">
        <f aca="false">IF(A228="N/A"," ",C228*B228)</f>
        <v> </v>
      </c>
      <c r="E228" s="396" t="str">
        <f aca="false">IF(A228="N/A"," ",IF(ISERROR(O228),E216*Pwresc,O228)*VLOOKUP(MONTH(A228),Curveadj,3))</f>
        <v> </v>
      </c>
      <c r="F228" s="398" t="str">
        <f aca="false">IF(A228="N/A"," ",E228*C228)</f>
        <v> </v>
      </c>
      <c r="G228" s="396" t="str">
        <f aca="false">IF(A228="N/A"," ",IF(ISERROR(P228),G216*Pwresc,P228)*VLOOKUP(MONTH(A228),Curveadj,3))</f>
        <v> </v>
      </c>
      <c r="H228" s="398" t="str">
        <f aca="false">IF(A228="N/A"," ",G228*C228)</f>
        <v> </v>
      </c>
      <c r="I228" s="398" t="str">
        <f aca="false">IF(A228="N/A"," ",IF(ISERROR(Q228),I216*Pwresc,Q228))</f>
        <v> </v>
      </c>
      <c r="J228" s="398"/>
      <c r="K228" s="399"/>
      <c r="L228" s="399"/>
      <c r="M228" s="404"/>
      <c r="N228" s="401" t="str">
        <f aca="false">IF(A228="N/A"," ",VLOOKUP(A228,PeakPowerCurves,(IF(BMO4=2,3,IF(BMO4=1,2,4))),FALSE()))</f>
        <v> </v>
      </c>
      <c r="O228" s="401" t="str">
        <f aca="false">IF(A228="N/A"," ",VLOOKUP(A228,SatSunPeakPwr,(IF(BMO4=2,3,IF(BMO4=1,2,4))),FALSE()))</f>
        <v> </v>
      </c>
      <c r="P228" s="401" t="str">
        <f aca="false">IF(A228="N/A"," ",VLOOKUP(A228,SatSunPeakPwr,(IF(BMO4=2,7,IF(BMO4=1,6,8))),FALSE()))</f>
        <v> </v>
      </c>
      <c r="Q228" s="402" t="str">
        <f aca="false">IF(A228="N/A"," ",(VLOOKUP(A228,OPPowerPrices,(IF(BMO4=2,7,IF(BMO4=1,6,8))),FALSE())))</f>
        <v> </v>
      </c>
      <c r="R228" s="403" t="str">
        <f aca="false">IF(A228="N/A"," ",(VLOOKUP($A228,IRTable,2)))</f>
        <v> </v>
      </c>
      <c r="AF228" s="352" t="n">
        <v>43374</v>
      </c>
      <c r="AG228" s="311" t="n">
        <v>23</v>
      </c>
      <c r="AH228" s="311" t="n">
        <v>4</v>
      </c>
      <c r="AI228" s="311" t="n">
        <v>4</v>
      </c>
      <c r="AJ228" s="311" t="n">
        <v>0</v>
      </c>
      <c r="AK228" s="311" t="n">
        <v>31</v>
      </c>
      <c r="AU228" s="406"/>
    </row>
    <row r="229" customFormat="false" ht="12.75" hidden="false" customHeight="false" outlineLevel="0" collapsed="false">
      <c r="A229" s="352" t="str">
        <f aca="false">Option4!A196</f>
        <v>N/A</v>
      </c>
      <c r="B229" s="396" t="str">
        <f aca="false">IF(A229="N/A"," ",IF(ISERROR(N229),B217*Pwresc,N229)*VLOOKUP(MONTH(A229),Curveadj,3))</f>
        <v> </v>
      </c>
      <c r="C229" s="397" t="str">
        <f aca="false">IF(A229="N/A"," ",(IF(AND(Scaler4=1,MONTH(A229)&gt;=6,MONTH(A229)&lt;=8,OR($M$37="REGION 2",$M$37="REGION 2A",$M$37="REGION 2B",$M$37="REGION 3",$M$37="REGION 3A",$M$37="REGION 3B",$M$37="REGION 3C",$M$37="REGION 4",$M$37="REGION 4B",$M$37="REGION 4C",$M$37="REGION 5",$M$37="REGION 5A")),((0.059228/(B229/100))-(0.4980013/(SQRT(B229/100)))+2.137988),HLOOKUP(MONTH(A229),ScalarTable,28))))</f>
        <v> </v>
      </c>
      <c r="D229" s="398" t="str">
        <f aca="false">IF(A229="N/A"," ",C229*B229)</f>
        <v> </v>
      </c>
      <c r="E229" s="396" t="str">
        <f aca="false">IF(A229="N/A"," ",IF(ISERROR(O229),E217*Pwresc,O229)*VLOOKUP(MONTH(A229),Curveadj,3))</f>
        <v> </v>
      </c>
      <c r="F229" s="398" t="str">
        <f aca="false">IF(A229="N/A"," ",E229*C229)</f>
        <v> </v>
      </c>
      <c r="G229" s="396" t="str">
        <f aca="false">IF(A229="N/A"," ",IF(ISERROR(P229),G217*Pwresc,P229)*VLOOKUP(MONTH(A229),Curveadj,3))</f>
        <v> </v>
      </c>
      <c r="H229" s="398" t="str">
        <f aca="false">IF(A229="N/A"," ",G229*C229)</f>
        <v> </v>
      </c>
      <c r="I229" s="398" t="str">
        <f aca="false">IF(A229="N/A"," ",IF(ISERROR(Q229),I217*Pwresc,Q229))</f>
        <v> </v>
      </c>
      <c r="J229" s="398"/>
      <c r="K229" s="399"/>
      <c r="L229" s="399"/>
      <c r="M229" s="404"/>
      <c r="N229" s="401" t="str">
        <f aca="false">IF(A229="N/A"," ",VLOOKUP(A229,PeakPowerCurves,(IF(BMO4=2,3,IF(BMO4=1,2,4))),FALSE()))</f>
        <v> </v>
      </c>
      <c r="O229" s="401" t="str">
        <f aca="false">IF(A229="N/A"," ",VLOOKUP(A229,SatSunPeakPwr,(IF(BMO4=2,3,IF(BMO4=1,2,4))),FALSE()))</f>
        <v> </v>
      </c>
      <c r="P229" s="401" t="str">
        <f aca="false">IF(A229="N/A"," ",VLOOKUP(A229,SatSunPeakPwr,(IF(BMO4=2,7,IF(BMO4=1,6,8))),FALSE()))</f>
        <v> </v>
      </c>
      <c r="Q229" s="402" t="str">
        <f aca="false">IF(A229="N/A"," ",(VLOOKUP(A229,OPPowerPrices,(IF(BMO4=2,7,IF(BMO4=1,6,8))),FALSE())))</f>
        <v> </v>
      </c>
      <c r="R229" s="403" t="str">
        <f aca="false">IF(A229="N/A"," ",(VLOOKUP($A229,IRTable,2)))</f>
        <v> </v>
      </c>
      <c r="AF229" s="352" t="n">
        <v>43405</v>
      </c>
      <c r="AG229" s="311" t="n">
        <v>21</v>
      </c>
      <c r="AH229" s="311" t="n">
        <v>4</v>
      </c>
      <c r="AI229" s="311" t="n">
        <v>5</v>
      </c>
      <c r="AJ229" s="311" t="n">
        <v>1</v>
      </c>
      <c r="AK229" s="311" t="n">
        <v>30</v>
      </c>
      <c r="AU229" s="406"/>
    </row>
    <row r="230" customFormat="false" ht="12.75" hidden="false" customHeight="false" outlineLevel="0" collapsed="false">
      <c r="A230" s="352" t="str">
        <f aca="false">Option4!A197</f>
        <v>N/A</v>
      </c>
      <c r="B230" s="396" t="str">
        <f aca="false">IF(A230="N/A"," ",IF(ISERROR(N230),B218*Pwresc,N230)*VLOOKUP(MONTH(A230),Curveadj,3))</f>
        <v> </v>
      </c>
      <c r="C230" s="397" t="str">
        <f aca="false">IF(A230="N/A"," ",(IF(AND(Scaler4=1,MONTH(A230)&gt;=6,MONTH(A230)&lt;=8,OR($M$37="REGION 2",$M$37="REGION 2A",$M$37="REGION 2B",$M$37="REGION 3",$M$37="REGION 3A",$M$37="REGION 3B",$M$37="REGION 3C",$M$37="REGION 4",$M$37="REGION 4B",$M$37="REGION 4C",$M$37="REGION 5",$M$37="REGION 5A")),((0.059228/(B230/100))-(0.4980013/(SQRT(B230/100)))+2.137988),HLOOKUP(MONTH(A230),ScalarTable,28))))</f>
        <v> </v>
      </c>
      <c r="D230" s="398" t="str">
        <f aca="false">IF(A230="N/A"," ",C230*B230)</f>
        <v> </v>
      </c>
      <c r="E230" s="396" t="str">
        <f aca="false">IF(A230="N/A"," ",IF(ISERROR(O230),E218*Pwresc,O230)*VLOOKUP(MONTH(A230),Curveadj,3))</f>
        <v> </v>
      </c>
      <c r="F230" s="398" t="str">
        <f aca="false">IF(A230="N/A"," ",E230*C230)</f>
        <v> </v>
      </c>
      <c r="G230" s="396" t="str">
        <f aca="false">IF(A230="N/A"," ",IF(ISERROR(P230),G218*Pwresc,P230)*VLOOKUP(MONTH(A230),Curveadj,3))</f>
        <v> </v>
      </c>
      <c r="H230" s="398" t="str">
        <f aca="false">IF(A230="N/A"," ",G230*C230)</f>
        <v> </v>
      </c>
      <c r="I230" s="398" t="str">
        <f aca="false">IF(A230="N/A"," ",IF(ISERROR(Q230),I218*Pwresc,Q230))</f>
        <v> </v>
      </c>
      <c r="J230" s="398"/>
      <c r="K230" s="399"/>
      <c r="L230" s="399"/>
      <c r="M230" s="404"/>
      <c r="N230" s="401" t="str">
        <f aca="false">IF(A230="N/A"," ",VLOOKUP(A230,PeakPowerCurves,(IF(BMO4=2,3,IF(BMO4=1,2,4))),FALSE()))</f>
        <v> </v>
      </c>
      <c r="O230" s="401" t="str">
        <f aca="false">IF(A230="N/A"," ",VLOOKUP(A230,SatSunPeakPwr,(IF(BMO4=2,3,IF(BMO4=1,2,4))),FALSE()))</f>
        <v> </v>
      </c>
      <c r="P230" s="401" t="str">
        <f aca="false">IF(A230="N/A"," ",VLOOKUP(A230,SatSunPeakPwr,(IF(BMO4=2,7,IF(BMO4=1,6,8))),FALSE()))</f>
        <v> </v>
      </c>
      <c r="Q230" s="402" t="str">
        <f aca="false">IF(A230="N/A"," ",(VLOOKUP(A230,OPPowerPrices,(IF(BMO4=2,7,IF(BMO4=1,6,8))),FALSE())))</f>
        <v> </v>
      </c>
      <c r="R230" s="403" t="str">
        <f aca="false">IF(A230="N/A"," ",(VLOOKUP($A230,IRTable,2)))</f>
        <v> </v>
      </c>
      <c r="AF230" s="352" t="n">
        <v>43435</v>
      </c>
      <c r="AG230" s="311" t="n">
        <v>20</v>
      </c>
      <c r="AH230" s="311" t="n">
        <v>5</v>
      </c>
      <c r="AI230" s="311" t="n">
        <v>6</v>
      </c>
      <c r="AJ230" s="311" t="n">
        <v>1</v>
      </c>
      <c r="AK230" s="311" t="n">
        <v>31</v>
      </c>
      <c r="AU230" s="406"/>
    </row>
    <row r="231" customFormat="false" ht="12.75" hidden="false" customHeight="false" outlineLevel="0" collapsed="false">
      <c r="A231" s="352" t="str">
        <f aca="false">Option4!A198</f>
        <v>N/A</v>
      </c>
      <c r="B231" s="396" t="str">
        <f aca="false">IF(A231="N/A"," ",IF(ISERROR(N231),B219*Pwresc,N231)*VLOOKUP(MONTH(A231),Curveadj,3))</f>
        <v> </v>
      </c>
      <c r="C231" s="397" t="str">
        <f aca="false">IF(A231="N/A"," ",(IF(AND(Scaler4=1,MONTH(A231)&gt;=6,MONTH(A231)&lt;=8,OR($M$37="REGION 2",$M$37="REGION 2A",$M$37="REGION 2B",$M$37="REGION 3",$M$37="REGION 3A",$M$37="REGION 3B",$M$37="REGION 3C",$M$37="REGION 4",$M$37="REGION 4B",$M$37="REGION 4C",$M$37="REGION 5",$M$37="REGION 5A")),((0.059228/(B231/100))-(0.4980013/(SQRT(B231/100)))+2.137988),HLOOKUP(MONTH(A231),ScalarTable,28))))</f>
        <v> </v>
      </c>
      <c r="D231" s="398" t="str">
        <f aca="false">IF(A231="N/A"," ",C231*B231)</f>
        <v> </v>
      </c>
      <c r="E231" s="396" t="str">
        <f aca="false">IF(A231="N/A"," ",IF(ISERROR(O231),E219*Pwresc,O231)*VLOOKUP(MONTH(A231),Curveadj,3))</f>
        <v> </v>
      </c>
      <c r="F231" s="398" t="str">
        <f aca="false">IF(A231="N/A"," ",E231*C231)</f>
        <v> </v>
      </c>
      <c r="G231" s="396" t="str">
        <f aca="false">IF(A231="N/A"," ",IF(ISERROR(P231),G219*Pwresc,P231)*VLOOKUP(MONTH(A231),Curveadj,3))</f>
        <v> </v>
      </c>
      <c r="H231" s="398" t="str">
        <f aca="false">IF(A231="N/A"," ",G231*C231)</f>
        <v> </v>
      </c>
      <c r="I231" s="398" t="str">
        <f aca="false">IF(A231="N/A"," ",IF(ISERROR(Q231),I219*Pwresc,Q231))</f>
        <v> </v>
      </c>
      <c r="J231" s="398"/>
      <c r="K231" s="399"/>
      <c r="L231" s="399"/>
      <c r="M231" s="404"/>
      <c r="N231" s="401" t="str">
        <f aca="false">IF(A231="N/A"," ",VLOOKUP(A231,PeakPowerCurves,(IF(BMO4=2,3,IF(BMO4=1,2,4))),FALSE()))</f>
        <v> </v>
      </c>
      <c r="O231" s="401" t="str">
        <f aca="false">IF(A231="N/A"," ",VLOOKUP(A231,SatSunPeakPwr,(IF(BMO4=2,3,IF(BMO4=1,2,4))),FALSE()))</f>
        <v> </v>
      </c>
      <c r="P231" s="401" t="str">
        <f aca="false">IF(A231="N/A"," ",VLOOKUP(A231,SatSunPeakPwr,(IF(BMO4=2,7,IF(BMO4=1,6,8))),FALSE()))</f>
        <v> </v>
      </c>
      <c r="Q231" s="402" t="str">
        <f aca="false">IF(A231="N/A"," ",(VLOOKUP(A231,OPPowerPrices,(IF(BMO4=2,7,IF(BMO4=1,6,8))),FALSE())))</f>
        <v> </v>
      </c>
      <c r="R231" s="403" t="str">
        <f aca="false">IF(A231="N/A"," ",(VLOOKUP($A231,IRTable,2)))</f>
        <v> </v>
      </c>
      <c r="AF231" s="352" t="n">
        <v>43466</v>
      </c>
      <c r="AG231" s="311" t="n">
        <v>22</v>
      </c>
      <c r="AH231" s="311" t="n">
        <v>4</v>
      </c>
      <c r="AI231" s="311" t="n">
        <v>5</v>
      </c>
      <c r="AJ231" s="311" t="n">
        <v>1</v>
      </c>
      <c r="AK231" s="311" t="n">
        <v>31</v>
      </c>
      <c r="AU231" s="406"/>
    </row>
    <row r="232" customFormat="false" ht="12.75" hidden="false" customHeight="false" outlineLevel="0" collapsed="false">
      <c r="A232" s="352" t="str">
        <f aca="false">Option4!A199</f>
        <v>N/A</v>
      </c>
      <c r="B232" s="396" t="str">
        <f aca="false">IF(A232="N/A"," ",IF(ISERROR(N232),B220*Pwresc,N232)*VLOOKUP(MONTH(A232),Curveadj,3))</f>
        <v> </v>
      </c>
      <c r="C232" s="397" t="str">
        <f aca="false">IF(A232="N/A"," ",(IF(AND(Scaler4=1,MONTH(A232)&gt;=6,MONTH(A232)&lt;=8,OR($M$37="REGION 2",$M$37="REGION 2A",$M$37="REGION 2B",$M$37="REGION 3",$M$37="REGION 3A",$M$37="REGION 3B",$M$37="REGION 3C",$M$37="REGION 4",$M$37="REGION 4B",$M$37="REGION 4C",$M$37="REGION 5",$M$37="REGION 5A")),((0.059228/(B232/100))-(0.4980013/(SQRT(B232/100)))+2.137988),HLOOKUP(MONTH(A232),ScalarTable,28))))</f>
        <v> </v>
      </c>
      <c r="D232" s="398" t="str">
        <f aca="false">IF(A232="N/A"," ",C232*B232)</f>
        <v> </v>
      </c>
      <c r="E232" s="396" t="str">
        <f aca="false">IF(A232="N/A"," ",IF(ISERROR(O232),E220*Pwresc,O232)*VLOOKUP(MONTH(A232),Curveadj,3))</f>
        <v> </v>
      </c>
      <c r="F232" s="398" t="str">
        <f aca="false">IF(A232="N/A"," ",E232*C232)</f>
        <v> </v>
      </c>
      <c r="G232" s="396" t="str">
        <f aca="false">IF(A232="N/A"," ",IF(ISERROR(P232),G220*Pwresc,P232)*VLOOKUP(MONTH(A232),Curveadj,3))</f>
        <v> </v>
      </c>
      <c r="H232" s="398" t="str">
        <f aca="false">IF(A232="N/A"," ",G232*C232)</f>
        <v> </v>
      </c>
      <c r="I232" s="398" t="str">
        <f aca="false">IF(A232="N/A"," ",IF(ISERROR(Q232),I220*Pwresc,Q232))</f>
        <v> </v>
      </c>
      <c r="J232" s="398"/>
      <c r="K232" s="399"/>
      <c r="L232" s="399"/>
      <c r="M232" s="404"/>
      <c r="N232" s="401" t="str">
        <f aca="false">IF(A232="N/A"," ",VLOOKUP(A232,PeakPowerCurves,(IF(BMO4=2,3,IF(BMO4=1,2,4))),FALSE()))</f>
        <v> </v>
      </c>
      <c r="O232" s="401" t="str">
        <f aca="false">IF(A232="N/A"," ",VLOOKUP(A232,SatSunPeakPwr,(IF(BMO4=2,3,IF(BMO4=1,2,4))),FALSE()))</f>
        <v> </v>
      </c>
      <c r="P232" s="401" t="str">
        <f aca="false">IF(A232="N/A"," ",VLOOKUP(A232,SatSunPeakPwr,(IF(BMO4=2,7,IF(BMO4=1,6,8))),FALSE()))</f>
        <v> </v>
      </c>
      <c r="Q232" s="402" t="str">
        <f aca="false">IF(A232="N/A"," ",(VLOOKUP(A232,OPPowerPrices,(IF(BMO4=2,7,IF(BMO4=1,6,8))),FALSE())))</f>
        <v> </v>
      </c>
      <c r="R232" s="403" t="str">
        <f aca="false">IF(A232="N/A"," ",(VLOOKUP($A232,IRTable,2)))</f>
        <v> </v>
      </c>
      <c r="AF232" s="352" t="n">
        <v>43497</v>
      </c>
      <c r="AG232" s="311" t="n">
        <v>20</v>
      </c>
      <c r="AH232" s="311" t="n">
        <v>4</v>
      </c>
      <c r="AI232" s="311" t="n">
        <v>4</v>
      </c>
      <c r="AJ232" s="311" t="n">
        <v>0</v>
      </c>
      <c r="AK232" s="311" t="n">
        <v>28</v>
      </c>
      <c r="AU232" s="406"/>
    </row>
    <row r="233" customFormat="false" ht="12.75" hidden="false" customHeight="false" outlineLevel="0" collapsed="false">
      <c r="A233" s="352" t="str">
        <f aca="false">Option4!A200</f>
        <v>N/A</v>
      </c>
      <c r="B233" s="396" t="str">
        <f aca="false">IF(A233="N/A"," ",IF(ISERROR(N233),B221*Pwresc,N233)*VLOOKUP(MONTH(A233),Curveadj,3))</f>
        <v> </v>
      </c>
      <c r="C233" s="397" t="str">
        <f aca="false">IF(A233="N/A"," ",(IF(AND(Scaler4=1,MONTH(A233)&gt;=6,MONTH(A233)&lt;=8,OR($M$37="REGION 2",$M$37="REGION 2A",$M$37="REGION 2B",$M$37="REGION 3",$M$37="REGION 3A",$M$37="REGION 3B",$M$37="REGION 3C",$M$37="REGION 4",$M$37="REGION 4B",$M$37="REGION 4C",$M$37="REGION 5",$M$37="REGION 5A")),((0.059228/(B233/100))-(0.4980013/(SQRT(B233/100)))+2.137988),HLOOKUP(MONTH(A233),ScalarTable,28))))</f>
        <v> </v>
      </c>
      <c r="D233" s="398" t="str">
        <f aca="false">IF(A233="N/A"," ",C233*B233)</f>
        <v> </v>
      </c>
      <c r="E233" s="396" t="str">
        <f aca="false">IF(A233="N/A"," ",IF(ISERROR(O233),E221*Pwresc,O233)*VLOOKUP(MONTH(A233),Curveadj,3))</f>
        <v> </v>
      </c>
      <c r="F233" s="398" t="str">
        <f aca="false">IF(A233="N/A"," ",E233*C233)</f>
        <v> </v>
      </c>
      <c r="G233" s="396" t="str">
        <f aca="false">IF(A233="N/A"," ",IF(ISERROR(P233),G221*Pwresc,P233)*VLOOKUP(MONTH(A233),Curveadj,3))</f>
        <v> </v>
      </c>
      <c r="H233" s="398" t="str">
        <f aca="false">IF(A233="N/A"," ",G233*C233)</f>
        <v> </v>
      </c>
      <c r="I233" s="398" t="str">
        <f aca="false">IF(A233="N/A"," ",IF(ISERROR(Q233),I221*Pwresc,Q233))</f>
        <v> </v>
      </c>
      <c r="J233" s="398"/>
      <c r="K233" s="399"/>
      <c r="L233" s="399"/>
      <c r="M233" s="404"/>
      <c r="N233" s="401" t="str">
        <f aca="false">IF(A233="N/A"," ",VLOOKUP(A233,PeakPowerCurves,(IF(BMO4=2,3,IF(BMO4=1,2,4))),FALSE()))</f>
        <v> </v>
      </c>
      <c r="O233" s="401" t="str">
        <f aca="false">IF(A233="N/A"," ",VLOOKUP(A233,SatSunPeakPwr,(IF(BMO4=2,3,IF(BMO4=1,2,4))),FALSE()))</f>
        <v> </v>
      </c>
      <c r="P233" s="401" t="str">
        <f aca="false">IF(A233="N/A"," ",VLOOKUP(A233,SatSunPeakPwr,(IF(BMO4=2,7,IF(BMO4=1,6,8))),FALSE()))</f>
        <v> </v>
      </c>
      <c r="Q233" s="402" t="str">
        <f aca="false">IF(A233="N/A"," ",(VLOOKUP(A233,OPPowerPrices,(IF(BMO4=2,7,IF(BMO4=1,6,8))),FALSE())))</f>
        <v> </v>
      </c>
      <c r="R233" s="403" t="str">
        <f aca="false">IF(A233="N/A"," ",(VLOOKUP($A233,IRTable,2)))</f>
        <v> </v>
      </c>
      <c r="AF233" s="352" t="n">
        <v>43525</v>
      </c>
      <c r="AG233" s="311" t="n">
        <v>21</v>
      </c>
      <c r="AH233" s="311" t="n">
        <v>5</v>
      </c>
      <c r="AI233" s="311" t="n">
        <v>5</v>
      </c>
      <c r="AJ233" s="311" t="n">
        <v>0</v>
      </c>
      <c r="AK233" s="311" t="n">
        <v>31</v>
      </c>
      <c r="AU233" s="406"/>
    </row>
    <row r="234" customFormat="false" ht="12.75" hidden="false" customHeight="false" outlineLevel="0" collapsed="false">
      <c r="A234" s="352" t="str">
        <f aca="false">Option4!A201</f>
        <v>N/A</v>
      </c>
      <c r="B234" s="396" t="str">
        <f aca="false">IF(A234="N/A"," ",IF(ISERROR(N234),B222*Pwresc,N234)*VLOOKUP(MONTH(A234),Curveadj,3))</f>
        <v> </v>
      </c>
      <c r="C234" s="397" t="str">
        <f aca="false">IF(A234="N/A"," ",(IF(AND(Scaler4=1,MONTH(A234)&gt;=6,MONTH(A234)&lt;=8,OR($M$37="REGION 2",$M$37="REGION 2A",$M$37="REGION 2B",$M$37="REGION 3",$M$37="REGION 3A",$M$37="REGION 3B",$M$37="REGION 3C",$M$37="REGION 4",$M$37="REGION 4B",$M$37="REGION 4C",$M$37="REGION 5",$M$37="REGION 5A")),((0.059228/(B234/100))-(0.4980013/(SQRT(B234/100)))+2.137988),HLOOKUP(MONTH(A234),ScalarTable,28))))</f>
        <v> </v>
      </c>
      <c r="D234" s="398" t="str">
        <f aca="false">IF(A234="N/A"," ",C234*B234)</f>
        <v> </v>
      </c>
      <c r="E234" s="396" t="str">
        <f aca="false">IF(A234="N/A"," ",IF(ISERROR(O234),E222*Pwresc,O234)*VLOOKUP(MONTH(A234),Curveadj,3))</f>
        <v> </v>
      </c>
      <c r="F234" s="398" t="str">
        <f aca="false">IF(A234="N/A"," ",E234*C234)</f>
        <v> </v>
      </c>
      <c r="G234" s="396" t="str">
        <f aca="false">IF(A234="N/A"," ",IF(ISERROR(P234),G222*Pwresc,P234)*VLOOKUP(MONTH(A234),Curveadj,3))</f>
        <v> </v>
      </c>
      <c r="H234" s="398" t="str">
        <f aca="false">IF(A234="N/A"," ",G234*C234)</f>
        <v> </v>
      </c>
      <c r="I234" s="398" t="str">
        <f aca="false">IF(A234="N/A"," ",IF(ISERROR(Q234),I222*Pwresc,Q234))</f>
        <v> </v>
      </c>
      <c r="J234" s="398"/>
      <c r="K234" s="399"/>
      <c r="L234" s="399"/>
      <c r="M234" s="404"/>
      <c r="N234" s="401" t="str">
        <f aca="false">IF(A234="N/A"," ",VLOOKUP(A234,PeakPowerCurves,(IF(BMO4=2,3,IF(BMO4=1,2,4))),FALSE()))</f>
        <v> </v>
      </c>
      <c r="O234" s="401" t="str">
        <f aca="false">IF(A234="N/A"," ",VLOOKUP(A234,SatSunPeakPwr,(IF(BMO4=2,3,IF(BMO4=1,2,4))),FALSE()))</f>
        <v> </v>
      </c>
      <c r="P234" s="401" t="str">
        <f aca="false">IF(A234="N/A"," ",VLOOKUP(A234,SatSunPeakPwr,(IF(BMO4=2,7,IF(BMO4=1,6,8))),FALSE()))</f>
        <v> </v>
      </c>
      <c r="Q234" s="402" t="str">
        <f aca="false">IF(A234="N/A"," ",(VLOOKUP(A234,OPPowerPrices,(IF(BMO4=2,7,IF(BMO4=1,6,8))),FALSE())))</f>
        <v> </v>
      </c>
      <c r="R234" s="403" t="str">
        <f aca="false">IF(A234="N/A"," ",(VLOOKUP($A234,IRTable,2)))</f>
        <v> </v>
      </c>
      <c r="AF234" s="352" t="n">
        <v>43556</v>
      </c>
      <c r="AG234" s="311" t="n">
        <v>22</v>
      </c>
      <c r="AH234" s="311" t="n">
        <v>4</v>
      </c>
      <c r="AI234" s="311" t="n">
        <v>4</v>
      </c>
      <c r="AJ234" s="311" t="n">
        <v>0</v>
      </c>
      <c r="AK234" s="311" t="n">
        <v>30</v>
      </c>
      <c r="AU234" s="406"/>
    </row>
    <row r="235" customFormat="false" ht="12.75" hidden="false" customHeight="false" outlineLevel="0" collapsed="false">
      <c r="A235" s="352" t="str">
        <f aca="false">Option4!A202</f>
        <v>N/A</v>
      </c>
      <c r="B235" s="396" t="str">
        <f aca="false">IF(A235="N/A"," ",IF(ISERROR(N235),B223*Pwresc,N235)*VLOOKUP(MONTH(A235),Curveadj,3))</f>
        <v> </v>
      </c>
      <c r="C235" s="397" t="str">
        <f aca="false">IF(A235="N/A"," ",(IF(AND(Scaler4=1,MONTH(A235)&gt;=6,MONTH(A235)&lt;=8,OR($M$37="REGION 2",$M$37="REGION 2A",$M$37="REGION 2B",$M$37="REGION 3",$M$37="REGION 3A",$M$37="REGION 3B",$M$37="REGION 3C",$M$37="REGION 4",$M$37="REGION 4B",$M$37="REGION 4C",$M$37="REGION 5",$M$37="REGION 5A")),((0.059228/(B235/100))-(0.4980013/(SQRT(B235/100)))+2.137988),HLOOKUP(MONTH(A235),ScalarTable,28))))</f>
        <v> </v>
      </c>
      <c r="D235" s="398" t="str">
        <f aca="false">IF(A235="N/A"," ",C235*B235)</f>
        <v> </v>
      </c>
      <c r="E235" s="396" t="str">
        <f aca="false">IF(A235="N/A"," ",IF(ISERROR(O235),E223*Pwresc,O235)*VLOOKUP(MONTH(A235),Curveadj,3))</f>
        <v> </v>
      </c>
      <c r="F235" s="398" t="str">
        <f aca="false">IF(A235="N/A"," ",E235*C235)</f>
        <v> </v>
      </c>
      <c r="G235" s="396" t="str">
        <f aca="false">IF(A235="N/A"," ",IF(ISERROR(P235),G223*Pwresc,P235)*VLOOKUP(MONTH(A235),Curveadj,3))</f>
        <v> </v>
      </c>
      <c r="H235" s="398" t="str">
        <f aca="false">IF(A235="N/A"," ",G235*C235)</f>
        <v> </v>
      </c>
      <c r="I235" s="398" t="str">
        <f aca="false">IF(A235="N/A"," ",IF(ISERROR(Q235),I223*Pwresc,Q235))</f>
        <v> </v>
      </c>
      <c r="J235" s="398"/>
      <c r="K235" s="399"/>
      <c r="L235" s="399"/>
      <c r="M235" s="404"/>
      <c r="N235" s="401" t="str">
        <f aca="false">IF(A235="N/A"," ",VLOOKUP(A235,PeakPowerCurves,(IF(BMO4=2,3,IF(BMO4=1,2,4))),FALSE()))</f>
        <v> </v>
      </c>
      <c r="O235" s="401" t="str">
        <f aca="false">IF(A235="N/A"," ",VLOOKUP(A235,SatSunPeakPwr,(IF(BMO4=2,3,IF(BMO4=1,2,4))),FALSE()))</f>
        <v> </v>
      </c>
      <c r="P235" s="401" t="str">
        <f aca="false">IF(A235="N/A"," ",VLOOKUP(A235,SatSunPeakPwr,(IF(BMO4=2,7,IF(BMO4=1,6,8))),FALSE()))</f>
        <v> </v>
      </c>
      <c r="Q235" s="402" t="str">
        <f aca="false">IF(A235="N/A"," ",(VLOOKUP(A235,OPPowerPrices,(IF(BMO4=2,7,IF(BMO4=1,6,8))),FALSE())))</f>
        <v> </v>
      </c>
      <c r="R235" s="403" t="str">
        <f aca="false">IF(A235="N/A"," ",(VLOOKUP($A235,IRTable,2)))</f>
        <v> </v>
      </c>
      <c r="AF235" s="352" t="n">
        <v>43586</v>
      </c>
      <c r="AG235" s="311" t="n">
        <v>22</v>
      </c>
      <c r="AH235" s="311" t="n">
        <v>4</v>
      </c>
      <c r="AI235" s="311" t="n">
        <v>5</v>
      </c>
      <c r="AJ235" s="311" t="n">
        <v>1</v>
      </c>
      <c r="AK235" s="311" t="n">
        <v>31</v>
      </c>
      <c r="AU235" s="406"/>
    </row>
    <row r="236" customFormat="false" ht="12.75" hidden="false" customHeight="false" outlineLevel="0" collapsed="false">
      <c r="A236" s="352" t="str">
        <f aca="false">Option4!A203</f>
        <v>N/A</v>
      </c>
      <c r="B236" s="396" t="str">
        <f aca="false">IF(A236="N/A"," ",IF(ISERROR(N236),B224*Pwresc,N236)*VLOOKUP(MONTH(A236),Curveadj,3))</f>
        <v> </v>
      </c>
      <c r="C236" s="397" t="str">
        <f aca="false">IF(A236="N/A"," ",(IF(AND(Scaler4=1,MONTH(A236)&gt;=6,MONTH(A236)&lt;=8,OR($M$37="REGION 2",$M$37="REGION 2A",$M$37="REGION 2B",$M$37="REGION 3",$M$37="REGION 3A",$M$37="REGION 3B",$M$37="REGION 3C",$M$37="REGION 4",$M$37="REGION 4B",$M$37="REGION 4C",$M$37="REGION 5",$M$37="REGION 5A")),((0.059228/(B236/100))-(0.4980013/(SQRT(B236/100)))+2.137988),HLOOKUP(MONTH(A236),ScalarTable,28))))</f>
        <v> </v>
      </c>
      <c r="D236" s="398" t="str">
        <f aca="false">IF(A236="N/A"," ",C236*B236)</f>
        <v> </v>
      </c>
      <c r="E236" s="396" t="str">
        <f aca="false">IF(A236="N/A"," ",IF(ISERROR(O236),E224*Pwresc,O236)*VLOOKUP(MONTH(A236),Curveadj,3))</f>
        <v> </v>
      </c>
      <c r="F236" s="398" t="str">
        <f aca="false">IF(A236="N/A"," ",E236*C236)</f>
        <v> </v>
      </c>
      <c r="G236" s="396" t="str">
        <f aca="false">IF(A236="N/A"," ",IF(ISERROR(P236),G224*Pwresc,P236)*VLOOKUP(MONTH(A236),Curveadj,3))</f>
        <v> </v>
      </c>
      <c r="H236" s="398" t="str">
        <f aca="false">IF(A236="N/A"," ",G236*C236)</f>
        <v> </v>
      </c>
      <c r="I236" s="398" t="str">
        <f aca="false">IF(A236="N/A"," ",IF(ISERROR(Q236),I224*Pwresc,Q236))</f>
        <v> </v>
      </c>
      <c r="J236" s="398"/>
      <c r="K236" s="399"/>
      <c r="L236" s="399"/>
      <c r="M236" s="404"/>
      <c r="N236" s="401" t="str">
        <f aca="false">IF(A236="N/A"," ",VLOOKUP(A236,PeakPowerCurves,(IF(BMO4=2,3,IF(BMO4=1,2,4))),FALSE()))</f>
        <v> </v>
      </c>
      <c r="O236" s="401" t="str">
        <f aca="false">IF(A236="N/A"," ",VLOOKUP(A236,SatSunPeakPwr,(IF(BMO4=2,3,IF(BMO4=1,2,4))),FALSE()))</f>
        <v> </v>
      </c>
      <c r="P236" s="401" t="str">
        <f aca="false">IF(A236="N/A"," ",VLOOKUP(A236,SatSunPeakPwr,(IF(BMO4=2,7,IF(BMO4=1,6,8))),FALSE()))</f>
        <v> </v>
      </c>
      <c r="Q236" s="402" t="str">
        <f aca="false">IF(A236="N/A"," ",(VLOOKUP(A236,OPPowerPrices,(IF(BMO4=2,7,IF(BMO4=1,6,8))),FALSE())))</f>
        <v> </v>
      </c>
      <c r="R236" s="403" t="str">
        <f aca="false">IF(A236="N/A"," ",(VLOOKUP($A236,IRTable,2)))</f>
        <v> </v>
      </c>
      <c r="AF236" s="352" t="n">
        <v>43617</v>
      </c>
      <c r="AG236" s="311" t="n">
        <v>20</v>
      </c>
      <c r="AH236" s="311" t="n">
        <v>5</v>
      </c>
      <c r="AI236" s="311" t="n">
        <v>5</v>
      </c>
      <c r="AJ236" s="311" t="n">
        <v>0</v>
      </c>
      <c r="AK236" s="311" t="n">
        <v>30</v>
      </c>
      <c r="AU236" s="406"/>
    </row>
    <row r="237" customFormat="false" ht="12.75" hidden="false" customHeight="false" outlineLevel="0" collapsed="false">
      <c r="A237" s="352" t="str">
        <f aca="false">Option4!A204</f>
        <v>N/A</v>
      </c>
      <c r="B237" s="396" t="str">
        <f aca="false">IF(A237="N/A"," ",IF(ISERROR(N237),B225*Pwresc,N237)*VLOOKUP(MONTH(A237),Curveadj,3))</f>
        <v> </v>
      </c>
      <c r="C237" s="397" t="str">
        <f aca="false">IF(A237="N/A"," ",(IF(AND(Scaler4=1,MONTH(A237)&gt;=6,MONTH(A237)&lt;=8,OR($M$37="REGION 2",$M$37="REGION 2A",$M$37="REGION 2B",$M$37="REGION 3",$M$37="REGION 3A",$M$37="REGION 3B",$M$37="REGION 3C",$M$37="REGION 4",$M$37="REGION 4B",$M$37="REGION 4C",$M$37="REGION 5",$M$37="REGION 5A")),((0.059228/(B237/100))-(0.4980013/(SQRT(B237/100)))+2.137988),HLOOKUP(MONTH(A237),ScalarTable,28))))</f>
        <v> </v>
      </c>
      <c r="D237" s="398" t="str">
        <f aca="false">IF(A237="N/A"," ",C237*B237)</f>
        <v> </v>
      </c>
      <c r="E237" s="396" t="str">
        <f aca="false">IF(A237="N/A"," ",IF(ISERROR(O237),E225*Pwresc,O237)*VLOOKUP(MONTH(A237),Curveadj,3))</f>
        <v> </v>
      </c>
      <c r="F237" s="398" t="str">
        <f aca="false">IF(A237="N/A"," ",E237*C237)</f>
        <v> </v>
      </c>
      <c r="G237" s="396" t="str">
        <f aca="false">IF(A237="N/A"," ",IF(ISERROR(P237),G225*Pwresc,P237)*VLOOKUP(MONTH(A237),Curveadj,3))</f>
        <v> </v>
      </c>
      <c r="H237" s="398" t="str">
        <f aca="false">IF(A237="N/A"," ",G237*C237)</f>
        <v> </v>
      </c>
      <c r="I237" s="398" t="str">
        <f aca="false">IF(A237="N/A"," ",IF(ISERROR(Q237),I225*Pwresc,Q237))</f>
        <v> </v>
      </c>
      <c r="J237" s="398"/>
      <c r="K237" s="399"/>
      <c r="L237" s="399"/>
      <c r="M237" s="404"/>
      <c r="N237" s="401" t="str">
        <f aca="false">IF(A237="N/A"," ",VLOOKUP(A237,PeakPowerCurves,(IF(BMO4=2,3,IF(BMO4=1,2,4))),FALSE()))</f>
        <v> </v>
      </c>
      <c r="O237" s="401" t="str">
        <f aca="false">IF(A237="N/A"," ",VLOOKUP(A237,SatSunPeakPwr,(IF(BMO4=2,3,IF(BMO4=1,2,4))),FALSE()))</f>
        <v> </v>
      </c>
      <c r="P237" s="401" t="str">
        <f aca="false">IF(A237="N/A"," ",VLOOKUP(A237,SatSunPeakPwr,(IF(BMO4=2,7,IF(BMO4=1,6,8))),FALSE()))</f>
        <v> </v>
      </c>
      <c r="Q237" s="402" t="str">
        <f aca="false">IF(A237="N/A"," ",(VLOOKUP(A237,OPPowerPrices,(IF(BMO4=2,7,IF(BMO4=1,6,8))),FALSE())))</f>
        <v> </v>
      </c>
      <c r="R237" s="403" t="str">
        <f aca="false">IF(A237="N/A"," ",(VLOOKUP($A237,IRTable,2)))</f>
        <v> </v>
      </c>
      <c r="AF237" s="352" t="n">
        <v>43647</v>
      </c>
      <c r="AG237" s="311" t="n">
        <v>22</v>
      </c>
      <c r="AH237" s="311" t="n">
        <v>4</v>
      </c>
      <c r="AI237" s="311" t="n">
        <v>5</v>
      </c>
      <c r="AJ237" s="311" t="n">
        <v>1</v>
      </c>
      <c r="AK237" s="311" t="n">
        <v>31</v>
      </c>
      <c r="AU237" s="406"/>
    </row>
    <row r="238" customFormat="false" ht="12.75" hidden="false" customHeight="false" outlineLevel="0" collapsed="false">
      <c r="A238" s="352" t="str">
        <f aca="false">Option4!A205</f>
        <v>N/A</v>
      </c>
      <c r="B238" s="396" t="str">
        <f aca="false">IF(A238="N/A"," ",IF(ISERROR(N238),B226*Pwresc,N238)*VLOOKUP(MONTH(A238),Curveadj,3))</f>
        <v> </v>
      </c>
      <c r="C238" s="397" t="str">
        <f aca="false">IF(A238="N/A"," ",(IF(AND(Scaler4=1,MONTH(A238)&gt;=6,MONTH(A238)&lt;=8,OR($M$37="REGION 2",$M$37="REGION 2A",$M$37="REGION 2B",$M$37="REGION 3",$M$37="REGION 3A",$M$37="REGION 3B",$M$37="REGION 3C",$M$37="REGION 4",$M$37="REGION 4B",$M$37="REGION 4C",$M$37="REGION 5",$M$37="REGION 5A")),((0.059228/(B238/100))-(0.4980013/(SQRT(B238/100)))+2.137988),HLOOKUP(MONTH(A238),ScalarTable,28))))</f>
        <v> </v>
      </c>
      <c r="D238" s="398" t="str">
        <f aca="false">IF(A238="N/A"," ",C238*B238)</f>
        <v> </v>
      </c>
      <c r="E238" s="396" t="str">
        <f aca="false">IF(A238="N/A"," ",IF(ISERROR(O238),E226*Pwresc,O238)*VLOOKUP(MONTH(A238),Curveadj,3))</f>
        <v> </v>
      </c>
      <c r="F238" s="398" t="str">
        <f aca="false">IF(A238="N/A"," ",E238*C238)</f>
        <v> </v>
      </c>
      <c r="G238" s="396" t="str">
        <f aca="false">IF(A238="N/A"," ",IF(ISERROR(P238),G226*Pwresc,P238)*VLOOKUP(MONTH(A238),Curveadj,3))</f>
        <v> </v>
      </c>
      <c r="H238" s="398" t="str">
        <f aca="false">IF(A238="N/A"," ",G238*C238)</f>
        <v> </v>
      </c>
      <c r="I238" s="398" t="str">
        <f aca="false">IF(A238="N/A"," ",IF(ISERROR(Q238),I226*Pwresc,Q238))</f>
        <v> </v>
      </c>
      <c r="J238" s="398"/>
      <c r="K238" s="399"/>
      <c r="L238" s="399"/>
      <c r="M238" s="404"/>
      <c r="N238" s="401" t="str">
        <f aca="false">IF(A238="N/A"," ",VLOOKUP(A238,PeakPowerCurves,(IF(BMO4=2,3,IF(BMO4=1,2,4))),FALSE()))</f>
        <v> </v>
      </c>
      <c r="O238" s="401" t="str">
        <f aca="false">IF(A238="N/A"," ",VLOOKUP(A238,SatSunPeakPwr,(IF(BMO4=2,3,IF(BMO4=1,2,4))),FALSE()))</f>
        <v> </v>
      </c>
      <c r="P238" s="401" t="str">
        <f aca="false">IF(A238="N/A"," ",VLOOKUP(A238,SatSunPeakPwr,(IF(BMO4=2,7,IF(BMO4=1,6,8))),FALSE()))</f>
        <v> </v>
      </c>
      <c r="Q238" s="402" t="str">
        <f aca="false">IF(A238="N/A"," ",(VLOOKUP(A238,OPPowerPrices,(IF(BMO4=2,7,IF(BMO4=1,6,8))),FALSE())))</f>
        <v> </v>
      </c>
      <c r="R238" s="403" t="str">
        <f aca="false">IF(A238="N/A"," ",(VLOOKUP($A238,IRTable,2)))</f>
        <v> </v>
      </c>
      <c r="AF238" s="352" t="n">
        <v>43678</v>
      </c>
      <c r="AG238" s="311" t="n">
        <v>22</v>
      </c>
      <c r="AH238" s="311" t="n">
        <v>5</v>
      </c>
      <c r="AI238" s="311" t="n">
        <v>4</v>
      </c>
      <c r="AJ238" s="311" t="n">
        <v>0</v>
      </c>
      <c r="AK238" s="311" t="n">
        <v>31</v>
      </c>
      <c r="AU238" s="406"/>
    </row>
    <row r="239" customFormat="false" ht="12.75" hidden="false" customHeight="false" outlineLevel="0" collapsed="false">
      <c r="A239" s="352" t="str">
        <f aca="false">Option4!A206</f>
        <v>N/A</v>
      </c>
      <c r="B239" s="396" t="str">
        <f aca="false">IF(A239="N/A"," ",IF(ISERROR(N239),B227*Pwresc,N239)*VLOOKUP(MONTH(A239),Curveadj,3))</f>
        <v> </v>
      </c>
      <c r="C239" s="397" t="str">
        <f aca="false">IF(A239="N/A"," ",(IF(AND(Scaler4=1,MONTH(A239)&gt;=6,MONTH(A239)&lt;=8,OR($M$37="REGION 2",$M$37="REGION 2A",$M$37="REGION 2B",$M$37="REGION 3",$M$37="REGION 3A",$M$37="REGION 3B",$M$37="REGION 3C",$M$37="REGION 4",$M$37="REGION 4B",$M$37="REGION 4C",$M$37="REGION 5",$M$37="REGION 5A")),((0.059228/(B239/100))-(0.4980013/(SQRT(B239/100)))+2.137988),HLOOKUP(MONTH(A239),ScalarTable,28))))</f>
        <v> </v>
      </c>
      <c r="D239" s="398" t="str">
        <f aca="false">IF(A239="N/A"," ",C239*B239)</f>
        <v> </v>
      </c>
      <c r="E239" s="396" t="str">
        <f aca="false">IF(A239="N/A"," ",IF(ISERROR(O239),E227*Pwresc,O239)*VLOOKUP(MONTH(A239),Curveadj,3))</f>
        <v> </v>
      </c>
      <c r="F239" s="398" t="str">
        <f aca="false">IF(A239="N/A"," ",E239*C239)</f>
        <v> </v>
      </c>
      <c r="G239" s="396" t="str">
        <f aca="false">IF(A239="N/A"," ",IF(ISERROR(P239),G227*Pwresc,P239)*VLOOKUP(MONTH(A239),Curveadj,3))</f>
        <v> </v>
      </c>
      <c r="H239" s="398" t="str">
        <f aca="false">IF(A239="N/A"," ",G239*C239)</f>
        <v> </v>
      </c>
      <c r="I239" s="398" t="str">
        <f aca="false">IF(A239="N/A"," ",IF(ISERROR(Q239),I227*Pwresc,Q239))</f>
        <v> </v>
      </c>
      <c r="J239" s="398"/>
      <c r="K239" s="399"/>
      <c r="L239" s="399"/>
      <c r="M239" s="404"/>
      <c r="N239" s="401" t="str">
        <f aca="false">IF(A239="N/A"," ",VLOOKUP(A239,PeakPowerCurves,(IF(BMO4=2,3,IF(BMO4=1,2,4))),FALSE()))</f>
        <v> </v>
      </c>
      <c r="O239" s="401" t="str">
        <f aca="false">IF(A239="N/A"," ",VLOOKUP(A239,SatSunPeakPwr,(IF(BMO4=2,3,IF(BMO4=1,2,4))),FALSE()))</f>
        <v> </v>
      </c>
      <c r="P239" s="401" t="str">
        <f aca="false">IF(A239="N/A"," ",VLOOKUP(A239,SatSunPeakPwr,(IF(BMO4=2,7,IF(BMO4=1,6,8))),FALSE()))</f>
        <v> </v>
      </c>
      <c r="Q239" s="402" t="str">
        <f aca="false">IF(A239="N/A"," ",(VLOOKUP(A239,OPPowerPrices,(IF(BMO4=2,7,IF(BMO4=1,6,8))),FALSE())))</f>
        <v> </v>
      </c>
      <c r="R239" s="403" t="str">
        <f aca="false">IF(A239="N/A"," ",(VLOOKUP($A239,IRTable,2)))</f>
        <v> </v>
      </c>
      <c r="AF239" s="352" t="n">
        <v>43709</v>
      </c>
      <c r="AG239" s="311" t="n">
        <v>20</v>
      </c>
      <c r="AH239" s="311" t="n">
        <v>4</v>
      </c>
      <c r="AI239" s="311" t="n">
        <v>6</v>
      </c>
      <c r="AJ239" s="311" t="n">
        <v>1</v>
      </c>
      <c r="AK239" s="311" t="n">
        <v>30</v>
      </c>
      <c r="AU239" s="406"/>
    </row>
    <row r="240" customFormat="false" ht="12.75" hidden="false" customHeight="false" outlineLevel="0" collapsed="false">
      <c r="A240" s="352" t="str">
        <f aca="false">Option4!A207</f>
        <v>N/A</v>
      </c>
      <c r="B240" s="396" t="str">
        <f aca="false">IF(A240="N/A"," ",IF(ISERROR(N240),B228*Pwresc,N240)*VLOOKUP(MONTH(A240),Curveadj,3))</f>
        <v> </v>
      </c>
      <c r="C240" s="397" t="str">
        <f aca="false">IF(A240="N/A"," ",(IF(AND(Scaler4=1,MONTH(A240)&gt;=6,MONTH(A240)&lt;=8,OR($M$37="REGION 2",$M$37="REGION 2A",$M$37="REGION 2B",$M$37="REGION 3",$M$37="REGION 3A",$M$37="REGION 3B",$M$37="REGION 3C",$M$37="REGION 4",$M$37="REGION 4B",$M$37="REGION 4C",$M$37="REGION 5",$M$37="REGION 5A")),((0.059228/(B240/100))-(0.4980013/(SQRT(B240/100)))+2.137988),HLOOKUP(MONTH(A240),ScalarTable,28))))</f>
        <v> </v>
      </c>
      <c r="D240" s="398" t="str">
        <f aca="false">IF(A240="N/A"," ",C240*B240)</f>
        <v> </v>
      </c>
      <c r="E240" s="396" t="str">
        <f aca="false">IF(A240="N/A"," ",IF(ISERROR(O240),E228*Pwresc,O240)*VLOOKUP(MONTH(A240),Curveadj,3))</f>
        <v> </v>
      </c>
      <c r="F240" s="398" t="str">
        <f aca="false">IF(A240="N/A"," ",E240*C240)</f>
        <v> </v>
      </c>
      <c r="G240" s="396" t="str">
        <f aca="false">IF(A240="N/A"," ",IF(ISERROR(P240),G228*Pwresc,P240)*VLOOKUP(MONTH(A240),Curveadj,3))</f>
        <v> </v>
      </c>
      <c r="H240" s="398" t="str">
        <f aca="false">IF(A240="N/A"," ",G240*C240)</f>
        <v> </v>
      </c>
      <c r="I240" s="398" t="str">
        <f aca="false">IF(A240="N/A"," ",IF(ISERROR(Q240),I228*Pwresc,Q240))</f>
        <v> </v>
      </c>
      <c r="J240" s="398"/>
      <c r="K240" s="399"/>
      <c r="L240" s="399"/>
      <c r="M240" s="404"/>
      <c r="N240" s="401" t="str">
        <f aca="false">IF(A240="N/A"," ",VLOOKUP(A240,PeakPowerCurves,(IF(BMO4=2,3,IF(BMO4=1,2,4))),FALSE()))</f>
        <v> </v>
      </c>
      <c r="O240" s="401" t="str">
        <f aca="false">IF(A240="N/A"," ",VLOOKUP(A240,SatSunPeakPwr,(IF(BMO4=2,3,IF(BMO4=1,2,4))),FALSE()))</f>
        <v> </v>
      </c>
      <c r="P240" s="401" t="str">
        <f aca="false">IF(A240="N/A"," ",VLOOKUP(A240,SatSunPeakPwr,(IF(BMO4=2,7,IF(BMO4=1,6,8))),FALSE()))</f>
        <v> </v>
      </c>
      <c r="Q240" s="402" t="str">
        <f aca="false">IF(A240="N/A"," ",(VLOOKUP(A240,OPPowerPrices,(IF(BMO4=2,7,IF(BMO4=1,6,8))),FALSE())))</f>
        <v> </v>
      </c>
      <c r="R240" s="403" t="str">
        <f aca="false">IF(A240="N/A"," ",(VLOOKUP($A240,IRTable,2)))</f>
        <v> </v>
      </c>
      <c r="AF240" s="352" t="n">
        <v>43739</v>
      </c>
      <c r="AG240" s="311" t="n">
        <v>23</v>
      </c>
      <c r="AH240" s="311" t="n">
        <v>4</v>
      </c>
      <c r="AI240" s="311" t="n">
        <v>4</v>
      </c>
      <c r="AJ240" s="311" t="n">
        <v>0</v>
      </c>
      <c r="AK240" s="311" t="n">
        <v>31</v>
      </c>
      <c r="AU240" s="406"/>
    </row>
    <row r="241" customFormat="false" ht="12.75" hidden="false" customHeight="false" outlineLevel="0" collapsed="false">
      <c r="A241" s="352" t="str">
        <f aca="false">Option4!A208</f>
        <v>N/A</v>
      </c>
      <c r="B241" s="396" t="str">
        <f aca="false">IF(A241="N/A"," ",IF(ISERROR(N241),B229*Pwresc,N241)*VLOOKUP(MONTH(A241),Curveadj,3))</f>
        <v> </v>
      </c>
      <c r="C241" s="397" t="str">
        <f aca="false">IF(A241="N/A"," ",(IF(AND(Scaler4=1,MONTH(A241)&gt;=6,MONTH(A241)&lt;=8,OR($M$37="REGION 2",$M$37="REGION 2A",$M$37="REGION 2B",$M$37="REGION 3",$M$37="REGION 3A",$M$37="REGION 3B",$M$37="REGION 3C",$M$37="REGION 4",$M$37="REGION 4B",$M$37="REGION 4C",$M$37="REGION 5",$M$37="REGION 5A")),((0.059228/(B241/100))-(0.4980013/(SQRT(B241/100)))+2.137988),HLOOKUP(MONTH(A241),ScalarTable,28))))</f>
        <v> </v>
      </c>
      <c r="D241" s="398" t="str">
        <f aca="false">IF(A241="N/A"," ",C241*B241)</f>
        <v> </v>
      </c>
      <c r="E241" s="396" t="str">
        <f aca="false">IF(A241="N/A"," ",IF(ISERROR(O241),E229*Pwresc,O241)*VLOOKUP(MONTH(A241),Curveadj,3))</f>
        <v> </v>
      </c>
      <c r="F241" s="398" t="str">
        <f aca="false">IF(A241="N/A"," ",E241*C241)</f>
        <v> </v>
      </c>
      <c r="G241" s="396" t="str">
        <f aca="false">IF(A241="N/A"," ",IF(ISERROR(P241),G229*Pwresc,P241)*VLOOKUP(MONTH(A241),Curveadj,3))</f>
        <v> </v>
      </c>
      <c r="H241" s="398" t="str">
        <f aca="false">IF(A241="N/A"," ",G241*C241)</f>
        <v> </v>
      </c>
      <c r="I241" s="398" t="str">
        <f aca="false">IF(A241="N/A"," ",IF(ISERROR(Q241),I229*Pwresc,Q241))</f>
        <v> </v>
      </c>
      <c r="J241" s="398"/>
      <c r="K241" s="399"/>
      <c r="L241" s="399"/>
      <c r="M241" s="404"/>
      <c r="N241" s="401" t="str">
        <f aca="false">IF(A241="N/A"," ",VLOOKUP(A241,PeakPowerCurves,(IF(BMO4=2,3,IF(BMO4=1,2,4))),FALSE()))</f>
        <v> </v>
      </c>
      <c r="O241" s="401" t="str">
        <f aca="false">IF(A241="N/A"," ",VLOOKUP(A241,SatSunPeakPwr,(IF(BMO4=2,3,IF(BMO4=1,2,4))),FALSE()))</f>
        <v> </v>
      </c>
      <c r="P241" s="401" t="str">
        <f aca="false">IF(A241="N/A"," ",VLOOKUP(A241,SatSunPeakPwr,(IF(BMO4=2,7,IF(BMO4=1,6,8))),FALSE()))</f>
        <v> </v>
      </c>
      <c r="Q241" s="402" t="str">
        <f aca="false">IF(A241="N/A"," ",(VLOOKUP(A241,OPPowerPrices,(IF(BMO4=2,7,IF(BMO4=1,6,8))),FALSE())))</f>
        <v> </v>
      </c>
      <c r="R241" s="403" t="str">
        <f aca="false">IF(A241="N/A"," ",(VLOOKUP($A241,IRTable,2)))</f>
        <v> </v>
      </c>
      <c r="AF241" s="352" t="n">
        <v>43770</v>
      </c>
      <c r="AG241" s="311" t="n">
        <v>20</v>
      </c>
      <c r="AH241" s="311" t="n">
        <v>5</v>
      </c>
      <c r="AI241" s="311" t="n">
        <v>5</v>
      </c>
      <c r="AJ241" s="311" t="n">
        <v>1</v>
      </c>
      <c r="AK241" s="311" t="n">
        <v>30</v>
      </c>
      <c r="AU241" s="406"/>
    </row>
    <row r="242" customFormat="false" ht="12.75" hidden="false" customHeight="false" outlineLevel="0" collapsed="false">
      <c r="A242" s="352" t="str">
        <f aca="false">Option4!A209</f>
        <v>N/A</v>
      </c>
      <c r="B242" s="396" t="str">
        <f aca="false">IF(A242="N/A"," ",IF(ISERROR(N242),B230*Pwresc,N242)*VLOOKUP(MONTH(A242),Curveadj,3))</f>
        <v> </v>
      </c>
      <c r="C242" s="397" t="str">
        <f aca="false">IF(A242="N/A"," ",(IF(AND(Scaler4=1,MONTH(A242)&gt;=6,MONTH(A242)&lt;=8,OR($M$37="REGION 2",$M$37="REGION 2A",$M$37="REGION 2B",$M$37="REGION 3",$M$37="REGION 3A",$M$37="REGION 3B",$M$37="REGION 3C",$M$37="REGION 4",$M$37="REGION 4B",$M$37="REGION 4C",$M$37="REGION 5",$M$37="REGION 5A")),((0.059228/(B242/100))-(0.4980013/(SQRT(B242/100)))+2.137988),HLOOKUP(MONTH(A242),ScalarTable,28))))</f>
        <v> </v>
      </c>
      <c r="D242" s="398" t="str">
        <f aca="false">IF(A242="N/A"," ",C242*B242)</f>
        <v> </v>
      </c>
      <c r="E242" s="396" t="str">
        <f aca="false">IF(A242="N/A"," ",IF(ISERROR(O242),E230*Pwresc,O242)*VLOOKUP(MONTH(A242),Curveadj,3))</f>
        <v> </v>
      </c>
      <c r="F242" s="398" t="str">
        <f aca="false">IF(A242="N/A"," ",E242*C242)</f>
        <v> </v>
      </c>
      <c r="G242" s="396" t="str">
        <f aca="false">IF(A242="N/A"," ",IF(ISERROR(P242),G230*Pwresc,P242)*VLOOKUP(MONTH(A242),Curveadj,3))</f>
        <v> </v>
      </c>
      <c r="H242" s="398" t="str">
        <f aca="false">IF(A242="N/A"," ",G242*C242)</f>
        <v> </v>
      </c>
      <c r="I242" s="398" t="str">
        <f aca="false">IF(A242="N/A"," ",IF(ISERROR(Q242),I230*Pwresc,Q242))</f>
        <v> </v>
      </c>
      <c r="J242" s="398"/>
      <c r="K242" s="399"/>
      <c r="L242" s="399"/>
      <c r="M242" s="404"/>
      <c r="N242" s="401" t="str">
        <f aca="false">IF(A242="N/A"," ",VLOOKUP(A242,PeakPowerCurves,(IF(BMO4=2,3,IF(BMO4=1,2,4))),FALSE()))</f>
        <v> </v>
      </c>
      <c r="O242" s="401" t="str">
        <f aca="false">IF(A242="N/A"," ",VLOOKUP(A242,SatSunPeakPwr,(IF(BMO4=2,3,IF(BMO4=1,2,4))),FALSE()))</f>
        <v> </v>
      </c>
      <c r="P242" s="401" t="str">
        <f aca="false">IF(A242="N/A"," ",VLOOKUP(A242,SatSunPeakPwr,(IF(BMO4=2,7,IF(BMO4=1,6,8))),FALSE()))</f>
        <v> </v>
      </c>
      <c r="Q242" s="402" t="str">
        <f aca="false">IF(A242="N/A"," ",(VLOOKUP(A242,OPPowerPrices,(IF(BMO4=2,7,IF(BMO4=1,6,8))),FALSE())))</f>
        <v> </v>
      </c>
      <c r="R242" s="403" t="str">
        <f aca="false">IF(A242="N/A"," ",(VLOOKUP($A242,IRTable,2)))</f>
        <v> </v>
      </c>
      <c r="AF242" s="352" t="n">
        <v>43800</v>
      </c>
      <c r="AG242" s="311" t="n">
        <v>21</v>
      </c>
      <c r="AH242" s="311" t="n">
        <v>4</v>
      </c>
      <c r="AI242" s="311" t="n">
        <v>6</v>
      </c>
      <c r="AJ242" s="311" t="n">
        <v>1</v>
      </c>
      <c r="AK242" s="311" t="n">
        <v>31</v>
      </c>
      <c r="AU242" s="406"/>
    </row>
    <row r="243" customFormat="false" ht="12.75" hidden="false" customHeight="false" outlineLevel="0" collapsed="false">
      <c r="A243" s="352" t="str">
        <f aca="false">Option4!A210</f>
        <v>N/A</v>
      </c>
      <c r="B243" s="396" t="str">
        <f aca="false">IF(A243="N/A"," ",IF(ISERROR(N243),B231*Pwresc,N243)*VLOOKUP(MONTH(A243),Curveadj,3))</f>
        <v> </v>
      </c>
      <c r="C243" s="397" t="str">
        <f aca="false">IF(A243="N/A"," ",(IF(AND(Scaler4=1,MONTH(A243)&gt;=6,MONTH(A243)&lt;=8,OR($M$37="REGION 2",$M$37="REGION 2A",$M$37="REGION 2B",$M$37="REGION 3",$M$37="REGION 3A",$M$37="REGION 3B",$M$37="REGION 3C",$M$37="REGION 4",$M$37="REGION 4B",$M$37="REGION 4C",$M$37="REGION 5",$M$37="REGION 5A")),((0.059228/(B243/100))-(0.4980013/(SQRT(B243/100)))+2.137988),HLOOKUP(MONTH(A243),ScalarTable,28))))</f>
        <v> </v>
      </c>
      <c r="D243" s="398" t="str">
        <f aca="false">IF(A243="N/A"," ",C243*B243)</f>
        <v> </v>
      </c>
      <c r="E243" s="396" t="str">
        <f aca="false">IF(A243="N/A"," ",IF(ISERROR(O243),E231*Pwresc,O243)*VLOOKUP(MONTH(A243),Curveadj,3))</f>
        <v> </v>
      </c>
      <c r="F243" s="398" t="str">
        <f aca="false">IF(A243="N/A"," ",E243*C243)</f>
        <v> </v>
      </c>
      <c r="G243" s="396" t="str">
        <f aca="false">IF(A243="N/A"," ",IF(ISERROR(P243),G231*Pwresc,P243)*VLOOKUP(MONTH(A243),Curveadj,3))</f>
        <v> </v>
      </c>
      <c r="H243" s="398" t="str">
        <f aca="false">IF(A243="N/A"," ",G243*C243)</f>
        <v> </v>
      </c>
      <c r="I243" s="398" t="str">
        <f aca="false">IF(A243="N/A"," ",IF(ISERROR(Q243),I231*Pwresc,Q243))</f>
        <v> </v>
      </c>
      <c r="J243" s="398"/>
      <c r="K243" s="399"/>
      <c r="L243" s="399"/>
      <c r="M243" s="404"/>
      <c r="N243" s="401" t="str">
        <f aca="false">IF(A243="N/A"," ",VLOOKUP(A243,PeakPowerCurves,(IF(BMO4=2,3,IF(BMO4=1,2,4))),FALSE()))</f>
        <v> </v>
      </c>
      <c r="O243" s="401" t="str">
        <f aca="false">IF(A243="N/A"," ",VLOOKUP(A243,SatSunPeakPwr,(IF(BMO4=2,3,IF(BMO4=1,2,4))),FALSE()))</f>
        <v> </v>
      </c>
      <c r="P243" s="401" t="str">
        <f aca="false">IF(A243="N/A"," ",VLOOKUP(A243,SatSunPeakPwr,(IF(BMO4=2,7,IF(BMO4=1,6,8))),FALSE()))</f>
        <v> </v>
      </c>
      <c r="Q243" s="402" t="str">
        <f aca="false">IF(A243="N/A"," ",(VLOOKUP(A243,OPPowerPrices,(IF(BMO4=2,7,IF(BMO4=1,6,8))),FALSE())))</f>
        <v> </v>
      </c>
      <c r="R243" s="403" t="str">
        <f aca="false">IF(A243="N/A"," ",(VLOOKUP($A243,IRTable,2)))</f>
        <v> </v>
      </c>
      <c r="AF243" s="352" t="n">
        <v>43831</v>
      </c>
      <c r="AG243" s="311" t="n">
        <v>22</v>
      </c>
      <c r="AH243" s="311" t="n">
        <v>4</v>
      </c>
      <c r="AI243" s="311" t="n">
        <v>5</v>
      </c>
      <c r="AJ243" s="311" t="n">
        <v>1</v>
      </c>
      <c r="AK243" s="311" t="n">
        <v>31</v>
      </c>
      <c r="AU243" s="406"/>
    </row>
    <row r="244" customFormat="false" ht="12.75" hidden="false" customHeight="false" outlineLevel="0" collapsed="false">
      <c r="A244" s="352" t="str">
        <f aca="false">Option4!A211</f>
        <v>N/A</v>
      </c>
      <c r="B244" s="396" t="str">
        <f aca="false">IF(A244="N/A"," ",IF(ISERROR(N244),B232*Pwresc,N244)*VLOOKUP(MONTH(A244),Curveadj,3))</f>
        <v> </v>
      </c>
      <c r="C244" s="397" t="str">
        <f aca="false">IF(A244="N/A"," ",(IF(AND(Scaler4=1,MONTH(A244)&gt;=6,MONTH(A244)&lt;=8,OR($M$37="REGION 2",$M$37="REGION 2A",$M$37="REGION 2B",$M$37="REGION 3",$M$37="REGION 3A",$M$37="REGION 3B",$M$37="REGION 3C",$M$37="REGION 4",$M$37="REGION 4B",$M$37="REGION 4C",$M$37="REGION 5",$M$37="REGION 5A")),((0.059228/(B244/100))-(0.4980013/(SQRT(B244/100)))+2.137988),HLOOKUP(MONTH(A244),ScalarTable,28))))</f>
        <v> </v>
      </c>
      <c r="D244" s="398" t="str">
        <f aca="false">IF(A244="N/A"," ",C244*B244)</f>
        <v> </v>
      </c>
      <c r="E244" s="396" t="str">
        <f aca="false">IF(A244="N/A"," ",IF(ISERROR(O244),E232*Pwresc,O244)*VLOOKUP(MONTH(A244),Curveadj,3))</f>
        <v> </v>
      </c>
      <c r="F244" s="398" t="str">
        <f aca="false">IF(A244="N/A"," ",E244*C244)</f>
        <v> </v>
      </c>
      <c r="G244" s="396" t="str">
        <f aca="false">IF(A244="N/A"," ",IF(ISERROR(P244),G232*Pwresc,P244)*VLOOKUP(MONTH(A244),Curveadj,3))</f>
        <v> </v>
      </c>
      <c r="H244" s="398" t="str">
        <f aca="false">IF(A244="N/A"," ",G244*C244)</f>
        <v> </v>
      </c>
      <c r="I244" s="398" t="str">
        <f aca="false">IF(A244="N/A"," ",IF(ISERROR(Q244),I232*Pwresc,Q244))</f>
        <v> </v>
      </c>
      <c r="J244" s="398"/>
      <c r="K244" s="399"/>
      <c r="L244" s="399"/>
      <c r="M244" s="404"/>
      <c r="N244" s="401" t="str">
        <f aca="false">IF(A244="N/A"," ",VLOOKUP(A244,PeakPowerCurves,(IF(BMO4=2,3,IF(BMO4=1,2,4))),FALSE()))</f>
        <v> </v>
      </c>
      <c r="O244" s="401" t="str">
        <f aca="false">IF(A244="N/A"," ",VLOOKUP(A244,SatSunPeakPwr,(IF(BMO4=2,3,IF(BMO4=1,2,4))),FALSE()))</f>
        <v> </v>
      </c>
      <c r="P244" s="401" t="str">
        <f aca="false">IF(A244="N/A"," ",VLOOKUP(A244,SatSunPeakPwr,(IF(BMO4=2,7,IF(BMO4=1,6,8))),FALSE()))</f>
        <v> </v>
      </c>
      <c r="Q244" s="402" t="str">
        <f aca="false">IF(A244="N/A"," ",(VLOOKUP(A244,OPPowerPrices,(IF(BMO4=2,7,IF(BMO4=1,6,8))),FALSE())))</f>
        <v> </v>
      </c>
      <c r="R244" s="403" t="str">
        <f aca="false">IF(A244="N/A"," ",(VLOOKUP($A244,IRTable,2)))</f>
        <v> </v>
      </c>
      <c r="AF244" s="352" t="n">
        <v>43862</v>
      </c>
      <c r="AG244" s="311" t="n">
        <v>20</v>
      </c>
      <c r="AH244" s="311" t="n">
        <v>5</v>
      </c>
      <c r="AI244" s="311" t="n">
        <v>4</v>
      </c>
      <c r="AJ244" s="311" t="n">
        <v>0</v>
      </c>
      <c r="AK244" s="311" t="n">
        <v>29</v>
      </c>
      <c r="AU244" s="406"/>
    </row>
    <row r="245" customFormat="false" ht="12.75" hidden="false" customHeight="false" outlineLevel="0" collapsed="false">
      <c r="A245" s="352" t="str">
        <f aca="false">Option4!A212</f>
        <v>N/A</v>
      </c>
      <c r="B245" s="396" t="str">
        <f aca="false">IF(A245="N/A"," ",IF(ISERROR(N245),B233*Pwresc,N245)*VLOOKUP(MONTH(A245),Curveadj,3))</f>
        <v> </v>
      </c>
      <c r="C245" s="397" t="str">
        <f aca="false">IF(A245="N/A"," ",(IF(AND(Scaler4=1,MONTH(A245)&gt;=6,MONTH(A245)&lt;=8,OR($M$37="REGION 2",$M$37="REGION 2A",$M$37="REGION 2B",$M$37="REGION 3",$M$37="REGION 3A",$M$37="REGION 3B",$M$37="REGION 3C",$M$37="REGION 4",$M$37="REGION 4B",$M$37="REGION 4C",$M$37="REGION 5",$M$37="REGION 5A")),((0.059228/(B245/100))-(0.4980013/(SQRT(B245/100)))+2.137988),HLOOKUP(MONTH(A245),ScalarTable,28))))</f>
        <v> </v>
      </c>
      <c r="D245" s="398" t="str">
        <f aca="false">IF(A245="N/A"," ",C245*B245)</f>
        <v> </v>
      </c>
      <c r="E245" s="396" t="str">
        <f aca="false">IF(A245="N/A"," ",IF(ISERROR(O245),E233*Pwresc,O245)*VLOOKUP(MONTH(A245),Curveadj,3))</f>
        <v> </v>
      </c>
      <c r="F245" s="398" t="str">
        <f aca="false">IF(A245="N/A"," ",E245*C245)</f>
        <v> </v>
      </c>
      <c r="G245" s="396" t="str">
        <f aca="false">IF(A245="N/A"," ",IF(ISERROR(P245),G233*Pwresc,P245)*VLOOKUP(MONTH(A245),Curveadj,3))</f>
        <v> </v>
      </c>
      <c r="H245" s="398" t="str">
        <f aca="false">IF(A245="N/A"," ",G245*C245)</f>
        <v> </v>
      </c>
      <c r="I245" s="398" t="str">
        <f aca="false">IF(A245="N/A"," ",IF(ISERROR(Q245),I233*Pwresc,Q245))</f>
        <v> </v>
      </c>
      <c r="J245" s="398"/>
      <c r="K245" s="399"/>
      <c r="L245" s="399"/>
      <c r="M245" s="404"/>
      <c r="N245" s="401" t="str">
        <f aca="false">IF(A245="N/A"," ",VLOOKUP(A245,PeakPowerCurves,(IF(BMO4=2,3,IF(BMO4=1,2,4))),FALSE()))</f>
        <v> </v>
      </c>
      <c r="O245" s="401" t="str">
        <f aca="false">IF(A245="N/A"," ",VLOOKUP(A245,SatSunPeakPwr,(IF(BMO4=2,3,IF(BMO4=1,2,4))),FALSE()))</f>
        <v> </v>
      </c>
      <c r="P245" s="401" t="str">
        <f aca="false">IF(A245="N/A"," ",VLOOKUP(A245,SatSunPeakPwr,(IF(BMO4=2,7,IF(BMO4=1,6,8))),FALSE()))</f>
        <v> </v>
      </c>
      <c r="Q245" s="402" t="str">
        <f aca="false">IF(A245="N/A"," ",(VLOOKUP(A245,OPPowerPrices,(IF(BMO4=2,7,IF(BMO4=1,6,8))),FALSE())))</f>
        <v> </v>
      </c>
      <c r="R245" s="403" t="str">
        <f aca="false">IF(A245="N/A"," ",(VLOOKUP($A245,IRTable,2)))</f>
        <v> </v>
      </c>
      <c r="AF245" s="352" t="n">
        <v>43891</v>
      </c>
      <c r="AG245" s="311" t="n">
        <v>22</v>
      </c>
      <c r="AH245" s="311" t="n">
        <v>4</v>
      </c>
      <c r="AI245" s="311" t="n">
        <v>5</v>
      </c>
      <c r="AJ245" s="311" t="n">
        <v>0</v>
      </c>
      <c r="AK245" s="311" t="n">
        <v>31</v>
      </c>
      <c r="AU245" s="406"/>
    </row>
    <row r="246" customFormat="false" ht="12.75" hidden="false" customHeight="false" outlineLevel="0" collapsed="false">
      <c r="A246" s="352" t="str">
        <f aca="false">Option4!A213</f>
        <v>N/A</v>
      </c>
      <c r="B246" s="396" t="str">
        <f aca="false">IF(A246="N/A"," ",IF(ISERROR(N246),B234*Pwresc,N246)*VLOOKUP(MONTH(A246),Curveadj,3))</f>
        <v> </v>
      </c>
      <c r="C246" s="397" t="str">
        <f aca="false">IF(A246="N/A"," ",(IF(AND(Scaler4=1,MONTH(A246)&gt;=6,MONTH(A246)&lt;=8,OR($M$37="REGION 2",$M$37="REGION 2A",$M$37="REGION 2B",$M$37="REGION 3",$M$37="REGION 3A",$M$37="REGION 3B",$M$37="REGION 3C",$M$37="REGION 4",$M$37="REGION 4B",$M$37="REGION 4C",$M$37="REGION 5",$M$37="REGION 5A")),((0.059228/(B246/100))-(0.4980013/(SQRT(B246/100)))+2.137988),HLOOKUP(MONTH(A246),ScalarTable,28))))</f>
        <v> </v>
      </c>
      <c r="D246" s="398" t="str">
        <f aca="false">IF(A246="N/A"," ",C246*B246)</f>
        <v> </v>
      </c>
      <c r="E246" s="396" t="str">
        <f aca="false">IF(A246="N/A"," ",IF(ISERROR(O246),E234*Pwresc,O246)*VLOOKUP(MONTH(A246),Curveadj,3))</f>
        <v> </v>
      </c>
      <c r="F246" s="398" t="str">
        <f aca="false">IF(A246="N/A"," ",E246*C246)</f>
        <v> </v>
      </c>
      <c r="G246" s="396" t="str">
        <f aca="false">IF(A246="N/A"," ",IF(ISERROR(P246),G234*Pwresc,P246)*VLOOKUP(MONTH(A246),Curveadj,3))</f>
        <v> </v>
      </c>
      <c r="H246" s="398" t="str">
        <f aca="false">IF(A246="N/A"," ",G246*C246)</f>
        <v> </v>
      </c>
      <c r="I246" s="398" t="str">
        <f aca="false">IF(A246="N/A"," ",IF(ISERROR(Q246),I234*Pwresc,Q246))</f>
        <v> </v>
      </c>
      <c r="J246" s="398"/>
      <c r="K246" s="399"/>
      <c r="L246" s="399"/>
      <c r="M246" s="404"/>
      <c r="N246" s="401" t="str">
        <f aca="false">IF(A246="N/A"," ",VLOOKUP(A246,PeakPowerCurves,(IF(BMO4=2,3,IF(BMO4=1,2,4))),FALSE()))</f>
        <v> </v>
      </c>
      <c r="O246" s="401" t="str">
        <f aca="false">IF(A246="N/A"," ",VLOOKUP(A246,SatSunPeakPwr,(IF(BMO4=2,3,IF(BMO4=1,2,4))),FALSE()))</f>
        <v> </v>
      </c>
      <c r="P246" s="401" t="str">
        <f aca="false">IF(A246="N/A"," ",VLOOKUP(A246,SatSunPeakPwr,(IF(BMO4=2,7,IF(BMO4=1,6,8))),FALSE()))</f>
        <v> </v>
      </c>
      <c r="Q246" s="402" t="str">
        <f aca="false">IF(A246="N/A"," ",(VLOOKUP(A246,OPPowerPrices,(IF(BMO4=2,7,IF(BMO4=1,6,8))),FALSE())))</f>
        <v> </v>
      </c>
      <c r="R246" s="403" t="str">
        <f aca="false">IF(A246="N/A"," ",(VLOOKUP($A246,IRTable,2)))</f>
        <v> </v>
      </c>
      <c r="AF246" s="352" t="n">
        <v>43922</v>
      </c>
      <c r="AG246" s="311" t="n">
        <v>22</v>
      </c>
      <c r="AH246" s="311" t="n">
        <v>4</v>
      </c>
      <c r="AI246" s="311" t="n">
        <v>4</v>
      </c>
      <c r="AJ246" s="311" t="n">
        <v>0</v>
      </c>
      <c r="AK246" s="311" t="n">
        <v>30</v>
      </c>
      <c r="AU246" s="406"/>
    </row>
    <row r="247" customFormat="false" ht="12.75" hidden="false" customHeight="false" outlineLevel="0" collapsed="false">
      <c r="A247" s="352" t="str">
        <f aca="false">Option4!A214</f>
        <v>N/A</v>
      </c>
      <c r="B247" s="396" t="str">
        <f aca="false">IF(A247="N/A"," ",IF(ISERROR(N247),B235*Pwresc,N247)*VLOOKUP(MONTH(A247),Curveadj,3))</f>
        <v> </v>
      </c>
      <c r="C247" s="397" t="str">
        <f aca="false">IF(A247="N/A"," ",(IF(AND(Scaler4=1,MONTH(A247)&gt;=6,MONTH(A247)&lt;=8,OR($M$37="REGION 2",$M$37="REGION 2A",$M$37="REGION 2B",$M$37="REGION 3",$M$37="REGION 3A",$M$37="REGION 3B",$M$37="REGION 3C",$M$37="REGION 4",$M$37="REGION 4B",$M$37="REGION 4C",$M$37="REGION 5",$M$37="REGION 5A")),((0.059228/(B247/100))-(0.4980013/(SQRT(B247/100)))+2.137988),HLOOKUP(MONTH(A247),ScalarTable,28))))</f>
        <v> </v>
      </c>
      <c r="D247" s="398" t="str">
        <f aca="false">IF(A247="N/A"," ",C247*B247)</f>
        <v> </v>
      </c>
      <c r="E247" s="396" t="str">
        <f aca="false">IF(A247="N/A"," ",IF(ISERROR(O247),E235*Pwresc,O247)*VLOOKUP(MONTH(A247),Curveadj,3))</f>
        <v> </v>
      </c>
      <c r="F247" s="398" t="str">
        <f aca="false">IF(A247="N/A"," ",E247*C247)</f>
        <v> </v>
      </c>
      <c r="G247" s="396" t="str">
        <f aca="false">IF(A247="N/A"," ",IF(ISERROR(P247),G235*Pwresc,P247)*VLOOKUP(MONTH(A247),Curveadj,3))</f>
        <v> </v>
      </c>
      <c r="H247" s="398" t="str">
        <f aca="false">IF(A247="N/A"," ",G247*C247)</f>
        <v> </v>
      </c>
      <c r="I247" s="398" t="str">
        <f aca="false">IF(A247="N/A"," ",IF(ISERROR(Q247),I235*Pwresc,Q247))</f>
        <v> </v>
      </c>
      <c r="J247" s="398"/>
      <c r="K247" s="399"/>
      <c r="L247" s="399"/>
      <c r="M247" s="404"/>
      <c r="N247" s="401" t="str">
        <f aca="false">IF(A247="N/A"," ",VLOOKUP(A247,PeakPowerCurves,(IF(BMO4=2,3,IF(BMO4=1,2,4))),FALSE()))</f>
        <v> </v>
      </c>
      <c r="O247" s="401" t="str">
        <f aca="false">IF(A247="N/A"," ",VLOOKUP(A247,SatSunPeakPwr,(IF(BMO4=2,3,IF(BMO4=1,2,4))),FALSE()))</f>
        <v> </v>
      </c>
      <c r="P247" s="401" t="str">
        <f aca="false">IF(A247="N/A"," ",VLOOKUP(A247,SatSunPeakPwr,(IF(BMO4=2,7,IF(BMO4=1,6,8))),FALSE()))</f>
        <v> </v>
      </c>
      <c r="Q247" s="402" t="str">
        <f aca="false">IF(A247="N/A"," ",(VLOOKUP(A247,OPPowerPrices,(IF(BMO4=2,7,IF(BMO4=1,6,8))),FALSE())))</f>
        <v> </v>
      </c>
      <c r="R247" s="403" t="str">
        <f aca="false">IF(A247="N/A"," ",(VLOOKUP($A247,IRTable,2)))</f>
        <v> </v>
      </c>
      <c r="AF247" s="352" t="n">
        <v>43952</v>
      </c>
      <c r="AG247" s="311" t="n">
        <v>20</v>
      </c>
      <c r="AH247" s="311" t="n">
        <v>5</v>
      </c>
      <c r="AI247" s="311" t="n">
        <v>6</v>
      </c>
      <c r="AJ247" s="311" t="n">
        <v>1</v>
      </c>
      <c r="AK247" s="311" t="n">
        <v>31</v>
      </c>
      <c r="AU247" s="406"/>
    </row>
    <row r="248" customFormat="false" ht="12.75" hidden="false" customHeight="false" outlineLevel="0" collapsed="false">
      <c r="A248" s="352" t="str">
        <f aca="false">Option4!A215</f>
        <v>N/A</v>
      </c>
      <c r="B248" s="396" t="str">
        <f aca="false">IF(A248="N/A"," ",IF(ISERROR(N248),B236*Pwresc,N248)*VLOOKUP(MONTH(A248),Curveadj,3))</f>
        <v> </v>
      </c>
      <c r="C248" s="397" t="str">
        <f aca="false">IF(A248="N/A"," ",(IF(AND(Scaler4=1,MONTH(A248)&gt;=6,MONTH(A248)&lt;=8,OR($M$37="REGION 2",$M$37="REGION 2A",$M$37="REGION 2B",$M$37="REGION 3",$M$37="REGION 3A",$M$37="REGION 3B",$M$37="REGION 3C",$M$37="REGION 4",$M$37="REGION 4B",$M$37="REGION 4C",$M$37="REGION 5",$M$37="REGION 5A")),((0.059228/(B248/100))-(0.4980013/(SQRT(B248/100)))+2.137988),HLOOKUP(MONTH(A248),ScalarTable,28))))</f>
        <v> </v>
      </c>
      <c r="D248" s="398" t="str">
        <f aca="false">IF(A248="N/A"," ",C248*B248)</f>
        <v> </v>
      </c>
      <c r="E248" s="396" t="str">
        <f aca="false">IF(A248="N/A"," ",IF(ISERROR(O248),E236*Pwresc,O248)*VLOOKUP(MONTH(A248),Curveadj,3))</f>
        <v> </v>
      </c>
      <c r="F248" s="398" t="str">
        <f aca="false">IF(A248="N/A"," ",E248*C248)</f>
        <v> </v>
      </c>
      <c r="G248" s="396" t="str">
        <f aca="false">IF(A248="N/A"," ",IF(ISERROR(P248),G236*Pwresc,P248)*VLOOKUP(MONTH(A248),Curveadj,3))</f>
        <v> </v>
      </c>
      <c r="H248" s="398" t="str">
        <f aca="false">IF(A248="N/A"," ",G248*C248)</f>
        <v> </v>
      </c>
      <c r="I248" s="398" t="str">
        <f aca="false">IF(A248="N/A"," ",IF(ISERROR(Q248),I236*Pwresc,Q248))</f>
        <v> </v>
      </c>
      <c r="J248" s="398"/>
      <c r="K248" s="399"/>
      <c r="L248" s="399"/>
      <c r="M248" s="404"/>
      <c r="N248" s="401" t="str">
        <f aca="false">IF(A248="N/A"," ",VLOOKUP(A248,PeakPowerCurves,(IF(BMO4=2,3,IF(BMO4=1,2,4))),FALSE()))</f>
        <v> </v>
      </c>
      <c r="O248" s="401" t="str">
        <f aca="false">IF(A248="N/A"," ",VLOOKUP(A248,SatSunPeakPwr,(IF(BMO4=2,3,IF(BMO4=1,2,4))),FALSE()))</f>
        <v> </v>
      </c>
      <c r="P248" s="401" t="str">
        <f aca="false">IF(A248="N/A"," ",VLOOKUP(A248,SatSunPeakPwr,(IF(BMO4=2,7,IF(BMO4=1,6,8))),FALSE()))</f>
        <v> </v>
      </c>
      <c r="Q248" s="402" t="str">
        <f aca="false">IF(A248="N/A"," ",(VLOOKUP(A248,OPPowerPrices,(IF(BMO4=2,7,IF(BMO4=1,6,8))),FALSE())))</f>
        <v> </v>
      </c>
      <c r="R248" s="403" t="str">
        <f aca="false">IF(A248="N/A"," ",(VLOOKUP($A248,IRTable,2)))</f>
        <v> </v>
      </c>
      <c r="AF248" s="352" t="n">
        <v>43983</v>
      </c>
      <c r="AG248" s="311" t="n">
        <v>22</v>
      </c>
      <c r="AH248" s="311" t="n">
        <v>4</v>
      </c>
      <c r="AI248" s="311" t="n">
        <v>4</v>
      </c>
      <c r="AJ248" s="311" t="n">
        <v>0</v>
      </c>
      <c r="AK248" s="311" t="n">
        <v>30</v>
      </c>
      <c r="AU248" s="406"/>
    </row>
    <row r="249" customFormat="false" ht="12.75" hidden="false" customHeight="false" outlineLevel="0" collapsed="false">
      <c r="A249" s="352" t="str">
        <f aca="false">Option4!A216</f>
        <v>N/A</v>
      </c>
      <c r="B249" s="396" t="str">
        <f aca="false">IF(A249="N/A"," ",IF(ISERROR(N249),B237*Pwresc,N249)*VLOOKUP(MONTH(A249),Curveadj,3))</f>
        <v> </v>
      </c>
      <c r="C249" s="397" t="str">
        <f aca="false">IF(A249="N/A"," ",(IF(AND(Scaler4=1,MONTH(A249)&gt;=6,MONTH(A249)&lt;=8,OR($M$37="REGION 2",$M$37="REGION 2A",$M$37="REGION 2B",$M$37="REGION 3",$M$37="REGION 3A",$M$37="REGION 3B",$M$37="REGION 3C",$M$37="REGION 4",$M$37="REGION 4B",$M$37="REGION 4C",$M$37="REGION 5",$M$37="REGION 5A")),((0.059228/(B249/100))-(0.4980013/(SQRT(B249/100)))+2.137988),HLOOKUP(MONTH(A249),ScalarTable,28))))</f>
        <v> </v>
      </c>
      <c r="D249" s="398" t="str">
        <f aca="false">IF(A249="N/A"," ",C249*B249)</f>
        <v> </v>
      </c>
      <c r="E249" s="396" t="str">
        <f aca="false">IF(A249="N/A"," ",IF(ISERROR(O249),E237*Pwresc,O249)*VLOOKUP(MONTH(A249),Curveadj,3))</f>
        <v> </v>
      </c>
      <c r="F249" s="398" t="str">
        <f aca="false">IF(A249="N/A"," ",E249*C249)</f>
        <v> </v>
      </c>
      <c r="G249" s="396" t="str">
        <f aca="false">IF(A249="N/A"," ",IF(ISERROR(P249),G237*Pwresc,P249)*VLOOKUP(MONTH(A249),Curveadj,3))</f>
        <v> </v>
      </c>
      <c r="H249" s="398" t="str">
        <f aca="false">IF(A249="N/A"," ",G249*C249)</f>
        <v> </v>
      </c>
      <c r="I249" s="398" t="str">
        <f aca="false">IF(A249="N/A"," ",IF(ISERROR(Q249),I237*Pwresc,Q249))</f>
        <v> </v>
      </c>
      <c r="J249" s="398"/>
      <c r="K249" s="399"/>
      <c r="L249" s="399"/>
      <c r="M249" s="404"/>
      <c r="N249" s="401" t="str">
        <f aca="false">IF(A249="N/A"," ",VLOOKUP(A249,PeakPowerCurves,(IF(BMO4=2,3,IF(BMO4=1,2,4))),FALSE()))</f>
        <v> </v>
      </c>
      <c r="O249" s="401" t="str">
        <f aca="false">IF(A249="N/A"," ",VLOOKUP(A249,SatSunPeakPwr,(IF(BMO4=2,3,IF(BMO4=1,2,4))),FALSE()))</f>
        <v> </v>
      </c>
      <c r="P249" s="401" t="str">
        <f aca="false">IF(A249="N/A"," ",VLOOKUP(A249,SatSunPeakPwr,(IF(BMO4=2,7,IF(BMO4=1,6,8))),FALSE()))</f>
        <v> </v>
      </c>
      <c r="Q249" s="402" t="str">
        <f aca="false">IF(A249="N/A"," ",(VLOOKUP(A249,OPPowerPrices,(IF(BMO4=2,7,IF(BMO4=1,6,8))),FALSE())))</f>
        <v> </v>
      </c>
      <c r="R249" s="403" t="str">
        <f aca="false">IF(A249="N/A"," ",(VLOOKUP($A249,IRTable,2)))</f>
        <v> </v>
      </c>
      <c r="AF249" s="352" t="n">
        <v>44013</v>
      </c>
      <c r="AG249" s="311" t="n">
        <v>23</v>
      </c>
      <c r="AH249" s="311" t="n">
        <v>3</v>
      </c>
      <c r="AI249" s="311" t="n">
        <v>5</v>
      </c>
      <c r="AJ249" s="311" t="n">
        <v>1</v>
      </c>
      <c r="AK249" s="311" t="n">
        <v>31</v>
      </c>
      <c r="AU249" s="406"/>
    </row>
    <row r="250" customFormat="false" ht="12.75" hidden="false" customHeight="false" outlineLevel="0" collapsed="false">
      <c r="A250" s="352" t="str">
        <f aca="false">Option4!A217</f>
        <v>N/A</v>
      </c>
      <c r="B250" s="396" t="str">
        <f aca="false">IF(A250="N/A"," ",IF(ISERROR(N250),B238*Pwresc,N250)*VLOOKUP(MONTH(A250),Curveadj,3))</f>
        <v> </v>
      </c>
      <c r="C250" s="397" t="str">
        <f aca="false">IF(A250="N/A"," ",(IF(AND(Scaler4=1,MONTH(A250)&gt;=6,MONTH(A250)&lt;=8,OR($M$37="REGION 2",$M$37="REGION 2A",$M$37="REGION 2B",$M$37="REGION 3",$M$37="REGION 3A",$M$37="REGION 3B",$M$37="REGION 3C",$M$37="REGION 4",$M$37="REGION 4B",$M$37="REGION 4C",$M$37="REGION 5",$M$37="REGION 5A")),((0.059228/(B250/100))-(0.4980013/(SQRT(B250/100)))+2.137988),HLOOKUP(MONTH(A250),ScalarTable,28))))</f>
        <v> </v>
      </c>
      <c r="D250" s="398" t="str">
        <f aca="false">IF(A250="N/A"," ",C250*B250)</f>
        <v> </v>
      </c>
      <c r="E250" s="396" t="str">
        <f aca="false">IF(A250="N/A"," ",IF(ISERROR(O250),E238*Pwresc,O250)*VLOOKUP(MONTH(A250),Curveadj,3))</f>
        <v> </v>
      </c>
      <c r="F250" s="398" t="str">
        <f aca="false">IF(A250="N/A"," ",E250*C250)</f>
        <v> </v>
      </c>
      <c r="G250" s="396" t="str">
        <f aca="false">IF(A250="N/A"," ",IF(ISERROR(P250),G238*Pwresc,P250)*VLOOKUP(MONTH(A250),Curveadj,3))</f>
        <v> </v>
      </c>
      <c r="H250" s="398" t="str">
        <f aca="false">IF(A250="N/A"," ",G250*C250)</f>
        <v> </v>
      </c>
      <c r="I250" s="398" t="str">
        <f aca="false">IF(A250="N/A"," ",IF(ISERROR(Q250),I238*Pwresc,Q250))</f>
        <v> </v>
      </c>
      <c r="J250" s="398"/>
      <c r="K250" s="399"/>
      <c r="L250" s="399"/>
      <c r="M250" s="404"/>
      <c r="N250" s="401" t="str">
        <f aca="false">IF(A250="N/A"," ",VLOOKUP(A250,PeakPowerCurves,(IF(BMO4=2,3,IF(BMO4=1,2,4))),FALSE()))</f>
        <v> </v>
      </c>
      <c r="O250" s="401" t="str">
        <f aca="false">IF(A250="N/A"," ",VLOOKUP(A250,SatSunPeakPwr,(IF(BMO4=2,3,IF(BMO4=1,2,4))),FALSE()))</f>
        <v> </v>
      </c>
      <c r="P250" s="401" t="str">
        <f aca="false">IF(A250="N/A"," ",VLOOKUP(A250,SatSunPeakPwr,(IF(BMO4=2,7,IF(BMO4=1,6,8))),FALSE()))</f>
        <v> </v>
      </c>
      <c r="Q250" s="402" t="str">
        <f aca="false">IF(A250="N/A"," ",(VLOOKUP(A250,OPPowerPrices,(IF(BMO4=2,7,IF(BMO4=1,6,8))),FALSE())))</f>
        <v> </v>
      </c>
      <c r="R250" s="403" t="str">
        <f aca="false">IF(A250="N/A"," ",(VLOOKUP($A250,IRTable,2)))</f>
        <v> </v>
      </c>
      <c r="AF250" s="352" t="n">
        <v>44044</v>
      </c>
      <c r="AG250" s="311" t="n">
        <v>21</v>
      </c>
      <c r="AH250" s="311" t="n">
        <v>5</v>
      </c>
      <c r="AI250" s="311" t="n">
        <v>5</v>
      </c>
      <c r="AJ250" s="311" t="n">
        <v>0</v>
      </c>
      <c r="AK250" s="311" t="n">
        <v>31</v>
      </c>
      <c r="AU250" s="406"/>
    </row>
    <row r="251" customFormat="false" ht="12.75" hidden="false" customHeight="false" outlineLevel="0" collapsed="false">
      <c r="A251" s="352" t="str">
        <f aca="false">Option4!A218</f>
        <v>N/A</v>
      </c>
      <c r="B251" s="396" t="str">
        <f aca="false">IF(A251="N/A"," ",IF(ISERROR(N251),B239*Pwresc,N251)*VLOOKUP(MONTH(A251),Curveadj,3))</f>
        <v> </v>
      </c>
      <c r="C251" s="397" t="str">
        <f aca="false">IF(A251="N/A"," ",(IF(AND(Scaler4=1,MONTH(A251)&gt;=6,MONTH(A251)&lt;=8,OR($M$37="REGION 2",$M$37="REGION 2A",$M$37="REGION 2B",$M$37="REGION 3",$M$37="REGION 3A",$M$37="REGION 3B",$M$37="REGION 3C",$M$37="REGION 4",$M$37="REGION 4B",$M$37="REGION 4C",$M$37="REGION 5",$M$37="REGION 5A")),((0.059228/(B251/100))-(0.4980013/(SQRT(B251/100)))+2.137988),HLOOKUP(MONTH(A251),ScalarTable,28))))</f>
        <v> </v>
      </c>
      <c r="D251" s="398" t="str">
        <f aca="false">IF(A251="N/A"," ",C251*B251)</f>
        <v> </v>
      </c>
      <c r="E251" s="396" t="str">
        <f aca="false">IF(A251="N/A"," ",IF(ISERROR(O251),E239*Pwresc,O251)*VLOOKUP(MONTH(A251),Curveadj,3))</f>
        <v> </v>
      </c>
      <c r="F251" s="398" t="str">
        <f aca="false">IF(A251="N/A"," ",E251*C251)</f>
        <v> </v>
      </c>
      <c r="G251" s="396" t="str">
        <f aca="false">IF(A251="N/A"," ",IF(ISERROR(P251),G239*Pwresc,P251)*VLOOKUP(MONTH(A251),Curveadj,3))</f>
        <v> </v>
      </c>
      <c r="H251" s="398" t="str">
        <f aca="false">IF(A251="N/A"," ",G251*C251)</f>
        <v> </v>
      </c>
      <c r="I251" s="398" t="str">
        <f aca="false">IF(A251="N/A"," ",IF(ISERROR(Q251),I239*Pwresc,Q251))</f>
        <v> </v>
      </c>
      <c r="J251" s="398"/>
      <c r="K251" s="399"/>
      <c r="L251" s="399"/>
      <c r="M251" s="404"/>
      <c r="N251" s="401" t="str">
        <f aca="false">IF(A251="N/A"," ",VLOOKUP(A251,PeakPowerCurves,(IF(BMO4=2,3,IF(BMO4=1,2,4))),FALSE()))</f>
        <v> </v>
      </c>
      <c r="O251" s="401" t="str">
        <f aca="false">IF(A251="N/A"," ",VLOOKUP(A251,SatSunPeakPwr,(IF(BMO4=2,3,IF(BMO4=1,2,4))),FALSE()))</f>
        <v> </v>
      </c>
      <c r="P251" s="401" t="str">
        <f aca="false">IF(A251="N/A"," ",VLOOKUP(A251,SatSunPeakPwr,(IF(BMO4=2,7,IF(BMO4=1,6,8))),FALSE()))</f>
        <v> </v>
      </c>
      <c r="Q251" s="402" t="str">
        <f aca="false">IF(A251="N/A"," ",(VLOOKUP(A251,OPPowerPrices,(IF(BMO4=2,7,IF(BMO4=1,6,8))),FALSE())))</f>
        <v> </v>
      </c>
      <c r="R251" s="403" t="str">
        <f aca="false">IF(A251="N/A"," ",(VLOOKUP($A251,IRTable,2)))</f>
        <v> </v>
      </c>
      <c r="AF251" s="352" t="n">
        <v>44075</v>
      </c>
      <c r="AG251" s="311" t="n">
        <v>21</v>
      </c>
      <c r="AH251" s="311" t="n">
        <v>4</v>
      </c>
      <c r="AI251" s="311" t="n">
        <v>5</v>
      </c>
      <c r="AJ251" s="311" t="n">
        <v>1</v>
      </c>
      <c r="AK251" s="311" t="n">
        <v>30</v>
      </c>
      <c r="AU251" s="406"/>
    </row>
    <row r="252" customFormat="false" ht="12.75" hidden="false" customHeight="false" outlineLevel="0" collapsed="false">
      <c r="A252" s="352" t="str">
        <f aca="false">Option4!A219</f>
        <v>N/A</v>
      </c>
      <c r="B252" s="396" t="str">
        <f aca="false">IF(A252="N/A"," ",IF(ISERROR(N252),B240*Pwresc,N252)*VLOOKUP(MONTH(A252),Curveadj,3))</f>
        <v> </v>
      </c>
      <c r="C252" s="397" t="str">
        <f aca="false">IF(A252="N/A"," ",(IF(AND(Scaler4=1,MONTH(A252)&gt;=6,MONTH(A252)&lt;=8,OR($M$37="REGION 2",$M$37="REGION 2A",$M$37="REGION 2B",$M$37="REGION 3",$M$37="REGION 3A",$M$37="REGION 3B",$M$37="REGION 3C",$M$37="REGION 4",$M$37="REGION 4B",$M$37="REGION 4C",$M$37="REGION 5",$M$37="REGION 5A")),((0.059228/(B252/100))-(0.4980013/(SQRT(B252/100)))+2.137988),HLOOKUP(MONTH(A252),ScalarTable,28))))</f>
        <v> </v>
      </c>
      <c r="D252" s="398" t="str">
        <f aca="false">IF(A252="N/A"," ",C252*B252)</f>
        <v> </v>
      </c>
      <c r="E252" s="396" t="str">
        <f aca="false">IF(A252="N/A"," ",IF(ISERROR(O252),E240*Pwresc,O252)*VLOOKUP(MONTH(A252),Curveadj,3))</f>
        <v> </v>
      </c>
      <c r="F252" s="398" t="str">
        <f aca="false">IF(A252="N/A"," ",E252*C252)</f>
        <v> </v>
      </c>
      <c r="G252" s="396" t="str">
        <f aca="false">IF(A252="N/A"," ",IF(ISERROR(P252),G240*Pwresc,P252)*VLOOKUP(MONTH(A252),Curveadj,3))</f>
        <v> </v>
      </c>
      <c r="H252" s="398" t="str">
        <f aca="false">IF(A252="N/A"," ",G252*C252)</f>
        <v> </v>
      </c>
      <c r="I252" s="398" t="str">
        <f aca="false">IF(A252="N/A"," ",IF(ISERROR(Q252),I240*Pwresc,Q252))</f>
        <v> </v>
      </c>
      <c r="J252" s="398"/>
      <c r="K252" s="399"/>
      <c r="L252" s="399"/>
      <c r="M252" s="404"/>
      <c r="N252" s="401" t="str">
        <f aca="false">IF(A252="N/A"," ",VLOOKUP(A252,PeakPowerCurves,(IF(BMO4=2,3,IF(BMO4=1,2,4))),FALSE()))</f>
        <v> </v>
      </c>
      <c r="O252" s="401" t="str">
        <f aca="false">IF(A252="N/A"," ",VLOOKUP(A252,SatSunPeakPwr,(IF(BMO4=2,3,IF(BMO4=1,2,4))),FALSE()))</f>
        <v> </v>
      </c>
      <c r="P252" s="401" t="str">
        <f aca="false">IF(A252="N/A"," ",VLOOKUP(A252,SatSunPeakPwr,(IF(BMO4=2,7,IF(BMO4=1,6,8))),FALSE()))</f>
        <v> </v>
      </c>
      <c r="Q252" s="402" t="str">
        <f aca="false">IF(A252="N/A"," ",(VLOOKUP(A252,OPPowerPrices,(IF(BMO4=2,7,IF(BMO4=1,6,8))),FALSE())))</f>
        <v> </v>
      </c>
      <c r="R252" s="403" t="str">
        <f aca="false">IF(A252="N/A"," ",(VLOOKUP($A252,IRTable,2)))</f>
        <v> </v>
      </c>
      <c r="AF252" s="352" t="n">
        <v>44105</v>
      </c>
      <c r="AG252" s="311" t="n">
        <v>22</v>
      </c>
      <c r="AH252" s="311" t="n">
        <v>5</v>
      </c>
      <c r="AI252" s="311" t="n">
        <v>4</v>
      </c>
      <c r="AJ252" s="311" t="n">
        <v>0</v>
      </c>
      <c r="AK252" s="311" t="n">
        <v>31</v>
      </c>
      <c r="AU252" s="406"/>
    </row>
    <row r="253" customFormat="false" ht="12.75" hidden="false" customHeight="false" outlineLevel="0" collapsed="false">
      <c r="A253" s="352" t="str">
        <f aca="false">Option4!A220</f>
        <v>N/A</v>
      </c>
      <c r="B253" s="396" t="str">
        <f aca="false">IF(A253="N/A"," ",IF(ISERROR(N253),B241*Pwresc,N253)*VLOOKUP(MONTH(A253),Curveadj,3))</f>
        <v> </v>
      </c>
      <c r="C253" s="397" t="str">
        <f aca="false">IF(A253="N/A"," ",(IF(AND(Scaler4=1,MONTH(A253)&gt;=6,MONTH(A253)&lt;=8,OR($M$37="REGION 2",$M$37="REGION 2A",$M$37="REGION 2B",$M$37="REGION 3",$M$37="REGION 3A",$M$37="REGION 3B",$M$37="REGION 3C",$M$37="REGION 4",$M$37="REGION 4B",$M$37="REGION 4C",$M$37="REGION 5",$M$37="REGION 5A")),((0.059228/(B253/100))-(0.4980013/(SQRT(B253/100)))+2.137988),HLOOKUP(MONTH(A253),ScalarTable,28))))</f>
        <v> </v>
      </c>
      <c r="D253" s="398" t="str">
        <f aca="false">IF(A253="N/A"," ",C253*B253)</f>
        <v> </v>
      </c>
      <c r="E253" s="396" t="str">
        <f aca="false">IF(A253="N/A"," ",IF(ISERROR(O253),E241*Pwresc,O253)*VLOOKUP(MONTH(A253),Curveadj,3))</f>
        <v> </v>
      </c>
      <c r="F253" s="398" t="str">
        <f aca="false">IF(A253="N/A"," ",E253*C253)</f>
        <v> </v>
      </c>
      <c r="G253" s="396" t="str">
        <f aca="false">IF(A253="N/A"," ",IF(ISERROR(P253),G241*Pwresc,P253)*VLOOKUP(MONTH(A253),Curveadj,3))</f>
        <v> </v>
      </c>
      <c r="H253" s="398" t="str">
        <f aca="false">IF(A253="N/A"," ",G253*C253)</f>
        <v> </v>
      </c>
      <c r="I253" s="398" t="str">
        <f aca="false">IF(A253="N/A"," ",IF(ISERROR(Q253),I241*Pwresc,Q253))</f>
        <v> </v>
      </c>
      <c r="J253" s="398"/>
      <c r="K253" s="399"/>
      <c r="L253" s="399"/>
      <c r="M253" s="404"/>
      <c r="N253" s="401" t="str">
        <f aca="false">IF(A253="N/A"," ",VLOOKUP(A253,PeakPowerCurves,(IF(BMO4=2,3,IF(BMO4=1,2,4))),FALSE()))</f>
        <v> </v>
      </c>
      <c r="O253" s="401" t="str">
        <f aca="false">IF(A253="N/A"," ",VLOOKUP(A253,SatSunPeakPwr,(IF(BMO4=2,3,IF(BMO4=1,2,4))),FALSE()))</f>
        <v> </v>
      </c>
      <c r="P253" s="401" t="str">
        <f aca="false">IF(A253="N/A"," ",VLOOKUP(A253,SatSunPeakPwr,(IF(BMO4=2,7,IF(BMO4=1,6,8))),FALSE()))</f>
        <v> </v>
      </c>
      <c r="Q253" s="402" t="str">
        <f aca="false">IF(A253="N/A"," ",(VLOOKUP(A253,OPPowerPrices,(IF(BMO4=2,7,IF(BMO4=1,6,8))),FALSE())))</f>
        <v> </v>
      </c>
      <c r="R253" s="403" t="str">
        <f aca="false">IF(A253="N/A"," ",(VLOOKUP($A253,IRTable,2)))</f>
        <v> </v>
      </c>
      <c r="AF253" s="352" t="n">
        <v>44136</v>
      </c>
      <c r="AG253" s="311" t="n">
        <v>20</v>
      </c>
      <c r="AH253" s="311" t="n">
        <v>4</v>
      </c>
      <c r="AI253" s="311" t="n">
        <v>6</v>
      </c>
      <c r="AJ253" s="311" t="n">
        <v>1</v>
      </c>
      <c r="AK253" s="311" t="n">
        <v>30</v>
      </c>
      <c r="AU253" s="406"/>
    </row>
    <row r="254" customFormat="false" ht="12.75" hidden="false" customHeight="false" outlineLevel="0" collapsed="false">
      <c r="A254" s="352" t="str">
        <f aca="false">Option4!A221</f>
        <v>N/A</v>
      </c>
      <c r="B254" s="396" t="str">
        <f aca="false">IF(A254="N/A"," ",IF(ISERROR(N254),B242*Pwresc,N254)*VLOOKUP(MONTH(A254),Curveadj,3))</f>
        <v> </v>
      </c>
      <c r="C254" s="397" t="str">
        <f aca="false">IF(A254="N/A"," ",(IF(AND(Scaler4=1,MONTH(A254)&gt;=6,MONTH(A254)&lt;=8,OR($M$37="REGION 2",$M$37="REGION 2A",$M$37="REGION 2B",$M$37="REGION 3",$M$37="REGION 3A",$M$37="REGION 3B",$M$37="REGION 3C",$M$37="REGION 4",$M$37="REGION 4B",$M$37="REGION 4C",$M$37="REGION 5",$M$37="REGION 5A")),((0.059228/(B254/100))-(0.4980013/(SQRT(B254/100)))+2.137988),HLOOKUP(MONTH(A254),ScalarTable,28))))</f>
        <v> </v>
      </c>
      <c r="D254" s="398" t="str">
        <f aca="false">IF(A254="N/A"," ",C254*B254)</f>
        <v> </v>
      </c>
      <c r="E254" s="396" t="str">
        <f aca="false">IF(A254="N/A"," ",IF(ISERROR(O254),E242*Pwresc,O254)*VLOOKUP(MONTH(A254),Curveadj,3))</f>
        <v> </v>
      </c>
      <c r="F254" s="398" t="str">
        <f aca="false">IF(A254="N/A"," ",E254*C254)</f>
        <v> </v>
      </c>
      <c r="G254" s="396" t="str">
        <f aca="false">IF(A254="N/A"," ",IF(ISERROR(P254),G242*Pwresc,P254)*VLOOKUP(MONTH(A254),Curveadj,3))</f>
        <v> </v>
      </c>
      <c r="H254" s="398" t="str">
        <f aca="false">IF(A254="N/A"," ",G254*C254)</f>
        <v> </v>
      </c>
      <c r="I254" s="398" t="str">
        <f aca="false">IF(A254="N/A"," ",IF(ISERROR(Q254),I242*Pwresc,Q254))</f>
        <v> </v>
      </c>
      <c r="J254" s="398"/>
      <c r="K254" s="399"/>
      <c r="L254" s="399"/>
      <c r="M254" s="404"/>
      <c r="N254" s="401" t="str">
        <f aca="false">IF(A254="N/A"," ",VLOOKUP(A254,PeakPowerCurves,(IF(BMO4=2,3,IF(BMO4=1,2,4))),FALSE()))</f>
        <v> </v>
      </c>
      <c r="O254" s="401" t="str">
        <f aca="false">IF(A254="N/A"," ",VLOOKUP(A254,SatSunPeakPwr,(IF(BMO4=2,3,IF(BMO4=1,2,4))),FALSE()))</f>
        <v> </v>
      </c>
      <c r="P254" s="401" t="str">
        <f aca="false">IF(A254="N/A"," ",VLOOKUP(A254,SatSunPeakPwr,(IF(BMO4=2,7,IF(BMO4=1,6,8))),FALSE()))</f>
        <v> </v>
      </c>
      <c r="Q254" s="402" t="str">
        <f aca="false">IF(A254="N/A"," ",(VLOOKUP(A254,OPPowerPrices,(IF(BMO4=2,7,IF(BMO4=1,6,8))),FALSE())))</f>
        <v> </v>
      </c>
      <c r="R254" s="403" t="str">
        <f aca="false">IF(A254="N/A"," ",(VLOOKUP($A254,IRTable,2)))</f>
        <v> </v>
      </c>
      <c r="AF254" s="352" t="n">
        <v>44166</v>
      </c>
      <c r="AG254" s="311" t="n">
        <v>22</v>
      </c>
      <c r="AH254" s="311" t="n">
        <v>4</v>
      </c>
      <c r="AI254" s="311" t="n">
        <v>5</v>
      </c>
      <c r="AJ254" s="311" t="n">
        <v>1</v>
      </c>
      <c r="AK254" s="311" t="n">
        <v>31</v>
      </c>
      <c r="AU254" s="406"/>
    </row>
    <row r="255" customFormat="false" ht="12.75" hidden="false" customHeight="false" outlineLevel="0" collapsed="false">
      <c r="A255" s="352" t="str">
        <f aca="false">Option4!A222</f>
        <v>N/A</v>
      </c>
      <c r="B255" s="396" t="str">
        <f aca="false">IF(A255="N/A"," ",IF(ISERROR(N255),B243*Pwresc,N255)*VLOOKUP(MONTH(A255),Curveadj,3))</f>
        <v> </v>
      </c>
      <c r="C255" s="397" t="str">
        <f aca="false">IF(A255="N/A"," ",(IF(AND(Scaler4=1,MONTH(A255)&gt;=6,MONTH(A255)&lt;=8,OR($M$37="REGION 2",$M$37="REGION 2A",$M$37="REGION 2B",$M$37="REGION 3",$M$37="REGION 3A",$M$37="REGION 3B",$M$37="REGION 3C",$M$37="REGION 4",$M$37="REGION 4B",$M$37="REGION 4C",$M$37="REGION 5",$M$37="REGION 5A")),((0.059228/(B255/100))-(0.4980013/(SQRT(B255/100)))+2.137988),HLOOKUP(MONTH(A255),ScalarTable,28))))</f>
        <v> </v>
      </c>
      <c r="D255" s="398" t="str">
        <f aca="false">IF(A255="N/A"," ",C255*B255)</f>
        <v> </v>
      </c>
      <c r="E255" s="396" t="str">
        <f aca="false">IF(A255="N/A"," ",IF(ISERROR(O255),E243*Pwresc,O255)*VLOOKUP(MONTH(A255),Curveadj,3))</f>
        <v> </v>
      </c>
      <c r="F255" s="398" t="str">
        <f aca="false">IF(A255="N/A"," ",E255*C255)</f>
        <v> </v>
      </c>
      <c r="G255" s="396" t="str">
        <f aca="false">IF(A255="N/A"," ",IF(ISERROR(P255),G243*Pwresc,P255)*VLOOKUP(MONTH(A255),Curveadj,3))</f>
        <v> </v>
      </c>
      <c r="H255" s="398" t="str">
        <f aca="false">IF(A255="N/A"," ",G255*C255)</f>
        <v> </v>
      </c>
      <c r="I255" s="398" t="str">
        <f aca="false">IF(A255="N/A"," ",IF(ISERROR(Q255),I243*Pwresc,Q255))</f>
        <v> </v>
      </c>
      <c r="J255" s="398"/>
      <c r="K255" s="399"/>
      <c r="L255" s="399"/>
      <c r="M255" s="404"/>
      <c r="N255" s="401" t="str">
        <f aca="false">IF(A255="N/A"," ",VLOOKUP(A255,PeakPowerCurves,(IF(BMO4=2,3,IF(BMO4=1,2,4))),FALSE()))</f>
        <v> </v>
      </c>
      <c r="O255" s="401" t="str">
        <f aca="false">IF(A255="N/A"," ",VLOOKUP(A255,SatSunPeakPwr,(IF(BMO4=2,3,IF(BMO4=1,2,4))),FALSE()))</f>
        <v> </v>
      </c>
      <c r="P255" s="401" t="str">
        <f aca="false">IF(A255="N/A"," ",VLOOKUP(A255,SatSunPeakPwr,(IF(BMO4=2,7,IF(BMO4=1,6,8))),FALSE()))</f>
        <v> </v>
      </c>
      <c r="Q255" s="402" t="str">
        <f aca="false">IF(A255="N/A"," ",(VLOOKUP(A255,OPPowerPrices,(IF(BMO4=2,7,IF(BMO4=1,6,8))),FALSE())))</f>
        <v> </v>
      </c>
      <c r="R255" s="403" t="str">
        <f aca="false">IF(A255="N/A"," ",(VLOOKUP($A255,IRTable,2)))</f>
        <v> </v>
      </c>
      <c r="AF255" s="352" t="n">
        <f aca="false">EOMONTH(AF254,0)+1</f>
        <v>44197</v>
      </c>
      <c r="AG255" s="311" t="n">
        <v>22</v>
      </c>
      <c r="AH255" s="311" t="n">
        <v>4</v>
      </c>
      <c r="AI255" s="311" t="n">
        <v>5</v>
      </c>
      <c r="AJ255" s="311" t="n">
        <v>1</v>
      </c>
      <c r="AK255" s="311" t="n">
        <v>31</v>
      </c>
      <c r="AU255" s="406"/>
    </row>
    <row r="256" customFormat="false" ht="12.75" hidden="false" customHeight="false" outlineLevel="0" collapsed="false">
      <c r="A256" s="352" t="str">
        <f aca="false">Option4!A223</f>
        <v>N/A</v>
      </c>
      <c r="B256" s="396" t="str">
        <f aca="false">IF(A256="N/A"," ",IF(ISERROR(N256),B244*Pwresc,N256)*VLOOKUP(MONTH(A256),Curveadj,3))</f>
        <v> </v>
      </c>
      <c r="C256" s="397" t="str">
        <f aca="false">IF(A256="N/A"," ",(IF(AND(Scaler4=1,MONTH(A256)&gt;=6,MONTH(A256)&lt;=8,OR($M$37="REGION 2",$M$37="REGION 2A",$M$37="REGION 2B",$M$37="REGION 3",$M$37="REGION 3A",$M$37="REGION 3B",$M$37="REGION 3C",$M$37="REGION 4",$M$37="REGION 4B",$M$37="REGION 4C",$M$37="REGION 5",$M$37="REGION 5A")),((0.059228/(B256/100))-(0.4980013/(SQRT(B256/100)))+2.137988),HLOOKUP(MONTH(A256),ScalarTable,28))))</f>
        <v> </v>
      </c>
      <c r="D256" s="398" t="str">
        <f aca="false">IF(A256="N/A"," ",C256*B256)</f>
        <v> </v>
      </c>
      <c r="E256" s="396" t="str">
        <f aca="false">IF(A256="N/A"," ",IF(ISERROR(O256),E244*Pwresc,O256)*VLOOKUP(MONTH(A256),Curveadj,3))</f>
        <v> </v>
      </c>
      <c r="F256" s="398" t="str">
        <f aca="false">IF(A256="N/A"," ",E256*C256)</f>
        <v> </v>
      </c>
      <c r="G256" s="396" t="str">
        <f aca="false">IF(A256="N/A"," ",IF(ISERROR(P256),G244*Pwresc,P256)*VLOOKUP(MONTH(A256),Curveadj,3))</f>
        <v> </v>
      </c>
      <c r="H256" s="398" t="str">
        <f aca="false">IF(A256="N/A"," ",G256*C256)</f>
        <v> </v>
      </c>
      <c r="I256" s="398" t="str">
        <f aca="false">IF(A256="N/A"," ",IF(ISERROR(Q256),I244*Pwresc,Q256))</f>
        <v> </v>
      </c>
      <c r="J256" s="398"/>
      <c r="K256" s="399"/>
      <c r="L256" s="399"/>
      <c r="M256" s="404"/>
      <c r="N256" s="401" t="str">
        <f aca="false">IF(A256="N/A"," ",VLOOKUP(A256,PeakPowerCurves,(IF(BMO4=2,3,IF(BMO4=1,2,4))),FALSE()))</f>
        <v> </v>
      </c>
      <c r="O256" s="401" t="str">
        <f aca="false">IF(A256="N/A"," ",VLOOKUP(A256,SatSunPeakPwr,(IF(BMO4=2,3,IF(BMO4=1,2,4))),FALSE()))</f>
        <v> </v>
      </c>
      <c r="P256" s="401" t="str">
        <f aca="false">IF(A256="N/A"," ",VLOOKUP(A256,SatSunPeakPwr,(IF(BMO4=2,7,IF(BMO4=1,6,8))),FALSE()))</f>
        <v> </v>
      </c>
      <c r="Q256" s="402" t="str">
        <f aca="false">IF(A256="N/A"," ",(VLOOKUP(A256,OPPowerPrices,(IF(BMO4=2,7,IF(BMO4=1,6,8))),FALSE())))</f>
        <v> </v>
      </c>
      <c r="R256" s="403" t="str">
        <f aca="false">IF(A256="N/A"," ",(VLOOKUP($A256,IRTable,2)))</f>
        <v> </v>
      </c>
      <c r="AF256" s="352" t="n">
        <f aca="false">EOMONTH(AF255,0)+1</f>
        <v>44228</v>
      </c>
      <c r="AG256" s="311" t="n">
        <v>20</v>
      </c>
      <c r="AH256" s="311" t="n">
        <v>4</v>
      </c>
      <c r="AI256" s="311" t="n">
        <v>4</v>
      </c>
      <c r="AJ256" s="311" t="n">
        <v>0</v>
      </c>
      <c r="AK256" s="311" t="n">
        <v>28</v>
      </c>
      <c r="AU256" s="406"/>
    </row>
    <row r="257" customFormat="false" ht="12.75" hidden="false" customHeight="false" outlineLevel="0" collapsed="false">
      <c r="A257" s="352" t="str">
        <f aca="false">Option4!A224</f>
        <v>N/A</v>
      </c>
      <c r="B257" s="396" t="str">
        <f aca="false">IF(A257="N/A"," ",IF(ISERROR(N257),B245*Pwresc,N257)*VLOOKUP(MONTH(A257),Curveadj,3))</f>
        <v> </v>
      </c>
      <c r="C257" s="397" t="str">
        <f aca="false">IF(A257="N/A"," ",(IF(AND(Scaler4=1,MONTH(A257)&gt;=6,MONTH(A257)&lt;=8,OR($M$37="REGION 2",$M$37="REGION 2A",$M$37="REGION 2B",$M$37="REGION 3",$M$37="REGION 3A",$M$37="REGION 3B",$M$37="REGION 3C",$M$37="REGION 4",$M$37="REGION 4B",$M$37="REGION 4C",$M$37="REGION 5",$M$37="REGION 5A")),((0.059228/(B257/100))-(0.4980013/(SQRT(B257/100)))+2.137988),HLOOKUP(MONTH(A257),ScalarTable,28))))</f>
        <v> </v>
      </c>
      <c r="D257" s="398" t="str">
        <f aca="false">IF(A257="N/A"," ",C257*B257)</f>
        <v> </v>
      </c>
      <c r="E257" s="396" t="str">
        <f aca="false">IF(A257="N/A"," ",IF(ISERROR(O257),E245*Pwresc,O257)*VLOOKUP(MONTH(A257),Curveadj,3))</f>
        <v> </v>
      </c>
      <c r="F257" s="398" t="str">
        <f aca="false">IF(A257="N/A"," ",E257*C257)</f>
        <v> </v>
      </c>
      <c r="G257" s="396" t="str">
        <f aca="false">IF(A257="N/A"," ",IF(ISERROR(P257),G245*Pwresc,P257)*VLOOKUP(MONTH(A257),Curveadj,3))</f>
        <v> </v>
      </c>
      <c r="H257" s="398" t="str">
        <f aca="false">IF(A257="N/A"," ",G257*C257)</f>
        <v> </v>
      </c>
      <c r="I257" s="398" t="str">
        <f aca="false">IF(A257="N/A"," ",IF(ISERROR(Q257),I245*Pwresc,Q257))</f>
        <v> </v>
      </c>
      <c r="J257" s="398"/>
      <c r="K257" s="399"/>
      <c r="L257" s="399"/>
      <c r="M257" s="404"/>
      <c r="N257" s="401" t="str">
        <f aca="false">IF(A257="N/A"," ",VLOOKUP(A257,PeakPowerCurves,(IF(BMO4=2,3,IF(BMO4=1,2,4))),FALSE()))</f>
        <v> </v>
      </c>
      <c r="O257" s="401" t="str">
        <f aca="false">IF(A257="N/A"," ",VLOOKUP(A257,SatSunPeakPwr,(IF(BMO4=2,3,IF(BMO4=1,2,4))),FALSE()))</f>
        <v> </v>
      </c>
      <c r="P257" s="401" t="str">
        <f aca="false">IF(A257="N/A"," ",VLOOKUP(A257,SatSunPeakPwr,(IF(BMO4=2,7,IF(BMO4=1,6,8))),FALSE()))</f>
        <v> </v>
      </c>
      <c r="Q257" s="402" t="str">
        <f aca="false">IF(A257="N/A"," ",(VLOOKUP(A257,OPPowerPrices,(IF(BMO4=2,7,IF(BMO4=1,6,8))),FALSE())))</f>
        <v> </v>
      </c>
      <c r="R257" s="403" t="str">
        <f aca="false">IF(A257="N/A"," ",(VLOOKUP($A257,IRTable,2)))</f>
        <v> </v>
      </c>
      <c r="AF257" s="352" t="n">
        <f aca="false">EOMONTH(AF256,0)+1</f>
        <v>44256</v>
      </c>
      <c r="AG257" s="311" t="n">
        <v>21</v>
      </c>
      <c r="AH257" s="311" t="n">
        <v>5</v>
      </c>
      <c r="AI257" s="311" t="n">
        <v>5</v>
      </c>
      <c r="AJ257" s="311" t="n">
        <v>0</v>
      </c>
      <c r="AK257" s="311" t="n">
        <v>31</v>
      </c>
      <c r="AU257" s="406"/>
    </row>
    <row r="258" customFormat="false" ht="12.75" hidden="false" customHeight="false" outlineLevel="0" collapsed="false">
      <c r="A258" s="352" t="str">
        <f aca="false">Option4!A225</f>
        <v>N/A</v>
      </c>
      <c r="B258" s="396" t="str">
        <f aca="false">IF(A258="N/A"," ",IF(ISERROR(N258),B246*Pwresc,N258)*VLOOKUP(MONTH(A258),Curveadj,3))</f>
        <v> </v>
      </c>
      <c r="C258" s="397" t="str">
        <f aca="false">IF(A258="N/A"," ",(IF(AND(Scaler4=1,MONTH(A258)&gt;=6,MONTH(A258)&lt;=8,OR($M$37="REGION 2",$M$37="REGION 2A",$M$37="REGION 2B",$M$37="REGION 3",$M$37="REGION 3A",$M$37="REGION 3B",$M$37="REGION 3C",$M$37="REGION 4",$M$37="REGION 4B",$M$37="REGION 4C",$M$37="REGION 5",$M$37="REGION 5A")),((0.059228/(B258/100))-(0.4980013/(SQRT(B258/100)))+2.137988),HLOOKUP(MONTH(A258),ScalarTable,28))))</f>
        <v> </v>
      </c>
      <c r="D258" s="398" t="str">
        <f aca="false">IF(A258="N/A"," ",C258*B258)</f>
        <v> </v>
      </c>
      <c r="E258" s="396" t="str">
        <f aca="false">IF(A258="N/A"," ",IF(ISERROR(O258),E246*Pwresc,O258)*VLOOKUP(MONTH(A258),Curveadj,3))</f>
        <v> </v>
      </c>
      <c r="F258" s="398" t="str">
        <f aca="false">IF(A258="N/A"," ",E258*C258)</f>
        <v> </v>
      </c>
      <c r="G258" s="396" t="str">
        <f aca="false">IF(A258="N/A"," ",IF(ISERROR(P258),G246*Pwresc,P258)*VLOOKUP(MONTH(A258),Curveadj,3))</f>
        <v> </v>
      </c>
      <c r="H258" s="398" t="str">
        <f aca="false">IF(A258="N/A"," ",G258*C258)</f>
        <v> </v>
      </c>
      <c r="I258" s="398" t="str">
        <f aca="false">IF(A258="N/A"," ",IF(ISERROR(Q258),I246*Pwresc,Q258))</f>
        <v> </v>
      </c>
      <c r="J258" s="398"/>
      <c r="K258" s="399"/>
      <c r="L258" s="399"/>
      <c r="M258" s="404"/>
      <c r="N258" s="401" t="str">
        <f aca="false">IF(A258="N/A"," ",VLOOKUP(A258,PeakPowerCurves,(IF(BMO4=2,3,IF(BMO4=1,2,4))),FALSE()))</f>
        <v> </v>
      </c>
      <c r="O258" s="401" t="str">
        <f aca="false">IF(A258="N/A"," ",VLOOKUP(A258,SatSunPeakPwr,(IF(BMO4=2,3,IF(BMO4=1,2,4))),FALSE()))</f>
        <v> </v>
      </c>
      <c r="P258" s="401" t="str">
        <f aca="false">IF(A258="N/A"," ",VLOOKUP(A258,SatSunPeakPwr,(IF(BMO4=2,7,IF(BMO4=1,6,8))),FALSE()))</f>
        <v> </v>
      </c>
      <c r="Q258" s="402" t="str">
        <f aca="false">IF(A258="N/A"," ",(VLOOKUP(A258,OPPowerPrices,(IF(BMO4=2,7,IF(BMO4=1,6,8))),FALSE())))</f>
        <v> </v>
      </c>
      <c r="R258" s="403" t="str">
        <f aca="false">IF(A258="N/A"," ",(VLOOKUP($A258,IRTable,2)))</f>
        <v> </v>
      </c>
      <c r="AF258" s="352" t="n">
        <f aca="false">EOMONTH(AF257,0)+1</f>
        <v>44287</v>
      </c>
      <c r="AG258" s="311" t="n">
        <v>22</v>
      </c>
      <c r="AH258" s="311" t="n">
        <v>4</v>
      </c>
      <c r="AI258" s="311" t="n">
        <v>4</v>
      </c>
      <c r="AJ258" s="311" t="n">
        <v>0</v>
      </c>
      <c r="AK258" s="311" t="n">
        <v>30</v>
      </c>
      <c r="AU258" s="406"/>
    </row>
    <row r="259" customFormat="false" ht="12.75" hidden="false" customHeight="false" outlineLevel="0" collapsed="false">
      <c r="A259" s="352" t="str">
        <f aca="false">Option4!A226</f>
        <v>N/A</v>
      </c>
      <c r="B259" s="396" t="str">
        <f aca="false">IF(A259="N/A"," ",IF(ISERROR(N259),B247*Pwresc,N259)*VLOOKUP(MONTH(A259),Curveadj,3))</f>
        <v> </v>
      </c>
      <c r="C259" s="397" t="str">
        <f aca="false">IF(A259="N/A"," ",(IF(AND(Scaler4=1,MONTH(A259)&gt;=6,MONTH(A259)&lt;=8,OR($M$37="REGION 2",$M$37="REGION 2A",$M$37="REGION 2B",$M$37="REGION 3",$M$37="REGION 3A",$M$37="REGION 3B",$M$37="REGION 3C",$M$37="REGION 4",$M$37="REGION 4B",$M$37="REGION 4C",$M$37="REGION 5",$M$37="REGION 5A")),((0.059228/(B259/100))-(0.4980013/(SQRT(B259/100)))+2.137988),HLOOKUP(MONTH(A259),ScalarTable,28))))</f>
        <v> </v>
      </c>
      <c r="D259" s="398" t="str">
        <f aca="false">IF(A259="N/A"," ",C259*B259)</f>
        <v> </v>
      </c>
      <c r="E259" s="396" t="str">
        <f aca="false">IF(A259="N/A"," ",IF(ISERROR(O259),E247*Pwresc,O259)*VLOOKUP(MONTH(A259),Curveadj,3))</f>
        <v> </v>
      </c>
      <c r="F259" s="398" t="str">
        <f aca="false">IF(A259="N/A"," ",E259*C259)</f>
        <v> </v>
      </c>
      <c r="G259" s="396" t="str">
        <f aca="false">IF(A259="N/A"," ",IF(ISERROR(P259),G247*Pwresc,P259)*VLOOKUP(MONTH(A259),Curveadj,3))</f>
        <v> </v>
      </c>
      <c r="H259" s="398" t="str">
        <f aca="false">IF(A259="N/A"," ",G259*C259)</f>
        <v> </v>
      </c>
      <c r="I259" s="398" t="str">
        <f aca="false">IF(A259="N/A"," ",IF(ISERROR(Q259),I247*Pwresc,Q259))</f>
        <v> </v>
      </c>
      <c r="J259" s="398"/>
      <c r="K259" s="399"/>
      <c r="L259" s="399"/>
      <c r="M259" s="404"/>
      <c r="N259" s="401" t="str">
        <f aca="false">IF(A259="N/A"," ",VLOOKUP(A259,PeakPowerCurves,(IF(BMO4=2,3,IF(BMO4=1,2,4))),FALSE()))</f>
        <v> </v>
      </c>
      <c r="O259" s="401" t="str">
        <f aca="false">IF(A259="N/A"," ",VLOOKUP(A259,SatSunPeakPwr,(IF(BMO4=2,3,IF(BMO4=1,2,4))),FALSE()))</f>
        <v> </v>
      </c>
      <c r="P259" s="401" t="str">
        <f aca="false">IF(A259="N/A"," ",VLOOKUP(A259,SatSunPeakPwr,(IF(BMO4=2,7,IF(BMO4=1,6,8))),FALSE()))</f>
        <v> </v>
      </c>
      <c r="Q259" s="402" t="str">
        <f aca="false">IF(A259="N/A"," ",(VLOOKUP(A259,OPPowerPrices,(IF(BMO4=2,7,IF(BMO4=1,6,8))),FALSE())))</f>
        <v> </v>
      </c>
      <c r="R259" s="403" t="str">
        <f aca="false">IF(A259="N/A"," ",(VLOOKUP($A259,IRTable,2)))</f>
        <v> </v>
      </c>
      <c r="AF259" s="352" t="n">
        <f aca="false">EOMONTH(AF258,0)+1</f>
        <v>44317</v>
      </c>
      <c r="AG259" s="311" t="n">
        <v>22</v>
      </c>
      <c r="AH259" s="311" t="n">
        <v>4</v>
      </c>
      <c r="AI259" s="311" t="n">
        <v>5</v>
      </c>
      <c r="AJ259" s="311" t="n">
        <v>1</v>
      </c>
      <c r="AK259" s="311" t="n">
        <v>31</v>
      </c>
      <c r="AU259" s="406"/>
    </row>
    <row r="260" customFormat="false" ht="12.75" hidden="false" customHeight="false" outlineLevel="0" collapsed="false">
      <c r="A260" s="352" t="str">
        <f aca="false">Option4!A227</f>
        <v>N/A</v>
      </c>
      <c r="B260" s="396" t="str">
        <f aca="false">IF(A260="N/A"," ",IF(ISERROR(N260),B248*Pwresc,N260)*VLOOKUP(MONTH(A260),Curveadj,3))</f>
        <v> </v>
      </c>
      <c r="C260" s="397" t="str">
        <f aca="false">IF(A260="N/A"," ",(IF(AND(Scaler4=1,MONTH(A260)&gt;=6,MONTH(A260)&lt;=8,OR($M$37="REGION 2",$M$37="REGION 2A",$M$37="REGION 2B",$M$37="REGION 3",$M$37="REGION 3A",$M$37="REGION 3B",$M$37="REGION 3C",$M$37="REGION 4",$M$37="REGION 4B",$M$37="REGION 4C",$M$37="REGION 5",$M$37="REGION 5A")),((0.059228/(B260/100))-(0.4980013/(SQRT(B260/100)))+2.137988),HLOOKUP(MONTH(A260),ScalarTable,28))))</f>
        <v> </v>
      </c>
      <c r="D260" s="398" t="str">
        <f aca="false">IF(A260="N/A"," ",C260*B260)</f>
        <v> </v>
      </c>
      <c r="E260" s="396" t="str">
        <f aca="false">IF(A260="N/A"," ",IF(ISERROR(O260),E248*Pwresc,O260)*VLOOKUP(MONTH(A260),Curveadj,3))</f>
        <v> </v>
      </c>
      <c r="F260" s="398" t="str">
        <f aca="false">IF(A260="N/A"," ",E260*C260)</f>
        <v> </v>
      </c>
      <c r="G260" s="396" t="str">
        <f aca="false">IF(A260="N/A"," ",IF(ISERROR(P260),G248*Pwresc,P260)*VLOOKUP(MONTH(A260),Curveadj,3))</f>
        <v> </v>
      </c>
      <c r="H260" s="398" t="str">
        <f aca="false">IF(A260="N/A"," ",G260*C260)</f>
        <v> </v>
      </c>
      <c r="I260" s="398" t="str">
        <f aca="false">IF(A260="N/A"," ",IF(ISERROR(Q260),I248*Pwresc,Q260))</f>
        <v> </v>
      </c>
      <c r="J260" s="398"/>
      <c r="K260" s="399"/>
      <c r="L260" s="399"/>
      <c r="M260" s="404"/>
      <c r="N260" s="401" t="str">
        <f aca="false">IF(A260="N/A"," ",VLOOKUP(A260,PeakPowerCurves,(IF(BMO4=2,3,IF(BMO4=1,2,4))),FALSE()))</f>
        <v> </v>
      </c>
      <c r="O260" s="401" t="str">
        <f aca="false">IF(A260="N/A"," ",VLOOKUP(A260,SatSunPeakPwr,(IF(BMO4=2,3,IF(BMO4=1,2,4))),FALSE()))</f>
        <v> </v>
      </c>
      <c r="P260" s="401" t="str">
        <f aca="false">IF(A260="N/A"," ",VLOOKUP(A260,SatSunPeakPwr,(IF(BMO4=2,7,IF(BMO4=1,6,8))),FALSE()))</f>
        <v> </v>
      </c>
      <c r="Q260" s="402" t="str">
        <f aca="false">IF(A260="N/A"," ",(VLOOKUP(A260,OPPowerPrices,(IF(BMO4=2,7,IF(BMO4=1,6,8))),FALSE())))</f>
        <v> </v>
      </c>
      <c r="R260" s="403" t="str">
        <f aca="false">IF(A260="N/A"," ",(VLOOKUP($A260,IRTable,2)))</f>
        <v> </v>
      </c>
      <c r="AF260" s="352" t="n">
        <f aca="false">EOMONTH(AF259,0)+1</f>
        <v>44348</v>
      </c>
      <c r="AG260" s="311" t="n">
        <v>20</v>
      </c>
      <c r="AH260" s="311" t="n">
        <v>5</v>
      </c>
      <c r="AI260" s="311" t="n">
        <v>5</v>
      </c>
      <c r="AJ260" s="311" t="n">
        <v>0</v>
      </c>
      <c r="AK260" s="311" t="n">
        <v>30</v>
      </c>
      <c r="AU260" s="406"/>
    </row>
    <row r="261" customFormat="false" ht="12.75" hidden="false" customHeight="false" outlineLevel="0" collapsed="false">
      <c r="A261" s="352" t="str">
        <f aca="false">Option4!A228</f>
        <v>N/A</v>
      </c>
      <c r="B261" s="396" t="str">
        <f aca="false">IF(A261="N/A"," ",IF(ISERROR(N261),B249*Pwresc,N261)*VLOOKUP(MONTH(A261),Curveadj,3))</f>
        <v> </v>
      </c>
      <c r="C261" s="397" t="str">
        <f aca="false">IF(A261="N/A"," ",(IF(AND(Scaler4=1,MONTH(A261)&gt;=6,MONTH(A261)&lt;=8,OR($M$37="REGION 2",$M$37="REGION 2A",$M$37="REGION 2B",$M$37="REGION 3",$M$37="REGION 3A",$M$37="REGION 3B",$M$37="REGION 3C",$M$37="REGION 4",$M$37="REGION 4B",$M$37="REGION 4C",$M$37="REGION 5",$M$37="REGION 5A")),((0.059228/(B261/100))-(0.4980013/(SQRT(B261/100)))+2.137988),HLOOKUP(MONTH(A261),ScalarTable,28))))</f>
        <v> </v>
      </c>
      <c r="D261" s="398" t="str">
        <f aca="false">IF(A261="N/A"," ",C261*B261)</f>
        <v> </v>
      </c>
      <c r="E261" s="396" t="str">
        <f aca="false">IF(A261="N/A"," ",IF(ISERROR(O261),E249*Pwresc,O261)*VLOOKUP(MONTH(A261),Curveadj,3))</f>
        <v> </v>
      </c>
      <c r="F261" s="398" t="str">
        <f aca="false">IF(A261="N/A"," ",E261*C261)</f>
        <v> </v>
      </c>
      <c r="G261" s="396" t="str">
        <f aca="false">IF(A261="N/A"," ",IF(ISERROR(P261),G249*Pwresc,P261)*VLOOKUP(MONTH(A261),Curveadj,3))</f>
        <v> </v>
      </c>
      <c r="H261" s="398" t="str">
        <f aca="false">IF(A261="N/A"," ",G261*C261)</f>
        <v> </v>
      </c>
      <c r="I261" s="398" t="str">
        <f aca="false">IF(A261="N/A"," ",IF(ISERROR(Q261),I249*Pwresc,Q261))</f>
        <v> </v>
      </c>
      <c r="J261" s="398"/>
      <c r="K261" s="399"/>
      <c r="L261" s="399"/>
      <c r="M261" s="404"/>
      <c r="N261" s="401" t="str">
        <f aca="false">IF(A261="N/A"," ",VLOOKUP(A261,PeakPowerCurves,(IF(BMO4=2,3,IF(BMO4=1,2,4))),FALSE()))</f>
        <v> </v>
      </c>
      <c r="O261" s="401" t="str">
        <f aca="false">IF(A261="N/A"," ",VLOOKUP(A261,SatSunPeakPwr,(IF(BMO4=2,3,IF(BMO4=1,2,4))),FALSE()))</f>
        <v> </v>
      </c>
      <c r="P261" s="401" t="str">
        <f aca="false">IF(A261="N/A"," ",VLOOKUP(A261,SatSunPeakPwr,(IF(BMO4=2,7,IF(BMO4=1,6,8))),FALSE()))</f>
        <v> </v>
      </c>
      <c r="Q261" s="402" t="str">
        <f aca="false">IF(A261="N/A"," ",(VLOOKUP(A261,OPPowerPrices,(IF(BMO4=2,7,IF(BMO4=1,6,8))),FALSE())))</f>
        <v> </v>
      </c>
      <c r="R261" s="403" t="str">
        <f aca="false">IF(A261="N/A"," ",(VLOOKUP($A261,IRTable,2)))</f>
        <v> </v>
      </c>
      <c r="AF261" s="352" t="n">
        <f aca="false">EOMONTH(AF260,0)+1</f>
        <v>44378</v>
      </c>
      <c r="AG261" s="311" t="n">
        <v>22</v>
      </c>
      <c r="AH261" s="311" t="n">
        <v>4</v>
      </c>
      <c r="AI261" s="311" t="n">
        <v>5</v>
      </c>
      <c r="AJ261" s="311" t="n">
        <v>1</v>
      </c>
      <c r="AK261" s="311" t="n">
        <v>31</v>
      </c>
      <c r="AU261" s="406"/>
    </row>
    <row r="262" customFormat="false" ht="12.75" hidden="false" customHeight="false" outlineLevel="0" collapsed="false">
      <c r="A262" s="352" t="str">
        <f aca="false">Option4!A229</f>
        <v>N/A</v>
      </c>
      <c r="B262" s="396" t="str">
        <f aca="false">IF(A262="N/A"," ",IF(ISERROR(N262),B250*Pwresc,N262)*VLOOKUP(MONTH(A262),Curveadj,3))</f>
        <v> </v>
      </c>
      <c r="C262" s="397" t="str">
        <f aca="false">IF(A262="N/A"," ",(IF(AND(Scaler4=1,MONTH(A262)&gt;=6,MONTH(A262)&lt;=8,OR($M$37="REGION 2",$M$37="REGION 2A",$M$37="REGION 2B",$M$37="REGION 3",$M$37="REGION 3A",$M$37="REGION 3B",$M$37="REGION 3C",$M$37="REGION 4",$M$37="REGION 4B",$M$37="REGION 4C",$M$37="REGION 5",$M$37="REGION 5A")),((0.059228/(B262/100))-(0.4980013/(SQRT(B262/100)))+2.137988),HLOOKUP(MONTH(A262),ScalarTable,28))))</f>
        <v> </v>
      </c>
      <c r="D262" s="398" t="str">
        <f aca="false">IF(A262="N/A"," ",C262*B262)</f>
        <v> </v>
      </c>
      <c r="E262" s="396" t="str">
        <f aca="false">IF(A262="N/A"," ",IF(ISERROR(O262),E250*Pwresc,O262)*VLOOKUP(MONTH(A262),Curveadj,3))</f>
        <v> </v>
      </c>
      <c r="F262" s="398" t="str">
        <f aca="false">IF(A262="N/A"," ",E262*C262)</f>
        <v> </v>
      </c>
      <c r="G262" s="396" t="str">
        <f aca="false">IF(A262="N/A"," ",IF(ISERROR(P262),G250*Pwresc,P262)*VLOOKUP(MONTH(A262),Curveadj,3))</f>
        <v> </v>
      </c>
      <c r="H262" s="398" t="str">
        <f aca="false">IF(A262="N/A"," ",G262*C262)</f>
        <v> </v>
      </c>
      <c r="I262" s="398" t="str">
        <f aca="false">IF(A262="N/A"," ",IF(ISERROR(Q262),I250*Pwresc,Q262))</f>
        <v> </v>
      </c>
      <c r="J262" s="398"/>
      <c r="K262" s="399"/>
      <c r="L262" s="399"/>
      <c r="M262" s="404"/>
      <c r="N262" s="401" t="str">
        <f aca="false">IF(A262="N/A"," ",VLOOKUP(A262,PeakPowerCurves,(IF(BMO4=2,3,IF(BMO4=1,2,4))),FALSE()))</f>
        <v> </v>
      </c>
      <c r="O262" s="401" t="str">
        <f aca="false">IF(A262="N/A"," ",VLOOKUP(A262,SatSunPeakPwr,(IF(BMO4=2,3,IF(BMO4=1,2,4))),FALSE()))</f>
        <v> </v>
      </c>
      <c r="P262" s="401" t="str">
        <f aca="false">IF(A262="N/A"," ",VLOOKUP(A262,SatSunPeakPwr,(IF(BMO4=2,7,IF(BMO4=1,6,8))),FALSE()))</f>
        <v> </v>
      </c>
      <c r="Q262" s="402" t="str">
        <f aca="false">IF(A262="N/A"," ",(VLOOKUP(A262,OPPowerPrices,(IF(BMO4=2,7,IF(BMO4=1,6,8))),FALSE())))</f>
        <v> </v>
      </c>
      <c r="R262" s="403" t="str">
        <f aca="false">IF(A262="N/A"," ",(VLOOKUP($A262,IRTable,2)))</f>
        <v> </v>
      </c>
      <c r="AF262" s="352" t="n">
        <f aca="false">EOMONTH(AF261,0)+1</f>
        <v>44409</v>
      </c>
      <c r="AG262" s="311" t="n">
        <v>22</v>
      </c>
      <c r="AH262" s="311" t="n">
        <v>5</v>
      </c>
      <c r="AI262" s="311" t="n">
        <v>4</v>
      </c>
      <c r="AJ262" s="311" t="n">
        <v>0</v>
      </c>
      <c r="AK262" s="311" t="n">
        <v>31</v>
      </c>
      <c r="AU262" s="406"/>
    </row>
    <row r="263" customFormat="false" ht="12.75" hidden="false" customHeight="false" outlineLevel="0" collapsed="false">
      <c r="A263" s="352" t="str">
        <f aca="false">Option4!A230</f>
        <v>N/A</v>
      </c>
      <c r="B263" s="396" t="str">
        <f aca="false">IF(A263="N/A"," ",IF(ISERROR(N263),B251*Pwresc,N263)*VLOOKUP(MONTH(A263),Curveadj,3))</f>
        <v> </v>
      </c>
      <c r="C263" s="397" t="str">
        <f aca="false">IF(A263="N/A"," ",(IF(AND(Scaler4=1,MONTH(A263)&gt;=6,MONTH(A263)&lt;=8,OR($M$37="REGION 2",$M$37="REGION 2A",$M$37="REGION 2B",$M$37="REGION 3",$M$37="REGION 3A",$M$37="REGION 3B",$M$37="REGION 3C",$M$37="REGION 4",$M$37="REGION 4B",$M$37="REGION 4C",$M$37="REGION 5",$M$37="REGION 5A")),((0.059228/(B263/100))-(0.4980013/(SQRT(B263/100)))+2.137988),HLOOKUP(MONTH(A263),ScalarTable,28))))</f>
        <v> </v>
      </c>
      <c r="D263" s="398" t="str">
        <f aca="false">IF(A263="N/A"," ",C263*B263)</f>
        <v> </v>
      </c>
      <c r="E263" s="396" t="str">
        <f aca="false">IF(A263="N/A"," ",IF(ISERROR(O263),E251*Pwresc,O263)*VLOOKUP(MONTH(A263),Curveadj,3))</f>
        <v> </v>
      </c>
      <c r="F263" s="398" t="str">
        <f aca="false">IF(A263="N/A"," ",E263*C263)</f>
        <v> </v>
      </c>
      <c r="G263" s="396" t="str">
        <f aca="false">IF(A263="N/A"," ",IF(ISERROR(P263),G251*Pwresc,P263)*VLOOKUP(MONTH(A263),Curveadj,3))</f>
        <v> </v>
      </c>
      <c r="H263" s="398" t="str">
        <f aca="false">IF(A263="N/A"," ",G263*C263)</f>
        <v> </v>
      </c>
      <c r="I263" s="398" t="str">
        <f aca="false">IF(A263="N/A"," ",IF(ISERROR(Q263),I251*Pwresc,Q263))</f>
        <v> </v>
      </c>
      <c r="J263" s="398"/>
      <c r="K263" s="399"/>
      <c r="L263" s="399"/>
      <c r="M263" s="404"/>
      <c r="N263" s="401" t="str">
        <f aca="false">IF(A263="N/A"," ",VLOOKUP(A263,PeakPowerCurves,(IF(BMO4=2,3,IF(BMO4=1,2,4))),FALSE()))</f>
        <v> </v>
      </c>
      <c r="O263" s="401" t="str">
        <f aca="false">IF(A263="N/A"," ",VLOOKUP(A263,SatSunPeakPwr,(IF(BMO4=2,3,IF(BMO4=1,2,4))),FALSE()))</f>
        <v> </v>
      </c>
      <c r="P263" s="401" t="str">
        <f aca="false">IF(A263="N/A"," ",VLOOKUP(A263,SatSunPeakPwr,(IF(BMO4=2,7,IF(BMO4=1,6,8))),FALSE()))</f>
        <v> </v>
      </c>
      <c r="Q263" s="402" t="str">
        <f aca="false">IF(A263="N/A"," ",(VLOOKUP(A263,OPPowerPrices,(IF(BMO4=2,7,IF(BMO4=1,6,8))),FALSE())))</f>
        <v> </v>
      </c>
      <c r="R263" s="403" t="str">
        <f aca="false">IF(A263="N/A"," ",(VLOOKUP($A263,IRTable,2)))</f>
        <v> </v>
      </c>
      <c r="AF263" s="352" t="n">
        <f aca="false">EOMONTH(AF262,0)+1</f>
        <v>44440</v>
      </c>
      <c r="AG263" s="311" t="n">
        <v>20</v>
      </c>
      <c r="AH263" s="311" t="n">
        <v>4</v>
      </c>
      <c r="AI263" s="311" t="n">
        <v>6</v>
      </c>
      <c r="AJ263" s="311" t="n">
        <v>1</v>
      </c>
      <c r="AK263" s="311" t="n">
        <v>30</v>
      </c>
      <c r="AU263" s="406"/>
    </row>
    <row r="264" customFormat="false" ht="12.75" hidden="false" customHeight="false" outlineLevel="0" collapsed="false">
      <c r="A264" s="352" t="str">
        <f aca="false">Option4!A231</f>
        <v>N/A</v>
      </c>
      <c r="B264" s="396" t="str">
        <f aca="false">IF(A264="N/A"," ",IF(ISERROR(N264),B252*Pwresc,N264)*VLOOKUP(MONTH(A264),Curveadj,3))</f>
        <v> </v>
      </c>
      <c r="C264" s="397" t="str">
        <f aca="false">IF(A264="N/A"," ",(IF(AND(Scaler4=1,MONTH(A264)&gt;=6,MONTH(A264)&lt;=8,OR($M$37="REGION 2",$M$37="REGION 2A",$M$37="REGION 2B",$M$37="REGION 3",$M$37="REGION 3A",$M$37="REGION 3B",$M$37="REGION 3C",$M$37="REGION 4",$M$37="REGION 4B",$M$37="REGION 4C",$M$37="REGION 5",$M$37="REGION 5A")),((0.059228/(B264/100))-(0.4980013/(SQRT(B264/100)))+2.137988),HLOOKUP(MONTH(A264),ScalarTable,28))))</f>
        <v> </v>
      </c>
      <c r="D264" s="398" t="str">
        <f aca="false">IF(A264="N/A"," ",C264*B264)</f>
        <v> </v>
      </c>
      <c r="E264" s="396" t="str">
        <f aca="false">IF(A264="N/A"," ",IF(ISERROR(O264),E252*Pwresc,O264)*VLOOKUP(MONTH(A264),Curveadj,3))</f>
        <v> </v>
      </c>
      <c r="F264" s="398" t="str">
        <f aca="false">IF(A264="N/A"," ",E264*C264)</f>
        <v> </v>
      </c>
      <c r="G264" s="396" t="str">
        <f aca="false">IF(A264="N/A"," ",IF(ISERROR(P264),G252*Pwresc,P264)*VLOOKUP(MONTH(A264),Curveadj,3))</f>
        <v> </v>
      </c>
      <c r="H264" s="398" t="str">
        <f aca="false">IF(A264="N/A"," ",G264*C264)</f>
        <v> </v>
      </c>
      <c r="I264" s="398" t="str">
        <f aca="false">IF(A264="N/A"," ",IF(ISERROR(Q264),I252*Pwresc,Q264))</f>
        <v> </v>
      </c>
      <c r="J264" s="398"/>
      <c r="K264" s="399"/>
      <c r="L264" s="399"/>
      <c r="M264" s="404"/>
      <c r="N264" s="401" t="str">
        <f aca="false">IF(A264="N/A"," ",VLOOKUP(A264,PeakPowerCurves,(IF(BMO4=2,3,IF(BMO4=1,2,4))),FALSE()))</f>
        <v> </v>
      </c>
      <c r="O264" s="401" t="str">
        <f aca="false">IF(A264="N/A"," ",VLOOKUP(A264,SatSunPeakPwr,(IF(BMO4=2,3,IF(BMO4=1,2,4))),FALSE()))</f>
        <v> </v>
      </c>
      <c r="P264" s="401" t="str">
        <f aca="false">IF(A264="N/A"," ",VLOOKUP(A264,SatSunPeakPwr,(IF(BMO4=2,7,IF(BMO4=1,6,8))),FALSE()))</f>
        <v> </v>
      </c>
      <c r="Q264" s="402" t="str">
        <f aca="false">IF(A264="N/A"," ",(VLOOKUP(A264,OPPowerPrices,(IF(BMO4=2,7,IF(BMO4=1,6,8))),FALSE())))</f>
        <v> </v>
      </c>
      <c r="R264" s="403" t="str">
        <f aca="false">IF(A264="N/A"," ",(VLOOKUP($A264,IRTable,2)))</f>
        <v> </v>
      </c>
      <c r="AF264" s="352" t="n">
        <f aca="false">EOMONTH(AF263,0)+1</f>
        <v>44470</v>
      </c>
      <c r="AG264" s="311" t="n">
        <v>23</v>
      </c>
      <c r="AH264" s="311" t="n">
        <v>4</v>
      </c>
      <c r="AI264" s="311" t="n">
        <v>4</v>
      </c>
      <c r="AJ264" s="311" t="n">
        <v>0</v>
      </c>
      <c r="AK264" s="311" t="n">
        <v>31</v>
      </c>
      <c r="AU264" s="406"/>
    </row>
    <row r="265" customFormat="false" ht="12.75" hidden="false" customHeight="false" outlineLevel="0" collapsed="false">
      <c r="A265" s="352" t="str">
        <f aca="false">Option4!A232</f>
        <v>N/A</v>
      </c>
      <c r="B265" s="396" t="str">
        <f aca="false">IF(A265="N/A"," ",IF(ISERROR(N265),B253*Pwresc,N265)*VLOOKUP(MONTH(A265),Curveadj,3))</f>
        <v> </v>
      </c>
      <c r="C265" s="397" t="str">
        <f aca="false">IF(A265="N/A"," ",(IF(AND(Scaler4=1,MONTH(A265)&gt;=6,MONTH(A265)&lt;=8,OR($M$37="REGION 2",$M$37="REGION 2A",$M$37="REGION 2B",$M$37="REGION 3",$M$37="REGION 3A",$M$37="REGION 3B",$M$37="REGION 3C",$M$37="REGION 4",$M$37="REGION 4B",$M$37="REGION 4C",$M$37="REGION 5",$M$37="REGION 5A")),((0.059228/(B265/100))-(0.4980013/(SQRT(B265/100)))+2.137988),HLOOKUP(MONTH(A265),ScalarTable,28))))</f>
        <v> </v>
      </c>
      <c r="D265" s="398" t="str">
        <f aca="false">IF(A265="N/A"," ",C265*B265)</f>
        <v> </v>
      </c>
      <c r="E265" s="396" t="str">
        <f aca="false">IF(A265="N/A"," ",IF(ISERROR(O265),E253*Pwresc,O265)*VLOOKUP(MONTH(A265),Curveadj,3))</f>
        <v> </v>
      </c>
      <c r="F265" s="398" t="str">
        <f aca="false">IF(A265="N/A"," ",E265*C265)</f>
        <v> </v>
      </c>
      <c r="G265" s="396" t="str">
        <f aca="false">IF(A265="N/A"," ",IF(ISERROR(P265),G253*Pwresc,P265)*VLOOKUP(MONTH(A265),Curveadj,3))</f>
        <v> </v>
      </c>
      <c r="H265" s="398" t="str">
        <f aca="false">IF(A265="N/A"," ",G265*C265)</f>
        <v> </v>
      </c>
      <c r="I265" s="398" t="str">
        <f aca="false">IF(A265="N/A"," ",IF(ISERROR(Q265),I253*Pwresc,Q265))</f>
        <v> </v>
      </c>
      <c r="J265" s="398"/>
      <c r="K265" s="399"/>
      <c r="L265" s="399"/>
      <c r="M265" s="404"/>
      <c r="N265" s="401" t="str">
        <f aca="false">IF(A265="N/A"," ",VLOOKUP(A265,PeakPowerCurves,(IF(BMO4=2,3,IF(BMO4=1,2,4))),FALSE()))</f>
        <v> </v>
      </c>
      <c r="O265" s="401" t="str">
        <f aca="false">IF(A265="N/A"," ",VLOOKUP(A265,SatSunPeakPwr,(IF(BMO4=2,3,IF(BMO4=1,2,4))),FALSE()))</f>
        <v> </v>
      </c>
      <c r="P265" s="401" t="str">
        <f aca="false">IF(A265="N/A"," ",VLOOKUP(A265,SatSunPeakPwr,(IF(BMO4=2,7,IF(BMO4=1,6,8))),FALSE()))</f>
        <v> </v>
      </c>
      <c r="Q265" s="402" t="str">
        <f aca="false">IF(A265="N/A"," ",(VLOOKUP(A265,OPPowerPrices,(IF(BMO4=2,7,IF(BMO4=1,6,8))),FALSE())))</f>
        <v> </v>
      </c>
      <c r="R265" s="403" t="str">
        <f aca="false">IF(A265="N/A"," ",(VLOOKUP($A265,IRTable,2)))</f>
        <v> </v>
      </c>
      <c r="AF265" s="352" t="n">
        <f aca="false">EOMONTH(AF264,0)+1</f>
        <v>44501</v>
      </c>
      <c r="AG265" s="311" t="n">
        <v>20</v>
      </c>
      <c r="AH265" s="311" t="n">
        <v>5</v>
      </c>
      <c r="AI265" s="311" t="n">
        <v>5</v>
      </c>
      <c r="AJ265" s="311" t="n">
        <v>1</v>
      </c>
      <c r="AK265" s="311" t="n">
        <v>30</v>
      </c>
      <c r="AU265" s="406"/>
    </row>
    <row r="266" customFormat="false" ht="12.75" hidden="false" customHeight="false" outlineLevel="0" collapsed="false">
      <c r="A266" s="352" t="str">
        <f aca="false">Option4!A233</f>
        <v>N/A</v>
      </c>
      <c r="B266" s="396" t="str">
        <f aca="false">IF(A266="N/A"," ",IF(ISERROR(N266),B254*Pwresc,N266)*VLOOKUP(MONTH(A266),Curveadj,3))</f>
        <v> </v>
      </c>
      <c r="C266" s="397" t="str">
        <f aca="false">IF(A266="N/A"," ",(IF(AND(Scaler4=1,MONTH(A266)&gt;=6,MONTH(A266)&lt;=8,OR($M$37="REGION 2",$M$37="REGION 2A",$M$37="REGION 2B",$M$37="REGION 3",$M$37="REGION 3A",$M$37="REGION 3B",$M$37="REGION 3C",$M$37="REGION 4",$M$37="REGION 4B",$M$37="REGION 4C",$M$37="REGION 5",$M$37="REGION 5A")),((0.059228/(B266/100))-(0.4980013/(SQRT(B266/100)))+2.137988),HLOOKUP(MONTH(A266),ScalarTable,28))))</f>
        <v> </v>
      </c>
      <c r="D266" s="398" t="str">
        <f aca="false">IF(A266="N/A"," ",C266*B266)</f>
        <v> </v>
      </c>
      <c r="E266" s="396" t="str">
        <f aca="false">IF(A266="N/A"," ",IF(ISERROR(O266),E254*Pwresc,O266)*VLOOKUP(MONTH(A266),Curveadj,3))</f>
        <v> </v>
      </c>
      <c r="F266" s="398" t="str">
        <f aca="false">IF(A266="N/A"," ",E266*C266)</f>
        <v> </v>
      </c>
      <c r="G266" s="396" t="str">
        <f aca="false">IF(A266="N/A"," ",IF(ISERROR(P266),G254*Pwresc,P266)*VLOOKUP(MONTH(A266),Curveadj,3))</f>
        <v> </v>
      </c>
      <c r="H266" s="398" t="str">
        <f aca="false">IF(A266="N/A"," ",G266*C266)</f>
        <v> </v>
      </c>
      <c r="I266" s="398" t="str">
        <f aca="false">IF(A266="N/A"," ",IF(ISERROR(Q266),I254*Pwresc,Q266))</f>
        <v> </v>
      </c>
      <c r="J266" s="398"/>
      <c r="K266" s="399"/>
      <c r="L266" s="399"/>
      <c r="M266" s="404"/>
      <c r="N266" s="401" t="str">
        <f aca="false">IF(A266="N/A"," ",VLOOKUP(A266,PeakPowerCurves,(IF(BMO4=2,3,IF(BMO4=1,2,4))),FALSE()))</f>
        <v> </v>
      </c>
      <c r="O266" s="401" t="str">
        <f aca="false">IF(A266="N/A"," ",VLOOKUP(A266,SatSunPeakPwr,(IF(BMO4=2,3,IF(BMO4=1,2,4))),FALSE()))</f>
        <v> </v>
      </c>
      <c r="P266" s="401" t="str">
        <f aca="false">IF(A266="N/A"," ",VLOOKUP(A266,SatSunPeakPwr,(IF(BMO4=2,7,IF(BMO4=1,6,8))),FALSE()))</f>
        <v> </v>
      </c>
      <c r="Q266" s="402" t="str">
        <f aca="false">IF(A266="N/A"," ",(VLOOKUP(A266,OPPowerPrices,(IF(BMO4=2,7,IF(BMO4=1,6,8))),FALSE())))</f>
        <v> </v>
      </c>
      <c r="R266" s="403" t="str">
        <f aca="false">IF(A266="N/A"," ",(VLOOKUP($A266,IRTable,2)))</f>
        <v> </v>
      </c>
      <c r="AF266" s="352" t="n">
        <f aca="false">EOMONTH(AF265,0)+1</f>
        <v>44531</v>
      </c>
      <c r="AG266" s="311" t="n">
        <v>21</v>
      </c>
      <c r="AH266" s="311" t="n">
        <v>4</v>
      </c>
      <c r="AI266" s="311" t="n">
        <v>6</v>
      </c>
      <c r="AJ266" s="311" t="n">
        <v>1</v>
      </c>
      <c r="AK266" s="311" t="n">
        <v>31</v>
      </c>
      <c r="AU266" s="406"/>
    </row>
    <row r="267" customFormat="false" ht="12.75" hidden="false" customHeight="false" outlineLevel="0" collapsed="false">
      <c r="A267" s="352" t="str">
        <f aca="false">Option4!A234</f>
        <v>N/A</v>
      </c>
      <c r="B267" s="396" t="str">
        <f aca="false">IF(A267="N/A"," ",IF(ISERROR(N267),B255*Pwresc,N267)*VLOOKUP(MONTH(A267),Curveadj,3))</f>
        <v> </v>
      </c>
      <c r="C267" s="397" t="str">
        <f aca="false">IF(A267="N/A"," ",(IF(AND(Scaler4=1,MONTH(A267)&gt;=6,MONTH(A267)&lt;=8,OR($M$37="REGION 2",$M$37="REGION 2A",$M$37="REGION 2B",$M$37="REGION 3",$M$37="REGION 3A",$M$37="REGION 3B",$M$37="REGION 3C",$M$37="REGION 4",$M$37="REGION 4B",$M$37="REGION 4C",$M$37="REGION 5",$M$37="REGION 5A")),((0.059228/(B267/100))-(0.4980013/(SQRT(B267/100)))+2.137988),HLOOKUP(MONTH(A267),ScalarTable,28))))</f>
        <v> </v>
      </c>
      <c r="D267" s="398" t="str">
        <f aca="false">IF(A267="N/A"," ",C267*B267)</f>
        <v> </v>
      </c>
      <c r="E267" s="396" t="str">
        <f aca="false">IF(A267="N/A"," ",IF(ISERROR(O267),E255*Pwresc,O267)*VLOOKUP(MONTH(A267),Curveadj,3))</f>
        <v> </v>
      </c>
      <c r="F267" s="398" t="str">
        <f aca="false">IF(A267="N/A"," ",E267*C267)</f>
        <v> </v>
      </c>
      <c r="G267" s="396" t="str">
        <f aca="false">IF(A267="N/A"," ",IF(ISERROR(P267),G255*Pwresc,P267)*VLOOKUP(MONTH(A267),Curveadj,3))</f>
        <v> </v>
      </c>
      <c r="H267" s="398" t="str">
        <f aca="false">IF(A267="N/A"," ",G267*C267)</f>
        <v> </v>
      </c>
      <c r="I267" s="398" t="str">
        <f aca="false">IF(A267="N/A"," ",IF(ISERROR(Q267),I255*Pwresc,Q267))</f>
        <v> </v>
      </c>
      <c r="J267" s="398"/>
      <c r="K267" s="399"/>
      <c r="L267" s="399"/>
      <c r="M267" s="404"/>
      <c r="N267" s="401" t="str">
        <f aca="false">IF(A267="N/A"," ",VLOOKUP(A267,PeakPowerCurves,(IF(BMO4=2,3,IF(BMO4=1,2,4))),FALSE()))</f>
        <v> </v>
      </c>
      <c r="O267" s="401" t="str">
        <f aca="false">IF(A267="N/A"," ",VLOOKUP(A267,SatSunPeakPwr,(IF(BMO4=2,3,IF(BMO4=1,2,4))),FALSE()))</f>
        <v> </v>
      </c>
      <c r="P267" s="401" t="str">
        <f aca="false">IF(A267="N/A"," ",VLOOKUP(A267,SatSunPeakPwr,(IF(BMO4=2,7,IF(BMO4=1,6,8))),FALSE()))</f>
        <v> </v>
      </c>
      <c r="Q267" s="402" t="str">
        <f aca="false">IF(A267="N/A"," ",(VLOOKUP(A267,OPPowerPrices,(IF(BMO4=2,7,IF(BMO4=1,6,8))),FALSE())))</f>
        <v> </v>
      </c>
      <c r="R267" s="403" t="str">
        <f aca="false">IF(A267="N/A"," ",(VLOOKUP($A267,IRTable,2)))</f>
        <v> </v>
      </c>
      <c r="AF267" s="352" t="n">
        <f aca="false">EOMONTH(AF266,0)+1</f>
        <v>44562</v>
      </c>
      <c r="AG267" s="311" t="n">
        <v>22</v>
      </c>
      <c r="AH267" s="311" t="n">
        <v>4</v>
      </c>
      <c r="AI267" s="311" t="n">
        <v>5</v>
      </c>
      <c r="AJ267" s="311" t="n">
        <v>1</v>
      </c>
      <c r="AK267" s="311" t="n">
        <v>31</v>
      </c>
      <c r="AU267" s="406"/>
    </row>
    <row r="268" customFormat="false" ht="12.75" hidden="false" customHeight="false" outlineLevel="0" collapsed="false">
      <c r="A268" s="352" t="str">
        <f aca="false">Option4!A235</f>
        <v>N/A</v>
      </c>
      <c r="B268" s="396" t="str">
        <f aca="false">IF(A268="N/A"," ",IF(ISERROR(N268),B256*Pwresc,N268)*VLOOKUP(MONTH(A268),Curveadj,3))</f>
        <v> </v>
      </c>
      <c r="C268" s="397" t="str">
        <f aca="false">IF(A268="N/A"," ",(IF(AND(Scaler4=1,MONTH(A268)&gt;=6,MONTH(A268)&lt;=8,OR($M$37="REGION 2",$M$37="REGION 2A",$M$37="REGION 2B",$M$37="REGION 3",$M$37="REGION 3A",$M$37="REGION 3B",$M$37="REGION 3C",$M$37="REGION 4",$M$37="REGION 4B",$M$37="REGION 4C",$M$37="REGION 5",$M$37="REGION 5A")),((0.059228/(B268/100))-(0.4980013/(SQRT(B268/100)))+2.137988),HLOOKUP(MONTH(A268),ScalarTable,28))))</f>
        <v> </v>
      </c>
      <c r="D268" s="398" t="str">
        <f aca="false">IF(A268="N/A"," ",C268*B268)</f>
        <v> </v>
      </c>
      <c r="E268" s="396" t="str">
        <f aca="false">IF(A268="N/A"," ",IF(ISERROR(O268),E256*Pwresc,O268)*VLOOKUP(MONTH(A268),Curveadj,3))</f>
        <v> </v>
      </c>
      <c r="F268" s="398" t="str">
        <f aca="false">IF(A268="N/A"," ",E268*C268)</f>
        <v> </v>
      </c>
      <c r="G268" s="396" t="str">
        <f aca="false">IF(A268="N/A"," ",IF(ISERROR(P268),G256*Pwresc,P268)*VLOOKUP(MONTH(A268),Curveadj,3))</f>
        <v> </v>
      </c>
      <c r="H268" s="398" t="str">
        <f aca="false">IF(A268="N/A"," ",G268*C268)</f>
        <v> </v>
      </c>
      <c r="I268" s="398" t="str">
        <f aca="false">IF(A268="N/A"," ",IF(ISERROR(Q268),I256*Pwresc,Q268))</f>
        <v> </v>
      </c>
      <c r="J268" s="398"/>
      <c r="K268" s="399"/>
      <c r="L268" s="399"/>
      <c r="M268" s="404"/>
      <c r="N268" s="401" t="str">
        <f aca="false">IF(A268="N/A"," ",VLOOKUP(A268,PeakPowerCurves,(IF(BMO4=2,3,IF(BMO4=1,2,4))),FALSE()))</f>
        <v> </v>
      </c>
      <c r="O268" s="401" t="str">
        <f aca="false">IF(A268="N/A"," ",VLOOKUP(A268,SatSunPeakPwr,(IF(BMO4=2,3,IF(BMO4=1,2,4))),FALSE()))</f>
        <v> </v>
      </c>
      <c r="P268" s="401" t="str">
        <f aca="false">IF(A268="N/A"," ",VLOOKUP(A268,SatSunPeakPwr,(IF(BMO4=2,7,IF(BMO4=1,6,8))),FALSE()))</f>
        <v> </v>
      </c>
      <c r="Q268" s="402" t="str">
        <f aca="false">IF(A268="N/A"," ",(VLOOKUP(A268,OPPowerPrices,(IF(BMO4=2,7,IF(BMO4=1,6,8))),FALSE())))</f>
        <v> </v>
      </c>
      <c r="R268" s="403" t="str">
        <f aca="false">IF(A268="N/A"," ",(VLOOKUP($A268,IRTable,2)))</f>
        <v> </v>
      </c>
      <c r="AF268" s="352" t="n">
        <f aca="false">EOMONTH(AF267,0)+1</f>
        <v>44593</v>
      </c>
      <c r="AG268" s="311" t="n">
        <v>20</v>
      </c>
      <c r="AH268" s="311" t="n">
        <v>4</v>
      </c>
      <c r="AI268" s="311" t="n">
        <v>4</v>
      </c>
      <c r="AJ268" s="311" t="n">
        <v>0</v>
      </c>
      <c r="AK268" s="311" t="n">
        <v>28</v>
      </c>
      <c r="AU268" s="406"/>
    </row>
    <row r="269" customFormat="false" ht="12.75" hidden="false" customHeight="false" outlineLevel="0" collapsed="false">
      <c r="A269" s="352" t="str">
        <f aca="false">Option4!A236</f>
        <v>N/A</v>
      </c>
      <c r="B269" s="396" t="str">
        <f aca="false">IF(A269="N/A"," ",IF(ISERROR(N269),B257*Pwresc,N269)*VLOOKUP(MONTH(A269),Curveadj,3))</f>
        <v> </v>
      </c>
      <c r="C269" s="397" t="str">
        <f aca="false">IF(A269="N/A"," ",(IF(AND(Scaler4=1,MONTH(A269)&gt;=6,MONTH(A269)&lt;=8,OR($M$37="REGION 2",$M$37="REGION 2A",$M$37="REGION 2B",$M$37="REGION 3",$M$37="REGION 3A",$M$37="REGION 3B",$M$37="REGION 3C",$M$37="REGION 4",$M$37="REGION 4B",$M$37="REGION 4C",$M$37="REGION 5",$M$37="REGION 5A")),((0.059228/(B269/100))-(0.4980013/(SQRT(B269/100)))+2.137988),HLOOKUP(MONTH(A269),ScalarTable,28))))</f>
        <v> </v>
      </c>
      <c r="D269" s="398" t="str">
        <f aca="false">IF(A269="N/A"," ",C269*B269)</f>
        <v> </v>
      </c>
      <c r="E269" s="396" t="str">
        <f aca="false">IF(A269="N/A"," ",IF(ISERROR(O269),E257*Pwresc,O269)*VLOOKUP(MONTH(A269),Curveadj,3))</f>
        <v> </v>
      </c>
      <c r="F269" s="398" t="str">
        <f aca="false">IF(A269="N/A"," ",E269*C269)</f>
        <v> </v>
      </c>
      <c r="G269" s="396" t="str">
        <f aca="false">IF(A269="N/A"," ",IF(ISERROR(P269),G257*Pwresc,P269)*VLOOKUP(MONTH(A269),Curveadj,3))</f>
        <v> </v>
      </c>
      <c r="H269" s="398" t="str">
        <f aca="false">IF(A269="N/A"," ",G269*C269)</f>
        <v> </v>
      </c>
      <c r="I269" s="398" t="str">
        <f aca="false">IF(A269="N/A"," ",IF(ISERROR(Q269),I257*Pwresc,Q269))</f>
        <v> </v>
      </c>
      <c r="J269" s="398"/>
      <c r="K269" s="399"/>
      <c r="L269" s="399"/>
      <c r="M269" s="404"/>
      <c r="N269" s="401" t="str">
        <f aca="false">IF(A269="N/A"," ",VLOOKUP(A269,PeakPowerCurves,(IF(BMO4=2,3,IF(BMO4=1,2,4))),FALSE()))</f>
        <v> </v>
      </c>
      <c r="O269" s="401" t="str">
        <f aca="false">IF(A269="N/A"," ",VLOOKUP(A269,SatSunPeakPwr,(IF(BMO4=2,3,IF(BMO4=1,2,4))),FALSE()))</f>
        <v> </v>
      </c>
      <c r="P269" s="401" t="str">
        <f aca="false">IF(A269="N/A"," ",VLOOKUP(A269,SatSunPeakPwr,(IF(BMO4=2,7,IF(BMO4=1,6,8))),FALSE()))</f>
        <v> </v>
      </c>
      <c r="Q269" s="402" t="str">
        <f aca="false">IF(A269="N/A"," ",(VLOOKUP(A269,OPPowerPrices,(IF(BMO4=2,7,IF(BMO4=1,6,8))),FALSE())))</f>
        <v> </v>
      </c>
      <c r="R269" s="403" t="str">
        <f aca="false">IF(A269="N/A"," ",(VLOOKUP($A269,IRTable,2)))</f>
        <v> </v>
      </c>
      <c r="AF269" s="352" t="n">
        <f aca="false">EOMONTH(AF268,0)+1</f>
        <v>44621</v>
      </c>
      <c r="AG269" s="311" t="n">
        <v>21</v>
      </c>
      <c r="AH269" s="311" t="n">
        <v>5</v>
      </c>
      <c r="AI269" s="311" t="n">
        <v>5</v>
      </c>
      <c r="AJ269" s="311" t="n">
        <v>0</v>
      </c>
      <c r="AK269" s="311" t="n">
        <v>31</v>
      </c>
      <c r="AU269" s="406"/>
    </row>
    <row r="270" customFormat="false" ht="12.75" hidden="false" customHeight="false" outlineLevel="0" collapsed="false">
      <c r="A270" s="352" t="str">
        <f aca="false">Option4!A237</f>
        <v>N/A</v>
      </c>
      <c r="B270" s="396" t="str">
        <f aca="false">IF(A270="N/A"," ",IF(ISERROR(N270),B258*Pwresc,N270)*VLOOKUP(MONTH(A270),Curveadj,3))</f>
        <v> </v>
      </c>
      <c r="C270" s="397" t="str">
        <f aca="false">IF(A270="N/A"," ",(IF(AND(Scaler4=1,MONTH(A270)&gt;=6,MONTH(A270)&lt;=8,OR($M$37="REGION 2",$M$37="REGION 2A",$M$37="REGION 2B",$M$37="REGION 3",$M$37="REGION 3A",$M$37="REGION 3B",$M$37="REGION 3C",$M$37="REGION 4",$M$37="REGION 4B",$M$37="REGION 4C",$M$37="REGION 5",$M$37="REGION 5A")),((0.059228/(B270/100))-(0.4980013/(SQRT(B270/100)))+2.137988),HLOOKUP(MONTH(A270),ScalarTable,28))))</f>
        <v> </v>
      </c>
      <c r="D270" s="398" t="str">
        <f aca="false">IF(A270="N/A"," ",C270*B270)</f>
        <v> </v>
      </c>
      <c r="E270" s="396" t="str">
        <f aca="false">IF(A270="N/A"," ",IF(ISERROR(O270),E258*Pwresc,O270)*VLOOKUP(MONTH(A270),Curveadj,3))</f>
        <v> </v>
      </c>
      <c r="F270" s="398" t="str">
        <f aca="false">IF(A270="N/A"," ",E270*C270)</f>
        <v> </v>
      </c>
      <c r="G270" s="396" t="str">
        <f aca="false">IF(A270="N/A"," ",IF(ISERROR(P270),G258*Pwresc,P270)*VLOOKUP(MONTH(A270),Curveadj,3))</f>
        <v> </v>
      </c>
      <c r="H270" s="398" t="str">
        <f aca="false">IF(A270="N/A"," ",G270*C270)</f>
        <v> </v>
      </c>
      <c r="I270" s="398" t="str">
        <f aca="false">IF(A270="N/A"," ",IF(ISERROR(Q270),I258*Pwresc,Q270))</f>
        <v> </v>
      </c>
      <c r="J270" s="398"/>
      <c r="K270" s="399"/>
      <c r="L270" s="399"/>
      <c r="M270" s="404"/>
      <c r="N270" s="401" t="str">
        <f aca="false">IF(A270="N/A"," ",VLOOKUP(A270,PeakPowerCurves,(IF(BMO4=2,3,IF(BMO4=1,2,4))),FALSE()))</f>
        <v> </v>
      </c>
      <c r="O270" s="401" t="str">
        <f aca="false">IF(A270="N/A"," ",VLOOKUP(A270,SatSunPeakPwr,(IF(BMO4=2,3,IF(BMO4=1,2,4))),FALSE()))</f>
        <v> </v>
      </c>
      <c r="P270" s="401" t="str">
        <f aca="false">IF(A270="N/A"," ",VLOOKUP(A270,SatSunPeakPwr,(IF(BMO4=2,7,IF(BMO4=1,6,8))),FALSE()))</f>
        <v> </v>
      </c>
      <c r="Q270" s="402" t="str">
        <f aca="false">IF(A270="N/A"," ",(VLOOKUP(A270,OPPowerPrices,(IF(BMO4=2,7,IF(BMO4=1,6,8))),FALSE())))</f>
        <v> </v>
      </c>
      <c r="R270" s="403" t="str">
        <f aca="false">IF(A270="N/A"," ",(VLOOKUP($A270,IRTable,2)))</f>
        <v> </v>
      </c>
      <c r="AF270" s="352" t="n">
        <f aca="false">EOMONTH(AF269,0)+1</f>
        <v>44652</v>
      </c>
      <c r="AG270" s="311" t="n">
        <v>22</v>
      </c>
      <c r="AH270" s="311" t="n">
        <v>4</v>
      </c>
      <c r="AI270" s="311" t="n">
        <v>4</v>
      </c>
      <c r="AJ270" s="311" t="n">
        <v>0</v>
      </c>
      <c r="AK270" s="311" t="n">
        <v>30</v>
      </c>
      <c r="AU270" s="406"/>
    </row>
    <row r="271" customFormat="false" ht="12.75" hidden="false" customHeight="false" outlineLevel="0" collapsed="false">
      <c r="A271" s="352" t="str">
        <f aca="false">Option4!A238</f>
        <v>N/A</v>
      </c>
      <c r="B271" s="396" t="str">
        <f aca="false">IF(A271="N/A"," ",IF(ISERROR(N271),B259*Pwresc,N271)*VLOOKUP(MONTH(A271),Curveadj,3))</f>
        <v> </v>
      </c>
      <c r="C271" s="397" t="str">
        <f aca="false">IF(A271="N/A"," ",(IF(AND(Scaler4=1,MONTH(A271)&gt;=6,MONTH(A271)&lt;=8,OR($M$37="REGION 2",$M$37="REGION 2A",$M$37="REGION 2B",$M$37="REGION 3",$M$37="REGION 3A",$M$37="REGION 3B",$M$37="REGION 3C",$M$37="REGION 4",$M$37="REGION 4B",$M$37="REGION 4C",$M$37="REGION 5",$M$37="REGION 5A")),((0.059228/(B271/100))-(0.4980013/(SQRT(B271/100)))+2.137988),HLOOKUP(MONTH(A271),ScalarTable,28))))</f>
        <v> </v>
      </c>
      <c r="D271" s="398" t="str">
        <f aca="false">IF(A271="N/A"," ",C271*B271)</f>
        <v> </v>
      </c>
      <c r="E271" s="396" t="str">
        <f aca="false">IF(A271="N/A"," ",IF(ISERROR(O271),E259*Pwresc,O271)*VLOOKUP(MONTH(A271),Curveadj,3))</f>
        <v> </v>
      </c>
      <c r="F271" s="398" t="str">
        <f aca="false">IF(A271="N/A"," ",E271*C271)</f>
        <v> </v>
      </c>
      <c r="G271" s="396" t="str">
        <f aca="false">IF(A271="N/A"," ",IF(ISERROR(P271),G259*Pwresc,P271)*VLOOKUP(MONTH(A271),Curveadj,3))</f>
        <v> </v>
      </c>
      <c r="H271" s="398" t="str">
        <f aca="false">IF(A271="N/A"," ",G271*C271)</f>
        <v> </v>
      </c>
      <c r="I271" s="398" t="str">
        <f aca="false">IF(A271="N/A"," ",IF(ISERROR(Q271),I259*Pwresc,Q271))</f>
        <v> </v>
      </c>
      <c r="J271" s="398"/>
      <c r="K271" s="399"/>
      <c r="L271" s="399"/>
      <c r="M271" s="404"/>
      <c r="N271" s="401" t="str">
        <f aca="false">IF(A271="N/A"," ",VLOOKUP(A271,PeakPowerCurves,(IF(BMO4=2,3,IF(BMO4=1,2,4))),FALSE()))</f>
        <v> </v>
      </c>
      <c r="O271" s="401" t="str">
        <f aca="false">IF(A271="N/A"," ",VLOOKUP(A271,SatSunPeakPwr,(IF(BMO4=2,3,IF(BMO4=1,2,4))),FALSE()))</f>
        <v> </v>
      </c>
      <c r="P271" s="401" t="str">
        <f aca="false">IF(A271="N/A"," ",VLOOKUP(A271,SatSunPeakPwr,(IF(BMO4=2,7,IF(BMO4=1,6,8))),FALSE()))</f>
        <v> </v>
      </c>
      <c r="Q271" s="402" t="str">
        <f aca="false">IF(A271="N/A"," ",(VLOOKUP(A271,OPPowerPrices,(IF(BMO4=2,7,IF(BMO4=1,6,8))),FALSE())))</f>
        <v> </v>
      </c>
      <c r="R271" s="403" t="str">
        <f aca="false">IF(A271="N/A"," ",(VLOOKUP($A271,IRTable,2)))</f>
        <v> </v>
      </c>
      <c r="AF271" s="352" t="n">
        <f aca="false">EOMONTH(AF270,0)+1</f>
        <v>44682</v>
      </c>
      <c r="AG271" s="311" t="n">
        <v>22</v>
      </c>
      <c r="AH271" s="311" t="n">
        <v>4</v>
      </c>
      <c r="AI271" s="311" t="n">
        <v>5</v>
      </c>
      <c r="AJ271" s="311" t="n">
        <v>1</v>
      </c>
      <c r="AK271" s="311" t="n">
        <v>31</v>
      </c>
      <c r="AU271" s="406"/>
    </row>
    <row r="272" customFormat="false" ht="12.75" hidden="false" customHeight="false" outlineLevel="0" collapsed="false">
      <c r="A272" s="352" t="str">
        <f aca="false">Option4!A239</f>
        <v>N/A</v>
      </c>
      <c r="B272" s="396" t="str">
        <f aca="false">IF(A272="N/A"," ",IF(ISERROR(N272),B260*Pwresc,N272)*VLOOKUP(MONTH(A272),Curveadj,3))</f>
        <v> </v>
      </c>
      <c r="C272" s="397" t="str">
        <f aca="false">IF(A272="N/A"," ",(IF(AND(Scaler4=1,MONTH(A272)&gt;=6,MONTH(A272)&lt;=8,OR($M$37="REGION 2",$M$37="REGION 2A",$M$37="REGION 2B",$M$37="REGION 3",$M$37="REGION 3A",$M$37="REGION 3B",$M$37="REGION 3C",$M$37="REGION 4",$M$37="REGION 4B",$M$37="REGION 4C",$M$37="REGION 5",$M$37="REGION 5A")),((0.059228/(B272/100))-(0.4980013/(SQRT(B272/100)))+2.137988),HLOOKUP(MONTH(A272),ScalarTable,28))))</f>
        <v> </v>
      </c>
      <c r="D272" s="398" t="str">
        <f aca="false">IF(A272="N/A"," ",C272*B272)</f>
        <v> </v>
      </c>
      <c r="E272" s="396" t="str">
        <f aca="false">IF(A272="N/A"," ",IF(ISERROR(O272),E260*Pwresc,O272)*VLOOKUP(MONTH(A272),Curveadj,3))</f>
        <v> </v>
      </c>
      <c r="F272" s="398" t="str">
        <f aca="false">IF(A272="N/A"," ",E272*C272)</f>
        <v> </v>
      </c>
      <c r="G272" s="396" t="str">
        <f aca="false">IF(A272="N/A"," ",IF(ISERROR(P272),G260*Pwresc,P272)*VLOOKUP(MONTH(A272),Curveadj,3))</f>
        <v> </v>
      </c>
      <c r="H272" s="398" t="str">
        <f aca="false">IF(A272="N/A"," ",G272*C272)</f>
        <v> </v>
      </c>
      <c r="I272" s="398" t="str">
        <f aca="false">IF(A272="N/A"," ",IF(ISERROR(Q272),I260*Pwresc,Q272))</f>
        <v> </v>
      </c>
      <c r="J272" s="398"/>
      <c r="K272" s="399"/>
      <c r="L272" s="399"/>
      <c r="M272" s="404"/>
      <c r="N272" s="401" t="str">
        <f aca="false">IF(A272="N/A"," ",VLOOKUP(A272,PeakPowerCurves,(IF(BMO4=2,3,IF(BMO4=1,2,4))),FALSE()))</f>
        <v> </v>
      </c>
      <c r="O272" s="401" t="str">
        <f aca="false">IF(A272="N/A"," ",VLOOKUP(A272,SatSunPeakPwr,(IF(BMO4=2,3,IF(BMO4=1,2,4))),FALSE()))</f>
        <v> </v>
      </c>
      <c r="P272" s="401" t="str">
        <f aca="false">IF(A272="N/A"," ",VLOOKUP(A272,SatSunPeakPwr,(IF(BMO4=2,7,IF(BMO4=1,6,8))),FALSE()))</f>
        <v> </v>
      </c>
      <c r="Q272" s="402" t="str">
        <f aca="false">IF(A272="N/A"," ",(VLOOKUP(A272,OPPowerPrices,(IF(BMO4=2,7,IF(BMO4=1,6,8))),FALSE())))</f>
        <v> </v>
      </c>
      <c r="R272" s="403" t="str">
        <f aca="false">IF(A272="N/A"," ",(VLOOKUP($A272,IRTable,2)))</f>
        <v> </v>
      </c>
      <c r="AF272" s="352" t="n">
        <f aca="false">EOMONTH(AF271,0)+1</f>
        <v>44713</v>
      </c>
      <c r="AG272" s="311" t="n">
        <v>20</v>
      </c>
      <c r="AH272" s="311" t="n">
        <v>5</v>
      </c>
      <c r="AI272" s="311" t="n">
        <v>5</v>
      </c>
      <c r="AJ272" s="311" t="n">
        <v>0</v>
      </c>
      <c r="AK272" s="311" t="n">
        <v>30</v>
      </c>
      <c r="AU272" s="406"/>
    </row>
    <row r="273" customFormat="false" ht="12.75" hidden="false" customHeight="false" outlineLevel="0" collapsed="false">
      <c r="A273" s="352" t="str">
        <f aca="false">Option4!A240</f>
        <v>N/A</v>
      </c>
      <c r="B273" s="396" t="str">
        <f aca="false">IF(A273="N/A"," ",IF(ISERROR(N273),B261*Pwresc,N273)*VLOOKUP(MONTH(A273),Curveadj,3))</f>
        <v> </v>
      </c>
      <c r="C273" s="397" t="str">
        <f aca="false">IF(A273="N/A"," ",(IF(AND(Scaler4=1,MONTH(A273)&gt;=6,MONTH(A273)&lt;=8,OR($M$37="REGION 2",$M$37="REGION 2A",$M$37="REGION 2B",$M$37="REGION 3",$M$37="REGION 3A",$M$37="REGION 3B",$M$37="REGION 3C",$M$37="REGION 4",$M$37="REGION 4B",$M$37="REGION 4C",$M$37="REGION 5",$M$37="REGION 5A")),((0.059228/(B273/100))-(0.4980013/(SQRT(B273/100)))+2.137988),HLOOKUP(MONTH(A273),ScalarTable,28))))</f>
        <v> </v>
      </c>
      <c r="D273" s="398" t="str">
        <f aca="false">IF(A273="N/A"," ",C273*B273)</f>
        <v> </v>
      </c>
      <c r="E273" s="396" t="str">
        <f aca="false">IF(A273="N/A"," ",IF(ISERROR(O273),E261*Pwresc,O273)*VLOOKUP(MONTH(A273),Curveadj,3))</f>
        <v> </v>
      </c>
      <c r="F273" s="398" t="str">
        <f aca="false">IF(A273="N/A"," ",E273*C273)</f>
        <v> </v>
      </c>
      <c r="G273" s="396" t="str">
        <f aca="false">IF(A273="N/A"," ",IF(ISERROR(P273),G261*Pwresc,P273)*VLOOKUP(MONTH(A273),Curveadj,3))</f>
        <v> </v>
      </c>
      <c r="H273" s="398" t="str">
        <f aca="false">IF(A273="N/A"," ",G273*C273)</f>
        <v> </v>
      </c>
      <c r="I273" s="398" t="str">
        <f aca="false">IF(A273="N/A"," ",IF(ISERROR(Q273),I261*Pwresc,Q273))</f>
        <v> </v>
      </c>
      <c r="J273" s="398"/>
      <c r="K273" s="399"/>
      <c r="L273" s="399"/>
      <c r="M273" s="404"/>
      <c r="N273" s="401" t="str">
        <f aca="false">IF(A273="N/A"," ",VLOOKUP(A273,PeakPowerCurves,(IF(BMO4=2,3,IF(BMO4=1,2,4))),FALSE()))</f>
        <v> </v>
      </c>
      <c r="O273" s="401" t="str">
        <f aca="false">IF(A273="N/A"," ",VLOOKUP(A273,SatSunPeakPwr,(IF(BMO4=2,3,IF(BMO4=1,2,4))),FALSE()))</f>
        <v> </v>
      </c>
      <c r="P273" s="401" t="str">
        <f aca="false">IF(A273="N/A"," ",VLOOKUP(A273,SatSunPeakPwr,(IF(BMO4=2,7,IF(BMO4=1,6,8))),FALSE()))</f>
        <v> </v>
      </c>
      <c r="Q273" s="402" t="str">
        <f aca="false">IF(A273="N/A"," ",(VLOOKUP(A273,OPPowerPrices,(IF(BMO4=2,7,IF(BMO4=1,6,8))),FALSE())))</f>
        <v> </v>
      </c>
      <c r="R273" s="403" t="str">
        <f aca="false">IF(A273="N/A"," ",(VLOOKUP($A273,IRTable,2)))</f>
        <v> </v>
      </c>
      <c r="AF273" s="352" t="n">
        <f aca="false">EOMONTH(AF272,0)+1</f>
        <v>44743</v>
      </c>
      <c r="AG273" s="311" t="n">
        <v>22</v>
      </c>
      <c r="AH273" s="311" t="n">
        <v>4</v>
      </c>
      <c r="AI273" s="311" t="n">
        <v>5</v>
      </c>
      <c r="AJ273" s="311" t="n">
        <v>1</v>
      </c>
      <c r="AK273" s="311" t="n">
        <v>31</v>
      </c>
      <c r="AU273" s="406"/>
    </row>
    <row r="274" customFormat="false" ht="12.75" hidden="false" customHeight="false" outlineLevel="0" collapsed="false">
      <c r="A274" s="352" t="str">
        <f aca="false">Option4!A241</f>
        <v>N/A</v>
      </c>
      <c r="B274" s="396" t="str">
        <f aca="false">IF(A274="N/A"," ",IF(ISERROR(N274),B262*Pwresc,N274)*VLOOKUP(MONTH(A274),Curveadj,3))</f>
        <v> </v>
      </c>
      <c r="C274" s="397" t="str">
        <f aca="false">IF(A274="N/A"," ",(IF(AND(Scaler4=1,MONTH(A274)&gt;=6,MONTH(A274)&lt;=8,OR($M$37="REGION 2",$M$37="REGION 2A",$M$37="REGION 2B",$M$37="REGION 3",$M$37="REGION 3A",$M$37="REGION 3B",$M$37="REGION 3C",$M$37="REGION 4",$M$37="REGION 4B",$M$37="REGION 4C",$M$37="REGION 5",$M$37="REGION 5A")),((0.059228/(B274/100))-(0.4980013/(SQRT(B274/100)))+2.137988),HLOOKUP(MONTH(A274),ScalarTable,28))))</f>
        <v> </v>
      </c>
      <c r="D274" s="398" t="str">
        <f aca="false">IF(A274="N/A"," ",C274*B274)</f>
        <v> </v>
      </c>
      <c r="E274" s="396" t="str">
        <f aca="false">IF(A274="N/A"," ",IF(ISERROR(O274),E262*Pwresc,O274)*VLOOKUP(MONTH(A274),Curveadj,3))</f>
        <v> </v>
      </c>
      <c r="F274" s="398" t="str">
        <f aca="false">IF(A274="N/A"," ",E274*C274)</f>
        <v> </v>
      </c>
      <c r="G274" s="396" t="str">
        <f aca="false">IF(A274="N/A"," ",IF(ISERROR(P274),G262*Pwresc,P274)*VLOOKUP(MONTH(A274),Curveadj,3))</f>
        <v> </v>
      </c>
      <c r="H274" s="398" t="str">
        <f aca="false">IF(A274="N/A"," ",G274*C274)</f>
        <v> </v>
      </c>
      <c r="I274" s="398" t="str">
        <f aca="false">IF(A274="N/A"," ",IF(ISERROR(Q274),I262*Pwresc,Q274))</f>
        <v> </v>
      </c>
      <c r="J274" s="398"/>
      <c r="K274" s="399"/>
      <c r="L274" s="399"/>
      <c r="M274" s="404"/>
      <c r="N274" s="401" t="str">
        <f aca="false">IF(A274="N/A"," ",VLOOKUP(A274,PeakPowerCurves,(IF(BMO4=2,3,IF(BMO4=1,2,4))),FALSE()))</f>
        <v> </v>
      </c>
      <c r="O274" s="401" t="str">
        <f aca="false">IF(A274="N/A"," ",VLOOKUP(A274,SatSunPeakPwr,(IF(BMO4=2,3,IF(BMO4=1,2,4))),FALSE()))</f>
        <v> </v>
      </c>
      <c r="P274" s="401" t="str">
        <f aca="false">IF(A274="N/A"," ",VLOOKUP(A274,SatSunPeakPwr,(IF(BMO4=2,7,IF(BMO4=1,6,8))),FALSE()))</f>
        <v> </v>
      </c>
      <c r="Q274" s="402" t="str">
        <f aca="false">IF(A274="N/A"," ",(VLOOKUP(A274,OPPowerPrices,(IF(BMO4=2,7,IF(BMO4=1,6,8))),FALSE())))</f>
        <v> </v>
      </c>
      <c r="R274" s="403" t="str">
        <f aca="false">IF(A274="N/A"," ",(VLOOKUP($A274,IRTable,2)))</f>
        <v> </v>
      </c>
      <c r="AF274" s="352" t="n">
        <f aca="false">EOMONTH(AF273,0)+1</f>
        <v>44774</v>
      </c>
      <c r="AG274" s="311" t="n">
        <v>22</v>
      </c>
      <c r="AH274" s="311" t="n">
        <v>5</v>
      </c>
      <c r="AI274" s="311" t="n">
        <v>4</v>
      </c>
      <c r="AJ274" s="311" t="n">
        <v>0</v>
      </c>
      <c r="AK274" s="311" t="n">
        <v>31</v>
      </c>
      <c r="AU274" s="406"/>
    </row>
    <row r="275" customFormat="false" ht="12.75" hidden="false" customHeight="false" outlineLevel="0" collapsed="false">
      <c r="A275" s="352" t="str">
        <f aca="false">Option4!A242</f>
        <v>N/A</v>
      </c>
      <c r="B275" s="396" t="str">
        <f aca="false">IF(A275="N/A"," ",IF(ISERROR(N275),B263*Pwresc,N275)*VLOOKUP(MONTH(A275),Curveadj,3))</f>
        <v> </v>
      </c>
      <c r="C275" s="397" t="str">
        <f aca="false">IF(A275="N/A"," ",(IF(AND(Scaler4=1,MONTH(A275)&gt;=6,MONTH(A275)&lt;=8,OR($M$37="REGION 2",$M$37="REGION 2A",$M$37="REGION 2B",$M$37="REGION 3",$M$37="REGION 3A",$M$37="REGION 3B",$M$37="REGION 3C",$M$37="REGION 4",$M$37="REGION 4B",$M$37="REGION 4C",$M$37="REGION 5",$M$37="REGION 5A")),((0.059228/(B275/100))-(0.4980013/(SQRT(B275/100)))+2.137988),HLOOKUP(MONTH(A275),ScalarTable,28))))</f>
        <v> </v>
      </c>
      <c r="D275" s="398" t="str">
        <f aca="false">IF(A275="N/A"," ",C275*B275)</f>
        <v> </v>
      </c>
      <c r="E275" s="396" t="str">
        <f aca="false">IF(A275="N/A"," ",IF(ISERROR(O275),E263*Pwresc,O275)*VLOOKUP(MONTH(A275),Curveadj,3))</f>
        <v> </v>
      </c>
      <c r="F275" s="398" t="str">
        <f aca="false">IF(A275="N/A"," ",E275*C275)</f>
        <v> </v>
      </c>
      <c r="G275" s="396" t="str">
        <f aca="false">IF(A275="N/A"," ",IF(ISERROR(P275),G263*Pwresc,P275)*VLOOKUP(MONTH(A275),Curveadj,3))</f>
        <v> </v>
      </c>
      <c r="H275" s="398" t="str">
        <f aca="false">IF(A275="N/A"," ",G275*C275)</f>
        <v> </v>
      </c>
      <c r="I275" s="398" t="str">
        <f aca="false">IF(A275="N/A"," ",IF(ISERROR(Q275),I263*Pwresc,Q275))</f>
        <v> </v>
      </c>
      <c r="J275" s="398"/>
      <c r="K275" s="399"/>
      <c r="L275" s="399"/>
      <c r="M275" s="404"/>
      <c r="N275" s="401" t="str">
        <f aca="false">IF(A275="N/A"," ",VLOOKUP(A275,PeakPowerCurves,(IF(BMO4=2,3,IF(BMO4=1,2,4))),FALSE()))</f>
        <v> </v>
      </c>
      <c r="O275" s="401" t="str">
        <f aca="false">IF(A275="N/A"," ",VLOOKUP(A275,SatSunPeakPwr,(IF(BMO4=2,3,IF(BMO4=1,2,4))),FALSE()))</f>
        <v> </v>
      </c>
      <c r="P275" s="401" t="str">
        <f aca="false">IF(A275="N/A"," ",VLOOKUP(A275,SatSunPeakPwr,(IF(BMO4=2,7,IF(BMO4=1,6,8))),FALSE()))</f>
        <v> </v>
      </c>
      <c r="Q275" s="402" t="str">
        <f aca="false">IF(A275="N/A"," ",(VLOOKUP(A275,OPPowerPrices,(IF(BMO4=2,7,IF(BMO4=1,6,8))),FALSE())))</f>
        <v> </v>
      </c>
      <c r="R275" s="403" t="str">
        <f aca="false">IF(A275="N/A"," ",(VLOOKUP($A275,IRTable,2)))</f>
        <v> </v>
      </c>
      <c r="AF275" s="352" t="n">
        <f aca="false">EOMONTH(AF274,0)+1</f>
        <v>44805</v>
      </c>
      <c r="AG275" s="311" t="n">
        <v>20</v>
      </c>
      <c r="AH275" s="311" t="n">
        <v>4</v>
      </c>
      <c r="AI275" s="311" t="n">
        <v>6</v>
      </c>
      <c r="AJ275" s="311" t="n">
        <v>1</v>
      </c>
      <c r="AK275" s="311" t="n">
        <v>30</v>
      </c>
      <c r="AU275" s="406"/>
    </row>
    <row r="276" customFormat="false" ht="12.75" hidden="false" customHeight="false" outlineLevel="0" collapsed="false">
      <c r="A276" s="352" t="str">
        <f aca="false">Option4!A243</f>
        <v>N/A</v>
      </c>
      <c r="B276" s="396" t="str">
        <f aca="false">IF(A276="N/A"," ",IF(ISERROR(N276),B264*Pwresc,N276)*VLOOKUP(MONTH(A276),Curveadj,3))</f>
        <v> </v>
      </c>
      <c r="C276" s="397" t="str">
        <f aca="false">IF(A276="N/A"," ",(IF(AND(Scaler4=1,MONTH(A276)&gt;=6,MONTH(A276)&lt;=8,OR($M$37="REGION 2",$M$37="REGION 2A",$M$37="REGION 2B",$M$37="REGION 3",$M$37="REGION 3A",$M$37="REGION 3B",$M$37="REGION 3C",$M$37="REGION 4",$M$37="REGION 4B",$M$37="REGION 4C",$M$37="REGION 5",$M$37="REGION 5A")),((0.059228/(B276/100))-(0.4980013/(SQRT(B276/100)))+2.137988),HLOOKUP(MONTH(A276),ScalarTable,28))))</f>
        <v> </v>
      </c>
      <c r="D276" s="398" t="str">
        <f aca="false">IF(A276="N/A"," ",C276*B276)</f>
        <v> </v>
      </c>
      <c r="E276" s="396" t="str">
        <f aca="false">IF(A276="N/A"," ",IF(ISERROR(O276),E264*Pwresc,O276)*VLOOKUP(MONTH(A276),Curveadj,3))</f>
        <v> </v>
      </c>
      <c r="F276" s="398" t="str">
        <f aca="false">IF(A276="N/A"," ",E276*C276)</f>
        <v> </v>
      </c>
      <c r="G276" s="396" t="str">
        <f aca="false">IF(A276="N/A"," ",IF(ISERROR(P276),G264*Pwresc,P276)*VLOOKUP(MONTH(A276),Curveadj,3))</f>
        <v> </v>
      </c>
      <c r="H276" s="398" t="str">
        <f aca="false">IF(A276="N/A"," ",G276*C276)</f>
        <v> </v>
      </c>
      <c r="I276" s="398" t="str">
        <f aca="false">IF(A276="N/A"," ",IF(ISERROR(Q276),I264*Pwresc,Q276))</f>
        <v> </v>
      </c>
      <c r="J276" s="398"/>
      <c r="K276" s="399"/>
      <c r="L276" s="399"/>
      <c r="M276" s="404"/>
      <c r="N276" s="401" t="str">
        <f aca="false">IF(A276="N/A"," ",VLOOKUP(A276,PeakPowerCurves,(IF(BMO4=2,3,IF(BMO4=1,2,4))),FALSE()))</f>
        <v> </v>
      </c>
      <c r="O276" s="401" t="str">
        <f aca="false">IF(A276="N/A"," ",VLOOKUP(A276,SatSunPeakPwr,(IF(BMO4=2,3,IF(BMO4=1,2,4))),FALSE()))</f>
        <v> </v>
      </c>
      <c r="P276" s="401" t="str">
        <f aca="false">IF(A276="N/A"," ",VLOOKUP(A276,SatSunPeakPwr,(IF(BMO4=2,7,IF(BMO4=1,6,8))),FALSE()))</f>
        <v> </v>
      </c>
      <c r="Q276" s="402" t="str">
        <f aca="false">IF(A276="N/A"," ",(VLOOKUP(A276,OPPowerPrices,(IF(BMO4=2,7,IF(BMO4=1,6,8))),FALSE())))</f>
        <v> </v>
      </c>
      <c r="R276" s="403" t="str">
        <f aca="false">IF(A276="N/A"," ",(VLOOKUP($A276,IRTable,2)))</f>
        <v> </v>
      </c>
      <c r="AF276" s="352" t="n">
        <f aca="false">EOMONTH(AF275,0)+1</f>
        <v>44835</v>
      </c>
      <c r="AG276" s="311" t="n">
        <v>23</v>
      </c>
      <c r="AH276" s="311" t="n">
        <v>4</v>
      </c>
      <c r="AI276" s="311" t="n">
        <v>4</v>
      </c>
      <c r="AJ276" s="311" t="n">
        <v>0</v>
      </c>
      <c r="AK276" s="311" t="n">
        <v>31</v>
      </c>
      <c r="AU276" s="406"/>
    </row>
    <row r="277" customFormat="false" ht="12.75" hidden="false" customHeight="false" outlineLevel="0" collapsed="false">
      <c r="A277" s="352" t="str">
        <f aca="false">Option4!A244</f>
        <v>N/A</v>
      </c>
      <c r="B277" s="396" t="str">
        <f aca="false">IF(A277="N/A"," ",IF(ISERROR(N277),B265*Pwresc,N277)*VLOOKUP(MONTH(A277),Curveadj,3))</f>
        <v> </v>
      </c>
      <c r="C277" s="397" t="str">
        <f aca="false">IF(A277="N/A"," ",(IF(AND(Scaler4=1,MONTH(A277)&gt;=6,MONTH(A277)&lt;=8,OR($M$37="REGION 2",$M$37="REGION 2A",$M$37="REGION 2B",$M$37="REGION 3",$M$37="REGION 3A",$M$37="REGION 3B",$M$37="REGION 3C",$M$37="REGION 4",$M$37="REGION 4B",$M$37="REGION 4C",$M$37="REGION 5",$M$37="REGION 5A")),((0.059228/(B277/100))-(0.4980013/(SQRT(B277/100)))+2.137988),HLOOKUP(MONTH(A277),ScalarTable,28))))</f>
        <v> </v>
      </c>
      <c r="D277" s="398" t="str">
        <f aca="false">IF(A277="N/A"," ",C277*B277)</f>
        <v> </v>
      </c>
      <c r="E277" s="396" t="str">
        <f aca="false">IF(A277="N/A"," ",IF(ISERROR(O277),E265*Pwresc,O277)*VLOOKUP(MONTH(A277),Curveadj,3))</f>
        <v> </v>
      </c>
      <c r="F277" s="398" t="str">
        <f aca="false">IF(A277="N/A"," ",E277*C277)</f>
        <v> </v>
      </c>
      <c r="G277" s="396" t="str">
        <f aca="false">IF(A277="N/A"," ",IF(ISERROR(P277),G265*Pwresc,P277)*VLOOKUP(MONTH(A277),Curveadj,3))</f>
        <v> </v>
      </c>
      <c r="H277" s="398" t="str">
        <f aca="false">IF(A277="N/A"," ",G277*C277)</f>
        <v> </v>
      </c>
      <c r="I277" s="398" t="str">
        <f aca="false">IF(A277="N/A"," ",IF(ISERROR(Q277),I265*Pwresc,Q277))</f>
        <v> </v>
      </c>
      <c r="J277" s="398"/>
      <c r="K277" s="399"/>
      <c r="L277" s="399"/>
      <c r="M277" s="404"/>
      <c r="N277" s="401" t="str">
        <f aca="false">IF(A277="N/A"," ",VLOOKUP(A277,PeakPowerCurves,(IF(BMO4=2,3,IF(BMO4=1,2,4))),FALSE()))</f>
        <v> </v>
      </c>
      <c r="O277" s="401" t="str">
        <f aca="false">IF(A277="N/A"," ",VLOOKUP(A277,SatSunPeakPwr,(IF(BMO4=2,3,IF(BMO4=1,2,4))),FALSE()))</f>
        <v> </v>
      </c>
      <c r="P277" s="401" t="str">
        <f aca="false">IF(A277="N/A"," ",VLOOKUP(A277,SatSunPeakPwr,(IF(BMO4=2,7,IF(BMO4=1,6,8))),FALSE()))</f>
        <v> </v>
      </c>
      <c r="Q277" s="402" t="str">
        <f aca="false">IF(A277="N/A"," ",(VLOOKUP(A277,OPPowerPrices,(IF(BMO4=2,7,IF(BMO4=1,6,8))),FALSE())))</f>
        <v> </v>
      </c>
      <c r="R277" s="403" t="str">
        <f aca="false">IF(A277="N/A"," ",(VLOOKUP($A277,IRTable,2)))</f>
        <v> </v>
      </c>
      <c r="AF277" s="352" t="n">
        <f aca="false">EOMONTH(AF276,0)+1</f>
        <v>44866</v>
      </c>
      <c r="AG277" s="311" t="n">
        <v>20</v>
      </c>
      <c r="AH277" s="311" t="n">
        <v>5</v>
      </c>
      <c r="AI277" s="311" t="n">
        <v>5</v>
      </c>
      <c r="AJ277" s="311" t="n">
        <v>1</v>
      </c>
      <c r="AK277" s="311" t="n">
        <v>30</v>
      </c>
      <c r="AU277" s="406"/>
    </row>
    <row r="278" customFormat="false" ht="12.75" hidden="false" customHeight="false" outlineLevel="0" collapsed="false">
      <c r="A278" s="352" t="str">
        <f aca="false">Option4!A245</f>
        <v>N/A</v>
      </c>
      <c r="B278" s="396" t="str">
        <f aca="false">IF(A278="N/A"," ",IF(ISERROR(N278),B266*Pwresc,N278)*VLOOKUP(MONTH(A278),Curveadj,3))</f>
        <v> </v>
      </c>
      <c r="C278" s="397" t="str">
        <f aca="false">IF(A278="N/A"," ",(IF(AND(Scaler4=1,MONTH(A278)&gt;=6,MONTH(A278)&lt;=8,OR($M$37="REGION 2",$M$37="REGION 2A",$M$37="REGION 2B",$M$37="REGION 3",$M$37="REGION 3A",$M$37="REGION 3B",$M$37="REGION 3C",$M$37="REGION 4",$M$37="REGION 4B",$M$37="REGION 4C",$M$37="REGION 5",$M$37="REGION 5A")),((0.059228/(B278/100))-(0.4980013/(SQRT(B278/100)))+2.137988),HLOOKUP(MONTH(A278),ScalarTable,28))))</f>
        <v> </v>
      </c>
      <c r="D278" s="398" t="str">
        <f aca="false">IF(A278="N/A"," ",C278*B278)</f>
        <v> </v>
      </c>
      <c r="E278" s="396" t="str">
        <f aca="false">IF(A278="N/A"," ",IF(ISERROR(O278),E266*Pwresc,O278)*VLOOKUP(MONTH(A278),Curveadj,3))</f>
        <v> </v>
      </c>
      <c r="F278" s="398" t="str">
        <f aca="false">IF(A278="N/A"," ",E278*C278)</f>
        <v> </v>
      </c>
      <c r="G278" s="396" t="str">
        <f aca="false">IF(A278="N/A"," ",IF(ISERROR(P278),G266*Pwresc,P278)*VLOOKUP(MONTH(A278),Curveadj,3))</f>
        <v> </v>
      </c>
      <c r="H278" s="398" t="str">
        <f aca="false">IF(A278="N/A"," ",G278*C278)</f>
        <v> </v>
      </c>
      <c r="I278" s="398" t="str">
        <f aca="false">IF(A278="N/A"," ",IF(ISERROR(Q278),I266*Pwresc,Q278))</f>
        <v> </v>
      </c>
      <c r="J278" s="398"/>
      <c r="K278" s="399"/>
      <c r="L278" s="399"/>
      <c r="M278" s="404"/>
      <c r="N278" s="401" t="str">
        <f aca="false">IF(A278="N/A"," ",VLOOKUP(A278,PeakPowerCurves,(IF(BMO4=2,3,IF(BMO4=1,2,4))),FALSE()))</f>
        <v> </v>
      </c>
      <c r="O278" s="401" t="str">
        <f aca="false">IF(A278="N/A"," ",VLOOKUP(A278,SatSunPeakPwr,(IF(BMO4=2,3,IF(BMO4=1,2,4))),FALSE()))</f>
        <v> </v>
      </c>
      <c r="P278" s="401" t="str">
        <f aca="false">IF(A278="N/A"," ",VLOOKUP(A278,SatSunPeakPwr,(IF(BMO4=2,7,IF(BMO4=1,6,8))),FALSE()))</f>
        <v> </v>
      </c>
      <c r="Q278" s="402" t="str">
        <f aca="false">IF(A278="N/A"," ",(VLOOKUP(A278,OPPowerPrices,(IF(BMO4=2,7,IF(BMO4=1,6,8))),FALSE())))</f>
        <v> </v>
      </c>
      <c r="R278" s="403" t="str">
        <f aca="false">IF(A278="N/A"," ",(VLOOKUP($A278,IRTable,2)))</f>
        <v> </v>
      </c>
      <c r="AF278" s="352" t="n">
        <f aca="false">EOMONTH(AF277,0)+1</f>
        <v>44896</v>
      </c>
      <c r="AG278" s="311" t="n">
        <v>21</v>
      </c>
      <c r="AH278" s="311" t="n">
        <v>4</v>
      </c>
      <c r="AI278" s="311" t="n">
        <v>6</v>
      </c>
      <c r="AJ278" s="311" t="n">
        <v>1</v>
      </c>
      <c r="AK278" s="311" t="n">
        <v>31</v>
      </c>
      <c r="AU278" s="406"/>
    </row>
    <row r="279" customFormat="false" ht="12.75" hidden="false" customHeight="false" outlineLevel="0" collapsed="false">
      <c r="A279" s="352" t="str">
        <f aca="false">Option4!A246</f>
        <v>N/A</v>
      </c>
      <c r="B279" s="396" t="str">
        <f aca="false">IF(A279="N/A"," ",IF(ISERROR(N279),B267*Pwresc,N279)*VLOOKUP(MONTH(A279),Curveadj,3))</f>
        <v> </v>
      </c>
      <c r="C279" s="397" t="str">
        <f aca="false">IF(A279="N/A"," ",(IF(AND(Scaler4=1,MONTH(A279)&gt;=6,MONTH(A279)&lt;=8,OR($M$37="REGION 2",$M$37="REGION 2A",$M$37="REGION 2B",$M$37="REGION 3",$M$37="REGION 3A",$M$37="REGION 3B",$M$37="REGION 3C",$M$37="REGION 4",$M$37="REGION 4B",$M$37="REGION 4C",$M$37="REGION 5",$M$37="REGION 5A")),((0.059228/(B279/100))-(0.4980013/(SQRT(B279/100)))+2.137988),HLOOKUP(MONTH(A279),ScalarTable,28))))</f>
        <v> </v>
      </c>
      <c r="D279" s="398" t="str">
        <f aca="false">IF(A279="N/A"," ",C279*B279)</f>
        <v> </v>
      </c>
      <c r="E279" s="396" t="str">
        <f aca="false">IF(A279="N/A"," ",IF(ISERROR(O279),E267*Pwresc,O279)*VLOOKUP(MONTH(A279),Curveadj,3))</f>
        <v> </v>
      </c>
      <c r="F279" s="398" t="str">
        <f aca="false">IF(A279="N/A"," ",E279*C279)</f>
        <v> </v>
      </c>
      <c r="G279" s="396" t="str">
        <f aca="false">IF(A279="N/A"," ",IF(ISERROR(P279),G267*Pwresc,P279)*VLOOKUP(MONTH(A279),Curveadj,3))</f>
        <v> </v>
      </c>
      <c r="H279" s="398" t="str">
        <f aca="false">IF(A279="N/A"," ",G279*C279)</f>
        <v> </v>
      </c>
      <c r="I279" s="398" t="str">
        <f aca="false">IF(A279="N/A"," ",IF(ISERROR(Q279),I267*Pwresc,Q279))</f>
        <v> </v>
      </c>
      <c r="J279" s="398"/>
      <c r="K279" s="399"/>
      <c r="L279" s="399"/>
      <c r="M279" s="404"/>
      <c r="N279" s="401" t="str">
        <f aca="false">IF(A279="N/A"," ",VLOOKUP(A279,PeakPowerCurves,(IF(BMO4=2,3,IF(BMO4=1,2,4))),FALSE()))</f>
        <v> </v>
      </c>
      <c r="O279" s="401" t="str">
        <f aca="false">IF(A279="N/A"," ",VLOOKUP(A279,SatSunPeakPwr,(IF(BMO4=2,3,IF(BMO4=1,2,4))),FALSE()))</f>
        <v> </v>
      </c>
      <c r="P279" s="401" t="str">
        <f aca="false">IF(A279="N/A"," ",VLOOKUP(A279,SatSunPeakPwr,(IF(BMO4=2,7,IF(BMO4=1,6,8))),FALSE()))</f>
        <v> </v>
      </c>
      <c r="Q279" s="402" t="str">
        <f aca="false">IF(A279="N/A"," ",(VLOOKUP(A279,OPPowerPrices,(IF(BMO4=2,7,IF(BMO4=1,6,8))),FALSE())))</f>
        <v> </v>
      </c>
      <c r="R279" s="403" t="str">
        <f aca="false">IF(A279="N/A"," ",(VLOOKUP($A279,IRTable,2)))</f>
        <v> </v>
      </c>
      <c r="AF279" s="352" t="n">
        <f aca="false">EOMONTH(AF278,0)+1</f>
        <v>44927</v>
      </c>
      <c r="AG279" s="311" t="n">
        <v>22</v>
      </c>
      <c r="AH279" s="311" t="n">
        <v>4</v>
      </c>
      <c r="AI279" s="311" t="n">
        <v>5</v>
      </c>
      <c r="AJ279" s="311" t="n">
        <v>1</v>
      </c>
      <c r="AK279" s="311" t="n">
        <v>31</v>
      </c>
      <c r="AU279" s="406"/>
    </row>
    <row r="280" customFormat="false" ht="12.75" hidden="false" customHeight="false" outlineLevel="0" collapsed="false">
      <c r="A280" s="352" t="str">
        <f aca="false">Option4!A247</f>
        <v>N/A</v>
      </c>
      <c r="B280" s="396" t="str">
        <f aca="false">IF(A280="N/A"," ",IF(ISERROR(N280),B268*Pwresc,N280)*VLOOKUP(MONTH(A280),Curveadj,3))</f>
        <v> </v>
      </c>
      <c r="C280" s="397" t="str">
        <f aca="false">IF(A280="N/A"," ",(IF(AND(Scaler4=1,MONTH(A280)&gt;=6,MONTH(A280)&lt;=8,OR($M$37="REGION 2",$M$37="REGION 2A",$M$37="REGION 2B",$M$37="REGION 3",$M$37="REGION 3A",$M$37="REGION 3B",$M$37="REGION 3C",$M$37="REGION 4",$M$37="REGION 4B",$M$37="REGION 4C",$M$37="REGION 5",$M$37="REGION 5A")),((0.059228/(B280/100))-(0.4980013/(SQRT(B280/100)))+2.137988),HLOOKUP(MONTH(A280),ScalarTable,28))))</f>
        <v> </v>
      </c>
      <c r="D280" s="398" t="str">
        <f aca="false">IF(A280="N/A"," ",C280*B280)</f>
        <v> </v>
      </c>
      <c r="E280" s="396" t="str">
        <f aca="false">IF(A280="N/A"," ",IF(ISERROR(O280),E268*Pwresc,O280)*VLOOKUP(MONTH(A280),Curveadj,3))</f>
        <v> </v>
      </c>
      <c r="F280" s="398" t="str">
        <f aca="false">IF(A280="N/A"," ",E280*C280)</f>
        <v> </v>
      </c>
      <c r="G280" s="396" t="str">
        <f aca="false">IF(A280="N/A"," ",IF(ISERROR(P280),G268*Pwresc,P280)*VLOOKUP(MONTH(A280),Curveadj,3))</f>
        <v> </v>
      </c>
      <c r="H280" s="398" t="str">
        <f aca="false">IF(A280="N/A"," ",G280*C280)</f>
        <v> </v>
      </c>
      <c r="I280" s="398" t="str">
        <f aca="false">IF(A280="N/A"," ",IF(ISERROR(Q280),I268*Pwresc,Q280))</f>
        <v> </v>
      </c>
      <c r="J280" s="398"/>
      <c r="K280" s="399"/>
      <c r="L280" s="399"/>
      <c r="M280" s="404"/>
      <c r="N280" s="401" t="str">
        <f aca="false">IF(A280="N/A"," ",VLOOKUP(A280,PeakPowerCurves,(IF(BMO4=2,3,IF(BMO4=1,2,4))),FALSE()))</f>
        <v> </v>
      </c>
      <c r="O280" s="401" t="str">
        <f aca="false">IF(A280="N/A"," ",VLOOKUP(A280,SatSunPeakPwr,(IF(BMO4=2,3,IF(BMO4=1,2,4))),FALSE()))</f>
        <v> </v>
      </c>
      <c r="P280" s="401" t="str">
        <f aca="false">IF(A280="N/A"," ",VLOOKUP(A280,SatSunPeakPwr,(IF(BMO4=2,7,IF(BMO4=1,6,8))),FALSE()))</f>
        <v> </v>
      </c>
      <c r="Q280" s="402" t="str">
        <f aca="false">IF(A280="N/A"," ",(VLOOKUP(A280,OPPowerPrices,(IF(BMO4=2,7,IF(BMO4=1,6,8))),FALSE())))</f>
        <v> </v>
      </c>
      <c r="R280" s="403" t="str">
        <f aca="false">IF(A280="N/A"," ",(VLOOKUP($A280,IRTable,2)))</f>
        <v> </v>
      </c>
      <c r="AF280" s="352" t="n">
        <f aca="false">EOMONTH(AF279,0)+1</f>
        <v>44958</v>
      </c>
      <c r="AG280" s="311" t="n">
        <v>20</v>
      </c>
      <c r="AH280" s="311" t="n">
        <v>4</v>
      </c>
      <c r="AI280" s="311" t="n">
        <v>4</v>
      </c>
      <c r="AJ280" s="311" t="n">
        <v>0</v>
      </c>
      <c r="AK280" s="311" t="n">
        <v>28</v>
      </c>
      <c r="AU280" s="406"/>
    </row>
    <row r="281" customFormat="false" ht="12.75" hidden="false" customHeight="false" outlineLevel="0" collapsed="false">
      <c r="A281" s="352" t="str">
        <f aca="false">Option4!A248</f>
        <v>N/A</v>
      </c>
      <c r="B281" s="396" t="str">
        <f aca="false">IF(A281="N/A"," ",IF(ISERROR(N281),B269*Pwresc,N281)*VLOOKUP(MONTH(A281),Curveadj,3))</f>
        <v> </v>
      </c>
      <c r="C281" s="397" t="str">
        <f aca="false">IF(A281="N/A"," ",(IF(AND(Scaler4=1,MONTH(A281)&gt;=6,MONTH(A281)&lt;=8,OR($M$37="REGION 2",$M$37="REGION 2A",$M$37="REGION 2B",$M$37="REGION 3",$M$37="REGION 3A",$M$37="REGION 3B",$M$37="REGION 3C",$M$37="REGION 4",$M$37="REGION 4B",$M$37="REGION 4C",$M$37="REGION 5",$M$37="REGION 5A")),((0.059228/(B281/100))-(0.4980013/(SQRT(B281/100)))+2.137988),HLOOKUP(MONTH(A281),ScalarTable,28))))</f>
        <v> </v>
      </c>
      <c r="D281" s="398" t="str">
        <f aca="false">IF(A281="N/A"," ",C281*B281)</f>
        <v> </v>
      </c>
      <c r="E281" s="396" t="str">
        <f aca="false">IF(A281="N/A"," ",IF(ISERROR(O281),E269*Pwresc,O281)*VLOOKUP(MONTH(A281),Curveadj,3))</f>
        <v> </v>
      </c>
      <c r="F281" s="398" t="str">
        <f aca="false">IF(A281="N/A"," ",E281*C281)</f>
        <v> </v>
      </c>
      <c r="G281" s="396" t="str">
        <f aca="false">IF(A281="N/A"," ",IF(ISERROR(P281),G269*Pwresc,P281)*VLOOKUP(MONTH(A281),Curveadj,3))</f>
        <v> </v>
      </c>
      <c r="H281" s="398" t="str">
        <f aca="false">IF(A281="N/A"," ",G281*C281)</f>
        <v> </v>
      </c>
      <c r="I281" s="398" t="str">
        <f aca="false">IF(A281="N/A"," ",IF(ISERROR(Q281),I269*Pwresc,Q281))</f>
        <v> </v>
      </c>
      <c r="J281" s="398"/>
      <c r="K281" s="399"/>
      <c r="L281" s="399"/>
      <c r="M281" s="404"/>
      <c r="N281" s="401" t="str">
        <f aca="false">IF(A281="N/A"," ",VLOOKUP(A281,PeakPowerCurves,(IF(BMO4=2,3,IF(BMO4=1,2,4))),FALSE()))</f>
        <v> </v>
      </c>
      <c r="O281" s="401" t="str">
        <f aca="false">IF(A281="N/A"," ",VLOOKUP(A281,SatSunPeakPwr,(IF(BMO4=2,3,IF(BMO4=1,2,4))),FALSE()))</f>
        <v> </v>
      </c>
      <c r="P281" s="401" t="str">
        <f aca="false">IF(A281="N/A"," ",VLOOKUP(A281,SatSunPeakPwr,(IF(BMO4=2,7,IF(BMO4=1,6,8))),FALSE()))</f>
        <v> </v>
      </c>
      <c r="Q281" s="402" t="str">
        <f aca="false">IF(A281="N/A"," ",(VLOOKUP(A281,OPPowerPrices,(IF(BMO4=2,7,IF(BMO4=1,6,8))),FALSE())))</f>
        <v> </v>
      </c>
      <c r="R281" s="403" t="str">
        <f aca="false">IF(A281="N/A"," ",(VLOOKUP($A281,IRTable,2)))</f>
        <v> </v>
      </c>
      <c r="AF281" s="352" t="n">
        <f aca="false">EOMONTH(AF280,0)+1</f>
        <v>44986</v>
      </c>
      <c r="AG281" s="311" t="n">
        <v>21</v>
      </c>
      <c r="AH281" s="311" t="n">
        <v>5</v>
      </c>
      <c r="AI281" s="311" t="n">
        <v>5</v>
      </c>
      <c r="AJ281" s="311" t="n">
        <v>0</v>
      </c>
      <c r="AK281" s="311" t="n">
        <v>31</v>
      </c>
      <c r="AU281" s="406"/>
    </row>
    <row r="282" customFormat="false" ht="12.75" hidden="false" customHeight="false" outlineLevel="0" collapsed="false">
      <c r="A282" s="352" t="str">
        <f aca="false">Option4!A249</f>
        <v>N/A</v>
      </c>
      <c r="B282" s="396" t="str">
        <f aca="false">IF(A282="N/A"," ",IF(ISERROR(N282),B270*Pwresc,N282)*VLOOKUP(MONTH(A282),Curveadj,3))</f>
        <v> </v>
      </c>
      <c r="C282" s="397" t="str">
        <f aca="false">IF(A282="N/A"," ",(IF(AND(Scaler4=1,MONTH(A282)&gt;=6,MONTH(A282)&lt;=8,OR($M$37="REGION 2",$M$37="REGION 2A",$M$37="REGION 2B",$M$37="REGION 3",$M$37="REGION 3A",$M$37="REGION 3B",$M$37="REGION 3C",$M$37="REGION 4",$M$37="REGION 4B",$M$37="REGION 4C",$M$37="REGION 5",$M$37="REGION 5A")),((0.059228/(B282/100))-(0.4980013/(SQRT(B282/100)))+2.137988),HLOOKUP(MONTH(A282),ScalarTable,28))))</f>
        <v> </v>
      </c>
      <c r="D282" s="398" t="str">
        <f aca="false">IF(A282="N/A"," ",C282*B282)</f>
        <v> </v>
      </c>
      <c r="E282" s="396" t="str">
        <f aca="false">IF(A282="N/A"," ",IF(ISERROR(O282),E270*Pwresc,O282)*VLOOKUP(MONTH(A282),Curveadj,3))</f>
        <v> </v>
      </c>
      <c r="F282" s="398" t="str">
        <f aca="false">IF(A282="N/A"," ",E282*C282)</f>
        <v> </v>
      </c>
      <c r="G282" s="396" t="str">
        <f aca="false">IF(A282="N/A"," ",IF(ISERROR(P282),G270*Pwresc,P282)*VLOOKUP(MONTH(A282),Curveadj,3))</f>
        <v> </v>
      </c>
      <c r="H282" s="398" t="str">
        <f aca="false">IF(A282="N/A"," ",G282*C282)</f>
        <v> </v>
      </c>
      <c r="I282" s="398" t="str">
        <f aca="false">IF(A282="N/A"," ",IF(ISERROR(Q282),I270*Pwresc,Q282))</f>
        <v> </v>
      </c>
      <c r="J282" s="398"/>
      <c r="K282" s="399"/>
      <c r="L282" s="399"/>
      <c r="M282" s="404"/>
      <c r="N282" s="401" t="str">
        <f aca="false">IF(A282="N/A"," ",VLOOKUP(A282,PeakPowerCurves,(IF(BMO4=2,3,IF(BMO4=1,2,4))),FALSE()))</f>
        <v> </v>
      </c>
      <c r="O282" s="401" t="str">
        <f aca="false">IF(A282="N/A"," ",VLOOKUP(A282,SatSunPeakPwr,(IF(BMO4=2,3,IF(BMO4=1,2,4))),FALSE()))</f>
        <v> </v>
      </c>
      <c r="P282" s="401" t="str">
        <f aca="false">IF(A282="N/A"," ",VLOOKUP(A282,SatSunPeakPwr,(IF(BMO4=2,7,IF(BMO4=1,6,8))),FALSE()))</f>
        <v> </v>
      </c>
      <c r="Q282" s="402" t="str">
        <f aca="false">IF(A282="N/A"," ",(VLOOKUP(A282,OPPowerPrices,(IF(BMO4=2,7,IF(BMO4=1,6,8))),FALSE())))</f>
        <v> </v>
      </c>
      <c r="R282" s="403" t="str">
        <f aca="false">IF(A282="N/A"," ",(VLOOKUP($A282,IRTable,2)))</f>
        <v> </v>
      </c>
      <c r="AF282" s="352" t="n">
        <f aca="false">EOMONTH(AF281,0)+1</f>
        <v>45017</v>
      </c>
      <c r="AG282" s="311" t="n">
        <v>22</v>
      </c>
      <c r="AH282" s="311" t="n">
        <v>4</v>
      </c>
      <c r="AI282" s="311" t="n">
        <v>4</v>
      </c>
      <c r="AJ282" s="311" t="n">
        <v>0</v>
      </c>
      <c r="AK282" s="311" t="n">
        <v>30</v>
      </c>
      <c r="AU282" s="406"/>
    </row>
    <row r="283" customFormat="false" ht="12.75" hidden="false" customHeight="false" outlineLevel="0" collapsed="false">
      <c r="A283" s="352" t="str">
        <f aca="false">Option4!A250</f>
        <v>N/A</v>
      </c>
      <c r="B283" s="396" t="str">
        <f aca="false">IF(A283="N/A"," ",IF(ISERROR(N283),B271*Pwresc,N283)*VLOOKUP(MONTH(A283),Curveadj,3))</f>
        <v> </v>
      </c>
      <c r="C283" s="397" t="str">
        <f aca="false">IF(A283="N/A"," ",(IF(AND(Scaler4=1,MONTH(A283)&gt;=6,MONTH(A283)&lt;=8,OR($M$37="REGION 2",$M$37="REGION 2A",$M$37="REGION 2B",$M$37="REGION 3",$M$37="REGION 3A",$M$37="REGION 3B",$M$37="REGION 3C",$M$37="REGION 4",$M$37="REGION 4B",$M$37="REGION 4C",$M$37="REGION 5",$M$37="REGION 5A")),((0.059228/(B283/100))-(0.4980013/(SQRT(B283/100)))+2.137988),HLOOKUP(MONTH(A283),ScalarTable,28))))</f>
        <v> </v>
      </c>
      <c r="D283" s="398" t="str">
        <f aca="false">IF(A283="N/A"," ",C283*B283)</f>
        <v> </v>
      </c>
      <c r="E283" s="396" t="str">
        <f aca="false">IF(A283="N/A"," ",IF(ISERROR(O283),E271*Pwresc,O283)*VLOOKUP(MONTH(A283),Curveadj,3))</f>
        <v> </v>
      </c>
      <c r="F283" s="398" t="str">
        <f aca="false">IF(A283="N/A"," ",E283*C283)</f>
        <v> </v>
      </c>
      <c r="G283" s="396" t="str">
        <f aca="false">IF(A283="N/A"," ",IF(ISERROR(P283),G271*Pwresc,P283)*VLOOKUP(MONTH(A283),Curveadj,3))</f>
        <v> </v>
      </c>
      <c r="H283" s="398" t="str">
        <f aca="false">IF(A283="N/A"," ",G283*C283)</f>
        <v> </v>
      </c>
      <c r="I283" s="398" t="str">
        <f aca="false">IF(A283="N/A"," ",IF(ISERROR(Q283),I271*Pwresc,Q283))</f>
        <v> </v>
      </c>
      <c r="J283" s="398"/>
      <c r="K283" s="399"/>
      <c r="L283" s="399"/>
      <c r="M283" s="404"/>
      <c r="N283" s="401" t="str">
        <f aca="false">IF(A283="N/A"," ",VLOOKUP(A283,PeakPowerCurves,(IF(BMO4=2,3,IF(BMO4=1,2,4))),FALSE()))</f>
        <v> </v>
      </c>
      <c r="O283" s="401" t="str">
        <f aca="false">IF(A283="N/A"," ",VLOOKUP(A283,SatSunPeakPwr,(IF(BMO4=2,3,IF(BMO4=1,2,4))),FALSE()))</f>
        <v> </v>
      </c>
      <c r="P283" s="401" t="str">
        <f aca="false">IF(A283="N/A"," ",VLOOKUP(A283,SatSunPeakPwr,(IF(BMO4=2,7,IF(BMO4=1,6,8))),FALSE()))</f>
        <v> </v>
      </c>
      <c r="Q283" s="402" t="str">
        <f aca="false">IF(A283="N/A"," ",(VLOOKUP(A283,OPPowerPrices,(IF(BMO4=2,7,IF(BMO4=1,6,8))),FALSE())))</f>
        <v> </v>
      </c>
      <c r="R283" s="403" t="str">
        <f aca="false">IF(A283="N/A"," ",(VLOOKUP($A283,IRTable,2)))</f>
        <v> </v>
      </c>
      <c r="AF283" s="352" t="n">
        <f aca="false">EOMONTH(AF282,0)+1</f>
        <v>45047</v>
      </c>
      <c r="AG283" s="311" t="n">
        <v>22</v>
      </c>
      <c r="AH283" s="311" t="n">
        <v>4</v>
      </c>
      <c r="AI283" s="311" t="n">
        <v>5</v>
      </c>
      <c r="AJ283" s="311" t="n">
        <v>1</v>
      </c>
      <c r="AK283" s="311" t="n">
        <v>31</v>
      </c>
      <c r="AU283" s="406"/>
    </row>
    <row r="284" customFormat="false" ht="12.75" hidden="false" customHeight="false" outlineLevel="0" collapsed="false">
      <c r="A284" s="352" t="str">
        <f aca="false">Option4!A251</f>
        <v>N/A</v>
      </c>
      <c r="B284" s="396" t="str">
        <f aca="false">IF(A284="N/A"," ",IF(ISERROR(N284),B272*Pwresc,N284)*VLOOKUP(MONTH(A284),Curveadj,3))</f>
        <v> </v>
      </c>
      <c r="C284" s="397" t="str">
        <f aca="false">IF(A284="N/A"," ",(IF(AND(Scaler4=1,MONTH(A284)&gt;=6,MONTH(A284)&lt;=8,OR($M$37="REGION 2",$M$37="REGION 2A",$M$37="REGION 2B",$M$37="REGION 3",$M$37="REGION 3A",$M$37="REGION 3B",$M$37="REGION 3C",$M$37="REGION 4",$M$37="REGION 4B",$M$37="REGION 4C",$M$37="REGION 5",$M$37="REGION 5A")),((0.059228/(B284/100))-(0.4980013/(SQRT(B284/100)))+2.137988),HLOOKUP(MONTH(A284),ScalarTable,28))))</f>
        <v> </v>
      </c>
      <c r="D284" s="398" t="str">
        <f aca="false">IF(A284="N/A"," ",C284*B284)</f>
        <v> </v>
      </c>
      <c r="E284" s="396" t="str">
        <f aca="false">IF(A284="N/A"," ",IF(ISERROR(O284),E272*Pwresc,O284)*VLOOKUP(MONTH(A284),Curveadj,3))</f>
        <v> </v>
      </c>
      <c r="F284" s="398" t="str">
        <f aca="false">IF(A284="N/A"," ",E284*C284)</f>
        <v> </v>
      </c>
      <c r="G284" s="396" t="str">
        <f aca="false">IF(A284="N/A"," ",IF(ISERROR(P284),G272*Pwresc,P284)*VLOOKUP(MONTH(A284),Curveadj,3))</f>
        <v> </v>
      </c>
      <c r="H284" s="398" t="str">
        <f aca="false">IF(A284="N/A"," ",G284*C284)</f>
        <v> </v>
      </c>
      <c r="I284" s="398" t="str">
        <f aca="false">IF(A284="N/A"," ",IF(ISERROR(Q284),I272*Pwresc,Q284))</f>
        <v> </v>
      </c>
      <c r="J284" s="398"/>
      <c r="K284" s="399"/>
      <c r="L284" s="399"/>
      <c r="M284" s="404"/>
      <c r="N284" s="401" t="str">
        <f aca="false">IF(A284="N/A"," ",VLOOKUP(A284,PeakPowerCurves,(IF(BMO4=2,3,IF(BMO4=1,2,4))),FALSE()))</f>
        <v> </v>
      </c>
      <c r="O284" s="401" t="str">
        <f aca="false">IF(A284="N/A"," ",VLOOKUP(A284,SatSunPeakPwr,(IF(BMO4=2,3,IF(BMO4=1,2,4))),FALSE()))</f>
        <v> </v>
      </c>
      <c r="P284" s="401" t="str">
        <f aca="false">IF(A284="N/A"," ",VLOOKUP(A284,SatSunPeakPwr,(IF(BMO4=2,7,IF(BMO4=1,6,8))),FALSE()))</f>
        <v> </v>
      </c>
      <c r="Q284" s="402" t="str">
        <f aca="false">IF(A284="N/A"," ",(VLOOKUP(A284,OPPowerPrices,(IF(BMO4=2,7,IF(BMO4=1,6,8))),FALSE())))</f>
        <v> </v>
      </c>
      <c r="R284" s="403" t="str">
        <f aca="false">IF(A284="N/A"," ",(VLOOKUP($A284,IRTable,2)))</f>
        <v> </v>
      </c>
      <c r="AF284" s="352" t="n">
        <f aca="false">EOMONTH(AF283,0)+1</f>
        <v>45078</v>
      </c>
      <c r="AG284" s="311" t="n">
        <v>20</v>
      </c>
      <c r="AH284" s="311" t="n">
        <v>5</v>
      </c>
      <c r="AI284" s="311" t="n">
        <v>5</v>
      </c>
      <c r="AJ284" s="311" t="n">
        <v>0</v>
      </c>
      <c r="AK284" s="311" t="n">
        <v>30</v>
      </c>
      <c r="AU284" s="406"/>
    </row>
    <row r="285" customFormat="false" ht="12.75" hidden="false" customHeight="false" outlineLevel="0" collapsed="false">
      <c r="A285" s="352" t="str">
        <f aca="false">Option4!A252</f>
        <v>N/A</v>
      </c>
      <c r="B285" s="396" t="str">
        <f aca="false">IF(A285="N/A"," ",IF(ISERROR(N285),B273*Pwresc,N285)*VLOOKUP(MONTH(A285),Curveadj,3))</f>
        <v> </v>
      </c>
      <c r="C285" s="397" t="str">
        <f aca="false">IF(A285="N/A"," ",(IF(AND(Scaler4=1,MONTH(A285)&gt;=6,MONTH(A285)&lt;=8,OR($M$37="REGION 2",$M$37="REGION 2A",$M$37="REGION 2B",$M$37="REGION 3",$M$37="REGION 3A",$M$37="REGION 3B",$M$37="REGION 3C",$M$37="REGION 4",$M$37="REGION 4B",$M$37="REGION 4C",$M$37="REGION 5",$M$37="REGION 5A")),((0.059228/(B285/100))-(0.4980013/(SQRT(B285/100)))+2.137988),HLOOKUP(MONTH(A285),ScalarTable,28))))</f>
        <v> </v>
      </c>
      <c r="D285" s="398" t="str">
        <f aca="false">IF(A285="N/A"," ",C285*B285)</f>
        <v> </v>
      </c>
      <c r="E285" s="396" t="str">
        <f aca="false">IF(A285="N/A"," ",IF(ISERROR(O285),E273*Pwresc,O285)*VLOOKUP(MONTH(A285),Curveadj,3))</f>
        <v> </v>
      </c>
      <c r="F285" s="398" t="str">
        <f aca="false">IF(A285="N/A"," ",E285*C285)</f>
        <v> </v>
      </c>
      <c r="G285" s="396" t="str">
        <f aca="false">IF(A285="N/A"," ",IF(ISERROR(P285),G273*Pwresc,P285)*VLOOKUP(MONTH(A285),Curveadj,3))</f>
        <v> </v>
      </c>
      <c r="H285" s="398" t="str">
        <f aca="false">IF(A285="N/A"," ",G285*C285)</f>
        <v> </v>
      </c>
      <c r="I285" s="398" t="str">
        <f aca="false">IF(A285="N/A"," ",IF(ISERROR(Q285),I273*Pwresc,Q285))</f>
        <v> </v>
      </c>
      <c r="J285" s="398"/>
      <c r="K285" s="399"/>
      <c r="L285" s="399"/>
      <c r="M285" s="404"/>
      <c r="N285" s="401" t="str">
        <f aca="false">IF(A285="N/A"," ",VLOOKUP(A285,PeakPowerCurves,(IF(BMO4=2,3,IF(BMO4=1,2,4))),FALSE()))</f>
        <v> </v>
      </c>
      <c r="O285" s="401" t="str">
        <f aca="false">IF(A285="N/A"," ",VLOOKUP(A285,SatSunPeakPwr,(IF(BMO4=2,3,IF(BMO4=1,2,4))),FALSE()))</f>
        <v> </v>
      </c>
      <c r="P285" s="401" t="str">
        <f aca="false">IF(A285="N/A"," ",VLOOKUP(A285,SatSunPeakPwr,(IF(BMO4=2,7,IF(BMO4=1,6,8))),FALSE()))</f>
        <v> </v>
      </c>
      <c r="Q285" s="402" t="str">
        <f aca="false">IF(A285="N/A"," ",(VLOOKUP(A285,OPPowerPrices,(IF(BMO4=2,7,IF(BMO4=1,6,8))),FALSE())))</f>
        <v> </v>
      </c>
      <c r="R285" s="403" t="str">
        <f aca="false">IF(A285="N/A"," ",(VLOOKUP($A285,IRTable,2)))</f>
        <v> </v>
      </c>
      <c r="AF285" s="352" t="n">
        <f aca="false">EOMONTH(AF284,0)+1</f>
        <v>45108</v>
      </c>
      <c r="AG285" s="311" t="n">
        <v>22</v>
      </c>
      <c r="AH285" s="311" t="n">
        <v>4</v>
      </c>
      <c r="AI285" s="311" t="n">
        <v>5</v>
      </c>
      <c r="AJ285" s="311" t="n">
        <v>1</v>
      </c>
      <c r="AK285" s="311" t="n">
        <v>31</v>
      </c>
      <c r="AU285" s="406"/>
    </row>
    <row r="286" customFormat="false" ht="12.75" hidden="false" customHeight="false" outlineLevel="0" collapsed="false">
      <c r="A286" s="352" t="str">
        <f aca="false">Option4!A253</f>
        <v>N/A</v>
      </c>
      <c r="B286" s="396" t="str">
        <f aca="false">IF(A286="N/A"," ",IF(ISERROR(N286),B274*Pwresc,N286)*VLOOKUP(MONTH(A286),Curveadj,3))</f>
        <v> </v>
      </c>
      <c r="C286" s="397" t="str">
        <f aca="false">IF(A286="N/A"," ",(IF(AND(Scaler4=1,MONTH(A286)&gt;=6,MONTH(A286)&lt;=8,OR($M$37="REGION 2",$M$37="REGION 2A",$M$37="REGION 2B",$M$37="REGION 3",$M$37="REGION 3A",$M$37="REGION 3B",$M$37="REGION 3C",$M$37="REGION 4",$M$37="REGION 4B",$M$37="REGION 4C",$M$37="REGION 5",$M$37="REGION 5A")),((0.059228/(B286/100))-(0.4980013/(SQRT(B286/100)))+2.137988),HLOOKUP(MONTH(A286),ScalarTable,28))))</f>
        <v> </v>
      </c>
      <c r="D286" s="398" t="str">
        <f aca="false">IF(A286="N/A"," ",C286*B286)</f>
        <v> </v>
      </c>
      <c r="E286" s="396" t="str">
        <f aca="false">IF(A286="N/A"," ",IF(ISERROR(O286),E274*Pwresc,O286)*VLOOKUP(MONTH(A286),Curveadj,3))</f>
        <v> </v>
      </c>
      <c r="F286" s="398" t="str">
        <f aca="false">IF(A286="N/A"," ",E286*C286)</f>
        <v> </v>
      </c>
      <c r="G286" s="396" t="str">
        <f aca="false">IF(A286="N/A"," ",IF(ISERROR(P286),G274*Pwresc,P286)*VLOOKUP(MONTH(A286),Curveadj,3))</f>
        <v> </v>
      </c>
      <c r="H286" s="398" t="str">
        <f aca="false">IF(A286="N/A"," ",G286*C286)</f>
        <v> </v>
      </c>
      <c r="I286" s="398" t="str">
        <f aca="false">IF(A286="N/A"," ",IF(ISERROR(Q286),I274*Pwresc,Q286))</f>
        <v> </v>
      </c>
      <c r="J286" s="398"/>
      <c r="K286" s="399"/>
      <c r="L286" s="399"/>
      <c r="M286" s="404"/>
      <c r="N286" s="401" t="str">
        <f aca="false">IF(A286="N/A"," ",VLOOKUP(A286,PeakPowerCurves,(IF(BMO4=2,3,IF(BMO4=1,2,4))),FALSE()))</f>
        <v> </v>
      </c>
      <c r="O286" s="401" t="str">
        <f aca="false">IF(A286="N/A"," ",VLOOKUP(A286,SatSunPeakPwr,(IF(BMO4=2,3,IF(BMO4=1,2,4))),FALSE()))</f>
        <v> </v>
      </c>
      <c r="P286" s="401" t="str">
        <f aca="false">IF(A286="N/A"," ",VLOOKUP(A286,SatSunPeakPwr,(IF(BMO4=2,7,IF(BMO4=1,6,8))),FALSE()))</f>
        <v> </v>
      </c>
      <c r="Q286" s="402" t="str">
        <f aca="false">IF(A286="N/A"," ",(VLOOKUP(A286,OPPowerPrices,(IF(BMO4=2,7,IF(BMO4=1,6,8))),FALSE())))</f>
        <v> </v>
      </c>
      <c r="R286" s="403" t="str">
        <f aca="false">IF(A286="N/A"," ",(VLOOKUP($A286,IRTable,2)))</f>
        <v> </v>
      </c>
      <c r="AF286" s="352" t="n">
        <f aca="false">EOMONTH(AF285,0)+1</f>
        <v>45139</v>
      </c>
      <c r="AG286" s="311" t="n">
        <v>22</v>
      </c>
      <c r="AH286" s="311" t="n">
        <v>5</v>
      </c>
      <c r="AI286" s="311" t="n">
        <v>4</v>
      </c>
      <c r="AJ286" s="311" t="n">
        <v>0</v>
      </c>
      <c r="AK286" s="311" t="n">
        <v>31</v>
      </c>
      <c r="AU286" s="406"/>
    </row>
    <row r="287" customFormat="false" ht="12.75" hidden="false" customHeight="false" outlineLevel="0" collapsed="false">
      <c r="A287" s="352" t="str">
        <f aca="false">Option4!A254</f>
        <v>N/A</v>
      </c>
      <c r="B287" s="396" t="str">
        <f aca="false">IF(A287="N/A"," ",IF(ISERROR(N287),B275*Pwresc,N287)*VLOOKUP(MONTH(A287),Curveadj,3))</f>
        <v> </v>
      </c>
      <c r="C287" s="397" t="str">
        <f aca="false">IF(A287="N/A"," ",(IF(AND(Scaler4=1,MONTH(A287)&gt;=6,MONTH(A287)&lt;=8,OR($M$37="REGION 2",$M$37="REGION 2A",$M$37="REGION 2B",$M$37="REGION 3",$M$37="REGION 3A",$M$37="REGION 3B",$M$37="REGION 3C",$M$37="REGION 4",$M$37="REGION 4B",$M$37="REGION 4C",$M$37="REGION 5",$M$37="REGION 5A")),((0.059228/(B287/100))-(0.4980013/(SQRT(B287/100)))+2.137988),HLOOKUP(MONTH(A287),ScalarTable,28))))</f>
        <v> </v>
      </c>
      <c r="D287" s="398" t="str">
        <f aca="false">IF(A287="N/A"," ",C287*B287)</f>
        <v> </v>
      </c>
      <c r="E287" s="396" t="str">
        <f aca="false">IF(A287="N/A"," ",IF(ISERROR(O287),E275*Pwresc,O287)*VLOOKUP(MONTH(A287),Curveadj,3))</f>
        <v> </v>
      </c>
      <c r="F287" s="398" t="str">
        <f aca="false">IF(A287="N/A"," ",E287*C287)</f>
        <v> </v>
      </c>
      <c r="G287" s="396" t="str">
        <f aca="false">IF(A287="N/A"," ",IF(ISERROR(P287),G275*Pwresc,P287)*VLOOKUP(MONTH(A287),Curveadj,3))</f>
        <v> </v>
      </c>
      <c r="H287" s="398" t="str">
        <f aca="false">IF(A287="N/A"," ",G287*C287)</f>
        <v> </v>
      </c>
      <c r="I287" s="398" t="str">
        <f aca="false">IF(A287="N/A"," ",IF(ISERROR(Q287),I275*Pwresc,Q287))</f>
        <v> </v>
      </c>
      <c r="J287" s="398"/>
      <c r="K287" s="399"/>
      <c r="L287" s="399"/>
      <c r="M287" s="404"/>
      <c r="N287" s="401" t="str">
        <f aca="false">IF(A287="N/A"," ",VLOOKUP(A287,PeakPowerCurves,(IF(BMO4=2,3,IF(BMO4=1,2,4))),FALSE()))</f>
        <v> </v>
      </c>
      <c r="O287" s="401" t="str">
        <f aca="false">IF(A287="N/A"," ",VLOOKUP(A287,SatSunPeakPwr,(IF(BMO4=2,3,IF(BMO4=1,2,4))),FALSE()))</f>
        <v> </v>
      </c>
      <c r="P287" s="401" t="str">
        <f aca="false">IF(A287="N/A"," ",VLOOKUP(A287,SatSunPeakPwr,(IF(BMO4=2,7,IF(BMO4=1,6,8))),FALSE()))</f>
        <v> </v>
      </c>
      <c r="Q287" s="402" t="str">
        <f aca="false">IF(A287="N/A"," ",(VLOOKUP(A287,OPPowerPrices,(IF(BMO4=2,7,IF(BMO4=1,6,8))),FALSE())))</f>
        <v> </v>
      </c>
      <c r="R287" s="403" t="str">
        <f aca="false">IF(A287="N/A"," ",(VLOOKUP($A287,IRTable,2)))</f>
        <v> </v>
      </c>
      <c r="AF287" s="352" t="n">
        <f aca="false">EOMONTH(AF286,0)+1</f>
        <v>45170</v>
      </c>
      <c r="AG287" s="311" t="n">
        <v>20</v>
      </c>
      <c r="AH287" s="311" t="n">
        <v>4</v>
      </c>
      <c r="AI287" s="311" t="n">
        <v>6</v>
      </c>
      <c r="AJ287" s="311" t="n">
        <v>1</v>
      </c>
      <c r="AK287" s="311" t="n">
        <v>30</v>
      </c>
      <c r="AU287" s="406"/>
    </row>
    <row r="288" customFormat="false" ht="12.75" hidden="false" customHeight="false" outlineLevel="0" collapsed="false">
      <c r="A288" s="352" t="str">
        <f aca="false">Option4!A255</f>
        <v>N/A</v>
      </c>
      <c r="B288" s="396" t="str">
        <f aca="false">IF(A288="N/A"," ",IF(ISERROR(N288),B276*Pwresc,N288)*VLOOKUP(MONTH(A288),Curveadj,3))</f>
        <v> </v>
      </c>
      <c r="C288" s="397" t="str">
        <f aca="false">IF(A288="N/A"," ",(IF(AND(Scaler4=1,MONTH(A288)&gt;=6,MONTH(A288)&lt;=8,OR($M$37="REGION 2",$M$37="REGION 2A",$M$37="REGION 2B",$M$37="REGION 3",$M$37="REGION 3A",$M$37="REGION 3B",$M$37="REGION 3C",$M$37="REGION 4",$M$37="REGION 4B",$M$37="REGION 4C",$M$37="REGION 5",$M$37="REGION 5A")),((0.059228/(B288/100))-(0.4980013/(SQRT(B288/100)))+2.137988),HLOOKUP(MONTH(A288),ScalarTable,28))))</f>
        <v> </v>
      </c>
      <c r="D288" s="398" t="str">
        <f aca="false">IF(A288="N/A"," ",C288*B288)</f>
        <v> </v>
      </c>
      <c r="E288" s="396" t="str">
        <f aca="false">IF(A288="N/A"," ",IF(ISERROR(O288),E276*Pwresc,O288)*VLOOKUP(MONTH(A288),Curveadj,3))</f>
        <v> </v>
      </c>
      <c r="F288" s="398" t="str">
        <f aca="false">IF(A288="N/A"," ",E288*C288)</f>
        <v> </v>
      </c>
      <c r="G288" s="396" t="str">
        <f aca="false">IF(A288="N/A"," ",IF(ISERROR(P288),G276*Pwresc,P288)*VLOOKUP(MONTH(A288),Curveadj,3))</f>
        <v> </v>
      </c>
      <c r="H288" s="398" t="str">
        <f aca="false">IF(A288="N/A"," ",G288*C288)</f>
        <v> </v>
      </c>
      <c r="I288" s="398" t="str">
        <f aca="false">IF(A288="N/A"," ",IF(ISERROR(Q288),I276*Pwresc,Q288))</f>
        <v> </v>
      </c>
      <c r="J288" s="398"/>
      <c r="K288" s="399"/>
      <c r="L288" s="399"/>
      <c r="M288" s="404"/>
      <c r="N288" s="401" t="str">
        <f aca="false">IF(A288="N/A"," ",VLOOKUP(A288,PeakPowerCurves,(IF(BMO4=2,3,IF(BMO4=1,2,4))),FALSE()))</f>
        <v> </v>
      </c>
      <c r="O288" s="401" t="str">
        <f aca="false">IF(A288="N/A"," ",VLOOKUP(A288,SatSunPeakPwr,(IF(BMO4=2,3,IF(BMO4=1,2,4))),FALSE()))</f>
        <v> </v>
      </c>
      <c r="P288" s="401" t="str">
        <f aca="false">IF(A288="N/A"," ",VLOOKUP(A288,SatSunPeakPwr,(IF(BMO4=2,7,IF(BMO4=1,6,8))),FALSE()))</f>
        <v> </v>
      </c>
      <c r="Q288" s="402" t="str">
        <f aca="false">IF(A288="N/A"," ",(VLOOKUP(A288,OPPowerPrices,(IF(BMO4=2,7,IF(BMO4=1,6,8))),FALSE())))</f>
        <v> </v>
      </c>
      <c r="R288" s="403" t="str">
        <f aca="false">IF(A288="N/A"," ",(VLOOKUP($A288,IRTable,2)))</f>
        <v> </v>
      </c>
      <c r="AF288" s="352" t="n">
        <f aca="false">EOMONTH(AF287,0)+1</f>
        <v>45200</v>
      </c>
      <c r="AG288" s="311" t="n">
        <v>23</v>
      </c>
      <c r="AH288" s="311" t="n">
        <v>4</v>
      </c>
      <c r="AI288" s="311" t="n">
        <v>4</v>
      </c>
      <c r="AJ288" s="311" t="n">
        <v>0</v>
      </c>
      <c r="AK288" s="311" t="n">
        <v>31</v>
      </c>
      <c r="AU288" s="406"/>
    </row>
    <row r="289" customFormat="false" ht="12.75" hidden="false" customHeight="false" outlineLevel="0" collapsed="false">
      <c r="A289" s="408"/>
      <c r="B289" s="396"/>
      <c r="C289" s="409"/>
      <c r="D289" s="410"/>
      <c r="E289" s="396"/>
      <c r="F289" s="410"/>
      <c r="G289" s="396"/>
      <c r="H289" s="410"/>
      <c r="I289" s="410"/>
      <c r="J289" s="411"/>
      <c r="K289" s="399"/>
      <c r="L289" s="399"/>
      <c r="M289" s="73"/>
      <c r="N289" s="396"/>
      <c r="O289" s="396"/>
      <c r="P289" s="396"/>
      <c r="Q289" s="410"/>
      <c r="R289" s="411"/>
      <c r="S289" s="411"/>
      <c r="T289" s="411"/>
      <c r="AF289" s="352" t="n">
        <f aca="false">EOMONTH(AF288,0)+1</f>
        <v>45231</v>
      </c>
      <c r="AG289" s="311" t="n">
        <v>20</v>
      </c>
      <c r="AH289" s="311" t="n">
        <v>5</v>
      </c>
      <c r="AI289" s="311" t="n">
        <v>5</v>
      </c>
      <c r="AJ289" s="311" t="n">
        <v>1</v>
      </c>
      <c r="AK289" s="311" t="n">
        <v>30</v>
      </c>
      <c r="AL289" s="311"/>
      <c r="AM289" s="336"/>
    </row>
    <row r="290" customFormat="false" ht="12.75" hidden="false" customHeight="false" outlineLevel="0" collapsed="false">
      <c r="A290" s="408"/>
      <c r="B290" s="396"/>
      <c r="C290" s="409"/>
      <c r="D290" s="410"/>
      <c r="E290" s="396"/>
      <c r="F290" s="410"/>
      <c r="G290" s="396"/>
      <c r="H290" s="410"/>
      <c r="I290" s="410"/>
      <c r="J290" s="411"/>
      <c r="K290" s="399"/>
      <c r="L290" s="399"/>
      <c r="M290" s="73"/>
      <c r="N290" s="396"/>
      <c r="O290" s="396"/>
      <c r="P290" s="396"/>
      <c r="Q290" s="410"/>
      <c r="R290" s="411"/>
      <c r="S290" s="411"/>
      <c r="T290" s="411"/>
      <c r="AF290" s="352" t="n">
        <f aca="false">EOMONTH(AF289,0)+1</f>
        <v>45261</v>
      </c>
      <c r="AG290" s="311" t="n">
        <v>21</v>
      </c>
      <c r="AH290" s="311" t="n">
        <v>4</v>
      </c>
      <c r="AI290" s="311" t="n">
        <v>6</v>
      </c>
      <c r="AJ290" s="311" t="n">
        <v>1</v>
      </c>
      <c r="AK290" s="311" t="n">
        <v>31</v>
      </c>
      <c r="AL290" s="311"/>
      <c r="AM290" s="336"/>
    </row>
    <row r="291" customFormat="false" ht="12.75" hidden="false" customHeight="false" outlineLevel="0" collapsed="false">
      <c r="A291" s="408"/>
      <c r="B291" s="396"/>
      <c r="C291" s="409"/>
      <c r="D291" s="410"/>
      <c r="E291" s="396"/>
      <c r="F291" s="410"/>
      <c r="G291" s="396"/>
      <c r="H291" s="410"/>
      <c r="I291" s="410"/>
      <c r="J291" s="411"/>
      <c r="K291" s="399"/>
      <c r="L291" s="399"/>
      <c r="M291" s="73"/>
      <c r="N291" s="396"/>
      <c r="O291" s="396"/>
      <c r="P291" s="396"/>
      <c r="Q291" s="410"/>
      <c r="R291" s="411"/>
      <c r="S291" s="411"/>
      <c r="T291" s="411"/>
      <c r="AF291" s="352" t="n">
        <f aca="false">EOMONTH(AF290,0)+1</f>
        <v>45292</v>
      </c>
      <c r="AG291" s="311" t="n">
        <v>22</v>
      </c>
      <c r="AH291" s="311" t="n">
        <v>4</v>
      </c>
      <c r="AI291" s="311" t="n">
        <v>5</v>
      </c>
      <c r="AJ291" s="311" t="n">
        <v>1</v>
      </c>
      <c r="AK291" s="311" t="n">
        <v>31</v>
      </c>
      <c r="AL291" s="311"/>
      <c r="AM291" s="336"/>
    </row>
    <row r="292" customFormat="false" ht="12.75" hidden="false" customHeight="false" outlineLevel="0" collapsed="false">
      <c r="A292" s="408"/>
      <c r="B292" s="396"/>
      <c r="C292" s="409"/>
      <c r="D292" s="410"/>
      <c r="E292" s="396"/>
      <c r="F292" s="410"/>
      <c r="G292" s="396"/>
      <c r="H292" s="410"/>
      <c r="I292" s="410"/>
      <c r="J292" s="411"/>
      <c r="K292" s="399"/>
      <c r="L292" s="399"/>
      <c r="M292" s="73"/>
      <c r="N292" s="396"/>
      <c r="O292" s="396"/>
      <c r="P292" s="396"/>
      <c r="Q292" s="410"/>
      <c r="R292" s="411"/>
      <c r="S292" s="411"/>
      <c r="T292" s="411"/>
      <c r="AF292" s="352" t="n">
        <f aca="false">EOMONTH(AF291,0)+1</f>
        <v>45323</v>
      </c>
      <c r="AG292" s="311" t="n">
        <v>20</v>
      </c>
      <c r="AH292" s="311" t="n">
        <v>5</v>
      </c>
      <c r="AI292" s="311" t="n">
        <v>4</v>
      </c>
      <c r="AJ292" s="311" t="n">
        <v>0</v>
      </c>
      <c r="AK292" s="311" t="n">
        <v>29</v>
      </c>
      <c r="AL292" s="311"/>
      <c r="AM292" s="336"/>
    </row>
    <row r="293" customFormat="false" ht="12.75" hidden="false" customHeight="false" outlineLevel="0" collapsed="false">
      <c r="A293" s="408"/>
      <c r="B293" s="396"/>
      <c r="C293" s="409"/>
      <c r="D293" s="410"/>
      <c r="E293" s="396"/>
      <c r="F293" s="410"/>
      <c r="G293" s="396"/>
      <c r="H293" s="410"/>
      <c r="I293" s="410"/>
      <c r="J293" s="411"/>
      <c r="K293" s="399"/>
      <c r="L293" s="399"/>
      <c r="M293" s="73"/>
      <c r="N293" s="396"/>
      <c r="O293" s="396"/>
      <c r="P293" s="396"/>
      <c r="Q293" s="410"/>
      <c r="R293" s="411"/>
      <c r="S293" s="411"/>
      <c r="T293" s="411"/>
      <c r="AF293" s="352" t="n">
        <f aca="false">EOMONTH(AF292,0)+1</f>
        <v>45352</v>
      </c>
      <c r="AG293" s="311" t="n">
        <v>22</v>
      </c>
      <c r="AH293" s="311" t="n">
        <v>4</v>
      </c>
      <c r="AI293" s="311" t="n">
        <v>5</v>
      </c>
      <c r="AJ293" s="311" t="n">
        <v>0</v>
      </c>
      <c r="AK293" s="311" t="n">
        <v>31</v>
      </c>
      <c r="AL293" s="311"/>
      <c r="AM293" s="336"/>
    </row>
    <row r="294" customFormat="false" ht="12.75" hidden="false" customHeight="false" outlineLevel="0" collapsed="false">
      <c r="A294" s="408"/>
      <c r="B294" s="396"/>
      <c r="C294" s="409"/>
      <c r="D294" s="410"/>
      <c r="E294" s="396"/>
      <c r="F294" s="410"/>
      <c r="G294" s="396"/>
      <c r="H294" s="410"/>
      <c r="I294" s="410"/>
      <c r="J294" s="411"/>
      <c r="K294" s="399"/>
      <c r="L294" s="399"/>
      <c r="M294" s="73"/>
      <c r="N294" s="396"/>
      <c r="O294" s="396"/>
      <c r="P294" s="396"/>
      <c r="Q294" s="410"/>
      <c r="R294" s="411"/>
      <c r="S294" s="411"/>
      <c r="T294" s="411"/>
      <c r="AF294" s="352" t="n">
        <f aca="false">EOMONTH(AF293,0)+1</f>
        <v>45383</v>
      </c>
      <c r="AG294" s="311" t="n">
        <v>22</v>
      </c>
      <c r="AH294" s="311" t="n">
        <v>4</v>
      </c>
      <c r="AI294" s="311" t="n">
        <v>4</v>
      </c>
      <c r="AJ294" s="311" t="n">
        <v>0</v>
      </c>
      <c r="AK294" s="311" t="n">
        <v>30</v>
      </c>
      <c r="AL294" s="311"/>
      <c r="AM294" s="336"/>
    </row>
    <row r="295" customFormat="false" ht="12.75" hidden="false" customHeight="false" outlineLevel="0" collapsed="false">
      <c r="A295" s="408"/>
      <c r="B295" s="396"/>
      <c r="C295" s="409"/>
      <c r="D295" s="410"/>
      <c r="E295" s="396"/>
      <c r="F295" s="410"/>
      <c r="G295" s="396"/>
      <c r="H295" s="410"/>
      <c r="I295" s="410"/>
      <c r="J295" s="411"/>
      <c r="K295" s="399"/>
      <c r="L295" s="399"/>
      <c r="M295" s="73"/>
      <c r="N295" s="396"/>
      <c r="O295" s="396"/>
      <c r="P295" s="396"/>
      <c r="Q295" s="410"/>
      <c r="R295" s="411"/>
      <c r="S295" s="411"/>
      <c r="T295" s="411"/>
      <c r="AF295" s="352" t="n">
        <f aca="false">EOMONTH(AF294,0)+1</f>
        <v>45413</v>
      </c>
      <c r="AG295" s="311" t="n">
        <v>20</v>
      </c>
      <c r="AH295" s="311" t="n">
        <v>5</v>
      </c>
      <c r="AI295" s="311" t="n">
        <v>6</v>
      </c>
      <c r="AJ295" s="311" t="n">
        <v>1</v>
      </c>
      <c r="AK295" s="311" t="n">
        <v>31</v>
      </c>
      <c r="AL295" s="311"/>
      <c r="AM295" s="336"/>
    </row>
    <row r="296" customFormat="false" ht="12.75" hidden="false" customHeight="false" outlineLevel="0" collapsed="false">
      <c r="A296" s="408"/>
      <c r="B296" s="396"/>
      <c r="C296" s="409"/>
      <c r="D296" s="410"/>
      <c r="E296" s="396"/>
      <c r="F296" s="410"/>
      <c r="G296" s="396"/>
      <c r="H296" s="410"/>
      <c r="I296" s="410"/>
      <c r="J296" s="411"/>
      <c r="K296" s="399"/>
      <c r="L296" s="399"/>
      <c r="M296" s="73"/>
      <c r="N296" s="396"/>
      <c r="O296" s="396"/>
      <c r="P296" s="396"/>
      <c r="Q296" s="410"/>
      <c r="R296" s="411"/>
      <c r="S296" s="411"/>
      <c r="T296" s="411"/>
      <c r="AF296" s="352" t="n">
        <f aca="false">EOMONTH(AF295,0)+1</f>
        <v>45444</v>
      </c>
      <c r="AG296" s="311" t="n">
        <v>22</v>
      </c>
      <c r="AH296" s="311" t="n">
        <v>4</v>
      </c>
      <c r="AI296" s="311" t="n">
        <v>4</v>
      </c>
      <c r="AJ296" s="311" t="n">
        <v>0</v>
      </c>
      <c r="AK296" s="311" t="n">
        <v>30</v>
      </c>
      <c r="AL296" s="311"/>
      <c r="AM296" s="336"/>
    </row>
    <row r="297" customFormat="false" ht="12.75" hidden="false" customHeight="false" outlineLevel="0" collapsed="false">
      <c r="A297" s="408"/>
      <c r="B297" s="396"/>
      <c r="C297" s="409"/>
      <c r="D297" s="410"/>
      <c r="E297" s="396"/>
      <c r="F297" s="410"/>
      <c r="G297" s="396"/>
      <c r="H297" s="410"/>
      <c r="I297" s="410"/>
      <c r="J297" s="411"/>
      <c r="K297" s="399"/>
      <c r="L297" s="399"/>
      <c r="M297" s="73"/>
      <c r="N297" s="396"/>
      <c r="O297" s="396"/>
      <c r="P297" s="396"/>
      <c r="Q297" s="410"/>
      <c r="R297" s="411"/>
      <c r="S297" s="411"/>
      <c r="T297" s="411"/>
      <c r="AF297" s="352" t="n">
        <f aca="false">EOMONTH(AF296,0)+1</f>
        <v>45474</v>
      </c>
      <c r="AG297" s="311" t="n">
        <v>23</v>
      </c>
      <c r="AH297" s="311" t="n">
        <v>3</v>
      </c>
      <c r="AI297" s="311" t="n">
        <v>5</v>
      </c>
      <c r="AJ297" s="311" t="n">
        <v>1</v>
      </c>
      <c r="AK297" s="311" t="n">
        <v>31</v>
      </c>
      <c r="AL297" s="311"/>
      <c r="AM297" s="336"/>
    </row>
    <row r="298" customFormat="false" ht="12.75" hidden="false" customHeight="false" outlineLevel="0" collapsed="false">
      <c r="A298" s="408"/>
      <c r="B298" s="396"/>
      <c r="C298" s="409"/>
      <c r="D298" s="410"/>
      <c r="E298" s="396"/>
      <c r="F298" s="410"/>
      <c r="G298" s="396"/>
      <c r="H298" s="410"/>
      <c r="I298" s="410"/>
      <c r="J298" s="411"/>
      <c r="K298" s="399"/>
      <c r="L298" s="399"/>
      <c r="M298" s="73"/>
      <c r="N298" s="396"/>
      <c r="O298" s="396"/>
      <c r="P298" s="396"/>
      <c r="Q298" s="410"/>
      <c r="R298" s="411"/>
      <c r="S298" s="411"/>
      <c r="T298" s="411"/>
      <c r="AF298" s="352" t="n">
        <f aca="false">EOMONTH(AF297,0)+1</f>
        <v>45505</v>
      </c>
      <c r="AG298" s="311" t="n">
        <v>21</v>
      </c>
      <c r="AH298" s="311" t="n">
        <v>5</v>
      </c>
      <c r="AI298" s="311" t="n">
        <v>5</v>
      </c>
      <c r="AJ298" s="311" t="n">
        <v>0</v>
      </c>
      <c r="AK298" s="311" t="n">
        <v>31</v>
      </c>
      <c r="AL298" s="311"/>
      <c r="AM298" s="336"/>
    </row>
    <row r="299" customFormat="false" ht="12.75" hidden="false" customHeight="false" outlineLevel="0" collapsed="false">
      <c r="A299" s="408"/>
      <c r="B299" s="396"/>
      <c r="C299" s="409"/>
      <c r="D299" s="410"/>
      <c r="E299" s="396"/>
      <c r="F299" s="410"/>
      <c r="G299" s="396"/>
      <c r="H299" s="410"/>
      <c r="I299" s="410"/>
      <c r="J299" s="411"/>
      <c r="K299" s="399"/>
      <c r="L299" s="399"/>
      <c r="M299" s="73"/>
      <c r="N299" s="396"/>
      <c r="O299" s="396"/>
      <c r="P299" s="396"/>
      <c r="Q299" s="410"/>
      <c r="R299" s="411"/>
      <c r="S299" s="411"/>
      <c r="T299" s="411"/>
      <c r="AF299" s="352" t="n">
        <f aca="false">EOMONTH(AF298,0)+1</f>
        <v>45536</v>
      </c>
      <c r="AG299" s="311" t="n">
        <v>21</v>
      </c>
      <c r="AH299" s="311" t="n">
        <v>4</v>
      </c>
      <c r="AI299" s="311" t="n">
        <v>5</v>
      </c>
      <c r="AJ299" s="311" t="n">
        <v>1</v>
      </c>
      <c r="AK299" s="311" t="n">
        <v>30</v>
      </c>
      <c r="AL299" s="311"/>
      <c r="AM299" s="336"/>
    </row>
    <row r="300" customFormat="false" ht="12.75" hidden="false" customHeight="false" outlineLevel="0" collapsed="false">
      <c r="A300" s="408"/>
      <c r="B300" s="396"/>
      <c r="C300" s="409"/>
      <c r="D300" s="410"/>
      <c r="E300" s="396"/>
      <c r="F300" s="410"/>
      <c r="G300" s="396"/>
      <c r="H300" s="410"/>
      <c r="I300" s="410"/>
      <c r="J300" s="411"/>
      <c r="K300" s="399"/>
      <c r="L300" s="399"/>
      <c r="M300" s="73"/>
      <c r="N300" s="396"/>
      <c r="O300" s="396"/>
      <c r="P300" s="396"/>
      <c r="Q300" s="410"/>
      <c r="R300" s="411"/>
      <c r="S300" s="411"/>
      <c r="T300" s="411"/>
      <c r="AF300" s="352" t="n">
        <f aca="false">EOMONTH(AF299,0)+1</f>
        <v>45566</v>
      </c>
      <c r="AG300" s="311" t="n">
        <v>22</v>
      </c>
      <c r="AH300" s="311" t="n">
        <v>5</v>
      </c>
      <c r="AI300" s="311" t="n">
        <v>4</v>
      </c>
      <c r="AJ300" s="311" t="n">
        <v>0</v>
      </c>
      <c r="AK300" s="311" t="n">
        <v>31</v>
      </c>
      <c r="AL300" s="311"/>
      <c r="AM300" s="336"/>
    </row>
    <row r="301" customFormat="false" ht="12.75" hidden="false" customHeight="false" outlineLevel="0" collapsed="false">
      <c r="A301" s="408"/>
      <c r="B301" s="396"/>
      <c r="C301" s="409"/>
      <c r="D301" s="410"/>
      <c r="E301" s="396"/>
      <c r="F301" s="410"/>
      <c r="G301" s="396"/>
      <c r="H301" s="410"/>
      <c r="I301" s="410"/>
      <c r="J301" s="411"/>
      <c r="K301" s="399"/>
      <c r="L301" s="399"/>
      <c r="M301" s="73"/>
      <c r="N301" s="396"/>
      <c r="O301" s="396"/>
      <c r="P301" s="396"/>
      <c r="Q301" s="410"/>
      <c r="R301" s="411"/>
      <c r="S301" s="411"/>
      <c r="T301" s="411"/>
      <c r="AF301" s="352" t="n">
        <f aca="false">EOMONTH(AF300,0)+1</f>
        <v>45597</v>
      </c>
      <c r="AG301" s="311" t="n">
        <v>20</v>
      </c>
      <c r="AH301" s="311" t="n">
        <v>4</v>
      </c>
      <c r="AI301" s="311" t="n">
        <v>6</v>
      </c>
      <c r="AJ301" s="311" t="n">
        <v>1</v>
      </c>
      <c r="AK301" s="311" t="n">
        <v>30</v>
      </c>
      <c r="AL301" s="311"/>
      <c r="AM301" s="336"/>
    </row>
    <row r="302" customFormat="false" ht="12.75" hidden="false" customHeight="false" outlineLevel="0" collapsed="false">
      <c r="A302" s="408"/>
      <c r="B302" s="396"/>
      <c r="C302" s="409"/>
      <c r="D302" s="410"/>
      <c r="E302" s="396"/>
      <c r="F302" s="410"/>
      <c r="G302" s="396"/>
      <c r="H302" s="410"/>
      <c r="I302" s="410"/>
      <c r="J302" s="411"/>
      <c r="K302" s="399"/>
      <c r="L302" s="399"/>
      <c r="M302" s="73"/>
      <c r="N302" s="396"/>
      <c r="O302" s="396"/>
      <c r="P302" s="396"/>
      <c r="Q302" s="410"/>
      <c r="R302" s="411"/>
      <c r="S302" s="411"/>
      <c r="T302" s="411"/>
      <c r="AF302" s="352" t="n">
        <f aca="false">EOMONTH(AF301,0)+1</f>
        <v>45627</v>
      </c>
      <c r="AG302" s="311" t="n">
        <v>22</v>
      </c>
      <c r="AH302" s="311" t="n">
        <v>4</v>
      </c>
      <c r="AI302" s="311" t="n">
        <v>5</v>
      </c>
      <c r="AJ302" s="311" t="n">
        <v>1</v>
      </c>
      <c r="AK302" s="311" t="n">
        <v>31</v>
      </c>
      <c r="AL302" s="311"/>
      <c r="AM302" s="336"/>
    </row>
    <row r="303" customFormat="false" ht="12.75" hidden="false" customHeight="false" outlineLevel="0" collapsed="false">
      <c r="A303" s="408"/>
      <c r="B303" s="396"/>
      <c r="C303" s="409"/>
      <c r="D303" s="410"/>
      <c r="E303" s="396"/>
      <c r="F303" s="410"/>
      <c r="G303" s="396"/>
      <c r="H303" s="410"/>
      <c r="I303" s="410"/>
      <c r="J303" s="411"/>
      <c r="K303" s="399"/>
      <c r="L303" s="399"/>
      <c r="M303" s="73"/>
      <c r="N303" s="396"/>
      <c r="O303" s="396"/>
      <c r="P303" s="396"/>
      <c r="Q303" s="410"/>
      <c r="R303" s="411"/>
      <c r="S303" s="411"/>
      <c r="T303" s="411"/>
      <c r="AF303" s="352" t="n">
        <f aca="false">EOMONTH(AF302,0)+1</f>
        <v>45658</v>
      </c>
      <c r="AG303" s="311" t="n">
        <v>22</v>
      </c>
      <c r="AH303" s="311" t="n">
        <v>4</v>
      </c>
      <c r="AI303" s="311" t="n">
        <v>5</v>
      </c>
      <c r="AJ303" s="311" t="n">
        <v>1</v>
      </c>
      <c r="AK303" s="311" t="n">
        <v>31</v>
      </c>
      <c r="AL303" s="311"/>
      <c r="AM303" s="336"/>
    </row>
    <row r="304" customFormat="false" ht="12.75" hidden="false" customHeight="false" outlineLevel="0" collapsed="false">
      <c r="A304" s="408"/>
      <c r="B304" s="396"/>
      <c r="C304" s="409"/>
      <c r="D304" s="410"/>
      <c r="E304" s="396"/>
      <c r="F304" s="410"/>
      <c r="G304" s="396"/>
      <c r="H304" s="410"/>
      <c r="I304" s="410"/>
      <c r="J304" s="411"/>
      <c r="K304" s="399"/>
      <c r="L304" s="399"/>
      <c r="M304" s="73"/>
      <c r="N304" s="396"/>
      <c r="O304" s="396"/>
      <c r="P304" s="396"/>
      <c r="Q304" s="410"/>
      <c r="R304" s="411"/>
      <c r="S304" s="411"/>
      <c r="T304" s="411"/>
      <c r="AF304" s="352" t="n">
        <f aca="false">EOMONTH(AF303,0)+1</f>
        <v>45689</v>
      </c>
      <c r="AG304" s="311" t="n">
        <v>20</v>
      </c>
      <c r="AH304" s="311" t="n">
        <v>4</v>
      </c>
      <c r="AI304" s="311" t="n">
        <v>4</v>
      </c>
      <c r="AJ304" s="311" t="n">
        <v>0</v>
      </c>
      <c r="AK304" s="311" t="n">
        <v>28</v>
      </c>
      <c r="AL304" s="311"/>
      <c r="AM304" s="336"/>
    </row>
    <row r="305" customFormat="false" ht="12.75" hidden="false" customHeight="false" outlineLevel="0" collapsed="false">
      <c r="A305" s="408"/>
      <c r="B305" s="396"/>
      <c r="C305" s="409"/>
      <c r="D305" s="410"/>
      <c r="E305" s="396"/>
      <c r="F305" s="410"/>
      <c r="G305" s="396"/>
      <c r="H305" s="410"/>
      <c r="I305" s="410"/>
      <c r="J305" s="411"/>
      <c r="K305" s="399"/>
      <c r="L305" s="399"/>
      <c r="M305" s="73"/>
      <c r="N305" s="396"/>
      <c r="O305" s="396"/>
      <c r="P305" s="396"/>
      <c r="Q305" s="410"/>
      <c r="R305" s="411"/>
      <c r="S305" s="411"/>
      <c r="T305" s="411"/>
      <c r="AF305" s="352" t="n">
        <f aca="false">EOMONTH(AF304,0)+1</f>
        <v>45717</v>
      </c>
      <c r="AG305" s="311" t="n">
        <v>21</v>
      </c>
      <c r="AH305" s="311" t="n">
        <v>5</v>
      </c>
      <c r="AI305" s="311" t="n">
        <v>5</v>
      </c>
      <c r="AJ305" s="311" t="n">
        <v>0</v>
      </c>
      <c r="AK305" s="311" t="n">
        <v>31</v>
      </c>
      <c r="AL305" s="311"/>
      <c r="AM305" s="336"/>
    </row>
    <row r="306" customFormat="false" ht="12.75" hidden="false" customHeight="false" outlineLevel="0" collapsed="false">
      <c r="A306" s="408"/>
      <c r="B306" s="396"/>
      <c r="C306" s="409"/>
      <c r="D306" s="410"/>
      <c r="E306" s="396"/>
      <c r="F306" s="410"/>
      <c r="G306" s="396"/>
      <c r="H306" s="410"/>
      <c r="I306" s="410"/>
      <c r="J306" s="411"/>
      <c r="K306" s="399"/>
      <c r="L306" s="399"/>
      <c r="M306" s="73"/>
      <c r="N306" s="396"/>
      <c r="O306" s="396"/>
      <c r="P306" s="396"/>
      <c r="Q306" s="410"/>
      <c r="R306" s="411"/>
      <c r="S306" s="411"/>
      <c r="T306" s="411"/>
      <c r="AF306" s="352" t="n">
        <f aca="false">EOMONTH(AF305,0)+1</f>
        <v>45748</v>
      </c>
      <c r="AG306" s="311" t="n">
        <v>22</v>
      </c>
      <c r="AH306" s="311" t="n">
        <v>4</v>
      </c>
      <c r="AI306" s="311" t="n">
        <v>4</v>
      </c>
      <c r="AJ306" s="311" t="n">
        <v>0</v>
      </c>
      <c r="AK306" s="311" t="n">
        <v>30</v>
      </c>
      <c r="AL306" s="311"/>
      <c r="AM306" s="336"/>
    </row>
    <row r="307" customFormat="false" ht="12.75" hidden="false" customHeight="false" outlineLevel="0" collapsed="false">
      <c r="A307" s="408"/>
      <c r="B307" s="396"/>
      <c r="C307" s="409"/>
      <c r="D307" s="410"/>
      <c r="E307" s="396"/>
      <c r="F307" s="410"/>
      <c r="G307" s="396"/>
      <c r="H307" s="410"/>
      <c r="I307" s="410"/>
      <c r="J307" s="411"/>
      <c r="K307" s="399"/>
      <c r="L307" s="399"/>
      <c r="M307" s="73"/>
      <c r="N307" s="396"/>
      <c r="O307" s="396"/>
      <c r="P307" s="396"/>
      <c r="Q307" s="410"/>
      <c r="R307" s="411"/>
      <c r="S307" s="411"/>
      <c r="T307" s="411"/>
      <c r="AF307" s="352" t="n">
        <f aca="false">EOMONTH(AF306,0)+1</f>
        <v>45778</v>
      </c>
      <c r="AG307" s="311" t="n">
        <v>22</v>
      </c>
      <c r="AH307" s="311" t="n">
        <v>4</v>
      </c>
      <c r="AI307" s="311" t="n">
        <v>5</v>
      </c>
      <c r="AJ307" s="311" t="n">
        <v>1</v>
      </c>
      <c r="AK307" s="311" t="n">
        <v>31</v>
      </c>
      <c r="AL307" s="311"/>
      <c r="AM307" s="336"/>
    </row>
    <row r="308" customFormat="false" ht="12.75" hidden="false" customHeight="false" outlineLevel="0" collapsed="false">
      <c r="A308" s="408"/>
      <c r="B308" s="396"/>
      <c r="C308" s="409"/>
      <c r="D308" s="410"/>
      <c r="E308" s="396"/>
      <c r="F308" s="410"/>
      <c r="G308" s="396"/>
      <c r="H308" s="410"/>
      <c r="I308" s="410"/>
      <c r="J308" s="411"/>
      <c r="K308" s="399"/>
      <c r="L308" s="399"/>
      <c r="M308" s="73"/>
      <c r="N308" s="396"/>
      <c r="O308" s="396"/>
      <c r="P308" s="396"/>
      <c r="Q308" s="410"/>
      <c r="R308" s="411"/>
      <c r="S308" s="411"/>
      <c r="T308" s="411"/>
      <c r="AF308" s="352" t="n">
        <f aca="false">EOMONTH(AF307,0)+1</f>
        <v>45809</v>
      </c>
      <c r="AG308" s="311" t="n">
        <v>20</v>
      </c>
      <c r="AH308" s="311" t="n">
        <v>5</v>
      </c>
      <c r="AI308" s="311" t="n">
        <v>5</v>
      </c>
      <c r="AJ308" s="311" t="n">
        <v>0</v>
      </c>
      <c r="AK308" s="311" t="n">
        <v>30</v>
      </c>
      <c r="AL308" s="311"/>
      <c r="AM308" s="336"/>
    </row>
    <row r="309" customFormat="false" ht="12.75" hidden="false" customHeight="false" outlineLevel="0" collapsed="false">
      <c r="A309" s="408"/>
      <c r="B309" s="396"/>
      <c r="C309" s="409"/>
      <c r="D309" s="410"/>
      <c r="E309" s="396"/>
      <c r="F309" s="410"/>
      <c r="G309" s="396"/>
      <c r="H309" s="410"/>
      <c r="I309" s="410"/>
      <c r="J309" s="411"/>
      <c r="K309" s="399"/>
      <c r="L309" s="399"/>
      <c r="M309" s="73"/>
      <c r="N309" s="396"/>
      <c r="O309" s="396"/>
      <c r="P309" s="396"/>
      <c r="Q309" s="410"/>
      <c r="R309" s="411"/>
      <c r="S309" s="411"/>
      <c r="T309" s="411"/>
      <c r="AF309" s="352" t="n">
        <f aca="false">EOMONTH(AF308,0)+1</f>
        <v>45839</v>
      </c>
      <c r="AG309" s="311" t="n">
        <v>22</v>
      </c>
      <c r="AH309" s="311" t="n">
        <v>4</v>
      </c>
      <c r="AI309" s="311" t="n">
        <v>5</v>
      </c>
      <c r="AJ309" s="311" t="n">
        <v>1</v>
      </c>
      <c r="AK309" s="311" t="n">
        <v>31</v>
      </c>
      <c r="AL309" s="311"/>
      <c r="AM309" s="336"/>
    </row>
    <row r="310" customFormat="false" ht="12.75" hidden="false" customHeight="false" outlineLevel="0" collapsed="false">
      <c r="A310" s="408"/>
      <c r="B310" s="396"/>
      <c r="C310" s="409"/>
      <c r="D310" s="410"/>
      <c r="E310" s="396"/>
      <c r="F310" s="410"/>
      <c r="G310" s="396"/>
      <c r="H310" s="410"/>
      <c r="I310" s="410"/>
      <c r="J310" s="411"/>
      <c r="K310" s="399"/>
      <c r="L310" s="399"/>
      <c r="M310" s="73"/>
      <c r="N310" s="396"/>
      <c r="O310" s="396"/>
      <c r="P310" s="396"/>
      <c r="Q310" s="410"/>
      <c r="R310" s="411"/>
      <c r="S310" s="411"/>
      <c r="T310" s="411"/>
      <c r="AF310" s="352" t="n">
        <f aca="false">EOMONTH(AF309,0)+1</f>
        <v>45870</v>
      </c>
      <c r="AG310" s="311" t="n">
        <v>22</v>
      </c>
      <c r="AH310" s="311" t="n">
        <v>5</v>
      </c>
      <c r="AI310" s="311" t="n">
        <v>4</v>
      </c>
      <c r="AJ310" s="311" t="n">
        <v>0</v>
      </c>
      <c r="AK310" s="311" t="n">
        <v>31</v>
      </c>
      <c r="AL310" s="311"/>
      <c r="AM310" s="336"/>
    </row>
    <row r="311" customFormat="false" ht="12.75" hidden="false" customHeight="false" outlineLevel="0" collapsed="false">
      <c r="A311" s="408"/>
      <c r="B311" s="396"/>
      <c r="C311" s="409"/>
      <c r="D311" s="410"/>
      <c r="E311" s="396"/>
      <c r="F311" s="410"/>
      <c r="G311" s="396"/>
      <c r="H311" s="410"/>
      <c r="I311" s="410"/>
      <c r="J311" s="411"/>
      <c r="K311" s="399"/>
      <c r="L311" s="399"/>
      <c r="M311" s="73"/>
      <c r="N311" s="396"/>
      <c r="O311" s="396"/>
      <c r="P311" s="396"/>
      <c r="Q311" s="410"/>
      <c r="R311" s="411"/>
      <c r="S311" s="411"/>
      <c r="T311" s="411"/>
      <c r="AF311" s="352" t="n">
        <f aca="false">EOMONTH(AF310,0)+1</f>
        <v>45901</v>
      </c>
      <c r="AG311" s="311" t="n">
        <v>20</v>
      </c>
      <c r="AH311" s="311" t="n">
        <v>4</v>
      </c>
      <c r="AI311" s="311" t="n">
        <v>6</v>
      </c>
      <c r="AJ311" s="311" t="n">
        <v>1</v>
      </c>
      <c r="AK311" s="311" t="n">
        <v>30</v>
      </c>
      <c r="AL311" s="311"/>
      <c r="AM311" s="336"/>
    </row>
    <row r="312" customFormat="false" ht="12.75" hidden="false" customHeight="false" outlineLevel="0" collapsed="false">
      <c r="A312" s="408"/>
      <c r="B312" s="396"/>
      <c r="C312" s="409"/>
      <c r="D312" s="410"/>
      <c r="E312" s="396"/>
      <c r="F312" s="410"/>
      <c r="G312" s="396"/>
      <c r="H312" s="410"/>
      <c r="I312" s="410"/>
      <c r="J312" s="411"/>
      <c r="K312" s="399"/>
      <c r="L312" s="399"/>
      <c r="M312" s="73"/>
      <c r="N312" s="396"/>
      <c r="O312" s="396"/>
      <c r="P312" s="396"/>
      <c r="Q312" s="410"/>
      <c r="R312" s="411"/>
      <c r="S312" s="411"/>
      <c r="T312" s="411"/>
      <c r="AF312" s="352" t="n">
        <f aca="false">EOMONTH(AF311,0)+1</f>
        <v>45931</v>
      </c>
      <c r="AG312" s="311" t="n">
        <v>23</v>
      </c>
      <c r="AH312" s="311" t="n">
        <v>4</v>
      </c>
      <c r="AI312" s="311" t="n">
        <v>4</v>
      </c>
      <c r="AJ312" s="311" t="n">
        <v>0</v>
      </c>
      <c r="AK312" s="311" t="n">
        <v>31</v>
      </c>
      <c r="AL312" s="311"/>
      <c r="AM312" s="336"/>
    </row>
    <row r="313" customFormat="false" ht="12.75" hidden="false" customHeight="false" outlineLevel="0" collapsed="false">
      <c r="A313" s="408"/>
      <c r="B313" s="396"/>
      <c r="C313" s="409"/>
      <c r="D313" s="410"/>
      <c r="E313" s="396"/>
      <c r="F313" s="410"/>
      <c r="G313" s="396"/>
      <c r="H313" s="410"/>
      <c r="I313" s="410"/>
      <c r="J313" s="411"/>
      <c r="K313" s="399"/>
      <c r="L313" s="399"/>
      <c r="M313" s="73"/>
      <c r="N313" s="396"/>
      <c r="O313" s="396"/>
      <c r="P313" s="396"/>
      <c r="Q313" s="410"/>
      <c r="R313" s="411"/>
      <c r="S313" s="411"/>
      <c r="T313" s="411"/>
      <c r="AF313" s="352" t="n">
        <f aca="false">EOMONTH(AF312,0)+1</f>
        <v>45962</v>
      </c>
      <c r="AG313" s="311" t="n">
        <v>20</v>
      </c>
      <c r="AH313" s="311" t="n">
        <v>5</v>
      </c>
      <c r="AI313" s="311" t="n">
        <v>5</v>
      </c>
      <c r="AJ313" s="311" t="n">
        <v>1</v>
      </c>
      <c r="AK313" s="311" t="n">
        <v>30</v>
      </c>
      <c r="AL313" s="311"/>
      <c r="AM313" s="336"/>
    </row>
    <row r="314" customFormat="false" ht="12.75" hidden="false" customHeight="false" outlineLevel="0" collapsed="false">
      <c r="A314" s="408"/>
      <c r="B314" s="396"/>
      <c r="C314" s="409"/>
      <c r="D314" s="410"/>
      <c r="E314" s="396"/>
      <c r="F314" s="410"/>
      <c r="G314" s="396"/>
      <c r="H314" s="410"/>
      <c r="I314" s="410"/>
      <c r="J314" s="411"/>
      <c r="K314" s="399"/>
      <c r="L314" s="399"/>
      <c r="M314" s="73"/>
      <c r="N314" s="396"/>
      <c r="O314" s="396"/>
      <c r="P314" s="396"/>
      <c r="Q314" s="410"/>
      <c r="R314" s="411"/>
      <c r="S314" s="411"/>
      <c r="T314" s="411"/>
      <c r="AF314" s="352" t="n">
        <f aca="false">EOMONTH(AF313,0)+1</f>
        <v>45992</v>
      </c>
      <c r="AG314" s="311" t="n">
        <v>21</v>
      </c>
      <c r="AH314" s="311" t="n">
        <v>4</v>
      </c>
      <c r="AI314" s="311" t="n">
        <v>6</v>
      </c>
      <c r="AJ314" s="311" t="n">
        <v>1</v>
      </c>
      <c r="AK314" s="311" t="n">
        <v>31</v>
      </c>
      <c r="AL314" s="311"/>
      <c r="AM314" s="336"/>
    </row>
    <row r="315" customFormat="false" ht="12.75" hidden="false" customHeight="false" outlineLevel="0" collapsed="false">
      <c r="A315" s="408"/>
      <c r="B315" s="396"/>
      <c r="C315" s="409"/>
      <c r="D315" s="410"/>
      <c r="E315" s="396"/>
      <c r="F315" s="410"/>
      <c r="G315" s="396"/>
      <c r="H315" s="410"/>
      <c r="I315" s="410"/>
      <c r="J315" s="411"/>
      <c r="K315" s="399"/>
      <c r="L315" s="399"/>
      <c r="M315" s="73"/>
      <c r="N315" s="396"/>
      <c r="O315" s="396"/>
      <c r="P315" s="396"/>
      <c r="Q315" s="410"/>
      <c r="R315" s="411"/>
      <c r="S315" s="411"/>
      <c r="T315" s="411"/>
      <c r="AF315" s="352" t="n">
        <f aca="false">EOMONTH(AF314,0)+1</f>
        <v>46023</v>
      </c>
      <c r="AG315" s="311" t="n">
        <v>22</v>
      </c>
      <c r="AH315" s="311" t="n">
        <v>4</v>
      </c>
      <c r="AI315" s="311" t="n">
        <v>5</v>
      </c>
      <c r="AJ315" s="311" t="n">
        <v>1</v>
      </c>
      <c r="AK315" s="311" t="n">
        <v>31</v>
      </c>
      <c r="AL315" s="311"/>
      <c r="AM315" s="336"/>
    </row>
    <row r="316" customFormat="false" ht="12.75" hidden="false" customHeight="false" outlineLevel="0" collapsed="false">
      <c r="A316" s="408"/>
      <c r="B316" s="396"/>
      <c r="C316" s="409"/>
      <c r="D316" s="410"/>
      <c r="E316" s="396"/>
      <c r="F316" s="410"/>
      <c r="G316" s="396"/>
      <c r="H316" s="410"/>
      <c r="I316" s="410"/>
      <c r="J316" s="411"/>
      <c r="K316" s="399"/>
      <c r="L316" s="399"/>
      <c r="M316" s="73"/>
      <c r="N316" s="396"/>
      <c r="O316" s="396"/>
      <c r="P316" s="396"/>
      <c r="Q316" s="410"/>
      <c r="R316" s="411"/>
      <c r="S316" s="411"/>
      <c r="T316" s="411"/>
      <c r="AF316" s="352" t="n">
        <f aca="false">EOMONTH(AF315,0)+1</f>
        <v>46054</v>
      </c>
      <c r="AG316" s="311" t="n">
        <v>20</v>
      </c>
      <c r="AH316" s="311" t="n">
        <v>4</v>
      </c>
      <c r="AI316" s="311" t="n">
        <v>4</v>
      </c>
      <c r="AJ316" s="311" t="n">
        <v>0</v>
      </c>
      <c r="AK316" s="311" t="n">
        <v>28</v>
      </c>
      <c r="AL316" s="311"/>
      <c r="AM316" s="336"/>
    </row>
    <row r="317" customFormat="false" ht="12.75" hidden="false" customHeight="false" outlineLevel="0" collapsed="false">
      <c r="A317" s="408"/>
      <c r="B317" s="396"/>
      <c r="C317" s="409"/>
      <c r="D317" s="410"/>
      <c r="E317" s="396"/>
      <c r="F317" s="410"/>
      <c r="G317" s="396"/>
      <c r="H317" s="410"/>
      <c r="I317" s="410"/>
      <c r="J317" s="411"/>
      <c r="K317" s="399"/>
      <c r="L317" s="399"/>
      <c r="M317" s="73"/>
      <c r="N317" s="396"/>
      <c r="O317" s="396"/>
      <c r="P317" s="396"/>
      <c r="Q317" s="410"/>
      <c r="R317" s="411"/>
      <c r="S317" s="411"/>
      <c r="T317" s="411"/>
      <c r="AF317" s="352" t="n">
        <f aca="false">EOMONTH(AF316,0)+1</f>
        <v>46082</v>
      </c>
      <c r="AG317" s="311" t="n">
        <v>21</v>
      </c>
      <c r="AH317" s="311" t="n">
        <v>5</v>
      </c>
      <c r="AI317" s="311" t="n">
        <v>5</v>
      </c>
      <c r="AJ317" s="311" t="n">
        <v>0</v>
      </c>
      <c r="AK317" s="311" t="n">
        <v>31</v>
      </c>
      <c r="AL317" s="311"/>
      <c r="AM317" s="336"/>
    </row>
    <row r="318" customFormat="false" ht="12.75" hidden="false" customHeight="false" outlineLevel="0" collapsed="false">
      <c r="A318" s="408"/>
      <c r="B318" s="396"/>
      <c r="C318" s="409"/>
      <c r="D318" s="410"/>
      <c r="E318" s="396"/>
      <c r="F318" s="410"/>
      <c r="G318" s="396"/>
      <c r="H318" s="410"/>
      <c r="I318" s="410"/>
      <c r="J318" s="411"/>
      <c r="K318" s="399"/>
      <c r="L318" s="399"/>
      <c r="M318" s="73"/>
      <c r="N318" s="396"/>
      <c r="O318" s="396"/>
      <c r="P318" s="396"/>
      <c r="Q318" s="410"/>
      <c r="R318" s="411"/>
      <c r="S318" s="411"/>
      <c r="T318" s="411"/>
      <c r="AF318" s="352" t="n">
        <f aca="false">EOMONTH(AF317,0)+1</f>
        <v>46113</v>
      </c>
      <c r="AG318" s="311" t="n">
        <v>22</v>
      </c>
      <c r="AH318" s="311" t="n">
        <v>4</v>
      </c>
      <c r="AI318" s="311" t="n">
        <v>4</v>
      </c>
      <c r="AJ318" s="311" t="n">
        <v>0</v>
      </c>
      <c r="AK318" s="311" t="n">
        <v>30</v>
      </c>
      <c r="AL318" s="311"/>
      <c r="AM318" s="336"/>
    </row>
    <row r="319" customFormat="false" ht="12.75" hidden="false" customHeight="false" outlineLevel="0" collapsed="false">
      <c r="A319" s="408"/>
      <c r="B319" s="396"/>
      <c r="C319" s="409"/>
      <c r="D319" s="410"/>
      <c r="E319" s="396"/>
      <c r="F319" s="410"/>
      <c r="G319" s="396"/>
      <c r="H319" s="410"/>
      <c r="I319" s="410"/>
      <c r="J319" s="411"/>
      <c r="K319" s="399"/>
      <c r="L319" s="399"/>
      <c r="M319" s="73"/>
      <c r="N319" s="396"/>
      <c r="O319" s="396"/>
      <c r="P319" s="396"/>
      <c r="Q319" s="410"/>
      <c r="R319" s="411"/>
      <c r="S319" s="411"/>
      <c r="T319" s="411"/>
      <c r="AF319" s="352" t="n">
        <f aca="false">EOMONTH(AF318,0)+1</f>
        <v>46143</v>
      </c>
      <c r="AG319" s="311" t="n">
        <v>22</v>
      </c>
      <c r="AH319" s="311" t="n">
        <v>4</v>
      </c>
      <c r="AI319" s="311" t="n">
        <v>5</v>
      </c>
      <c r="AJ319" s="311" t="n">
        <v>1</v>
      </c>
      <c r="AK319" s="311" t="n">
        <v>31</v>
      </c>
      <c r="AL319" s="311"/>
      <c r="AM319" s="336"/>
    </row>
    <row r="320" customFormat="false" ht="12.75" hidden="false" customHeight="false" outlineLevel="0" collapsed="false">
      <c r="A320" s="408"/>
      <c r="B320" s="396"/>
      <c r="C320" s="409"/>
      <c r="D320" s="410"/>
      <c r="E320" s="396"/>
      <c r="F320" s="410"/>
      <c r="G320" s="396"/>
      <c r="H320" s="410"/>
      <c r="I320" s="410"/>
      <c r="J320" s="411"/>
      <c r="K320" s="399"/>
      <c r="L320" s="399"/>
      <c r="M320" s="73"/>
      <c r="N320" s="396"/>
      <c r="O320" s="396"/>
      <c r="P320" s="396"/>
      <c r="Q320" s="410"/>
      <c r="R320" s="411"/>
      <c r="S320" s="411"/>
      <c r="T320" s="411"/>
      <c r="AF320" s="352" t="n">
        <f aca="false">EOMONTH(AF319,0)+1</f>
        <v>46174</v>
      </c>
      <c r="AG320" s="311" t="n">
        <v>20</v>
      </c>
      <c r="AH320" s="311" t="n">
        <v>5</v>
      </c>
      <c r="AI320" s="311" t="n">
        <v>5</v>
      </c>
      <c r="AJ320" s="311" t="n">
        <v>0</v>
      </c>
      <c r="AK320" s="311" t="n">
        <v>30</v>
      </c>
      <c r="AL320" s="311"/>
      <c r="AM320" s="336"/>
    </row>
    <row r="321" customFormat="false" ht="12.75" hidden="false" customHeight="false" outlineLevel="0" collapsed="false">
      <c r="A321" s="408"/>
      <c r="B321" s="396"/>
      <c r="C321" s="409"/>
      <c r="D321" s="410"/>
      <c r="E321" s="396"/>
      <c r="F321" s="410"/>
      <c r="G321" s="396"/>
      <c r="H321" s="410"/>
      <c r="I321" s="410"/>
      <c r="J321" s="411"/>
      <c r="K321" s="399"/>
      <c r="L321" s="399"/>
      <c r="M321" s="73"/>
      <c r="N321" s="396"/>
      <c r="O321" s="396"/>
      <c r="P321" s="396"/>
      <c r="Q321" s="410"/>
      <c r="R321" s="411"/>
      <c r="S321" s="411"/>
      <c r="T321" s="411"/>
      <c r="AF321" s="352" t="n">
        <f aca="false">EOMONTH(AF320,0)+1</f>
        <v>46204</v>
      </c>
      <c r="AG321" s="311" t="n">
        <v>22</v>
      </c>
      <c r="AH321" s="311" t="n">
        <v>4</v>
      </c>
      <c r="AI321" s="311" t="n">
        <v>5</v>
      </c>
      <c r="AJ321" s="311" t="n">
        <v>1</v>
      </c>
      <c r="AK321" s="311" t="n">
        <v>31</v>
      </c>
      <c r="AL321" s="311"/>
      <c r="AM321" s="336"/>
    </row>
    <row r="322" customFormat="false" ht="12.75" hidden="false" customHeight="false" outlineLevel="0" collapsed="false">
      <c r="A322" s="408"/>
      <c r="B322" s="396"/>
      <c r="C322" s="409"/>
      <c r="D322" s="410"/>
      <c r="E322" s="396"/>
      <c r="F322" s="410"/>
      <c r="G322" s="396"/>
      <c r="H322" s="410"/>
      <c r="I322" s="410"/>
      <c r="J322" s="411"/>
      <c r="K322" s="399"/>
      <c r="L322" s="399"/>
      <c r="M322" s="73"/>
      <c r="N322" s="396"/>
      <c r="O322" s="396"/>
      <c r="P322" s="396"/>
      <c r="Q322" s="410"/>
      <c r="R322" s="411"/>
      <c r="S322" s="411"/>
      <c r="T322" s="411"/>
      <c r="AF322" s="352" t="n">
        <f aca="false">EOMONTH(AF321,0)+1</f>
        <v>46235</v>
      </c>
      <c r="AG322" s="311" t="n">
        <v>22</v>
      </c>
      <c r="AH322" s="311" t="n">
        <v>5</v>
      </c>
      <c r="AI322" s="311" t="n">
        <v>4</v>
      </c>
      <c r="AJ322" s="311" t="n">
        <v>0</v>
      </c>
      <c r="AK322" s="311" t="n">
        <v>31</v>
      </c>
      <c r="AL322" s="311"/>
      <c r="AM322" s="336"/>
    </row>
    <row r="323" customFormat="false" ht="12.75" hidden="false" customHeight="false" outlineLevel="0" collapsed="false">
      <c r="A323" s="408"/>
      <c r="B323" s="396"/>
      <c r="C323" s="409"/>
      <c r="D323" s="410"/>
      <c r="E323" s="396"/>
      <c r="F323" s="410"/>
      <c r="G323" s="396"/>
      <c r="H323" s="410"/>
      <c r="I323" s="410"/>
      <c r="J323" s="411"/>
      <c r="K323" s="399"/>
      <c r="L323" s="399"/>
      <c r="M323" s="73"/>
      <c r="N323" s="396"/>
      <c r="O323" s="396"/>
      <c r="P323" s="396"/>
      <c r="Q323" s="410"/>
      <c r="R323" s="411"/>
      <c r="S323" s="411"/>
      <c r="T323" s="411"/>
      <c r="AF323" s="352" t="n">
        <f aca="false">EOMONTH(AF322,0)+1</f>
        <v>46266</v>
      </c>
      <c r="AG323" s="311" t="n">
        <v>20</v>
      </c>
      <c r="AH323" s="311" t="n">
        <v>4</v>
      </c>
      <c r="AI323" s="311" t="n">
        <v>6</v>
      </c>
      <c r="AJ323" s="311" t="n">
        <v>1</v>
      </c>
      <c r="AK323" s="311" t="n">
        <v>30</v>
      </c>
      <c r="AL323" s="311"/>
      <c r="AM323" s="336"/>
    </row>
    <row r="324" customFormat="false" ht="12.75" hidden="false" customHeight="false" outlineLevel="0" collapsed="false">
      <c r="A324" s="408"/>
      <c r="B324" s="396"/>
      <c r="C324" s="409"/>
      <c r="D324" s="410"/>
      <c r="E324" s="396"/>
      <c r="F324" s="410"/>
      <c r="G324" s="396"/>
      <c r="H324" s="410"/>
      <c r="I324" s="410"/>
      <c r="J324" s="411"/>
      <c r="K324" s="399"/>
      <c r="L324" s="399"/>
      <c r="M324" s="73"/>
      <c r="N324" s="396"/>
      <c r="O324" s="396"/>
      <c r="P324" s="396"/>
      <c r="Q324" s="410"/>
      <c r="R324" s="411"/>
      <c r="S324" s="411"/>
      <c r="T324" s="411"/>
      <c r="AF324" s="352" t="n">
        <f aca="false">EOMONTH(AF323,0)+1</f>
        <v>46296</v>
      </c>
      <c r="AG324" s="311" t="n">
        <v>23</v>
      </c>
      <c r="AH324" s="311" t="n">
        <v>4</v>
      </c>
      <c r="AI324" s="311" t="n">
        <v>4</v>
      </c>
      <c r="AJ324" s="311" t="n">
        <v>0</v>
      </c>
      <c r="AK324" s="311" t="n">
        <v>31</v>
      </c>
      <c r="AL324" s="311"/>
      <c r="AM324" s="336"/>
    </row>
    <row r="325" customFormat="false" ht="12.75" hidden="false" customHeight="false" outlineLevel="0" collapsed="false">
      <c r="A325" s="408"/>
      <c r="B325" s="396"/>
      <c r="C325" s="409"/>
      <c r="D325" s="410"/>
      <c r="E325" s="396"/>
      <c r="F325" s="410"/>
      <c r="G325" s="396"/>
      <c r="H325" s="410"/>
      <c r="I325" s="410"/>
      <c r="J325" s="411"/>
      <c r="K325" s="399"/>
      <c r="L325" s="399"/>
      <c r="M325" s="73"/>
      <c r="N325" s="396"/>
      <c r="O325" s="396"/>
      <c r="P325" s="396"/>
      <c r="Q325" s="410"/>
      <c r="R325" s="411"/>
      <c r="S325" s="411"/>
      <c r="T325" s="411"/>
      <c r="AF325" s="352" t="n">
        <f aca="false">EOMONTH(AF324,0)+1</f>
        <v>46327</v>
      </c>
      <c r="AG325" s="311" t="n">
        <v>20</v>
      </c>
      <c r="AH325" s="311" t="n">
        <v>5</v>
      </c>
      <c r="AI325" s="311" t="n">
        <v>5</v>
      </c>
      <c r="AJ325" s="311" t="n">
        <v>1</v>
      </c>
      <c r="AK325" s="311" t="n">
        <v>30</v>
      </c>
      <c r="AL325" s="311"/>
      <c r="AM325" s="336"/>
    </row>
    <row r="326" customFormat="false" ht="12.75" hidden="false" customHeight="false" outlineLevel="0" collapsed="false">
      <c r="A326" s="408"/>
      <c r="B326" s="396"/>
      <c r="C326" s="409"/>
      <c r="D326" s="410"/>
      <c r="E326" s="396"/>
      <c r="F326" s="410"/>
      <c r="G326" s="396"/>
      <c r="H326" s="410"/>
      <c r="I326" s="410"/>
      <c r="J326" s="411"/>
      <c r="K326" s="399"/>
      <c r="L326" s="399"/>
      <c r="M326" s="73"/>
      <c r="N326" s="396"/>
      <c r="O326" s="396"/>
      <c r="P326" s="396"/>
      <c r="Q326" s="410"/>
      <c r="R326" s="411"/>
      <c r="S326" s="411"/>
      <c r="T326" s="411"/>
      <c r="AF326" s="352" t="n">
        <f aca="false">EOMONTH(AF325,0)+1</f>
        <v>46357</v>
      </c>
      <c r="AG326" s="311" t="n">
        <v>21</v>
      </c>
      <c r="AH326" s="311" t="n">
        <v>4</v>
      </c>
      <c r="AI326" s="311" t="n">
        <v>6</v>
      </c>
      <c r="AJ326" s="311" t="n">
        <v>1</v>
      </c>
      <c r="AK326" s="311" t="n">
        <v>31</v>
      </c>
      <c r="AL326" s="311"/>
      <c r="AM326" s="336"/>
    </row>
    <row r="327" customFormat="false" ht="12.75" hidden="false" customHeight="false" outlineLevel="0" collapsed="false">
      <c r="A327" s="408"/>
      <c r="B327" s="396"/>
      <c r="C327" s="409"/>
      <c r="D327" s="410"/>
      <c r="E327" s="396"/>
      <c r="F327" s="410"/>
      <c r="G327" s="396"/>
      <c r="H327" s="410"/>
      <c r="I327" s="410"/>
      <c r="J327" s="411"/>
      <c r="K327" s="399"/>
      <c r="L327" s="399"/>
      <c r="M327" s="73"/>
      <c r="N327" s="396"/>
      <c r="O327" s="396"/>
      <c r="P327" s="396"/>
      <c r="Q327" s="410"/>
      <c r="R327" s="411"/>
      <c r="S327" s="411"/>
      <c r="T327" s="411"/>
      <c r="AF327" s="352" t="n">
        <f aca="false">EOMONTH(AF326,0)+1</f>
        <v>46388</v>
      </c>
      <c r="AG327" s="311" t="n">
        <v>22</v>
      </c>
      <c r="AH327" s="311" t="n">
        <v>4</v>
      </c>
      <c r="AI327" s="311" t="n">
        <v>5</v>
      </c>
      <c r="AJ327" s="311" t="n">
        <v>1</v>
      </c>
      <c r="AK327" s="311" t="n">
        <v>31</v>
      </c>
      <c r="AL327" s="311"/>
      <c r="AM327" s="336"/>
    </row>
    <row r="328" customFormat="false" ht="12.75" hidden="false" customHeight="false" outlineLevel="0" collapsed="false">
      <c r="A328" s="408"/>
      <c r="B328" s="396"/>
      <c r="C328" s="409"/>
      <c r="D328" s="410"/>
      <c r="E328" s="396"/>
      <c r="F328" s="410"/>
      <c r="G328" s="396"/>
      <c r="H328" s="410"/>
      <c r="I328" s="410"/>
      <c r="J328" s="411"/>
      <c r="K328" s="399"/>
      <c r="L328" s="399"/>
      <c r="M328" s="73"/>
      <c r="N328" s="396"/>
      <c r="O328" s="396"/>
      <c r="P328" s="396"/>
      <c r="Q328" s="410"/>
      <c r="R328" s="411"/>
      <c r="S328" s="411"/>
      <c r="T328" s="411"/>
      <c r="AF328" s="352" t="n">
        <f aca="false">EOMONTH(AF327,0)+1</f>
        <v>46419</v>
      </c>
      <c r="AG328" s="311" t="n">
        <v>20</v>
      </c>
      <c r="AH328" s="311" t="n">
        <v>4</v>
      </c>
      <c r="AI328" s="311" t="n">
        <v>4</v>
      </c>
      <c r="AJ328" s="311" t="n">
        <v>0</v>
      </c>
      <c r="AK328" s="311" t="n">
        <v>28</v>
      </c>
      <c r="AL328" s="311"/>
      <c r="AM328" s="336"/>
    </row>
    <row r="329" customFormat="false" ht="12.75" hidden="false" customHeight="false" outlineLevel="0" collapsed="false">
      <c r="A329" s="408"/>
      <c r="B329" s="396"/>
      <c r="C329" s="409"/>
      <c r="D329" s="410"/>
      <c r="E329" s="396"/>
      <c r="F329" s="410"/>
      <c r="G329" s="396"/>
      <c r="H329" s="410"/>
      <c r="I329" s="410"/>
      <c r="J329" s="411"/>
      <c r="K329" s="399"/>
      <c r="L329" s="399"/>
      <c r="M329" s="73"/>
      <c r="N329" s="396"/>
      <c r="O329" s="396"/>
      <c r="P329" s="396"/>
      <c r="Q329" s="410"/>
      <c r="R329" s="411"/>
      <c r="S329" s="411"/>
      <c r="T329" s="411"/>
      <c r="AF329" s="352" t="n">
        <f aca="false">EOMONTH(AF328,0)+1</f>
        <v>46447</v>
      </c>
      <c r="AG329" s="311" t="n">
        <v>21</v>
      </c>
      <c r="AH329" s="311" t="n">
        <v>5</v>
      </c>
      <c r="AI329" s="311" t="n">
        <v>5</v>
      </c>
      <c r="AJ329" s="311" t="n">
        <v>0</v>
      </c>
      <c r="AK329" s="311" t="n">
        <v>31</v>
      </c>
      <c r="AL329" s="311"/>
      <c r="AM329" s="336"/>
    </row>
    <row r="330" customFormat="false" ht="12.75" hidden="false" customHeight="false" outlineLevel="0" collapsed="false">
      <c r="A330" s="408"/>
      <c r="B330" s="396"/>
      <c r="C330" s="409"/>
      <c r="D330" s="410"/>
      <c r="E330" s="396"/>
      <c r="F330" s="410"/>
      <c r="G330" s="396"/>
      <c r="H330" s="410"/>
      <c r="I330" s="410"/>
      <c r="J330" s="411"/>
      <c r="K330" s="399"/>
      <c r="L330" s="399"/>
      <c r="M330" s="73"/>
      <c r="N330" s="396"/>
      <c r="O330" s="396"/>
      <c r="P330" s="396"/>
      <c r="Q330" s="410"/>
      <c r="R330" s="411"/>
      <c r="S330" s="411"/>
      <c r="T330" s="411"/>
      <c r="AF330" s="352" t="n">
        <f aca="false">EOMONTH(AF329,0)+1</f>
        <v>46478</v>
      </c>
      <c r="AG330" s="311" t="n">
        <v>22</v>
      </c>
      <c r="AH330" s="311" t="n">
        <v>4</v>
      </c>
      <c r="AI330" s="311" t="n">
        <v>4</v>
      </c>
      <c r="AJ330" s="311" t="n">
        <v>0</v>
      </c>
      <c r="AK330" s="311" t="n">
        <v>30</v>
      </c>
      <c r="AL330" s="311"/>
      <c r="AM330" s="336"/>
    </row>
    <row r="331" customFormat="false" ht="12.75" hidden="false" customHeight="false" outlineLevel="0" collapsed="false">
      <c r="A331" s="408"/>
      <c r="B331" s="396"/>
      <c r="C331" s="409"/>
      <c r="D331" s="410"/>
      <c r="E331" s="396"/>
      <c r="F331" s="410"/>
      <c r="G331" s="396"/>
      <c r="H331" s="410"/>
      <c r="I331" s="410"/>
      <c r="J331" s="411"/>
      <c r="K331" s="399"/>
      <c r="L331" s="399"/>
      <c r="M331" s="73"/>
      <c r="N331" s="396"/>
      <c r="O331" s="396"/>
      <c r="P331" s="396"/>
      <c r="Q331" s="410"/>
      <c r="R331" s="411"/>
      <c r="S331" s="411"/>
      <c r="T331" s="411"/>
      <c r="AF331" s="352" t="n">
        <f aca="false">EOMONTH(AF330,0)+1</f>
        <v>46508</v>
      </c>
      <c r="AG331" s="311" t="n">
        <v>22</v>
      </c>
      <c r="AH331" s="311" t="n">
        <v>4</v>
      </c>
      <c r="AI331" s="311" t="n">
        <v>5</v>
      </c>
      <c r="AJ331" s="311" t="n">
        <v>1</v>
      </c>
      <c r="AK331" s="311" t="n">
        <v>31</v>
      </c>
      <c r="AL331" s="311"/>
      <c r="AM331" s="336"/>
    </row>
    <row r="332" customFormat="false" ht="12.75" hidden="false" customHeight="false" outlineLevel="0" collapsed="false">
      <c r="A332" s="408"/>
      <c r="B332" s="396"/>
      <c r="C332" s="409"/>
      <c r="D332" s="410"/>
      <c r="E332" s="396"/>
      <c r="F332" s="410"/>
      <c r="G332" s="396"/>
      <c r="H332" s="410"/>
      <c r="I332" s="410"/>
      <c r="J332" s="411"/>
      <c r="K332" s="399"/>
      <c r="L332" s="399"/>
      <c r="M332" s="73"/>
      <c r="N332" s="396"/>
      <c r="O332" s="396"/>
      <c r="P332" s="396"/>
      <c r="Q332" s="410"/>
      <c r="R332" s="411"/>
      <c r="S332" s="411"/>
      <c r="T332" s="411"/>
      <c r="AF332" s="352" t="n">
        <f aca="false">EOMONTH(AF331,0)+1</f>
        <v>46539</v>
      </c>
      <c r="AG332" s="311" t="n">
        <v>20</v>
      </c>
      <c r="AH332" s="311" t="n">
        <v>5</v>
      </c>
      <c r="AI332" s="311" t="n">
        <v>5</v>
      </c>
      <c r="AJ332" s="311" t="n">
        <v>0</v>
      </c>
      <c r="AK332" s="311" t="n">
        <v>30</v>
      </c>
      <c r="AL332" s="311"/>
      <c r="AM332" s="336"/>
    </row>
    <row r="333" customFormat="false" ht="12.75" hidden="false" customHeight="false" outlineLevel="0" collapsed="false">
      <c r="A333" s="408"/>
      <c r="B333" s="396"/>
      <c r="C333" s="409"/>
      <c r="D333" s="410"/>
      <c r="E333" s="396"/>
      <c r="F333" s="410"/>
      <c r="G333" s="396"/>
      <c r="H333" s="410"/>
      <c r="I333" s="410"/>
      <c r="J333" s="411"/>
      <c r="K333" s="399"/>
      <c r="L333" s="399"/>
      <c r="M333" s="73"/>
      <c r="N333" s="396"/>
      <c r="O333" s="396"/>
      <c r="P333" s="396"/>
      <c r="Q333" s="410"/>
      <c r="R333" s="411"/>
      <c r="S333" s="411"/>
      <c r="T333" s="411"/>
      <c r="AF333" s="352" t="n">
        <f aca="false">EOMONTH(AF332,0)+1</f>
        <v>46569</v>
      </c>
      <c r="AG333" s="311" t="n">
        <v>22</v>
      </c>
      <c r="AH333" s="311" t="n">
        <v>4</v>
      </c>
      <c r="AI333" s="311" t="n">
        <v>5</v>
      </c>
      <c r="AJ333" s="311" t="n">
        <v>1</v>
      </c>
      <c r="AK333" s="311" t="n">
        <v>31</v>
      </c>
      <c r="AL333" s="311"/>
      <c r="AM333" s="336"/>
    </row>
    <row r="334" customFormat="false" ht="12.75" hidden="false" customHeight="false" outlineLevel="0" collapsed="false">
      <c r="A334" s="408"/>
      <c r="B334" s="396"/>
      <c r="C334" s="409"/>
      <c r="D334" s="410"/>
      <c r="E334" s="396"/>
      <c r="F334" s="410"/>
      <c r="G334" s="396"/>
      <c r="H334" s="410"/>
      <c r="I334" s="410"/>
      <c r="J334" s="411"/>
      <c r="K334" s="399"/>
      <c r="L334" s="399"/>
      <c r="M334" s="73"/>
      <c r="N334" s="396"/>
      <c r="O334" s="396"/>
      <c r="P334" s="396"/>
      <c r="Q334" s="410"/>
      <c r="R334" s="411"/>
      <c r="S334" s="411"/>
      <c r="T334" s="411"/>
      <c r="AF334" s="352" t="n">
        <f aca="false">EOMONTH(AF333,0)+1</f>
        <v>46600</v>
      </c>
      <c r="AG334" s="311" t="n">
        <v>22</v>
      </c>
      <c r="AH334" s="311" t="n">
        <v>5</v>
      </c>
      <c r="AI334" s="311" t="n">
        <v>4</v>
      </c>
      <c r="AJ334" s="311" t="n">
        <v>0</v>
      </c>
      <c r="AK334" s="311" t="n">
        <v>31</v>
      </c>
      <c r="AL334" s="311"/>
      <c r="AM334" s="336"/>
    </row>
    <row r="335" customFormat="false" ht="12.75" hidden="false" customHeight="false" outlineLevel="0" collapsed="false">
      <c r="A335" s="408"/>
      <c r="B335" s="396"/>
      <c r="C335" s="409"/>
      <c r="D335" s="410"/>
      <c r="E335" s="396"/>
      <c r="F335" s="410"/>
      <c r="G335" s="396"/>
      <c r="H335" s="410"/>
      <c r="I335" s="410"/>
      <c r="J335" s="411"/>
      <c r="K335" s="399"/>
      <c r="L335" s="399"/>
      <c r="M335" s="73"/>
      <c r="N335" s="396"/>
      <c r="O335" s="396"/>
      <c r="P335" s="396"/>
      <c r="Q335" s="410"/>
      <c r="R335" s="411"/>
      <c r="S335" s="411"/>
      <c r="T335" s="411"/>
      <c r="AF335" s="352" t="n">
        <f aca="false">EOMONTH(AF334,0)+1</f>
        <v>46631</v>
      </c>
      <c r="AG335" s="311" t="n">
        <v>20</v>
      </c>
      <c r="AH335" s="311" t="n">
        <v>4</v>
      </c>
      <c r="AI335" s="311" t="n">
        <v>6</v>
      </c>
      <c r="AJ335" s="311" t="n">
        <v>1</v>
      </c>
      <c r="AK335" s="311" t="n">
        <v>30</v>
      </c>
      <c r="AL335" s="311"/>
      <c r="AM335" s="336"/>
    </row>
    <row r="336" customFormat="false" ht="12.75" hidden="false" customHeight="false" outlineLevel="0" collapsed="false">
      <c r="A336" s="408"/>
      <c r="B336" s="396"/>
      <c r="C336" s="409"/>
      <c r="D336" s="410"/>
      <c r="E336" s="396"/>
      <c r="F336" s="410"/>
      <c r="G336" s="396"/>
      <c r="H336" s="410"/>
      <c r="I336" s="410"/>
      <c r="J336" s="411"/>
      <c r="K336" s="399"/>
      <c r="L336" s="399"/>
      <c r="M336" s="73"/>
      <c r="N336" s="396"/>
      <c r="O336" s="396"/>
      <c r="P336" s="396"/>
      <c r="Q336" s="410"/>
      <c r="R336" s="411"/>
      <c r="S336" s="411"/>
      <c r="T336" s="411"/>
      <c r="AF336" s="352" t="n">
        <f aca="false">EOMONTH(AF335,0)+1</f>
        <v>46661</v>
      </c>
      <c r="AG336" s="311" t="n">
        <v>23</v>
      </c>
      <c r="AH336" s="311" t="n">
        <v>4</v>
      </c>
      <c r="AI336" s="311" t="n">
        <v>4</v>
      </c>
      <c r="AJ336" s="311" t="n">
        <v>0</v>
      </c>
      <c r="AK336" s="311" t="n">
        <v>31</v>
      </c>
      <c r="AL336" s="311"/>
      <c r="AM336" s="336"/>
    </row>
    <row r="337" customFormat="false" ht="12.75" hidden="false" customHeight="false" outlineLevel="0" collapsed="false">
      <c r="A337" s="408"/>
      <c r="B337" s="396"/>
      <c r="C337" s="409"/>
      <c r="D337" s="410"/>
      <c r="E337" s="396"/>
      <c r="F337" s="410"/>
      <c r="G337" s="396"/>
      <c r="H337" s="410"/>
      <c r="I337" s="410"/>
      <c r="J337" s="411"/>
      <c r="K337" s="399"/>
      <c r="L337" s="399"/>
      <c r="M337" s="73"/>
      <c r="N337" s="396"/>
      <c r="O337" s="396"/>
      <c r="P337" s="396"/>
      <c r="Q337" s="410"/>
      <c r="R337" s="411"/>
      <c r="S337" s="411"/>
      <c r="T337" s="411"/>
      <c r="AF337" s="352" t="n">
        <f aca="false">EOMONTH(AF336,0)+1</f>
        <v>46692</v>
      </c>
      <c r="AG337" s="311" t="n">
        <v>20</v>
      </c>
      <c r="AH337" s="311" t="n">
        <v>5</v>
      </c>
      <c r="AI337" s="311" t="n">
        <v>5</v>
      </c>
      <c r="AJ337" s="311" t="n">
        <v>1</v>
      </c>
      <c r="AK337" s="311" t="n">
        <v>30</v>
      </c>
      <c r="AL337" s="311"/>
      <c r="AM337" s="336"/>
    </row>
    <row r="338" customFormat="false" ht="12.75" hidden="false" customHeight="false" outlineLevel="0" collapsed="false">
      <c r="A338" s="408"/>
      <c r="B338" s="396"/>
      <c r="C338" s="409"/>
      <c r="D338" s="410"/>
      <c r="E338" s="396"/>
      <c r="F338" s="410"/>
      <c r="G338" s="396"/>
      <c r="H338" s="410"/>
      <c r="I338" s="410"/>
      <c r="J338" s="411"/>
      <c r="K338" s="399"/>
      <c r="L338" s="399"/>
      <c r="M338" s="73"/>
      <c r="N338" s="396"/>
      <c r="O338" s="396"/>
      <c r="P338" s="396"/>
      <c r="Q338" s="410"/>
      <c r="R338" s="411"/>
      <c r="S338" s="411"/>
      <c r="T338" s="411"/>
      <c r="AF338" s="352" t="n">
        <f aca="false">EOMONTH(AF337,0)+1</f>
        <v>46722</v>
      </c>
      <c r="AG338" s="311" t="n">
        <v>21</v>
      </c>
      <c r="AH338" s="311" t="n">
        <v>4</v>
      </c>
      <c r="AI338" s="311" t="n">
        <v>6</v>
      </c>
      <c r="AJ338" s="311" t="n">
        <v>1</v>
      </c>
      <c r="AK338" s="311" t="n">
        <v>31</v>
      </c>
      <c r="AL338" s="311"/>
      <c r="AM338" s="336"/>
    </row>
    <row r="339" customFormat="false" ht="12.75" hidden="false" customHeight="false" outlineLevel="0" collapsed="false">
      <c r="A339" s="408"/>
      <c r="B339" s="396"/>
      <c r="C339" s="409"/>
      <c r="D339" s="410"/>
      <c r="E339" s="396"/>
      <c r="F339" s="410"/>
      <c r="G339" s="396"/>
      <c r="H339" s="410"/>
      <c r="I339" s="410"/>
      <c r="J339" s="411"/>
      <c r="K339" s="399"/>
      <c r="L339" s="399"/>
      <c r="M339" s="73"/>
      <c r="N339" s="396"/>
      <c r="O339" s="396"/>
      <c r="P339" s="396"/>
      <c r="Q339" s="410"/>
      <c r="R339" s="411"/>
      <c r="S339" s="411"/>
      <c r="T339" s="411"/>
      <c r="AF339" s="352" t="n">
        <f aca="false">EOMONTH(AF338,0)+1</f>
        <v>46753</v>
      </c>
      <c r="AG339" s="311" t="n">
        <v>22</v>
      </c>
      <c r="AH339" s="311" t="n">
        <v>4</v>
      </c>
      <c r="AI339" s="311" t="n">
        <v>5</v>
      </c>
      <c r="AJ339" s="311" t="n">
        <v>1</v>
      </c>
      <c r="AK339" s="311" t="n">
        <v>31</v>
      </c>
      <c r="AL339" s="311"/>
      <c r="AM339" s="336"/>
    </row>
    <row r="340" customFormat="false" ht="12.75" hidden="false" customHeight="false" outlineLevel="0" collapsed="false">
      <c r="A340" s="408"/>
      <c r="B340" s="396"/>
      <c r="C340" s="409"/>
      <c r="D340" s="410"/>
      <c r="E340" s="396"/>
      <c r="F340" s="410"/>
      <c r="G340" s="396"/>
      <c r="H340" s="410"/>
      <c r="I340" s="410"/>
      <c r="J340" s="411"/>
      <c r="K340" s="399"/>
      <c r="L340" s="399"/>
      <c r="M340" s="73"/>
      <c r="N340" s="396"/>
      <c r="O340" s="396"/>
      <c r="P340" s="396"/>
      <c r="Q340" s="410"/>
      <c r="R340" s="411"/>
      <c r="S340" s="411"/>
      <c r="T340" s="411"/>
      <c r="AF340" s="352" t="n">
        <f aca="false">EOMONTH(AF339,0)+1</f>
        <v>46784</v>
      </c>
      <c r="AG340" s="311" t="n">
        <v>20</v>
      </c>
      <c r="AH340" s="311" t="n">
        <v>5</v>
      </c>
      <c r="AI340" s="311" t="n">
        <v>4</v>
      </c>
      <c r="AJ340" s="311" t="n">
        <v>0</v>
      </c>
      <c r="AK340" s="311" t="n">
        <v>29</v>
      </c>
      <c r="AL340" s="311"/>
      <c r="AM340" s="336"/>
    </row>
    <row r="341" customFormat="false" ht="12.75" hidden="false" customHeight="false" outlineLevel="0" collapsed="false">
      <c r="A341" s="408"/>
      <c r="B341" s="396"/>
      <c r="C341" s="409"/>
      <c r="D341" s="410"/>
      <c r="E341" s="396"/>
      <c r="F341" s="410"/>
      <c r="G341" s="396"/>
      <c r="H341" s="410"/>
      <c r="I341" s="410"/>
      <c r="J341" s="411"/>
      <c r="K341" s="399"/>
      <c r="L341" s="399"/>
      <c r="M341" s="73"/>
      <c r="N341" s="396"/>
      <c r="O341" s="396"/>
      <c r="P341" s="396"/>
      <c r="Q341" s="410"/>
      <c r="R341" s="411"/>
      <c r="S341" s="411"/>
      <c r="T341" s="411"/>
      <c r="AF341" s="352" t="n">
        <f aca="false">EOMONTH(AF340,0)+1</f>
        <v>46813</v>
      </c>
      <c r="AG341" s="311" t="n">
        <v>22</v>
      </c>
      <c r="AH341" s="311" t="n">
        <v>4</v>
      </c>
      <c r="AI341" s="311" t="n">
        <v>5</v>
      </c>
      <c r="AJ341" s="311" t="n">
        <v>0</v>
      </c>
      <c r="AK341" s="311" t="n">
        <v>31</v>
      </c>
      <c r="AL341" s="311"/>
      <c r="AM341" s="336"/>
    </row>
    <row r="342" customFormat="false" ht="12.75" hidden="false" customHeight="false" outlineLevel="0" collapsed="false">
      <c r="A342" s="408"/>
      <c r="B342" s="396"/>
      <c r="C342" s="409"/>
      <c r="D342" s="410"/>
      <c r="E342" s="396"/>
      <c r="F342" s="410"/>
      <c r="G342" s="396"/>
      <c r="H342" s="410"/>
      <c r="I342" s="410"/>
      <c r="J342" s="411"/>
      <c r="K342" s="399"/>
      <c r="L342" s="399"/>
      <c r="M342" s="73"/>
      <c r="N342" s="396"/>
      <c r="O342" s="396"/>
      <c r="P342" s="396"/>
      <c r="Q342" s="410"/>
      <c r="R342" s="411"/>
      <c r="S342" s="411"/>
      <c r="T342" s="411"/>
      <c r="AF342" s="352" t="n">
        <f aca="false">EOMONTH(AF341,0)+1</f>
        <v>46844</v>
      </c>
      <c r="AG342" s="311" t="n">
        <v>22</v>
      </c>
      <c r="AH342" s="311" t="n">
        <v>4</v>
      </c>
      <c r="AI342" s="311" t="n">
        <v>4</v>
      </c>
      <c r="AJ342" s="311" t="n">
        <v>0</v>
      </c>
      <c r="AK342" s="311" t="n">
        <v>30</v>
      </c>
      <c r="AL342" s="311"/>
      <c r="AM342" s="336"/>
    </row>
    <row r="343" customFormat="false" ht="12.75" hidden="false" customHeight="false" outlineLevel="0" collapsed="false">
      <c r="A343" s="408"/>
      <c r="B343" s="396"/>
      <c r="C343" s="409"/>
      <c r="D343" s="410"/>
      <c r="E343" s="396"/>
      <c r="F343" s="410"/>
      <c r="G343" s="396"/>
      <c r="H343" s="410"/>
      <c r="I343" s="410"/>
      <c r="J343" s="411"/>
      <c r="K343" s="399"/>
      <c r="L343" s="399"/>
      <c r="M343" s="73"/>
      <c r="N343" s="396"/>
      <c r="O343" s="396"/>
      <c r="P343" s="396"/>
      <c r="Q343" s="410"/>
      <c r="R343" s="411"/>
      <c r="S343" s="411"/>
      <c r="T343" s="411"/>
      <c r="AF343" s="352" t="n">
        <f aca="false">EOMONTH(AF342,0)+1</f>
        <v>46874</v>
      </c>
      <c r="AG343" s="311" t="n">
        <v>20</v>
      </c>
      <c r="AH343" s="311" t="n">
        <v>5</v>
      </c>
      <c r="AI343" s="311" t="n">
        <v>6</v>
      </c>
      <c r="AJ343" s="311" t="n">
        <v>1</v>
      </c>
      <c r="AK343" s="311" t="n">
        <v>31</v>
      </c>
      <c r="AL343" s="311"/>
      <c r="AM343" s="336"/>
    </row>
    <row r="344" customFormat="false" ht="12.75" hidden="false" customHeight="false" outlineLevel="0" collapsed="false">
      <c r="A344" s="408"/>
      <c r="B344" s="396"/>
      <c r="C344" s="409"/>
      <c r="D344" s="410"/>
      <c r="E344" s="396"/>
      <c r="F344" s="410"/>
      <c r="G344" s="396"/>
      <c r="H344" s="410"/>
      <c r="I344" s="410"/>
      <c r="J344" s="411"/>
      <c r="K344" s="399"/>
      <c r="L344" s="399"/>
      <c r="M344" s="73"/>
      <c r="N344" s="396"/>
      <c r="O344" s="396"/>
      <c r="P344" s="396"/>
      <c r="Q344" s="410"/>
      <c r="R344" s="411"/>
      <c r="S344" s="411"/>
      <c r="T344" s="411"/>
      <c r="AF344" s="352" t="n">
        <f aca="false">EOMONTH(AF343,0)+1</f>
        <v>46905</v>
      </c>
      <c r="AG344" s="311" t="n">
        <v>22</v>
      </c>
      <c r="AH344" s="311" t="n">
        <v>4</v>
      </c>
      <c r="AI344" s="311" t="n">
        <v>4</v>
      </c>
      <c r="AJ344" s="311" t="n">
        <v>0</v>
      </c>
      <c r="AK344" s="311" t="n">
        <v>30</v>
      </c>
      <c r="AL344" s="311"/>
      <c r="AM344" s="336"/>
    </row>
    <row r="345" customFormat="false" ht="12.75" hidden="false" customHeight="false" outlineLevel="0" collapsed="false">
      <c r="A345" s="408"/>
      <c r="B345" s="396"/>
      <c r="C345" s="409"/>
      <c r="D345" s="410"/>
      <c r="E345" s="396"/>
      <c r="F345" s="410"/>
      <c r="G345" s="396"/>
      <c r="H345" s="410"/>
      <c r="I345" s="410"/>
      <c r="J345" s="411"/>
      <c r="K345" s="399"/>
      <c r="L345" s="399"/>
      <c r="M345" s="73"/>
      <c r="N345" s="396"/>
      <c r="O345" s="396"/>
      <c r="P345" s="396"/>
      <c r="Q345" s="410"/>
      <c r="R345" s="411"/>
      <c r="S345" s="411"/>
      <c r="T345" s="411"/>
      <c r="AF345" s="352" t="n">
        <f aca="false">EOMONTH(AF344,0)+1</f>
        <v>46935</v>
      </c>
      <c r="AG345" s="311" t="n">
        <v>23</v>
      </c>
      <c r="AH345" s="311" t="n">
        <v>3</v>
      </c>
      <c r="AI345" s="311" t="n">
        <v>5</v>
      </c>
      <c r="AJ345" s="311" t="n">
        <v>1</v>
      </c>
      <c r="AK345" s="311" t="n">
        <v>31</v>
      </c>
      <c r="AL345" s="311"/>
      <c r="AM345" s="336"/>
    </row>
    <row r="346" customFormat="false" ht="12.75" hidden="false" customHeight="false" outlineLevel="0" collapsed="false">
      <c r="A346" s="408"/>
      <c r="B346" s="396"/>
      <c r="C346" s="409"/>
      <c r="D346" s="410"/>
      <c r="E346" s="396"/>
      <c r="F346" s="410"/>
      <c r="G346" s="396"/>
      <c r="H346" s="410"/>
      <c r="I346" s="410"/>
      <c r="J346" s="411"/>
      <c r="K346" s="399"/>
      <c r="L346" s="399"/>
      <c r="M346" s="73"/>
      <c r="N346" s="396"/>
      <c r="O346" s="396"/>
      <c r="P346" s="396"/>
      <c r="Q346" s="410"/>
      <c r="R346" s="411"/>
      <c r="S346" s="411"/>
      <c r="T346" s="411"/>
      <c r="AF346" s="352" t="n">
        <f aca="false">EOMONTH(AF345,0)+1</f>
        <v>46966</v>
      </c>
      <c r="AG346" s="311" t="n">
        <v>21</v>
      </c>
      <c r="AH346" s="311" t="n">
        <v>5</v>
      </c>
      <c r="AI346" s="311" t="n">
        <v>5</v>
      </c>
      <c r="AJ346" s="311" t="n">
        <v>0</v>
      </c>
      <c r="AK346" s="311" t="n">
        <v>31</v>
      </c>
      <c r="AL346" s="311"/>
      <c r="AM346" s="336"/>
    </row>
    <row r="347" customFormat="false" ht="12.75" hidden="false" customHeight="false" outlineLevel="0" collapsed="false">
      <c r="A347" s="408"/>
      <c r="B347" s="396"/>
      <c r="C347" s="409"/>
      <c r="D347" s="410"/>
      <c r="E347" s="396"/>
      <c r="F347" s="410"/>
      <c r="G347" s="396"/>
      <c r="H347" s="410"/>
      <c r="I347" s="410"/>
      <c r="J347" s="411"/>
      <c r="K347" s="399"/>
      <c r="L347" s="399"/>
      <c r="M347" s="73"/>
      <c r="N347" s="396"/>
      <c r="O347" s="396"/>
      <c r="P347" s="396"/>
      <c r="Q347" s="410"/>
      <c r="R347" s="411"/>
      <c r="S347" s="411"/>
      <c r="T347" s="411"/>
      <c r="AF347" s="352" t="n">
        <f aca="false">EOMONTH(AF346,0)+1</f>
        <v>46997</v>
      </c>
      <c r="AG347" s="311" t="n">
        <v>21</v>
      </c>
      <c r="AH347" s="311" t="n">
        <v>4</v>
      </c>
      <c r="AI347" s="311" t="n">
        <v>5</v>
      </c>
      <c r="AJ347" s="311" t="n">
        <v>1</v>
      </c>
      <c r="AK347" s="311" t="n">
        <v>30</v>
      </c>
      <c r="AL347" s="311"/>
      <c r="AM347" s="336"/>
    </row>
    <row r="348" customFormat="false" ht="12.75" hidden="false" customHeight="false" outlineLevel="0" collapsed="false">
      <c r="A348" s="408"/>
      <c r="B348" s="396"/>
      <c r="C348" s="409"/>
      <c r="D348" s="410"/>
      <c r="E348" s="396"/>
      <c r="F348" s="410"/>
      <c r="G348" s="396"/>
      <c r="H348" s="410"/>
      <c r="I348" s="410"/>
      <c r="J348" s="411"/>
      <c r="K348" s="399"/>
      <c r="L348" s="399"/>
      <c r="M348" s="73"/>
      <c r="N348" s="396"/>
      <c r="O348" s="396"/>
      <c r="P348" s="396"/>
      <c r="Q348" s="410"/>
      <c r="R348" s="411"/>
      <c r="S348" s="411"/>
      <c r="T348" s="411"/>
      <c r="AF348" s="352" t="n">
        <f aca="false">EOMONTH(AF347,0)+1</f>
        <v>47027</v>
      </c>
      <c r="AG348" s="311" t="n">
        <v>22</v>
      </c>
      <c r="AH348" s="311" t="n">
        <v>5</v>
      </c>
      <c r="AI348" s="311" t="n">
        <v>4</v>
      </c>
      <c r="AJ348" s="311" t="n">
        <v>0</v>
      </c>
      <c r="AK348" s="311" t="n">
        <v>31</v>
      </c>
      <c r="AL348" s="311"/>
      <c r="AM348" s="336"/>
    </row>
    <row r="349" customFormat="false" ht="12.75" hidden="false" customHeight="false" outlineLevel="0" collapsed="false">
      <c r="A349" s="408"/>
      <c r="B349" s="396"/>
      <c r="C349" s="409"/>
      <c r="D349" s="410"/>
      <c r="E349" s="396"/>
      <c r="F349" s="410"/>
      <c r="G349" s="396"/>
      <c r="H349" s="410"/>
      <c r="I349" s="410"/>
      <c r="J349" s="411"/>
      <c r="K349" s="399"/>
      <c r="L349" s="399"/>
      <c r="M349" s="73"/>
      <c r="N349" s="396"/>
      <c r="O349" s="396"/>
      <c r="P349" s="396"/>
      <c r="Q349" s="410"/>
      <c r="R349" s="411"/>
      <c r="S349" s="411"/>
      <c r="T349" s="411"/>
      <c r="AF349" s="352" t="n">
        <f aca="false">EOMONTH(AF348,0)+1</f>
        <v>47058</v>
      </c>
      <c r="AG349" s="311" t="n">
        <v>20</v>
      </c>
      <c r="AH349" s="311" t="n">
        <v>4</v>
      </c>
      <c r="AI349" s="311" t="n">
        <v>6</v>
      </c>
      <c r="AJ349" s="311" t="n">
        <v>1</v>
      </c>
      <c r="AK349" s="311" t="n">
        <v>30</v>
      </c>
      <c r="AL349" s="311"/>
      <c r="AM349" s="336"/>
    </row>
    <row r="350" customFormat="false" ht="12.75" hidden="false" customHeight="false" outlineLevel="0" collapsed="false">
      <c r="A350" s="408"/>
      <c r="B350" s="396"/>
      <c r="C350" s="409"/>
      <c r="D350" s="410"/>
      <c r="E350" s="396"/>
      <c r="F350" s="410"/>
      <c r="G350" s="396"/>
      <c r="H350" s="410"/>
      <c r="I350" s="410"/>
      <c r="J350" s="411"/>
      <c r="K350" s="399"/>
      <c r="L350" s="399"/>
      <c r="M350" s="73"/>
      <c r="N350" s="396"/>
      <c r="O350" s="396"/>
      <c r="P350" s="396"/>
      <c r="Q350" s="410"/>
      <c r="R350" s="411"/>
      <c r="S350" s="411"/>
      <c r="T350" s="411"/>
      <c r="AF350" s="352" t="n">
        <f aca="false">EOMONTH(AF349,0)+1</f>
        <v>47088</v>
      </c>
      <c r="AG350" s="311" t="n">
        <v>22</v>
      </c>
      <c r="AH350" s="311" t="n">
        <v>4</v>
      </c>
      <c r="AI350" s="311" t="n">
        <v>5</v>
      </c>
      <c r="AJ350" s="311" t="n">
        <v>1</v>
      </c>
      <c r="AK350" s="311" t="n">
        <v>31</v>
      </c>
      <c r="AL350" s="311"/>
      <c r="AM350" s="336"/>
    </row>
    <row r="351" customFormat="false" ht="12.75" hidden="false" customHeight="false" outlineLevel="0" collapsed="false">
      <c r="A351" s="408"/>
      <c r="B351" s="396"/>
      <c r="C351" s="409"/>
      <c r="D351" s="410"/>
      <c r="E351" s="396"/>
      <c r="F351" s="410"/>
      <c r="G351" s="396"/>
      <c r="H351" s="410"/>
      <c r="I351" s="410"/>
      <c r="J351" s="411"/>
      <c r="K351" s="399"/>
      <c r="L351" s="399"/>
      <c r="M351" s="73"/>
      <c r="N351" s="396"/>
      <c r="O351" s="396"/>
      <c r="P351" s="396"/>
      <c r="Q351" s="410"/>
      <c r="R351" s="411"/>
      <c r="S351" s="411"/>
      <c r="T351" s="411"/>
      <c r="AF351" s="352" t="n">
        <f aca="false">EOMONTH(AF350,0)+1</f>
        <v>47119</v>
      </c>
      <c r="AG351" s="311" t="n">
        <v>22</v>
      </c>
      <c r="AH351" s="311" t="n">
        <v>4</v>
      </c>
      <c r="AI351" s="311" t="n">
        <v>5</v>
      </c>
      <c r="AJ351" s="311" t="n">
        <v>1</v>
      </c>
      <c r="AK351" s="311" t="n">
        <v>31</v>
      </c>
      <c r="AL351" s="311"/>
      <c r="AM351" s="336"/>
    </row>
    <row r="352" customFormat="false" ht="12.75" hidden="false" customHeight="false" outlineLevel="0" collapsed="false">
      <c r="A352" s="408"/>
      <c r="B352" s="396"/>
      <c r="C352" s="409"/>
      <c r="D352" s="410"/>
      <c r="E352" s="396"/>
      <c r="F352" s="410"/>
      <c r="G352" s="396"/>
      <c r="H352" s="410"/>
      <c r="I352" s="410"/>
      <c r="J352" s="411"/>
      <c r="K352" s="399"/>
      <c r="L352" s="399"/>
      <c r="M352" s="73"/>
      <c r="N352" s="396"/>
      <c r="O352" s="396"/>
      <c r="P352" s="396"/>
      <c r="Q352" s="410"/>
      <c r="R352" s="411"/>
      <c r="S352" s="411"/>
      <c r="T352" s="411"/>
      <c r="AF352" s="352" t="n">
        <f aca="false">EOMONTH(AF351,0)+1</f>
        <v>47150</v>
      </c>
      <c r="AG352" s="311" t="n">
        <v>20</v>
      </c>
      <c r="AH352" s="311" t="n">
        <v>4</v>
      </c>
      <c r="AI352" s="311" t="n">
        <v>4</v>
      </c>
      <c r="AJ352" s="311" t="n">
        <v>0</v>
      </c>
      <c r="AK352" s="311" t="n">
        <v>28</v>
      </c>
      <c r="AL352" s="311"/>
      <c r="AM352" s="336"/>
    </row>
    <row r="353" customFormat="false" ht="12.75" hidden="false" customHeight="false" outlineLevel="0" collapsed="false">
      <c r="A353" s="408"/>
      <c r="B353" s="396"/>
      <c r="C353" s="409"/>
      <c r="D353" s="410"/>
      <c r="E353" s="396"/>
      <c r="F353" s="410"/>
      <c r="G353" s="396"/>
      <c r="H353" s="410"/>
      <c r="I353" s="410"/>
      <c r="J353" s="411"/>
      <c r="K353" s="399"/>
      <c r="L353" s="399"/>
      <c r="M353" s="73"/>
      <c r="N353" s="396"/>
      <c r="O353" s="396"/>
      <c r="P353" s="396"/>
      <c r="Q353" s="410"/>
      <c r="R353" s="411"/>
      <c r="S353" s="411"/>
      <c r="T353" s="411"/>
      <c r="AF353" s="352" t="n">
        <f aca="false">EOMONTH(AF352,0)+1</f>
        <v>47178</v>
      </c>
      <c r="AG353" s="311" t="n">
        <v>21</v>
      </c>
      <c r="AH353" s="311" t="n">
        <v>5</v>
      </c>
      <c r="AI353" s="311" t="n">
        <v>5</v>
      </c>
      <c r="AJ353" s="311" t="n">
        <v>0</v>
      </c>
      <c r="AK353" s="311" t="n">
        <v>31</v>
      </c>
      <c r="AL353" s="311"/>
      <c r="AM353" s="336"/>
    </row>
    <row r="354" customFormat="false" ht="12.75" hidden="false" customHeight="false" outlineLevel="0" collapsed="false">
      <c r="A354" s="408"/>
      <c r="B354" s="396"/>
      <c r="C354" s="409"/>
      <c r="D354" s="410"/>
      <c r="E354" s="396"/>
      <c r="F354" s="410"/>
      <c r="G354" s="396"/>
      <c r="H354" s="410"/>
      <c r="I354" s="410"/>
      <c r="J354" s="411"/>
      <c r="K354" s="399"/>
      <c r="L354" s="399"/>
      <c r="M354" s="73"/>
      <c r="N354" s="396"/>
      <c r="O354" s="396"/>
      <c r="P354" s="396"/>
      <c r="Q354" s="410"/>
      <c r="R354" s="411"/>
      <c r="S354" s="411"/>
      <c r="T354" s="411"/>
      <c r="AF354" s="352" t="n">
        <f aca="false">EOMONTH(AF353,0)+1</f>
        <v>47209</v>
      </c>
      <c r="AG354" s="311" t="n">
        <v>22</v>
      </c>
      <c r="AH354" s="311" t="n">
        <v>4</v>
      </c>
      <c r="AI354" s="311" t="n">
        <v>4</v>
      </c>
      <c r="AJ354" s="311" t="n">
        <v>0</v>
      </c>
      <c r="AK354" s="311" t="n">
        <v>30</v>
      </c>
      <c r="AL354" s="311"/>
      <c r="AM354" s="336"/>
    </row>
    <row r="355" customFormat="false" ht="12.75" hidden="false" customHeight="false" outlineLevel="0" collapsed="false">
      <c r="A355" s="408"/>
      <c r="B355" s="396"/>
      <c r="C355" s="409"/>
      <c r="D355" s="410"/>
      <c r="E355" s="396"/>
      <c r="F355" s="410"/>
      <c r="G355" s="396"/>
      <c r="H355" s="410"/>
      <c r="I355" s="410"/>
      <c r="J355" s="411"/>
      <c r="K355" s="399"/>
      <c r="L355" s="399"/>
      <c r="M355" s="73"/>
      <c r="N355" s="396"/>
      <c r="O355" s="396"/>
      <c r="P355" s="396"/>
      <c r="Q355" s="410"/>
      <c r="R355" s="411"/>
      <c r="S355" s="411"/>
      <c r="T355" s="411"/>
      <c r="AF355" s="352" t="n">
        <f aca="false">EOMONTH(AF354,0)+1</f>
        <v>47239</v>
      </c>
      <c r="AG355" s="311" t="n">
        <v>22</v>
      </c>
      <c r="AH355" s="311" t="n">
        <v>4</v>
      </c>
      <c r="AI355" s="311" t="n">
        <v>5</v>
      </c>
      <c r="AJ355" s="311" t="n">
        <v>1</v>
      </c>
      <c r="AK355" s="311" t="n">
        <v>31</v>
      </c>
      <c r="AL355" s="311"/>
      <c r="AM355" s="336"/>
    </row>
    <row r="356" customFormat="false" ht="12.75" hidden="false" customHeight="false" outlineLevel="0" collapsed="false">
      <c r="A356" s="408"/>
      <c r="B356" s="396"/>
      <c r="C356" s="409"/>
      <c r="D356" s="410"/>
      <c r="E356" s="396"/>
      <c r="F356" s="410"/>
      <c r="G356" s="396"/>
      <c r="H356" s="410"/>
      <c r="I356" s="410"/>
      <c r="J356" s="411"/>
      <c r="K356" s="399"/>
      <c r="L356" s="399"/>
      <c r="M356" s="73"/>
      <c r="N356" s="396"/>
      <c r="O356" s="396"/>
      <c r="P356" s="396"/>
      <c r="Q356" s="410"/>
      <c r="R356" s="411"/>
      <c r="S356" s="411"/>
      <c r="T356" s="411"/>
      <c r="AF356" s="352" t="n">
        <f aca="false">EOMONTH(AF355,0)+1</f>
        <v>47270</v>
      </c>
      <c r="AG356" s="311" t="n">
        <v>20</v>
      </c>
      <c r="AH356" s="311" t="n">
        <v>5</v>
      </c>
      <c r="AI356" s="311" t="n">
        <v>5</v>
      </c>
      <c r="AJ356" s="311" t="n">
        <v>0</v>
      </c>
      <c r="AK356" s="311" t="n">
        <v>30</v>
      </c>
      <c r="AL356" s="311"/>
      <c r="AM356" s="336"/>
    </row>
    <row r="357" customFormat="false" ht="12.75" hidden="false" customHeight="false" outlineLevel="0" collapsed="false">
      <c r="A357" s="408"/>
      <c r="B357" s="396"/>
      <c r="C357" s="409"/>
      <c r="D357" s="410"/>
      <c r="E357" s="396"/>
      <c r="F357" s="410"/>
      <c r="G357" s="396"/>
      <c r="H357" s="410"/>
      <c r="I357" s="410"/>
      <c r="J357" s="411"/>
      <c r="K357" s="399"/>
      <c r="L357" s="399"/>
      <c r="M357" s="73"/>
      <c r="N357" s="396"/>
      <c r="O357" s="396"/>
      <c r="P357" s="396"/>
      <c r="Q357" s="410"/>
      <c r="R357" s="411"/>
      <c r="S357" s="411"/>
      <c r="T357" s="411"/>
      <c r="AF357" s="352" t="n">
        <f aca="false">EOMONTH(AF356,0)+1</f>
        <v>47300</v>
      </c>
      <c r="AG357" s="311" t="n">
        <v>22</v>
      </c>
      <c r="AH357" s="311" t="n">
        <v>4</v>
      </c>
      <c r="AI357" s="311" t="n">
        <v>5</v>
      </c>
      <c r="AJ357" s="311" t="n">
        <v>1</v>
      </c>
      <c r="AK357" s="311" t="n">
        <v>31</v>
      </c>
      <c r="AL357" s="311"/>
      <c r="AM357" s="336"/>
    </row>
    <row r="358" customFormat="false" ht="12.75" hidden="false" customHeight="false" outlineLevel="0" collapsed="false">
      <c r="A358" s="408"/>
      <c r="B358" s="396"/>
      <c r="C358" s="409"/>
      <c r="D358" s="410"/>
      <c r="E358" s="396"/>
      <c r="F358" s="410"/>
      <c r="G358" s="396"/>
      <c r="H358" s="410"/>
      <c r="I358" s="410"/>
      <c r="J358" s="411"/>
      <c r="K358" s="399"/>
      <c r="L358" s="399"/>
      <c r="M358" s="73"/>
      <c r="N358" s="396"/>
      <c r="O358" s="396"/>
      <c r="P358" s="396"/>
      <c r="Q358" s="410"/>
      <c r="R358" s="411"/>
      <c r="S358" s="411"/>
      <c r="T358" s="411"/>
      <c r="AF358" s="352" t="n">
        <f aca="false">EOMONTH(AF357,0)+1</f>
        <v>47331</v>
      </c>
      <c r="AG358" s="311" t="n">
        <v>22</v>
      </c>
      <c r="AH358" s="311" t="n">
        <v>5</v>
      </c>
      <c r="AI358" s="311" t="n">
        <v>4</v>
      </c>
      <c r="AJ358" s="311" t="n">
        <v>0</v>
      </c>
      <c r="AK358" s="311" t="n">
        <v>31</v>
      </c>
      <c r="AL358" s="311"/>
      <c r="AM358" s="336"/>
    </row>
    <row r="359" customFormat="false" ht="12.75" hidden="false" customHeight="false" outlineLevel="0" collapsed="false">
      <c r="A359" s="408"/>
      <c r="B359" s="396"/>
      <c r="C359" s="409"/>
      <c r="D359" s="410"/>
      <c r="E359" s="396"/>
      <c r="F359" s="410"/>
      <c r="G359" s="396"/>
      <c r="H359" s="410"/>
      <c r="I359" s="410"/>
      <c r="J359" s="411"/>
      <c r="K359" s="399"/>
      <c r="L359" s="399"/>
      <c r="M359" s="73"/>
      <c r="N359" s="396"/>
      <c r="O359" s="396"/>
      <c r="P359" s="396"/>
      <c r="Q359" s="410"/>
      <c r="R359" s="411"/>
      <c r="S359" s="411"/>
      <c r="T359" s="411"/>
      <c r="AF359" s="352" t="n">
        <f aca="false">EOMONTH(AF358,0)+1</f>
        <v>47362</v>
      </c>
      <c r="AG359" s="311" t="n">
        <v>20</v>
      </c>
      <c r="AH359" s="311" t="n">
        <v>4</v>
      </c>
      <c r="AI359" s="311" t="n">
        <v>6</v>
      </c>
      <c r="AJ359" s="311" t="n">
        <v>1</v>
      </c>
      <c r="AK359" s="311" t="n">
        <v>30</v>
      </c>
      <c r="AL359" s="311"/>
      <c r="AM359" s="336"/>
    </row>
    <row r="360" customFormat="false" ht="12.75" hidden="false" customHeight="false" outlineLevel="0" collapsed="false">
      <c r="A360" s="408"/>
      <c r="B360" s="396"/>
      <c r="C360" s="409"/>
      <c r="D360" s="410"/>
      <c r="E360" s="396"/>
      <c r="F360" s="410"/>
      <c r="G360" s="396"/>
      <c r="H360" s="410"/>
      <c r="I360" s="410"/>
      <c r="J360" s="411"/>
      <c r="K360" s="399"/>
      <c r="L360" s="399"/>
      <c r="M360" s="73"/>
      <c r="N360" s="396"/>
      <c r="O360" s="396"/>
      <c r="P360" s="396"/>
      <c r="Q360" s="410"/>
      <c r="R360" s="411"/>
      <c r="S360" s="411"/>
      <c r="T360" s="411"/>
      <c r="AF360" s="352" t="n">
        <f aca="false">EOMONTH(AF359,0)+1</f>
        <v>47392</v>
      </c>
      <c r="AG360" s="311" t="n">
        <v>23</v>
      </c>
      <c r="AH360" s="311" t="n">
        <v>4</v>
      </c>
      <c r="AI360" s="311" t="n">
        <v>4</v>
      </c>
      <c r="AJ360" s="311" t="n">
        <v>0</v>
      </c>
      <c r="AK360" s="311" t="n">
        <v>31</v>
      </c>
      <c r="AL360" s="311"/>
      <c r="AM360" s="336"/>
    </row>
    <row r="361" customFormat="false" ht="12.75" hidden="false" customHeight="false" outlineLevel="0" collapsed="false">
      <c r="A361" s="408"/>
      <c r="B361" s="396"/>
      <c r="C361" s="409"/>
      <c r="D361" s="410"/>
      <c r="E361" s="396"/>
      <c r="F361" s="410"/>
      <c r="G361" s="396"/>
      <c r="H361" s="410"/>
      <c r="I361" s="410"/>
      <c r="J361" s="411"/>
      <c r="K361" s="399"/>
      <c r="L361" s="399"/>
      <c r="M361" s="73"/>
      <c r="N361" s="396"/>
      <c r="O361" s="396"/>
      <c r="P361" s="396"/>
      <c r="Q361" s="410"/>
      <c r="R361" s="411"/>
      <c r="S361" s="411"/>
      <c r="T361" s="411"/>
      <c r="AF361" s="352" t="n">
        <f aca="false">EOMONTH(AF360,0)+1</f>
        <v>47423</v>
      </c>
      <c r="AG361" s="311" t="n">
        <v>20</v>
      </c>
      <c r="AH361" s="311" t="n">
        <v>5</v>
      </c>
      <c r="AI361" s="311" t="n">
        <v>5</v>
      </c>
      <c r="AJ361" s="311" t="n">
        <v>1</v>
      </c>
      <c r="AK361" s="311" t="n">
        <v>30</v>
      </c>
      <c r="AL361" s="311"/>
      <c r="AM361" s="336"/>
    </row>
    <row r="362" customFormat="false" ht="12.75" hidden="false" customHeight="false" outlineLevel="0" collapsed="false">
      <c r="A362" s="408"/>
      <c r="B362" s="396"/>
      <c r="C362" s="409"/>
      <c r="D362" s="410"/>
      <c r="E362" s="396"/>
      <c r="F362" s="410"/>
      <c r="G362" s="396"/>
      <c r="H362" s="410"/>
      <c r="I362" s="410"/>
      <c r="J362" s="411"/>
      <c r="K362" s="399"/>
      <c r="L362" s="399"/>
      <c r="M362" s="73"/>
      <c r="N362" s="396"/>
      <c r="O362" s="396"/>
      <c r="P362" s="396"/>
      <c r="Q362" s="410"/>
      <c r="R362" s="411"/>
      <c r="S362" s="411"/>
      <c r="T362" s="411"/>
      <c r="AF362" s="352" t="n">
        <f aca="false">EOMONTH(AF361,0)+1</f>
        <v>47453</v>
      </c>
      <c r="AG362" s="311" t="n">
        <v>21</v>
      </c>
      <c r="AH362" s="311" t="n">
        <v>4</v>
      </c>
      <c r="AI362" s="311" t="n">
        <v>6</v>
      </c>
      <c r="AJ362" s="311" t="n">
        <v>1</v>
      </c>
      <c r="AK362" s="311" t="n">
        <v>31</v>
      </c>
      <c r="AL362" s="311"/>
      <c r="AM362" s="336"/>
    </row>
    <row r="363" customFormat="false" ht="12.75" hidden="false" customHeight="false" outlineLevel="0" collapsed="false">
      <c r="A363" s="408"/>
      <c r="B363" s="396"/>
      <c r="C363" s="409"/>
      <c r="D363" s="410"/>
      <c r="E363" s="396"/>
      <c r="F363" s="410"/>
      <c r="G363" s="396"/>
      <c r="H363" s="410"/>
      <c r="I363" s="410"/>
      <c r="J363" s="411"/>
      <c r="K363" s="399"/>
      <c r="L363" s="399"/>
      <c r="M363" s="73"/>
      <c r="N363" s="396"/>
      <c r="O363" s="396"/>
      <c r="P363" s="396"/>
      <c r="Q363" s="410"/>
      <c r="R363" s="411"/>
      <c r="S363" s="411"/>
      <c r="T363" s="411"/>
      <c r="AF363" s="352" t="n">
        <f aca="false">EOMONTH(AF362,0)+1</f>
        <v>47484</v>
      </c>
      <c r="AG363" s="311" t="n">
        <v>22</v>
      </c>
      <c r="AH363" s="311" t="n">
        <v>4</v>
      </c>
      <c r="AI363" s="311" t="n">
        <v>5</v>
      </c>
      <c r="AJ363" s="311" t="n">
        <v>1</v>
      </c>
      <c r="AK363" s="311" t="n">
        <v>31</v>
      </c>
      <c r="AL363" s="311"/>
      <c r="AM363" s="336"/>
    </row>
    <row r="364" customFormat="false" ht="12.75" hidden="false" customHeight="false" outlineLevel="0" collapsed="false">
      <c r="A364" s="408"/>
      <c r="B364" s="396"/>
      <c r="C364" s="409"/>
      <c r="D364" s="410"/>
      <c r="E364" s="396"/>
      <c r="F364" s="410"/>
      <c r="G364" s="396"/>
      <c r="H364" s="410"/>
      <c r="I364" s="410"/>
      <c r="J364" s="411"/>
      <c r="K364" s="399"/>
      <c r="L364" s="399"/>
      <c r="M364" s="73"/>
      <c r="N364" s="396"/>
      <c r="O364" s="396"/>
      <c r="P364" s="396"/>
      <c r="Q364" s="410"/>
      <c r="R364" s="411"/>
      <c r="S364" s="411"/>
      <c r="T364" s="411"/>
      <c r="AF364" s="352" t="n">
        <f aca="false">EOMONTH(AF363,0)+1</f>
        <v>47515</v>
      </c>
      <c r="AG364" s="311" t="n">
        <v>20</v>
      </c>
      <c r="AH364" s="311" t="n">
        <v>4</v>
      </c>
      <c r="AI364" s="311" t="n">
        <v>4</v>
      </c>
      <c r="AJ364" s="311" t="n">
        <v>0</v>
      </c>
      <c r="AK364" s="311" t="n">
        <v>28</v>
      </c>
      <c r="AL364" s="311"/>
      <c r="AM364" s="336"/>
    </row>
    <row r="365" customFormat="false" ht="12.75" hidden="false" customHeight="false" outlineLevel="0" collapsed="false">
      <c r="A365" s="408"/>
      <c r="B365" s="396"/>
      <c r="C365" s="409"/>
      <c r="D365" s="410"/>
      <c r="E365" s="396"/>
      <c r="F365" s="410"/>
      <c r="G365" s="396"/>
      <c r="H365" s="410"/>
      <c r="I365" s="410"/>
      <c r="J365" s="411"/>
      <c r="K365" s="399"/>
      <c r="L365" s="399"/>
      <c r="M365" s="73"/>
      <c r="N365" s="396"/>
      <c r="O365" s="396"/>
      <c r="P365" s="396"/>
      <c r="Q365" s="410"/>
      <c r="R365" s="411"/>
      <c r="S365" s="411"/>
      <c r="T365" s="411"/>
      <c r="AF365" s="352" t="n">
        <f aca="false">EOMONTH(AF364,0)+1</f>
        <v>47543</v>
      </c>
      <c r="AG365" s="311" t="n">
        <v>21</v>
      </c>
      <c r="AH365" s="311" t="n">
        <v>5</v>
      </c>
      <c r="AI365" s="311" t="n">
        <v>5</v>
      </c>
      <c r="AJ365" s="311" t="n">
        <v>0</v>
      </c>
      <c r="AK365" s="311" t="n">
        <v>31</v>
      </c>
      <c r="AL365" s="311"/>
      <c r="AM365" s="336"/>
    </row>
    <row r="366" customFormat="false" ht="12.75" hidden="false" customHeight="false" outlineLevel="0" collapsed="false">
      <c r="A366" s="408"/>
      <c r="B366" s="396"/>
      <c r="C366" s="409"/>
      <c r="D366" s="410"/>
      <c r="E366" s="396"/>
      <c r="F366" s="410"/>
      <c r="G366" s="396"/>
      <c r="H366" s="410"/>
      <c r="I366" s="410"/>
      <c r="J366" s="411"/>
      <c r="K366" s="399"/>
      <c r="L366" s="399"/>
      <c r="M366" s="73"/>
      <c r="N366" s="396"/>
      <c r="O366" s="396"/>
      <c r="P366" s="396"/>
      <c r="Q366" s="410"/>
      <c r="R366" s="411"/>
      <c r="S366" s="411"/>
      <c r="T366" s="411"/>
      <c r="AF366" s="352" t="n">
        <f aca="false">EOMONTH(AF365,0)+1</f>
        <v>47574</v>
      </c>
      <c r="AG366" s="311" t="n">
        <v>22</v>
      </c>
      <c r="AH366" s="311" t="n">
        <v>4</v>
      </c>
      <c r="AI366" s="311" t="n">
        <v>4</v>
      </c>
      <c r="AJ366" s="311" t="n">
        <v>0</v>
      </c>
      <c r="AK366" s="311" t="n">
        <v>30</v>
      </c>
      <c r="AL366" s="311"/>
      <c r="AM366" s="336"/>
    </row>
    <row r="367" customFormat="false" ht="12.75" hidden="false" customHeight="false" outlineLevel="0" collapsed="false">
      <c r="A367" s="408"/>
      <c r="B367" s="396"/>
      <c r="C367" s="409"/>
      <c r="D367" s="410"/>
      <c r="E367" s="396"/>
      <c r="F367" s="410"/>
      <c r="G367" s="396"/>
      <c r="H367" s="410"/>
      <c r="I367" s="410"/>
      <c r="J367" s="411"/>
      <c r="K367" s="399"/>
      <c r="L367" s="399"/>
      <c r="M367" s="73"/>
      <c r="N367" s="396"/>
      <c r="O367" s="396"/>
      <c r="P367" s="396"/>
      <c r="Q367" s="410"/>
      <c r="R367" s="411"/>
      <c r="S367" s="411"/>
      <c r="T367" s="411"/>
      <c r="AF367" s="352" t="n">
        <f aca="false">EOMONTH(AF366,0)+1</f>
        <v>47604</v>
      </c>
      <c r="AG367" s="311" t="n">
        <v>22</v>
      </c>
      <c r="AH367" s="311" t="n">
        <v>4</v>
      </c>
      <c r="AI367" s="311" t="n">
        <v>5</v>
      </c>
      <c r="AJ367" s="311" t="n">
        <v>1</v>
      </c>
      <c r="AK367" s="311" t="n">
        <v>31</v>
      </c>
      <c r="AL367" s="311"/>
      <c r="AM367" s="336"/>
    </row>
    <row r="368" customFormat="false" ht="12.75" hidden="false" customHeight="false" outlineLevel="0" collapsed="false">
      <c r="A368" s="408"/>
      <c r="B368" s="396"/>
      <c r="C368" s="409"/>
      <c r="D368" s="410"/>
      <c r="E368" s="396"/>
      <c r="F368" s="410"/>
      <c r="G368" s="396"/>
      <c r="H368" s="410"/>
      <c r="I368" s="410"/>
      <c r="J368" s="411"/>
      <c r="K368" s="399"/>
      <c r="L368" s="399"/>
      <c r="M368" s="73"/>
      <c r="N368" s="396"/>
      <c r="O368" s="396"/>
      <c r="P368" s="396"/>
      <c r="Q368" s="410"/>
      <c r="R368" s="411"/>
      <c r="S368" s="411"/>
      <c r="T368" s="411"/>
      <c r="AF368" s="352" t="n">
        <f aca="false">EOMONTH(AF367,0)+1</f>
        <v>47635</v>
      </c>
      <c r="AG368" s="311" t="n">
        <v>20</v>
      </c>
      <c r="AH368" s="311" t="n">
        <v>5</v>
      </c>
      <c r="AI368" s="311" t="n">
        <v>5</v>
      </c>
      <c r="AJ368" s="311" t="n">
        <v>0</v>
      </c>
      <c r="AK368" s="311" t="n">
        <v>30</v>
      </c>
      <c r="AL368" s="311"/>
      <c r="AM368" s="336"/>
    </row>
    <row r="369" customFormat="false" ht="12.75" hidden="false" customHeight="false" outlineLevel="0" collapsed="false">
      <c r="A369" s="408"/>
      <c r="B369" s="396"/>
      <c r="C369" s="409"/>
      <c r="D369" s="410"/>
      <c r="E369" s="396"/>
      <c r="F369" s="410"/>
      <c r="G369" s="396"/>
      <c r="H369" s="410"/>
      <c r="I369" s="410"/>
      <c r="J369" s="411"/>
      <c r="K369" s="399"/>
      <c r="L369" s="399"/>
      <c r="M369" s="73"/>
      <c r="N369" s="396"/>
      <c r="O369" s="396"/>
      <c r="P369" s="396"/>
      <c r="Q369" s="410"/>
      <c r="R369" s="411"/>
      <c r="S369" s="411"/>
      <c r="T369" s="411"/>
      <c r="AF369" s="352" t="n">
        <f aca="false">EOMONTH(AF368,0)+1</f>
        <v>47665</v>
      </c>
      <c r="AG369" s="311" t="n">
        <v>22</v>
      </c>
      <c r="AH369" s="311" t="n">
        <v>4</v>
      </c>
      <c r="AI369" s="311" t="n">
        <v>5</v>
      </c>
      <c r="AJ369" s="311" t="n">
        <v>1</v>
      </c>
      <c r="AK369" s="311" t="n">
        <v>31</v>
      </c>
      <c r="AL369" s="311"/>
      <c r="AM369" s="336"/>
    </row>
    <row r="370" customFormat="false" ht="12.75" hidden="false" customHeight="false" outlineLevel="0" collapsed="false">
      <c r="A370" s="408"/>
      <c r="B370" s="396"/>
      <c r="C370" s="409"/>
      <c r="D370" s="410"/>
      <c r="E370" s="396"/>
      <c r="F370" s="410"/>
      <c r="G370" s="396"/>
      <c r="H370" s="410"/>
      <c r="I370" s="410"/>
      <c r="J370" s="411"/>
      <c r="K370" s="399"/>
      <c r="L370" s="399"/>
      <c r="M370" s="73"/>
      <c r="N370" s="396"/>
      <c r="O370" s="396"/>
      <c r="P370" s="396"/>
      <c r="Q370" s="410"/>
      <c r="R370" s="411"/>
      <c r="S370" s="411"/>
      <c r="T370" s="411"/>
      <c r="AF370" s="352" t="n">
        <f aca="false">EOMONTH(AF369,0)+1</f>
        <v>47696</v>
      </c>
      <c r="AG370" s="311" t="n">
        <v>22</v>
      </c>
      <c r="AH370" s="311" t="n">
        <v>5</v>
      </c>
      <c r="AI370" s="311" t="n">
        <v>4</v>
      </c>
      <c r="AJ370" s="311" t="n">
        <v>0</v>
      </c>
      <c r="AK370" s="311" t="n">
        <v>31</v>
      </c>
      <c r="AL370" s="311"/>
      <c r="AM370" s="336"/>
    </row>
    <row r="371" customFormat="false" ht="12.75" hidden="false" customHeight="false" outlineLevel="0" collapsed="false">
      <c r="A371" s="408"/>
      <c r="B371" s="396"/>
      <c r="C371" s="409"/>
      <c r="D371" s="410"/>
      <c r="E371" s="396"/>
      <c r="F371" s="410"/>
      <c r="G371" s="396"/>
      <c r="H371" s="410"/>
      <c r="I371" s="410"/>
      <c r="J371" s="411"/>
      <c r="K371" s="399"/>
      <c r="L371" s="399"/>
      <c r="M371" s="73"/>
      <c r="N371" s="396"/>
      <c r="O371" s="396"/>
      <c r="P371" s="396"/>
      <c r="Q371" s="410"/>
      <c r="R371" s="411"/>
      <c r="S371" s="411"/>
      <c r="T371" s="411"/>
      <c r="AF371" s="352" t="n">
        <f aca="false">EOMONTH(AF370,0)+1</f>
        <v>47727</v>
      </c>
      <c r="AG371" s="311" t="n">
        <v>20</v>
      </c>
      <c r="AH371" s="311" t="n">
        <v>4</v>
      </c>
      <c r="AI371" s="311" t="n">
        <v>6</v>
      </c>
      <c r="AJ371" s="311" t="n">
        <v>1</v>
      </c>
      <c r="AK371" s="311" t="n">
        <v>30</v>
      </c>
      <c r="AL371" s="311"/>
      <c r="AM371" s="336"/>
    </row>
    <row r="372" customFormat="false" ht="12.75" hidden="false" customHeight="false" outlineLevel="0" collapsed="false">
      <c r="A372" s="408"/>
      <c r="B372" s="396"/>
      <c r="C372" s="409"/>
      <c r="D372" s="410"/>
      <c r="E372" s="396"/>
      <c r="F372" s="410"/>
      <c r="G372" s="396"/>
      <c r="H372" s="410"/>
      <c r="I372" s="410"/>
      <c r="J372" s="411"/>
      <c r="K372" s="399"/>
      <c r="L372" s="399"/>
      <c r="M372" s="73"/>
      <c r="N372" s="396"/>
      <c r="O372" s="396"/>
      <c r="P372" s="396"/>
      <c r="Q372" s="410"/>
      <c r="R372" s="411"/>
      <c r="S372" s="411"/>
      <c r="T372" s="411"/>
      <c r="AF372" s="352" t="n">
        <f aca="false">EOMONTH(AF371,0)+1</f>
        <v>47757</v>
      </c>
      <c r="AG372" s="311" t="n">
        <v>23</v>
      </c>
      <c r="AH372" s="311" t="n">
        <v>4</v>
      </c>
      <c r="AI372" s="311" t="n">
        <v>4</v>
      </c>
      <c r="AJ372" s="311" t="n">
        <v>0</v>
      </c>
      <c r="AK372" s="311" t="n">
        <v>31</v>
      </c>
      <c r="AL372" s="311"/>
      <c r="AM372" s="336"/>
    </row>
    <row r="373" customFormat="false" ht="12.75" hidden="false" customHeight="false" outlineLevel="0" collapsed="false">
      <c r="A373" s="408"/>
      <c r="B373" s="396"/>
      <c r="C373" s="409"/>
      <c r="D373" s="410"/>
      <c r="E373" s="396"/>
      <c r="F373" s="410"/>
      <c r="G373" s="396"/>
      <c r="H373" s="410"/>
      <c r="I373" s="410"/>
      <c r="J373" s="411"/>
      <c r="K373" s="399"/>
      <c r="L373" s="399"/>
      <c r="M373" s="73"/>
      <c r="N373" s="396"/>
      <c r="O373" s="396"/>
      <c r="P373" s="396"/>
      <c r="Q373" s="410"/>
      <c r="R373" s="411"/>
      <c r="S373" s="411"/>
      <c r="T373" s="411"/>
      <c r="AF373" s="352" t="n">
        <f aca="false">EOMONTH(AF372,0)+1</f>
        <v>47788</v>
      </c>
      <c r="AG373" s="311" t="n">
        <v>20</v>
      </c>
      <c r="AH373" s="311" t="n">
        <v>5</v>
      </c>
      <c r="AI373" s="311" t="n">
        <v>5</v>
      </c>
      <c r="AJ373" s="311" t="n">
        <v>1</v>
      </c>
      <c r="AK373" s="311" t="n">
        <v>30</v>
      </c>
      <c r="AL373" s="311"/>
      <c r="AM373" s="336"/>
    </row>
    <row r="374" customFormat="false" ht="12.75" hidden="false" customHeight="false" outlineLevel="0" collapsed="false">
      <c r="A374" s="408"/>
      <c r="B374" s="396"/>
      <c r="C374" s="409"/>
      <c r="D374" s="410"/>
      <c r="E374" s="396"/>
      <c r="F374" s="410"/>
      <c r="G374" s="396"/>
      <c r="H374" s="410"/>
      <c r="I374" s="410"/>
      <c r="J374" s="411"/>
      <c r="K374" s="399"/>
      <c r="L374" s="399"/>
      <c r="M374" s="73"/>
      <c r="N374" s="396"/>
      <c r="O374" s="396"/>
      <c r="P374" s="396"/>
      <c r="Q374" s="410"/>
      <c r="R374" s="411"/>
      <c r="S374" s="411"/>
      <c r="T374" s="411"/>
      <c r="AF374" s="352" t="n">
        <f aca="false">EOMONTH(AF373,0)+1</f>
        <v>47818</v>
      </c>
      <c r="AG374" s="311" t="n">
        <v>21</v>
      </c>
      <c r="AH374" s="311" t="n">
        <v>4</v>
      </c>
      <c r="AI374" s="311" t="n">
        <v>6</v>
      </c>
      <c r="AJ374" s="311" t="n">
        <v>1</v>
      </c>
      <c r="AK374" s="311" t="n">
        <v>31</v>
      </c>
      <c r="AL374" s="311"/>
      <c r="AM374" s="336"/>
    </row>
    <row r="375" customFormat="false" ht="12.75" hidden="false" customHeight="false" outlineLevel="0" collapsed="false">
      <c r="A375" s="408"/>
      <c r="B375" s="396"/>
      <c r="C375" s="409"/>
      <c r="D375" s="410"/>
      <c r="E375" s="396"/>
      <c r="F375" s="410"/>
      <c r="G375" s="396"/>
      <c r="H375" s="410"/>
      <c r="I375" s="410"/>
      <c r="J375" s="411"/>
      <c r="K375" s="399"/>
      <c r="L375" s="399"/>
      <c r="M375" s="73"/>
      <c r="N375" s="396"/>
      <c r="O375" s="396"/>
      <c r="P375" s="396"/>
      <c r="Q375" s="410"/>
      <c r="R375" s="411"/>
      <c r="S375" s="411"/>
      <c r="T375" s="411"/>
      <c r="AF375" s="352" t="n">
        <f aca="false">EOMONTH(AF374,0)+1</f>
        <v>47849</v>
      </c>
      <c r="AG375" s="311" t="n">
        <v>22</v>
      </c>
      <c r="AH375" s="311" t="n">
        <v>4</v>
      </c>
      <c r="AI375" s="311" t="n">
        <v>5</v>
      </c>
      <c r="AJ375" s="311" t="n">
        <v>1</v>
      </c>
      <c r="AK375" s="311" t="n">
        <v>31</v>
      </c>
      <c r="AL375" s="311"/>
      <c r="AM375" s="336"/>
    </row>
    <row r="376" customFormat="false" ht="12.75" hidden="false" customHeight="false" outlineLevel="0" collapsed="false">
      <c r="A376" s="408"/>
      <c r="B376" s="396"/>
      <c r="C376" s="409"/>
      <c r="D376" s="410"/>
      <c r="E376" s="396"/>
      <c r="F376" s="410"/>
      <c r="G376" s="396"/>
      <c r="H376" s="410"/>
      <c r="I376" s="410"/>
      <c r="J376" s="411"/>
      <c r="K376" s="399"/>
      <c r="L376" s="399"/>
      <c r="M376" s="73"/>
      <c r="N376" s="396"/>
      <c r="O376" s="396"/>
      <c r="P376" s="396"/>
      <c r="Q376" s="410"/>
      <c r="R376" s="411"/>
      <c r="S376" s="411"/>
      <c r="T376" s="411"/>
      <c r="AF376" s="352" t="n">
        <f aca="false">EOMONTH(AF375,0)+1</f>
        <v>47880</v>
      </c>
      <c r="AG376" s="311" t="n">
        <v>20</v>
      </c>
      <c r="AH376" s="311" t="n">
        <v>4</v>
      </c>
      <c r="AI376" s="311" t="n">
        <v>4</v>
      </c>
      <c r="AJ376" s="311" t="n">
        <v>0</v>
      </c>
      <c r="AK376" s="311" t="n">
        <v>28</v>
      </c>
      <c r="AL376" s="311"/>
      <c r="AM376" s="336"/>
    </row>
    <row r="377" customFormat="false" ht="12.75" hidden="false" customHeight="false" outlineLevel="0" collapsed="false">
      <c r="A377" s="408"/>
      <c r="B377" s="396"/>
      <c r="C377" s="409"/>
      <c r="D377" s="410"/>
      <c r="E377" s="396"/>
      <c r="F377" s="410"/>
      <c r="G377" s="396"/>
      <c r="H377" s="410"/>
      <c r="I377" s="410"/>
      <c r="J377" s="411"/>
      <c r="K377" s="399"/>
      <c r="L377" s="399"/>
      <c r="M377" s="73"/>
      <c r="N377" s="396"/>
      <c r="O377" s="396"/>
      <c r="P377" s="396"/>
      <c r="Q377" s="410"/>
      <c r="R377" s="411"/>
      <c r="S377" s="411"/>
      <c r="T377" s="411"/>
      <c r="AF377" s="352" t="n">
        <f aca="false">EOMONTH(AF376,0)+1</f>
        <v>47908</v>
      </c>
      <c r="AG377" s="311" t="n">
        <v>21</v>
      </c>
      <c r="AH377" s="311" t="n">
        <v>5</v>
      </c>
      <c r="AI377" s="311" t="n">
        <v>5</v>
      </c>
      <c r="AJ377" s="311" t="n">
        <v>0</v>
      </c>
      <c r="AK377" s="311" t="n">
        <v>31</v>
      </c>
      <c r="AL377" s="311"/>
      <c r="AM377" s="336"/>
    </row>
    <row r="378" customFormat="false" ht="12.75" hidden="false" customHeight="false" outlineLevel="0" collapsed="false">
      <c r="A378" s="408"/>
      <c r="B378" s="396"/>
      <c r="C378" s="409"/>
      <c r="D378" s="410"/>
      <c r="E378" s="396"/>
      <c r="F378" s="410"/>
      <c r="G378" s="396"/>
      <c r="H378" s="410"/>
      <c r="I378" s="410"/>
      <c r="J378" s="411"/>
      <c r="K378" s="399"/>
      <c r="L378" s="399"/>
      <c r="M378" s="73"/>
      <c r="N378" s="396"/>
      <c r="O378" s="396"/>
      <c r="P378" s="396"/>
      <c r="Q378" s="410"/>
      <c r="R378" s="411"/>
      <c r="S378" s="411"/>
      <c r="T378" s="411"/>
      <c r="AF378" s="352" t="n">
        <f aca="false">EOMONTH(AF377,0)+1</f>
        <v>47939</v>
      </c>
      <c r="AG378" s="311" t="n">
        <v>22</v>
      </c>
      <c r="AH378" s="311" t="n">
        <v>4</v>
      </c>
      <c r="AI378" s="311" t="n">
        <v>4</v>
      </c>
      <c r="AJ378" s="311" t="n">
        <v>0</v>
      </c>
      <c r="AK378" s="311" t="n">
        <v>30</v>
      </c>
      <c r="AL378" s="311"/>
      <c r="AM378" s="336"/>
    </row>
    <row r="379" customFormat="false" ht="12.75" hidden="false" customHeight="false" outlineLevel="0" collapsed="false">
      <c r="A379" s="408"/>
      <c r="B379" s="396"/>
      <c r="C379" s="409"/>
      <c r="D379" s="410"/>
      <c r="E379" s="396"/>
      <c r="F379" s="410"/>
      <c r="G379" s="396"/>
      <c r="H379" s="410"/>
      <c r="I379" s="410"/>
      <c r="J379" s="411"/>
      <c r="K379" s="399"/>
      <c r="L379" s="399"/>
      <c r="M379" s="73"/>
      <c r="N379" s="396"/>
      <c r="O379" s="396"/>
      <c r="P379" s="396"/>
      <c r="Q379" s="410"/>
      <c r="R379" s="411"/>
      <c r="S379" s="411"/>
      <c r="T379" s="411"/>
      <c r="AF379" s="352" t="n">
        <f aca="false">EOMONTH(AF378,0)+1</f>
        <v>47969</v>
      </c>
      <c r="AG379" s="311" t="n">
        <v>22</v>
      </c>
      <c r="AH379" s="311" t="n">
        <v>4</v>
      </c>
      <c r="AI379" s="311" t="n">
        <v>5</v>
      </c>
      <c r="AJ379" s="311" t="n">
        <v>1</v>
      </c>
      <c r="AK379" s="311" t="n">
        <v>31</v>
      </c>
      <c r="AL379" s="311"/>
      <c r="AM379" s="336"/>
    </row>
    <row r="380" customFormat="false" ht="12.75" hidden="false" customHeight="false" outlineLevel="0" collapsed="false">
      <c r="A380" s="408"/>
      <c r="B380" s="396"/>
      <c r="C380" s="409"/>
      <c r="D380" s="410"/>
      <c r="E380" s="396"/>
      <c r="F380" s="410"/>
      <c r="G380" s="396"/>
      <c r="H380" s="410"/>
      <c r="I380" s="410"/>
      <c r="J380" s="411"/>
      <c r="K380" s="399"/>
      <c r="L380" s="399"/>
      <c r="M380" s="73"/>
      <c r="N380" s="396"/>
      <c r="O380" s="396"/>
      <c r="P380" s="396"/>
      <c r="Q380" s="410"/>
      <c r="R380" s="411"/>
      <c r="S380" s="411"/>
      <c r="T380" s="411"/>
      <c r="AF380" s="352" t="n">
        <f aca="false">EOMONTH(AF379,0)+1</f>
        <v>48000</v>
      </c>
      <c r="AG380" s="311" t="n">
        <v>20</v>
      </c>
      <c r="AH380" s="311" t="n">
        <v>5</v>
      </c>
      <c r="AI380" s="311" t="n">
        <v>5</v>
      </c>
      <c r="AJ380" s="311" t="n">
        <v>0</v>
      </c>
      <c r="AK380" s="311" t="n">
        <v>30</v>
      </c>
      <c r="AL380" s="311"/>
      <c r="AM380" s="336"/>
    </row>
    <row r="381" customFormat="false" ht="12.75" hidden="false" customHeight="false" outlineLevel="0" collapsed="false">
      <c r="A381" s="408"/>
      <c r="B381" s="396"/>
      <c r="C381" s="409"/>
      <c r="D381" s="410"/>
      <c r="E381" s="396"/>
      <c r="F381" s="410"/>
      <c r="G381" s="396"/>
      <c r="H381" s="410"/>
      <c r="I381" s="410"/>
      <c r="J381" s="411"/>
      <c r="K381" s="399"/>
      <c r="L381" s="399"/>
      <c r="M381" s="73"/>
      <c r="N381" s="396"/>
      <c r="O381" s="396"/>
      <c r="P381" s="396"/>
      <c r="Q381" s="410"/>
      <c r="R381" s="411"/>
      <c r="S381" s="411"/>
      <c r="T381" s="411"/>
      <c r="AF381" s="352" t="n">
        <f aca="false">EOMONTH(AF380,0)+1</f>
        <v>48030</v>
      </c>
      <c r="AG381" s="311" t="n">
        <v>22</v>
      </c>
      <c r="AH381" s="311" t="n">
        <v>4</v>
      </c>
      <c r="AI381" s="311" t="n">
        <v>5</v>
      </c>
      <c r="AJ381" s="311" t="n">
        <v>1</v>
      </c>
      <c r="AK381" s="311" t="n">
        <v>31</v>
      </c>
      <c r="AL381" s="311"/>
      <c r="AM381" s="336"/>
    </row>
    <row r="382" customFormat="false" ht="12.75" hidden="false" customHeight="false" outlineLevel="0" collapsed="false">
      <c r="A382" s="408"/>
      <c r="B382" s="396"/>
      <c r="C382" s="409"/>
      <c r="D382" s="410"/>
      <c r="E382" s="396"/>
      <c r="F382" s="410"/>
      <c r="G382" s="396"/>
      <c r="H382" s="410"/>
      <c r="I382" s="410"/>
      <c r="J382" s="411"/>
      <c r="K382" s="399"/>
      <c r="L382" s="399"/>
      <c r="M382" s="73"/>
      <c r="N382" s="396"/>
      <c r="O382" s="396"/>
      <c r="P382" s="396"/>
      <c r="Q382" s="410"/>
      <c r="R382" s="411"/>
      <c r="S382" s="411"/>
      <c r="T382" s="411"/>
      <c r="AF382" s="352" t="n">
        <f aca="false">EOMONTH(AF381,0)+1</f>
        <v>48061</v>
      </c>
      <c r="AG382" s="311" t="n">
        <v>22</v>
      </c>
      <c r="AH382" s="311" t="n">
        <v>5</v>
      </c>
      <c r="AI382" s="311" t="n">
        <v>4</v>
      </c>
      <c r="AJ382" s="311" t="n">
        <v>0</v>
      </c>
      <c r="AK382" s="311" t="n">
        <v>31</v>
      </c>
      <c r="AL382" s="311"/>
      <c r="AM382" s="336"/>
    </row>
    <row r="383" customFormat="false" ht="12.75" hidden="false" customHeight="false" outlineLevel="0" collapsed="false">
      <c r="A383" s="408"/>
      <c r="B383" s="396"/>
      <c r="C383" s="409"/>
      <c r="D383" s="410"/>
      <c r="E383" s="396"/>
      <c r="F383" s="410"/>
      <c r="G383" s="396"/>
      <c r="H383" s="410"/>
      <c r="I383" s="410"/>
      <c r="J383" s="411"/>
      <c r="K383" s="399"/>
      <c r="L383" s="399"/>
      <c r="M383" s="73"/>
      <c r="N383" s="396"/>
      <c r="O383" s="396"/>
      <c r="P383" s="396"/>
      <c r="Q383" s="410"/>
      <c r="R383" s="411"/>
      <c r="S383" s="411"/>
      <c r="T383" s="411"/>
      <c r="AF383" s="352" t="n">
        <f aca="false">EOMONTH(AF382,0)+1</f>
        <v>48092</v>
      </c>
      <c r="AG383" s="311" t="n">
        <v>20</v>
      </c>
      <c r="AH383" s="311" t="n">
        <v>4</v>
      </c>
      <c r="AI383" s="311" t="n">
        <v>6</v>
      </c>
      <c r="AJ383" s="311" t="n">
        <v>1</v>
      </c>
      <c r="AK383" s="311" t="n">
        <v>30</v>
      </c>
      <c r="AL383" s="311"/>
      <c r="AM383" s="336"/>
    </row>
    <row r="384" customFormat="false" ht="12.75" hidden="false" customHeight="false" outlineLevel="0" collapsed="false">
      <c r="A384" s="408"/>
      <c r="B384" s="396"/>
      <c r="C384" s="409"/>
      <c r="D384" s="410"/>
      <c r="E384" s="396"/>
      <c r="F384" s="410"/>
      <c r="G384" s="396"/>
      <c r="H384" s="410"/>
      <c r="I384" s="410"/>
      <c r="J384" s="411"/>
      <c r="K384" s="399"/>
      <c r="L384" s="399"/>
      <c r="M384" s="73"/>
      <c r="N384" s="396"/>
      <c r="O384" s="396"/>
      <c r="P384" s="396"/>
      <c r="Q384" s="410"/>
      <c r="R384" s="411"/>
      <c r="S384" s="411"/>
      <c r="T384" s="411"/>
      <c r="AF384" s="352" t="n">
        <f aca="false">EOMONTH(AF383,0)+1</f>
        <v>48122</v>
      </c>
      <c r="AG384" s="311" t="n">
        <v>23</v>
      </c>
      <c r="AH384" s="311" t="n">
        <v>4</v>
      </c>
      <c r="AI384" s="311" t="n">
        <v>4</v>
      </c>
      <c r="AJ384" s="311" t="n">
        <v>0</v>
      </c>
      <c r="AK384" s="311" t="n">
        <v>31</v>
      </c>
      <c r="AL384" s="311"/>
      <c r="AM384" s="336"/>
    </row>
    <row r="385" customFormat="false" ht="12.75" hidden="false" customHeight="false" outlineLevel="0" collapsed="false">
      <c r="A385" s="408"/>
      <c r="B385" s="396"/>
      <c r="C385" s="409"/>
      <c r="D385" s="410"/>
      <c r="E385" s="396"/>
      <c r="F385" s="410"/>
      <c r="G385" s="396"/>
      <c r="H385" s="410"/>
      <c r="I385" s="410"/>
      <c r="J385" s="411"/>
      <c r="K385" s="399"/>
      <c r="L385" s="399"/>
      <c r="M385" s="73"/>
      <c r="N385" s="396"/>
      <c r="O385" s="396"/>
      <c r="P385" s="396"/>
      <c r="Q385" s="410"/>
      <c r="R385" s="411"/>
      <c r="S385" s="411"/>
      <c r="T385" s="411"/>
      <c r="AF385" s="352" t="n">
        <f aca="false">EOMONTH(AF384,0)+1</f>
        <v>48153</v>
      </c>
      <c r="AG385" s="311" t="n">
        <v>20</v>
      </c>
      <c r="AH385" s="311" t="n">
        <v>5</v>
      </c>
      <c r="AI385" s="311" t="n">
        <v>5</v>
      </c>
      <c r="AJ385" s="311" t="n">
        <v>1</v>
      </c>
      <c r="AK385" s="311" t="n">
        <v>30</v>
      </c>
      <c r="AL385" s="311"/>
      <c r="AM385" s="336"/>
    </row>
    <row r="386" customFormat="false" ht="12.75" hidden="false" customHeight="false" outlineLevel="0" collapsed="false">
      <c r="A386" s="408"/>
      <c r="B386" s="396"/>
      <c r="C386" s="409"/>
      <c r="D386" s="410"/>
      <c r="E386" s="396"/>
      <c r="F386" s="410"/>
      <c r="G386" s="396"/>
      <c r="H386" s="410"/>
      <c r="I386" s="410"/>
      <c r="J386" s="411"/>
      <c r="K386" s="399"/>
      <c r="L386" s="399"/>
      <c r="M386" s="73"/>
      <c r="N386" s="396"/>
      <c r="O386" s="396"/>
      <c r="P386" s="396"/>
      <c r="Q386" s="410"/>
      <c r="R386" s="411"/>
      <c r="S386" s="411"/>
      <c r="T386" s="411"/>
      <c r="AF386" s="352" t="n">
        <f aca="false">EOMONTH(AF385,0)+1</f>
        <v>48183</v>
      </c>
      <c r="AG386" s="311" t="n">
        <v>21</v>
      </c>
      <c r="AH386" s="311" t="n">
        <v>4</v>
      </c>
      <c r="AI386" s="311" t="n">
        <v>6</v>
      </c>
      <c r="AJ386" s="311" t="n">
        <v>1</v>
      </c>
      <c r="AK386" s="311" t="n">
        <v>31</v>
      </c>
      <c r="AL386" s="311"/>
      <c r="AM386" s="336"/>
    </row>
    <row r="387" customFormat="false" ht="12.75" hidden="false" customHeight="false" outlineLevel="0" collapsed="false">
      <c r="A387" s="408"/>
      <c r="B387" s="396"/>
      <c r="C387" s="409"/>
      <c r="D387" s="410"/>
      <c r="E387" s="396"/>
      <c r="F387" s="410"/>
      <c r="G387" s="396"/>
      <c r="H387" s="410"/>
      <c r="I387" s="410"/>
      <c r="J387" s="411"/>
      <c r="K387" s="399"/>
      <c r="L387" s="399"/>
      <c r="M387" s="73"/>
      <c r="N387" s="396"/>
      <c r="O387" s="396"/>
      <c r="P387" s="396"/>
      <c r="Q387" s="410"/>
      <c r="R387" s="411"/>
      <c r="S387" s="411"/>
      <c r="T387" s="411"/>
      <c r="AF387" s="352" t="n">
        <f aca="false">EOMONTH(AF386,0)+1</f>
        <v>48214</v>
      </c>
      <c r="AG387" s="311" t="n">
        <v>22</v>
      </c>
      <c r="AH387" s="311" t="n">
        <v>4</v>
      </c>
      <c r="AI387" s="311" t="n">
        <v>5</v>
      </c>
      <c r="AJ387" s="311" t="n">
        <v>1</v>
      </c>
      <c r="AK387" s="311" t="n">
        <v>31</v>
      </c>
      <c r="AL387" s="311"/>
      <c r="AM387" s="336"/>
    </row>
    <row r="388" customFormat="false" ht="12.75" hidden="false" customHeight="false" outlineLevel="0" collapsed="false">
      <c r="A388" s="408"/>
      <c r="B388" s="396"/>
      <c r="C388" s="409"/>
      <c r="D388" s="410"/>
      <c r="E388" s="396"/>
      <c r="F388" s="410"/>
      <c r="G388" s="396"/>
      <c r="H388" s="410"/>
      <c r="I388" s="410"/>
      <c r="J388" s="411"/>
      <c r="K388" s="399"/>
      <c r="L388" s="399"/>
      <c r="M388" s="73"/>
      <c r="N388" s="396"/>
      <c r="O388" s="396"/>
      <c r="P388" s="396"/>
      <c r="Q388" s="410"/>
      <c r="R388" s="411"/>
      <c r="S388" s="411"/>
      <c r="T388" s="411"/>
      <c r="AF388" s="352" t="n">
        <f aca="false">EOMONTH(AF387,0)+1</f>
        <v>48245</v>
      </c>
      <c r="AG388" s="311" t="n">
        <v>20</v>
      </c>
      <c r="AH388" s="311" t="n">
        <v>5</v>
      </c>
      <c r="AI388" s="311" t="n">
        <v>4</v>
      </c>
      <c r="AJ388" s="311" t="n">
        <v>0</v>
      </c>
      <c r="AK388" s="311" t="n">
        <v>29</v>
      </c>
      <c r="AL388" s="311"/>
      <c r="AM388" s="336"/>
    </row>
    <row r="389" customFormat="false" ht="12.75" hidden="false" customHeight="false" outlineLevel="0" collapsed="false">
      <c r="A389" s="408"/>
      <c r="B389" s="396"/>
      <c r="C389" s="409"/>
      <c r="D389" s="410"/>
      <c r="E389" s="396"/>
      <c r="F389" s="410"/>
      <c r="G389" s="396"/>
      <c r="H389" s="410"/>
      <c r="I389" s="410"/>
      <c r="J389" s="411"/>
      <c r="K389" s="399"/>
      <c r="L389" s="399"/>
      <c r="M389" s="73"/>
      <c r="N389" s="396"/>
      <c r="O389" s="396"/>
      <c r="P389" s="396"/>
      <c r="Q389" s="410"/>
      <c r="R389" s="411"/>
      <c r="S389" s="411"/>
      <c r="T389" s="411"/>
      <c r="AF389" s="352" t="n">
        <f aca="false">EOMONTH(AF388,0)+1</f>
        <v>48274</v>
      </c>
      <c r="AG389" s="311" t="n">
        <v>22</v>
      </c>
      <c r="AH389" s="311" t="n">
        <v>4</v>
      </c>
      <c r="AI389" s="311" t="n">
        <v>5</v>
      </c>
      <c r="AJ389" s="311" t="n">
        <v>0</v>
      </c>
      <c r="AK389" s="311" t="n">
        <v>31</v>
      </c>
      <c r="AL389" s="311"/>
      <c r="AM389" s="336"/>
    </row>
    <row r="390" customFormat="false" ht="12.75" hidden="false" customHeight="false" outlineLevel="0" collapsed="false">
      <c r="A390" s="408"/>
      <c r="B390" s="396"/>
      <c r="C390" s="409"/>
      <c r="D390" s="410"/>
      <c r="E390" s="396"/>
      <c r="F390" s="410"/>
      <c r="G390" s="396"/>
      <c r="H390" s="410"/>
      <c r="I390" s="410"/>
      <c r="J390" s="411"/>
      <c r="K390" s="399"/>
      <c r="L390" s="399"/>
      <c r="M390" s="73"/>
      <c r="N390" s="396"/>
      <c r="O390" s="396"/>
      <c r="P390" s="396"/>
      <c r="Q390" s="410"/>
      <c r="R390" s="411"/>
      <c r="S390" s="411"/>
      <c r="T390" s="411"/>
      <c r="AF390" s="352" t="n">
        <f aca="false">EOMONTH(AF389,0)+1</f>
        <v>48305</v>
      </c>
      <c r="AG390" s="311" t="n">
        <v>22</v>
      </c>
      <c r="AH390" s="311" t="n">
        <v>4</v>
      </c>
      <c r="AI390" s="311" t="n">
        <v>4</v>
      </c>
      <c r="AJ390" s="311" t="n">
        <v>0</v>
      </c>
      <c r="AK390" s="311" t="n">
        <v>30</v>
      </c>
      <c r="AL390" s="311"/>
      <c r="AM390" s="336"/>
    </row>
    <row r="391" customFormat="false" ht="12.75" hidden="false" customHeight="false" outlineLevel="0" collapsed="false">
      <c r="A391" s="408"/>
      <c r="B391" s="396"/>
      <c r="C391" s="409"/>
      <c r="D391" s="410"/>
      <c r="E391" s="396"/>
      <c r="F391" s="410"/>
      <c r="G391" s="396"/>
      <c r="H391" s="410"/>
      <c r="I391" s="410"/>
      <c r="J391" s="411"/>
      <c r="K391" s="399"/>
      <c r="L391" s="399"/>
      <c r="M391" s="73"/>
      <c r="N391" s="396"/>
      <c r="O391" s="396"/>
      <c r="P391" s="396"/>
      <c r="Q391" s="410"/>
      <c r="R391" s="411"/>
      <c r="S391" s="411"/>
      <c r="T391" s="411"/>
      <c r="AF391" s="352" t="n">
        <f aca="false">EOMONTH(AF390,0)+1</f>
        <v>48335</v>
      </c>
      <c r="AG391" s="311" t="n">
        <v>20</v>
      </c>
      <c r="AH391" s="311" t="n">
        <v>5</v>
      </c>
      <c r="AI391" s="311" t="n">
        <v>6</v>
      </c>
      <c r="AJ391" s="311" t="n">
        <v>1</v>
      </c>
      <c r="AK391" s="311" t="n">
        <v>31</v>
      </c>
      <c r="AL391" s="311"/>
      <c r="AM391" s="336"/>
    </row>
    <row r="392" customFormat="false" ht="12.75" hidden="false" customHeight="false" outlineLevel="0" collapsed="false">
      <c r="A392" s="408"/>
      <c r="B392" s="396"/>
      <c r="C392" s="409"/>
      <c r="D392" s="410"/>
      <c r="E392" s="396"/>
      <c r="F392" s="410"/>
      <c r="G392" s="396"/>
      <c r="H392" s="410"/>
      <c r="I392" s="410"/>
      <c r="J392" s="411"/>
      <c r="K392" s="399"/>
      <c r="L392" s="399"/>
      <c r="M392" s="73"/>
      <c r="N392" s="396"/>
      <c r="O392" s="396"/>
      <c r="P392" s="396"/>
      <c r="Q392" s="410"/>
      <c r="R392" s="411"/>
      <c r="S392" s="411"/>
      <c r="T392" s="411"/>
      <c r="AF392" s="352" t="n">
        <f aca="false">EOMONTH(AF391,0)+1</f>
        <v>48366</v>
      </c>
      <c r="AG392" s="311" t="n">
        <v>22</v>
      </c>
      <c r="AH392" s="311" t="n">
        <v>4</v>
      </c>
      <c r="AI392" s="311" t="n">
        <v>4</v>
      </c>
      <c r="AJ392" s="311" t="n">
        <v>0</v>
      </c>
      <c r="AK392" s="311" t="n">
        <v>30</v>
      </c>
      <c r="AL392" s="311"/>
      <c r="AM392" s="336"/>
    </row>
    <row r="393" customFormat="false" ht="12.75" hidden="false" customHeight="false" outlineLevel="0" collapsed="false">
      <c r="A393" s="408"/>
      <c r="B393" s="396"/>
      <c r="C393" s="409"/>
      <c r="D393" s="410"/>
      <c r="E393" s="396"/>
      <c r="F393" s="410"/>
      <c r="G393" s="396"/>
      <c r="H393" s="410"/>
      <c r="I393" s="410"/>
      <c r="J393" s="411"/>
      <c r="K393" s="399"/>
      <c r="L393" s="399"/>
      <c r="M393" s="73"/>
      <c r="N393" s="396"/>
      <c r="O393" s="396"/>
      <c r="P393" s="396"/>
      <c r="Q393" s="410"/>
      <c r="R393" s="411"/>
      <c r="S393" s="411"/>
      <c r="T393" s="411"/>
      <c r="AF393" s="352" t="n">
        <f aca="false">EOMONTH(AF392,0)+1</f>
        <v>48396</v>
      </c>
      <c r="AG393" s="311" t="n">
        <v>23</v>
      </c>
      <c r="AH393" s="311" t="n">
        <v>3</v>
      </c>
      <c r="AI393" s="311" t="n">
        <v>5</v>
      </c>
      <c r="AJ393" s="311" t="n">
        <v>1</v>
      </c>
      <c r="AK393" s="311" t="n">
        <v>31</v>
      </c>
      <c r="AL393" s="311"/>
      <c r="AM393" s="336"/>
    </row>
    <row r="394" customFormat="false" ht="12.75" hidden="false" customHeight="false" outlineLevel="0" collapsed="false">
      <c r="A394" s="408"/>
      <c r="B394" s="396"/>
      <c r="C394" s="409"/>
      <c r="D394" s="410"/>
      <c r="E394" s="396"/>
      <c r="F394" s="410"/>
      <c r="G394" s="396"/>
      <c r="H394" s="410"/>
      <c r="I394" s="410"/>
      <c r="J394" s="411"/>
      <c r="K394" s="399"/>
      <c r="L394" s="399"/>
      <c r="M394" s="73"/>
      <c r="N394" s="396"/>
      <c r="O394" s="396"/>
      <c r="P394" s="396"/>
      <c r="Q394" s="410"/>
      <c r="R394" s="411"/>
      <c r="S394" s="411"/>
      <c r="T394" s="411"/>
      <c r="AF394" s="352" t="n">
        <f aca="false">EOMONTH(AF393,0)+1</f>
        <v>48427</v>
      </c>
      <c r="AG394" s="311" t="n">
        <v>21</v>
      </c>
      <c r="AH394" s="311" t="n">
        <v>5</v>
      </c>
      <c r="AI394" s="311" t="n">
        <v>5</v>
      </c>
      <c r="AJ394" s="311" t="n">
        <v>0</v>
      </c>
      <c r="AK394" s="311" t="n">
        <v>31</v>
      </c>
      <c r="AL394" s="311"/>
      <c r="AM394" s="336"/>
    </row>
    <row r="395" customFormat="false" ht="12.75" hidden="false" customHeight="false" outlineLevel="0" collapsed="false">
      <c r="A395" s="408"/>
      <c r="B395" s="396"/>
      <c r="C395" s="409"/>
      <c r="D395" s="410"/>
      <c r="E395" s="396"/>
      <c r="F395" s="410"/>
      <c r="G395" s="396"/>
      <c r="H395" s="410"/>
      <c r="I395" s="410"/>
      <c r="J395" s="411"/>
      <c r="K395" s="399"/>
      <c r="L395" s="399"/>
      <c r="M395" s="73"/>
      <c r="N395" s="396"/>
      <c r="O395" s="396"/>
      <c r="P395" s="396"/>
      <c r="Q395" s="410"/>
      <c r="R395" s="411"/>
      <c r="S395" s="411"/>
      <c r="T395" s="411"/>
      <c r="AF395" s="352" t="n">
        <f aca="false">EOMONTH(AF394,0)+1</f>
        <v>48458</v>
      </c>
      <c r="AG395" s="311" t="n">
        <v>21</v>
      </c>
      <c r="AH395" s="311" t="n">
        <v>4</v>
      </c>
      <c r="AI395" s="311" t="n">
        <v>5</v>
      </c>
      <c r="AJ395" s="311" t="n">
        <v>1</v>
      </c>
      <c r="AK395" s="311" t="n">
        <v>30</v>
      </c>
      <c r="AL395" s="311"/>
      <c r="AM395" s="336"/>
    </row>
    <row r="396" customFormat="false" ht="12.75" hidden="false" customHeight="false" outlineLevel="0" collapsed="false">
      <c r="A396" s="408"/>
      <c r="B396" s="396"/>
      <c r="C396" s="409"/>
      <c r="D396" s="410"/>
      <c r="E396" s="396"/>
      <c r="F396" s="410"/>
      <c r="G396" s="396"/>
      <c r="H396" s="410"/>
      <c r="I396" s="410"/>
      <c r="J396" s="411"/>
      <c r="K396" s="399"/>
      <c r="L396" s="399"/>
      <c r="M396" s="73"/>
      <c r="N396" s="396"/>
      <c r="O396" s="396"/>
      <c r="P396" s="396"/>
      <c r="Q396" s="410"/>
      <c r="R396" s="411"/>
      <c r="S396" s="411"/>
      <c r="T396" s="411"/>
      <c r="AF396" s="352" t="n">
        <f aca="false">EOMONTH(AF395,0)+1</f>
        <v>48488</v>
      </c>
      <c r="AG396" s="311" t="n">
        <v>22</v>
      </c>
      <c r="AH396" s="311" t="n">
        <v>5</v>
      </c>
      <c r="AI396" s="311" t="n">
        <v>4</v>
      </c>
      <c r="AJ396" s="311" t="n">
        <v>0</v>
      </c>
      <c r="AK396" s="311" t="n">
        <v>31</v>
      </c>
      <c r="AL396" s="311"/>
      <c r="AM396" s="336"/>
    </row>
    <row r="397" customFormat="false" ht="12.75" hidden="false" customHeight="false" outlineLevel="0" collapsed="false">
      <c r="A397" s="408"/>
      <c r="B397" s="396"/>
      <c r="C397" s="409"/>
      <c r="D397" s="410"/>
      <c r="E397" s="396"/>
      <c r="F397" s="410"/>
      <c r="G397" s="396"/>
      <c r="H397" s="410"/>
      <c r="I397" s="410"/>
      <c r="J397" s="411"/>
      <c r="K397" s="399"/>
      <c r="L397" s="399"/>
      <c r="M397" s="73"/>
      <c r="N397" s="396"/>
      <c r="O397" s="396"/>
      <c r="P397" s="396"/>
      <c r="Q397" s="410"/>
      <c r="R397" s="411"/>
      <c r="S397" s="411"/>
      <c r="T397" s="411"/>
      <c r="AF397" s="352" t="n">
        <f aca="false">EOMONTH(AF396,0)+1</f>
        <v>48519</v>
      </c>
      <c r="AG397" s="311" t="n">
        <v>20</v>
      </c>
      <c r="AH397" s="311" t="n">
        <v>4</v>
      </c>
      <c r="AI397" s="311" t="n">
        <v>6</v>
      </c>
      <c r="AJ397" s="311" t="n">
        <v>1</v>
      </c>
      <c r="AK397" s="311" t="n">
        <v>30</v>
      </c>
      <c r="AL397" s="311"/>
      <c r="AM397" s="336"/>
    </row>
    <row r="398" customFormat="false" ht="12.75" hidden="false" customHeight="false" outlineLevel="0" collapsed="false">
      <c r="A398" s="408"/>
      <c r="B398" s="396"/>
      <c r="C398" s="409"/>
      <c r="D398" s="410"/>
      <c r="E398" s="396"/>
      <c r="F398" s="410"/>
      <c r="G398" s="396"/>
      <c r="H398" s="410"/>
      <c r="I398" s="410"/>
      <c r="J398" s="411"/>
      <c r="K398" s="399"/>
      <c r="L398" s="399"/>
      <c r="M398" s="73"/>
      <c r="N398" s="396"/>
      <c r="O398" s="396"/>
      <c r="P398" s="396"/>
      <c r="Q398" s="410"/>
      <c r="R398" s="411"/>
      <c r="S398" s="411"/>
      <c r="T398" s="411"/>
      <c r="AF398" s="352" t="n">
        <f aca="false">EOMONTH(AF397,0)+1</f>
        <v>48549</v>
      </c>
      <c r="AG398" s="311" t="n">
        <v>22</v>
      </c>
      <c r="AH398" s="311" t="n">
        <v>4</v>
      </c>
      <c r="AI398" s="311" t="n">
        <v>5</v>
      </c>
      <c r="AJ398" s="311" t="n">
        <v>1</v>
      </c>
      <c r="AK398" s="311" t="n">
        <v>31</v>
      </c>
      <c r="AL398" s="311"/>
      <c r="AM398" s="336"/>
    </row>
    <row r="399" customFormat="false" ht="12.75" hidden="false" customHeight="false" outlineLevel="0" collapsed="false">
      <c r="A399" s="408"/>
      <c r="B399" s="396"/>
      <c r="C399" s="409"/>
      <c r="D399" s="410"/>
      <c r="E399" s="396"/>
      <c r="F399" s="410"/>
      <c r="G399" s="396"/>
      <c r="H399" s="410"/>
      <c r="I399" s="410"/>
      <c r="J399" s="411"/>
      <c r="K399" s="399"/>
      <c r="L399" s="399"/>
      <c r="M399" s="73"/>
      <c r="N399" s="396"/>
      <c r="O399" s="396"/>
      <c r="P399" s="396"/>
      <c r="Q399" s="410"/>
      <c r="R399" s="411"/>
      <c r="S399" s="411"/>
      <c r="T399" s="411"/>
      <c r="AF399" s="352" t="n">
        <f aca="false">EOMONTH(AF398,0)+1</f>
        <v>48580</v>
      </c>
      <c r="AG399" s="311" t="n">
        <v>22</v>
      </c>
      <c r="AH399" s="311" t="n">
        <v>4</v>
      </c>
      <c r="AI399" s="311" t="n">
        <v>5</v>
      </c>
      <c r="AJ399" s="311" t="n">
        <v>1</v>
      </c>
      <c r="AK399" s="311" t="n">
        <v>31</v>
      </c>
      <c r="AL399" s="311"/>
      <c r="AM399" s="336"/>
    </row>
    <row r="400" customFormat="false" ht="12.75" hidden="false" customHeight="false" outlineLevel="0" collapsed="false">
      <c r="A400" s="408"/>
      <c r="B400" s="396"/>
      <c r="C400" s="409"/>
      <c r="D400" s="410"/>
      <c r="E400" s="396"/>
      <c r="F400" s="410"/>
      <c r="G400" s="396"/>
      <c r="H400" s="410"/>
      <c r="I400" s="410"/>
      <c r="J400" s="411"/>
      <c r="K400" s="399"/>
      <c r="L400" s="399"/>
      <c r="M400" s="73"/>
      <c r="N400" s="396"/>
      <c r="O400" s="396"/>
      <c r="P400" s="396"/>
      <c r="Q400" s="410"/>
      <c r="R400" s="411"/>
      <c r="S400" s="411"/>
      <c r="T400" s="411"/>
      <c r="AF400" s="352" t="n">
        <f aca="false">EOMONTH(AF399,0)+1</f>
        <v>48611</v>
      </c>
      <c r="AG400" s="311" t="n">
        <v>20</v>
      </c>
      <c r="AH400" s="311" t="n">
        <v>4</v>
      </c>
      <c r="AI400" s="311" t="n">
        <v>4</v>
      </c>
      <c r="AJ400" s="311" t="n">
        <v>0</v>
      </c>
      <c r="AK400" s="311" t="n">
        <v>28</v>
      </c>
      <c r="AL400" s="311"/>
      <c r="AM400" s="336"/>
    </row>
    <row r="401" customFormat="false" ht="12.75" hidden="false" customHeight="false" outlineLevel="0" collapsed="false">
      <c r="A401" s="408"/>
      <c r="B401" s="396"/>
      <c r="C401" s="409"/>
      <c r="D401" s="410"/>
      <c r="E401" s="396"/>
      <c r="F401" s="410"/>
      <c r="G401" s="396"/>
      <c r="H401" s="410"/>
      <c r="I401" s="410"/>
      <c r="J401" s="411"/>
      <c r="K401" s="399"/>
      <c r="L401" s="399"/>
      <c r="M401" s="73"/>
      <c r="N401" s="396"/>
      <c r="O401" s="396"/>
      <c r="P401" s="396"/>
      <c r="Q401" s="410"/>
      <c r="R401" s="411"/>
      <c r="S401" s="411"/>
      <c r="T401" s="411"/>
      <c r="AF401" s="352" t="n">
        <f aca="false">EOMONTH(AF400,0)+1</f>
        <v>48639</v>
      </c>
      <c r="AG401" s="311" t="n">
        <v>21</v>
      </c>
      <c r="AH401" s="311" t="n">
        <v>5</v>
      </c>
      <c r="AI401" s="311" t="n">
        <v>5</v>
      </c>
      <c r="AJ401" s="311" t="n">
        <v>0</v>
      </c>
      <c r="AK401" s="311" t="n">
        <v>31</v>
      </c>
      <c r="AL401" s="311"/>
      <c r="AM401" s="336"/>
    </row>
    <row r="402" customFormat="false" ht="12.75" hidden="false" customHeight="false" outlineLevel="0" collapsed="false">
      <c r="A402" s="408"/>
      <c r="B402" s="396"/>
      <c r="C402" s="409"/>
      <c r="D402" s="410"/>
      <c r="E402" s="396"/>
      <c r="F402" s="410"/>
      <c r="G402" s="396"/>
      <c r="H402" s="410"/>
      <c r="I402" s="410"/>
      <c r="J402" s="411"/>
      <c r="K402" s="399"/>
      <c r="L402" s="399"/>
      <c r="M402" s="73"/>
      <c r="N402" s="396"/>
      <c r="O402" s="396"/>
      <c r="P402" s="396"/>
      <c r="Q402" s="410"/>
      <c r="R402" s="411"/>
      <c r="S402" s="411"/>
      <c r="T402" s="411"/>
      <c r="AF402" s="352" t="n">
        <f aca="false">EOMONTH(AF401,0)+1</f>
        <v>48670</v>
      </c>
      <c r="AG402" s="311" t="n">
        <v>22</v>
      </c>
      <c r="AH402" s="311" t="n">
        <v>4</v>
      </c>
      <c r="AI402" s="311" t="n">
        <v>4</v>
      </c>
      <c r="AJ402" s="311" t="n">
        <v>0</v>
      </c>
      <c r="AK402" s="311" t="n">
        <v>30</v>
      </c>
      <c r="AL402" s="311"/>
      <c r="AM402" s="336"/>
    </row>
    <row r="403" customFormat="false" ht="12.75" hidden="false" customHeight="false" outlineLevel="0" collapsed="false">
      <c r="A403" s="408"/>
      <c r="B403" s="396"/>
      <c r="C403" s="409"/>
      <c r="D403" s="410"/>
      <c r="E403" s="396"/>
      <c r="F403" s="410"/>
      <c r="G403" s="396"/>
      <c r="H403" s="410"/>
      <c r="I403" s="410"/>
      <c r="J403" s="411"/>
      <c r="K403" s="399"/>
      <c r="L403" s="399"/>
      <c r="M403" s="73"/>
      <c r="N403" s="396"/>
      <c r="O403" s="396"/>
      <c r="P403" s="396"/>
      <c r="Q403" s="410"/>
      <c r="R403" s="411"/>
      <c r="S403" s="411"/>
      <c r="T403" s="411"/>
      <c r="AF403" s="352" t="n">
        <f aca="false">EOMONTH(AF402,0)+1</f>
        <v>48700</v>
      </c>
      <c r="AG403" s="311" t="n">
        <v>22</v>
      </c>
      <c r="AH403" s="311" t="n">
        <v>4</v>
      </c>
      <c r="AI403" s="311" t="n">
        <v>5</v>
      </c>
      <c r="AJ403" s="311" t="n">
        <v>1</v>
      </c>
      <c r="AK403" s="311" t="n">
        <v>31</v>
      </c>
      <c r="AL403" s="311"/>
      <c r="AM403" s="336"/>
    </row>
    <row r="404" customFormat="false" ht="12.75" hidden="false" customHeight="false" outlineLevel="0" collapsed="false">
      <c r="A404" s="408"/>
      <c r="B404" s="396"/>
      <c r="C404" s="409"/>
      <c r="D404" s="410"/>
      <c r="E404" s="396"/>
      <c r="F404" s="410"/>
      <c r="G404" s="396"/>
      <c r="H404" s="410"/>
      <c r="I404" s="410"/>
      <c r="J404" s="411"/>
      <c r="K404" s="399"/>
      <c r="L404" s="399"/>
      <c r="M404" s="73"/>
      <c r="N404" s="396"/>
      <c r="O404" s="396"/>
      <c r="P404" s="396"/>
      <c r="Q404" s="410"/>
      <c r="R404" s="411"/>
      <c r="S404" s="411"/>
      <c r="T404" s="411"/>
      <c r="AF404" s="352" t="n">
        <f aca="false">EOMONTH(AF403,0)+1</f>
        <v>48731</v>
      </c>
      <c r="AG404" s="311" t="n">
        <v>20</v>
      </c>
      <c r="AH404" s="311" t="n">
        <v>5</v>
      </c>
      <c r="AI404" s="311" t="n">
        <v>5</v>
      </c>
      <c r="AJ404" s="311" t="n">
        <v>0</v>
      </c>
      <c r="AK404" s="311" t="n">
        <v>30</v>
      </c>
      <c r="AL404" s="311"/>
      <c r="AM404" s="336"/>
    </row>
    <row r="405" customFormat="false" ht="12.75" hidden="false" customHeight="false" outlineLevel="0" collapsed="false">
      <c r="A405" s="408"/>
      <c r="B405" s="396"/>
      <c r="C405" s="409"/>
      <c r="D405" s="410"/>
      <c r="E405" s="396"/>
      <c r="F405" s="410"/>
      <c r="G405" s="396"/>
      <c r="H405" s="410"/>
      <c r="I405" s="410"/>
      <c r="J405" s="411"/>
      <c r="K405" s="399"/>
      <c r="L405" s="399"/>
      <c r="M405" s="73"/>
      <c r="N405" s="396"/>
      <c r="O405" s="396"/>
      <c r="P405" s="396"/>
      <c r="Q405" s="410"/>
      <c r="R405" s="411"/>
      <c r="S405" s="411"/>
      <c r="T405" s="411"/>
      <c r="AF405" s="352" t="n">
        <f aca="false">EOMONTH(AF404,0)+1</f>
        <v>48761</v>
      </c>
      <c r="AG405" s="311" t="n">
        <v>22</v>
      </c>
      <c r="AH405" s="311" t="n">
        <v>4</v>
      </c>
      <c r="AI405" s="311" t="n">
        <v>5</v>
      </c>
      <c r="AJ405" s="311" t="n">
        <v>1</v>
      </c>
      <c r="AK405" s="311" t="n">
        <v>31</v>
      </c>
      <c r="AL405" s="311"/>
      <c r="AM405" s="336"/>
    </row>
    <row r="406" customFormat="false" ht="12.75" hidden="false" customHeight="false" outlineLevel="0" collapsed="false">
      <c r="A406" s="408"/>
      <c r="B406" s="396"/>
      <c r="C406" s="409"/>
      <c r="D406" s="410"/>
      <c r="E406" s="396"/>
      <c r="F406" s="410"/>
      <c r="G406" s="396"/>
      <c r="H406" s="410"/>
      <c r="I406" s="410"/>
      <c r="J406" s="411"/>
      <c r="K406" s="399"/>
      <c r="L406" s="399"/>
      <c r="M406" s="73"/>
      <c r="N406" s="396"/>
      <c r="O406" s="396"/>
      <c r="P406" s="396"/>
      <c r="Q406" s="410"/>
      <c r="R406" s="411"/>
      <c r="S406" s="411"/>
      <c r="T406" s="411"/>
      <c r="AF406" s="352" t="n">
        <f aca="false">EOMONTH(AF405,0)+1</f>
        <v>48792</v>
      </c>
      <c r="AG406" s="311" t="n">
        <v>22</v>
      </c>
      <c r="AH406" s="311" t="n">
        <v>5</v>
      </c>
      <c r="AI406" s="311" t="n">
        <v>4</v>
      </c>
      <c r="AJ406" s="311" t="n">
        <v>0</v>
      </c>
      <c r="AK406" s="311" t="n">
        <v>31</v>
      </c>
      <c r="AL406" s="311"/>
      <c r="AM406" s="336"/>
    </row>
    <row r="407" customFormat="false" ht="12.75" hidden="false" customHeight="false" outlineLevel="0" collapsed="false">
      <c r="A407" s="408"/>
      <c r="B407" s="396"/>
      <c r="C407" s="409"/>
      <c r="D407" s="410"/>
      <c r="E407" s="396"/>
      <c r="F407" s="410"/>
      <c r="G407" s="396"/>
      <c r="H407" s="410"/>
      <c r="I407" s="410"/>
      <c r="J407" s="411"/>
      <c r="K407" s="399"/>
      <c r="L407" s="399"/>
      <c r="M407" s="73"/>
      <c r="N407" s="396"/>
      <c r="O407" s="396"/>
      <c r="P407" s="396"/>
      <c r="Q407" s="410"/>
      <c r="R407" s="411"/>
      <c r="S407" s="411"/>
      <c r="T407" s="411"/>
      <c r="AF407" s="352" t="n">
        <f aca="false">EOMONTH(AF406,0)+1</f>
        <v>48823</v>
      </c>
      <c r="AG407" s="311" t="n">
        <v>20</v>
      </c>
      <c r="AH407" s="311" t="n">
        <v>4</v>
      </c>
      <c r="AI407" s="311" t="n">
        <v>6</v>
      </c>
      <c r="AJ407" s="311" t="n">
        <v>1</v>
      </c>
      <c r="AK407" s="311" t="n">
        <v>30</v>
      </c>
      <c r="AL407" s="311"/>
      <c r="AM407" s="336"/>
    </row>
    <row r="408" customFormat="false" ht="12.75" hidden="false" customHeight="false" outlineLevel="0" collapsed="false">
      <c r="A408" s="408"/>
      <c r="B408" s="396"/>
      <c r="C408" s="409"/>
      <c r="D408" s="410"/>
      <c r="E408" s="396"/>
      <c r="F408" s="410"/>
      <c r="G408" s="396"/>
      <c r="H408" s="410"/>
      <c r="I408" s="410"/>
      <c r="J408" s="411"/>
      <c r="K408" s="399"/>
      <c r="L408" s="399"/>
      <c r="M408" s="73"/>
      <c r="N408" s="396"/>
      <c r="O408" s="396"/>
      <c r="P408" s="396"/>
      <c r="Q408" s="410"/>
      <c r="R408" s="411"/>
      <c r="S408" s="411"/>
      <c r="T408" s="411"/>
      <c r="AF408" s="352" t="n">
        <f aca="false">EOMONTH(AF407,0)+1</f>
        <v>48853</v>
      </c>
      <c r="AG408" s="311" t="n">
        <v>23</v>
      </c>
      <c r="AH408" s="311" t="n">
        <v>4</v>
      </c>
      <c r="AI408" s="311" t="n">
        <v>4</v>
      </c>
      <c r="AJ408" s="311" t="n">
        <v>0</v>
      </c>
      <c r="AK408" s="311" t="n">
        <v>31</v>
      </c>
      <c r="AL408" s="311"/>
      <c r="AM408" s="336"/>
    </row>
    <row r="409" customFormat="false" ht="12.75" hidden="false" customHeight="false" outlineLevel="0" collapsed="false">
      <c r="A409" s="408"/>
      <c r="B409" s="396"/>
      <c r="C409" s="409"/>
      <c r="D409" s="410"/>
      <c r="E409" s="396"/>
      <c r="F409" s="410"/>
      <c r="G409" s="396"/>
      <c r="H409" s="410"/>
      <c r="I409" s="410"/>
      <c r="J409" s="411"/>
      <c r="K409" s="399"/>
      <c r="L409" s="399"/>
      <c r="M409" s="73"/>
      <c r="N409" s="396"/>
      <c r="O409" s="396"/>
      <c r="P409" s="396"/>
      <c r="Q409" s="410"/>
      <c r="R409" s="411"/>
      <c r="S409" s="411"/>
      <c r="T409" s="411"/>
      <c r="AF409" s="352" t="n">
        <f aca="false">EOMONTH(AF408,0)+1</f>
        <v>48884</v>
      </c>
      <c r="AG409" s="311" t="n">
        <v>20</v>
      </c>
      <c r="AH409" s="311" t="n">
        <v>5</v>
      </c>
      <c r="AI409" s="311" t="n">
        <v>5</v>
      </c>
      <c r="AJ409" s="311" t="n">
        <v>1</v>
      </c>
      <c r="AK409" s="311" t="n">
        <v>30</v>
      </c>
      <c r="AL409" s="311"/>
      <c r="AM409" s="336"/>
    </row>
    <row r="410" customFormat="false" ht="12.75" hidden="false" customHeight="false" outlineLevel="0" collapsed="false">
      <c r="A410" s="408"/>
      <c r="B410" s="396"/>
      <c r="C410" s="409"/>
      <c r="D410" s="410"/>
      <c r="E410" s="396"/>
      <c r="F410" s="410"/>
      <c r="G410" s="396"/>
      <c r="H410" s="410"/>
      <c r="I410" s="410"/>
      <c r="J410" s="411"/>
      <c r="K410" s="399"/>
      <c r="L410" s="399"/>
      <c r="M410" s="73"/>
      <c r="N410" s="396"/>
      <c r="O410" s="396"/>
      <c r="P410" s="396"/>
      <c r="Q410" s="410"/>
      <c r="R410" s="411"/>
      <c r="S410" s="411"/>
      <c r="T410" s="411"/>
      <c r="AF410" s="352" t="n">
        <f aca="false">EOMONTH(AF409,0)+1</f>
        <v>48914</v>
      </c>
      <c r="AG410" s="311" t="n">
        <v>21</v>
      </c>
      <c r="AH410" s="311" t="n">
        <v>4</v>
      </c>
      <c r="AI410" s="311" t="n">
        <v>6</v>
      </c>
      <c r="AJ410" s="311" t="n">
        <v>1</v>
      </c>
      <c r="AK410" s="311" t="n">
        <v>31</v>
      </c>
      <c r="AL410" s="311"/>
      <c r="AM410" s="336"/>
    </row>
    <row r="411" customFormat="false" ht="12.75" hidden="false" customHeight="false" outlineLevel="0" collapsed="false">
      <c r="A411" s="408"/>
      <c r="B411" s="396"/>
      <c r="C411" s="409"/>
      <c r="D411" s="410"/>
      <c r="E411" s="396"/>
      <c r="F411" s="410"/>
      <c r="G411" s="396"/>
      <c r="H411" s="410"/>
      <c r="I411" s="410"/>
      <c r="J411" s="411"/>
      <c r="K411" s="399"/>
      <c r="L411" s="399"/>
      <c r="M411" s="73"/>
      <c r="N411" s="396"/>
      <c r="O411" s="396"/>
      <c r="P411" s="396"/>
      <c r="Q411" s="410"/>
      <c r="R411" s="411"/>
      <c r="S411" s="411"/>
      <c r="T411" s="411"/>
      <c r="AF411" s="352" t="n">
        <f aca="false">EOMONTH(AF410,0)+1</f>
        <v>48945</v>
      </c>
      <c r="AG411" s="311" t="n">
        <v>22</v>
      </c>
      <c r="AH411" s="311" t="n">
        <v>4</v>
      </c>
      <c r="AI411" s="311" t="n">
        <v>5</v>
      </c>
      <c r="AJ411" s="311" t="n">
        <v>1</v>
      </c>
      <c r="AK411" s="311" t="n">
        <v>31</v>
      </c>
      <c r="AL411" s="311"/>
      <c r="AM411" s="336"/>
    </row>
    <row r="412" customFormat="false" ht="12.75" hidden="false" customHeight="false" outlineLevel="0" collapsed="false">
      <c r="A412" s="408"/>
      <c r="B412" s="396"/>
      <c r="C412" s="409"/>
      <c r="D412" s="410"/>
      <c r="E412" s="396"/>
      <c r="F412" s="410"/>
      <c r="G412" s="396"/>
      <c r="H412" s="410"/>
      <c r="I412" s="410"/>
      <c r="J412" s="411"/>
      <c r="K412" s="399"/>
      <c r="L412" s="399"/>
      <c r="M412" s="73"/>
      <c r="N412" s="396"/>
      <c r="O412" s="396"/>
      <c r="P412" s="396"/>
      <c r="Q412" s="410"/>
      <c r="R412" s="411"/>
      <c r="S412" s="411"/>
      <c r="T412" s="411"/>
      <c r="AF412" s="352" t="n">
        <f aca="false">EOMONTH(AF411,0)+1</f>
        <v>48976</v>
      </c>
      <c r="AG412" s="311" t="n">
        <v>20</v>
      </c>
      <c r="AH412" s="311" t="n">
        <v>4</v>
      </c>
      <c r="AI412" s="311" t="n">
        <v>4</v>
      </c>
      <c r="AJ412" s="311" t="n">
        <v>0</v>
      </c>
      <c r="AK412" s="311" t="n">
        <v>28</v>
      </c>
      <c r="AL412" s="311"/>
      <c r="AM412" s="336"/>
    </row>
    <row r="413" customFormat="false" ht="12.75" hidden="false" customHeight="false" outlineLevel="0" collapsed="false">
      <c r="A413" s="408"/>
      <c r="B413" s="396"/>
      <c r="C413" s="409"/>
      <c r="D413" s="410"/>
      <c r="E413" s="396"/>
      <c r="F413" s="410"/>
      <c r="G413" s="396"/>
      <c r="H413" s="410"/>
      <c r="I413" s="410"/>
      <c r="J413" s="411"/>
      <c r="K413" s="399"/>
      <c r="L413" s="399"/>
      <c r="M413" s="73"/>
      <c r="N413" s="396"/>
      <c r="O413" s="396"/>
      <c r="P413" s="396"/>
      <c r="Q413" s="410"/>
      <c r="R413" s="411"/>
      <c r="S413" s="411"/>
      <c r="T413" s="411"/>
      <c r="AF413" s="352" t="n">
        <f aca="false">EOMONTH(AF412,0)+1</f>
        <v>49004</v>
      </c>
      <c r="AG413" s="311" t="n">
        <v>21</v>
      </c>
      <c r="AH413" s="311" t="n">
        <v>5</v>
      </c>
      <c r="AI413" s="311" t="n">
        <v>5</v>
      </c>
      <c r="AJ413" s="311" t="n">
        <v>0</v>
      </c>
      <c r="AK413" s="311" t="n">
        <v>31</v>
      </c>
      <c r="AL413" s="311"/>
      <c r="AM413" s="336"/>
    </row>
    <row r="414" customFormat="false" ht="12.75" hidden="false" customHeight="false" outlineLevel="0" collapsed="false">
      <c r="A414" s="408"/>
      <c r="B414" s="396"/>
      <c r="C414" s="409"/>
      <c r="D414" s="410"/>
      <c r="E414" s="396"/>
      <c r="F414" s="410"/>
      <c r="G414" s="396"/>
      <c r="H414" s="410"/>
      <c r="I414" s="410"/>
      <c r="J414" s="411"/>
      <c r="K414" s="399"/>
      <c r="L414" s="399"/>
      <c r="M414" s="73"/>
      <c r="N414" s="396"/>
      <c r="O414" s="396"/>
      <c r="P414" s="396"/>
      <c r="Q414" s="410"/>
      <c r="R414" s="411"/>
      <c r="S414" s="411"/>
      <c r="T414" s="411"/>
      <c r="AF414" s="352" t="n">
        <f aca="false">EOMONTH(AF413,0)+1</f>
        <v>49035</v>
      </c>
      <c r="AG414" s="311" t="n">
        <v>22</v>
      </c>
      <c r="AH414" s="311" t="n">
        <v>4</v>
      </c>
      <c r="AI414" s="311" t="n">
        <v>4</v>
      </c>
      <c r="AJ414" s="311" t="n">
        <v>0</v>
      </c>
      <c r="AK414" s="311" t="n">
        <v>30</v>
      </c>
      <c r="AL414" s="311"/>
      <c r="AM414" s="336"/>
    </row>
    <row r="415" customFormat="false" ht="12.75" hidden="false" customHeight="false" outlineLevel="0" collapsed="false">
      <c r="A415" s="408"/>
      <c r="B415" s="396"/>
      <c r="C415" s="409"/>
      <c r="D415" s="410"/>
      <c r="E415" s="396"/>
      <c r="F415" s="410"/>
      <c r="G415" s="396"/>
      <c r="H415" s="410"/>
      <c r="I415" s="410"/>
      <c r="J415" s="411"/>
      <c r="K415" s="399"/>
      <c r="L415" s="399"/>
      <c r="M415" s="73"/>
      <c r="N415" s="396"/>
      <c r="O415" s="396"/>
      <c r="P415" s="396"/>
      <c r="Q415" s="410"/>
      <c r="R415" s="411"/>
      <c r="S415" s="411"/>
      <c r="T415" s="411"/>
      <c r="AF415" s="352" t="n">
        <f aca="false">EOMONTH(AF414,0)+1</f>
        <v>49065</v>
      </c>
      <c r="AG415" s="311" t="n">
        <v>22</v>
      </c>
      <c r="AH415" s="311" t="n">
        <v>4</v>
      </c>
      <c r="AI415" s="311" t="n">
        <v>5</v>
      </c>
      <c r="AJ415" s="311" t="n">
        <v>1</v>
      </c>
      <c r="AK415" s="311" t="n">
        <v>31</v>
      </c>
      <c r="AL415" s="311"/>
      <c r="AM415" s="336"/>
    </row>
    <row r="416" customFormat="false" ht="12.75" hidden="false" customHeight="false" outlineLevel="0" collapsed="false">
      <c r="A416" s="408"/>
      <c r="B416" s="396"/>
      <c r="C416" s="409"/>
      <c r="D416" s="410"/>
      <c r="E416" s="396"/>
      <c r="F416" s="410"/>
      <c r="G416" s="396"/>
      <c r="H416" s="410"/>
      <c r="I416" s="410"/>
      <c r="J416" s="411"/>
      <c r="K416" s="399"/>
      <c r="L416" s="399"/>
      <c r="M416" s="73"/>
      <c r="N416" s="396"/>
      <c r="O416" s="396"/>
      <c r="P416" s="396"/>
      <c r="Q416" s="410"/>
      <c r="R416" s="411"/>
      <c r="S416" s="411"/>
      <c r="T416" s="411"/>
      <c r="AF416" s="352" t="n">
        <f aca="false">EOMONTH(AF415,0)+1</f>
        <v>49096</v>
      </c>
      <c r="AG416" s="311" t="n">
        <v>20</v>
      </c>
      <c r="AH416" s="311" t="n">
        <v>5</v>
      </c>
      <c r="AI416" s="311" t="n">
        <v>5</v>
      </c>
      <c r="AJ416" s="311" t="n">
        <v>0</v>
      </c>
      <c r="AK416" s="311" t="n">
        <v>30</v>
      </c>
      <c r="AL416" s="311"/>
      <c r="AM416" s="336"/>
    </row>
    <row r="417" customFormat="false" ht="12.75" hidden="false" customHeight="false" outlineLevel="0" collapsed="false">
      <c r="A417" s="408"/>
      <c r="B417" s="396"/>
      <c r="C417" s="409"/>
      <c r="D417" s="410"/>
      <c r="E417" s="396"/>
      <c r="F417" s="410"/>
      <c r="G417" s="396"/>
      <c r="H417" s="410"/>
      <c r="I417" s="410"/>
      <c r="J417" s="411"/>
      <c r="K417" s="399"/>
      <c r="L417" s="399"/>
      <c r="M417" s="73"/>
      <c r="N417" s="396"/>
      <c r="O417" s="396"/>
      <c r="P417" s="396"/>
      <c r="Q417" s="410"/>
      <c r="R417" s="411"/>
      <c r="S417" s="411"/>
      <c r="T417" s="411"/>
      <c r="AF417" s="352" t="n">
        <f aca="false">EOMONTH(AF416,0)+1</f>
        <v>49126</v>
      </c>
      <c r="AG417" s="311" t="n">
        <v>22</v>
      </c>
      <c r="AH417" s="311" t="n">
        <v>4</v>
      </c>
      <c r="AI417" s="311" t="n">
        <v>5</v>
      </c>
      <c r="AJ417" s="311" t="n">
        <v>1</v>
      </c>
      <c r="AK417" s="311" t="n">
        <v>31</v>
      </c>
      <c r="AL417" s="311"/>
      <c r="AM417" s="336"/>
    </row>
    <row r="418" customFormat="false" ht="12.75" hidden="false" customHeight="false" outlineLevel="0" collapsed="false">
      <c r="A418" s="408"/>
      <c r="B418" s="396"/>
      <c r="C418" s="409"/>
      <c r="D418" s="410"/>
      <c r="E418" s="396"/>
      <c r="F418" s="410"/>
      <c r="G418" s="396"/>
      <c r="H418" s="410"/>
      <c r="I418" s="410"/>
      <c r="J418" s="411"/>
      <c r="K418" s="399"/>
      <c r="L418" s="399"/>
      <c r="M418" s="73"/>
      <c r="N418" s="396"/>
      <c r="O418" s="396"/>
      <c r="P418" s="396"/>
      <c r="Q418" s="410"/>
      <c r="R418" s="411"/>
      <c r="S418" s="411"/>
      <c r="T418" s="411"/>
      <c r="AF418" s="352" t="n">
        <f aca="false">EOMONTH(AF417,0)+1</f>
        <v>49157</v>
      </c>
      <c r="AG418" s="311" t="n">
        <v>22</v>
      </c>
      <c r="AH418" s="311" t="n">
        <v>5</v>
      </c>
      <c r="AI418" s="311" t="n">
        <v>4</v>
      </c>
      <c r="AJ418" s="311" t="n">
        <v>0</v>
      </c>
      <c r="AK418" s="311" t="n">
        <v>31</v>
      </c>
      <c r="AL418" s="311"/>
      <c r="AM418" s="336"/>
    </row>
    <row r="419" customFormat="false" ht="12.75" hidden="false" customHeight="false" outlineLevel="0" collapsed="false">
      <c r="A419" s="408"/>
      <c r="B419" s="396"/>
      <c r="C419" s="409"/>
      <c r="D419" s="410"/>
      <c r="E419" s="396"/>
      <c r="F419" s="410"/>
      <c r="G419" s="396"/>
      <c r="H419" s="410"/>
      <c r="I419" s="410"/>
      <c r="J419" s="411"/>
      <c r="K419" s="399"/>
      <c r="L419" s="399"/>
      <c r="M419" s="73"/>
      <c r="N419" s="396"/>
      <c r="O419" s="396"/>
      <c r="P419" s="396"/>
      <c r="Q419" s="410"/>
      <c r="R419" s="411"/>
      <c r="S419" s="411"/>
      <c r="T419" s="411"/>
      <c r="AF419" s="352" t="n">
        <f aca="false">EOMONTH(AF418,0)+1</f>
        <v>49188</v>
      </c>
      <c r="AG419" s="311" t="n">
        <v>20</v>
      </c>
      <c r="AH419" s="311" t="n">
        <v>4</v>
      </c>
      <c r="AI419" s="311" t="n">
        <v>6</v>
      </c>
      <c r="AJ419" s="311" t="n">
        <v>1</v>
      </c>
      <c r="AK419" s="311" t="n">
        <v>30</v>
      </c>
      <c r="AL419" s="311"/>
      <c r="AM419" s="336"/>
    </row>
    <row r="420" customFormat="false" ht="12.75" hidden="false" customHeight="false" outlineLevel="0" collapsed="false">
      <c r="A420" s="408"/>
      <c r="B420" s="396"/>
      <c r="C420" s="409"/>
      <c r="D420" s="410"/>
      <c r="E420" s="396"/>
      <c r="F420" s="410"/>
      <c r="G420" s="396"/>
      <c r="H420" s="410"/>
      <c r="I420" s="410"/>
      <c r="J420" s="411"/>
      <c r="K420" s="399"/>
      <c r="L420" s="399"/>
      <c r="M420" s="73"/>
      <c r="N420" s="396"/>
      <c r="O420" s="396"/>
      <c r="P420" s="396"/>
      <c r="Q420" s="410"/>
      <c r="R420" s="411"/>
      <c r="S420" s="411"/>
      <c r="T420" s="411"/>
      <c r="AF420" s="352" t="n">
        <f aca="false">EOMONTH(AF419,0)+1</f>
        <v>49218</v>
      </c>
      <c r="AG420" s="311" t="n">
        <v>23</v>
      </c>
      <c r="AH420" s="311" t="n">
        <v>4</v>
      </c>
      <c r="AI420" s="311" t="n">
        <v>4</v>
      </c>
      <c r="AJ420" s="311" t="n">
        <v>0</v>
      </c>
      <c r="AK420" s="311" t="n">
        <v>31</v>
      </c>
      <c r="AL420" s="311"/>
      <c r="AM420" s="336"/>
    </row>
    <row r="421" customFormat="false" ht="12.75" hidden="false" customHeight="false" outlineLevel="0" collapsed="false">
      <c r="A421" s="408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AF421" s="352" t="n">
        <f aca="false">EOMONTH(AF420,0)+1</f>
        <v>49249</v>
      </c>
      <c r="AG421" s="311" t="n">
        <v>20</v>
      </c>
      <c r="AH421" s="311" t="n">
        <v>5</v>
      </c>
      <c r="AI421" s="311" t="n">
        <v>5</v>
      </c>
      <c r="AJ421" s="311" t="n">
        <v>1</v>
      </c>
      <c r="AK421" s="311" t="n">
        <v>30</v>
      </c>
      <c r="AL421" s="311"/>
      <c r="AM421" s="336"/>
    </row>
    <row r="422" customFormat="false" ht="12.75" hidden="false" customHeight="false" outlineLevel="0" collapsed="false">
      <c r="A422" s="408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AF422" s="352" t="n">
        <f aca="false">EOMONTH(AF421,0)+1</f>
        <v>49279</v>
      </c>
      <c r="AG422" s="311" t="n">
        <v>21</v>
      </c>
      <c r="AH422" s="311" t="n">
        <v>4</v>
      </c>
      <c r="AI422" s="311" t="n">
        <v>6</v>
      </c>
      <c r="AJ422" s="311" t="n">
        <v>1</v>
      </c>
      <c r="AK422" s="311" t="n">
        <v>31</v>
      </c>
      <c r="AL422" s="311"/>
      <c r="AM422" s="336"/>
    </row>
    <row r="423" customFormat="false" ht="12.75" hidden="false" customHeight="false" outlineLevel="0" collapsed="false">
      <c r="A423" s="408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AF423" s="352" t="n">
        <f aca="false">EOMONTH(AF422,0)+1</f>
        <v>49310</v>
      </c>
      <c r="AG423" s="311" t="n">
        <v>22</v>
      </c>
      <c r="AH423" s="311" t="n">
        <v>4</v>
      </c>
      <c r="AI423" s="311" t="n">
        <v>5</v>
      </c>
      <c r="AJ423" s="311" t="n">
        <v>1</v>
      </c>
      <c r="AK423" s="311" t="n">
        <v>31</v>
      </c>
      <c r="AL423" s="311"/>
      <c r="AM423" s="336"/>
    </row>
    <row r="424" customFormat="false" ht="12.75" hidden="false" customHeight="false" outlineLevel="0" collapsed="false">
      <c r="A424" s="408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AF424" s="352" t="n">
        <f aca="false">EOMONTH(AF423,0)+1</f>
        <v>49341</v>
      </c>
      <c r="AG424" s="311" t="n">
        <v>20</v>
      </c>
      <c r="AH424" s="311" t="n">
        <v>4</v>
      </c>
      <c r="AI424" s="311" t="n">
        <v>4</v>
      </c>
      <c r="AJ424" s="311" t="n">
        <v>0</v>
      </c>
      <c r="AK424" s="311" t="n">
        <v>28</v>
      </c>
      <c r="AL424" s="311"/>
      <c r="AM424" s="336"/>
    </row>
    <row r="425" customFormat="false" ht="12.75" hidden="false" customHeight="false" outlineLevel="0" collapsed="false">
      <c r="A425" s="408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AF425" s="352" t="n">
        <f aca="false">EOMONTH(AF424,0)+1</f>
        <v>49369</v>
      </c>
      <c r="AG425" s="311" t="n">
        <v>21</v>
      </c>
      <c r="AH425" s="311" t="n">
        <v>5</v>
      </c>
      <c r="AI425" s="311" t="n">
        <v>5</v>
      </c>
      <c r="AJ425" s="311" t="n">
        <v>0</v>
      </c>
      <c r="AK425" s="311" t="n">
        <v>31</v>
      </c>
      <c r="AL425" s="311"/>
      <c r="AM425" s="336"/>
    </row>
    <row r="426" customFormat="false" ht="12.75" hidden="false" customHeight="false" outlineLevel="0" collapsed="false">
      <c r="A426" s="408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AF426" s="352" t="n">
        <f aca="false">EOMONTH(AF425,0)+1</f>
        <v>49400</v>
      </c>
      <c r="AG426" s="311" t="n">
        <v>22</v>
      </c>
      <c r="AH426" s="311" t="n">
        <v>4</v>
      </c>
      <c r="AI426" s="311" t="n">
        <v>4</v>
      </c>
      <c r="AJ426" s="311" t="n">
        <v>0</v>
      </c>
      <c r="AK426" s="311" t="n">
        <v>30</v>
      </c>
      <c r="AL426" s="311"/>
      <c r="AM426" s="336"/>
    </row>
    <row r="427" customFormat="false" ht="12.75" hidden="false" customHeight="false" outlineLevel="0" collapsed="false">
      <c r="A427" s="408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AF427" s="352" t="n">
        <f aca="false">EOMONTH(AF426,0)+1</f>
        <v>49430</v>
      </c>
      <c r="AG427" s="311" t="n">
        <v>22</v>
      </c>
      <c r="AH427" s="311" t="n">
        <v>4</v>
      </c>
      <c r="AI427" s="311" t="n">
        <v>5</v>
      </c>
      <c r="AJ427" s="311" t="n">
        <v>1</v>
      </c>
      <c r="AK427" s="311" t="n">
        <v>31</v>
      </c>
      <c r="AL427" s="311"/>
      <c r="AM427" s="336"/>
    </row>
    <row r="428" customFormat="false" ht="12.75" hidden="false" customHeight="false" outlineLevel="0" collapsed="false">
      <c r="A428" s="405"/>
      <c r="AF428" s="352" t="n">
        <f aca="false">EOMONTH(AF427,0)+1</f>
        <v>49461</v>
      </c>
      <c r="AG428" s="311" t="n">
        <v>20</v>
      </c>
      <c r="AH428" s="311" t="n">
        <v>5</v>
      </c>
      <c r="AI428" s="311" t="n">
        <v>5</v>
      </c>
      <c r="AJ428" s="311" t="n">
        <v>0</v>
      </c>
      <c r="AK428" s="311" t="n">
        <v>30</v>
      </c>
      <c r="AL428" s="311"/>
      <c r="AM428" s="336"/>
    </row>
    <row r="429" customFormat="false" ht="12.75" hidden="false" customHeight="false" outlineLevel="0" collapsed="false">
      <c r="A429" s="405"/>
      <c r="AF429" s="352" t="n">
        <f aca="false">EOMONTH(AF428,0)+1</f>
        <v>49491</v>
      </c>
      <c r="AG429" s="311" t="n">
        <v>22</v>
      </c>
      <c r="AH429" s="311" t="n">
        <v>4</v>
      </c>
      <c r="AI429" s="311" t="n">
        <v>5</v>
      </c>
      <c r="AJ429" s="311" t="n">
        <v>1</v>
      </c>
      <c r="AK429" s="311" t="n">
        <v>31</v>
      </c>
      <c r="AL429" s="311"/>
      <c r="AM429" s="336"/>
    </row>
    <row r="430" customFormat="false" ht="12.75" hidden="false" customHeight="false" outlineLevel="0" collapsed="false">
      <c r="A430" s="405"/>
      <c r="AF430" s="352" t="n">
        <f aca="false">EOMONTH(AF429,0)+1</f>
        <v>49522</v>
      </c>
      <c r="AG430" s="311" t="n">
        <v>22</v>
      </c>
      <c r="AH430" s="311" t="n">
        <v>5</v>
      </c>
      <c r="AI430" s="311" t="n">
        <v>4</v>
      </c>
      <c r="AJ430" s="311" t="n">
        <v>0</v>
      </c>
      <c r="AK430" s="311" t="n">
        <v>31</v>
      </c>
      <c r="AL430" s="311"/>
      <c r="AM430" s="336"/>
    </row>
    <row r="431" customFormat="false" ht="12.75" hidden="false" customHeight="false" outlineLevel="0" collapsed="false">
      <c r="A431" s="405"/>
      <c r="AF431" s="352" t="n">
        <f aca="false">EOMONTH(AF430,0)+1</f>
        <v>49553</v>
      </c>
      <c r="AG431" s="311" t="n">
        <v>20</v>
      </c>
      <c r="AH431" s="311" t="n">
        <v>4</v>
      </c>
      <c r="AI431" s="311" t="n">
        <v>6</v>
      </c>
      <c r="AJ431" s="311" t="n">
        <v>1</v>
      </c>
      <c r="AK431" s="311" t="n">
        <v>30</v>
      </c>
      <c r="AL431" s="311"/>
      <c r="AM431" s="336"/>
    </row>
    <row r="432" customFormat="false" ht="12.75" hidden="false" customHeight="false" outlineLevel="0" collapsed="false">
      <c r="A432" s="325"/>
      <c r="AF432" s="352" t="n">
        <f aca="false">EOMONTH(AF431,0)+1</f>
        <v>49583</v>
      </c>
      <c r="AG432" s="311" t="n">
        <v>23</v>
      </c>
      <c r="AH432" s="311" t="n">
        <v>4</v>
      </c>
      <c r="AI432" s="311" t="n">
        <v>4</v>
      </c>
      <c r="AJ432" s="311" t="n">
        <v>0</v>
      </c>
      <c r="AK432" s="311" t="n">
        <v>31</v>
      </c>
      <c r="AL432" s="311"/>
      <c r="AM432" s="336"/>
    </row>
    <row r="433" customFormat="false" ht="12.75" hidden="false" customHeight="false" outlineLevel="0" collapsed="false">
      <c r="A433" s="325"/>
      <c r="AF433" s="352" t="n">
        <f aca="false">EOMONTH(AF432,0)+1</f>
        <v>49614</v>
      </c>
      <c r="AG433" s="311" t="n">
        <v>20</v>
      </c>
      <c r="AH433" s="311" t="n">
        <v>5</v>
      </c>
      <c r="AI433" s="311" t="n">
        <v>5</v>
      </c>
      <c r="AJ433" s="311" t="n">
        <v>1</v>
      </c>
      <c r="AK433" s="311" t="n">
        <v>30</v>
      </c>
      <c r="AL433" s="311"/>
      <c r="AM433" s="336"/>
    </row>
    <row r="434" customFormat="false" ht="12.75" hidden="false" customHeight="false" outlineLevel="0" collapsed="false">
      <c r="A434" s="325"/>
      <c r="AF434" s="352" t="n">
        <f aca="false">EOMONTH(AF433,0)+1</f>
        <v>49644</v>
      </c>
      <c r="AG434" s="311" t="n">
        <v>21</v>
      </c>
      <c r="AH434" s="311" t="n">
        <v>4</v>
      </c>
      <c r="AI434" s="311" t="n">
        <v>6</v>
      </c>
      <c r="AJ434" s="311" t="n">
        <v>1</v>
      </c>
      <c r="AK434" s="311" t="n">
        <v>31</v>
      </c>
      <c r="AL434" s="311"/>
      <c r="AM434" s="336"/>
    </row>
    <row r="435" customFormat="false" ht="12.75" hidden="false" customHeight="false" outlineLevel="0" collapsed="false">
      <c r="A435" s="325"/>
      <c r="AF435" s="352" t="n">
        <f aca="false">EOMONTH(AF434,0)+1</f>
        <v>49675</v>
      </c>
      <c r="AG435" s="311" t="n">
        <v>22</v>
      </c>
      <c r="AH435" s="311" t="n">
        <v>4</v>
      </c>
      <c r="AI435" s="311" t="n">
        <v>5</v>
      </c>
      <c r="AJ435" s="311" t="n">
        <v>1</v>
      </c>
      <c r="AK435" s="311" t="n">
        <v>31</v>
      </c>
      <c r="AL435" s="311"/>
      <c r="AM435" s="336"/>
    </row>
    <row r="436" customFormat="false" ht="12.75" hidden="false" customHeight="false" outlineLevel="0" collapsed="false">
      <c r="A436" s="325"/>
      <c r="AF436" s="352" t="n">
        <f aca="false">EOMONTH(AF435,0)+1</f>
        <v>49706</v>
      </c>
      <c r="AG436" s="311" t="n">
        <v>20</v>
      </c>
      <c r="AH436" s="311" t="n">
        <v>5</v>
      </c>
      <c r="AI436" s="311" t="n">
        <v>4</v>
      </c>
      <c r="AJ436" s="311" t="n">
        <v>0</v>
      </c>
      <c r="AK436" s="311" t="n">
        <v>29</v>
      </c>
      <c r="AL436" s="311"/>
      <c r="AM436" s="336"/>
    </row>
    <row r="437" customFormat="false" ht="12.75" hidden="false" customHeight="false" outlineLevel="0" collapsed="false">
      <c r="A437" s="325"/>
      <c r="AF437" s="352" t="n">
        <f aca="false">EOMONTH(AF436,0)+1</f>
        <v>49735</v>
      </c>
      <c r="AG437" s="311" t="n">
        <v>22</v>
      </c>
      <c r="AH437" s="311" t="n">
        <v>4</v>
      </c>
      <c r="AI437" s="311" t="n">
        <v>5</v>
      </c>
      <c r="AJ437" s="311" t="n">
        <v>0</v>
      </c>
      <c r="AK437" s="311" t="n">
        <v>31</v>
      </c>
      <c r="AL437" s="311"/>
      <c r="AM437" s="336"/>
    </row>
    <row r="438" customFormat="false" ht="12.75" hidden="false" customHeight="false" outlineLevel="0" collapsed="false">
      <c r="A438" s="325"/>
      <c r="AF438" s="352" t="n">
        <f aca="false">EOMONTH(AF437,0)+1</f>
        <v>49766</v>
      </c>
      <c r="AG438" s="311" t="n">
        <v>22</v>
      </c>
      <c r="AH438" s="311" t="n">
        <v>4</v>
      </c>
      <c r="AI438" s="311" t="n">
        <v>4</v>
      </c>
      <c r="AJ438" s="311" t="n">
        <v>0</v>
      </c>
      <c r="AK438" s="311" t="n">
        <v>30</v>
      </c>
      <c r="AL438" s="311"/>
      <c r="AM438" s="336"/>
    </row>
    <row r="439" customFormat="false" ht="12.75" hidden="false" customHeight="false" outlineLevel="0" collapsed="false">
      <c r="A439" s="325"/>
      <c r="AF439" s="352" t="n">
        <f aca="false">EOMONTH(AF438,0)+1</f>
        <v>49796</v>
      </c>
      <c r="AG439" s="311" t="n">
        <v>20</v>
      </c>
      <c r="AH439" s="311" t="n">
        <v>5</v>
      </c>
      <c r="AI439" s="311" t="n">
        <v>6</v>
      </c>
      <c r="AJ439" s="311" t="n">
        <v>1</v>
      </c>
      <c r="AK439" s="311" t="n">
        <v>31</v>
      </c>
      <c r="AL439" s="311"/>
      <c r="AM439" s="336"/>
    </row>
    <row r="440" customFormat="false" ht="12.75" hidden="false" customHeight="false" outlineLevel="0" collapsed="false">
      <c r="A440" s="325"/>
      <c r="AF440" s="352" t="n">
        <f aca="false">EOMONTH(AF439,0)+1</f>
        <v>49827</v>
      </c>
      <c r="AG440" s="311" t="n">
        <v>22</v>
      </c>
      <c r="AH440" s="311" t="n">
        <v>4</v>
      </c>
      <c r="AI440" s="311" t="n">
        <v>4</v>
      </c>
      <c r="AJ440" s="311" t="n">
        <v>0</v>
      </c>
      <c r="AK440" s="311" t="n">
        <v>30</v>
      </c>
      <c r="AL440" s="311"/>
      <c r="AM440" s="336"/>
    </row>
    <row r="441" customFormat="false" ht="12.75" hidden="false" customHeight="false" outlineLevel="0" collapsed="false">
      <c r="A441" s="325"/>
      <c r="AF441" s="352" t="n">
        <f aca="false">EOMONTH(AF440,0)+1</f>
        <v>49857</v>
      </c>
      <c r="AG441" s="311" t="n">
        <v>23</v>
      </c>
      <c r="AH441" s="311" t="n">
        <v>3</v>
      </c>
      <c r="AI441" s="311" t="n">
        <v>5</v>
      </c>
      <c r="AJ441" s="311" t="n">
        <v>1</v>
      </c>
      <c r="AK441" s="311" t="n">
        <v>31</v>
      </c>
      <c r="AL441" s="311"/>
      <c r="AM441" s="336"/>
    </row>
    <row r="442" customFormat="false" ht="12.75" hidden="false" customHeight="false" outlineLevel="0" collapsed="false">
      <c r="A442" s="325"/>
      <c r="AF442" s="352" t="n">
        <f aca="false">EOMONTH(AF441,0)+1</f>
        <v>49888</v>
      </c>
      <c r="AG442" s="311" t="n">
        <v>21</v>
      </c>
      <c r="AH442" s="311" t="n">
        <v>5</v>
      </c>
      <c r="AI442" s="311" t="n">
        <v>5</v>
      </c>
      <c r="AJ442" s="311" t="n">
        <v>0</v>
      </c>
      <c r="AK442" s="311" t="n">
        <v>31</v>
      </c>
      <c r="AL442" s="311"/>
      <c r="AM442" s="336"/>
    </row>
    <row r="443" customFormat="false" ht="12.75" hidden="false" customHeight="false" outlineLevel="0" collapsed="false">
      <c r="A443" s="325"/>
      <c r="AF443" s="352" t="n">
        <f aca="false">EOMONTH(AF442,0)+1</f>
        <v>49919</v>
      </c>
      <c r="AG443" s="311" t="n">
        <v>21</v>
      </c>
      <c r="AH443" s="311" t="n">
        <v>4</v>
      </c>
      <c r="AI443" s="311" t="n">
        <v>5</v>
      </c>
      <c r="AJ443" s="311" t="n">
        <v>1</v>
      </c>
      <c r="AK443" s="311" t="n">
        <v>30</v>
      </c>
      <c r="AL443" s="311"/>
      <c r="AM443" s="336"/>
    </row>
    <row r="444" customFormat="false" ht="12.75" hidden="false" customHeight="false" outlineLevel="0" collapsed="false">
      <c r="A444" s="325"/>
      <c r="AF444" s="352" t="n">
        <f aca="false">EOMONTH(AF443,0)+1</f>
        <v>49949</v>
      </c>
      <c r="AG444" s="311" t="n">
        <v>22</v>
      </c>
      <c r="AH444" s="311" t="n">
        <v>5</v>
      </c>
      <c r="AI444" s="311" t="n">
        <v>4</v>
      </c>
      <c r="AJ444" s="311" t="n">
        <v>0</v>
      </c>
      <c r="AK444" s="311" t="n">
        <v>31</v>
      </c>
      <c r="AL444" s="311"/>
      <c r="AM444" s="336"/>
    </row>
    <row r="445" customFormat="false" ht="12.75" hidden="false" customHeight="false" outlineLevel="0" collapsed="false">
      <c r="A445" s="325"/>
      <c r="AF445" s="352" t="n">
        <f aca="false">EOMONTH(AF444,0)+1</f>
        <v>49980</v>
      </c>
      <c r="AG445" s="311" t="n">
        <v>20</v>
      </c>
      <c r="AH445" s="311" t="n">
        <v>4</v>
      </c>
      <c r="AI445" s="311" t="n">
        <v>6</v>
      </c>
      <c r="AJ445" s="311" t="n">
        <v>1</v>
      </c>
      <c r="AK445" s="311" t="n">
        <v>30</v>
      </c>
      <c r="AL445" s="311"/>
      <c r="AM445" s="336"/>
    </row>
    <row r="446" customFormat="false" ht="12.75" hidden="false" customHeight="false" outlineLevel="0" collapsed="false">
      <c r="A446" s="325"/>
      <c r="AF446" s="352" t="n">
        <f aca="false">EOMONTH(AF445,0)+1</f>
        <v>50010</v>
      </c>
      <c r="AG446" s="311" t="n">
        <v>22</v>
      </c>
      <c r="AH446" s="311" t="n">
        <v>4</v>
      </c>
      <c r="AI446" s="311" t="n">
        <v>5</v>
      </c>
      <c r="AJ446" s="311" t="n">
        <v>1</v>
      </c>
      <c r="AK446" s="311" t="n">
        <v>31</v>
      </c>
      <c r="AL446" s="311"/>
      <c r="AM446" s="336"/>
    </row>
    <row r="447" customFormat="false" ht="12.75" hidden="false" customHeight="false" outlineLevel="0" collapsed="false">
      <c r="A447" s="325"/>
    </row>
    <row r="448" customFormat="false" ht="12.75" hidden="false" customHeight="false" outlineLevel="0" collapsed="false">
      <c r="A448" s="325"/>
    </row>
    <row r="449" customFormat="false" ht="12.75" hidden="false" customHeight="false" outlineLevel="0" collapsed="false">
      <c r="A449" s="325"/>
    </row>
    <row r="450" customFormat="false" ht="12.75" hidden="false" customHeight="false" outlineLevel="0" collapsed="false">
      <c r="A450" s="325"/>
    </row>
    <row r="451" customFormat="false" ht="12.75" hidden="false" customHeight="false" outlineLevel="0" collapsed="false">
      <c r="A451" s="325"/>
    </row>
    <row r="452" customFormat="false" ht="12.75" hidden="false" customHeight="false" outlineLevel="0" collapsed="false">
      <c r="A452" s="325"/>
    </row>
    <row r="453" customFormat="false" ht="12.75" hidden="false" customHeight="false" outlineLevel="0" collapsed="false">
      <c r="A453" s="325"/>
    </row>
    <row r="454" customFormat="false" ht="12.75" hidden="false" customHeight="false" outlineLevel="0" collapsed="false">
      <c r="A454" s="325"/>
    </row>
    <row r="455" customFormat="false" ht="12.75" hidden="false" customHeight="false" outlineLevel="0" collapsed="false">
      <c r="A455" s="325"/>
    </row>
    <row r="456" customFormat="false" ht="12.75" hidden="false" customHeight="false" outlineLevel="0" collapsed="false">
      <c r="A456" s="325"/>
    </row>
    <row r="457" customFormat="false" ht="12.75" hidden="false" customHeight="false" outlineLevel="0" collapsed="false">
      <c r="A457" s="325"/>
    </row>
    <row r="458" customFormat="false" ht="12.75" hidden="false" customHeight="false" outlineLevel="0" collapsed="false">
      <c r="A458" s="325"/>
    </row>
    <row r="459" customFormat="false" ht="12.75" hidden="false" customHeight="false" outlineLevel="0" collapsed="false">
      <c r="A459" s="325"/>
    </row>
    <row r="460" customFormat="false" ht="12.75" hidden="false" customHeight="false" outlineLevel="0" collapsed="false">
      <c r="A460" s="325"/>
    </row>
    <row r="461" customFormat="false" ht="12.75" hidden="false" customHeight="false" outlineLevel="0" collapsed="false">
      <c r="A461" s="325"/>
    </row>
    <row r="462" customFormat="false" ht="12.75" hidden="false" customHeight="false" outlineLevel="0" collapsed="false">
      <c r="A462" s="325"/>
    </row>
    <row r="463" customFormat="false" ht="12.75" hidden="false" customHeight="false" outlineLevel="0" collapsed="false">
      <c r="A463" s="325"/>
    </row>
    <row r="464" customFormat="false" ht="12.75" hidden="false" customHeight="false" outlineLevel="0" collapsed="false">
      <c r="A464" s="325"/>
    </row>
    <row r="465" customFormat="false" ht="12.75" hidden="false" customHeight="false" outlineLevel="0" collapsed="false">
      <c r="A465" s="325"/>
    </row>
    <row r="466" customFormat="false" ht="12.75" hidden="false" customHeight="false" outlineLevel="0" collapsed="false">
      <c r="A466" s="325"/>
    </row>
    <row r="467" customFormat="false" ht="12.75" hidden="false" customHeight="false" outlineLevel="0" collapsed="false">
      <c r="A467" s="325"/>
    </row>
    <row r="468" customFormat="false" ht="12.75" hidden="false" customHeight="false" outlineLevel="0" collapsed="false">
      <c r="A468" s="325"/>
    </row>
    <row r="469" customFormat="false" ht="12.75" hidden="false" customHeight="false" outlineLevel="0" collapsed="false">
      <c r="A469" s="325"/>
    </row>
    <row r="470" customFormat="false" ht="12.75" hidden="false" customHeight="false" outlineLevel="0" collapsed="false">
      <c r="A470" s="325"/>
    </row>
    <row r="471" customFormat="false" ht="12.75" hidden="false" customHeight="false" outlineLevel="0" collapsed="false">
      <c r="A471" s="325"/>
    </row>
    <row r="472" customFormat="false" ht="12.75" hidden="false" customHeight="false" outlineLevel="0" collapsed="false">
      <c r="A472" s="325"/>
    </row>
    <row r="473" customFormat="false" ht="12.75" hidden="false" customHeight="false" outlineLevel="0" collapsed="false">
      <c r="A473" s="325"/>
    </row>
    <row r="474" customFormat="false" ht="12.75" hidden="false" customHeight="false" outlineLevel="0" collapsed="false">
      <c r="A474" s="325"/>
    </row>
    <row r="475" customFormat="false" ht="12.75" hidden="false" customHeight="false" outlineLevel="0" collapsed="false">
      <c r="A475" s="325"/>
    </row>
    <row r="476" customFormat="false" ht="12.75" hidden="false" customHeight="false" outlineLevel="0" collapsed="false">
      <c r="A476" s="325"/>
    </row>
    <row r="477" customFormat="false" ht="12.75" hidden="false" customHeight="false" outlineLevel="0" collapsed="false">
      <c r="A477" s="325"/>
    </row>
    <row r="478" customFormat="false" ht="12.75" hidden="false" customHeight="false" outlineLevel="0" collapsed="false">
      <c r="A478" s="325"/>
    </row>
    <row r="479" customFormat="false" ht="12.75" hidden="false" customHeight="false" outlineLevel="0" collapsed="false">
      <c r="A479" s="325"/>
    </row>
    <row r="480" customFormat="false" ht="12.75" hidden="false" customHeight="false" outlineLevel="0" collapsed="false">
      <c r="A480" s="325"/>
    </row>
    <row r="481" customFormat="false" ht="12.75" hidden="false" customHeight="false" outlineLevel="0" collapsed="false">
      <c r="A481" s="325"/>
    </row>
    <row r="482" customFormat="false" ht="12.75" hidden="false" customHeight="false" outlineLevel="0" collapsed="false">
      <c r="A482" s="325"/>
    </row>
    <row r="483" customFormat="false" ht="12.75" hidden="false" customHeight="false" outlineLevel="0" collapsed="false">
      <c r="A483" s="325"/>
    </row>
    <row r="484" customFormat="false" ht="12.75" hidden="false" customHeight="false" outlineLevel="0" collapsed="false">
      <c r="A484" s="325"/>
    </row>
    <row r="485" customFormat="false" ht="12.75" hidden="false" customHeight="false" outlineLevel="0" collapsed="false">
      <c r="A485" s="325"/>
    </row>
    <row r="486" customFormat="false" ht="12.75" hidden="false" customHeight="false" outlineLevel="0" collapsed="false">
      <c r="A486" s="325"/>
    </row>
    <row r="487" customFormat="false" ht="12.75" hidden="false" customHeight="false" outlineLevel="0" collapsed="false">
      <c r="A487" s="325"/>
    </row>
    <row r="488" customFormat="false" ht="12.75" hidden="false" customHeight="false" outlineLevel="0" collapsed="false">
      <c r="A488" s="325"/>
    </row>
    <row r="489" customFormat="false" ht="12.75" hidden="false" customHeight="false" outlineLevel="0" collapsed="false">
      <c r="A489" s="325"/>
    </row>
    <row r="490" customFormat="false" ht="12.75" hidden="false" customHeight="false" outlineLevel="0" collapsed="false">
      <c r="A490" s="325"/>
    </row>
    <row r="491" customFormat="false" ht="12.75" hidden="false" customHeight="false" outlineLevel="0" collapsed="false">
      <c r="A491" s="325"/>
    </row>
    <row r="492" customFormat="false" ht="12.75" hidden="false" customHeight="false" outlineLevel="0" collapsed="false">
      <c r="A492" s="325"/>
    </row>
    <row r="493" customFormat="false" ht="12.75" hidden="false" customHeight="false" outlineLevel="0" collapsed="false">
      <c r="A493" s="325"/>
    </row>
    <row r="494" customFormat="false" ht="12.75" hidden="false" customHeight="false" outlineLevel="0" collapsed="false">
      <c r="A494" s="325"/>
    </row>
    <row r="495" customFormat="false" ht="12.75" hidden="false" customHeight="false" outlineLevel="0" collapsed="false">
      <c r="A495" s="325"/>
    </row>
    <row r="496" customFormat="false" ht="12.75" hidden="false" customHeight="false" outlineLevel="0" collapsed="false">
      <c r="A496" s="325"/>
    </row>
    <row r="497" customFormat="false" ht="12.75" hidden="false" customHeight="false" outlineLevel="0" collapsed="false">
      <c r="A497" s="325"/>
    </row>
    <row r="498" customFormat="false" ht="12.75" hidden="false" customHeight="false" outlineLevel="0" collapsed="false">
      <c r="A498" s="325"/>
    </row>
    <row r="499" customFormat="false" ht="12.75" hidden="false" customHeight="false" outlineLevel="0" collapsed="false">
      <c r="A499" s="325"/>
    </row>
    <row r="500" customFormat="false" ht="12.75" hidden="false" customHeight="false" outlineLevel="0" collapsed="false">
      <c r="A500" s="325"/>
    </row>
    <row r="501" customFormat="false" ht="12.75" hidden="false" customHeight="false" outlineLevel="0" collapsed="false">
      <c r="A501" s="325"/>
    </row>
    <row r="502" customFormat="false" ht="12.75" hidden="false" customHeight="false" outlineLevel="0" collapsed="false">
      <c r="A502" s="325"/>
    </row>
    <row r="503" customFormat="false" ht="12.75" hidden="false" customHeight="false" outlineLevel="0" collapsed="false">
      <c r="A503" s="325"/>
    </row>
    <row r="504" customFormat="false" ht="12.75" hidden="false" customHeight="false" outlineLevel="0" collapsed="false">
      <c r="A504" s="325"/>
    </row>
    <row r="505" customFormat="false" ht="12.75" hidden="false" customHeight="false" outlineLevel="0" collapsed="false">
      <c r="A505" s="325"/>
    </row>
    <row r="506" customFormat="false" ht="12.75" hidden="false" customHeight="false" outlineLevel="0" collapsed="false">
      <c r="A506" s="325"/>
    </row>
    <row r="507" customFormat="false" ht="12.75" hidden="false" customHeight="false" outlineLevel="0" collapsed="false">
      <c r="A507" s="325"/>
    </row>
    <row r="508" customFormat="false" ht="12.75" hidden="false" customHeight="false" outlineLevel="0" collapsed="false">
      <c r="A508" s="325"/>
    </row>
    <row r="509" customFormat="false" ht="12.75" hidden="false" customHeight="false" outlineLevel="0" collapsed="false">
      <c r="A509" s="325"/>
    </row>
    <row r="510" customFormat="false" ht="12.75" hidden="false" customHeight="false" outlineLevel="0" collapsed="false">
      <c r="A510" s="325"/>
    </row>
    <row r="511" customFormat="false" ht="12.75" hidden="false" customHeight="false" outlineLevel="0" collapsed="false">
      <c r="A511" s="325"/>
    </row>
    <row r="512" customFormat="false" ht="12.75" hidden="false" customHeight="false" outlineLevel="0" collapsed="false">
      <c r="A512" s="325"/>
    </row>
    <row r="513" customFormat="false" ht="12.75" hidden="false" customHeight="false" outlineLevel="0" collapsed="false">
      <c r="A513" s="325"/>
    </row>
    <row r="514" customFormat="false" ht="12.75" hidden="false" customHeight="false" outlineLevel="0" collapsed="false">
      <c r="A514" s="325"/>
    </row>
    <row r="515" customFormat="false" ht="12.75" hidden="false" customHeight="false" outlineLevel="0" collapsed="false">
      <c r="A515" s="325"/>
    </row>
    <row r="516" customFormat="false" ht="12.75" hidden="false" customHeight="false" outlineLevel="0" collapsed="false">
      <c r="A516" s="325"/>
    </row>
    <row r="517" customFormat="false" ht="12.75" hidden="false" customHeight="false" outlineLevel="0" collapsed="false">
      <c r="A517" s="325"/>
    </row>
    <row r="518" customFormat="false" ht="12.75" hidden="false" customHeight="false" outlineLevel="0" collapsed="false">
      <c r="A518" s="325"/>
    </row>
    <row r="519" customFormat="false" ht="12.75" hidden="false" customHeight="false" outlineLevel="0" collapsed="false">
      <c r="A519" s="325"/>
    </row>
    <row r="520" customFormat="false" ht="12.75" hidden="false" customHeight="false" outlineLevel="0" collapsed="false">
      <c r="A520" s="325"/>
    </row>
    <row r="521" customFormat="false" ht="12.75" hidden="false" customHeight="false" outlineLevel="0" collapsed="false">
      <c r="A521" s="325"/>
    </row>
    <row r="522" customFormat="false" ht="12.75" hidden="false" customHeight="false" outlineLevel="0" collapsed="false">
      <c r="A522" s="325"/>
    </row>
    <row r="523" customFormat="false" ht="12.75" hidden="false" customHeight="false" outlineLevel="0" collapsed="false">
      <c r="A523" s="325"/>
    </row>
    <row r="524" customFormat="false" ht="12.75" hidden="false" customHeight="false" outlineLevel="0" collapsed="false">
      <c r="A524" s="325"/>
    </row>
    <row r="525" customFormat="false" ht="12.75" hidden="false" customHeight="false" outlineLevel="0" collapsed="false">
      <c r="A525" s="325"/>
    </row>
    <row r="526" customFormat="false" ht="12.75" hidden="false" customHeight="false" outlineLevel="0" collapsed="false">
      <c r="A526" s="325"/>
    </row>
    <row r="527" customFormat="false" ht="12.75" hidden="false" customHeight="false" outlineLevel="0" collapsed="false">
      <c r="A527" s="325"/>
    </row>
    <row r="528" customFormat="false" ht="12.75" hidden="false" customHeight="false" outlineLevel="0" collapsed="false">
      <c r="A528" s="325"/>
    </row>
    <row r="529" customFormat="false" ht="12.75" hidden="false" customHeight="false" outlineLevel="0" collapsed="false">
      <c r="A529" s="325"/>
    </row>
    <row r="530" customFormat="false" ht="12.75" hidden="false" customHeight="false" outlineLevel="0" collapsed="false">
      <c r="A530" s="325"/>
    </row>
    <row r="531" customFormat="false" ht="12.75" hidden="false" customHeight="false" outlineLevel="0" collapsed="false">
      <c r="A531" s="325"/>
    </row>
    <row r="532" customFormat="false" ht="12.75" hidden="false" customHeight="false" outlineLevel="0" collapsed="false">
      <c r="A532" s="325"/>
    </row>
    <row r="533" customFormat="false" ht="12.75" hidden="false" customHeight="false" outlineLevel="0" collapsed="false">
      <c r="A533" s="325"/>
    </row>
    <row r="534" customFormat="false" ht="12.75" hidden="false" customHeight="false" outlineLevel="0" collapsed="false">
      <c r="A534" s="325"/>
    </row>
    <row r="535" customFormat="false" ht="12.75" hidden="false" customHeight="false" outlineLevel="0" collapsed="false">
      <c r="A535" s="325"/>
    </row>
    <row r="536" customFormat="false" ht="12.75" hidden="false" customHeight="false" outlineLevel="0" collapsed="false">
      <c r="A536" s="325"/>
    </row>
    <row r="537" customFormat="false" ht="12.75" hidden="false" customHeight="false" outlineLevel="0" collapsed="false">
      <c r="A537" s="325"/>
    </row>
    <row r="538" customFormat="false" ht="12.75" hidden="false" customHeight="false" outlineLevel="0" collapsed="false">
      <c r="A538" s="325"/>
    </row>
    <row r="539" customFormat="false" ht="12.75" hidden="false" customHeight="false" outlineLevel="0" collapsed="false">
      <c r="A539" s="325"/>
    </row>
    <row r="540" customFormat="false" ht="12.75" hidden="false" customHeight="false" outlineLevel="0" collapsed="false">
      <c r="A540" s="325"/>
    </row>
    <row r="541" customFormat="false" ht="12.75" hidden="false" customHeight="false" outlineLevel="0" collapsed="false">
      <c r="A541" s="325"/>
    </row>
    <row r="542" customFormat="false" ht="12.75" hidden="false" customHeight="false" outlineLevel="0" collapsed="false">
      <c r="A542" s="325"/>
    </row>
    <row r="543" customFormat="false" ht="12.75" hidden="false" customHeight="false" outlineLevel="0" collapsed="false">
      <c r="A543" s="325"/>
    </row>
    <row r="544" customFormat="false" ht="12.75" hidden="false" customHeight="false" outlineLevel="0" collapsed="false">
      <c r="A544" s="325"/>
    </row>
    <row r="545" customFormat="false" ht="12.75" hidden="false" customHeight="false" outlineLevel="0" collapsed="false">
      <c r="A545" s="325"/>
    </row>
    <row r="546" customFormat="false" ht="12.75" hidden="false" customHeight="false" outlineLevel="0" collapsed="false">
      <c r="A546" s="325"/>
    </row>
    <row r="547" customFormat="false" ht="12.75" hidden="false" customHeight="false" outlineLevel="0" collapsed="false">
      <c r="A547" s="325"/>
    </row>
    <row r="548" customFormat="false" ht="12.75" hidden="false" customHeight="false" outlineLevel="0" collapsed="false">
      <c r="A548" s="325"/>
    </row>
    <row r="549" customFormat="false" ht="12.75" hidden="false" customHeight="false" outlineLevel="0" collapsed="false">
      <c r="A549" s="325"/>
    </row>
    <row r="550" customFormat="false" ht="12.75" hidden="false" customHeight="false" outlineLevel="0" collapsed="false">
      <c r="A550" s="325"/>
    </row>
    <row r="551" customFormat="false" ht="12.75" hidden="false" customHeight="false" outlineLevel="0" collapsed="false">
      <c r="A551" s="325"/>
    </row>
    <row r="552" customFormat="false" ht="12.75" hidden="false" customHeight="false" outlineLevel="0" collapsed="false">
      <c r="A552" s="325"/>
    </row>
    <row r="553" customFormat="false" ht="12.75" hidden="false" customHeight="false" outlineLevel="0" collapsed="false">
      <c r="A553" s="325"/>
    </row>
    <row r="554" customFormat="false" ht="12.75" hidden="false" customHeight="false" outlineLevel="0" collapsed="false">
      <c r="A554" s="325"/>
    </row>
    <row r="555" customFormat="false" ht="12.75" hidden="false" customHeight="false" outlineLevel="0" collapsed="false">
      <c r="A555" s="325"/>
    </row>
    <row r="556" customFormat="false" ht="12.75" hidden="false" customHeight="false" outlineLevel="0" collapsed="false">
      <c r="A556" s="325"/>
    </row>
    <row r="557" customFormat="false" ht="12.75" hidden="false" customHeight="false" outlineLevel="0" collapsed="false">
      <c r="A557" s="325"/>
    </row>
    <row r="558" customFormat="false" ht="12.75" hidden="false" customHeight="false" outlineLevel="0" collapsed="false">
      <c r="A558" s="325"/>
    </row>
    <row r="559" customFormat="false" ht="12.75" hidden="false" customHeight="false" outlineLevel="0" collapsed="false">
      <c r="A559" s="325"/>
    </row>
    <row r="560" customFormat="false" ht="12.75" hidden="false" customHeight="false" outlineLevel="0" collapsed="false">
      <c r="A560" s="325"/>
    </row>
    <row r="561" customFormat="false" ht="12.75" hidden="false" customHeight="false" outlineLevel="0" collapsed="false">
      <c r="A561" s="325"/>
    </row>
    <row r="562" customFormat="false" ht="12.75" hidden="false" customHeight="false" outlineLevel="0" collapsed="false">
      <c r="A562" s="325"/>
    </row>
    <row r="563" customFormat="false" ht="12.75" hidden="false" customHeight="false" outlineLevel="0" collapsed="false">
      <c r="A563" s="325"/>
    </row>
    <row r="564" customFormat="false" ht="12.75" hidden="false" customHeight="false" outlineLevel="0" collapsed="false">
      <c r="A564" s="325"/>
    </row>
    <row r="565" customFormat="false" ht="12.75" hidden="false" customHeight="false" outlineLevel="0" collapsed="false">
      <c r="A565" s="325"/>
    </row>
    <row r="566" customFormat="false" ht="12.75" hidden="false" customHeight="false" outlineLevel="0" collapsed="false">
      <c r="A566" s="325"/>
    </row>
    <row r="567" customFormat="false" ht="12.75" hidden="false" customHeight="false" outlineLevel="0" collapsed="false">
      <c r="A567" s="325"/>
    </row>
    <row r="568" customFormat="false" ht="12.75" hidden="false" customHeight="false" outlineLevel="0" collapsed="false">
      <c r="A568" s="325"/>
    </row>
    <row r="569" customFormat="false" ht="12.75" hidden="false" customHeight="false" outlineLevel="0" collapsed="false">
      <c r="A569" s="325"/>
    </row>
    <row r="570" customFormat="false" ht="12.75" hidden="false" customHeight="false" outlineLevel="0" collapsed="false">
      <c r="A570" s="325"/>
    </row>
    <row r="571" customFormat="false" ht="12.75" hidden="false" customHeight="false" outlineLevel="0" collapsed="false">
      <c r="A571" s="325"/>
    </row>
    <row r="572" customFormat="false" ht="12.75" hidden="false" customHeight="false" outlineLevel="0" collapsed="false">
      <c r="A572" s="325"/>
    </row>
    <row r="573" customFormat="false" ht="12.75" hidden="false" customHeight="false" outlineLevel="0" collapsed="false">
      <c r="A573" s="325"/>
    </row>
    <row r="574" customFormat="false" ht="12.75" hidden="false" customHeight="false" outlineLevel="0" collapsed="false">
      <c r="A574" s="325"/>
    </row>
    <row r="575" customFormat="false" ht="12.75" hidden="false" customHeight="false" outlineLevel="0" collapsed="false">
      <c r="A575" s="325"/>
    </row>
    <row r="576" customFormat="false" ht="12.75" hidden="false" customHeight="false" outlineLevel="0" collapsed="false">
      <c r="A576" s="325"/>
    </row>
    <row r="577" customFormat="false" ht="12.75" hidden="false" customHeight="false" outlineLevel="0" collapsed="false">
      <c r="A577" s="325"/>
    </row>
    <row r="578" customFormat="false" ht="12.75" hidden="false" customHeight="false" outlineLevel="0" collapsed="false">
      <c r="A578" s="325"/>
    </row>
    <row r="579" customFormat="false" ht="12.75" hidden="false" customHeight="false" outlineLevel="0" collapsed="false">
      <c r="A579" s="325"/>
    </row>
    <row r="580" customFormat="false" ht="12.75" hidden="false" customHeight="false" outlineLevel="0" collapsed="false">
      <c r="A580" s="325"/>
    </row>
    <row r="581" customFormat="false" ht="12.75" hidden="false" customHeight="false" outlineLevel="0" collapsed="false">
      <c r="A581" s="325"/>
    </row>
    <row r="582" customFormat="false" ht="12.75" hidden="false" customHeight="false" outlineLevel="0" collapsed="false">
      <c r="A582" s="325"/>
    </row>
    <row r="583" customFormat="false" ht="12.75" hidden="false" customHeight="false" outlineLevel="0" collapsed="false">
      <c r="A583" s="325"/>
    </row>
    <row r="584" customFormat="false" ht="12.75" hidden="false" customHeight="false" outlineLevel="0" collapsed="false">
      <c r="A584" s="325"/>
    </row>
    <row r="585" customFormat="false" ht="12.75" hidden="false" customHeight="false" outlineLevel="0" collapsed="false">
      <c r="A585" s="325"/>
    </row>
    <row r="586" customFormat="false" ht="12.75" hidden="false" customHeight="false" outlineLevel="0" collapsed="false">
      <c r="A586" s="325"/>
    </row>
    <row r="587" customFormat="false" ht="12.75" hidden="false" customHeight="false" outlineLevel="0" collapsed="false">
      <c r="A587" s="325"/>
    </row>
    <row r="588" customFormat="false" ht="12.75" hidden="false" customHeight="false" outlineLevel="0" collapsed="false">
      <c r="A588" s="325"/>
    </row>
    <row r="589" customFormat="false" ht="12.75" hidden="false" customHeight="false" outlineLevel="0" collapsed="false">
      <c r="A589" s="325"/>
    </row>
    <row r="590" customFormat="false" ht="12.75" hidden="false" customHeight="false" outlineLevel="0" collapsed="false">
      <c r="A590" s="325"/>
    </row>
    <row r="591" customFormat="false" ht="12.75" hidden="false" customHeight="false" outlineLevel="0" collapsed="false">
      <c r="A591" s="325"/>
    </row>
    <row r="592" customFormat="false" ht="12.75" hidden="false" customHeight="false" outlineLevel="0" collapsed="false">
      <c r="A592" s="325"/>
    </row>
    <row r="593" customFormat="false" ht="12.75" hidden="false" customHeight="false" outlineLevel="0" collapsed="false">
      <c r="A593" s="325"/>
    </row>
    <row r="594" customFormat="false" ht="12.75" hidden="false" customHeight="false" outlineLevel="0" collapsed="false">
      <c r="A594" s="325"/>
    </row>
    <row r="595" customFormat="false" ht="12.75" hidden="false" customHeight="false" outlineLevel="0" collapsed="false">
      <c r="A595" s="325"/>
    </row>
    <row r="596" customFormat="false" ht="12.75" hidden="false" customHeight="false" outlineLevel="0" collapsed="false">
      <c r="A596" s="325"/>
    </row>
    <row r="597" customFormat="false" ht="12.75" hidden="false" customHeight="false" outlineLevel="0" collapsed="false">
      <c r="A597" s="325"/>
    </row>
    <row r="598" customFormat="false" ht="12.75" hidden="false" customHeight="false" outlineLevel="0" collapsed="false">
      <c r="A598" s="325"/>
    </row>
    <row r="599" customFormat="false" ht="12.75" hidden="false" customHeight="false" outlineLevel="0" collapsed="false">
      <c r="A599" s="325"/>
    </row>
    <row r="600" customFormat="false" ht="12.75" hidden="false" customHeight="false" outlineLevel="0" collapsed="false">
      <c r="A600" s="325"/>
    </row>
    <row r="601" customFormat="false" ht="12.75" hidden="false" customHeight="false" outlineLevel="0" collapsed="false">
      <c r="A601" s="325"/>
    </row>
    <row r="602" customFormat="false" ht="12.75" hidden="false" customHeight="false" outlineLevel="0" collapsed="false">
      <c r="A602" s="325"/>
    </row>
    <row r="603" customFormat="false" ht="12.75" hidden="false" customHeight="false" outlineLevel="0" collapsed="false">
      <c r="A603" s="325"/>
    </row>
    <row r="604" customFormat="false" ht="12.75" hidden="false" customHeight="false" outlineLevel="0" collapsed="false">
      <c r="A604" s="325"/>
    </row>
    <row r="605" customFormat="false" ht="12.75" hidden="false" customHeight="false" outlineLevel="0" collapsed="false">
      <c r="A605" s="325"/>
    </row>
    <row r="606" customFormat="false" ht="12.75" hidden="false" customHeight="false" outlineLevel="0" collapsed="false">
      <c r="A606" s="325"/>
    </row>
    <row r="607" customFormat="false" ht="12.75" hidden="false" customHeight="false" outlineLevel="0" collapsed="false">
      <c r="A607" s="325"/>
    </row>
    <row r="608" customFormat="false" ht="12.75" hidden="false" customHeight="false" outlineLevel="0" collapsed="false">
      <c r="A608" s="325"/>
    </row>
    <row r="609" customFormat="false" ht="12.75" hidden="false" customHeight="false" outlineLevel="0" collapsed="false">
      <c r="A609" s="325"/>
    </row>
    <row r="610" customFormat="false" ht="12.75" hidden="false" customHeight="false" outlineLevel="0" collapsed="false">
      <c r="A610" s="325"/>
    </row>
    <row r="611" customFormat="false" ht="12.75" hidden="false" customHeight="false" outlineLevel="0" collapsed="false">
      <c r="A611" s="325"/>
    </row>
    <row r="612" customFormat="false" ht="12.75" hidden="false" customHeight="false" outlineLevel="0" collapsed="false">
      <c r="A612" s="325"/>
    </row>
    <row r="613" customFormat="false" ht="12.75" hidden="false" customHeight="false" outlineLevel="0" collapsed="false">
      <c r="A613" s="325"/>
    </row>
    <row r="614" customFormat="false" ht="12.75" hidden="false" customHeight="false" outlineLevel="0" collapsed="false">
      <c r="A614" s="325"/>
    </row>
    <row r="615" customFormat="false" ht="12.75" hidden="false" customHeight="false" outlineLevel="0" collapsed="false">
      <c r="A615" s="325"/>
    </row>
    <row r="616" customFormat="false" ht="12.75" hidden="false" customHeight="false" outlineLevel="0" collapsed="false">
      <c r="A616" s="325"/>
    </row>
    <row r="617" customFormat="false" ht="12.75" hidden="false" customHeight="false" outlineLevel="0" collapsed="false">
      <c r="A617" s="325"/>
    </row>
    <row r="618" customFormat="false" ht="12.75" hidden="false" customHeight="false" outlineLevel="0" collapsed="false">
      <c r="A618" s="325"/>
    </row>
    <row r="619" customFormat="false" ht="12.75" hidden="false" customHeight="false" outlineLevel="0" collapsed="false">
      <c r="A619" s="325"/>
    </row>
    <row r="620" customFormat="false" ht="12.75" hidden="false" customHeight="false" outlineLevel="0" collapsed="false">
      <c r="A620" s="325"/>
    </row>
    <row r="621" customFormat="false" ht="12.75" hidden="false" customHeight="false" outlineLevel="0" collapsed="false">
      <c r="A621" s="325"/>
    </row>
    <row r="622" customFormat="false" ht="12.75" hidden="false" customHeight="false" outlineLevel="0" collapsed="false">
      <c r="A622" s="325"/>
    </row>
    <row r="623" customFormat="false" ht="12.75" hidden="false" customHeight="false" outlineLevel="0" collapsed="false">
      <c r="A623" s="325"/>
    </row>
    <row r="624" customFormat="false" ht="12.75" hidden="false" customHeight="false" outlineLevel="0" collapsed="false">
      <c r="A624" s="325"/>
    </row>
    <row r="625" customFormat="false" ht="12.75" hidden="false" customHeight="false" outlineLevel="0" collapsed="false">
      <c r="A625" s="325"/>
    </row>
    <row r="626" customFormat="false" ht="12.75" hidden="false" customHeight="false" outlineLevel="0" collapsed="false">
      <c r="A626" s="325"/>
    </row>
    <row r="627" customFormat="false" ht="12.75" hidden="false" customHeight="false" outlineLevel="0" collapsed="false">
      <c r="A627" s="325"/>
    </row>
    <row r="628" customFormat="false" ht="12.75" hidden="false" customHeight="false" outlineLevel="0" collapsed="false">
      <c r="A628" s="325"/>
    </row>
    <row r="629" customFormat="false" ht="12.75" hidden="false" customHeight="false" outlineLevel="0" collapsed="false">
      <c r="A629" s="325"/>
    </row>
    <row r="630" customFormat="false" ht="12.75" hidden="false" customHeight="false" outlineLevel="0" collapsed="false">
      <c r="A630" s="325"/>
    </row>
    <row r="631" customFormat="false" ht="12.75" hidden="false" customHeight="false" outlineLevel="0" collapsed="false">
      <c r="A631" s="325"/>
    </row>
    <row r="632" customFormat="false" ht="12.75" hidden="false" customHeight="false" outlineLevel="0" collapsed="false">
      <c r="A632" s="325"/>
    </row>
    <row r="633" customFormat="false" ht="12.75" hidden="false" customHeight="false" outlineLevel="0" collapsed="false">
      <c r="A633" s="325"/>
    </row>
    <row r="634" customFormat="false" ht="12.75" hidden="false" customHeight="false" outlineLevel="0" collapsed="false">
      <c r="A634" s="325"/>
    </row>
    <row r="635" customFormat="false" ht="12.75" hidden="false" customHeight="false" outlineLevel="0" collapsed="false">
      <c r="A635" s="325"/>
    </row>
    <row r="636" customFormat="false" ht="12.75" hidden="false" customHeight="false" outlineLevel="0" collapsed="false">
      <c r="A636" s="325"/>
    </row>
    <row r="637" customFormat="false" ht="12.75" hidden="false" customHeight="false" outlineLevel="0" collapsed="false">
      <c r="A637" s="325"/>
    </row>
    <row r="638" customFormat="false" ht="12.75" hidden="false" customHeight="false" outlineLevel="0" collapsed="false">
      <c r="A638" s="325"/>
    </row>
    <row r="639" customFormat="false" ht="12.75" hidden="false" customHeight="false" outlineLevel="0" collapsed="false">
      <c r="A639" s="325"/>
    </row>
    <row r="640" customFormat="false" ht="12.75" hidden="false" customHeight="false" outlineLevel="0" collapsed="false">
      <c r="A640" s="325"/>
    </row>
    <row r="641" customFormat="false" ht="12.75" hidden="false" customHeight="false" outlineLevel="0" collapsed="false">
      <c r="A641" s="325"/>
    </row>
    <row r="642" customFormat="false" ht="12.75" hidden="false" customHeight="false" outlineLevel="0" collapsed="false">
      <c r="A642" s="325"/>
    </row>
    <row r="643" customFormat="false" ht="12.75" hidden="false" customHeight="false" outlineLevel="0" collapsed="false">
      <c r="A643" s="325"/>
    </row>
    <row r="644" customFormat="false" ht="12.75" hidden="false" customHeight="false" outlineLevel="0" collapsed="false">
      <c r="A644" s="325"/>
    </row>
    <row r="645" customFormat="false" ht="12.75" hidden="false" customHeight="false" outlineLevel="0" collapsed="false">
      <c r="A645" s="325"/>
    </row>
    <row r="646" customFormat="false" ht="12.75" hidden="false" customHeight="false" outlineLevel="0" collapsed="false">
      <c r="A646" s="325"/>
    </row>
    <row r="647" customFormat="false" ht="12.75" hidden="false" customHeight="false" outlineLevel="0" collapsed="false">
      <c r="A647" s="325"/>
    </row>
    <row r="648" customFormat="false" ht="12.75" hidden="false" customHeight="false" outlineLevel="0" collapsed="false">
      <c r="A648" s="325"/>
    </row>
    <row r="649" customFormat="false" ht="12.75" hidden="false" customHeight="false" outlineLevel="0" collapsed="false">
      <c r="A649" s="325"/>
    </row>
    <row r="650" customFormat="false" ht="12.75" hidden="false" customHeight="false" outlineLevel="0" collapsed="false">
      <c r="A650" s="325"/>
    </row>
    <row r="651" customFormat="false" ht="12.75" hidden="false" customHeight="false" outlineLevel="0" collapsed="false">
      <c r="A651" s="325"/>
    </row>
    <row r="652" customFormat="false" ht="12.75" hidden="false" customHeight="false" outlineLevel="0" collapsed="false">
      <c r="A652" s="325"/>
    </row>
    <row r="653" customFormat="false" ht="12.75" hidden="false" customHeight="false" outlineLevel="0" collapsed="false">
      <c r="A653" s="325"/>
    </row>
    <row r="654" customFormat="false" ht="12.75" hidden="false" customHeight="false" outlineLevel="0" collapsed="false">
      <c r="A654" s="325"/>
    </row>
    <row r="655" customFormat="false" ht="12.75" hidden="false" customHeight="false" outlineLevel="0" collapsed="false">
      <c r="A655" s="325"/>
    </row>
    <row r="656" customFormat="false" ht="12.75" hidden="false" customHeight="false" outlineLevel="0" collapsed="false">
      <c r="A656" s="325"/>
    </row>
    <row r="657" customFormat="false" ht="12.75" hidden="false" customHeight="false" outlineLevel="0" collapsed="false">
      <c r="A657" s="325"/>
    </row>
    <row r="658" customFormat="false" ht="12.75" hidden="false" customHeight="false" outlineLevel="0" collapsed="false">
      <c r="A658" s="325"/>
    </row>
    <row r="659" customFormat="false" ht="12.75" hidden="false" customHeight="false" outlineLevel="0" collapsed="false">
      <c r="A659" s="325"/>
    </row>
    <row r="660" customFormat="false" ht="12.75" hidden="false" customHeight="false" outlineLevel="0" collapsed="false">
      <c r="A660" s="325"/>
    </row>
    <row r="661" customFormat="false" ht="12.75" hidden="false" customHeight="false" outlineLevel="0" collapsed="false">
      <c r="A661" s="325"/>
    </row>
    <row r="662" customFormat="false" ht="12.75" hidden="false" customHeight="false" outlineLevel="0" collapsed="false">
      <c r="A662" s="325"/>
    </row>
    <row r="663" customFormat="false" ht="12.75" hidden="false" customHeight="false" outlineLevel="0" collapsed="false">
      <c r="A663" s="325"/>
    </row>
    <row r="664" customFormat="false" ht="12.75" hidden="false" customHeight="false" outlineLevel="0" collapsed="false">
      <c r="A664" s="325"/>
    </row>
    <row r="665" customFormat="false" ht="12.75" hidden="false" customHeight="false" outlineLevel="0" collapsed="false">
      <c r="A665" s="325"/>
    </row>
    <row r="666" customFormat="false" ht="12.75" hidden="false" customHeight="false" outlineLevel="0" collapsed="false">
      <c r="A666" s="325"/>
    </row>
    <row r="667" customFormat="false" ht="12.75" hidden="false" customHeight="false" outlineLevel="0" collapsed="false">
      <c r="A667" s="325"/>
    </row>
    <row r="668" customFormat="false" ht="12.75" hidden="false" customHeight="false" outlineLevel="0" collapsed="false">
      <c r="A668" s="325"/>
    </row>
    <row r="669" customFormat="false" ht="12.75" hidden="false" customHeight="false" outlineLevel="0" collapsed="false">
      <c r="A669" s="325"/>
    </row>
    <row r="670" customFormat="false" ht="12.75" hidden="false" customHeight="false" outlineLevel="0" collapsed="false">
      <c r="A670" s="325"/>
    </row>
    <row r="671" customFormat="false" ht="12.75" hidden="false" customHeight="false" outlineLevel="0" collapsed="false">
      <c r="A671" s="325"/>
    </row>
    <row r="672" customFormat="false" ht="12.75" hidden="false" customHeight="false" outlineLevel="0" collapsed="false">
      <c r="A672" s="325"/>
    </row>
    <row r="673" customFormat="false" ht="12.75" hidden="false" customHeight="false" outlineLevel="0" collapsed="false">
      <c r="A673" s="325"/>
    </row>
    <row r="674" customFormat="false" ht="12.75" hidden="false" customHeight="false" outlineLevel="0" collapsed="false">
      <c r="A674" s="325"/>
    </row>
    <row r="675" customFormat="false" ht="12.75" hidden="false" customHeight="false" outlineLevel="0" collapsed="false">
      <c r="A675" s="325"/>
    </row>
    <row r="676" customFormat="false" ht="12.75" hidden="false" customHeight="false" outlineLevel="0" collapsed="false">
      <c r="A676" s="325"/>
    </row>
    <row r="677" customFormat="false" ht="12.75" hidden="false" customHeight="false" outlineLevel="0" collapsed="false">
      <c r="A677" s="325"/>
    </row>
    <row r="678" customFormat="false" ht="12.75" hidden="false" customHeight="false" outlineLevel="0" collapsed="false">
      <c r="A678" s="325"/>
    </row>
    <row r="679" customFormat="false" ht="12.75" hidden="false" customHeight="false" outlineLevel="0" collapsed="false">
      <c r="A679" s="325"/>
    </row>
    <row r="680" customFormat="false" ht="12.75" hidden="false" customHeight="false" outlineLevel="0" collapsed="false">
      <c r="A680" s="325"/>
    </row>
    <row r="681" customFormat="false" ht="12.75" hidden="false" customHeight="false" outlineLevel="0" collapsed="false">
      <c r="A681" s="325"/>
    </row>
    <row r="682" customFormat="false" ht="12.75" hidden="false" customHeight="false" outlineLevel="0" collapsed="false">
      <c r="A682" s="325"/>
    </row>
    <row r="683" customFormat="false" ht="12.75" hidden="false" customHeight="false" outlineLevel="0" collapsed="false">
      <c r="A683" s="325"/>
    </row>
    <row r="684" customFormat="false" ht="12.75" hidden="false" customHeight="false" outlineLevel="0" collapsed="false">
      <c r="A684" s="325"/>
    </row>
    <row r="685" customFormat="false" ht="12.75" hidden="false" customHeight="false" outlineLevel="0" collapsed="false">
      <c r="A685" s="325"/>
    </row>
    <row r="686" customFormat="false" ht="12.75" hidden="false" customHeight="false" outlineLevel="0" collapsed="false">
      <c r="A686" s="325"/>
    </row>
    <row r="687" customFormat="false" ht="12.75" hidden="false" customHeight="false" outlineLevel="0" collapsed="false">
      <c r="A687" s="325"/>
    </row>
    <row r="688" customFormat="false" ht="12.75" hidden="false" customHeight="false" outlineLevel="0" collapsed="false">
      <c r="A688" s="325"/>
    </row>
    <row r="689" customFormat="false" ht="12.75" hidden="false" customHeight="false" outlineLevel="0" collapsed="false">
      <c r="A689" s="325"/>
    </row>
    <row r="690" customFormat="false" ht="12.75" hidden="false" customHeight="false" outlineLevel="0" collapsed="false">
      <c r="A690" s="325"/>
    </row>
    <row r="691" customFormat="false" ht="12.75" hidden="false" customHeight="false" outlineLevel="0" collapsed="false">
      <c r="A691" s="325"/>
    </row>
    <row r="692" customFormat="false" ht="12.75" hidden="false" customHeight="false" outlineLevel="0" collapsed="false">
      <c r="A692" s="325"/>
    </row>
    <row r="693" customFormat="false" ht="12.75" hidden="false" customHeight="false" outlineLevel="0" collapsed="false">
      <c r="A693" s="325"/>
    </row>
    <row r="694" customFormat="false" ht="12.75" hidden="false" customHeight="false" outlineLevel="0" collapsed="false">
      <c r="A694" s="325"/>
    </row>
    <row r="695" customFormat="false" ht="12.75" hidden="false" customHeight="false" outlineLevel="0" collapsed="false">
      <c r="A695" s="325"/>
    </row>
    <row r="696" customFormat="false" ht="12.75" hidden="false" customHeight="false" outlineLevel="0" collapsed="false">
      <c r="A696" s="325"/>
    </row>
    <row r="697" customFormat="false" ht="12.75" hidden="false" customHeight="false" outlineLevel="0" collapsed="false">
      <c r="A697" s="325"/>
    </row>
    <row r="698" customFormat="false" ht="12.75" hidden="false" customHeight="false" outlineLevel="0" collapsed="false">
      <c r="A698" s="325"/>
    </row>
    <row r="699" customFormat="false" ht="12.75" hidden="false" customHeight="false" outlineLevel="0" collapsed="false">
      <c r="A699" s="325"/>
    </row>
    <row r="700" customFormat="false" ht="12.75" hidden="false" customHeight="false" outlineLevel="0" collapsed="false">
      <c r="A700" s="325"/>
    </row>
    <row r="701" customFormat="false" ht="12.75" hidden="false" customHeight="false" outlineLevel="0" collapsed="false">
      <c r="A701" s="325"/>
    </row>
    <row r="702" customFormat="false" ht="12.75" hidden="false" customHeight="false" outlineLevel="0" collapsed="false">
      <c r="A702" s="325"/>
    </row>
    <row r="703" customFormat="false" ht="12.75" hidden="false" customHeight="false" outlineLevel="0" collapsed="false">
      <c r="A703" s="325"/>
    </row>
    <row r="704" customFormat="false" ht="12.75" hidden="false" customHeight="false" outlineLevel="0" collapsed="false">
      <c r="A704" s="325"/>
    </row>
    <row r="705" customFormat="false" ht="12.75" hidden="false" customHeight="false" outlineLevel="0" collapsed="false">
      <c r="A705" s="325"/>
    </row>
    <row r="706" customFormat="false" ht="12.75" hidden="false" customHeight="false" outlineLevel="0" collapsed="false">
      <c r="A706" s="325"/>
    </row>
    <row r="707" customFormat="false" ht="12.75" hidden="false" customHeight="false" outlineLevel="0" collapsed="false">
      <c r="A707" s="325"/>
    </row>
    <row r="708" customFormat="false" ht="12.75" hidden="false" customHeight="false" outlineLevel="0" collapsed="false">
      <c r="A708" s="325"/>
    </row>
    <row r="709" customFormat="false" ht="12.75" hidden="false" customHeight="false" outlineLevel="0" collapsed="false">
      <c r="A709" s="325"/>
    </row>
    <row r="710" customFormat="false" ht="12.75" hidden="false" customHeight="false" outlineLevel="0" collapsed="false">
      <c r="A710" s="325"/>
    </row>
    <row r="711" customFormat="false" ht="12.75" hidden="false" customHeight="false" outlineLevel="0" collapsed="false">
      <c r="A711" s="325"/>
    </row>
    <row r="712" customFormat="false" ht="12.75" hidden="false" customHeight="false" outlineLevel="0" collapsed="false">
      <c r="A712" s="325"/>
    </row>
    <row r="713" customFormat="false" ht="12.75" hidden="false" customHeight="false" outlineLevel="0" collapsed="false">
      <c r="A713" s="325"/>
    </row>
    <row r="714" customFormat="false" ht="12.75" hidden="false" customHeight="false" outlineLevel="0" collapsed="false">
      <c r="A714" s="325"/>
    </row>
    <row r="715" customFormat="false" ht="12.75" hidden="false" customHeight="false" outlineLevel="0" collapsed="false">
      <c r="A715" s="325"/>
    </row>
    <row r="716" customFormat="false" ht="12.75" hidden="false" customHeight="false" outlineLevel="0" collapsed="false">
      <c r="A716" s="325"/>
    </row>
    <row r="717" customFormat="false" ht="12.75" hidden="false" customHeight="false" outlineLevel="0" collapsed="false">
      <c r="A717" s="325"/>
    </row>
    <row r="718" customFormat="false" ht="12.75" hidden="false" customHeight="false" outlineLevel="0" collapsed="false">
      <c r="A718" s="325"/>
    </row>
    <row r="719" customFormat="false" ht="12.75" hidden="false" customHeight="false" outlineLevel="0" collapsed="false">
      <c r="A719" s="325"/>
    </row>
    <row r="720" customFormat="false" ht="12.75" hidden="false" customHeight="false" outlineLevel="0" collapsed="false">
      <c r="A720" s="325"/>
    </row>
    <row r="721" customFormat="false" ht="12.75" hidden="false" customHeight="false" outlineLevel="0" collapsed="false">
      <c r="A721" s="325"/>
    </row>
    <row r="722" customFormat="false" ht="12.75" hidden="false" customHeight="false" outlineLevel="0" collapsed="false">
      <c r="A722" s="325"/>
    </row>
    <row r="723" customFormat="false" ht="12.75" hidden="false" customHeight="false" outlineLevel="0" collapsed="false">
      <c r="A723" s="325"/>
    </row>
    <row r="724" customFormat="false" ht="12.75" hidden="false" customHeight="false" outlineLevel="0" collapsed="false">
      <c r="A724" s="325"/>
    </row>
    <row r="725" customFormat="false" ht="12.75" hidden="false" customHeight="false" outlineLevel="0" collapsed="false">
      <c r="A725" s="325"/>
    </row>
    <row r="726" customFormat="false" ht="12.75" hidden="false" customHeight="false" outlineLevel="0" collapsed="false">
      <c r="A726" s="325"/>
    </row>
    <row r="727" customFormat="false" ht="12.75" hidden="false" customHeight="false" outlineLevel="0" collapsed="false">
      <c r="A727" s="325"/>
    </row>
    <row r="728" customFormat="false" ht="12.75" hidden="false" customHeight="false" outlineLevel="0" collapsed="false">
      <c r="A728" s="325"/>
    </row>
    <row r="729" customFormat="false" ht="12.75" hidden="false" customHeight="false" outlineLevel="0" collapsed="false">
      <c r="A729" s="325"/>
    </row>
    <row r="730" customFormat="false" ht="12.75" hidden="false" customHeight="false" outlineLevel="0" collapsed="false">
      <c r="A730" s="325"/>
    </row>
    <row r="731" customFormat="false" ht="12.75" hidden="false" customHeight="false" outlineLevel="0" collapsed="false">
      <c r="A731" s="325"/>
    </row>
    <row r="732" customFormat="false" ht="12.75" hidden="false" customHeight="false" outlineLevel="0" collapsed="false">
      <c r="A732" s="325"/>
    </row>
    <row r="733" customFormat="false" ht="12.75" hidden="false" customHeight="false" outlineLevel="0" collapsed="false">
      <c r="A733" s="325"/>
    </row>
    <row r="734" customFormat="false" ht="12.75" hidden="false" customHeight="false" outlineLevel="0" collapsed="false">
      <c r="A734" s="325"/>
    </row>
    <row r="735" customFormat="false" ht="12.75" hidden="false" customHeight="false" outlineLevel="0" collapsed="false">
      <c r="A735" s="325"/>
    </row>
    <row r="736" customFormat="false" ht="12.75" hidden="false" customHeight="false" outlineLevel="0" collapsed="false">
      <c r="A736" s="325"/>
    </row>
    <row r="737" customFormat="false" ht="12.75" hidden="false" customHeight="false" outlineLevel="0" collapsed="false">
      <c r="A737" s="325"/>
    </row>
    <row r="738" customFormat="false" ht="12.75" hidden="false" customHeight="false" outlineLevel="0" collapsed="false">
      <c r="A738" s="325"/>
    </row>
    <row r="739" customFormat="false" ht="12.75" hidden="false" customHeight="false" outlineLevel="0" collapsed="false">
      <c r="A739" s="325"/>
    </row>
    <row r="740" customFormat="false" ht="12.75" hidden="false" customHeight="false" outlineLevel="0" collapsed="false">
      <c r="A740" s="325"/>
    </row>
    <row r="741" customFormat="false" ht="12.75" hidden="false" customHeight="false" outlineLevel="0" collapsed="false">
      <c r="A741" s="325"/>
    </row>
    <row r="742" customFormat="false" ht="12.75" hidden="false" customHeight="false" outlineLevel="0" collapsed="false">
      <c r="A742" s="325"/>
    </row>
    <row r="743" customFormat="false" ht="12.75" hidden="false" customHeight="false" outlineLevel="0" collapsed="false">
      <c r="A743" s="325"/>
    </row>
    <row r="744" customFormat="false" ht="12.75" hidden="false" customHeight="false" outlineLevel="0" collapsed="false">
      <c r="A744" s="325"/>
    </row>
    <row r="745" customFormat="false" ht="12.75" hidden="false" customHeight="false" outlineLevel="0" collapsed="false">
      <c r="A745" s="325"/>
    </row>
    <row r="746" customFormat="false" ht="12.75" hidden="false" customHeight="false" outlineLevel="0" collapsed="false">
      <c r="A746" s="325"/>
    </row>
    <row r="747" customFormat="false" ht="12.75" hidden="false" customHeight="false" outlineLevel="0" collapsed="false">
      <c r="A747" s="325"/>
    </row>
    <row r="748" customFormat="false" ht="12.75" hidden="false" customHeight="false" outlineLevel="0" collapsed="false">
      <c r="A748" s="325"/>
    </row>
    <row r="749" customFormat="false" ht="12.75" hidden="false" customHeight="false" outlineLevel="0" collapsed="false">
      <c r="A749" s="325"/>
    </row>
    <row r="750" customFormat="false" ht="12.75" hidden="false" customHeight="false" outlineLevel="0" collapsed="false">
      <c r="A750" s="325"/>
    </row>
    <row r="751" customFormat="false" ht="12.75" hidden="false" customHeight="false" outlineLevel="0" collapsed="false">
      <c r="A751" s="325"/>
    </row>
    <row r="752" customFormat="false" ht="12.75" hidden="false" customHeight="false" outlineLevel="0" collapsed="false">
      <c r="A752" s="325"/>
    </row>
    <row r="753" customFormat="false" ht="12.75" hidden="false" customHeight="false" outlineLevel="0" collapsed="false">
      <c r="A753" s="325"/>
    </row>
    <row r="754" customFormat="false" ht="12.75" hidden="false" customHeight="false" outlineLevel="0" collapsed="false">
      <c r="A754" s="325"/>
    </row>
    <row r="755" customFormat="false" ht="12.75" hidden="false" customHeight="false" outlineLevel="0" collapsed="false">
      <c r="A755" s="325"/>
    </row>
    <row r="756" customFormat="false" ht="12.75" hidden="false" customHeight="false" outlineLevel="0" collapsed="false">
      <c r="A756" s="325"/>
    </row>
    <row r="757" customFormat="false" ht="12.75" hidden="false" customHeight="false" outlineLevel="0" collapsed="false">
      <c r="A757" s="325"/>
    </row>
    <row r="758" customFormat="false" ht="12.75" hidden="false" customHeight="false" outlineLevel="0" collapsed="false">
      <c r="A758" s="325"/>
    </row>
    <row r="759" customFormat="false" ht="12.75" hidden="false" customHeight="false" outlineLevel="0" collapsed="false">
      <c r="A759" s="325"/>
    </row>
    <row r="760" customFormat="false" ht="12.75" hidden="false" customHeight="false" outlineLevel="0" collapsed="false">
      <c r="A760" s="325"/>
    </row>
    <row r="761" customFormat="false" ht="12.75" hidden="false" customHeight="false" outlineLevel="0" collapsed="false">
      <c r="A761" s="325"/>
    </row>
    <row r="762" customFormat="false" ht="12.75" hidden="false" customHeight="false" outlineLevel="0" collapsed="false">
      <c r="A762" s="325"/>
    </row>
    <row r="763" customFormat="false" ht="12.75" hidden="false" customHeight="false" outlineLevel="0" collapsed="false">
      <c r="A763" s="325"/>
    </row>
    <row r="764" customFormat="false" ht="12.75" hidden="false" customHeight="false" outlineLevel="0" collapsed="false">
      <c r="A764" s="325"/>
    </row>
    <row r="765" customFormat="false" ht="12.75" hidden="false" customHeight="false" outlineLevel="0" collapsed="false">
      <c r="A765" s="325"/>
    </row>
    <row r="766" customFormat="false" ht="12.75" hidden="false" customHeight="false" outlineLevel="0" collapsed="false">
      <c r="A766" s="325"/>
    </row>
    <row r="767" customFormat="false" ht="12.75" hidden="false" customHeight="false" outlineLevel="0" collapsed="false">
      <c r="A767" s="325"/>
    </row>
    <row r="768" customFormat="false" ht="12.75" hidden="false" customHeight="false" outlineLevel="0" collapsed="false">
      <c r="A768" s="325"/>
    </row>
    <row r="769" customFormat="false" ht="12.75" hidden="false" customHeight="false" outlineLevel="0" collapsed="false">
      <c r="A769" s="325"/>
    </row>
    <row r="770" customFormat="false" ht="12.75" hidden="false" customHeight="false" outlineLevel="0" collapsed="false">
      <c r="A770" s="325"/>
    </row>
    <row r="771" customFormat="false" ht="12.75" hidden="false" customHeight="false" outlineLevel="0" collapsed="false">
      <c r="A771" s="325"/>
    </row>
    <row r="772" customFormat="false" ht="12.75" hidden="false" customHeight="false" outlineLevel="0" collapsed="false">
      <c r="A772" s="325"/>
    </row>
    <row r="773" customFormat="false" ht="12.75" hidden="false" customHeight="false" outlineLevel="0" collapsed="false">
      <c r="A773" s="325"/>
    </row>
    <row r="774" customFormat="false" ht="12.75" hidden="false" customHeight="false" outlineLevel="0" collapsed="false">
      <c r="A774" s="325"/>
    </row>
    <row r="775" customFormat="false" ht="12.75" hidden="false" customHeight="false" outlineLevel="0" collapsed="false">
      <c r="A775" s="325"/>
    </row>
    <row r="776" customFormat="false" ht="12.75" hidden="false" customHeight="false" outlineLevel="0" collapsed="false">
      <c r="A776" s="325"/>
    </row>
    <row r="777" customFormat="false" ht="12.75" hidden="false" customHeight="false" outlineLevel="0" collapsed="false">
      <c r="A777" s="325"/>
    </row>
    <row r="778" customFormat="false" ht="12.75" hidden="false" customHeight="false" outlineLevel="0" collapsed="false">
      <c r="A778" s="325"/>
    </row>
    <row r="779" customFormat="false" ht="12.75" hidden="false" customHeight="false" outlineLevel="0" collapsed="false">
      <c r="A779" s="325"/>
    </row>
    <row r="780" customFormat="false" ht="12.75" hidden="false" customHeight="false" outlineLevel="0" collapsed="false">
      <c r="A780" s="325"/>
    </row>
    <row r="781" customFormat="false" ht="12.75" hidden="false" customHeight="false" outlineLevel="0" collapsed="false">
      <c r="A781" s="325"/>
    </row>
    <row r="782" customFormat="false" ht="12.75" hidden="false" customHeight="false" outlineLevel="0" collapsed="false">
      <c r="A782" s="325"/>
    </row>
    <row r="783" customFormat="false" ht="12.75" hidden="false" customHeight="false" outlineLevel="0" collapsed="false">
      <c r="A783" s="325"/>
    </row>
    <row r="784" customFormat="false" ht="12.75" hidden="false" customHeight="false" outlineLevel="0" collapsed="false">
      <c r="A784" s="325"/>
    </row>
    <row r="785" customFormat="false" ht="12.75" hidden="false" customHeight="false" outlineLevel="0" collapsed="false">
      <c r="A785" s="325"/>
    </row>
    <row r="786" customFormat="false" ht="12.75" hidden="false" customHeight="false" outlineLevel="0" collapsed="false">
      <c r="A786" s="325"/>
    </row>
    <row r="787" customFormat="false" ht="12.75" hidden="false" customHeight="false" outlineLevel="0" collapsed="false">
      <c r="A787" s="325"/>
    </row>
    <row r="788" customFormat="false" ht="12.75" hidden="false" customHeight="false" outlineLevel="0" collapsed="false">
      <c r="A788" s="325"/>
    </row>
    <row r="789" customFormat="false" ht="12.75" hidden="false" customHeight="false" outlineLevel="0" collapsed="false">
      <c r="A789" s="325"/>
    </row>
    <row r="790" customFormat="false" ht="12.75" hidden="false" customHeight="false" outlineLevel="0" collapsed="false">
      <c r="A790" s="325"/>
    </row>
    <row r="791" customFormat="false" ht="12.75" hidden="false" customHeight="false" outlineLevel="0" collapsed="false">
      <c r="A791" s="325"/>
    </row>
    <row r="792" customFormat="false" ht="12.75" hidden="false" customHeight="false" outlineLevel="0" collapsed="false">
      <c r="A792" s="325"/>
    </row>
    <row r="793" customFormat="false" ht="12.75" hidden="false" customHeight="false" outlineLevel="0" collapsed="false">
      <c r="A793" s="325"/>
    </row>
    <row r="794" customFormat="false" ht="12.75" hidden="false" customHeight="false" outlineLevel="0" collapsed="false">
      <c r="A794" s="325"/>
    </row>
    <row r="795" customFormat="false" ht="12.75" hidden="false" customHeight="false" outlineLevel="0" collapsed="false">
      <c r="A795" s="325"/>
    </row>
    <row r="796" customFormat="false" ht="12.75" hidden="false" customHeight="false" outlineLevel="0" collapsed="false">
      <c r="A796" s="325"/>
    </row>
    <row r="797" customFormat="false" ht="12.75" hidden="false" customHeight="false" outlineLevel="0" collapsed="false">
      <c r="A797" s="325"/>
    </row>
    <row r="798" customFormat="false" ht="12.75" hidden="false" customHeight="false" outlineLevel="0" collapsed="false">
      <c r="A798" s="325"/>
    </row>
    <row r="799" customFormat="false" ht="12.75" hidden="false" customHeight="false" outlineLevel="0" collapsed="false">
      <c r="A799" s="325"/>
    </row>
    <row r="800" customFormat="false" ht="12.75" hidden="false" customHeight="false" outlineLevel="0" collapsed="false">
      <c r="A800" s="325"/>
    </row>
    <row r="801" customFormat="false" ht="12.75" hidden="false" customHeight="false" outlineLevel="0" collapsed="false">
      <c r="A801" s="325"/>
    </row>
    <row r="802" customFormat="false" ht="12.75" hidden="false" customHeight="false" outlineLevel="0" collapsed="false">
      <c r="A802" s="325"/>
    </row>
    <row r="803" customFormat="false" ht="12.75" hidden="false" customHeight="false" outlineLevel="0" collapsed="false">
      <c r="A803" s="325"/>
    </row>
    <row r="804" customFormat="false" ht="12.75" hidden="false" customHeight="false" outlineLevel="0" collapsed="false">
      <c r="A804" s="325"/>
    </row>
    <row r="805" customFormat="false" ht="12.75" hidden="false" customHeight="false" outlineLevel="0" collapsed="false">
      <c r="A805" s="325"/>
    </row>
    <row r="806" customFormat="false" ht="12.75" hidden="false" customHeight="false" outlineLevel="0" collapsed="false">
      <c r="A806" s="325"/>
    </row>
    <row r="807" customFormat="false" ht="12.75" hidden="false" customHeight="false" outlineLevel="0" collapsed="false">
      <c r="A807" s="325"/>
    </row>
    <row r="808" customFormat="false" ht="12.75" hidden="false" customHeight="false" outlineLevel="0" collapsed="false">
      <c r="A808" s="325"/>
    </row>
    <row r="809" customFormat="false" ht="12.75" hidden="false" customHeight="false" outlineLevel="0" collapsed="false">
      <c r="A809" s="325"/>
    </row>
    <row r="810" customFormat="false" ht="12.75" hidden="false" customHeight="false" outlineLevel="0" collapsed="false">
      <c r="A810" s="325"/>
    </row>
    <row r="811" customFormat="false" ht="12.75" hidden="false" customHeight="false" outlineLevel="0" collapsed="false">
      <c r="A811" s="325"/>
    </row>
    <row r="812" customFormat="false" ht="12.75" hidden="false" customHeight="false" outlineLevel="0" collapsed="false">
      <c r="A812" s="325"/>
    </row>
    <row r="813" customFormat="false" ht="12.75" hidden="false" customHeight="false" outlineLevel="0" collapsed="false">
      <c r="A813" s="325"/>
    </row>
    <row r="814" customFormat="false" ht="12.75" hidden="false" customHeight="false" outlineLevel="0" collapsed="false">
      <c r="A814" s="325"/>
    </row>
    <row r="815" customFormat="false" ht="12.75" hidden="false" customHeight="false" outlineLevel="0" collapsed="false">
      <c r="A815" s="325"/>
    </row>
    <row r="816" customFormat="false" ht="12.75" hidden="false" customHeight="false" outlineLevel="0" collapsed="false">
      <c r="A816" s="325"/>
    </row>
    <row r="817" customFormat="false" ht="12.75" hidden="false" customHeight="false" outlineLevel="0" collapsed="false">
      <c r="A817" s="325"/>
    </row>
    <row r="818" customFormat="false" ht="12.75" hidden="false" customHeight="false" outlineLevel="0" collapsed="false">
      <c r="A818" s="325"/>
    </row>
    <row r="819" customFormat="false" ht="12.75" hidden="false" customHeight="false" outlineLevel="0" collapsed="false">
      <c r="A819" s="325"/>
    </row>
    <row r="820" customFormat="false" ht="12.75" hidden="false" customHeight="false" outlineLevel="0" collapsed="false">
      <c r="A820" s="325"/>
    </row>
    <row r="821" customFormat="false" ht="12.75" hidden="false" customHeight="false" outlineLevel="0" collapsed="false">
      <c r="A821" s="325"/>
    </row>
    <row r="822" customFormat="false" ht="12.75" hidden="false" customHeight="false" outlineLevel="0" collapsed="false">
      <c r="A822" s="325"/>
    </row>
    <row r="823" customFormat="false" ht="12.75" hidden="false" customHeight="false" outlineLevel="0" collapsed="false">
      <c r="A823" s="325"/>
    </row>
    <row r="824" customFormat="false" ht="12.75" hidden="false" customHeight="false" outlineLevel="0" collapsed="false">
      <c r="A824" s="325"/>
    </row>
    <row r="825" customFormat="false" ht="12.75" hidden="false" customHeight="false" outlineLevel="0" collapsed="false">
      <c r="A825" s="325"/>
    </row>
    <row r="826" customFormat="false" ht="12.75" hidden="false" customHeight="false" outlineLevel="0" collapsed="false">
      <c r="A826" s="325"/>
    </row>
    <row r="827" customFormat="false" ht="12.75" hidden="false" customHeight="false" outlineLevel="0" collapsed="false">
      <c r="A827" s="325"/>
    </row>
    <row r="828" customFormat="false" ht="12.75" hidden="false" customHeight="false" outlineLevel="0" collapsed="false">
      <c r="A828" s="325"/>
    </row>
    <row r="829" customFormat="false" ht="12.75" hidden="false" customHeight="false" outlineLevel="0" collapsed="false">
      <c r="A829" s="325"/>
    </row>
    <row r="830" customFormat="false" ht="12.75" hidden="false" customHeight="false" outlineLevel="0" collapsed="false">
      <c r="A830" s="325"/>
    </row>
    <row r="831" customFormat="false" ht="12.75" hidden="false" customHeight="false" outlineLevel="0" collapsed="false">
      <c r="A831" s="325"/>
    </row>
    <row r="832" customFormat="false" ht="12.75" hidden="false" customHeight="false" outlineLevel="0" collapsed="false">
      <c r="A832" s="325"/>
    </row>
    <row r="833" customFormat="false" ht="12.75" hidden="false" customHeight="false" outlineLevel="0" collapsed="false">
      <c r="A833" s="325"/>
    </row>
    <row r="834" customFormat="false" ht="12.75" hidden="false" customHeight="false" outlineLevel="0" collapsed="false">
      <c r="A834" s="325"/>
    </row>
    <row r="835" customFormat="false" ht="12.75" hidden="false" customHeight="false" outlineLevel="0" collapsed="false">
      <c r="A835" s="325"/>
    </row>
    <row r="836" customFormat="false" ht="12.75" hidden="false" customHeight="false" outlineLevel="0" collapsed="false">
      <c r="A836" s="325"/>
    </row>
    <row r="837" customFormat="false" ht="12.75" hidden="false" customHeight="false" outlineLevel="0" collapsed="false">
      <c r="A837" s="325"/>
    </row>
    <row r="838" customFormat="false" ht="12.75" hidden="false" customHeight="false" outlineLevel="0" collapsed="false">
      <c r="A838" s="325"/>
    </row>
    <row r="839" customFormat="false" ht="12.75" hidden="false" customHeight="false" outlineLevel="0" collapsed="false">
      <c r="A839" s="325"/>
    </row>
    <row r="840" customFormat="false" ht="12.75" hidden="false" customHeight="false" outlineLevel="0" collapsed="false">
      <c r="A840" s="325"/>
    </row>
    <row r="841" customFormat="false" ht="12.75" hidden="false" customHeight="false" outlineLevel="0" collapsed="false">
      <c r="A841" s="325"/>
    </row>
    <row r="842" customFormat="false" ht="12.75" hidden="false" customHeight="false" outlineLevel="0" collapsed="false">
      <c r="A842" s="325"/>
    </row>
    <row r="843" customFormat="false" ht="12.75" hidden="false" customHeight="false" outlineLevel="0" collapsed="false">
      <c r="A843" s="325"/>
    </row>
    <row r="844" customFormat="false" ht="12.75" hidden="false" customHeight="false" outlineLevel="0" collapsed="false">
      <c r="A844" s="325"/>
    </row>
    <row r="845" customFormat="false" ht="12.75" hidden="false" customHeight="false" outlineLevel="0" collapsed="false">
      <c r="A845" s="325"/>
    </row>
    <row r="846" customFormat="false" ht="12.75" hidden="false" customHeight="false" outlineLevel="0" collapsed="false">
      <c r="A846" s="325"/>
    </row>
    <row r="847" customFormat="false" ht="12.75" hidden="false" customHeight="false" outlineLevel="0" collapsed="false">
      <c r="A847" s="325"/>
    </row>
    <row r="848" customFormat="false" ht="12.75" hidden="false" customHeight="false" outlineLevel="0" collapsed="false">
      <c r="A848" s="325"/>
    </row>
    <row r="849" customFormat="false" ht="12.75" hidden="false" customHeight="false" outlineLevel="0" collapsed="false">
      <c r="A849" s="325"/>
    </row>
    <row r="850" customFormat="false" ht="12.75" hidden="false" customHeight="false" outlineLevel="0" collapsed="false">
      <c r="A850" s="325"/>
    </row>
    <row r="851" customFormat="false" ht="12.75" hidden="false" customHeight="false" outlineLevel="0" collapsed="false">
      <c r="A851" s="325"/>
    </row>
    <row r="852" customFormat="false" ht="12.75" hidden="false" customHeight="false" outlineLevel="0" collapsed="false">
      <c r="A852" s="325"/>
    </row>
    <row r="853" customFormat="false" ht="12.75" hidden="false" customHeight="false" outlineLevel="0" collapsed="false">
      <c r="A853" s="325"/>
    </row>
    <row r="854" customFormat="false" ht="12.75" hidden="false" customHeight="false" outlineLevel="0" collapsed="false">
      <c r="A854" s="325"/>
    </row>
    <row r="855" customFormat="false" ht="12.75" hidden="false" customHeight="false" outlineLevel="0" collapsed="false">
      <c r="A855" s="325"/>
    </row>
    <row r="856" customFormat="false" ht="12.75" hidden="false" customHeight="false" outlineLevel="0" collapsed="false">
      <c r="A856" s="325"/>
    </row>
    <row r="857" customFormat="false" ht="12.75" hidden="false" customHeight="false" outlineLevel="0" collapsed="false">
      <c r="A857" s="325"/>
    </row>
    <row r="858" customFormat="false" ht="12.75" hidden="false" customHeight="false" outlineLevel="0" collapsed="false">
      <c r="A858" s="325"/>
    </row>
    <row r="859" customFormat="false" ht="12.75" hidden="false" customHeight="false" outlineLevel="0" collapsed="false">
      <c r="A859" s="325"/>
    </row>
    <row r="860" customFormat="false" ht="12.75" hidden="false" customHeight="false" outlineLevel="0" collapsed="false">
      <c r="A860" s="325"/>
    </row>
    <row r="861" customFormat="false" ht="12.75" hidden="false" customHeight="false" outlineLevel="0" collapsed="false">
      <c r="A861" s="325"/>
    </row>
    <row r="862" customFormat="false" ht="12.75" hidden="false" customHeight="false" outlineLevel="0" collapsed="false">
      <c r="A862" s="325"/>
    </row>
    <row r="863" customFormat="false" ht="12.75" hidden="false" customHeight="false" outlineLevel="0" collapsed="false">
      <c r="A863" s="325"/>
    </row>
    <row r="864" customFormat="false" ht="12.75" hidden="false" customHeight="false" outlineLevel="0" collapsed="false">
      <c r="A864" s="325"/>
    </row>
    <row r="865" customFormat="false" ht="12.75" hidden="false" customHeight="false" outlineLevel="0" collapsed="false">
      <c r="A865" s="325"/>
    </row>
    <row r="866" customFormat="false" ht="12.75" hidden="false" customHeight="false" outlineLevel="0" collapsed="false">
      <c r="A866" s="325"/>
    </row>
    <row r="867" customFormat="false" ht="12.75" hidden="false" customHeight="false" outlineLevel="0" collapsed="false">
      <c r="A867" s="325"/>
    </row>
    <row r="868" customFormat="false" ht="12.75" hidden="false" customHeight="false" outlineLevel="0" collapsed="false">
      <c r="A868" s="325"/>
    </row>
    <row r="869" customFormat="false" ht="12.75" hidden="false" customHeight="false" outlineLevel="0" collapsed="false">
      <c r="A869" s="325"/>
    </row>
    <row r="870" customFormat="false" ht="12.75" hidden="false" customHeight="false" outlineLevel="0" collapsed="false">
      <c r="A870" s="325"/>
    </row>
    <row r="871" customFormat="false" ht="12.75" hidden="false" customHeight="false" outlineLevel="0" collapsed="false">
      <c r="A871" s="325"/>
    </row>
    <row r="872" customFormat="false" ht="12.75" hidden="false" customHeight="false" outlineLevel="0" collapsed="false">
      <c r="A872" s="325"/>
    </row>
    <row r="873" customFormat="false" ht="12.75" hidden="false" customHeight="false" outlineLevel="0" collapsed="false">
      <c r="A873" s="325"/>
    </row>
    <row r="874" customFormat="false" ht="12.75" hidden="false" customHeight="false" outlineLevel="0" collapsed="false">
      <c r="A874" s="325"/>
    </row>
    <row r="875" customFormat="false" ht="12.75" hidden="false" customHeight="false" outlineLevel="0" collapsed="false">
      <c r="A875" s="325"/>
    </row>
    <row r="876" customFormat="false" ht="12.75" hidden="false" customHeight="false" outlineLevel="0" collapsed="false">
      <c r="A876" s="325"/>
    </row>
    <row r="877" customFormat="false" ht="12.75" hidden="false" customHeight="false" outlineLevel="0" collapsed="false">
      <c r="A877" s="325"/>
    </row>
    <row r="878" customFormat="false" ht="12.75" hidden="false" customHeight="false" outlineLevel="0" collapsed="false">
      <c r="A878" s="325"/>
    </row>
    <row r="879" customFormat="false" ht="12.75" hidden="false" customHeight="false" outlineLevel="0" collapsed="false">
      <c r="A879" s="325"/>
    </row>
    <row r="880" customFormat="false" ht="12.75" hidden="false" customHeight="false" outlineLevel="0" collapsed="false">
      <c r="A880" s="325"/>
    </row>
    <row r="881" customFormat="false" ht="12.75" hidden="false" customHeight="false" outlineLevel="0" collapsed="false">
      <c r="A881" s="325"/>
    </row>
    <row r="882" customFormat="false" ht="12.75" hidden="false" customHeight="false" outlineLevel="0" collapsed="false">
      <c r="A882" s="325"/>
    </row>
    <row r="883" customFormat="false" ht="12.75" hidden="false" customHeight="false" outlineLevel="0" collapsed="false">
      <c r="A883" s="325"/>
    </row>
    <row r="884" customFormat="false" ht="12.75" hidden="false" customHeight="false" outlineLevel="0" collapsed="false">
      <c r="A884" s="325"/>
    </row>
    <row r="885" customFormat="false" ht="12.75" hidden="false" customHeight="false" outlineLevel="0" collapsed="false">
      <c r="A885" s="325"/>
    </row>
    <row r="886" customFormat="false" ht="12.75" hidden="false" customHeight="false" outlineLevel="0" collapsed="false">
      <c r="A886" s="325"/>
    </row>
    <row r="887" customFormat="false" ht="12.75" hidden="false" customHeight="false" outlineLevel="0" collapsed="false">
      <c r="A887" s="325"/>
    </row>
    <row r="888" customFormat="false" ht="12.75" hidden="false" customHeight="false" outlineLevel="0" collapsed="false">
      <c r="A888" s="325"/>
    </row>
    <row r="889" customFormat="false" ht="12.75" hidden="false" customHeight="false" outlineLevel="0" collapsed="false">
      <c r="A889" s="325"/>
    </row>
    <row r="890" customFormat="false" ht="12.75" hidden="false" customHeight="false" outlineLevel="0" collapsed="false">
      <c r="A890" s="325"/>
    </row>
    <row r="891" customFormat="false" ht="12.75" hidden="false" customHeight="false" outlineLevel="0" collapsed="false">
      <c r="A891" s="325"/>
    </row>
    <row r="892" customFormat="false" ht="12.75" hidden="false" customHeight="false" outlineLevel="0" collapsed="false">
      <c r="A892" s="325"/>
    </row>
    <row r="893" customFormat="false" ht="12.75" hidden="false" customHeight="false" outlineLevel="0" collapsed="false">
      <c r="A893" s="325"/>
    </row>
    <row r="894" customFormat="false" ht="12.75" hidden="false" customHeight="false" outlineLevel="0" collapsed="false">
      <c r="A894" s="325"/>
    </row>
    <row r="895" customFormat="false" ht="12.75" hidden="false" customHeight="false" outlineLevel="0" collapsed="false">
      <c r="A895" s="325"/>
    </row>
    <row r="896" customFormat="false" ht="12.75" hidden="false" customHeight="false" outlineLevel="0" collapsed="false">
      <c r="A896" s="325"/>
    </row>
    <row r="897" customFormat="false" ht="12.75" hidden="false" customHeight="false" outlineLevel="0" collapsed="false">
      <c r="A897" s="325"/>
    </row>
    <row r="898" customFormat="false" ht="12.75" hidden="false" customHeight="false" outlineLevel="0" collapsed="false">
      <c r="A898" s="325"/>
    </row>
    <row r="899" customFormat="false" ht="12.75" hidden="false" customHeight="false" outlineLevel="0" collapsed="false">
      <c r="A899" s="325"/>
    </row>
    <row r="900" customFormat="false" ht="12.75" hidden="false" customHeight="false" outlineLevel="0" collapsed="false">
      <c r="A900" s="325"/>
    </row>
    <row r="901" customFormat="false" ht="12.75" hidden="false" customHeight="false" outlineLevel="0" collapsed="false">
      <c r="A901" s="325"/>
    </row>
    <row r="902" customFormat="false" ht="12.75" hidden="false" customHeight="false" outlineLevel="0" collapsed="false">
      <c r="A902" s="325"/>
    </row>
    <row r="903" customFormat="false" ht="12.75" hidden="false" customHeight="false" outlineLevel="0" collapsed="false">
      <c r="A903" s="325"/>
    </row>
    <row r="904" customFormat="false" ht="12.75" hidden="false" customHeight="false" outlineLevel="0" collapsed="false">
      <c r="A904" s="325"/>
    </row>
    <row r="905" customFormat="false" ht="12.75" hidden="false" customHeight="false" outlineLevel="0" collapsed="false">
      <c r="A905" s="325"/>
    </row>
    <row r="906" customFormat="false" ht="12.75" hidden="false" customHeight="false" outlineLevel="0" collapsed="false">
      <c r="A906" s="325"/>
    </row>
    <row r="907" customFormat="false" ht="12.75" hidden="false" customHeight="false" outlineLevel="0" collapsed="false">
      <c r="A907" s="325"/>
    </row>
    <row r="908" customFormat="false" ht="12.75" hidden="false" customHeight="false" outlineLevel="0" collapsed="false">
      <c r="A908" s="325"/>
    </row>
    <row r="909" customFormat="false" ht="12.75" hidden="false" customHeight="false" outlineLevel="0" collapsed="false">
      <c r="A909" s="325"/>
    </row>
    <row r="910" customFormat="false" ht="12.75" hidden="false" customHeight="false" outlineLevel="0" collapsed="false">
      <c r="A910" s="325"/>
    </row>
    <row r="911" customFormat="false" ht="12.75" hidden="false" customHeight="false" outlineLevel="0" collapsed="false">
      <c r="A911" s="325"/>
    </row>
    <row r="912" customFormat="false" ht="12.75" hidden="false" customHeight="false" outlineLevel="0" collapsed="false">
      <c r="A912" s="325"/>
    </row>
    <row r="913" customFormat="false" ht="12.75" hidden="false" customHeight="false" outlineLevel="0" collapsed="false">
      <c r="A913" s="325"/>
    </row>
    <row r="914" customFormat="false" ht="12.75" hidden="false" customHeight="false" outlineLevel="0" collapsed="false">
      <c r="A914" s="325"/>
    </row>
    <row r="915" customFormat="false" ht="12.75" hidden="false" customHeight="false" outlineLevel="0" collapsed="false">
      <c r="A915" s="325"/>
    </row>
    <row r="916" customFormat="false" ht="12.75" hidden="false" customHeight="false" outlineLevel="0" collapsed="false">
      <c r="A916" s="325"/>
    </row>
    <row r="917" customFormat="false" ht="12.75" hidden="false" customHeight="false" outlineLevel="0" collapsed="false">
      <c r="A917" s="325"/>
    </row>
    <row r="918" customFormat="false" ht="12.75" hidden="false" customHeight="false" outlineLevel="0" collapsed="false">
      <c r="A918" s="325"/>
    </row>
    <row r="919" customFormat="false" ht="12.75" hidden="false" customHeight="false" outlineLevel="0" collapsed="false">
      <c r="A919" s="325"/>
    </row>
    <row r="920" customFormat="false" ht="12.75" hidden="false" customHeight="false" outlineLevel="0" collapsed="false">
      <c r="A920" s="325"/>
    </row>
    <row r="921" customFormat="false" ht="12.75" hidden="false" customHeight="false" outlineLevel="0" collapsed="false">
      <c r="A921" s="325"/>
    </row>
    <row r="922" customFormat="false" ht="12.75" hidden="false" customHeight="false" outlineLevel="0" collapsed="false">
      <c r="A922" s="325"/>
    </row>
    <row r="923" customFormat="false" ht="12.75" hidden="false" customHeight="false" outlineLevel="0" collapsed="false">
      <c r="A923" s="325"/>
    </row>
    <row r="924" customFormat="false" ht="12.75" hidden="false" customHeight="false" outlineLevel="0" collapsed="false">
      <c r="A924" s="325"/>
    </row>
    <row r="925" customFormat="false" ht="12.75" hidden="false" customHeight="false" outlineLevel="0" collapsed="false">
      <c r="A925" s="325"/>
    </row>
    <row r="926" customFormat="false" ht="12.75" hidden="false" customHeight="false" outlineLevel="0" collapsed="false">
      <c r="A926" s="325"/>
    </row>
    <row r="927" customFormat="false" ht="12.75" hidden="false" customHeight="false" outlineLevel="0" collapsed="false">
      <c r="A927" s="325"/>
    </row>
    <row r="928" customFormat="false" ht="12.75" hidden="false" customHeight="false" outlineLevel="0" collapsed="false">
      <c r="A928" s="325"/>
    </row>
    <row r="929" customFormat="false" ht="12.75" hidden="false" customHeight="false" outlineLevel="0" collapsed="false">
      <c r="A929" s="325"/>
    </row>
    <row r="930" customFormat="false" ht="12.75" hidden="false" customHeight="false" outlineLevel="0" collapsed="false">
      <c r="A930" s="325"/>
    </row>
    <row r="931" customFormat="false" ht="12.75" hidden="false" customHeight="false" outlineLevel="0" collapsed="false">
      <c r="A931" s="325"/>
    </row>
    <row r="932" customFormat="false" ht="12.75" hidden="false" customHeight="false" outlineLevel="0" collapsed="false">
      <c r="A932" s="325"/>
    </row>
    <row r="933" customFormat="false" ht="12.75" hidden="false" customHeight="false" outlineLevel="0" collapsed="false">
      <c r="A933" s="325"/>
    </row>
    <row r="934" customFormat="false" ht="12.75" hidden="false" customHeight="false" outlineLevel="0" collapsed="false">
      <c r="A934" s="325"/>
    </row>
    <row r="935" customFormat="false" ht="12.75" hidden="false" customHeight="false" outlineLevel="0" collapsed="false">
      <c r="A935" s="325"/>
    </row>
    <row r="936" customFormat="false" ht="12.75" hidden="false" customHeight="false" outlineLevel="0" collapsed="false">
      <c r="A936" s="325"/>
    </row>
    <row r="937" customFormat="false" ht="12.75" hidden="false" customHeight="false" outlineLevel="0" collapsed="false">
      <c r="A937" s="325"/>
    </row>
    <row r="938" customFormat="false" ht="12.75" hidden="false" customHeight="false" outlineLevel="0" collapsed="false">
      <c r="A938" s="325"/>
    </row>
    <row r="939" customFormat="false" ht="12.75" hidden="false" customHeight="false" outlineLevel="0" collapsed="false">
      <c r="A939" s="325"/>
    </row>
    <row r="940" customFormat="false" ht="12.75" hidden="false" customHeight="false" outlineLevel="0" collapsed="false">
      <c r="A940" s="325"/>
    </row>
    <row r="941" customFormat="false" ht="12.75" hidden="false" customHeight="false" outlineLevel="0" collapsed="false">
      <c r="A941" s="325"/>
    </row>
    <row r="942" customFormat="false" ht="12.75" hidden="false" customHeight="false" outlineLevel="0" collapsed="false">
      <c r="A942" s="325"/>
    </row>
    <row r="943" customFormat="false" ht="12.75" hidden="false" customHeight="false" outlineLevel="0" collapsed="false">
      <c r="A943" s="325"/>
    </row>
    <row r="944" customFormat="false" ht="12.75" hidden="false" customHeight="false" outlineLevel="0" collapsed="false">
      <c r="A944" s="325"/>
    </row>
    <row r="945" customFormat="false" ht="12.75" hidden="false" customHeight="false" outlineLevel="0" collapsed="false">
      <c r="A945" s="325"/>
    </row>
    <row r="946" customFormat="false" ht="12.75" hidden="false" customHeight="false" outlineLevel="0" collapsed="false">
      <c r="A946" s="325"/>
    </row>
    <row r="947" customFormat="false" ht="12.75" hidden="false" customHeight="false" outlineLevel="0" collapsed="false">
      <c r="A947" s="325"/>
    </row>
    <row r="948" customFormat="false" ht="12.75" hidden="false" customHeight="false" outlineLevel="0" collapsed="false">
      <c r="A948" s="325"/>
    </row>
    <row r="949" customFormat="false" ht="12.75" hidden="false" customHeight="false" outlineLevel="0" collapsed="false">
      <c r="A949" s="325"/>
    </row>
    <row r="950" customFormat="false" ht="12.75" hidden="false" customHeight="false" outlineLevel="0" collapsed="false">
      <c r="A950" s="325"/>
    </row>
    <row r="951" customFormat="false" ht="12.75" hidden="false" customHeight="false" outlineLevel="0" collapsed="false">
      <c r="A951" s="325"/>
    </row>
    <row r="952" customFormat="false" ht="12.75" hidden="false" customHeight="false" outlineLevel="0" collapsed="false">
      <c r="A952" s="325"/>
    </row>
    <row r="953" customFormat="false" ht="12.75" hidden="false" customHeight="false" outlineLevel="0" collapsed="false">
      <c r="A953" s="325"/>
    </row>
    <row r="954" customFormat="false" ht="12.75" hidden="false" customHeight="false" outlineLevel="0" collapsed="false">
      <c r="A954" s="325"/>
    </row>
    <row r="955" customFormat="false" ht="12.75" hidden="false" customHeight="false" outlineLevel="0" collapsed="false">
      <c r="A955" s="325"/>
    </row>
    <row r="956" customFormat="false" ht="12.75" hidden="false" customHeight="false" outlineLevel="0" collapsed="false">
      <c r="A956" s="325"/>
    </row>
    <row r="957" customFormat="false" ht="12.75" hidden="false" customHeight="false" outlineLevel="0" collapsed="false">
      <c r="A957" s="325"/>
    </row>
    <row r="958" customFormat="false" ht="12.75" hidden="false" customHeight="false" outlineLevel="0" collapsed="false">
      <c r="A958" s="325"/>
    </row>
    <row r="959" customFormat="false" ht="12.75" hidden="false" customHeight="false" outlineLevel="0" collapsed="false">
      <c r="A959" s="325"/>
    </row>
    <row r="960" customFormat="false" ht="12.75" hidden="false" customHeight="false" outlineLevel="0" collapsed="false">
      <c r="A960" s="325"/>
    </row>
    <row r="961" customFormat="false" ht="12.75" hidden="false" customHeight="false" outlineLevel="0" collapsed="false">
      <c r="A961" s="325"/>
    </row>
    <row r="962" customFormat="false" ht="12.75" hidden="false" customHeight="false" outlineLevel="0" collapsed="false">
      <c r="A962" s="325"/>
    </row>
    <row r="963" customFormat="false" ht="12.75" hidden="false" customHeight="false" outlineLevel="0" collapsed="false">
      <c r="A963" s="325"/>
    </row>
    <row r="964" customFormat="false" ht="12.75" hidden="false" customHeight="false" outlineLevel="0" collapsed="false">
      <c r="A964" s="325"/>
    </row>
    <row r="965" customFormat="false" ht="12.75" hidden="false" customHeight="false" outlineLevel="0" collapsed="false">
      <c r="A965" s="325"/>
    </row>
    <row r="966" customFormat="false" ht="12.75" hidden="false" customHeight="false" outlineLevel="0" collapsed="false">
      <c r="A966" s="325"/>
    </row>
    <row r="967" customFormat="false" ht="12.75" hidden="false" customHeight="false" outlineLevel="0" collapsed="false">
      <c r="A967" s="325"/>
    </row>
    <row r="968" customFormat="false" ht="12.75" hidden="false" customHeight="false" outlineLevel="0" collapsed="false">
      <c r="A968" s="325"/>
    </row>
    <row r="969" customFormat="false" ht="12.75" hidden="false" customHeight="false" outlineLevel="0" collapsed="false">
      <c r="A969" s="325"/>
    </row>
    <row r="970" customFormat="false" ht="12.75" hidden="false" customHeight="false" outlineLevel="0" collapsed="false">
      <c r="A970" s="325"/>
    </row>
    <row r="971" customFormat="false" ht="12.75" hidden="false" customHeight="false" outlineLevel="0" collapsed="false">
      <c r="A971" s="325"/>
    </row>
    <row r="972" customFormat="false" ht="12.75" hidden="false" customHeight="false" outlineLevel="0" collapsed="false">
      <c r="A972" s="325"/>
    </row>
    <row r="973" customFormat="false" ht="12.75" hidden="false" customHeight="false" outlineLevel="0" collapsed="false">
      <c r="A973" s="325"/>
    </row>
    <row r="974" customFormat="false" ht="12.75" hidden="false" customHeight="false" outlineLevel="0" collapsed="false">
      <c r="A974" s="325"/>
    </row>
    <row r="975" customFormat="false" ht="12.75" hidden="false" customHeight="false" outlineLevel="0" collapsed="false">
      <c r="A975" s="325"/>
    </row>
    <row r="976" customFormat="false" ht="12.75" hidden="false" customHeight="false" outlineLevel="0" collapsed="false">
      <c r="A976" s="325"/>
    </row>
    <row r="977" customFormat="false" ht="12.75" hidden="false" customHeight="false" outlineLevel="0" collapsed="false">
      <c r="A977" s="325"/>
    </row>
    <row r="978" customFormat="false" ht="12.75" hidden="false" customHeight="false" outlineLevel="0" collapsed="false">
      <c r="A978" s="325"/>
    </row>
    <row r="979" customFormat="false" ht="12.75" hidden="false" customHeight="false" outlineLevel="0" collapsed="false">
      <c r="A979" s="325"/>
    </row>
    <row r="980" customFormat="false" ht="12.75" hidden="false" customHeight="false" outlineLevel="0" collapsed="false">
      <c r="A980" s="325"/>
    </row>
    <row r="981" customFormat="false" ht="12.75" hidden="false" customHeight="false" outlineLevel="0" collapsed="false">
      <c r="A981" s="325"/>
    </row>
    <row r="982" customFormat="false" ht="12.75" hidden="false" customHeight="false" outlineLevel="0" collapsed="false">
      <c r="A982" s="325"/>
    </row>
    <row r="983" customFormat="false" ht="12.75" hidden="false" customHeight="false" outlineLevel="0" collapsed="false">
      <c r="A983" s="325"/>
    </row>
    <row r="984" customFormat="false" ht="12.75" hidden="false" customHeight="false" outlineLevel="0" collapsed="false">
      <c r="A984" s="325"/>
    </row>
    <row r="985" customFormat="false" ht="12.75" hidden="false" customHeight="false" outlineLevel="0" collapsed="false">
      <c r="A985" s="325"/>
    </row>
    <row r="986" customFormat="false" ht="12.75" hidden="false" customHeight="false" outlineLevel="0" collapsed="false">
      <c r="A986" s="325"/>
    </row>
    <row r="987" customFormat="false" ht="12.75" hidden="false" customHeight="false" outlineLevel="0" collapsed="false">
      <c r="A987" s="325"/>
    </row>
    <row r="988" customFormat="false" ht="12.75" hidden="false" customHeight="false" outlineLevel="0" collapsed="false">
      <c r="A988" s="325"/>
    </row>
    <row r="989" customFormat="false" ht="12.75" hidden="false" customHeight="false" outlineLevel="0" collapsed="false">
      <c r="A989" s="325"/>
    </row>
    <row r="990" customFormat="false" ht="12.75" hidden="false" customHeight="false" outlineLevel="0" collapsed="false">
      <c r="A990" s="325"/>
    </row>
    <row r="991" customFormat="false" ht="12.75" hidden="false" customHeight="false" outlineLevel="0" collapsed="false">
      <c r="A991" s="325"/>
    </row>
    <row r="992" customFormat="false" ht="12.75" hidden="false" customHeight="false" outlineLevel="0" collapsed="false">
      <c r="A992" s="325"/>
    </row>
    <row r="993" customFormat="false" ht="12.75" hidden="false" customHeight="false" outlineLevel="0" collapsed="false">
      <c r="A993" s="325"/>
    </row>
    <row r="994" customFormat="false" ht="12.75" hidden="false" customHeight="false" outlineLevel="0" collapsed="false">
      <c r="A994" s="325"/>
    </row>
    <row r="995" customFormat="false" ht="12.75" hidden="false" customHeight="false" outlineLevel="0" collapsed="false">
      <c r="A995" s="325"/>
    </row>
    <row r="996" customFormat="false" ht="12.75" hidden="false" customHeight="false" outlineLevel="0" collapsed="false">
      <c r="A996" s="325"/>
    </row>
    <row r="997" customFormat="false" ht="12.75" hidden="false" customHeight="false" outlineLevel="0" collapsed="false">
      <c r="A997" s="325"/>
    </row>
    <row r="998" customFormat="false" ht="12.75" hidden="false" customHeight="false" outlineLevel="0" collapsed="false">
      <c r="A998" s="325"/>
    </row>
    <row r="999" customFormat="false" ht="12.75" hidden="false" customHeight="false" outlineLevel="0" collapsed="false">
      <c r="A999" s="325"/>
    </row>
    <row r="1000" customFormat="false" ht="12.75" hidden="false" customHeight="false" outlineLevel="0" collapsed="false">
      <c r="A1000" s="325"/>
    </row>
    <row r="1001" customFormat="false" ht="12.75" hidden="false" customHeight="false" outlineLevel="0" collapsed="false">
      <c r="A1001" s="325"/>
    </row>
    <row r="1002" customFormat="false" ht="12.75" hidden="false" customHeight="false" outlineLevel="0" collapsed="false">
      <c r="A1002" s="325"/>
    </row>
    <row r="1003" customFormat="false" ht="12.75" hidden="false" customHeight="false" outlineLevel="0" collapsed="false">
      <c r="A1003" s="325"/>
    </row>
    <row r="1004" customFormat="false" ht="12.75" hidden="false" customHeight="false" outlineLevel="0" collapsed="false">
      <c r="A1004" s="325"/>
    </row>
    <row r="1005" customFormat="false" ht="12.75" hidden="false" customHeight="false" outlineLevel="0" collapsed="false">
      <c r="A1005" s="325"/>
    </row>
    <row r="1006" customFormat="false" ht="12.75" hidden="false" customHeight="false" outlineLevel="0" collapsed="false">
      <c r="A1006" s="325"/>
    </row>
    <row r="1007" customFormat="false" ht="12.75" hidden="false" customHeight="false" outlineLevel="0" collapsed="false">
      <c r="A1007" s="325"/>
    </row>
    <row r="1008" customFormat="false" ht="12.75" hidden="false" customHeight="false" outlineLevel="0" collapsed="false">
      <c r="A1008" s="325"/>
    </row>
    <row r="1009" customFormat="false" ht="12.75" hidden="false" customHeight="false" outlineLevel="0" collapsed="false">
      <c r="A1009" s="325"/>
    </row>
    <row r="1010" customFormat="false" ht="12.75" hidden="false" customHeight="false" outlineLevel="0" collapsed="false">
      <c r="A1010" s="325"/>
    </row>
    <row r="1011" customFormat="false" ht="12.75" hidden="false" customHeight="false" outlineLevel="0" collapsed="false">
      <c r="A1011" s="325"/>
    </row>
    <row r="1012" customFormat="false" ht="12.75" hidden="false" customHeight="false" outlineLevel="0" collapsed="false">
      <c r="A1012" s="325"/>
    </row>
    <row r="1013" customFormat="false" ht="12.75" hidden="false" customHeight="false" outlineLevel="0" collapsed="false">
      <c r="A1013" s="325"/>
    </row>
    <row r="1014" customFormat="false" ht="12.75" hidden="false" customHeight="false" outlineLevel="0" collapsed="false">
      <c r="A1014" s="325"/>
    </row>
    <row r="1015" customFormat="false" ht="12.75" hidden="false" customHeight="false" outlineLevel="0" collapsed="false">
      <c r="A1015" s="325"/>
    </row>
    <row r="1016" customFormat="false" ht="12.75" hidden="false" customHeight="false" outlineLevel="0" collapsed="false">
      <c r="A1016" s="325"/>
    </row>
    <row r="1017" customFormat="false" ht="12.75" hidden="false" customHeight="false" outlineLevel="0" collapsed="false">
      <c r="A1017" s="325"/>
    </row>
    <row r="1018" customFormat="false" ht="12.75" hidden="false" customHeight="false" outlineLevel="0" collapsed="false">
      <c r="A1018" s="325"/>
    </row>
    <row r="1019" customFormat="false" ht="12.75" hidden="false" customHeight="false" outlineLevel="0" collapsed="false">
      <c r="A1019" s="325"/>
    </row>
    <row r="1020" customFormat="false" ht="12.75" hidden="false" customHeight="false" outlineLevel="0" collapsed="false">
      <c r="A1020" s="325"/>
    </row>
    <row r="1021" customFormat="false" ht="12.75" hidden="false" customHeight="false" outlineLevel="0" collapsed="false">
      <c r="A1021" s="325"/>
    </row>
    <row r="1022" customFormat="false" ht="12.75" hidden="false" customHeight="false" outlineLevel="0" collapsed="false">
      <c r="A1022" s="325"/>
    </row>
    <row r="1023" customFormat="false" ht="12.75" hidden="false" customHeight="false" outlineLevel="0" collapsed="false">
      <c r="A1023" s="325"/>
    </row>
    <row r="1024" customFormat="false" ht="12.75" hidden="false" customHeight="false" outlineLevel="0" collapsed="false">
      <c r="A1024" s="325"/>
    </row>
    <row r="1025" customFormat="false" ht="12.75" hidden="false" customHeight="false" outlineLevel="0" collapsed="false">
      <c r="A1025" s="325"/>
    </row>
    <row r="1026" customFormat="false" ht="12.75" hidden="false" customHeight="false" outlineLevel="0" collapsed="false">
      <c r="A1026" s="325"/>
    </row>
    <row r="1027" customFormat="false" ht="12.75" hidden="false" customHeight="false" outlineLevel="0" collapsed="false">
      <c r="A1027" s="325"/>
    </row>
    <row r="1028" customFormat="false" ht="12.75" hidden="false" customHeight="false" outlineLevel="0" collapsed="false">
      <c r="A1028" s="325"/>
    </row>
    <row r="1029" customFormat="false" ht="12.75" hidden="false" customHeight="false" outlineLevel="0" collapsed="false">
      <c r="A1029" s="325"/>
    </row>
    <row r="1030" customFormat="false" ht="12.75" hidden="false" customHeight="false" outlineLevel="0" collapsed="false">
      <c r="A1030" s="325"/>
    </row>
    <row r="1031" customFormat="false" ht="12.75" hidden="false" customHeight="false" outlineLevel="0" collapsed="false">
      <c r="A1031" s="325"/>
    </row>
    <row r="1032" customFormat="false" ht="12.75" hidden="false" customHeight="false" outlineLevel="0" collapsed="false">
      <c r="A1032" s="325"/>
    </row>
    <row r="1033" customFormat="false" ht="12.75" hidden="false" customHeight="false" outlineLevel="0" collapsed="false">
      <c r="A1033" s="325"/>
    </row>
    <row r="1034" customFormat="false" ht="12.75" hidden="false" customHeight="false" outlineLevel="0" collapsed="false">
      <c r="A1034" s="325"/>
    </row>
    <row r="1035" customFormat="false" ht="12.75" hidden="false" customHeight="false" outlineLevel="0" collapsed="false">
      <c r="A1035" s="325"/>
    </row>
    <row r="1036" customFormat="false" ht="12.75" hidden="false" customHeight="false" outlineLevel="0" collapsed="false">
      <c r="A1036" s="325"/>
    </row>
    <row r="1037" customFormat="false" ht="12.75" hidden="false" customHeight="false" outlineLevel="0" collapsed="false">
      <c r="A1037" s="325"/>
    </row>
    <row r="1038" customFormat="false" ht="12.75" hidden="false" customHeight="false" outlineLevel="0" collapsed="false">
      <c r="A1038" s="325"/>
    </row>
    <row r="1039" customFormat="false" ht="12.75" hidden="false" customHeight="false" outlineLevel="0" collapsed="false">
      <c r="A1039" s="325"/>
    </row>
    <row r="1040" customFormat="false" ht="12.75" hidden="false" customHeight="false" outlineLevel="0" collapsed="false">
      <c r="A1040" s="325"/>
    </row>
    <row r="1041" customFormat="false" ht="12.75" hidden="false" customHeight="false" outlineLevel="0" collapsed="false">
      <c r="A1041" s="325"/>
    </row>
    <row r="1042" customFormat="false" ht="12.75" hidden="false" customHeight="false" outlineLevel="0" collapsed="false">
      <c r="A1042" s="325"/>
    </row>
    <row r="1043" customFormat="false" ht="12.75" hidden="false" customHeight="false" outlineLevel="0" collapsed="false">
      <c r="A1043" s="325"/>
    </row>
    <row r="1044" customFormat="false" ht="12.75" hidden="false" customHeight="false" outlineLevel="0" collapsed="false">
      <c r="A1044" s="325"/>
    </row>
    <row r="1045" customFormat="false" ht="12.75" hidden="false" customHeight="false" outlineLevel="0" collapsed="false">
      <c r="A1045" s="325"/>
    </row>
    <row r="1046" customFormat="false" ht="12.75" hidden="false" customHeight="false" outlineLevel="0" collapsed="false">
      <c r="A1046" s="325"/>
    </row>
    <row r="1047" customFormat="false" ht="12.75" hidden="false" customHeight="false" outlineLevel="0" collapsed="false">
      <c r="A1047" s="325"/>
    </row>
    <row r="1048" customFormat="false" ht="12.75" hidden="false" customHeight="false" outlineLevel="0" collapsed="false">
      <c r="A1048" s="325"/>
    </row>
    <row r="1049" customFormat="false" ht="12.75" hidden="false" customHeight="false" outlineLevel="0" collapsed="false">
      <c r="A1049" s="325"/>
    </row>
    <row r="1050" customFormat="false" ht="12.75" hidden="false" customHeight="false" outlineLevel="0" collapsed="false">
      <c r="A1050" s="325"/>
    </row>
    <row r="1051" customFormat="false" ht="12.75" hidden="false" customHeight="false" outlineLevel="0" collapsed="false">
      <c r="A1051" s="325"/>
    </row>
    <row r="1052" customFormat="false" ht="12.75" hidden="false" customHeight="false" outlineLevel="0" collapsed="false">
      <c r="A1052" s="325"/>
    </row>
    <row r="1053" customFormat="false" ht="12.75" hidden="false" customHeight="false" outlineLevel="0" collapsed="false">
      <c r="A1053" s="325"/>
    </row>
    <row r="1054" customFormat="false" ht="12.75" hidden="false" customHeight="false" outlineLevel="0" collapsed="false">
      <c r="A1054" s="325"/>
    </row>
    <row r="1055" customFormat="false" ht="12.75" hidden="false" customHeight="false" outlineLevel="0" collapsed="false">
      <c r="A1055" s="325"/>
    </row>
    <row r="1056" customFormat="false" ht="12.75" hidden="false" customHeight="false" outlineLevel="0" collapsed="false">
      <c r="A1056" s="325"/>
    </row>
    <row r="1057" customFormat="false" ht="12.75" hidden="false" customHeight="false" outlineLevel="0" collapsed="false">
      <c r="A1057" s="325"/>
    </row>
    <row r="1058" customFormat="false" ht="12.75" hidden="false" customHeight="false" outlineLevel="0" collapsed="false">
      <c r="A1058" s="325"/>
    </row>
    <row r="1059" customFormat="false" ht="12.75" hidden="false" customHeight="false" outlineLevel="0" collapsed="false">
      <c r="A1059" s="325"/>
    </row>
    <row r="1060" customFormat="false" ht="12.75" hidden="false" customHeight="false" outlineLevel="0" collapsed="false">
      <c r="A1060" s="325"/>
    </row>
    <row r="1061" customFormat="false" ht="12.75" hidden="false" customHeight="false" outlineLevel="0" collapsed="false">
      <c r="A1061" s="325"/>
    </row>
    <row r="1062" customFormat="false" ht="12.75" hidden="false" customHeight="false" outlineLevel="0" collapsed="false">
      <c r="A1062" s="325"/>
    </row>
    <row r="1063" customFormat="false" ht="12.75" hidden="false" customHeight="false" outlineLevel="0" collapsed="false">
      <c r="A1063" s="325"/>
    </row>
    <row r="1064" customFormat="false" ht="12.75" hidden="false" customHeight="false" outlineLevel="0" collapsed="false">
      <c r="A1064" s="325"/>
    </row>
    <row r="1065" customFormat="false" ht="12.75" hidden="false" customHeight="false" outlineLevel="0" collapsed="false">
      <c r="A1065" s="325"/>
    </row>
    <row r="1066" customFormat="false" ht="12.75" hidden="false" customHeight="false" outlineLevel="0" collapsed="false">
      <c r="A1066" s="325"/>
    </row>
    <row r="1067" customFormat="false" ht="12.75" hidden="false" customHeight="false" outlineLevel="0" collapsed="false">
      <c r="A1067" s="325"/>
    </row>
    <row r="1068" customFormat="false" ht="12.75" hidden="false" customHeight="false" outlineLevel="0" collapsed="false">
      <c r="A1068" s="325"/>
    </row>
    <row r="1069" customFormat="false" ht="12.75" hidden="false" customHeight="false" outlineLevel="0" collapsed="false">
      <c r="A1069" s="325"/>
    </row>
    <row r="1070" customFormat="false" ht="12.75" hidden="false" customHeight="false" outlineLevel="0" collapsed="false">
      <c r="A1070" s="325"/>
    </row>
    <row r="1071" customFormat="false" ht="12.75" hidden="false" customHeight="false" outlineLevel="0" collapsed="false">
      <c r="A1071" s="325"/>
    </row>
    <row r="1072" customFormat="false" ht="12.75" hidden="false" customHeight="false" outlineLevel="0" collapsed="false">
      <c r="A1072" s="325"/>
    </row>
    <row r="1073" customFormat="false" ht="12.75" hidden="false" customHeight="false" outlineLevel="0" collapsed="false">
      <c r="A1073" s="325"/>
    </row>
    <row r="1074" customFormat="false" ht="12.75" hidden="false" customHeight="false" outlineLevel="0" collapsed="false">
      <c r="A1074" s="325"/>
    </row>
    <row r="1075" customFormat="false" ht="12.75" hidden="false" customHeight="false" outlineLevel="0" collapsed="false">
      <c r="A1075" s="325"/>
    </row>
    <row r="1076" customFormat="false" ht="12.75" hidden="false" customHeight="false" outlineLevel="0" collapsed="false">
      <c r="A1076" s="325"/>
    </row>
    <row r="1077" customFormat="false" ht="12.75" hidden="false" customHeight="false" outlineLevel="0" collapsed="false">
      <c r="A1077" s="325"/>
    </row>
    <row r="1078" customFormat="false" ht="12.75" hidden="false" customHeight="false" outlineLevel="0" collapsed="false">
      <c r="A1078" s="325"/>
    </row>
    <row r="1079" customFormat="false" ht="12.75" hidden="false" customHeight="false" outlineLevel="0" collapsed="false">
      <c r="A1079" s="325"/>
    </row>
    <row r="1080" customFormat="false" ht="12.75" hidden="false" customHeight="false" outlineLevel="0" collapsed="false">
      <c r="A1080" s="325"/>
    </row>
    <row r="1081" customFormat="false" ht="12.75" hidden="false" customHeight="false" outlineLevel="0" collapsed="false">
      <c r="A1081" s="325"/>
    </row>
    <row r="1082" customFormat="false" ht="12.75" hidden="false" customHeight="false" outlineLevel="0" collapsed="false">
      <c r="A1082" s="325"/>
    </row>
    <row r="1083" customFormat="false" ht="12.75" hidden="false" customHeight="false" outlineLevel="0" collapsed="false">
      <c r="A1083" s="325"/>
    </row>
    <row r="1084" customFormat="false" ht="12.75" hidden="false" customHeight="false" outlineLevel="0" collapsed="false">
      <c r="A1084" s="325"/>
    </row>
    <row r="1085" customFormat="false" ht="12.75" hidden="false" customHeight="false" outlineLevel="0" collapsed="false">
      <c r="A1085" s="325"/>
    </row>
    <row r="1086" customFormat="false" ht="12.75" hidden="false" customHeight="false" outlineLevel="0" collapsed="false">
      <c r="A1086" s="325"/>
    </row>
    <row r="1087" customFormat="false" ht="12.75" hidden="false" customHeight="false" outlineLevel="0" collapsed="false">
      <c r="A1087" s="325"/>
    </row>
    <row r="1088" customFormat="false" ht="12.75" hidden="false" customHeight="false" outlineLevel="0" collapsed="false">
      <c r="A1088" s="325"/>
    </row>
    <row r="1089" customFormat="false" ht="12.75" hidden="false" customHeight="false" outlineLevel="0" collapsed="false">
      <c r="A1089" s="325"/>
    </row>
    <row r="1090" customFormat="false" ht="12.75" hidden="false" customHeight="false" outlineLevel="0" collapsed="false">
      <c r="A1090" s="325"/>
    </row>
    <row r="1091" customFormat="false" ht="12.75" hidden="false" customHeight="false" outlineLevel="0" collapsed="false">
      <c r="A1091" s="325"/>
    </row>
    <row r="1092" customFormat="false" ht="12.75" hidden="false" customHeight="false" outlineLevel="0" collapsed="false">
      <c r="A1092" s="325"/>
    </row>
    <row r="1093" customFormat="false" ht="12.75" hidden="false" customHeight="false" outlineLevel="0" collapsed="false">
      <c r="A1093" s="325"/>
    </row>
    <row r="1094" customFormat="false" ht="12.75" hidden="false" customHeight="false" outlineLevel="0" collapsed="false">
      <c r="A1094" s="325"/>
    </row>
    <row r="1095" customFormat="false" ht="12.75" hidden="false" customHeight="false" outlineLevel="0" collapsed="false">
      <c r="A1095" s="325"/>
    </row>
    <row r="1096" customFormat="false" ht="12.75" hidden="false" customHeight="false" outlineLevel="0" collapsed="false">
      <c r="A1096" s="325"/>
    </row>
    <row r="1097" customFormat="false" ht="12.75" hidden="false" customHeight="false" outlineLevel="0" collapsed="false">
      <c r="A1097" s="325"/>
    </row>
    <row r="1098" customFormat="false" ht="12.75" hidden="false" customHeight="false" outlineLevel="0" collapsed="false">
      <c r="A1098" s="325"/>
    </row>
    <row r="1099" customFormat="false" ht="12.75" hidden="false" customHeight="false" outlineLevel="0" collapsed="false">
      <c r="A1099" s="325"/>
    </row>
    <row r="1100" customFormat="false" ht="12.75" hidden="false" customHeight="false" outlineLevel="0" collapsed="false">
      <c r="A1100" s="325"/>
    </row>
    <row r="1101" customFormat="false" ht="12.75" hidden="false" customHeight="false" outlineLevel="0" collapsed="false">
      <c r="A1101" s="325"/>
    </row>
    <row r="1102" customFormat="false" ht="12.75" hidden="false" customHeight="false" outlineLevel="0" collapsed="false">
      <c r="A1102" s="325"/>
    </row>
    <row r="1103" customFormat="false" ht="12.75" hidden="false" customHeight="false" outlineLevel="0" collapsed="false">
      <c r="A1103" s="325"/>
    </row>
    <row r="1104" customFormat="false" ht="12.75" hidden="false" customHeight="false" outlineLevel="0" collapsed="false">
      <c r="A1104" s="325"/>
    </row>
    <row r="1105" customFormat="false" ht="12.75" hidden="false" customHeight="false" outlineLevel="0" collapsed="false">
      <c r="A1105" s="325"/>
    </row>
    <row r="1106" customFormat="false" ht="12.75" hidden="false" customHeight="false" outlineLevel="0" collapsed="false">
      <c r="A1106" s="325"/>
    </row>
    <row r="1107" customFormat="false" ht="12.75" hidden="false" customHeight="false" outlineLevel="0" collapsed="false">
      <c r="A1107" s="325"/>
    </row>
    <row r="1108" customFormat="false" ht="12.75" hidden="false" customHeight="false" outlineLevel="0" collapsed="false">
      <c r="A1108" s="325"/>
    </row>
    <row r="1109" customFormat="false" ht="12.75" hidden="false" customHeight="false" outlineLevel="0" collapsed="false">
      <c r="A1109" s="325"/>
    </row>
    <row r="1110" customFormat="false" ht="12.75" hidden="false" customHeight="false" outlineLevel="0" collapsed="false">
      <c r="A1110" s="325"/>
    </row>
    <row r="1111" customFormat="false" ht="12.75" hidden="false" customHeight="false" outlineLevel="0" collapsed="false">
      <c r="A1111" s="325"/>
    </row>
    <row r="1112" customFormat="false" ht="12.75" hidden="false" customHeight="false" outlineLevel="0" collapsed="false">
      <c r="A1112" s="325"/>
    </row>
    <row r="1113" customFormat="false" ht="12.75" hidden="false" customHeight="false" outlineLevel="0" collapsed="false">
      <c r="A1113" s="325"/>
    </row>
    <row r="1114" customFormat="false" ht="12.75" hidden="false" customHeight="false" outlineLevel="0" collapsed="false">
      <c r="A1114" s="325"/>
    </row>
    <row r="1115" customFormat="false" ht="12.75" hidden="false" customHeight="false" outlineLevel="0" collapsed="false">
      <c r="A1115" s="325"/>
    </row>
    <row r="1116" customFormat="false" ht="12.75" hidden="false" customHeight="false" outlineLevel="0" collapsed="false">
      <c r="A1116" s="325"/>
    </row>
    <row r="1117" customFormat="false" ht="12.75" hidden="false" customHeight="false" outlineLevel="0" collapsed="false">
      <c r="A1117" s="325"/>
    </row>
    <row r="1118" customFormat="false" ht="12.75" hidden="false" customHeight="false" outlineLevel="0" collapsed="false">
      <c r="A1118" s="325"/>
    </row>
    <row r="1119" customFormat="false" ht="12.75" hidden="false" customHeight="false" outlineLevel="0" collapsed="false">
      <c r="A1119" s="325"/>
    </row>
    <row r="1120" customFormat="false" ht="12.75" hidden="false" customHeight="false" outlineLevel="0" collapsed="false">
      <c r="A1120" s="325"/>
    </row>
    <row r="1121" customFormat="false" ht="12.75" hidden="false" customHeight="false" outlineLevel="0" collapsed="false">
      <c r="A1121" s="325"/>
    </row>
    <row r="1122" customFormat="false" ht="12.75" hidden="false" customHeight="false" outlineLevel="0" collapsed="false">
      <c r="A1122" s="325"/>
    </row>
    <row r="1123" customFormat="false" ht="12.75" hidden="false" customHeight="false" outlineLevel="0" collapsed="false">
      <c r="A1123" s="325"/>
    </row>
    <row r="1124" customFormat="false" ht="12.75" hidden="false" customHeight="false" outlineLevel="0" collapsed="false">
      <c r="A1124" s="325"/>
    </row>
    <row r="1125" customFormat="false" ht="12.75" hidden="false" customHeight="false" outlineLevel="0" collapsed="false">
      <c r="A1125" s="325"/>
    </row>
    <row r="1126" customFormat="false" ht="12.75" hidden="false" customHeight="false" outlineLevel="0" collapsed="false">
      <c r="A1126" s="325"/>
    </row>
    <row r="1127" customFormat="false" ht="12.75" hidden="false" customHeight="false" outlineLevel="0" collapsed="false">
      <c r="A1127" s="325"/>
    </row>
    <row r="1128" customFormat="false" ht="12.75" hidden="false" customHeight="false" outlineLevel="0" collapsed="false">
      <c r="A1128" s="325"/>
    </row>
    <row r="1129" customFormat="false" ht="12.75" hidden="false" customHeight="false" outlineLevel="0" collapsed="false">
      <c r="A1129" s="325"/>
    </row>
    <row r="1130" customFormat="false" ht="12.75" hidden="false" customHeight="false" outlineLevel="0" collapsed="false">
      <c r="A1130" s="325"/>
    </row>
    <row r="1131" customFormat="false" ht="12.75" hidden="false" customHeight="false" outlineLevel="0" collapsed="false">
      <c r="A1131" s="325"/>
    </row>
    <row r="1132" customFormat="false" ht="12.75" hidden="false" customHeight="false" outlineLevel="0" collapsed="false">
      <c r="A1132" s="325"/>
    </row>
    <row r="1133" customFormat="false" ht="12.75" hidden="false" customHeight="false" outlineLevel="0" collapsed="false">
      <c r="A1133" s="325"/>
    </row>
    <row r="1134" customFormat="false" ht="12.75" hidden="false" customHeight="false" outlineLevel="0" collapsed="false">
      <c r="A1134" s="325"/>
    </row>
    <row r="1135" customFormat="false" ht="12.75" hidden="false" customHeight="false" outlineLevel="0" collapsed="false">
      <c r="A1135" s="325"/>
    </row>
    <row r="1136" customFormat="false" ht="12.75" hidden="false" customHeight="false" outlineLevel="0" collapsed="false">
      <c r="A1136" s="325"/>
    </row>
    <row r="1137" customFormat="false" ht="12.75" hidden="false" customHeight="false" outlineLevel="0" collapsed="false">
      <c r="A1137" s="325"/>
    </row>
    <row r="1138" customFormat="false" ht="12.75" hidden="false" customHeight="false" outlineLevel="0" collapsed="false">
      <c r="A1138" s="325"/>
    </row>
    <row r="1139" customFormat="false" ht="12.75" hidden="false" customHeight="false" outlineLevel="0" collapsed="false">
      <c r="A1139" s="325"/>
    </row>
    <row r="1140" customFormat="false" ht="12.75" hidden="false" customHeight="false" outlineLevel="0" collapsed="false">
      <c r="A1140" s="325"/>
    </row>
    <row r="1141" customFormat="false" ht="12.75" hidden="false" customHeight="false" outlineLevel="0" collapsed="false">
      <c r="A1141" s="325"/>
    </row>
    <row r="1142" customFormat="false" ht="12.75" hidden="false" customHeight="false" outlineLevel="0" collapsed="false">
      <c r="A1142" s="325"/>
    </row>
    <row r="1143" customFormat="false" ht="12.75" hidden="false" customHeight="false" outlineLevel="0" collapsed="false">
      <c r="A1143" s="325"/>
    </row>
    <row r="1144" customFormat="false" ht="12.75" hidden="false" customHeight="false" outlineLevel="0" collapsed="false">
      <c r="A1144" s="325"/>
    </row>
    <row r="1145" customFormat="false" ht="12.75" hidden="false" customHeight="false" outlineLevel="0" collapsed="false">
      <c r="A1145" s="325"/>
    </row>
    <row r="1146" customFormat="false" ht="12.75" hidden="false" customHeight="false" outlineLevel="0" collapsed="false">
      <c r="A1146" s="325"/>
    </row>
    <row r="1147" customFormat="false" ht="12.75" hidden="false" customHeight="false" outlineLevel="0" collapsed="false">
      <c r="A1147" s="325"/>
    </row>
    <row r="1148" customFormat="false" ht="12.75" hidden="false" customHeight="false" outlineLevel="0" collapsed="false">
      <c r="A1148" s="325"/>
    </row>
    <row r="1149" customFormat="false" ht="12.75" hidden="false" customHeight="false" outlineLevel="0" collapsed="false">
      <c r="A1149" s="325"/>
    </row>
    <row r="1150" customFormat="false" ht="12.75" hidden="false" customHeight="false" outlineLevel="0" collapsed="false">
      <c r="A1150" s="325"/>
    </row>
    <row r="1151" customFormat="false" ht="12.75" hidden="false" customHeight="false" outlineLevel="0" collapsed="false">
      <c r="A1151" s="325"/>
    </row>
    <row r="1152" customFormat="false" ht="12.75" hidden="false" customHeight="false" outlineLevel="0" collapsed="false">
      <c r="A1152" s="325"/>
    </row>
    <row r="1153" customFormat="false" ht="12.75" hidden="false" customHeight="false" outlineLevel="0" collapsed="false">
      <c r="A1153" s="325"/>
    </row>
    <row r="1154" customFormat="false" ht="12.75" hidden="false" customHeight="false" outlineLevel="0" collapsed="false">
      <c r="A1154" s="325"/>
    </row>
    <row r="1155" customFormat="false" ht="12.75" hidden="false" customHeight="false" outlineLevel="0" collapsed="false">
      <c r="A1155" s="325"/>
    </row>
    <row r="1156" customFormat="false" ht="12.75" hidden="false" customHeight="false" outlineLevel="0" collapsed="false">
      <c r="A1156" s="325"/>
    </row>
    <row r="1157" customFormat="false" ht="12.75" hidden="false" customHeight="false" outlineLevel="0" collapsed="false">
      <c r="A1157" s="325"/>
    </row>
    <row r="1158" customFormat="false" ht="12.75" hidden="false" customHeight="false" outlineLevel="0" collapsed="false">
      <c r="A1158" s="325"/>
    </row>
    <row r="1159" customFormat="false" ht="12.75" hidden="false" customHeight="false" outlineLevel="0" collapsed="false">
      <c r="A1159" s="325"/>
    </row>
    <row r="1160" customFormat="false" ht="12.75" hidden="false" customHeight="false" outlineLevel="0" collapsed="false">
      <c r="A1160" s="325"/>
    </row>
    <row r="1161" customFormat="false" ht="12.75" hidden="false" customHeight="false" outlineLevel="0" collapsed="false">
      <c r="A1161" s="325"/>
    </row>
    <row r="1162" customFormat="false" ht="12.75" hidden="false" customHeight="false" outlineLevel="0" collapsed="false">
      <c r="A1162" s="325"/>
    </row>
    <row r="1163" customFormat="false" ht="12.75" hidden="false" customHeight="false" outlineLevel="0" collapsed="false">
      <c r="A1163" s="325"/>
    </row>
    <row r="1164" customFormat="false" ht="12.75" hidden="false" customHeight="false" outlineLevel="0" collapsed="false">
      <c r="A1164" s="325"/>
    </row>
    <row r="1165" customFormat="false" ht="12.75" hidden="false" customHeight="false" outlineLevel="0" collapsed="false">
      <c r="A1165" s="325"/>
    </row>
    <row r="1166" customFormat="false" ht="12.75" hidden="false" customHeight="false" outlineLevel="0" collapsed="false">
      <c r="A1166" s="325"/>
    </row>
    <row r="1167" customFormat="false" ht="12.75" hidden="false" customHeight="false" outlineLevel="0" collapsed="false">
      <c r="A1167" s="325"/>
    </row>
    <row r="1168" customFormat="false" ht="12.75" hidden="false" customHeight="false" outlineLevel="0" collapsed="false">
      <c r="A1168" s="325"/>
    </row>
    <row r="1169" customFormat="false" ht="12.75" hidden="false" customHeight="false" outlineLevel="0" collapsed="false">
      <c r="A1169" s="325"/>
    </row>
    <row r="1170" customFormat="false" ht="12.75" hidden="false" customHeight="false" outlineLevel="0" collapsed="false">
      <c r="A1170" s="325"/>
    </row>
    <row r="1171" customFormat="false" ht="12.75" hidden="false" customHeight="false" outlineLevel="0" collapsed="false">
      <c r="A1171" s="325"/>
    </row>
    <row r="1172" customFormat="false" ht="12.75" hidden="false" customHeight="false" outlineLevel="0" collapsed="false">
      <c r="A1172" s="325"/>
    </row>
    <row r="1173" customFormat="false" ht="12.75" hidden="false" customHeight="false" outlineLevel="0" collapsed="false">
      <c r="A1173" s="325"/>
    </row>
    <row r="1174" customFormat="false" ht="12.75" hidden="false" customHeight="false" outlineLevel="0" collapsed="false">
      <c r="A1174" s="325"/>
    </row>
    <row r="1175" customFormat="false" ht="12.75" hidden="false" customHeight="false" outlineLevel="0" collapsed="false">
      <c r="A1175" s="325"/>
    </row>
    <row r="1176" customFormat="false" ht="12.75" hidden="false" customHeight="false" outlineLevel="0" collapsed="false">
      <c r="A1176" s="325"/>
    </row>
    <row r="1177" customFormat="false" ht="12.75" hidden="false" customHeight="false" outlineLevel="0" collapsed="false">
      <c r="A1177" s="325"/>
    </row>
    <row r="1178" customFormat="false" ht="12.75" hidden="false" customHeight="false" outlineLevel="0" collapsed="false">
      <c r="A1178" s="325"/>
    </row>
    <row r="1179" customFormat="false" ht="12.75" hidden="false" customHeight="false" outlineLevel="0" collapsed="false">
      <c r="A1179" s="325"/>
    </row>
    <row r="1180" customFormat="false" ht="12.75" hidden="false" customHeight="false" outlineLevel="0" collapsed="false">
      <c r="A1180" s="325"/>
    </row>
    <row r="1181" customFormat="false" ht="12.75" hidden="false" customHeight="false" outlineLevel="0" collapsed="false">
      <c r="A1181" s="325"/>
    </row>
    <row r="1182" customFormat="false" ht="12.75" hidden="false" customHeight="false" outlineLevel="0" collapsed="false">
      <c r="A1182" s="325"/>
    </row>
    <row r="1183" customFormat="false" ht="12.75" hidden="false" customHeight="false" outlineLevel="0" collapsed="false">
      <c r="A1183" s="325"/>
    </row>
    <row r="1184" customFormat="false" ht="12.75" hidden="false" customHeight="false" outlineLevel="0" collapsed="false">
      <c r="A1184" s="325"/>
    </row>
    <row r="1185" customFormat="false" ht="12.75" hidden="false" customHeight="false" outlineLevel="0" collapsed="false">
      <c r="A1185" s="325"/>
    </row>
    <row r="1186" customFormat="false" ht="12.75" hidden="false" customHeight="false" outlineLevel="0" collapsed="false">
      <c r="A1186" s="325"/>
    </row>
    <row r="1187" customFormat="false" ht="12.75" hidden="false" customHeight="false" outlineLevel="0" collapsed="false">
      <c r="A1187" s="325"/>
    </row>
    <row r="1188" customFormat="false" ht="12.75" hidden="false" customHeight="false" outlineLevel="0" collapsed="false">
      <c r="A1188" s="325"/>
    </row>
    <row r="1189" customFormat="false" ht="12.75" hidden="false" customHeight="false" outlineLevel="0" collapsed="false">
      <c r="A1189" s="325"/>
    </row>
    <row r="1190" customFormat="false" ht="12.75" hidden="false" customHeight="false" outlineLevel="0" collapsed="false">
      <c r="A1190" s="325"/>
    </row>
    <row r="1191" customFormat="false" ht="12.75" hidden="false" customHeight="false" outlineLevel="0" collapsed="false">
      <c r="A1191" s="325"/>
    </row>
    <row r="1192" customFormat="false" ht="12.75" hidden="false" customHeight="false" outlineLevel="0" collapsed="false">
      <c r="A1192" s="325"/>
    </row>
    <row r="1193" customFormat="false" ht="12.75" hidden="false" customHeight="false" outlineLevel="0" collapsed="false">
      <c r="A1193" s="325"/>
    </row>
    <row r="1194" customFormat="false" ht="12.75" hidden="false" customHeight="false" outlineLevel="0" collapsed="false">
      <c r="A1194" s="325"/>
    </row>
    <row r="1195" customFormat="false" ht="12.75" hidden="false" customHeight="false" outlineLevel="0" collapsed="false">
      <c r="A1195" s="325"/>
    </row>
    <row r="1196" customFormat="false" ht="12.75" hidden="false" customHeight="false" outlineLevel="0" collapsed="false">
      <c r="A1196" s="325"/>
    </row>
    <row r="1197" customFormat="false" ht="12.75" hidden="false" customHeight="false" outlineLevel="0" collapsed="false">
      <c r="A1197" s="325"/>
    </row>
    <row r="1198" customFormat="false" ht="12.75" hidden="false" customHeight="false" outlineLevel="0" collapsed="false">
      <c r="A1198" s="325"/>
    </row>
    <row r="1199" customFormat="false" ht="12.75" hidden="false" customHeight="false" outlineLevel="0" collapsed="false">
      <c r="A1199" s="325"/>
    </row>
    <row r="1200" customFormat="false" ht="12.75" hidden="false" customHeight="false" outlineLevel="0" collapsed="false">
      <c r="A1200" s="325"/>
    </row>
    <row r="1201" customFormat="false" ht="12.75" hidden="false" customHeight="false" outlineLevel="0" collapsed="false">
      <c r="A1201" s="325"/>
    </row>
    <row r="1202" customFormat="false" ht="12.75" hidden="false" customHeight="false" outlineLevel="0" collapsed="false">
      <c r="A1202" s="325"/>
    </row>
    <row r="1203" customFormat="false" ht="12.75" hidden="false" customHeight="false" outlineLevel="0" collapsed="false">
      <c r="A1203" s="325"/>
    </row>
    <row r="1204" customFormat="false" ht="12.75" hidden="false" customHeight="false" outlineLevel="0" collapsed="false">
      <c r="A1204" s="325"/>
    </row>
    <row r="1205" customFormat="false" ht="12.75" hidden="false" customHeight="false" outlineLevel="0" collapsed="false">
      <c r="A1205" s="325"/>
    </row>
    <row r="1206" customFormat="false" ht="12.75" hidden="false" customHeight="false" outlineLevel="0" collapsed="false">
      <c r="A1206" s="325"/>
    </row>
    <row r="1207" customFormat="false" ht="12.75" hidden="false" customHeight="false" outlineLevel="0" collapsed="false">
      <c r="A1207" s="325"/>
    </row>
    <row r="1208" customFormat="false" ht="12.75" hidden="false" customHeight="false" outlineLevel="0" collapsed="false">
      <c r="A1208" s="325"/>
    </row>
    <row r="1209" customFormat="false" ht="12.75" hidden="false" customHeight="false" outlineLevel="0" collapsed="false">
      <c r="A1209" s="325"/>
    </row>
    <row r="1210" customFormat="false" ht="12.75" hidden="false" customHeight="false" outlineLevel="0" collapsed="false">
      <c r="A1210" s="325"/>
    </row>
    <row r="1211" customFormat="false" ht="12.75" hidden="false" customHeight="false" outlineLevel="0" collapsed="false">
      <c r="A1211" s="325"/>
    </row>
    <row r="1212" customFormat="false" ht="12.75" hidden="false" customHeight="false" outlineLevel="0" collapsed="false">
      <c r="A1212" s="325"/>
    </row>
    <row r="1213" customFormat="false" ht="12.75" hidden="false" customHeight="false" outlineLevel="0" collapsed="false">
      <c r="A1213" s="325"/>
    </row>
    <row r="1214" customFormat="false" ht="12.75" hidden="false" customHeight="false" outlineLevel="0" collapsed="false">
      <c r="A1214" s="325"/>
    </row>
    <row r="1215" customFormat="false" ht="12.75" hidden="false" customHeight="false" outlineLevel="0" collapsed="false">
      <c r="A1215" s="325"/>
    </row>
    <row r="1216" customFormat="false" ht="12.75" hidden="false" customHeight="false" outlineLevel="0" collapsed="false">
      <c r="A1216" s="325"/>
    </row>
    <row r="1217" customFormat="false" ht="12.75" hidden="false" customHeight="false" outlineLevel="0" collapsed="false">
      <c r="A1217" s="325"/>
    </row>
    <row r="1218" customFormat="false" ht="12.75" hidden="false" customHeight="false" outlineLevel="0" collapsed="false">
      <c r="A1218" s="325"/>
    </row>
    <row r="1219" customFormat="false" ht="12.75" hidden="false" customHeight="false" outlineLevel="0" collapsed="false">
      <c r="A1219" s="325"/>
    </row>
    <row r="1220" customFormat="false" ht="12.75" hidden="false" customHeight="false" outlineLevel="0" collapsed="false">
      <c r="A1220" s="325"/>
    </row>
    <row r="1221" customFormat="false" ht="12.75" hidden="false" customHeight="false" outlineLevel="0" collapsed="false">
      <c r="A1221" s="325"/>
    </row>
    <row r="1222" customFormat="false" ht="12.75" hidden="false" customHeight="false" outlineLevel="0" collapsed="false">
      <c r="A1222" s="325"/>
    </row>
    <row r="1223" customFormat="false" ht="12.75" hidden="false" customHeight="false" outlineLevel="0" collapsed="false">
      <c r="A1223" s="325"/>
    </row>
    <row r="1224" customFormat="false" ht="12.75" hidden="false" customHeight="false" outlineLevel="0" collapsed="false">
      <c r="A1224" s="325"/>
    </row>
    <row r="1225" customFormat="false" ht="12.75" hidden="false" customHeight="false" outlineLevel="0" collapsed="false">
      <c r="A1225" s="325"/>
    </row>
    <row r="1226" customFormat="false" ht="12.75" hidden="false" customHeight="false" outlineLevel="0" collapsed="false">
      <c r="A1226" s="325"/>
    </row>
    <row r="1227" customFormat="false" ht="12.75" hidden="false" customHeight="false" outlineLevel="0" collapsed="false">
      <c r="A1227" s="325"/>
    </row>
    <row r="1228" customFormat="false" ht="12.75" hidden="false" customHeight="false" outlineLevel="0" collapsed="false">
      <c r="A1228" s="325"/>
    </row>
    <row r="1229" customFormat="false" ht="12.75" hidden="false" customHeight="false" outlineLevel="0" collapsed="false">
      <c r="A1229" s="325"/>
    </row>
    <row r="1230" customFormat="false" ht="12.75" hidden="false" customHeight="false" outlineLevel="0" collapsed="false">
      <c r="A1230" s="325"/>
    </row>
    <row r="1231" customFormat="false" ht="12.75" hidden="false" customHeight="false" outlineLevel="0" collapsed="false">
      <c r="A1231" s="325"/>
    </row>
    <row r="1232" customFormat="false" ht="12.75" hidden="false" customHeight="false" outlineLevel="0" collapsed="false">
      <c r="A1232" s="325"/>
    </row>
    <row r="1233" customFormat="false" ht="12.75" hidden="false" customHeight="false" outlineLevel="0" collapsed="false">
      <c r="A1233" s="325"/>
    </row>
    <row r="1234" customFormat="false" ht="12.75" hidden="false" customHeight="false" outlineLevel="0" collapsed="false">
      <c r="A1234" s="325"/>
    </row>
    <row r="1235" customFormat="false" ht="12.75" hidden="false" customHeight="false" outlineLevel="0" collapsed="false">
      <c r="A1235" s="325"/>
    </row>
    <row r="1236" customFormat="false" ht="12.75" hidden="false" customHeight="false" outlineLevel="0" collapsed="false">
      <c r="A1236" s="325"/>
    </row>
    <row r="1237" customFormat="false" ht="12.75" hidden="false" customHeight="false" outlineLevel="0" collapsed="false">
      <c r="A1237" s="325"/>
    </row>
    <row r="1238" customFormat="false" ht="12.75" hidden="false" customHeight="false" outlineLevel="0" collapsed="false">
      <c r="A1238" s="325"/>
    </row>
    <row r="1239" customFormat="false" ht="12.75" hidden="false" customHeight="false" outlineLevel="0" collapsed="false">
      <c r="A1239" s="325"/>
    </row>
    <row r="1240" customFormat="false" ht="12.75" hidden="false" customHeight="false" outlineLevel="0" collapsed="false">
      <c r="A1240" s="325"/>
    </row>
    <row r="1241" customFormat="false" ht="12.75" hidden="false" customHeight="false" outlineLevel="0" collapsed="false">
      <c r="A1241" s="325"/>
    </row>
    <row r="1242" customFormat="false" ht="12.75" hidden="false" customHeight="false" outlineLevel="0" collapsed="false">
      <c r="A1242" s="325"/>
    </row>
    <row r="1243" customFormat="false" ht="12.75" hidden="false" customHeight="false" outlineLevel="0" collapsed="false">
      <c r="A1243" s="325"/>
    </row>
    <row r="1244" customFormat="false" ht="12.75" hidden="false" customHeight="false" outlineLevel="0" collapsed="false">
      <c r="A1244" s="325"/>
    </row>
    <row r="1245" customFormat="false" ht="12.75" hidden="false" customHeight="false" outlineLevel="0" collapsed="false">
      <c r="A1245" s="325"/>
    </row>
    <row r="1246" customFormat="false" ht="12.75" hidden="false" customHeight="false" outlineLevel="0" collapsed="false">
      <c r="A1246" s="325"/>
    </row>
    <row r="1247" customFormat="false" ht="12.75" hidden="false" customHeight="false" outlineLevel="0" collapsed="false">
      <c r="A1247" s="325"/>
    </row>
    <row r="1248" customFormat="false" ht="12.75" hidden="false" customHeight="false" outlineLevel="0" collapsed="false">
      <c r="A1248" s="325"/>
    </row>
    <row r="1249" customFormat="false" ht="12.75" hidden="false" customHeight="false" outlineLevel="0" collapsed="false">
      <c r="A1249" s="325"/>
    </row>
    <row r="1250" customFormat="false" ht="12.75" hidden="false" customHeight="false" outlineLevel="0" collapsed="false">
      <c r="A1250" s="325"/>
    </row>
    <row r="1251" customFormat="false" ht="12.75" hidden="false" customHeight="false" outlineLevel="0" collapsed="false">
      <c r="A1251" s="325"/>
    </row>
    <row r="1252" customFormat="false" ht="12.75" hidden="false" customHeight="false" outlineLevel="0" collapsed="false">
      <c r="A1252" s="325"/>
    </row>
    <row r="1253" customFormat="false" ht="12.75" hidden="false" customHeight="false" outlineLevel="0" collapsed="false">
      <c r="A1253" s="325"/>
    </row>
    <row r="1254" customFormat="false" ht="12.75" hidden="false" customHeight="false" outlineLevel="0" collapsed="false">
      <c r="A1254" s="325"/>
    </row>
    <row r="1255" customFormat="false" ht="12.75" hidden="false" customHeight="false" outlineLevel="0" collapsed="false">
      <c r="A1255" s="325"/>
    </row>
    <row r="1256" customFormat="false" ht="12.75" hidden="false" customHeight="false" outlineLevel="0" collapsed="false">
      <c r="A1256" s="325"/>
    </row>
    <row r="1257" customFormat="false" ht="12.75" hidden="false" customHeight="false" outlineLevel="0" collapsed="false">
      <c r="A1257" s="325"/>
    </row>
    <row r="1258" customFormat="false" ht="12.75" hidden="false" customHeight="false" outlineLevel="0" collapsed="false">
      <c r="A1258" s="325"/>
    </row>
    <row r="1259" customFormat="false" ht="12.75" hidden="false" customHeight="false" outlineLevel="0" collapsed="false">
      <c r="A1259" s="325"/>
    </row>
    <row r="1260" customFormat="false" ht="12.75" hidden="false" customHeight="false" outlineLevel="0" collapsed="false">
      <c r="A1260" s="325"/>
    </row>
    <row r="1261" customFormat="false" ht="12.75" hidden="false" customHeight="false" outlineLevel="0" collapsed="false">
      <c r="A1261" s="325"/>
    </row>
    <row r="1262" customFormat="false" ht="12.75" hidden="false" customHeight="false" outlineLevel="0" collapsed="false">
      <c r="A1262" s="325"/>
    </row>
    <row r="1263" customFormat="false" ht="12.75" hidden="false" customHeight="false" outlineLevel="0" collapsed="false">
      <c r="A1263" s="325"/>
    </row>
    <row r="1264" customFormat="false" ht="12.75" hidden="false" customHeight="false" outlineLevel="0" collapsed="false">
      <c r="A1264" s="325"/>
    </row>
    <row r="1265" customFormat="false" ht="12.75" hidden="false" customHeight="false" outlineLevel="0" collapsed="false">
      <c r="A1265" s="325"/>
    </row>
    <row r="1266" customFormat="false" ht="12.75" hidden="false" customHeight="false" outlineLevel="0" collapsed="false">
      <c r="A1266" s="325"/>
    </row>
    <row r="1267" customFormat="false" ht="12.75" hidden="false" customHeight="false" outlineLevel="0" collapsed="false">
      <c r="A1267" s="325"/>
    </row>
    <row r="1268" customFormat="false" ht="12.75" hidden="false" customHeight="false" outlineLevel="0" collapsed="false">
      <c r="A1268" s="325"/>
    </row>
    <row r="1269" customFormat="false" ht="12.75" hidden="false" customHeight="false" outlineLevel="0" collapsed="false">
      <c r="A1269" s="325"/>
    </row>
    <row r="1270" customFormat="false" ht="12.75" hidden="false" customHeight="false" outlineLevel="0" collapsed="false">
      <c r="A1270" s="325"/>
    </row>
    <row r="1271" customFormat="false" ht="12.75" hidden="false" customHeight="false" outlineLevel="0" collapsed="false">
      <c r="A1271" s="325"/>
    </row>
    <row r="1272" customFormat="false" ht="12.75" hidden="false" customHeight="false" outlineLevel="0" collapsed="false">
      <c r="A1272" s="325"/>
    </row>
    <row r="1273" customFormat="false" ht="12.75" hidden="false" customHeight="false" outlineLevel="0" collapsed="false">
      <c r="A1273" s="325"/>
    </row>
    <row r="1274" customFormat="false" ht="12.75" hidden="false" customHeight="false" outlineLevel="0" collapsed="false">
      <c r="A1274" s="325"/>
    </row>
    <row r="1275" customFormat="false" ht="12.75" hidden="false" customHeight="false" outlineLevel="0" collapsed="false">
      <c r="A1275" s="325"/>
    </row>
    <row r="1276" customFormat="false" ht="12.75" hidden="false" customHeight="false" outlineLevel="0" collapsed="false">
      <c r="A1276" s="325"/>
    </row>
    <row r="1277" customFormat="false" ht="12.75" hidden="false" customHeight="false" outlineLevel="0" collapsed="false">
      <c r="A1277" s="325"/>
    </row>
    <row r="1278" customFormat="false" ht="12.75" hidden="false" customHeight="false" outlineLevel="0" collapsed="false">
      <c r="A1278" s="325"/>
    </row>
    <row r="1279" customFormat="false" ht="12.75" hidden="false" customHeight="false" outlineLevel="0" collapsed="false">
      <c r="A1279" s="325"/>
    </row>
    <row r="1280" customFormat="false" ht="12.75" hidden="false" customHeight="false" outlineLevel="0" collapsed="false">
      <c r="A1280" s="325"/>
    </row>
    <row r="1281" customFormat="false" ht="12.75" hidden="false" customHeight="false" outlineLevel="0" collapsed="false">
      <c r="A1281" s="325"/>
    </row>
    <row r="1282" customFormat="false" ht="12.75" hidden="false" customHeight="false" outlineLevel="0" collapsed="false">
      <c r="A1282" s="325"/>
    </row>
    <row r="1283" customFormat="false" ht="12.75" hidden="false" customHeight="false" outlineLevel="0" collapsed="false">
      <c r="A1283" s="325"/>
    </row>
    <row r="1284" customFormat="false" ht="12.75" hidden="false" customHeight="false" outlineLevel="0" collapsed="false">
      <c r="A1284" s="325"/>
    </row>
    <row r="1285" customFormat="false" ht="12.75" hidden="false" customHeight="false" outlineLevel="0" collapsed="false">
      <c r="A1285" s="325"/>
    </row>
    <row r="1286" customFormat="false" ht="12.75" hidden="false" customHeight="false" outlineLevel="0" collapsed="false">
      <c r="A1286" s="325"/>
    </row>
    <row r="1287" customFormat="false" ht="12.75" hidden="false" customHeight="false" outlineLevel="0" collapsed="false">
      <c r="A1287" s="325"/>
    </row>
    <row r="1288" customFormat="false" ht="12.75" hidden="false" customHeight="false" outlineLevel="0" collapsed="false">
      <c r="A1288" s="325"/>
    </row>
    <row r="1289" customFormat="false" ht="12.75" hidden="false" customHeight="false" outlineLevel="0" collapsed="false">
      <c r="A1289" s="325"/>
    </row>
    <row r="1290" customFormat="false" ht="12.75" hidden="false" customHeight="false" outlineLevel="0" collapsed="false">
      <c r="A1290" s="325"/>
    </row>
    <row r="1291" customFormat="false" ht="12.75" hidden="false" customHeight="false" outlineLevel="0" collapsed="false">
      <c r="A1291" s="325"/>
    </row>
    <row r="1292" customFormat="false" ht="12.75" hidden="false" customHeight="false" outlineLevel="0" collapsed="false">
      <c r="A1292" s="325"/>
    </row>
    <row r="1293" customFormat="false" ht="12.75" hidden="false" customHeight="false" outlineLevel="0" collapsed="false">
      <c r="A1293" s="325"/>
    </row>
    <row r="1294" customFormat="false" ht="12.75" hidden="false" customHeight="false" outlineLevel="0" collapsed="false">
      <c r="A1294" s="325"/>
    </row>
    <row r="1295" customFormat="false" ht="12.75" hidden="false" customHeight="false" outlineLevel="0" collapsed="false">
      <c r="A1295" s="325"/>
    </row>
    <row r="1296" customFormat="false" ht="12.75" hidden="false" customHeight="false" outlineLevel="0" collapsed="false">
      <c r="A1296" s="325"/>
    </row>
    <row r="1297" customFormat="false" ht="12.75" hidden="false" customHeight="false" outlineLevel="0" collapsed="false">
      <c r="A1297" s="325"/>
    </row>
    <row r="1298" customFormat="false" ht="12.75" hidden="false" customHeight="false" outlineLevel="0" collapsed="false">
      <c r="A1298" s="325"/>
    </row>
    <row r="1299" customFormat="false" ht="12.75" hidden="false" customHeight="false" outlineLevel="0" collapsed="false">
      <c r="A1299" s="325"/>
    </row>
    <row r="1300" customFormat="false" ht="12.75" hidden="false" customHeight="false" outlineLevel="0" collapsed="false">
      <c r="A1300" s="325"/>
    </row>
    <row r="1301" customFormat="false" ht="12.75" hidden="false" customHeight="false" outlineLevel="0" collapsed="false">
      <c r="A1301" s="325"/>
    </row>
    <row r="1302" customFormat="false" ht="12.75" hidden="false" customHeight="false" outlineLevel="0" collapsed="false">
      <c r="A1302" s="325"/>
    </row>
    <row r="1303" customFormat="false" ht="12.75" hidden="false" customHeight="false" outlineLevel="0" collapsed="false">
      <c r="A1303" s="325"/>
    </row>
    <row r="1304" customFormat="false" ht="12.75" hidden="false" customHeight="false" outlineLevel="0" collapsed="false">
      <c r="A1304" s="325"/>
    </row>
    <row r="1305" customFormat="false" ht="12.75" hidden="false" customHeight="false" outlineLevel="0" collapsed="false">
      <c r="A1305" s="325"/>
    </row>
    <row r="1306" customFormat="false" ht="12.75" hidden="false" customHeight="false" outlineLevel="0" collapsed="false">
      <c r="A1306" s="325"/>
    </row>
    <row r="1307" customFormat="false" ht="12.75" hidden="false" customHeight="false" outlineLevel="0" collapsed="false">
      <c r="A1307" s="325"/>
    </row>
    <row r="1308" customFormat="false" ht="12.75" hidden="false" customHeight="false" outlineLevel="0" collapsed="false">
      <c r="A1308" s="325"/>
    </row>
    <row r="1309" customFormat="false" ht="12.75" hidden="false" customHeight="false" outlineLevel="0" collapsed="false">
      <c r="A1309" s="325"/>
    </row>
    <row r="1310" customFormat="false" ht="12.75" hidden="false" customHeight="false" outlineLevel="0" collapsed="false">
      <c r="A1310" s="325"/>
    </row>
    <row r="1311" customFormat="false" ht="12.75" hidden="false" customHeight="false" outlineLevel="0" collapsed="false">
      <c r="A1311" s="325"/>
    </row>
    <row r="1312" customFormat="false" ht="12.75" hidden="false" customHeight="false" outlineLevel="0" collapsed="false">
      <c r="A1312" s="325"/>
    </row>
    <row r="1313" customFormat="false" ht="12.75" hidden="false" customHeight="false" outlineLevel="0" collapsed="false">
      <c r="A1313" s="325"/>
    </row>
    <row r="1314" customFormat="false" ht="12.75" hidden="false" customHeight="false" outlineLevel="0" collapsed="false">
      <c r="A1314" s="325"/>
    </row>
    <row r="1315" customFormat="false" ht="12.75" hidden="false" customHeight="false" outlineLevel="0" collapsed="false">
      <c r="A1315" s="325"/>
    </row>
    <row r="1316" customFormat="false" ht="12.75" hidden="false" customHeight="false" outlineLevel="0" collapsed="false">
      <c r="A1316" s="325"/>
    </row>
    <row r="1317" customFormat="false" ht="12.75" hidden="false" customHeight="false" outlineLevel="0" collapsed="false">
      <c r="A1317" s="325"/>
    </row>
    <row r="1318" customFormat="false" ht="12.75" hidden="false" customHeight="false" outlineLevel="0" collapsed="false">
      <c r="A1318" s="325"/>
    </row>
    <row r="1319" customFormat="false" ht="12.75" hidden="false" customHeight="false" outlineLevel="0" collapsed="false">
      <c r="A1319" s="325"/>
    </row>
    <row r="1320" customFormat="false" ht="12.75" hidden="false" customHeight="false" outlineLevel="0" collapsed="false">
      <c r="A1320" s="325"/>
    </row>
    <row r="1321" customFormat="false" ht="12.75" hidden="false" customHeight="false" outlineLevel="0" collapsed="false">
      <c r="A1321" s="325"/>
    </row>
    <row r="1322" customFormat="false" ht="12.75" hidden="false" customHeight="false" outlineLevel="0" collapsed="false">
      <c r="A1322" s="325"/>
    </row>
    <row r="1323" customFormat="false" ht="12.75" hidden="false" customHeight="false" outlineLevel="0" collapsed="false">
      <c r="A1323" s="325"/>
    </row>
    <row r="1324" customFormat="false" ht="12.75" hidden="false" customHeight="false" outlineLevel="0" collapsed="false">
      <c r="A1324" s="325"/>
    </row>
    <row r="1325" customFormat="false" ht="12.75" hidden="false" customHeight="false" outlineLevel="0" collapsed="false">
      <c r="A1325" s="325"/>
    </row>
    <row r="1326" customFormat="false" ht="12.75" hidden="false" customHeight="false" outlineLevel="0" collapsed="false">
      <c r="A1326" s="325"/>
    </row>
    <row r="1327" customFormat="false" ht="12.75" hidden="false" customHeight="false" outlineLevel="0" collapsed="false">
      <c r="A1327" s="325"/>
    </row>
    <row r="1328" customFormat="false" ht="12.75" hidden="false" customHeight="false" outlineLevel="0" collapsed="false">
      <c r="A1328" s="325"/>
    </row>
    <row r="1329" customFormat="false" ht="12.75" hidden="false" customHeight="false" outlineLevel="0" collapsed="false">
      <c r="A1329" s="325"/>
    </row>
    <row r="1330" customFormat="false" ht="12.75" hidden="false" customHeight="false" outlineLevel="0" collapsed="false">
      <c r="A1330" s="325"/>
    </row>
    <row r="1331" customFormat="false" ht="12.75" hidden="false" customHeight="false" outlineLevel="0" collapsed="false">
      <c r="A1331" s="325"/>
    </row>
    <row r="1332" customFormat="false" ht="12.75" hidden="false" customHeight="false" outlineLevel="0" collapsed="false">
      <c r="A1332" s="325"/>
    </row>
    <row r="1333" customFormat="false" ht="12.75" hidden="false" customHeight="false" outlineLevel="0" collapsed="false">
      <c r="A1333" s="325"/>
    </row>
    <row r="1334" customFormat="false" ht="12.75" hidden="false" customHeight="false" outlineLevel="0" collapsed="false">
      <c r="A1334" s="325"/>
    </row>
    <row r="1335" customFormat="false" ht="12.75" hidden="false" customHeight="false" outlineLevel="0" collapsed="false">
      <c r="A1335" s="325"/>
    </row>
    <row r="1336" customFormat="false" ht="12.75" hidden="false" customHeight="false" outlineLevel="0" collapsed="false">
      <c r="A1336" s="325"/>
    </row>
    <row r="1337" customFormat="false" ht="12.75" hidden="false" customHeight="false" outlineLevel="0" collapsed="false">
      <c r="A1337" s="325"/>
    </row>
    <row r="1338" customFormat="false" ht="12.75" hidden="false" customHeight="false" outlineLevel="0" collapsed="false">
      <c r="A1338" s="325"/>
    </row>
    <row r="1339" customFormat="false" ht="12.75" hidden="false" customHeight="false" outlineLevel="0" collapsed="false">
      <c r="A1339" s="325"/>
    </row>
    <row r="1340" customFormat="false" ht="12.75" hidden="false" customHeight="false" outlineLevel="0" collapsed="false">
      <c r="A1340" s="325"/>
    </row>
    <row r="1341" customFormat="false" ht="12.75" hidden="false" customHeight="false" outlineLevel="0" collapsed="false">
      <c r="A1341" s="325"/>
    </row>
    <row r="1342" customFormat="false" ht="12.75" hidden="false" customHeight="false" outlineLevel="0" collapsed="false">
      <c r="A1342" s="325"/>
    </row>
    <row r="1343" customFormat="false" ht="12.75" hidden="false" customHeight="false" outlineLevel="0" collapsed="false">
      <c r="A1343" s="325"/>
    </row>
    <row r="1344" customFormat="false" ht="12.75" hidden="false" customHeight="false" outlineLevel="0" collapsed="false">
      <c r="A1344" s="325"/>
    </row>
    <row r="1345" customFormat="false" ht="12.75" hidden="false" customHeight="false" outlineLevel="0" collapsed="false">
      <c r="A1345" s="325"/>
    </row>
    <row r="1346" customFormat="false" ht="12.75" hidden="false" customHeight="false" outlineLevel="0" collapsed="false">
      <c r="A1346" s="325"/>
    </row>
    <row r="1347" customFormat="false" ht="12.75" hidden="false" customHeight="false" outlineLevel="0" collapsed="false">
      <c r="A1347" s="325"/>
    </row>
    <row r="1348" customFormat="false" ht="12.75" hidden="false" customHeight="false" outlineLevel="0" collapsed="false">
      <c r="A1348" s="325"/>
    </row>
    <row r="1349" customFormat="false" ht="12.75" hidden="false" customHeight="false" outlineLevel="0" collapsed="false">
      <c r="A1349" s="325"/>
    </row>
    <row r="1350" customFormat="false" ht="12.75" hidden="false" customHeight="false" outlineLevel="0" collapsed="false">
      <c r="A1350" s="325"/>
    </row>
    <row r="1351" customFormat="false" ht="12.75" hidden="false" customHeight="false" outlineLevel="0" collapsed="false">
      <c r="A1351" s="325"/>
    </row>
    <row r="1352" customFormat="false" ht="12.75" hidden="false" customHeight="false" outlineLevel="0" collapsed="false">
      <c r="A1352" s="325"/>
    </row>
    <row r="1353" customFormat="false" ht="12.75" hidden="false" customHeight="false" outlineLevel="0" collapsed="false">
      <c r="A1353" s="325"/>
    </row>
    <row r="1354" customFormat="false" ht="12.75" hidden="false" customHeight="false" outlineLevel="0" collapsed="false">
      <c r="A1354" s="325"/>
    </row>
    <row r="1355" customFormat="false" ht="12.75" hidden="false" customHeight="false" outlineLevel="0" collapsed="false">
      <c r="A1355" s="325"/>
    </row>
    <row r="1356" customFormat="false" ht="12.75" hidden="false" customHeight="false" outlineLevel="0" collapsed="false">
      <c r="A1356" s="325"/>
    </row>
    <row r="1357" customFormat="false" ht="12.75" hidden="false" customHeight="false" outlineLevel="0" collapsed="false">
      <c r="A1357" s="325"/>
    </row>
    <row r="1358" customFormat="false" ht="12.75" hidden="false" customHeight="false" outlineLevel="0" collapsed="false">
      <c r="A1358" s="325"/>
    </row>
    <row r="1359" customFormat="false" ht="12.75" hidden="false" customHeight="false" outlineLevel="0" collapsed="false">
      <c r="A1359" s="325"/>
    </row>
    <row r="1360" customFormat="false" ht="12.75" hidden="false" customHeight="false" outlineLevel="0" collapsed="false">
      <c r="A1360" s="325"/>
    </row>
    <row r="1361" customFormat="false" ht="12.75" hidden="false" customHeight="false" outlineLevel="0" collapsed="false">
      <c r="A1361" s="325"/>
    </row>
    <row r="1362" customFormat="false" ht="12.75" hidden="false" customHeight="false" outlineLevel="0" collapsed="false">
      <c r="A1362" s="325"/>
    </row>
    <row r="1363" customFormat="false" ht="12.75" hidden="false" customHeight="false" outlineLevel="0" collapsed="false">
      <c r="A1363" s="325"/>
    </row>
    <row r="1364" customFormat="false" ht="12.75" hidden="false" customHeight="false" outlineLevel="0" collapsed="false">
      <c r="A1364" s="325"/>
    </row>
    <row r="1365" customFormat="false" ht="12.75" hidden="false" customHeight="false" outlineLevel="0" collapsed="false">
      <c r="A1365" s="325"/>
    </row>
    <row r="1366" customFormat="false" ht="12.75" hidden="false" customHeight="false" outlineLevel="0" collapsed="false">
      <c r="A1366" s="325"/>
    </row>
    <row r="1367" customFormat="false" ht="12.75" hidden="false" customHeight="false" outlineLevel="0" collapsed="false">
      <c r="A1367" s="325"/>
    </row>
    <row r="1368" customFormat="false" ht="12.75" hidden="false" customHeight="false" outlineLevel="0" collapsed="false">
      <c r="A1368" s="325"/>
    </row>
    <row r="1369" customFormat="false" ht="12.75" hidden="false" customHeight="false" outlineLevel="0" collapsed="false">
      <c r="A1369" s="325"/>
    </row>
    <row r="1370" customFormat="false" ht="12.75" hidden="false" customHeight="false" outlineLevel="0" collapsed="false">
      <c r="A1370" s="325"/>
    </row>
    <row r="1371" customFormat="false" ht="12.75" hidden="false" customHeight="false" outlineLevel="0" collapsed="false">
      <c r="A1371" s="325"/>
    </row>
    <row r="1372" customFormat="false" ht="12.75" hidden="false" customHeight="false" outlineLevel="0" collapsed="false">
      <c r="A1372" s="325"/>
    </row>
    <row r="1373" customFormat="false" ht="12.75" hidden="false" customHeight="false" outlineLevel="0" collapsed="false">
      <c r="A1373" s="325"/>
    </row>
    <row r="1374" customFormat="false" ht="12.75" hidden="false" customHeight="false" outlineLevel="0" collapsed="false">
      <c r="A1374" s="325"/>
    </row>
    <row r="1375" customFormat="false" ht="12.75" hidden="false" customHeight="false" outlineLevel="0" collapsed="false">
      <c r="A1375" s="325"/>
    </row>
    <row r="1376" customFormat="false" ht="12.75" hidden="false" customHeight="false" outlineLevel="0" collapsed="false">
      <c r="A1376" s="325"/>
    </row>
    <row r="1377" customFormat="false" ht="12.75" hidden="false" customHeight="false" outlineLevel="0" collapsed="false">
      <c r="A1377" s="325"/>
    </row>
    <row r="1378" customFormat="false" ht="12.75" hidden="false" customHeight="false" outlineLevel="0" collapsed="false">
      <c r="A1378" s="325"/>
    </row>
    <row r="1379" customFormat="false" ht="12.75" hidden="false" customHeight="false" outlineLevel="0" collapsed="false">
      <c r="A1379" s="325"/>
    </row>
    <row r="1380" customFormat="false" ht="12.75" hidden="false" customHeight="false" outlineLevel="0" collapsed="false">
      <c r="A1380" s="325"/>
    </row>
    <row r="1381" customFormat="false" ht="12.75" hidden="false" customHeight="false" outlineLevel="0" collapsed="false">
      <c r="A1381" s="325"/>
    </row>
    <row r="1382" customFormat="false" ht="12.75" hidden="false" customHeight="false" outlineLevel="0" collapsed="false">
      <c r="A1382" s="325"/>
    </row>
    <row r="1383" customFormat="false" ht="12.75" hidden="false" customHeight="false" outlineLevel="0" collapsed="false">
      <c r="A1383" s="325"/>
    </row>
    <row r="1384" customFormat="false" ht="12.75" hidden="false" customHeight="false" outlineLevel="0" collapsed="false">
      <c r="A1384" s="325"/>
    </row>
    <row r="1385" customFormat="false" ht="12.75" hidden="false" customHeight="false" outlineLevel="0" collapsed="false">
      <c r="A1385" s="325"/>
    </row>
    <row r="1386" customFormat="false" ht="12.75" hidden="false" customHeight="false" outlineLevel="0" collapsed="false">
      <c r="A1386" s="325"/>
    </row>
    <row r="1387" customFormat="false" ht="12.75" hidden="false" customHeight="false" outlineLevel="0" collapsed="false">
      <c r="A1387" s="325"/>
    </row>
    <row r="1388" customFormat="false" ht="12.75" hidden="false" customHeight="false" outlineLevel="0" collapsed="false">
      <c r="A1388" s="325"/>
    </row>
    <row r="1389" customFormat="false" ht="12.75" hidden="false" customHeight="false" outlineLevel="0" collapsed="false">
      <c r="A1389" s="325"/>
    </row>
    <row r="1390" customFormat="false" ht="12.75" hidden="false" customHeight="false" outlineLevel="0" collapsed="false">
      <c r="A1390" s="325"/>
    </row>
    <row r="1391" customFormat="false" ht="12.75" hidden="false" customHeight="false" outlineLevel="0" collapsed="false">
      <c r="A1391" s="325"/>
    </row>
    <row r="1392" customFormat="false" ht="12.75" hidden="false" customHeight="false" outlineLevel="0" collapsed="false">
      <c r="A1392" s="325"/>
    </row>
    <row r="1393" customFormat="false" ht="12.75" hidden="false" customHeight="false" outlineLevel="0" collapsed="false">
      <c r="A1393" s="325"/>
    </row>
    <row r="1394" customFormat="false" ht="12.75" hidden="false" customHeight="false" outlineLevel="0" collapsed="false">
      <c r="A1394" s="325"/>
    </row>
    <row r="1395" customFormat="false" ht="12.75" hidden="false" customHeight="false" outlineLevel="0" collapsed="false">
      <c r="A1395" s="325"/>
    </row>
    <row r="1396" customFormat="false" ht="12.75" hidden="false" customHeight="false" outlineLevel="0" collapsed="false">
      <c r="A1396" s="325"/>
    </row>
    <row r="1397" customFormat="false" ht="12.75" hidden="false" customHeight="false" outlineLevel="0" collapsed="false">
      <c r="A1397" s="325"/>
    </row>
    <row r="1398" customFormat="false" ht="12.75" hidden="false" customHeight="false" outlineLevel="0" collapsed="false">
      <c r="A1398" s="325"/>
    </row>
    <row r="1399" customFormat="false" ht="12.75" hidden="false" customHeight="false" outlineLevel="0" collapsed="false">
      <c r="A1399" s="325"/>
    </row>
    <row r="1400" customFormat="false" ht="12.75" hidden="false" customHeight="false" outlineLevel="0" collapsed="false">
      <c r="A1400" s="325"/>
    </row>
    <row r="1401" customFormat="false" ht="12.75" hidden="false" customHeight="false" outlineLevel="0" collapsed="false">
      <c r="A1401" s="325"/>
    </row>
    <row r="1402" customFormat="false" ht="12.75" hidden="false" customHeight="false" outlineLevel="0" collapsed="false">
      <c r="A1402" s="325"/>
    </row>
    <row r="1403" customFormat="false" ht="12.75" hidden="false" customHeight="false" outlineLevel="0" collapsed="false">
      <c r="A1403" s="325"/>
    </row>
    <row r="1404" customFormat="false" ht="12.75" hidden="false" customHeight="false" outlineLevel="0" collapsed="false">
      <c r="A1404" s="325"/>
    </row>
    <row r="1405" customFormat="false" ht="12.75" hidden="false" customHeight="false" outlineLevel="0" collapsed="false">
      <c r="A1405" s="325"/>
    </row>
    <row r="1406" customFormat="false" ht="12.75" hidden="false" customHeight="false" outlineLevel="0" collapsed="false">
      <c r="A1406" s="325"/>
    </row>
    <row r="1407" customFormat="false" ht="12.75" hidden="false" customHeight="false" outlineLevel="0" collapsed="false">
      <c r="A1407" s="325"/>
    </row>
    <row r="1408" customFormat="false" ht="12.75" hidden="false" customHeight="false" outlineLevel="0" collapsed="false">
      <c r="A1408" s="325"/>
    </row>
    <row r="1409" customFormat="false" ht="12.75" hidden="false" customHeight="false" outlineLevel="0" collapsed="false">
      <c r="A1409" s="325"/>
    </row>
    <row r="1410" customFormat="false" ht="12.75" hidden="false" customHeight="false" outlineLevel="0" collapsed="false">
      <c r="A1410" s="325"/>
    </row>
    <row r="1411" customFormat="false" ht="12.75" hidden="false" customHeight="false" outlineLevel="0" collapsed="false">
      <c r="A1411" s="325"/>
    </row>
    <row r="1412" customFormat="false" ht="12.75" hidden="false" customHeight="false" outlineLevel="0" collapsed="false">
      <c r="A1412" s="325"/>
    </row>
    <row r="1413" customFormat="false" ht="12.75" hidden="false" customHeight="false" outlineLevel="0" collapsed="false">
      <c r="A1413" s="325"/>
    </row>
    <row r="1414" customFormat="false" ht="12.75" hidden="false" customHeight="false" outlineLevel="0" collapsed="false">
      <c r="A1414" s="325"/>
    </row>
    <row r="1415" customFormat="false" ht="12.75" hidden="false" customHeight="false" outlineLevel="0" collapsed="false">
      <c r="A1415" s="325"/>
    </row>
    <row r="1416" customFormat="false" ht="12.75" hidden="false" customHeight="false" outlineLevel="0" collapsed="false">
      <c r="A1416" s="325"/>
    </row>
    <row r="1417" customFormat="false" ht="12.75" hidden="false" customHeight="false" outlineLevel="0" collapsed="false">
      <c r="A1417" s="325"/>
    </row>
    <row r="1418" customFormat="false" ht="12.75" hidden="false" customHeight="false" outlineLevel="0" collapsed="false">
      <c r="A1418" s="325"/>
    </row>
    <row r="1419" customFormat="false" ht="12.75" hidden="false" customHeight="false" outlineLevel="0" collapsed="false">
      <c r="A1419" s="325"/>
    </row>
    <row r="1420" customFormat="false" ht="12.75" hidden="false" customHeight="false" outlineLevel="0" collapsed="false">
      <c r="A1420" s="325"/>
    </row>
    <row r="1421" customFormat="false" ht="12.75" hidden="false" customHeight="false" outlineLevel="0" collapsed="false">
      <c r="A1421" s="325"/>
    </row>
    <row r="1422" customFormat="false" ht="12.75" hidden="false" customHeight="false" outlineLevel="0" collapsed="false">
      <c r="A1422" s="325"/>
    </row>
    <row r="1423" customFormat="false" ht="12.75" hidden="false" customHeight="false" outlineLevel="0" collapsed="false">
      <c r="A1423" s="325"/>
    </row>
    <row r="1424" customFormat="false" ht="12.75" hidden="false" customHeight="false" outlineLevel="0" collapsed="false">
      <c r="A1424" s="325"/>
    </row>
    <row r="1425" customFormat="false" ht="12.75" hidden="false" customHeight="false" outlineLevel="0" collapsed="false">
      <c r="A1425" s="325"/>
    </row>
    <row r="1426" customFormat="false" ht="12.75" hidden="false" customHeight="false" outlineLevel="0" collapsed="false">
      <c r="A1426" s="325"/>
    </row>
    <row r="1427" customFormat="false" ht="12.75" hidden="false" customHeight="false" outlineLevel="0" collapsed="false">
      <c r="A1427" s="325"/>
    </row>
    <row r="1428" customFormat="false" ht="12.75" hidden="false" customHeight="false" outlineLevel="0" collapsed="false">
      <c r="A1428" s="325"/>
    </row>
    <row r="1429" customFormat="false" ht="12.75" hidden="false" customHeight="false" outlineLevel="0" collapsed="false">
      <c r="A1429" s="325"/>
    </row>
    <row r="1430" customFormat="false" ht="12.75" hidden="false" customHeight="false" outlineLevel="0" collapsed="false">
      <c r="A1430" s="325"/>
    </row>
    <row r="1431" customFormat="false" ht="12.75" hidden="false" customHeight="false" outlineLevel="0" collapsed="false">
      <c r="A1431" s="325"/>
    </row>
    <row r="1432" customFormat="false" ht="12.75" hidden="false" customHeight="false" outlineLevel="0" collapsed="false">
      <c r="A1432" s="325"/>
    </row>
    <row r="1433" customFormat="false" ht="12.75" hidden="false" customHeight="false" outlineLevel="0" collapsed="false">
      <c r="A1433" s="325"/>
    </row>
    <row r="1434" customFormat="false" ht="12.75" hidden="false" customHeight="false" outlineLevel="0" collapsed="false">
      <c r="A1434" s="325"/>
    </row>
    <row r="1435" customFormat="false" ht="12.75" hidden="false" customHeight="false" outlineLevel="0" collapsed="false">
      <c r="A1435" s="325"/>
    </row>
    <row r="1436" customFormat="false" ht="12.75" hidden="false" customHeight="false" outlineLevel="0" collapsed="false">
      <c r="A1436" s="325"/>
    </row>
    <row r="1437" customFormat="false" ht="12.75" hidden="false" customHeight="false" outlineLevel="0" collapsed="false">
      <c r="A1437" s="325"/>
    </row>
    <row r="1438" customFormat="false" ht="12.75" hidden="false" customHeight="false" outlineLevel="0" collapsed="false">
      <c r="A1438" s="325"/>
    </row>
    <row r="1439" customFormat="false" ht="12.75" hidden="false" customHeight="false" outlineLevel="0" collapsed="false">
      <c r="A1439" s="325"/>
    </row>
    <row r="1440" customFormat="false" ht="12.75" hidden="false" customHeight="false" outlineLevel="0" collapsed="false">
      <c r="A1440" s="325"/>
    </row>
    <row r="1441" customFormat="false" ht="12.75" hidden="false" customHeight="false" outlineLevel="0" collapsed="false">
      <c r="A1441" s="325"/>
    </row>
    <row r="1442" customFormat="false" ht="12.75" hidden="false" customHeight="false" outlineLevel="0" collapsed="false">
      <c r="A1442" s="325"/>
    </row>
    <row r="1443" customFormat="false" ht="12.75" hidden="false" customHeight="false" outlineLevel="0" collapsed="false">
      <c r="A1443" s="325"/>
    </row>
    <row r="1444" customFormat="false" ht="12.75" hidden="false" customHeight="false" outlineLevel="0" collapsed="false">
      <c r="A1444" s="325"/>
    </row>
    <row r="1445" customFormat="false" ht="12.75" hidden="false" customHeight="false" outlineLevel="0" collapsed="false">
      <c r="A1445" s="325"/>
    </row>
    <row r="1446" customFormat="false" ht="12.75" hidden="false" customHeight="false" outlineLevel="0" collapsed="false">
      <c r="A1446" s="325"/>
    </row>
  </sheetData>
  <mergeCells count="3">
    <mergeCell ref="B4:M4"/>
    <mergeCell ref="O4:Z4"/>
    <mergeCell ref="B6:M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5" activeCellId="0" sqref="F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13"/>
    <col collapsed="false" customWidth="true" hidden="false" outlineLevel="0" max="2" min="2" style="0" width="12.28"/>
    <col collapsed="false" customWidth="true" hidden="false" outlineLevel="0" max="3" min="3" style="0" width="11.7"/>
    <col collapsed="false" customWidth="true" hidden="false" outlineLevel="0" max="4" min="4" style="0" width="13.41"/>
    <col collapsed="false" customWidth="true" hidden="false" outlineLevel="0" max="5" min="5" style="0" width="12.7"/>
    <col collapsed="false" customWidth="true" hidden="false" outlineLevel="0" max="6" min="6" style="0" width="14.56"/>
  </cols>
  <sheetData>
    <row r="1" customFormat="false" ht="12.75" hidden="false" customHeight="false" outlineLevel="0" collapsed="false">
      <c r="A1" s="0" t="s">
        <v>35</v>
      </c>
    </row>
    <row r="3" customFormat="false" ht="12.75" hidden="false" customHeight="false" outlineLevel="0" collapsed="false">
      <c r="A3" s="113" t="s">
        <v>36</v>
      </c>
      <c r="B3" s="113" t="s">
        <v>2</v>
      </c>
      <c r="C3" s="113" t="s">
        <v>3</v>
      </c>
      <c r="D3" s="113" t="s">
        <v>4</v>
      </c>
      <c r="E3" s="113" t="s">
        <v>5</v>
      </c>
      <c r="F3" s="113" t="s">
        <v>37</v>
      </c>
    </row>
    <row r="4" customFormat="false" ht="12.75" hidden="false" customHeight="false" outlineLevel="0" collapsed="false">
      <c r="A4" s="114" t="n">
        <v>10</v>
      </c>
      <c r="B4" s="115"/>
      <c r="C4" s="115"/>
      <c r="D4" s="115"/>
      <c r="E4" s="115"/>
      <c r="F4" s="115" t="n">
        <f aca="false">SUM(B4:E4)</f>
        <v>0</v>
      </c>
    </row>
    <row r="5" customFormat="false" ht="12.75" hidden="false" customHeight="false" outlineLevel="0" collapsed="false">
      <c r="A5" s="114" t="n">
        <v>20</v>
      </c>
      <c r="B5" s="115" t="n">
        <v>17352039.4526936</v>
      </c>
      <c r="C5" s="115" t="n">
        <v>7439995.7941927</v>
      </c>
      <c r="D5" s="115" t="n">
        <v>32721.0477778285</v>
      </c>
      <c r="E5" s="115" t="n">
        <v>765344.382103689</v>
      </c>
      <c r="F5" s="115" t="n">
        <f aca="false">SUM(B5:E5)</f>
        <v>25590100.6767678</v>
      </c>
    </row>
    <row r="6" customFormat="false" ht="12.75" hidden="false" customHeight="false" outlineLevel="0" collapsed="false">
      <c r="A6" s="114" t="n">
        <v>30</v>
      </c>
      <c r="B6" s="115" t="n">
        <v>14687339.0133239</v>
      </c>
      <c r="C6" s="115" t="n">
        <v>6542317.44935308</v>
      </c>
      <c r="D6" s="115" t="n">
        <v>479609.114805496</v>
      </c>
      <c r="E6" s="115" t="n">
        <v>3078770.90729309</v>
      </c>
      <c r="F6" s="115" t="n">
        <f aca="false">SUM(B6:E6)</f>
        <v>24788036.4847756</v>
      </c>
    </row>
    <row r="7" customFormat="false" ht="12.75" hidden="false" customHeight="false" outlineLevel="0" collapsed="false">
      <c r="A7" s="114" t="n">
        <v>40</v>
      </c>
      <c r="B7" s="115" t="n">
        <v>12352960.5819163</v>
      </c>
      <c r="C7" s="115" t="n">
        <v>5753018.63642878</v>
      </c>
      <c r="D7" s="115" t="n">
        <v>2514702.41420639</v>
      </c>
      <c r="E7" s="115" t="n">
        <v>7314104.98125554</v>
      </c>
      <c r="F7" s="115" t="n">
        <f aca="false">SUM(B7:E7)</f>
        <v>27934786.613807</v>
      </c>
    </row>
    <row r="8" customFormat="false" ht="12.75" hidden="false" customHeight="false" outlineLevel="0" collapsed="false">
      <c r="A8" s="114" t="n">
        <v>50</v>
      </c>
      <c r="B8" s="115" t="n">
        <v>10448901.2923963</v>
      </c>
      <c r="C8" s="115" t="n">
        <v>5081244.34539395</v>
      </c>
      <c r="D8" s="115" t="n">
        <v>7123223.34512774</v>
      </c>
      <c r="E8" s="115" t="n">
        <v>13525973.0632877</v>
      </c>
      <c r="F8" s="115" t="n">
        <f aca="false">SUM(B8:E8)</f>
        <v>36179342.0462058</v>
      </c>
    </row>
    <row r="9" customFormat="false" ht="12.75" hidden="false" customHeight="false" outlineLevel="0" collapsed="false">
      <c r="A9" s="114" t="n">
        <v>60</v>
      </c>
      <c r="B9" s="115" t="n">
        <v>8966580.72445726</v>
      </c>
      <c r="C9" s="115" t="n">
        <v>4512747.9639572</v>
      </c>
      <c r="D9" s="115" t="n">
        <v>14170783.1311313</v>
      </c>
      <c r="E9" s="115" t="n">
        <v>21474635.5765075</v>
      </c>
      <c r="F9" s="115" t="n">
        <f aca="false">SUM(B9:E9)</f>
        <v>49124747.3960532</v>
      </c>
    </row>
    <row r="10" customFormat="false" ht="12.75" hidden="false" customHeight="false" outlineLevel="0" collapsed="false">
      <c r="A10" s="114" t="n">
        <v>70</v>
      </c>
      <c r="B10" s="115" t="n">
        <v>7826292.27432325</v>
      </c>
      <c r="C10" s="115" t="n">
        <v>4065292.04342928</v>
      </c>
      <c r="D10" s="115" t="n">
        <v>22688604.4075012</v>
      </c>
      <c r="E10" s="115" t="n">
        <v>30170449.3120119</v>
      </c>
      <c r="F10" s="115" t="n">
        <f aca="false">SUM(B10:E10)</f>
        <v>64750638.0372656</v>
      </c>
    </row>
    <row r="11" customFormat="false" ht="12.75" hidden="false" customHeight="false" outlineLevel="0" collapsed="false">
      <c r="A11" s="114" t="n">
        <v>80</v>
      </c>
      <c r="B11" s="115" t="n">
        <v>6877313.07230782</v>
      </c>
      <c r="C11" s="115" t="n">
        <v>3680863.98607037</v>
      </c>
      <c r="D11" s="115" t="n">
        <v>31957891.0512812</v>
      </c>
      <c r="E11" s="115" t="n">
        <v>39531849.7274874</v>
      </c>
      <c r="F11" s="115" t="n">
        <f aca="false">SUM(B11:E11)</f>
        <v>82047917.8371468</v>
      </c>
    </row>
    <row r="12" customFormat="false" ht="12.75" hidden="false" customHeight="false" outlineLevel="0" collapsed="false">
      <c r="A12" s="114" t="n">
        <v>90</v>
      </c>
      <c r="B12" s="115" t="n">
        <v>6112430.40649695</v>
      </c>
      <c r="C12" s="115" t="n">
        <v>3362048.85930723</v>
      </c>
      <c r="D12" s="115" t="n">
        <v>41673340.2645533</v>
      </c>
      <c r="E12" s="115" t="n">
        <v>49273164.4131589</v>
      </c>
      <c r="F12" s="115" t="n">
        <f aca="false">SUM(B12:E12)</f>
        <v>100420983.943516</v>
      </c>
    </row>
    <row r="13" customFormat="false" ht="12.75" hidden="false" customHeight="false" outlineLevel="0" collapsed="false">
      <c r="A13" s="114" t="n">
        <v>100</v>
      </c>
      <c r="B13" s="115" t="n">
        <v>5452761.86413631</v>
      </c>
      <c r="C13" s="115" t="n">
        <v>3079108.84894329</v>
      </c>
      <c r="D13" s="115" t="n">
        <v>51780869.5366536</v>
      </c>
      <c r="E13" s="115" t="n">
        <v>59325928.2610058</v>
      </c>
      <c r="F13" s="115" t="n">
        <f aca="false">SUM(B13:E13)</f>
        <v>119638668.510739</v>
      </c>
    </row>
    <row r="14" customFormat="false" ht="12.75" hidden="false" customHeight="false" outlineLevel="0" collapsed="false">
      <c r="A14" s="114" t="n">
        <v>110</v>
      </c>
      <c r="B14" s="115" t="n">
        <v>4886225.81523054</v>
      </c>
      <c r="C14" s="115" t="n">
        <v>2835226.64743897</v>
      </c>
      <c r="D14" s="115" t="n">
        <v>62396083.3114229</v>
      </c>
      <c r="E14" s="115" t="n">
        <v>69667325.5084734</v>
      </c>
      <c r="F14" s="115" t="n">
        <f aca="false">SUM(B14:E14)</f>
        <v>139784861.282566</v>
      </c>
    </row>
    <row r="15" customFormat="false" ht="12.75" hidden="false" customHeight="false" outlineLevel="0" collapsed="false">
      <c r="A15" s="114" t="n">
        <v>120</v>
      </c>
      <c r="B15" s="115" t="n">
        <v>4447580.84337465</v>
      </c>
      <c r="C15" s="115" t="n">
        <v>2638953.32279504</v>
      </c>
      <c r="D15" s="115" t="n">
        <v>73199701.926956</v>
      </c>
      <c r="E15" s="115" t="n">
        <v>80123036.4679398</v>
      </c>
      <c r="F15" s="115" t="n">
        <f aca="false">SUM(B15:E15)</f>
        <v>160409272.561066</v>
      </c>
    </row>
    <row r="16" customFormat="false" ht="12.75" hidden="false" customHeight="false" outlineLevel="0" collapsed="false">
      <c r="A16" s="114" t="n">
        <v>130</v>
      </c>
      <c r="B16" s="115" t="n">
        <v>4058078.75987761</v>
      </c>
      <c r="C16" s="115" t="n">
        <v>2461084.83648268</v>
      </c>
      <c r="D16" s="115" t="n">
        <v>84083013.8466053</v>
      </c>
      <c r="E16" s="115" t="n">
        <v>91359132.1397276</v>
      </c>
      <c r="F16" s="115" t="n">
        <f aca="false">SUM(B16:E16)</f>
        <v>181961309.582693</v>
      </c>
    </row>
    <row r="17" customFormat="false" ht="12.75" hidden="false" customHeight="false" outlineLevel="0" collapsed="false">
      <c r="A17" s="114" t="n">
        <v>140</v>
      </c>
      <c r="B17" s="115" t="n">
        <v>3701020.26067806</v>
      </c>
      <c r="C17" s="115" t="n">
        <v>2297292.74809253</v>
      </c>
      <c r="D17" s="115" t="n">
        <v>95108131.1533472</v>
      </c>
      <c r="E17" s="115" t="n">
        <v>102311830.355229</v>
      </c>
      <c r="F17" s="115" t="n">
        <f aca="false">SUM(B17:E17)</f>
        <v>203418274.517347</v>
      </c>
    </row>
    <row r="18" customFormat="false" ht="12.75" hidden="false" customHeight="false" outlineLevel="0" collapsed="false">
      <c r="A18" s="114" t="n">
        <v>150</v>
      </c>
      <c r="B18" s="115" t="n">
        <v>3387480.65549557</v>
      </c>
      <c r="C18" s="115" t="n">
        <v>2151373.75967673</v>
      </c>
      <c r="D18" s="115" t="n">
        <v>106227335.570124</v>
      </c>
      <c r="E18" s="115" t="n">
        <v>113365051.290491</v>
      </c>
      <c r="F18" s="115" t="n">
        <f aca="false">SUM(B18:E18)</f>
        <v>225131241.275788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ED519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4955" ySplit="0" topLeftCell="CM1" activePane="topLeft" state="split"/>
      <selection pane="topLeft" activeCell="M5" activeCellId="0" sqref="M5"/>
      <selection pane="topRight" activeCell="CM1" activeCellId="0" sqref="CM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16" width="15.13"/>
    <col collapsed="false" customWidth="true" hidden="false" outlineLevel="0" max="2" min="2" style="116" width="9.41"/>
    <col collapsed="false" customWidth="true" hidden="false" outlineLevel="0" max="3" min="3" style="117" width="6.7"/>
    <col collapsed="false" customWidth="true" hidden="false" outlineLevel="0" max="4" min="4" style="117" width="10.99"/>
    <col collapsed="false" customWidth="true" hidden="false" outlineLevel="0" max="5" min="5" style="118" width="8.56"/>
    <col collapsed="false" customWidth="true" hidden="false" outlineLevel="0" max="6" min="6" style="118" width="8.41"/>
    <col collapsed="false" customWidth="true" hidden="false" outlineLevel="0" max="7" min="7" style="118" width="9.14"/>
    <col collapsed="false" customWidth="true" hidden="false" outlineLevel="0" max="9" min="8" style="118" width="7.85"/>
    <col collapsed="false" customWidth="true" hidden="false" outlineLevel="0" max="10" min="10" style="118" width="9.56"/>
    <col collapsed="false" customWidth="true" hidden="false" outlineLevel="0" max="12" min="11" style="118" width="7.85"/>
    <col collapsed="false" customWidth="true" hidden="false" outlineLevel="0" max="13" min="13" style="118" width="9.14"/>
    <col collapsed="false" customWidth="true" hidden="false" outlineLevel="0" max="22" min="14" style="118" width="7.85"/>
    <col collapsed="false" customWidth="true" hidden="false" outlineLevel="0" max="23" min="23" style="118" width="9.14"/>
    <col collapsed="false" customWidth="true" hidden="false" outlineLevel="0" max="46" min="24" style="118" width="7.85"/>
    <col collapsed="false" customWidth="true" hidden="false" outlineLevel="0" max="47" min="47" style="118" width="10.56"/>
    <col collapsed="false" customWidth="true" hidden="false" outlineLevel="0" max="48" min="48" style="118" width="7.85"/>
    <col collapsed="false" customWidth="true" hidden="false" outlineLevel="0" max="57" min="49" style="118" width="10.56"/>
    <col collapsed="false" customWidth="true" hidden="false" outlineLevel="0" max="59" min="58" style="118" width="7.85"/>
    <col collapsed="false" customWidth="true" hidden="false" outlineLevel="0" max="60" min="60" style="118" width="9.14"/>
    <col collapsed="false" customWidth="true" hidden="false" outlineLevel="0" max="77" min="61" style="118" width="7.85"/>
    <col collapsed="false" customWidth="true" hidden="false" outlineLevel="0" max="86" min="78" style="118" width="9.14"/>
    <col collapsed="false" customWidth="true" hidden="false" outlineLevel="0" max="87" min="87" style="118" width="14.99"/>
    <col collapsed="false" customWidth="true" hidden="false" outlineLevel="0" max="89" min="88" style="118" width="11.42"/>
    <col collapsed="false" customWidth="true" hidden="false" outlineLevel="0" max="90" min="90" style="116" width="9.14"/>
    <col collapsed="false" customWidth="true" hidden="false" outlineLevel="0" max="91" min="91" style="0" width="10.71"/>
    <col collapsed="false" customWidth="true" hidden="false" outlineLevel="0" max="93" min="93" style="116" width="9.14"/>
    <col collapsed="false" customWidth="true" hidden="false" outlineLevel="0" max="94" min="94" style="117" width="9.14"/>
    <col collapsed="false" customWidth="true" hidden="false" outlineLevel="0" max="95" min="95" style="117" width="18.99"/>
    <col collapsed="false" customWidth="true" hidden="false" outlineLevel="0" max="99" min="96" style="117" width="9.14"/>
    <col collapsed="false" customWidth="true" hidden="false" outlineLevel="0" max="100" min="100" style="0" width="13.56"/>
    <col collapsed="false" customWidth="true" hidden="false" outlineLevel="0" max="109" min="101" style="0" width="10.28"/>
    <col collapsed="false" customWidth="true" hidden="false" outlineLevel="0" max="110" min="110" style="0" width="10.85"/>
    <col collapsed="false" customWidth="true" hidden="false" outlineLevel="0" max="111" min="111" style="0" width="11.85"/>
    <col collapsed="false" customWidth="true" hidden="false" outlineLevel="0" max="113" min="112" style="0" width="11.7"/>
    <col collapsed="false" customWidth="true" hidden="false" outlineLevel="0" max="124" min="114" style="0" width="10.99"/>
    <col collapsed="false" customWidth="true" hidden="false" outlineLevel="0" max="125" min="125" style="0" width="16.42"/>
    <col collapsed="false" customWidth="true" hidden="false" outlineLevel="0" max="128" min="126" style="0" width="10.99"/>
    <col collapsed="false" customWidth="true" hidden="false" outlineLevel="0" max="129" min="129" style="0" width="19.85"/>
    <col collapsed="false" customWidth="true" hidden="false" outlineLevel="0" max="130" min="130" style="0" width="3.14"/>
    <col collapsed="false" customWidth="true" hidden="false" outlineLevel="0" max="131" min="131" style="0" width="13.28"/>
    <col collapsed="false" customWidth="true" hidden="false" outlineLevel="0" max="134" min="132" style="0" width="10.28"/>
  </cols>
  <sheetData>
    <row r="1" customFormat="false" ht="12.75" hidden="false" customHeight="false" outlineLevel="0" collapsed="false">
      <c r="H1" s="119"/>
      <c r="I1" s="120"/>
      <c r="J1" s="121"/>
      <c r="K1" s="119"/>
      <c r="CX1" s="74"/>
      <c r="CY1" s="62"/>
    </row>
    <row r="2" customFormat="false" ht="12.75" hidden="false" customHeight="false" outlineLevel="0" collapsed="false">
      <c r="CX2" s="62"/>
      <c r="CY2" s="62"/>
      <c r="DU2" s="73"/>
      <c r="DV2" s="73"/>
      <c r="DW2" s="73"/>
      <c r="DX2" s="73"/>
      <c r="DY2" s="73"/>
    </row>
    <row r="3" customFormat="false" ht="22.5" hidden="false" customHeight="true" outlineLevel="0" collapsed="false">
      <c r="CX3" s="62"/>
      <c r="CY3" s="62"/>
      <c r="DW3" s="73"/>
    </row>
    <row r="4" customFormat="false" ht="22.5" hidden="false" customHeight="true" outlineLevel="0" collapsed="false">
      <c r="DW4" s="73"/>
    </row>
    <row r="5" customFormat="false" ht="22.5" hidden="false" customHeight="true" outlineLevel="0" collapsed="false"/>
    <row r="7" customFormat="false" ht="18.75" hidden="false" customHeight="true" outlineLevel="0" collapsed="false"/>
    <row r="8" customFormat="false" ht="21.75" hidden="false" customHeight="true" outlineLevel="0" collapsed="false"/>
    <row r="11" customFormat="false" ht="24" hidden="false" customHeight="false" outlineLevel="0" collapsed="false">
      <c r="A11" s="122" t="s">
        <v>38</v>
      </c>
      <c r="C11" s="116"/>
      <c r="D11" s="122" t="s">
        <v>39</v>
      </c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P11" s="122"/>
    </row>
    <row r="12" customFormat="false" ht="27" hidden="false" customHeight="true" outlineLevel="0" collapsed="false">
      <c r="A12" s="116" t="s">
        <v>40</v>
      </c>
      <c r="C12" s="125"/>
      <c r="D12" s="126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3"/>
      <c r="P12" s="124"/>
      <c r="Q12" s="124"/>
      <c r="R12" s="124"/>
      <c r="S12" s="127" t="s">
        <v>41</v>
      </c>
      <c r="T12" s="128"/>
      <c r="U12" s="128"/>
      <c r="V12" s="129"/>
      <c r="W12" s="130" t="n">
        <f aca="false">MAX(D19:D271)</f>
        <v>43831</v>
      </c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0"/>
      <c r="AX12" s="0"/>
      <c r="AY12" s="124"/>
      <c r="AZ12" s="124"/>
      <c r="BA12" s="124"/>
      <c r="BB12" s="124"/>
      <c r="BC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0"/>
      <c r="BZ12" s="124"/>
      <c r="CA12" s="124"/>
      <c r="CB12" s="124"/>
      <c r="CC12" s="124"/>
      <c r="CD12" s="124"/>
      <c r="CE12" s="124"/>
      <c r="CF12" s="124"/>
      <c r="CG12" s="124"/>
      <c r="CH12" s="131"/>
      <c r="CI12" s="116"/>
      <c r="CJ12" s="131"/>
      <c r="CK12" s="131"/>
      <c r="CM12" s="132"/>
      <c r="CN12" s="132"/>
      <c r="DJ12" s="131"/>
      <c r="DK12" s="131"/>
      <c r="EA12" s="133" t="s">
        <v>42</v>
      </c>
      <c r="EB12" s="133"/>
    </row>
    <row r="13" customFormat="false" ht="13.5" hidden="false" customHeight="false" outlineLevel="0" collapsed="false">
      <c r="A13" s="134" t="n">
        <f aca="false">IF(MONTH(CurveDate)=12,DATE(YEAR(CurveDate)+1,1,1),DATE(YEAR(CurveDate),MONTH(CurveDate)+1,1))</f>
        <v>45931</v>
      </c>
      <c r="B13" s="135" t="n">
        <f aca="false">'Gas Curves'!C17</f>
        <v>0.0520052842698919</v>
      </c>
      <c r="C13" s="135"/>
      <c r="D13" s="136" t="s">
        <v>43</v>
      </c>
      <c r="E13" s="137" t="s">
        <v>44</v>
      </c>
      <c r="F13" s="138"/>
      <c r="G13" s="139" t="n">
        <v>37099</v>
      </c>
      <c r="H13" s="140"/>
      <c r="I13" s="62"/>
      <c r="J13" s="62"/>
      <c r="K13" s="62"/>
      <c r="L13" s="141"/>
      <c r="M13" s="14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14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117"/>
      <c r="CI13" s="116"/>
      <c r="CJ13" s="116"/>
      <c r="CK13" s="116"/>
      <c r="CM13" s="132"/>
      <c r="CN13" s="132"/>
      <c r="DJ13" s="131"/>
      <c r="DK13" s="131"/>
      <c r="EA13" s="143" t="str">
        <f aca="false">INDEX(EA15:EA28,EB13)</f>
        <v>1  BUSBAR</v>
      </c>
      <c r="EB13" s="144" t="n">
        <v>2</v>
      </c>
      <c r="EC13" s="116"/>
    </row>
    <row r="14" customFormat="false" ht="12.75" hidden="false" customHeight="false" outlineLevel="0" collapsed="false">
      <c r="A14" s="145" t="n">
        <f aca="false">EOMONTH(A13,0)+1</f>
        <v>45962</v>
      </c>
      <c r="B14" s="135" t="n">
        <f aca="false">'Gas Curves'!C18</f>
        <v>0.0508351904561581</v>
      </c>
      <c r="C14" s="135"/>
      <c r="D14" s="146"/>
      <c r="E14" s="138"/>
      <c r="F14" s="138"/>
      <c r="G14" s="138"/>
      <c r="H14" s="141"/>
      <c r="I14" s="62"/>
      <c r="J14" s="62"/>
      <c r="K14" s="62"/>
      <c r="L14" s="141"/>
      <c r="M14" s="14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 t="s">
        <v>45</v>
      </c>
      <c r="AA14" s="62"/>
      <c r="AB14" s="62"/>
      <c r="AC14" s="62"/>
      <c r="AD14" s="62"/>
      <c r="AE14" s="62"/>
      <c r="AF14" s="62"/>
      <c r="AG14" s="62"/>
      <c r="AH14" s="62" t="s">
        <v>46</v>
      </c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14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117"/>
      <c r="CI14" s="147"/>
      <c r="CJ14" s="148"/>
      <c r="CK14" s="148"/>
      <c r="CM14" s="148"/>
      <c r="CN14" s="148"/>
      <c r="CO14" s="149"/>
      <c r="CP14" s="0"/>
      <c r="CQ14" s="0"/>
      <c r="CR14" s="0"/>
      <c r="CS14" s="0"/>
      <c r="CT14" s="0"/>
      <c r="DA14" s="0" t="s">
        <v>47</v>
      </c>
      <c r="DE14" s="0" t="s">
        <v>47</v>
      </c>
      <c r="DJ14" s="131"/>
      <c r="DK14" s="131"/>
      <c r="DN14" s="0" t="s">
        <v>48</v>
      </c>
      <c r="DR14" s="0" t="s">
        <v>48</v>
      </c>
      <c r="EA14" s="150" t="s">
        <v>49</v>
      </c>
      <c r="EB14" s="151" t="s">
        <v>50</v>
      </c>
      <c r="EC14" s="116"/>
    </row>
    <row r="15" customFormat="false" ht="12.75" hidden="false" customHeight="false" outlineLevel="0" collapsed="false">
      <c r="A15" s="145" t="n">
        <f aca="false">EOMONTH(A14,0)+1</f>
        <v>45992</v>
      </c>
      <c r="B15" s="135" t="n">
        <f aca="false">'Gas Curves'!C19</f>
        <v>0.0493794528145997</v>
      </c>
      <c r="C15" s="135"/>
      <c r="D15" s="141"/>
      <c r="E15" s="141"/>
      <c r="F15" s="141" t="s">
        <v>51</v>
      </c>
      <c r="G15" s="141"/>
      <c r="H15" s="141"/>
      <c r="I15" s="141"/>
      <c r="J15" s="141" t="s">
        <v>52</v>
      </c>
      <c r="K15" s="141"/>
      <c r="L15" s="141"/>
      <c r="M15" s="142"/>
      <c r="N15" s="141"/>
      <c r="O15" s="141" t="s">
        <v>53</v>
      </c>
      <c r="P15" s="141"/>
      <c r="Q15" s="141"/>
      <c r="R15" s="141"/>
      <c r="S15" s="141" t="s">
        <v>54</v>
      </c>
      <c r="T15" s="141"/>
      <c r="U15" s="141"/>
      <c r="V15" s="141"/>
      <c r="W15" s="141" t="s">
        <v>55</v>
      </c>
      <c r="X15" s="141"/>
      <c r="Y15" s="62"/>
      <c r="Z15" s="141"/>
      <c r="AA15" s="141" t="s">
        <v>47</v>
      </c>
      <c r="AB15" s="141"/>
      <c r="AC15" s="62"/>
      <c r="AD15" s="141"/>
      <c r="AE15" s="141" t="s">
        <v>56</v>
      </c>
      <c r="AF15" s="141"/>
      <c r="AG15" s="62"/>
      <c r="AH15" s="141"/>
      <c r="AI15" s="141" t="s">
        <v>47</v>
      </c>
      <c r="AJ15" s="141"/>
      <c r="AK15" s="62"/>
      <c r="AL15" s="141"/>
      <c r="AM15" s="141" t="s">
        <v>56</v>
      </c>
      <c r="AN15" s="141"/>
      <c r="AO15" s="62"/>
      <c r="AP15" s="141" t="s">
        <v>57</v>
      </c>
      <c r="AQ15" s="141" t="s">
        <v>58</v>
      </c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142"/>
      <c r="BI15" s="141" t="s">
        <v>59</v>
      </c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117"/>
      <c r="CI15" s="152"/>
      <c r="CJ15" s="152"/>
      <c r="CK15" s="152"/>
      <c r="CM15" s="153"/>
      <c r="CN15" s="154"/>
      <c r="CO15" s="117"/>
      <c r="CP15" s="0"/>
      <c r="CQ15" s="0"/>
      <c r="CR15" s="0"/>
      <c r="CS15" s="0"/>
      <c r="CT15" s="0"/>
      <c r="DJ15" s="126"/>
      <c r="DK15" s="126"/>
      <c r="EA15" s="155" t="s">
        <v>60</v>
      </c>
      <c r="EB15" s="156"/>
      <c r="EC15" s="126"/>
      <c r="ED15" s="126"/>
    </row>
    <row r="16" customFormat="false" ht="12.75" hidden="false" customHeight="false" outlineLevel="0" collapsed="false">
      <c r="A16" s="145" t="n">
        <f aca="false">EOMONTH(A15,0)+1</f>
        <v>46023</v>
      </c>
      <c r="B16" s="135" t="n">
        <f aca="false">'Gas Curves'!C20</f>
        <v>0.0486834265111797</v>
      </c>
      <c r="C16" s="135"/>
      <c r="D16" s="157"/>
      <c r="E16" s="158" t="s">
        <v>61</v>
      </c>
      <c r="F16" s="158" t="s">
        <v>62</v>
      </c>
      <c r="G16" s="159" t="s">
        <v>63</v>
      </c>
      <c r="H16" s="160"/>
      <c r="I16" s="138" t="s">
        <v>61</v>
      </c>
      <c r="J16" s="138" t="s">
        <v>62</v>
      </c>
      <c r="K16" s="138" t="s">
        <v>63</v>
      </c>
      <c r="L16" s="141"/>
      <c r="M16" s="142"/>
      <c r="N16" s="158" t="s">
        <v>61</v>
      </c>
      <c r="O16" s="158" t="s">
        <v>62</v>
      </c>
      <c r="P16" s="159" t="s">
        <v>63</v>
      </c>
      <c r="Q16" s="159"/>
      <c r="R16" s="158" t="s">
        <v>61</v>
      </c>
      <c r="S16" s="158" t="s">
        <v>62</v>
      </c>
      <c r="T16" s="159" t="s">
        <v>63</v>
      </c>
      <c r="U16" s="159"/>
      <c r="V16" s="158" t="s">
        <v>61</v>
      </c>
      <c r="W16" s="158" t="s">
        <v>62</v>
      </c>
      <c r="X16" s="159" t="s">
        <v>63</v>
      </c>
      <c r="Y16" s="62"/>
      <c r="Z16" s="158" t="s">
        <v>61</v>
      </c>
      <c r="AA16" s="158" t="s">
        <v>62</v>
      </c>
      <c r="AB16" s="159" t="s">
        <v>63</v>
      </c>
      <c r="AC16" s="62"/>
      <c r="AD16" s="158" t="s">
        <v>61</v>
      </c>
      <c r="AE16" s="158" t="s">
        <v>62</v>
      </c>
      <c r="AF16" s="159" t="s">
        <v>63</v>
      </c>
      <c r="AG16" s="62"/>
      <c r="AH16" s="158" t="s">
        <v>61</v>
      </c>
      <c r="AI16" s="158" t="s">
        <v>62</v>
      </c>
      <c r="AJ16" s="159" t="s">
        <v>63</v>
      </c>
      <c r="AK16" s="62"/>
      <c r="AL16" s="158" t="s">
        <v>61</v>
      </c>
      <c r="AM16" s="158" t="s">
        <v>62</v>
      </c>
      <c r="AN16" s="159" t="s">
        <v>63</v>
      </c>
      <c r="AO16" s="62"/>
      <c r="AP16" s="141" t="s">
        <v>64</v>
      </c>
      <c r="AQ16" s="141" t="s">
        <v>65</v>
      </c>
      <c r="AR16" s="62"/>
      <c r="AS16" s="141"/>
      <c r="AT16" s="138" t="s">
        <v>66</v>
      </c>
      <c r="AU16" s="138" t="s">
        <v>67</v>
      </c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62"/>
      <c r="BH16" s="142"/>
      <c r="BI16" s="141" t="s">
        <v>68</v>
      </c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117"/>
      <c r="CI16" s="152"/>
      <c r="CJ16" s="152"/>
      <c r="CK16" s="152"/>
      <c r="CM16" s="153"/>
      <c r="CN16" s="154"/>
      <c r="CO16" s="117"/>
      <c r="CP16" s="0"/>
      <c r="CQ16" s="0"/>
      <c r="CR16" s="0"/>
      <c r="CS16" s="0"/>
      <c r="CT16" s="0"/>
      <c r="DA16" s="161" t="s">
        <v>69</v>
      </c>
      <c r="DD16" s="0" t="s">
        <v>70</v>
      </c>
      <c r="DI16" s="161" t="s">
        <v>70</v>
      </c>
      <c r="DJ16" s="162"/>
      <c r="DK16" s="162"/>
      <c r="DN16" s="161" t="s">
        <v>69</v>
      </c>
      <c r="DQ16" s="0" t="s">
        <v>70</v>
      </c>
      <c r="EA16" s="163" t="s">
        <v>71</v>
      </c>
      <c r="EB16" s="164" t="n">
        <v>1</v>
      </c>
      <c r="EC16" s="162"/>
      <c r="ED16" s="162"/>
    </row>
    <row r="17" customFormat="false" ht="13.5" hidden="false" customHeight="false" outlineLevel="0" collapsed="false">
      <c r="A17" s="145" t="n">
        <f aca="false">EOMONTH(A16,0)+1</f>
        <v>46054</v>
      </c>
      <c r="B17" s="135" t="n">
        <f aca="false">'Gas Curves'!C21</f>
        <v>0.0483477293587327</v>
      </c>
      <c r="C17" s="135"/>
      <c r="D17" s="141"/>
      <c r="E17" s="141" t="s">
        <v>72</v>
      </c>
      <c r="F17" s="141" t="s">
        <v>72</v>
      </c>
      <c r="G17" s="141" t="s">
        <v>72</v>
      </c>
      <c r="H17" s="160"/>
      <c r="I17" s="160" t="s">
        <v>72</v>
      </c>
      <c r="J17" s="160" t="s">
        <v>72</v>
      </c>
      <c r="K17" s="160" t="s">
        <v>72</v>
      </c>
      <c r="L17" s="141"/>
      <c r="M17" s="142"/>
      <c r="N17" s="141" t="s">
        <v>72</v>
      </c>
      <c r="O17" s="141" t="s">
        <v>72</v>
      </c>
      <c r="P17" s="141" t="s">
        <v>72</v>
      </c>
      <c r="Q17" s="141"/>
      <c r="R17" s="141" t="s">
        <v>72</v>
      </c>
      <c r="S17" s="141" t="s">
        <v>72</v>
      </c>
      <c r="T17" s="141" t="s">
        <v>72</v>
      </c>
      <c r="U17" s="141"/>
      <c r="V17" s="141" t="s">
        <v>72</v>
      </c>
      <c r="W17" s="141" t="s">
        <v>72</v>
      </c>
      <c r="X17" s="141" t="s">
        <v>72</v>
      </c>
      <c r="Y17" s="62"/>
      <c r="Z17" s="141"/>
      <c r="AA17" s="141"/>
      <c r="AB17" s="141"/>
      <c r="AC17" s="62"/>
      <c r="AD17" s="141"/>
      <c r="AE17" s="141"/>
      <c r="AF17" s="141"/>
      <c r="AG17" s="62"/>
      <c r="AH17" s="141"/>
      <c r="AI17" s="141"/>
      <c r="AJ17" s="141"/>
      <c r="AK17" s="62"/>
      <c r="AL17" s="141"/>
      <c r="AM17" s="141"/>
      <c r="AN17" s="141"/>
      <c r="AO17" s="62"/>
      <c r="AP17" s="62"/>
      <c r="AQ17" s="62"/>
      <c r="AR17" s="62"/>
      <c r="AS17" s="159" t="s">
        <v>47</v>
      </c>
      <c r="AT17" s="165" t="n">
        <v>700</v>
      </c>
      <c r="AU17" s="165" t="n">
        <v>2200</v>
      </c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62"/>
      <c r="BH17" s="14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117"/>
      <c r="CI17" s="166"/>
      <c r="CJ17" s="166"/>
      <c r="CK17" s="166"/>
      <c r="CM17" s="153"/>
      <c r="CN17" s="154"/>
      <c r="CO17" s="167"/>
      <c r="CP17" s="0"/>
      <c r="CQ17" s="0"/>
      <c r="CR17" s="0"/>
      <c r="CS17" s="0"/>
      <c r="CT17" s="0"/>
      <c r="CZ17" s="168" t="s">
        <v>73</v>
      </c>
      <c r="DA17" s="168"/>
      <c r="DB17" s="168"/>
      <c r="DE17" s="0" t="s">
        <v>74</v>
      </c>
      <c r="DI17" s="161" t="s">
        <v>59</v>
      </c>
      <c r="DJ17" s="117"/>
      <c r="DK17" s="117"/>
      <c r="DM17" s="168" t="s">
        <v>73</v>
      </c>
      <c r="DN17" s="168"/>
      <c r="DO17" s="168"/>
      <c r="DR17" s="0" t="s">
        <v>74</v>
      </c>
      <c r="EA17" s="163" t="s">
        <v>75</v>
      </c>
      <c r="EB17" s="164" t="n">
        <v>2</v>
      </c>
      <c r="EC17" s="117"/>
      <c r="ED17" s="117"/>
    </row>
    <row r="18" customFormat="false" ht="13.5" hidden="false" customHeight="false" outlineLevel="0" collapsed="false">
      <c r="A18" s="145" t="n">
        <f aca="false">EOMONTH(A17,0)+1</f>
        <v>46082</v>
      </c>
      <c r="B18" s="135" t="n">
        <f aca="false">'Gas Curves'!C22</f>
        <v>0.0480676030719893</v>
      </c>
      <c r="C18" s="135"/>
      <c r="D18" s="138" t="s">
        <v>19</v>
      </c>
      <c r="E18" s="138"/>
      <c r="F18" s="138"/>
      <c r="G18" s="138"/>
      <c r="H18" s="159"/>
      <c r="I18" s="138"/>
      <c r="J18" s="159"/>
      <c r="K18" s="159"/>
      <c r="L18" s="141"/>
      <c r="M18" s="142" t="s">
        <v>19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169" t="s">
        <v>76</v>
      </c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62"/>
      <c r="BH18" s="142" t="s">
        <v>19</v>
      </c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117"/>
      <c r="CI18" s="166"/>
      <c r="CJ18" s="166"/>
      <c r="CK18" s="166"/>
      <c r="CM18" s="153"/>
      <c r="CN18" s="154"/>
      <c r="CO18" s="167"/>
      <c r="CP18" s="0"/>
      <c r="CQ18" s="0"/>
      <c r="CR18" s="0"/>
      <c r="CS18" s="0"/>
      <c r="CT18" s="0"/>
      <c r="CZ18" s="161" t="s">
        <v>61</v>
      </c>
      <c r="DA18" s="161" t="s">
        <v>62</v>
      </c>
      <c r="DB18" s="161" t="s">
        <v>63</v>
      </c>
      <c r="DD18" s="161" t="s">
        <v>61</v>
      </c>
      <c r="DE18" s="161" t="s">
        <v>62</v>
      </c>
      <c r="DF18" s="161" t="s">
        <v>63</v>
      </c>
      <c r="DJ18" s="117"/>
      <c r="DK18" s="117"/>
      <c r="DM18" s="161" t="s">
        <v>61</v>
      </c>
      <c r="DN18" s="161" t="s">
        <v>62</v>
      </c>
      <c r="DO18" s="161" t="s">
        <v>63</v>
      </c>
      <c r="DQ18" s="161" t="s">
        <v>61</v>
      </c>
      <c r="DR18" s="161" t="s">
        <v>62</v>
      </c>
      <c r="DS18" s="161" t="s">
        <v>63</v>
      </c>
      <c r="DT18" s="62"/>
      <c r="DV18" s="170" t="s">
        <v>77</v>
      </c>
      <c r="DW18" s="171" t="s">
        <v>49</v>
      </c>
      <c r="DX18" s="172" t="n">
        <v>17</v>
      </c>
      <c r="EA18" s="163" t="s">
        <v>78</v>
      </c>
      <c r="EB18" s="164" t="n">
        <v>3</v>
      </c>
      <c r="EC18" s="117"/>
      <c r="ED18" s="117"/>
    </row>
    <row r="19" customFormat="false" ht="12.75" hidden="false" customHeight="false" outlineLevel="0" collapsed="false">
      <c r="A19" s="145" t="n">
        <f aca="false">EOMONTH(A18,0)+1</f>
        <v>46113</v>
      </c>
      <c r="B19" s="135" t="n">
        <f aca="false">'Gas Curves'!C23</f>
        <v>0.0478520271221132</v>
      </c>
      <c r="C19" s="135"/>
      <c r="D19" s="173" t="n">
        <v>37100</v>
      </c>
      <c r="E19" s="174" t="n">
        <v>18.9999980926514</v>
      </c>
      <c r="F19" s="174" t="n">
        <v>22.9999980926514</v>
      </c>
      <c r="G19" s="174" t="n">
        <v>26.9999980926514</v>
      </c>
      <c r="H19" s="159"/>
      <c r="I19" s="174" t="n">
        <v>15</v>
      </c>
      <c r="J19" s="174" t="n">
        <v>15</v>
      </c>
      <c r="K19" s="174" t="n">
        <v>15</v>
      </c>
      <c r="L19" s="141"/>
      <c r="M19" s="142" t="n">
        <v>37043</v>
      </c>
      <c r="N19" s="175" t="n">
        <v>0</v>
      </c>
      <c r="O19" s="175" t="n">
        <v>0</v>
      </c>
      <c r="P19" s="175" t="n">
        <v>0</v>
      </c>
      <c r="Q19" s="62"/>
      <c r="R19" s="175" t="n">
        <v>0</v>
      </c>
      <c r="S19" s="175" t="n">
        <v>0</v>
      </c>
      <c r="T19" s="175" t="n">
        <v>0</v>
      </c>
      <c r="U19" s="62"/>
      <c r="V19" s="175" t="n">
        <v>0</v>
      </c>
      <c r="W19" s="175" t="n">
        <v>0</v>
      </c>
      <c r="X19" s="175" t="n">
        <v>0</v>
      </c>
      <c r="Y19" s="62"/>
      <c r="Z19" s="175" t="n">
        <v>0.52</v>
      </c>
      <c r="AA19" s="175" t="n">
        <v>0.65</v>
      </c>
      <c r="AB19" s="175" t="n">
        <v>0.78</v>
      </c>
      <c r="AC19" s="62"/>
      <c r="AD19" s="175" t="n">
        <v>0.26</v>
      </c>
      <c r="AE19" s="175" t="n">
        <v>0.325</v>
      </c>
      <c r="AF19" s="175" t="n">
        <v>0.39</v>
      </c>
      <c r="AG19" s="62"/>
      <c r="AH19" s="175" t="n">
        <v>1.52</v>
      </c>
      <c r="AI19" s="175" t="n">
        <v>1.9</v>
      </c>
      <c r="AJ19" s="175" t="n">
        <v>2.28</v>
      </c>
      <c r="AK19" s="62"/>
      <c r="AL19" s="175" t="n">
        <v>0.912</v>
      </c>
      <c r="AM19" s="175" t="n">
        <v>1.14</v>
      </c>
      <c r="AN19" s="175" t="n">
        <v>1.368</v>
      </c>
      <c r="AO19" s="62"/>
      <c r="AP19" s="141" t="n">
        <v>1</v>
      </c>
      <c r="AQ19" s="176" t="n">
        <v>0</v>
      </c>
      <c r="AR19" s="62"/>
      <c r="AS19" s="177"/>
      <c r="AT19" s="177" t="s">
        <v>79</v>
      </c>
      <c r="AU19" s="177" t="s">
        <v>80</v>
      </c>
      <c r="AV19" s="177" t="s">
        <v>81</v>
      </c>
      <c r="AW19" s="177" t="s">
        <v>82</v>
      </c>
      <c r="AX19" s="177" t="s">
        <v>83</v>
      </c>
      <c r="AY19" s="177" t="s">
        <v>84</v>
      </c>
      <c r="AZ19" s="177" t="s">
        <v>85</v>
      </c>
      <c r="BA19" s="177" t="s">
        <v>86</v>
      </c>
      <c r="BB19" s="177" t="s">
        <v>87</v>
      </c>
      <c r="BC19" s="177" t="s">
        <v>88</v>
      </c>
      <c r="BD19" s="177" t="s">
        <v>89</v>
      </c>
      <c r="BE19" s="177" t="s">
        <v>90</v>
      </c>
      <c r="BF19" s="177"/>
      <c r="BG19" s="62"/>
      <c r="BH19" s="142" t="n">
        <v>37043</v>
      </c>
      <c r="BI19" s="178" t="n">
        <v>0.75</v>
      </c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117"/>
      <c r="CI19" s="166"/>
      <c r="CJ19" s="166"/>
      <c r="CK19" s="166"/>
      <c r="CM19" s="153"/>
      <c r="CN19" s="154"/>
      <c r="CO19" s="179"/>
      <c r="CP19" s="0"/>
      <c r="CQ19" s="0"/>
      <c r="CR19" s="0"/>
      <c r="CS19" s="0"/>
      <c r="CT19" s="0"/>
      <c r="CY19" s="180" t="n">
        <f aca="false">M19</f>
        <v>37043</v>
      </c>
      <c r="CZ19" s="181" t="n">
        <f aca="false">AH19</f>
        <v>1.52</v>
      </c>
      <c r="DA19" s="181" t="n">
        <f aca="false">AI19</f>
        <v>1.9</v>
      </c>
      <c r="DB19" s="181" t="n">
        <f aca="false">AJ19</f>
        <v>2.28</v>
      </c>
      <c r="DD19" s="181" t="n">
        <f aca="false">Z19</f>
        <v>0.52</v>
      </c>
      <c r="DE19" s="181" t="n">
        <f aca="false">AA19</f>
        <v>0.65</v>
      </c>
      <c r="DF19" s="181" t="n">
        <f aca="false">AB19</f>
        <v>0.78</v>
      </c>
      <c r="DH19" s="180" t="n">
        <f aca="false">BH19</f>
        <v>37043</v>
      </c>
      <c r="DI19" s="135" t="n">
        <f aca="false">BI19</f>
        <v>0.75</v>
      </c>
      <c r="DJ19" s="117"/>
      <c r="DK19" s="117"/>
      <c r="DL19" s="180" t="n">
        <f aca="false">M19</f>
        <v>37043</v>
      </c>
      <c r="DM19" s="181" t="n">
        <f aca="false">AL19</f>
        <v>0.912</v>
      </c>
      <c r="DN19" s="181" t="n">
        <f aca="false">AM19</f>
        <v>1.14</v>
      </c>
      <c r="DO19" s="181" t="n">
        <f aca="false">AN19</f>
        <v>1.368</v>
      </c>
      <c r="DQ19" s="181" t="n">
        <f aca="false">AD19</f>
        <v>0.26</v>
      </c>
      <c r="DR19" s="181" t="n">
        <f aca="false">AE19</f>
        <v>0.325</v>
      </c>
      <c r="DS19" s="181" t="n">
        <f aca="false">AF19</f>
        <v>0.39</v>
      </c>
      <c r="DT19" s="182"/>
      <c r="DU19" s="0" t="n">
        <v>1</v>
      </c>
      <c r="DV19" s="183" t="s">
        <v>91</v>
      </c>
      <c r="DW19" s="184" t="s">
        <v>92</v>
      </c>
      <c r="DX19" s="185" t="s">
        <v>93</v>
      </c>
      <c r="EA19" s="163" t="s">
        <v>94</v>
      </c>
      <c r="EB19" s="164" t="n">
        <v>4</v>
      </c>
      <c r="EC19" s="117"/>
      <c r="ED19" s="117"/>
    </row>
    <row r="20" customFormat="false" ht="12.75" hidden="false" customHeight="false" outlineLevel="0" collapsed="false">
      <c r="A20" s="145" t="n">
        <f aca="false">EOMONTH(A19,0)+1</f>
        <v>46143</v>
      </c>
      <c r="B20" s="135" t="n">
        <f aca="false">'Gas Curves'!C24</f>
        <v>0.0476434052499264</v>
      </c>
      <c r="C20" s="135"/>
      <c r="D20" s="173" t="n">
        <v>37101</v>
      </c>
      <c r="E20" s="174" t="n">
        <v>18.9999961853027</v>
      </c>
      <c r="F20" s="174" t="n">
        <v>22.9999961853027</v>
      </c>
      <c r="G20" s="174" t="n">
        <v>26.9999961853027</v>
      </c>
      <c r="H20" s="159"/>
      <c r="I20" s="174" t="n">
        <v>15</v>
      </c>
      <c r="J20" s="174" t="n">
        <v>15</v>
      </c>
      <c r="K20" s="174" t="n">
        <v>15</v>
      </c>
      <c r="L20" s="141"/>
      <c r="M20" s="142" t="n">
        <v>37073</v>
      </c>
      <c r="N20" s="175" t="n">
        <v>0</v>
      </c>
      <c r="O20" s="175" t="n">
        <v>0</v>
      </c>
      <c r="P20" s="175" t="n">
        <v>0</v>
      </c>
      <c r="Q20" s="62"/>
      <c r="R20" s="175" t="n">
        <v>0</v>
      </c>
      <c r="S20" s="175" t="n">
        <v>0</v>
      </c>
      <c r="T20" s="175" t="n">
        <v>0</v>
      </c>
      <c r="U20" s="62"/>
      <c r="V20" s="175" t="n">
        <v>0</v>
      </c>
      <c r="W20" s="175" t="n">
        <v>0</v>
      </c>
      <c r="X20" s="175" t="n">
        <v>0</v>
      </c>
      <c r="Y20" s="62"/>
      <c r="Z20" s="175" t="n">
        <v>0.6</v>
      </c>
      <c r="AA20" s="175" t="n">
        <v>0.75</v>
      </c>
      <c r="AB20" s="175" t="n">
        <v>0.9</v>
      </c>
      <c r="AC20" s="62"/>
      <c r="AD20" s="175" t="n">
        <v>0.3</v>
      </c>
      <c r="AE20" s="175" t="n">
        <v>0.375</v>
      </c>
      <c r="AF20" s="175" t="n">
        <v>0.45</v>
      </c>
      <c r="AG20" s="62"/>
      <c r="AH20" s="175" t="n">
        <v>1.96</v>
      </c>
      <c r="AI20" s="175" t="n">
        <v>2.45</v>
      </c>
      <c r="AJ20" s="175" t="n">
        <v>2.94</v>
      </c>
      <c r="AK20" s="62"/>
      <c r="AL20" s="175" t="n">
        <v>1.176</v>
      </c>
      <c r="AM20" s="175" t="n">
        <v>1.47</v>
      </c>
      <c r="AN20" s="175" t="n">
        <v>1.764</v>
      </c>
      <c r="AO20" s="62"/>
      <c r="AP20" s="141" t="n">
        <v>1</v>
      </c>
      <c r="AQ20" s="176" t="n">
        <v>0</v>
      </c>
      <c r="AR20" s="62"/>
      <c r="AS20" s="159" t="s">
        <v>95</v>
      </c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 t="s">
        <v>96</v>
      </c>
      <c r="BG20" s="62"/>
      <c r="BH20" s="142" t="n">
        <v>37073</v>
      </c>
      <c r="BI20" s="178" t="n">
        <v>0.75</v>
      </c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148"/>
      <c r="CI20" s="166"/>
      <c r="CJ20" s="166"/>
      <c r="CK20" s="166"/>
      <c r="CM20" s="153"/>
      <c r="CN20" s="154"/>
      <c r="CO20" s="179"/>
      <c r="CP20" s="0"/>
      <c r="CQ20" s="0"/>
      <c r="CR20" s="0"/>
      <c r="CS20" s="0"/>
      <c r="CT20" s="0"/>
      <c r="CY20" s="180" t="n">
        <f aca="false">M20</f>
        <v>37073</v>
      </c>
      <c r="CZ20" s="181" t="n">
        <f aca="false">AH20</f>
        <v>1.96</v>
      </c>
      <c r="DA20" s="181" t="n">
        <f aca="false">AI20</f>
        <v>2.45</v>
      </c>
      <c r="DB20" s="181" t="n">
        <f aca="false">AJ20</f>
        <v>2.94</v>
      </c>
      <c r="DD20" s="181" t="n">
        <f aca="false">Z20</f>
        <v>0.6</v>
      </c>
      <c r="DE20" s="181" t="n">
        <f aca="false">AA20</f>
        <v>0.75</v>
      </c>
      <c r="DF20" s="181" t="n">
        <f aca="false">AB20</f>
        <v>0.9</v>
      </c>
      <c r="DH20" s="180" t="n">
        <f aca="false">BH20</f>
        <v>37073</v>
      </c>
      <c r="DI20" s="135" t="n">
        <f aca="false">BI20</f>
        <v>0.75</v>
      </c>
      <c r="DJ20" s="162"/>
      <c r="DK20" s="162"/>
      <c r="DL20" s="180" t="n">
        <f aca="false">M20</f>
        <v>37073</v>
      </c>
      <c r="DM20" s="181" t="n">
        <f aca="false">AL20</f>
        <v>1.176</v>
      </c>
      <c r="DN20" s="181" t="n">
        <f aca="false">AM20</f>
        <v>1.47</v>
      </c>
      <c r="DO20" s="181" t="n">
        <f aca="false">AN20</f>
        <v>1.764</v>
      </c>
      <c r="DQ20" s="181" t="n">
        <f aca="false">AD20</f>
        <v>0.3</v>
      </c>
      <c r="DR20" s="181" t="n">
        <f aca="false">AE20</f>
        <v>0.375</v>
      </c>
      <c r="DS20" s="181" t="n">
        <f aca="false">AF20</f>
        <v>0.45</v>
      </c>
      <c r="DT20" s="73"/>
      <c r="DU20" s="0" t="n">
        <v>2</v>
      </c>
      <c r="DV20" s="186" t="s">
        <v>97</v>
      </c>
      <c r="DW20" s="187" t="s">
        <v>98</v>
      </c>
      <c r="DX20" s="188" t="s">
        <v>99</v>
      </c>
      <c r="EA20" s="163" t="s">
        <v>100</v>
      </c>
      <c r="EB20" s="164" t="n">
        <v>5</v>
      </c>
      <c r="EC20" s="162"/>
      <c r="ED20" s="162"/>
    </row>
    <row r="21" customFormat="false" ht="12.75" hidden="false" customHeight="false" outlineLevel="0" collapsed="false">
      <c r="A21" s="145" t="n">
        <f aca="false">EOMONTH(A20,0)+1</f>
        <v>46174</v>
      </c>
      <c r="B21" s="135" t="n">
        <f aca="false">'Gas Curves'!C25</f>
        <v>0.0475583776716388</v>
      </c>
      <c r="C21" s="135"/>
      <c r="D21" s="173" t="n">
        <v>37102</v>
      </c>
      <c r="E21" s="174" t="n">
        <v>39.8499961853027</v>
      </c>
      <c r="F21" s="174" t="n">
        <v>43.8499961853027</v>
      </c>
      <c r="G21" s="174" t="n">
        <v>47.8499961853027</v>
      </c>
      <c r="H21" s="159"/>
      <c r="I21" s="174" t="n">
        <v>16</v>
      </c>
      <c r="J21" s="174" t="n">
        <v>16</v>
      </c>
      <c r="K21" s="174" t="n">
        <v>16</v>
      </c>
      <c r="L21" s="141"/>
      <c r="M21" s="142" t="n">
        <v>37104</v>
      </c>
      <c r="N21" s="175" t="n">
        <v>18.7500038146973</v>
      </c>
      <c r="O21" s="175" t="n">
        <v>18.7500038146973</v>
      </c>
      <c r="P21" s="175" t="n">
        <v>18.7500038146973</v>
      </c>
      <c r="Q21" s="62"/>
      <c r="R21" s="175" t="n">
        <v>18.75</v>
      </c>
      <c r="S21" s="175" t="n">
        <v>18.75</v>
      </c>
      <c r="T21" s="175" t="n">
        <v>18.75</v>
      </c>
      <c r="U21" s="62"/>
      <c r="V21" s="175" t="n">
        <v>0</v>
      </c>
      <c r="W21" s="175" t="n">
        <v>0</v>
      </c>
      <c r="X21" s="175" t="n">
        <v>0</v>
      </c>
      <c r="Y21" s="62"/>
      <c r="Z21" s="175" t="n">
        <v>0.6</v>
      </c>
      <c r="AA21" s="175" t="n">
        <v>0.75</v>
      </c>
      <c r="AB21" s="175" t="n">
        <v>0.9</v>
      </c>
      <c r="AC21" s="62"/>
      <c r="AD21" s="175" t="n">
        <v>0.3</v>
      </c>
      <c r="AE21" s="175" t="n">
        <v>0.375</v>
      </c>
      <c r="AF21" s="175" t="n">
        <v>0.45</v>
      </c>
      <c r="AG21" s="62"/>
      <c r="AH21" s="175" t="n">
        <v>1.8</v>
      </c>
      <c r="AI21" s="175" t="n">
        <v>2.25</v>
      </c>
      <c r="AJ21" s="175" t="n">
        <v>2.7</v>
      </c>
      <c r="AK21" s="62"/>
      <c r="AL21" s="175" t="n">
        <v>1.08</v>
      </c>
      <c r="AM21" s="175" t="n">
        <v>1.35</v>
      </c>
      <c r="AN21" s="175" t="n">
        <v>1.62</v>
      </c>
      <c r="AO21" s="62"/>
      <c r="AP21" s="141" t="n">
        <v>1</v>
      </c>
      <c r="AQ21" s="176" t="n">
        <v>0</v>
      </c>
      <c r="AR21" s="62"/>
      <c r="AS21" s="141" t="n">
        <v>100</v>
      </c>
      <c r="AT21" s="189" t="n">
        <v>0.95</v>
      </c>
      <c r="AU21" s="189" t="n">
        <v>0.95</v>
      </c>
      <c r="AV21" s="189" t="n">
        <v>0.970407745105669</v>
      </c>
      <c r="AW21" s="189" t="n">
        <v>0.995812581084143</v>
      </c>
      <c r="AX21" s="189" t="n">
        <v>0.934833865798727</v>
      </c>
      <c r="AY21" s="189" t="n">
        <v>1.02</v>
      </c>
      <c r="AZ21" s="189" t="n">
        <v>1.10934059893359</v>
      </c>
      <c r="BA21" s="189" t="n">
        <v>1.10934059893359</v>
      </c>
      <c r="BB21" s="189" t="n">
        <v>1.02</v>
      </c>
      <c r="BC21" s="189" t="n">
        <v>0.995812581084143</v>
      </c>
      <c r="BD21" s="189" t="n">
        <v>0.976</v>
      </c>
      <c r="BE21" s="189" t="n">
        <v>0.976</v>
      </c>
      <c r="BF21" s="141" t="s">
        <v>101</v>
      </c>
      <c r="BG21" s="62"/>
      <c r="BH21" s="142" t="n">
        <v>37104</v>
      </c>
      <c r="BI21" s="178" t="n">
        <v>0.75</v>
      </c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166"/>
      <c r="CI21" s="166"/>
      <c r="CJ21" s="166"/>
      <c r="CK21" s="166"/>
      <c r="CM21" s="153"/>
      <c r="CN21" s="154"/>
      <c r="CO21" s="179"/>
      <c r="CP21" s="0"/>
      <c r="CQ21" s="0"/>
      <c r="CR21" s="0"/>
      <c r="CS21" s="0"/>
      <c r="CT21" s="0"/>
      <c r="CY21" s="180" t="n">
        <f aca="false">M21</f>
        <v>37104</v>
      </c>
      <c r="CZ21" s="181" t="n">
        <f aca="false">AH21</f>
        <v>1.8</v>
      </c>
      <c r="DA21" s="181" t="n">
        <f aca="false">AI21</f>
        <v>2.25</v>
      </c>
      <c r="DB21" s="181" t="n">
        <f aca="false">AJ21</f>
        <v>2.7</v>
      </c>
      <c r="DD21" s="181" t="n">
        <f aca="false">Z21</f>
        <v>0.6</v>
      </c>
      <c r="DE21" s="181" t="n">
        <f aca="false">AA21</f>
        <v>0.75</v>
      </c>
      <c r="DF21" s="181" t="n">
        <f aca="false">AB21</f>
        <v>0.9</v>
      </c>
      <c r="DH21" s="180" t="n">
        <f aca="false">BH21</f>
        <v>37104</v>
      </c>
      <c r="DI21" s="135" t="n">
        <f aca="false">BI21</f>
        <v>0.75</v>
      </c>
      <c r="DJ21" s="117"/>
      <c r="DK21" s="117"/>
      <c r="DL21" s="180" t="n">
        <f aca="false">M21</f>
        <v>37104</v>
      </c>
      <c r="DM21" s="181" t="n">
        <f aca="false">AL21</f>
        <v>1.08</v>
      </c>
      <c r="DN21" s="181" t="n">
        <f aca="false">AM21</f>
        <v>1.35</v>
      </c>
      <c r="DO21" s="181" t="n">
        <f aca="false">AN21</f>
        <v>1.62</v>
      </c>
      <c r="DQ21" s="181" t="n">
        <f aca="false">AD21</f>
        <v>0.3</v>
      </c>
      <c r="DR21" s="181" t="n">
        <f aca="false">AE21</f>
        <v>0.375</v>
      </c>
      <c r="DS21" s="181" t="n">
        <f aca="false">AF21</f>
        <v>0.45</v>
      </c>
      <c r="DT21" s="73"/>
      <c r="DU21" s="0" t="n">
        <v>3</v>
      </c>
      <c r="DV21" s="186" t="s">
        <v>102</v>
      </c>
      <c r="DW21" s="187" t="s">
        <v>103</v>
      </c>
      <c r="DX21" s="188" t="s">
        <v>104</v>
      </c>
      <c r="EA21" s="163" t="s">
        <v>105</v>
      </c>
      <c r="EB21" s="164" t="n">
        <v>6</v>
      </c>
      <c r="EC21" s="117"/>
      <c r="ED21" s="117"/>
    </row>
    <row r="22" customFormat="false" ht="12.75" hidden="false" customHeight="false" outlineLevel="0" collapsed="false">
      <c r="A22" s="190" t="n">
        <f aca="false">EOMONTH(A21,0)+1</f>
        <v>46204</v>
      </c>
      <c r="B22" s="191" t="n">
        <f aca="false">'Gas Curves'!C26</f>
        <v>0.0476541093414511</v>
      </c>
      <c r="C22" s="191"/>
      <c r="D22" s="173" t="n">
        <v>37103</v>
      </c>
      <c r="E22" s="174" t="n">
        <v>53.0033264160156</v>
      </c>
      <c r="F22" s="174" t="n">
        <v>57.0033264160156</v>
      </c>
      <c r="G22" s="174" t="n">
        <v>61.0033264160156</v>
      </c>
      <c r="H22" s="159"/>
      <c r="I22" s="174" t="n">
        <v>16</v>
      </c>
      <c r="J22" s="174" t="n">
        <v>16</v>
      </c>
      <c r="K22" s="174" t="n">
        <v>16</v>
      </c>
      <c r="L22" s="141"/>
      <c r="M22" s="142" t="n">
        <v>37135</v>
      </c>
      <c r="N22" s="175" t="n">
        <v>22</v>
      </c>
      <c r="O22" s="175" t="n">
        <v>22</v>
      </c>
      <c r="P22" s="175" t="n">
        <v>22</v>
      </c>
      <c r="Q22" s="62"/>
      <c r="R22" s="175" t="n">
        <v>22</v>
      </c>
      <c r="S22" s="175" t="n">
        <v>22</v>
      </c>
      <c r="T22" s="175" t="n">
        <v>22</v>
      </c>
      <c r="U22" s="62"/>
      <c r="V22" s="175" t="n">
        <v>0</v>
      </c>
      <c r="W22" s="175" t="n">
        <v>0</v>
      </c>
      <c r="X22" s="175" t="n">
        <v>0</v>
      </c>
      <c r="Y22" s="62"/>
      <c r="Z22" s="175" t="n">
        <v>0.416</v>
      </c>
      <c r="AA22" s="175" t="n">
        <v>0.52</v>
      </c>
      <c r="AB22" s="175" t="n">
        <v>0.624</v>
      </c>
      <c r="AC22" s="62"/>
      <c r="AD22" s="175" t="n">
        <v>0.208</v>
      </c>
      <c r="AE22" s="175" t="n">
        <v>0.26</v>
      </c>
      <c r="AF22" s="175" t="n">
        <v>0.312</v>
      </c>
      <c r="AG22" s="62"/>
      <c r="AH22" s="175" t="n">
        <v>0.72</v>
      </c>
      <c r="AI22" s="175" t="n">
        <v>0.9</v>
      </c>
      <c r="AJ22" s="175" t="n">
        <v>1.08</v>
      </c>
      <c r="AK22" s="62"/>
      <c r="AL22" s="175" t="n">
        <v>0.432</v>
      </c>
      <c r="AM22" s="175" t="n">
        <v>0.54</v>
      </c>
      <c r="AN22" s="175" t="n">
        <v>0.648</v>
      </c>
      <c r="AO22" s="62"/>
      <c r="AP22" s="141" t="n">
        <v>2</v>
      </c>
      <c r="AQ22" s="176" t="n">
        <v>0</v>
      </c>
      <c r="AR22" s="62"/>
      <c r="AS22" s="141" t="n">
        <v>200</v>
      </c>
      <c r="AT22" s="189" t="n">
        <v>0.9</v>
      </c>
      <c r="AU22" s="189" t="n">
        <v>0.9</v>
      </c>
      <c r="AV22" s="189" t="n">
        <v>0.934329009710238</v>
      </c>
      <c r="AW22" s="189" t="n">
        <v>0.867490109934275</v>
      </c>
      <c r="AX22" s="189" t="n">
        <v>0.93</v>
      </c>
      <c r="AY22" s="189" t="n">
        <v>0.95</v>
      </c>
      <c r="AZ22" s="189" t="n">
        <v>0.940393910647401</v>
      </c>
      <c r="BA22" s="189" t="n">
        <v>0.940393910647401</v>
      </c>
      <c r="BB22" s="189" t="n">
        <v>0.95</v>
      </c>
      <c r="BC22" s="189" t="n">
        <v>0.867490109934275</v>
      </c>
      <c r="BD22" s="189" t="n">
        <v>0.9</v>
      </c>
      <c r="BE22" s="189" t="n">
        <v>0.9</v>
      </c>
      <c r="BF22" s="141" t="s">
        <v>101</v>
      </c>
      <c r="BG22" s="62"/>
      <c r="BH22" s="142" t="n">
        <v>37135</v>
      </c>
      <c r="BI22" s="178" t="n">
        <v>0.75</v>
      </c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192"/>
      <c r="CI22" s="192"/>
      <c r="CJ22" s="192"/>
      <c r="CK22" s="192"/>
      <c r="CL22" s="193"/>
      <c r="CM22" s="194"/>
      <c r="CN22" s="195"/>
      <c r="CO22" s="196"/>
      <c r="CP22" s="197"/>
      <c r="CQ22" s="197"/>
      <c r="CR22" s="197"/>
      <c r="CS22" s="197"/>
      <c r="CT22" s="197"/>
      <c r="CU22" s="198"/>
      <c r="CV22" s="197"/>
      <c r="CW22" s="197"/>
      <c r="CX22" s="197"/>
      <c r="CY22" s="199" t="n">
        <f aca="false">M22</f>
        <v>37135</v>
      </c>
      <c r="CZ22" s="181" t="n">
        <f aca="false">AH22</f>
        <v>0.72</v>
      </c>
      <c r="DA22" s="181" t="n">
        <f aca="false">AI22</f>
        <v>0.9</v>
      </c>
      <c r="DB22" s="181" t="n">
        <f aca="false">AJ22</f>
        <v>1.08</v>
      </c>
      <c r="DC22" s="197"/>
      <c r="DD22" s="200" t="n">
        <f aca="false">Z22</f>
        <v>0.416</v>
      </c>
      <c r="DE22" s="200" t="n">
        <f aca="false">AA22</f>
        <v>0.52</v>
      </c>
      <c r="DF22" s="200" t="n">
        <f aca="false">AB22</f>
        <v>0.624</v>
      </c>
      <c r="DG22" s="197"/>
      <c r="DH22" s="199" t="n">
        <f aca="false">BH22</f>
        <v>37135</v>
      </c>
      <c r="DI22" s="191" t="n">
        <f aca="false">BI22</f>
        <v>0.75</v>
      </c>
      <c r="DJ22" s="201"/>
      <c r="DK22" s="201"/>
      <c r="DL22" s="180" t="n">
        <f aca="false">M22</f>
        <v>37135</v>
      </c>
      <c r="DM22" s="181" t="n">
        <f aca="false">AL22</f>
        <v>0.432</v>
      </c>
      <c r="DN22" s="181" t="n">
        <f aca="false">AM22</f>
        <v>0.54</v>
      </c>
      <c r="DO22" s="181" t="n">
        <f aca="false">AN22</f>
        <v>0.648</v>
      </c>
      <c r="DP22" s="197"/>
      <c r="DQ22" s="181" t="n">
        <f aca="false">AD22</f>
        <v>0.208</v>
      </c>
      <c r="DR22" s="181" t="n">
        <f aca="false">AE22</f>
        <v>0.26</v>
      </c>
      <c r="DS22" s="181" t="n">
        <f aca="false">AF22</f>
        <v>0.312</v>
      </c>
      <c r="DT22" s="202"/>
      <c r="DU22" s="197" t="n">
        <v>4</v>
      </c>
      <c r="DV22" s="203" t="s">
        <v>106</v>
      </c>
      <c r="DW22" s="204" t="s">
        <v>107</v>
      </c>
      <c r="DX22" s="205" t="s">
        <v>108</v>
      </c>
      <c r="DY22" s="197"/>
      <c r="DZ22" s="197"/>
      <c r="EA22" s="206" t="s">
        <v>109</v>
      </c>
      <c r="EB22" s="207" t="n">
        <v>7</v>
      </c>
      <c r="EC22" s="201"/>
      <c r="ED22" s="201"/>
    </row>
    <row r="23" customFormat="false" ht="12.75" hidden="false" customHeight="false" outlineLevel="0" collapsed="false">
      <c r="A23" s="145" t="n">
        <f aca="false">EOMONTH(A22,0)+1</f>
        <v>46235</v>
      </c>
      <c r="B23" s="135" t="n">
        <f aca="false">'Gas Curves'!C27</f>
        <v>0.0477405766587533</v>
      </c>
      <c r="C23" s="135"/>
      <c r="D23" s="173" t="n">
        <v>37104</v>
      </c>
      <c r="E23" s="174" t="n">
        <v>90</v>
      </c>
      <c r="F23" s="174" t="n">
        <v>94</v>
      </c>
      <c r="G23" s="174" t="n">
        <v>98</v>
      </c>
      <c r="H23" s="159"/>
      <c r="I23" s="174" t="n">
        <v>18</v>
      </c>
      <c r="J23" s="174" t="n">
        <v>18</v>
      </c>
      <c r="K23" s="174" t="n">
        <v>18</v>
      </c>
      <c r="L23" s="141"/>
      <c r="M23" s="142" t="n">
        <v>37165</v>
      </c>
      <c r="N23" s="175" t="n">
        <v>26.746000289917</v>
      </c>
      <c r="O23" s="175" t="n">
        <v>26.746000289917</v>
      </c>
      <c r="P23" s="175" t="n">
        <v>26.746000289917</v>
      </c>
      <c r="Q23" s="62"/>
      <c r="R23" s="175" t="n">
        <v>26.7465000152588</v>
      </c>
      <c r="S23" s="175" t="n">
        <v>26.7465000152588</v>
      </c>
      <c r="T23" s="175" t="n">
        <v>26.7465000152588</v>
      </c>
      <c r="U23" s="62"/>
      <c r="V23" s="175" t="n">
        <v>0</v>
      </c>
      <c r="W23" s="175" t="n">
        <v>0</v>
      </c>
      <c r="X23" s="175" t="n">
        <v>0</v>
      </c>
      <c r="Y23" s="62"/>
      <c r="Z23" s="175" t="n">
        <v>0.344</v>
      </c>
      <c r="AA23" s="175" t="n">
        <v>0.43</v>
      </c>
      <c r="AB23" s="175" t="n">
        <v>0.516</v>
      </c>
      <c r="AC23" s="62"/>
      <c r="AD23" s="175" t="n">
        <v>0.172</v>
      </c>
      <c r="AE23" s="175" t="n">
        <v>0.215</v>
      </c>
      <c r="AF23" s="175" t="n">
        <v>0.258</v>
      </c>
      <c r="AG23" s="62"/>
      <c r="AH23" s="175" t="n">
        <v>0.576</v>
      </c>
      <c r="AI23" s="175" t="n">
        <v>0.72</v>
      </c>
      <c r="AJ23" s="175" t="n">
        <v>0.864</v>
      </c>
      <c r="AK23" s="62"/>
      <c r="AL23" s="175" t="n">
        <v>0.3456</v>
      </c>
      <c r="AM23" s="175" t="n">
        <v>0.432</v>
      </c>
      <c r="AN23" s="175" t="n">
        <v>0.5184</v>
      </c>
      <c r="AO23" s="62"/>
      <c r="AP23" s="141" t="n">
        <v>2</v>
      </c>
      <c r="AQ23" s="176" t="n">
        <v>0</v>
      </c>
      <c r="AR23" s="62"/>
      <c r="AS23" s="141" t="n">
        <v>300</v>
      </c>
      <c r="AT23" s="189" t="n">
        <v>0.9</v>
      </c>
      <c r="AU23" s="189" t="n">
        <v>0.9</v>
      </c>
      <c r="AV23" s="189" t="n">
        <v>0.931716331023903</v>
      </c>
      <c r="AW23" s="189" t="n">
        <v>0.829968217715179</v>
      </c>
      <c r="AX23" s="189" t="n">
        <v>0.93</v>
      </c>
      <c r="AY23" s="189" t="n">
        <v>0.9</v>
      </c>
      <c r="AZ23" s="189" t="n">
        <v>0.833717786208317</v>
      </c>
      <c r="BA23" s="189" t="n">
        <v>0.833717786208317</v>
      </c>
      <c r="BB23" s="189" t="n">
        <v>0.9</v>
      </c>
      <c r="BC23" s="189" t="n">
        <v>0.829968217715179</v>
      </c>
      <c r="BD23" s="189" t="n">
        <v>0.9</v>
      </c>
      <c r="BE23" s="189" t="n">
        <v>0.9</v>
      </c>
      <c r="BF23" s="141" t="s">
        <v>101</v>
      </c>
      <c r="BG23" s="62"/>
      <c r="BH23" s="142" t="n">
        <v>37165</v>
      </c>
      <c r="BI23" s="178" t="n">
        <v>0.75</v>
      </c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166"/>
      <c r="CI23" s="166"/>
      <c r="CJ23" s="166"/>
      <c r="CK23" s="166"/>
      <c r="CM23" s="153"/>
      <c r="CN23" s="154"/>
      <c r="CO23" s="179"/>
      <c r="CP23" s="0"/>
      <c r="CQ23" s="0"/>
      <c r="CR23" s="0"/>
      <c r="CS23" s="0"/>
      <c r="CT23" s="0"/>
      <c r="CY23" s="180" t="n">
        <f aca="false">M23</f>
        <v>37165</v>
      </c>
      <c r="CZ23" s="181" t="n">
        <f aca="false">AH23</f>
        <v>0.576</v>
      </c>
      <c r="DA23" s="181" t="n">
        <f aca="false">AI23</f>
        <v>0.72</v>
      </c>
      <c r="DB23" s="181" t="n">
        <f aca="false">AJ23</f>
        <v>0.864</v>
      </c>
      <c r="DD23" s="181" t="n">
        <f aca="false">Z23</f>
        <v>0.344</v>
      </c>
      <c r="DE23" s="181" t="n">
        <f aca="false">AA23</f>
        <v>0.43</v>
      </c>
      <c r="DF23" s="181" t="n">
        <f aca="false">AB23</f>
        <v>0.516</v>
      </c>
      <c r="DH23" s="180" t="n">
        <f aca="false">BH23</f>
        <v>37165</v>
      </c>
      <c r="DI23" s="135" t="n">
        <f aca="false">BI23</f>
        <v>0.75</v>
      </c>
      <c r="DJ23" s="117"/>
      <c r="DK23" s="117"/>
      <c r="DL23" s="180" t="n">
        <f aca="false">M23</f>
        <v>37165</v>
      </c>
      <c r="DM23" s="181" t="n">
        <f aca="false">AL23</f>
        <v>0.3456</v>
      </c>
      <c r="DN23" s="181" t="n">
        <f aca="false">AM23</f>
        <v>0.432</v>
      </c>
      <c r="DO23" s="181" t="n">
        <f aca="false">AN23</f>
        <v>0.5184</v>
      </c>
      <c r="DQ23" s="181" t="n">
        <f aca="false">AD23</f>
        <v>0.172</v>
      </c>
      <c r="DR23" s="181" t="n">
        <f aca="false">AE23</f>
        <v>0.215</v>
      </c>
      <c r="DS23" s="181" t="n">
        <f aca="false">AF23</f>
        <v>0.258</v>
      </c>
      <c r="DT23" s="73"/>
      <c r="DU23" s="0" t="n">
        <v>5</v>
      </c>
      <c r="DV23" s="186"/>
      <c r="DW23" s="187" t="s">
        <v>110</v>
      </c>
      <c r="DX23" s="188" t="s">
        <v>111</v>
      </c>
      <c r="EA23" s="163" t="s">
        <v>112</v>
      </c>
      <c r="EB23" s="164" t="n">
        <v>8</v>
      </c>
      <c r="EC23" s="117"/>
      <c r="ED23" s="117"/>
    </row>
    <row r="24" customFormat="false" ht="12.75" hidden="false" customHeight="false" outlineLevel="0" collapsed="false">
      <c r="A24" s="145" t="n">
        <f aca="false">EOMONTH(A23,0)+1</f>
        <v>46266</v>
      </c>
      <c r="B24" s="135" t="n">
        <f aca="false">'Gas Curves'!C28</f>
        <v>0.0478472107107</v>
      </c>
      <c r="C24" s="135"/>
      <c r="D24" s="173" t="n">
        <v>37105</v>
      </c>
      <c r="E24" s="174" t="n">
        <v>90</v>
      </c>
      <c r="F24" s="174" t="n">
        <v>94</v>
      </c>
      <c r="G24" s="174" t="n">
        <v>98</v>
      </c>
      <c r="H24" s="159"/>
      <c r="I24" s="174" t="n">
        <v>18</v>
      </c>
      <c r="J24" s="174" t="n">
        <v>18</v>
      </c>
      <c r="K24" s="174" t="n">
        <v>18</v>
      </c>
      <c r="L24" s="141"/>
      <c r="M24" s="142" t="n">
        <v>37196</v>
      </c>
      <c r="N24" s="175" t="n">
        <v>31</v>
      </c>
      <c r="O24" s="175" t="n">
        <v>31</v>
      </c>
      <c r="P24" s="175" t="n">
        <v>31</v>
      </c>
      <c r="Q24" s="62"/>
      <c r="R24" s="175" t="n">
        <v>31</v>
      </c>
      <c r="S24" s="175" t="n">
        <v>31</v>
      </c>
      <c r="T24" s="175" t="n">
        <v>31</v>
      </c>
      <c r="U24" s="62"/>
      <c r="V24" s="175" t="n">
        <v>0</v>
      </c>
      <c r="W24" s="175" t="n">
        <v>0</v>
      </c>
      <c r="X24" s="175" t="n">
        <v>0</v>
      </c>
      <c r="Y24" s="62"/>
      <c r="Z24" s="175" t="n">
        <v>0.328</v>
      </c>
      <c r="AA24" s="175" t="n">
        <v>0.41</v>
      </c>
      <c r="AB24" s="175" t="n">
        <v>0.492</v>
      </c>
      <c r="AC24" s="62"/>
      <c r="AD24" s="175" t="n">
        <v>0.164</v>
      </c>
      <c r="AE24" s="175" t="n">
        <v>0.205</v>
      </c>
      <c r="AF24" s="175" t="n">
        <v>0.246</v>
      </c>
      <c r="AG24" s="62"/>
      <c r="AH24" s="175" t="n">
        <v>0.576</v>
      </c>
      <c r="AI24" s="175" t="n">
        <v>0.72</v>
      </c>
      <c r="AJ24" s="175" t="n">
        <v>0.864</v>
      </c>
      <c r="AK24" s="62"/>
      <c r="AL24" s="175" t="n">
        <v>0.3456</v>
      </c>
      <c r="AM24" s="175" t="n">
        <v>0.432</v>
      </c>
      <c r="AN24" s="175" t="n">
        <v>0.5184</v>
      </c>
      <c r="AO24" s="62"/>
      <c r="AP24" s="141" t="n">
        <v>2</v>
      </c>
      <c r="AQ24" s="176" t="n">
        <v>0</v>
      </c>
      <c r="AR24" s="62"/>
      <c r="AS24" s="141" t="n">
        <v>400</v>
      </c>
      <c r="AT24" s="189" t="n">
        <v>0.9</v>
      </c>
      <c r="AU24" s="189" t="n">
        <v>0.9</v>
      </c>
      <c r="AV24" s="189" t="n">
        <v>0.931716331023903</v>
      </c>
      <c r="AW24" s="189" t="n">
        <v>0.829968217715179</v>
      </c>
      <c r="AX24" s="189" t="n">
        <v>0.936</v>
      </c>
      <c r="AY24" s="189" t="n">
        <v>0.85</v>
      </c>
      <c r="AZ24" s="189" t="n">
        <v>0.795557301903125</v>
      </c>
      <c r="BA24" s="189" t="n">
        <v>0.795557301903125</v>
      </c>
      <c r="BB24" s="189" t="n">
        <v>0.85</v>
      </c>
      <c r="BC24" s="189" t="n">
        <v>0.829968217715179</v>
      </c>
      <c r="BD24" s="189" t="n">
        <v>0.9</v>
      </c>
      <c r="BE24" s="189" t="n">
        <v>0.9</v>
      </c>
      <c r="BF24" s="141" t="s">
        <v>101</v>
      </c>
      <c r="BG24" s="62"/>
      <c r="BH24" s="142" t="n">
        <v>37196</v>
      </c>
      <c r="BI24" s="178" t="n">
        <v>0.75</v>
      </c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166"/>
      <c r="CI24" s="166"/>
      <c r="CJ24" s="166"/>
      <c r="CK24" s="166"/>
      <c r="CM24" s="153"/>
      <c r="CN24" s="154"/>
      <c r="CO24" s="179"/>
      <c r="CP24" s="0"/>
      <c r="CQ24" s="0"/>
      <c r="CR24" s="0"/>
      <c r="CS24" s="0"/>
      <c r="CT24" s="0"/>
      <c r="CY24" s="180" t="n">
        <f aca="false">M24</f>
        <v>37196</v>
      </c>
      <c r="CZ24" s="181" t="n">
        <f aca="false">AH24</f>
        <v>0.576</v>
      </c>
      <c r="DA24" s="181" t="n">
        <f aca="false">AI24</f>
        <v>0.72</v>
      </c>
      <c r="DB24" s="181" t="n">
        <f aca="false">AJ24</f>
        <v>0.864</v>
      </c>
      <c r="DD24" s="181" t="n">
        <f aca="false">Z24</f>
        <v>0.328</v>
      </c>
      <c r="DE24" s="181" t="n">
        <f aca="false">AA24</f>
        <v>0.41</v>
      </c>
      <c r="DF24" s="181" t="n">
        <f aca="false">AB24</f>
        <v>0.492</v>
      </c>
      <c r="DH24" s="180" t="n">
        <f aca="false">BH24</f>
        <v>37196</v>
      </c>
      <c r="DI24" s="135" t="n">
        <f aca="false">BI24</f>
        <v>0.75</v>
      </c>
      <c r="DJ24" s="162"/>
      <c r="DK24" s="162"/>
      <c r="DL24" s="180" t="n">
        <f aca="false">M24</f>
        <v>37196</v>
      </c>
      <c r="DM24" s="181" t="n">
        <f aca="false">AL24</f>
        <v>0.3456</v>
      </c>
      <c r="DN24" s="181" t="n">
        <f aca="false">AM24</f>
        <v>0.432</v>
      </c>
      <c r="DO24" s="181" t="n">
        <f aca="false">AN24</f>
        <v>0.5184</v>
      </c>
      <c r="DQ24" s="181" t="n">
        <f aca="false">AD24</f>
        <v>0.164</v>
      </c>
      <c r="DR24" s="181" t="n">
        <f aca="false">AE24</f>
        <v>0.205</v>
      </c>
      <c r="DS24" s="181" t="n">
        <f aca="false">AF24</f>
        <v>0.246</v>
      </c>
      <c r="DU24" s="0" t="n">
        <v>6</v>
      </c>
      <c r="DV24" s="186"/>
      <c r="DW24" s="187" t="s">
        <v>113</v>
      </c>
      <c r="DX24" s="188" t="s">
        <v>114</v>
      </c>
      <c r="EA24" s="163" t="s">
        <v>115</v>
      </c>
      <c r="EB24" s="164" t="n">
        <v>10</v>
      </c>
      <c r="EC24" s="162"/>
      <c r="ED24" s="162"/>
    </row>
    <row r="25" customFormat="false" ht="12.75" hidden="false" customHeight="false" outlineLevel="0" collapsed="false">
      <c r="A25" s="145" t="n">
        <f aca="false">EOMONTH(A24,0)+1</f>
        <v>46296</v>
      </c>
      <c r="B25" s="135" t="n">
        <f aca="false">'Gas Curves'!C29</f>
        <v>0.0479605668462821</v>
      </c>
      <c r="C25" s="135"/>
      <c r="D25" s="173" t="n">
        <v>37106</v>
      </c>
      <c r="E25" s="174" t="n">
        <v>90</v>
      </c>
      <c r="F25" s="174" t="n">
        <v>94</v>
      </c>
      <c r="G25" s="174" t="n">
        <v>98</v>
      </c>
      <c r="H25" s="159"/>
      <c r="I25" s="174" t="n">
        <v>18.25</v>
      </c>
      <c r="J25" s="174" t="n">
        <v>18.25</v>
      </c>
      <c r="K25" s="174" t="n">
        <v>18.25</v>
      </c>
      <c r="L25" s="141"/>
      <c r="M25" s="142" t="n">
        <v>37226</v>
      </c>
      <c r="N25" s="175" t="n">
        <v>27.75</v>
      </c>
      <c r="O25" s="175" t="n">
        <v>27.75</v>
      </c>
      <c r="P25" s="175" t="n">
        <v>27.75</v>
      </c>
      <c r="Q25" s="62"/>
      <c r="R25" s="175" t="n">
        <v>27.75</v>
      </c>
      <c r="S25" s="175" t="n">
        <v>27.75</v>
      </c>
      <c r="T25" s="175" t="n">
        <v>27.75</v>
      </c>
      <c r="U25" s="62"/>
      <c r="V25" s="175" t="n">
        <v>0</v>
      </c>
      <c r="W25" s="175" t="n">
        <v>0</v>
      </c>
      <c r="X25" s="175" t="n">
        <v>0</v>
      </c>
      <c r="Y25" s="62"/>
      <c r="Z25" s="175" t="n">
        <v>0.312</v>
      </c>
      <c r="AA25" s="175" t="n">
        <v>0.39</v>
      </c>
      <c r="AB25" s="175" t="n">
        <v>0.468</v>
      </c>
      <c r="AC25" s="62"/>
      <c r="AD25" s="175" t="n">
        <v>0.156</v>
      </c>
      <c r="AE25" s="175" t="n">
        <v>0.195</v>
      </c>
      <c r="AF25" s="175" t="n">
        <v>0.234</v>
      </c>
      <c r="AG25" s="62"/>
      <c r="AH25" s="175" t="n">
        <v>0.6</v>
      </c>
      <c r="AI25" s="175" t="n">
        <v>0.75</v>
      </c>
      <c r="AJ25" s="175" t="n">
        <v>0.9</v>
      </c>
      <c r="AK25" s="62"/>
      <c r="AL25" s="175" t="n">
        <v>0.36</v>
      </c>
      <c r="AM25" s="175" t="n">
        <v>0.45</v>
      </c>
      <c r="AN25" s="175" t="n">
        <v>0.54</v>
      </c>
      <c r="AO25" s="62"/>
      <c r="AP25" s="141" t="n">
        <v>3</v>
      </c>
      <c r="AQ25" s="176" t="n">
        <v>0</v>
      </c>
      <c r="AR25" s="62"/>
      <c r="AS25" s="141" t="n">
        <v>500</v>
      </c>
      <c r="AT25" s="189" t="n">
        <v>1</v>
      </c>
      <c r="AU25" s="189" t="n">
        <v>1</v>
      </c>
      <c r="AV25" s="189" t="n">
        <v>0.961008684423147</v>
      </c>
      <c r="AW25" s="189" t="n">
        <v>0.904126416732948</v>
      </c>
      <c r="AX25" s="189" t="n">
        <v>0.96</v>
      </c>
      <c r="AY25" s="189" t="n">
        <v>0.895</v>
      </c>
      <c r="AZ25" s="189" t="n">
        <v>0.813654783608707</v>
      </c>
      <c r="BA25" s="189" t="n">
        <v>0.813654783608707</v>
      </c>
      <c r="BB25" s="189" t="n">
        <v>0.895</v>
      </c>
      <c r="BC25" s="189" t="n">
        <v>0.904126416732948</v>
      </c>
      <c r="BD25" s="189" t="n">
        <v>0.95</v>
      </c>
      <c r="BE25" s="189" t="n">
        <v>0.95</v>
      </c>
      <c r="BF25" s="141" t="s">
        <v>101</v>
      </c>
      <c r="BG25" s="62"/>
      <c r="BH25" s="142" t="n">
        <v>37226</v>
      </c>
      <c r="BI25" s="178" t="n">
        <v>0.75</v>
      </c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166"/>
      <c r="CI25" s="166"/>
      <c r="CJ25" s="166"/>
      <c r="CK25" s="166"/>
      <c r="CM25" s="153"/>
      <c r="CN25" s="154"/>
      <c r="CO25" s="179"/>
      <c r="CP25" s="0"/>
      <c r="CQ25" s="0"/>
      <c r="CR25" s="0"/>
      <c r="CS25" s="0"/>
      <c r="CT25" s="0"/>
      <c r="CY25" s="180" t="n">
        <f aca="false">M25</f>
        <v>37226</v>
      </c>
      <c r="CZ25" s="181" t="n">
        <f aca="false">AH25</f>
        <v>0.6</v>
      </c>
      <c r="DA25" s="181" t="n">
        <f aca="false">AI25</f>
        <v>0.75</v>
      </c>
      <c r="DB25" s="181" t="n">
        <f aca="false">AJ25</f>
        <v>0.9</v>
      </c>
      <c r="DD25" s="181" t="n">
        <f aca="false">Z25</f>
        <v>0.312</v>
      </c>
      <c r="DE25" s="181" t="n">
        <f aca="false">AA25</f>
        <v>0.39</v>
      </c>
      <c r="DF25" s="181" t="n">
        <f aca="false">AB25</f>
        <v>0.468</v>
      </c>
      <c r="DH25" s="180" t="n">
        <f aca="false">BH25</f>
        <v>37226</v>
      </c>
      <c r="DI25" s="135" t="n">
        <f aca="false">BI25</f>
        <v>0.75</v>
      </c>
      <c r="DJ25" s="117"/>
      <c r="DK25" s="117"/>
      <c r="DL25" s="180" t="n">
        <f aca="false">M25</f>
        <v>37226</v>
      </c>
      <c r="DM25" s="181" t="n">
        <f aca="false">AL25</f>
        <v>0.36</v>
      </c>
      <c r="DN25" s="181" t="n">
        <f aca="false">AM25</f>
        <v>0.45</v>
      </c>
      <c r="DO25" s="181" t="n">
        <f aca="false">AN25</f>
        <v>0.54</v>
      </c>
      <c r="DQ25" s="181" t="n">
        <f aca="false">AD25</f>
        <v>0.156</v>
      </c>
      <c r="DR25" s="181" t="n">
        <f aca="false">AE25</f>
        <v>0.195</v>
      </c>
      <c r="DS25" s="181" t="n">
        <f aca="false">AF25</f>
        <v>0.234</v>
      </c>
      <c r="DU25" s="0" t="n">
        <v>7</v>
      </c>
      <c r="DV25" s="186"/>
      <c r="DW25" s="187" t="s">
        <v>116</v>
      </c>
      <c r="DX25" s="188" t="s">
        <v>117</v>
      </c>
      <c r="EA25" s="163" t="s">
        <v>118</v>
      </c>
      <c r="EB25" s="164" t="n">
        <v>11</v>
      </c>
      <c r="EC25" s="117"/>
      <c r="ED25" s="117"/>
    </row>
    <row r="26" customFormat="false" ht="12.75" hidden="false" customHeight="false" outlineLevel="0" collapsed="false">
      <c r="A26" s="145" t="n">
        <f aca="false">EOMONTH(A25,0)+1</f>
        <v>46327</v>
      </c>
      <c r="B26" s="135" t="n">
        <f aca="false">'Gas Curves'!C30</f>
        <v>0.0480777015242291</v>
      </c>
      <c r="C26" s="135"/>
      <c r="D26" s="173" t="n">
        <v>37107</v>
      </c>
      <c r="E26" s="174" t="n">
        <v>21</v>
      </c>
      <c r="F26" s="174" t="n">
        <v>25</v>
      </c>
      <c r="G26" s="174" t="n">
        <v>29</v>
      </c>
      <c r="H26" s="159"/>
      <c r="I26" s="174" t="n">
        <v>18.25</v>
      </c>
      <c r="J26" s="174" t="n">
        <v>18.25</v>
      </c>
      <c r="K26" s="174" t="n">
        <v>18.25</v>
      </c>
      <c r="L26" s="141"/>
      <c r="M26" s="142" t="n">
        <v>37257</v>
      </c>
      <c r="N26" s="175" t="n">
        <v>29.320001373291</v>
      </c>
      <c r="O26" s="175" t="n">
        <v>29.320001373291</v>
      </c>
      <c r="P26" s="175" t="n">
        <v>29.320001373291</v>
      </c>
      <c r="Q26" s="62"/>
      <c r="R26" s="175" t="n">
        <v>19.820001373291</v>
      </c>
      <c r="S26" s="175" t="n">
        <v>19.820001373291</v>
      </c>
      <c r="T26" s="175" t="n">
        <v>19.820001373291</v>
      </c>
      <c r="U26" s="62"/>
      <c r="V26" s="175" t="n">
        <v>0</v>
      </c>
      <c r="W26" s="175" t="n">
        <v>0</v>
      </c>
      <c r="X26" s="175" t="n">
        <v>0</v>
      </c>
      <c r="Y26" s="62"/>
      <c r="Z26" s="175" t="n">
        <v>0.28</v>
      </c>
      <c r="AA26" s="175" t="n">
        <v>0.35</v>
      </c>
      <c r="AB26" s="175" t="n">
        <v>0.42</v>
      </c>
      <c r="AC26" s="62"/>
      <c r="AD26" s="175" t="n">
        <v>0.14</v>
      </c>
      <c r="AE26" s="175" t="n">
        <v>0.175</v>
      </c>
      <c r="AF26" s="175" t="n">
        <v>0.21</v>
      </c>
      <c r="AG26" s="62"/>
      <c r="AH26" s="175" t="n">
        <v>0.6</v>
      </c>
      <c r="AI26" s="175" t="n">
        <v>0.75</v>
      </c>
      <c r="AJ26" s="175" t="n">
        <v>0.9</v>
      </c>
      <c r="AK26" s="62"/>
      <c r="AL26" s="175" t="n">
        <v>0.36</v>
      </c>
      <c r="AM26" s="175" t="n">
        <v>0.45</v>
      </c>
      <c r="AN26" s="175" t="n">
        <v>0.54</v>
      </c>
      <c r="AO26" s="62"/>
      <c r="AP26" s="141" t="n">
        <v>3</v>
      </c>
      <c r="AQ26" s="176" t="n">
        <v>0</v>
      </c>
      <c r="AR26" s="62"/>
      <c r="AS26" s="141" t="n">
        <v>600</v>
      </c>
      <c r="AT26" s="189" t="n">
        <v>1.35</v>
      </c>
      <c r="AU26" s="189" t="n">
        <v>1.35</v>
      </c>
      <c r="AV26" s="189" t="n">
        <v>1.06600068971274</v>
      </c>
      <c r="AW26" s="189" t="n">
        <v>1.15346940651923</v>
      </c>
      <c r="AX26" s="189" t="n">
        <v>1.2</v>
      </c>
      <c r="AY26" s="189" t="n">
        <v>0.92</v>
      </c>
      <c r="AZ26" s="189" t="n">
        <v>1.021367977662</v>
      </c>
      <c r="BA26" s="189" t="n">
        <v>1.021367977662</v>
      </c>
      <c r="BB26" s="189" t="n">
        <v>0.92</v>
      </c>
      <c r="BC26" s="189" t="n">
        <v>1.15346940651923</v>
      </c>
      <c r="BD26" s="189" t="n">
        <v>1.2</v>
      </c>
      <c r="BE26" s="189" t="n">
        <v>1.15</v>
      </c>
      <c r="BF26" s="141" t="s">
        <v>101</v>
      </c>
      <c r="BG26" s="62"/>
      <c r="BH26" s="142" t="n">
        <v>37257</v>
      </c>
      <c r="BI26" s="178" t="n">
        <v>0.75</v>
      </c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166"/>
      <c r="CI26" s="166"/>
      <c r="CJ26" s="166"/>
      <c r="CK26" s="166"/>
      <c r="CM26" s="208"/>
      <c r="CN26" s="154"/>
      <c r="CO26" s="179"/>
      <c r="CP26" s="0"/>
      <c r="CQ26" s="0"/>
      <c r="CR26" s="0"/>
      <c r="CS26" s="0"/>
      <c r="CT26" s="0"/>
      <c r="CY26" s="180" t="n">
        <f aca="false">M26</f>
        <v>37257</v>
      </c>
      <c r="CZ26" s="181" t="n">
        <f aca="false">AH26</f>
        <v>0.6</v>
      </c>
      <c r="DA26" s="181" t="n">
        <f aca="false">AI26</f>
        <v>0.75</v>
      </c>
      <c r="DB26" s="181" t="n">
        <f aca="false">AJ26</f>
        <v>0.9</v>
      </c>
      <c r="DD26" s="181" t="n">
        <f aca="false">Z26</f>
        <v>0.28</v>
      </c>
      <c r="DE26" s="181" t="n">
        <f aca="false">AA26</f>
        <v>0.35</v>
      </c>
      <c r="DF26" s="181" t="n">
        <f aca="false">AB26</f>
        <v>0.42</v>
      </c>
      <c r="DH26" s="180" t="n">
        <f aca="false">BH26</f>
        <v>37257</v>
      </c>
      <c r="DI26" s="135" t="n">
        <f aca="false">BI26</f>
        <v>0.75</v>
      </c>
      <c r="DJ26" s="162"/>
      <c r="DK26" s="162"/>
      <c r="DL26" s="180" t="n">
        <f aca="false">M26</f>
        <v>37257</v>
      </c>
      <c r="DM26" s="181" t="n">
        <f aca="false">AL26</f>
        <v>0.36</v>
      </c>
      <c r="DN26" s="181" t="n">
        <f aca="false">AM26</f>
        <v>0.45</v>
      </c>
      <c r="DO26" s="181" t="n">
        <f aca="false">AN26</f>
        <v>0.54</v>
      </c>
      <c r="DQ26" s="181" t="n">
        <f aca="false">AD26</f>
        <v>0.14</v>
      </c>
      <c r="DR26" s="181" t="n">
        <f aca="false">AE26</f>
        <v>0.175</v>
      </c>
      <c r="DS26" s="181" t="n">
        <f aca="false">AF26</f>
        <v>0.21</v>
      </c>
      <c r="DT26" s="141"/>
      <c r="DU26" s="0" t="n">
        <v>8</v>
      </c>
      <c r="DV26" s="209"/>
      <c r="DW26" s="210" t="s">
        <v>119</v>
      </c>
      <c r="DX26" s="211" t="s">
        <v>120</v>
      </c>
      <c r="EA26" s="163" t="s">
        <v>121</v>
      </c>
      <c r="EB26" s="164" t="n">
        <v>12</v>
      </c>
      <c r="EC26" s="162"/>
      <c r="ED26" s="162"/>
    </row>
    <row r="27" customFormat="false" ht="12.75" hidden="false" customHeight="false" outlineLevel="0" collapsed="false">
      <c r="A27" s="145" t="n">
        <f aca="false">EOMONTH(A26,0)+1</f>
        <v>46357</v>
      </c>
      <c r="B27" s="135" t="n">
        <f aca="false">'Gas Curves'!C31</f>
        <v>0.0482262639796347</v>
      </c>
      <c r="C27" s="135"/>
      <c r="D27" s="173" t="n">
        <v>37108</v>
      </c>
      <c r="E27" s="174" t="n">
        <v>21</v>
      </c>
      <c r="F27" s="174" t="n">
        <v>25</v>
      </c>
      <c r="G27" s="174" t="n">
        <v>29</v>
      </c>
      <c r="H27" s="159"/>
      <c r="I27" s="174" t="n">
        <v>15.25</v>
      </c>
      <c r="J27" s="174" t="n">
        <v>15.25</v>
      </c>
      <c r="K27" s="174" t="n">
        <v>15.25</v>
      </c>
      <c r="L27" s="141"/>
      <c r="M27" s="142" t="n">
        <v>37288</v>
      </c>
      <c r="N27" s="175" t="n">
        <v>26.9160012817383</v>
      </c>
      <c r="O27" s="175" t="n">
        <v>26.9160012817383</v>
      </c>
      <c r="P27" s="175" t="n">
        <v>26.9160012817383</v>
      </c>
      <c r="Q27" s="62"/>
      <c r="R27" s="175" t="n">
        <v>18.4165010070801</v>
      </c>
      <c r="S27" s="175" t="n">
        <v>18.4165010070801</v>
      </c>
      <c r="T27" s="175" t="n">
        <v>18.4165010070801</v>
      </c>
      <c r="U27" s="62"/>
      <c r="V27" s="175" t="n">
        <v>0</v>
      </c>
      <c r="W27" s="175" t="n">
        <v>0</v>
      </c>
      <c r="X27" s="175" t="n">
        <v>0</v>
      </c>
      <c r="Y27" s="62"/>
      <c r="Z27" s="175" t="n">
        <v>0.28</v>
      </c>
      <c r="AA27" s="175" t="n">
        <v>0.35</v>
      </c>
      <c r="AB27" s="175" t="n">
        <v>0.42</v>
      </c>
      <c r="AC27" s="62"/>
      <c r="AD27" s="175" t="n">
        <v>0.14</v>
      </c>
      <c r="AE27" s="175" t="n">
        <v>0.175</v>
      </c>
      <c r="AF27" s="175" t="n">
        <v>0.21</v>
      </c>
      <c r="AG27" s="62"/>
      <c r="AH27" s="175" t="n">
        <v>0.6</v>
      </c>
      <c r="AI27" s="175" t="n">
        <v>0.75</v>
      </c>
      <c r="AJ27" s="175" t="n">
        <v>0.9</v>
      </c>
      <c r="AK27" s="62"/>
      <c r="AL27" s="175" t="n">
        <v>0.36</v>
      </c>
      <c r="AM27" s="175" t="n">
        <v>0.45</v>
      </c>
      <c r="AN27" s="175" t="n">
        <v>0.54</v>
      </c>
      <c r="AO27" s="62"/>
      <c r="AP27" s="141" t="n">
        <v>3</v>
      </c>
      <c r="AQ27" s="176" t="n">
        <v>0.1</v>
      </c>
      <c r="AR27" s="62"/>
      <c r="AS27" s="141" t="n">
        <v>700</v>
      </c>
      <c r="AT27" s="189" t="n">
        <v>1.35</v>
      </c>
      <c r="AU27" s="189" t="n">
        <v>1.35</v>
      </c>
      <c r="AV27" s="189" t="n">
        <v>1.1561</v>
      </c>
      <c r="AW27" s="189" t="n">
        <v>1.22</v>
      </c>
      <c r="AX27" s="189" t="n">
        <v>0.85</v>
      </c>
      <c r="AY27" s="189" t="n">
        <v>0.47</v>
      </c>
      <c r="AZ27" s="189" t="n">
        <v>0.37</v>
      </c>
      <c r="BA27" s="189" t="n">
        <v>0.37</v>
      </c>
      <c r="BB27" s="189" t="n">
        <v>0.45</v>
      </c>
      <c r="BC27" s="189" t="n">
        <v>1.22</v>
      </c>
      <c r="BD27" s="189" t="n">
        <v>0.8</v>
      </c>
      <c r="BE27" s="189" t="n">
        <v>1</v>
      </c>
      <c r="BF27" s="141" t="s">
        <v>93</v>
      </c>
      <c r="BG27" s="62"/>
      <c r="BH27" s="142" t="n">
        <v>37288</v>
      </c>
      <c r="BI27" s="178" t="n">
        <v>0.75</v>
      </c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166"/>
      <c r="CI27" s="166"/>
      <c r="CJ27" s="166"/>
      <c r="CK27" s="166"/>
      <c r="CM27" s="208"/>
      <c r="CN27" s="154"/>
      <c r="CO27" s="179"/>
      <c r="CP27" s="0"/>
      <c r="CQ27" s="0"/>
      <c r="CR27" s="0"/>
      <c r="CS27" s="0"/>
      <c r="CT27" s="0"/>
      <c r="CY27" s="180" t="n">
        <f aca="false">M27</f>
        <v>37288</v>
      </c>
      <c r="CZ27" s="181" t="n">
        <f aca="false">AH27</f>
        <v>0.6</v>
      </c>
      <c r="DA27" s="181" t="n">
        <f aca="false">AI27</f>
        <v>0.75</v>
      </c>
      <c r="DB27" s="181" t="n">
        <f aca="false">AJ27</f>
        <v>0.9</v>
      </c>
      <c r="DD27" s="181" t="n">
        <f aca="false">Z27</f>
        <v>0.28</v>
      </c>
      <c r="DE27" s="181" t="n">
        <f aca="false">AA27</f>
        <v>0.35</v>
      </c>
      <c r="DF27" s="181" t="n">
        <f aca="false">AB27</f>
        <v>0.42</v>
      </c>
      <c r="DH27" s="180" t="n">
        <f aca="false">BH27</f>
        <v>37288</v>
      </c>
      <c r="DI27" s="135" t="n">
        <f aca="false">BI27</f>
        <v>0.75</v>
      </c>
      <c r="DJ27" s="162"/>
      <c r="DK27" s="162"/>
      <c r="DL27" s="180" t="n">
        <f aca="false">M27</f>
        <v>37288</v>
      </c>
      <c r="DM27" s="181" t="n">
        <f aca="false">AL27</f>
        <v>0.36</v>
      </c>
      <c r="DN27" s="181" t="n">
        <f aca="false">AM27</f>
        <v>0.45</v>
      </c>
      <c r="DO27" s="181" t="n">
        <f aca="false">AN27</f>
        <v>0.54</v>
      </c>
      <c r="DQ27" s="181" t="n">
        <f aca="false">AD27</f>
        <v>0.14</v>
      </c>
      <c r="DR27" s="181" t="n">
        <f aca="false">AE27</f>
        <v>0.175</v>
      </c>
      <c r="DS27" s="181" t="n">
        <f aca="false">AF27</f>
        <v>0.21</v>
      </c>
      <c r="DT27" s="141"/>
      <c r="DU27" s="0" t="n">
        <v>9</v>
      </c>
      <c r="DV27" s="155"/>
      <c r="DW27" s="212" t="s">
        <v>122</v>
      </c>
      <c r="DX27" s="213" t="s">
        <v>123</v>
      </c>
      <c r="EA27" s="163" t="s">
        <v>124</v>
      </c>
      <c r="EB27" s="164" t="n">
        <v>14</v>
      </c>
      <c r="EC27" s="162"/>
      <c r="ED27" s="162"/>
    </row>
    <row r="28" customFormat="false" ht="13.5" hidden="false" customHeight="false" outlineLevel="0" collapsed="false">
      <c r="A28" s="145" t="n">
        <f aca="false">EOMONTH(A27,0)+1</f>
        <v>46388</v>
      </c>
      <c r="B28" s="135" t="n">
        <f aca="false">'Gas Curves'!C32</f>
        <v>0.0484374158674234</v>
      </c>
      <c r="C28" s="135"/>
      <c r="D28" s="173" t="n">
        <v>37109</v>
      </c>
      <c r="E28" s="174" t="n">
        <v>61.5</v>
      </c>
      <c r="F28" s="174" t="n">
        <v>65.5</v>
      </c>
      <c r="G28" s="174" t="n">
        <v>69.5</v>
      </c>
      <c r="H28" s="159"/>
      <c r="I28" s="174" t="n">
        <v>15.25</v>
      </c>
      <c r="J28" s="174" t="n">
        <v>15.25</v>
      </c>
      <c r="K28" s="174" t="n">
        <v>15.25</v>
      </c>
      <c r="L28" s="141"/>
      <c r="M28" s="142" t="n">
        <v>37316</v>
      </c>
      <c r="N28" s="175" t="n">
        <v>21.9199990844727</v>
      </c>
      <c r="O28" s="175" t="n">
        <v>21.9199990844727</v>
      </c>
      <c r="P28" s="175" t="n">
        <v>21.9199990844727</v>
      </c>
      <c r="Q28" s="62"/>
      <c r="R28" s="175" t="n">
        <v>16.4200009918213</v>
      </c>
      <c r="S28" s="175" t="n">
        <v>16.4200009918213</v>
      </c>
      <c r="T28" s="175" t="n">
        <v>16.4200009918213</v>
      </c>
      <c r="U28" s="62"/>
      <c r="V28" s="175" t="n">
        <v>0</v>
      </c>
      <c r="W28" s="175" t="n">
        <v>0</v>
      </c>
      <c r="X28" s="175" t="n">
        <v>0</v>
      </c>
      <c r="Y28" s="62"/>
      <c r="Z28" s="175" t="n">
        <v>0.28</v>
      </c>
      <c r="AA28" s="175" t="n">
        <v>0.35</v>
      </c>
      <c r="AB28" s="175" t="n">
        <v>0.42</v>
      </c>
      <c r="AC28" s="62"/>
      <c r="AD28" s="175" t="n">
        <v>0.14</v>
      </c>
      <c r="AE28" s="175" t="n">
        <v>0.175</v>
      </c>
      <c r="AF28" s="175" t="n">
        <v>0.21</v>
      </c>
      <c r="AG28" s="62"/>
      <c r="AH28" s="175" t="n">
        <v>0.56</v>
      </c>
      <c r="AI28" s="175" t="n">
        <v>0.7</v>
      </c>
      <c r="AJ28" s="175" t="n">
        <v>0.84</v>
      </c>
      <c r="AK28" s="62"/>
      <c r="AL28" s="175" t="n">
        <v>0.336</v>
      </c>
      <c r="AM28" s="175" t="n">
        <v>0.42</v>
      </c>
      <c r="AN28" s="175" t="n">
        <v>0.504</v>
      </c>
      <c r="AO28" s="62"/>
      <c r="AP28" s="141" t="n">
        <v>4</v>
      </c>
      <c r="AQ28" s="176" t="n">
        <v>0.1</v>
      </c>
      <c r="AR28" s="62"/>
      <c r="AS28" s="141" t="n">
        <v>800</v>
      </c>
      <c r="AT28" s="189" t="n">
        <v>1.3485</v>
      </c>
      <c r="AU28" s="189" t="n">
        <v>1.3485</v>
      </c>
      <c r="AV28" s="189" t="n">
        <v>1.2485549132948</v>
      </c>
      <c r="AW28" s="189" t="n">
        <v>1.22</v>
      </c>
      <c r="AX28" s="189" t="n">
        <v>0.9175</v>
      </c>
      <c r="AY28" s="189" t="n">
        <v>0.47</v>
      </c>
      <c r="AZ28" s="189" t="n">
        <v>0.37</v>
      </c>
      <c r="BA28" s="189" t="n">
        <v>0.37</v>
      </c>
      <c r="BB28" s="189" t="n">
        <v>0.531365313653137</v>
      </c>
      <c r="BC28" s="189" t="n">
        <v>1.22</v>
      </c>
      <c r="BD28" s="189" t="n">
        <v>1.15</v>
      </c>
      <c r="BE28" s="189" t="n">
        <v>1.2545</v>
      </c>
      <c r="BF28" s="141" t="s">
        <v>93</v>
      </c>
      <c r="BG28" s="62"/>
      <c r="BH28" s="142" t="n">
        <v>37316</v>
      </c>
      <c r="BI28" s="178" t="n">
        <v>0.75</v>
      </c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166"/>
      <c r="CI28" s="166"/>
      <c r="CJ28" s="166"/>
      <c r="CK28" s="166"/>
      <c r="CM28" s="208"/>
      <c r="CN28" s="154"/>
      <c r="CO28" s="179"/>
      <c r="CP28" s="0"/>
      <c r="CQ28" s="0"/>
      <c r="CR28" s="0"/>
      <c r="CS28" s="0"/>
      <c r="CT28" s="0"/>
      <c r="CY28" s="180" t="n">
        <f aca="false">M28</f>
        <v>37316</v>
      </c>
      <c r="CZ28" s="181" t="n">
        <f aca="false">AH28</f>
        <v>0.56</v>
      </c>
      <c r="DA28" s="181" t="n">
        <f aca="false">AI28</f>
        <v>0.7</v>
      </c>
      <c r="DB28" s="181" t="n">
        <f aca="false">AJ28</f>
        <v>0.84</v>
      </c>
      <c r="DD28" s="181" t="n">
        <f aca="false">Z28</f>
        <v>0.28</v>
      </c>
      <c r="DE28" s="181" t="n">
        <f aca="false">AA28</f>
        <v>0.35</v>
      </c>
      <c r="DF28" s="181" t="n">
        <f aca="false">AB28</f>
        <v>0.42</v>
      </c>
      <c r="DH28" s="180" t="n">
        <f aca="false">BH28</f>
        <v>37316</v>
      </c>
      <c r="DI28" s="135" t="n">
        <f aca="false">BI28</f>
        <v>0.75</v>
      </c>
      <c r="DL28" s="180" t="n">
        <f aca="false">M28</f>
        <v>37316</v>
      </c>
      <c r="DM28" s="181" t="n">
        <f aca="false">AL28</f>
        <v>0.336</v>
      </c>
      <c r="DN28" s="181" t="n">
        <f aca="false">AM28</f>
        <v>0.42</v>
      </c>
      <c r="DO28" s="181" t="n">
        <f aca="false">AN28</f>
        <v>0.504</v>
      </c>
      <c r="DQ28" s="181" t="n">
        <f aca="false">AD28</f>
        <v>0.14</v>
      </c>
      <c r="DR28" s="181" t="n">
        <f aca="false">AE28</f>
        <v>0.175</v>
      </c>
      <c r="DS28" s="181" t="n">
        <f aca="false">AF28</f>
        <v>0.21</v>
      </c>
      <c r="DT28" s="141"/>
      <c r="DU28" s="0" t="n">
        <v>10</v>
      </c>
      <c r="DV28" s="214" t="s">
        <v>125</v>
      </c>
      <c r="DW28" s="215" t="s">
        <v>126</v>
      </c>
      <c r="DX28" s="216" t="s">
        <v>101</v>
      </c>
      <c r="EA28" s="217" t="s">
        <v>127</v>
      </c>
      <c r="EB28" s="218" t="n">
        <v>15</v>
      </c>
    </row>
    <row r="29" customFormat="false" ht="13.5" hidden="false" customHeight="false" outlineLevel="0" collapsed="false">
      <c r="A29" s="145" t="n">
        <f aca="false">EOMONTH(A28,0)+1</f>
        <v>46419</v>
      </c>
      <c r="B29" s="135" t="n">
        <f aca="false">'Gas Curves'!C33</f>
        <v>0.0486485677701101</v>
      </c>
      <c r="C29" s="135"/>
      <c r="D29" s="173" t="n">
        <v>37110</v>
      </c>
      <c r="E29" s="174" t="n">
        <v>61.5</v>
      </c>
      <c r="F29" s="174" t="n">
        <v>65.5</v>
      </c>
      <c r="G29" s="174" t="n">
        <v>69.5</v>
      </c>
      <c r="H29" s="159"/>
      <c r="I29" s="174" t="n">
        <v>15.25</v>
      </c>
      <c r="J29" s="174" t="n">
        <v>15.25</v>
      </c>
      <c r="K29" s="174" t="n">
        <v>15.25</v>
      </c>
      <c r="L29" s="141"/>
      <c r="M29" s="142" t="n">
        <v>37347</v>
      </c>
      <c r="N29" s="175" t="n">
        <v>21.9199990844727</v>
      </c>
      <c r="O29" s="175" t="n">
        <v>21.9199990844727</v>
      </c>
      <c r="P29" s="175" t="n">
        <v>21.9199990844727</v>
      </c>
      <c r="Q29" s="62"/>
      <c r="R29" s="175" t="n">
        <v>16.4150018310547</v>
      </c>
      <c r="S29" s="175" t="n">
        <v>16.4150018310547</v>
      </c>
      <c r="T29" s="175" t="n">
        <v>16.4150018310547</v>
      </c>
      <c r="U29" s="62"/>
      <c r="V29" s="175" t="n">
        <v>0</v>
      </c>
      <c r="W29" s="175" t="n">
        <v>0</v>
      </c>
      <c r="X29" s="175" t="n">
        <v>0</v>
      </c>
      <c r="Y29" s="62"/>
      <c r="Z29" s="175" t="n">
        <v>0.28</v>
      </c>
      <c r="AA29" s="175" t="n">
        <v>0.35</v>
      </c>
      <c r="AB29" s="175" t="n">
        <v>0.42</v>
      </c>
      <c r="AC29" s="62"/>
      <c r="AD29" s="175" t="n">
        <v>0.14</v>
      </c>
      <c r="AE29" s="175" t="n">
        <v>0.175</v>
      </c>
      <c r="AF29" s="175" t="n">
        <v>0.21</v>
      </c>
      <c r="AG29" s="62"/>
      <c r="AH29" s="175" t="n">
        <v>0.56</v>
      </c>
      <c r="AI29" s="175" t="n">
        <v>0.7</v>
      </c>
      <c r="AJ29" s="175" t="n">
        <v>0.84</v>
      </c>
      <c r="AK29" s="62"/>
      <c r="AL29" s="175" t="n">
        <v>0.336</v>
      </c>
      <c r="AM29" s="175" t="n">
        <v>0.42</v>
      </c>
      <c r="AN29" s="175" t="n">
        <v>0.504</v>
      </c>
      <c r="AO29" s="62"/>
      <c r="AP29" s="141" t="n">
        <v>4</v>
      </c>
      <c r="AQ29" s="176" t="n">
        <v>0.1</v>
      </c>
      <c r="AR29" s="62"/>
      <c r="AS29" s="141" t="n">
        <v>900</v>
      </c>
      <c r="AT29" s="189" t="n">
        <v>1.35</v>
      </c>
      <c r="AU29" s="189" t="n">
        <v>1.35</v>
      </c>
      <c r="AV29" s="189" t="n">
        <v>1.2485549132948</v>
      </c>
      <c r="AW29" s="189" t="n">
        <v>1.15</v>
      </c>
      <c r="AX29" s="189" t="n">
        <v>0.95</v>
      </c>
      <c r="AY29" s="189" t="n">
        <v>0.47</v>
      </c>
      <c r="AZ29" s="189" t="n">
        <v>0.37</v>
      </c>
      <c r="BA29" s="189" t="n">
        <v>0.37</v>
      </c>
      <c r="BB29" s="189" t="n">
        <v>0.560885608856089</v>
      </c>
      <c r="BC29" s="189" t="n">
        <v>1.15</v>
      </c>
      <c r="BD29" s="189" t="n">
        <v>1.15</v>
      </c>
      <c r="BE29" s="189" t="n">
        <v>1.26</v>
      </c>
      <c r="BF29" s="141" t="s">
        <v>93</v>
      </c>
      <c r="BG29" s="62"/>
      <c r="BH29" s="142" t="n">
        <v>37347</v>
      </c>
      <c r="BI29" s="178" t="n">
        <v>0.75</v>
      </c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166"/>
      <c r="CI29" s="117"/>
      <c r="CJ29" s="117"/>
      <c r="CK29" s="117"/>
      <c r="CM29" s="208"/>
      <c r="CN29" s="154"/>
      <c r="CO29" s="179"/>
      <c r="CP29" s="0"/>
      <c r="CQ29" s="0"/>
      <c r="CR29" s="0"/>
      <c r="CS29" s="0"/>
      <c r="CT29" s="0"/>
      <c r="CY29" s="180" t="n">
        <f aca="false">M29</f>
        <v>37347</v>
      </c>
      <c r="CZ29" s="181" t="n">
        <f aca="false">AH29</f>
        <v>0.56</v>
      </c>
      <c r="DA29" s="181" t="n">
        <f aca="false">AI29</f>
        <v>0.7</v>
      </c>
      <c r="DB29" s="181" t="n">
        <f aca="false">AJ29</f>
        <v>0.84</v>
      </c>
      <c r="DD29" s="181" t="n">
        <f aca="false">Z29</f>
        <v>0.28</v>
      </c>
      <c r="DE29" s="181" t="n">
        <f aca="false">AA29</f>
        <v>0.35</v>
      </c>
      <c r="DF29" s="181" t="n">
        <f aca="false">AB29</f>
        <v>0.42</v>
      </c>
      <c r="DH29" s="180" t="n">
        <f aca="false">BH29</f>
        <v>37347</v>
      </c>
      <c r="DI29" s="135" t="n">
        <f aca="false">BI29</f>
        <v>0.75</v>
      </c>
      <c r="DL29" s="180" t="n">
        <f aca="false">M29</f>
        <v>37347</v>
      </c>
      <c r="DM29" s="181" t="n">
        <f aca="false">AL29</f>
        <v>0.336</v>
      </c>
      <c r="DN29" s="181" t="n">
        <f aca="false">AM29</f>
        <v>0.42</v>
      </c>
      <c r="DO29" s="181" t="n">
        <f aca="false">AN29</f>
        <v>0.504</v>
      </c>
      <c r="DQ29" s="181" t="n">
        <f aca="false">AD29</f>
        <v>0.14</v>
      </c>
      <c r="DR29" s="181" t="n">
        <f aca="false">AE29</f>
        <v>0.175</v>
      </c>
      <c r="DS29" s="181" t="n">
        <f aca="false">AF29</f>
        <v>0.21</v>
      </c>
      <c r="DT29" s="141"/>
      <c r="DU29" s="0" t="n">
        <v>11</v>
      </c>
      <c r="DV29" s="186" t="s">
        <v>128</v>
      </c>
      <c r="DW29" s="187" t="s">
        <v>129</v>
      </c>
      <c r="DX29" s="188" t="s">
        <v>130</v>
      </c>
      <c r="EA29" s="219" t="s">
        <v>131</v>
      </c>
    </row>
    <row r="30" customFormat="false" ht="12.75" hidden="false" customHeight="false" outlineLevel="0" collapsed="false">
      <c r="A30" s="145" t="n">
        <f aca="false">EOMONTH(A29,0)+1</f>
        <v>46447</v>
      </c>
      <c r="B30" s="135" t="n">
        <f aca="false">'Gas Curves'!C34</f>
        <v>0.0488735677351122</v>
      </c>
      <c r="C30" s="135"/>
      <c r="D30" s="173" t="n">
        <v>37111</v>
      </c>
      <c r="E30" s="174" t="n">
        <v>61.5</v>
      </c>
      <c r="F30" s="174" t="n">
        <v>65.5</v>
      </c>
      <c r="G30" s="174" t="n">
        <v>69.5</v>
      </c>
      <c r="H30" s="159"/>
      <c r="I30" s="174" t="n">
        <v>15.25</v>
      </c>
      <c r="J30" s="174" t="n">
        <v>15.25</v>
      </c>
      <c r="K30" s="174" t="n">
        <v>15.25</v>
      </c>
      <c r="L30" s="141"/>
      <c r="M30" s="142" t="n">
        <v>37377</v>
      </c>
      <c r="N30" s="175" t="n">
        <v>23.9199990844727</v>
      </c>
      <c r="O30" s="175" t="n">
        <v>23.9199990844727</v>
      </c>
      <c r="P30" s="175" t="n">
        <v>23.9199990844727</v>
      </c>
      <c r="Q30" s="62"/>
      <c r="R30" s="175" t="n">
        <v>17.4249982452393</v>
      </c>
      <c r="S30" s="175" t="n">
        <v>17.4249982452393</v>
      </c>
      <c r="T30" s="175" t="n">
        <v>17.4249982452393</v>
      </c>
      <c r="U30" s="62"/>
      <c r="V30" s="175" t="n">
        <v>0</v>
      </c>
      <c r="W30" s="175" t="n">
        <v>0</v>
      </c>
      <c r="X30" s="175" t="n">
        <v>0</v>
      </c>
      <c r="Y30" s="62"/>
      <c r="Z30" s="175" t="n">
        <v>0.28</v>
      </c>
      <c r="AA30" s="175" t="n">
        <v>0.35</v>
      </c>
      <c r="AB30" s="175" t="n">
        <v>0.42</v>
      </c>
      <c r="AC30" s="62"/>
      <c r="AD30" s="175" t="n">
        <v>0.14</v>
      </c>
      <c r="AE30" s="175" t="n">
        <v>0.175</v>
      </c>
      <c r="AF30" s="175" t="n">
        <v>0.21</v>
      </c>
      <c r="AG30" s="62"/>
      <c r="AH30" s="175" t="n">
        <v>0.56</v>
      </c>
      <c r="AI30" s="175" t="n">
        <v>0.7</v>
      </c>
      <c r="AJ30" s="175" t="n">
        <v>0.84</v>
      </c>
      <c r="AK30" s="62"/>
      <c r="AL30" s="175" t="n">
        <v>0.336</v>
      </c>
      <c r="AM30" s="175" t="n">
        <v>0.42</v>
      </c>
      <c r="AN30" s="175" t="n">
        <v>0.504</v>
      </c>
      <c r="AO30" s="62"/>
      <c r="AP30" s="141" t="n">
        <v>4</v>
      </c>
      <c r="AQ30" s="176" t="n">
        <v>0.1</v>
      </c>
      <c r="AR30" s="62"/>
      <c r="AS30" s="141" t="n">
        <v>1000</v>
      </c>
      <c r="AT30" s="189" t="n">
        <v>1.1</v>
      </c>
      <c r="AU30" s="189" t="n">
        <v>1.1</v>
      </c>
      <c r="AV30" s="189" t="n">
        <v>1.10982658959538</v>
      </c>
      <c r="AW30" s="189" t="n">
        <v>1</v>
      </c>
      <c r="AX30" s="189" t="n">
        <v>0.97</v>
      </c>
      <c r="AY30" s="189" t="n">
        <v>0.47</v>
      </c>
      <c r="AZ30" s="189" t="n">
        <v>0.37</v>
      </c>
      <c r="BA30" s="189" t="n">
        <v>0.37</v>
      </c>
      <c r="BB30" s="189" t="n">
        <v>0.6</v>
      </c>
      <c r="BC30" s="189" t="n">
        <v>1</v>
      </c>
      <c r="BD30" s="189" t="n">
        <v>1.15</v>
      </c>
      <c r="BE30" s="189" t="n">
        <v>1.205</v>
      </c>
      <c r="BF30" s="141" t="s">
        <v>93</v>
      </c>
      <c r="BG30" s="62"/>
      <c r="BH30" s="142" t="n">
        <v>37377</v>
      </c>
      <c r="BI30" s="178" t="n">
        <v>0.75</v>
      </c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166"/>
      <c r="CI30" s="117"/>
      <c r="CJ30" s="117"/>
      <c r="CK30" s="117"/>
      <c r="CM30" s="208"/>
      <c r="CN30" s="154"/>
      <c r="CO30" s="179"/>
      <c r="CP30" s="0"/>
      <c r="CQ30" s="0"/>
      <c r="CR30" s="0"/>
      <c r="CS30" s="0"/>
      <c r="CT30" s="0"/>
      <c r="CY30" s="180" t="n">
        <f aca="false">M30</f>
        <v>37377</v>
      </c>
      <c r="CZ30" s="181" t="n">
        <f aca="false">AH30</f>
        <v>0.56</v>
      </c>
      <c r="DA30" s="181" t="n">
        <f aca="false">AI30</f>
        <v>0.7</v>
      </c>
      <c r="DB30" s="181" t="n">
        <f aca="false">AJ30</f>
        <v>0.84</v>
      </c>
      <c r="DD30" s="181" t="n">
        <f aca="false">Z30</f>
        <v>0.28</v>
      </c>
      <c r="DE30" s="181" t="n">
        <f aca="false">AA30</f>
        <v>0.35</v>
      </c>
      <c r="DF30" s="181" t="n">
        <f aca="false">AB30</f>
        <v>0.42</v>
      </c>
      <c r="DH30" s="180" t="n">
        <f aca="false">BH30</f>
        <v>37377</v>
      </c>
      <c r="DI30" s="135" t="n">
        <f aca="false">BI30</f>
        <v>0.75</v>
      </c>
      <c r="DL30" s="180" t="n">
        <f aca="false">M30</f>
        <v>37377</v>
      </c>
      <c r="DM30" s="181" t="n">
        <f aca="false">AL30</f>
        <v>0.336</v>
      </c>
      <c r="DN30" s="181" t="n">
        <f aca="false">AM30</f>
        <v>0.42</v>
      </c>
      <c r="DO30" s="181" t="n">
        <f aca="false">AN30</f>
        <v>0.504</v>
      </c>
      <c r="DQ30" s="181" t="n">
        <f aca="false">AD30</f>
        <v>0.14</v>
      </c>
      <c r="DR30" s="181" t="n">
        <f aca="false">AE30</f>
        <v>0.175</v>
      </c>
      <c r="DS30" s="181" t="n">
        <f aca="false">AF30</f>
        <v>0.21</v>
      </c>
      <c r="DT30" s="141"/>
      <c r="DU30" s="0" t="n">
        <v>12</v>
      </c>
      <c r="DV30" s="186" t="s">
        <v>132</v>
      </c>
      <c r="DW30" s="187" t="s">
        <v>133</v>
      </c>
      <c r="DX30" s="188" t="s">
        <v>134</v>
      </c>
      <c r="DY30" s="220"/>
    </row>
    <row r="31" customFormat="false" ht="12.75" hidden="false" customHeight="false" outlineLevel="0" collapsed="false">
      <c r="A31" s="145" t="n">
        <f aca="false">EOMONTH(A30,0)+1</f>
        <v>46478</v>
      </c>
      <c r="B31" s="135" t="n">
        <f aca="false">'Gas Curves'!C35</f>
        <v>0.0491356023517753</v>
      </c>
      <c r="C31" s="135"/>
      <c r="D31" s="173" t="n">
        <v>37112</v>
      </c>
      <c r="E31" s="174" t="n">
        <v>61.5</v>
      </c>
      <c r="F31" s="174" t="n">
        <v>65.5</v>
      </c>
      <c r="G31" s="174" t="n">
        <v>69.5</v>
      </c>
      <c r="H31" s="159"/>
      <c r="I31" s="174" t="n">
        <v>15.25</v>
      </c>
      <c r="J31" s="174" t="n">
        <v>15.25</v>
      </c>
      <c r="K31" s="174" t="n">
        <v>15.25</v>
      </c>
      <c r="L31" s="141"/>
      <c r="M31" s="142" t="n">
        <v>37408</v>
      </c>
      <c r="N31" s="175" t="n">
        <v>30.9199990844727</v>
      </c>
      <c r="O31" s="175" t="n">
        <v>30.9199990844727</v>
      </c>
      <c r="P31" s="175" t="n">
        <v>30.9199990844727</v>
      </c>
      <c r="Q31" s="62"/>
      <c r="R31" s="175" t="n">
        <v>21.4199990844727</v>
      </c>
      <c r="S31" s="175" t="n">
        <v>21.4199990844727</v>
      </c>
      <c r="T31" s="175" t="n">
        <v>21.4199990844727</v>
      </c>
      <c r="U31" s="62"/>
      <c r="V31" s="175" t="n">
        <v>0</v>
      </c>
      <c r="W31" s="175" t="n">
        <v>0</v>
      </c>
      <c r="X31" s="175" t="n">
        <v>0</v>
      </c>
      <c r="Y31" s="62"/>
      <c r="Z31" s="175" t="n">
        <v>0.28</v>
      </c>
      <c r="AA31" s="175" t="n">
        <v>0.35</v>
      </c>
      <c r="AB31" s="175" t="n">
        <v>0.42</v>
      </c>
      <c r="AC31" s="62"/>
      <c r="AD31" s="175" t="n">
        <v>0.14</v>
      </c>
      <c r="AE31" s="175" t="n">
        <v>0.175</v>
      </c>
      <c r="AF31" s="175" t="n">
        <v>0.21</v>
      </c>
      <c r="AG31" s="62"/>
      <c r="AH31" s="175" t="n">
        <v>0.6</v>
      </c>
      <c r="AI31" s="175" t="n">
        <v>0.75</v>
      </c>
      <c r="AJ31" s="175" t="n">
        <v>0.9</v>
      </c>
      <c r="AK31" s="62"/>
      <c r="AL31" s="175" t="n">
        <v>0.36</v>
      </c>
      <c r="AM31" s="175" t="n">
        <v>0.45</v>
      </c>
      <c r="AN31" s="175" t="n">
        <v>0.54</v>
      </c>
      <c r="AO31" s="62"/>
      <c r="AP31" s="141" t="n">
        <v>5</v>
      </c>
      <c r="AQ31" s="176" t="n">
        <v>0.1</v>
      </c>
      <c r="AR31" s="62"/>
      <c r="AS31" s="141" t="n">
        <v>1100</v>
      </c>
      <c r="AT31" s="189" t="n">
        <v>0.886649874055416</v>
      </c>
      <c r="AU31" s="189" t="n">
        <v>0.886649874055416</v>
      </c>
      <c r="AV31" s="189" t="n">
        <v>0.878612716763006</v>
      </c>
      <c r="AW31" s="189" t="n">
        <v>0.9</v>
      </c>
      <c r="AX31" s="189" t="n">
        <v>0.975</v>
      </c>
      <c r="AY31" s="189" t="n">
        <v>0.47</v>
      </c>
      <c r="AZ31" s="189" t="n">
        <v>0.37</v>
      </c>
      <c r="BA31" s="189" t="n">
        <v>0.37</v>
      </c>
      <c r="BB31" s="189" t="n">
        <v>0.6635</v>
      </c>
      <c r="BC31" s="189" t="n">
        <v>0.9</v>
      </c>
      <c r="BD31" s="189" t="n">
        <v>0.920547945205479</v>
      </c>
      <c r="BE31" s="189" t="n">
        <v>0.920547945205479</v>
      </c>
      <c r="BF31" s="141" t="s">
        <v>93</v>
      </c>
      <c r="BG31" s="62"/>
      <c r="BH31" s="142" t="n">
        <v>37408</v>
      </c>
      <c r="BI31" s="178" t="n">
        <v>0.75</v>
      </c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166"/>
      <c r="CI31" s="117"/>
      <c r="CJ31" s="117"/>
      <c r="CK31" s="117"/>
      <c r="CM31" s="208"/>
      <c r="CN31" s="154"/>
      <c r="CO31" s="179"/>
      <c r="CP31" s="0"/>
      <c r="CQ31" s="0"/>
      <c r="CR31" s="0"/>
      <c r="CS31" s="0"/>
      <c r="CT31" s="0"/>
      <c r="CY31" s="180" t="n">
        <f aca="false">M31</f>
        <v>37408</v>
      </c>
      <c r="CZ31" s="181" t="n">
        <f aca="false">AH31</f>
        <v>0.6</v>
      </c>
      <c r="DA31" s="181" t="n">
        <f aca="false">AI31</f>
        <v>0.75</v>
      </c>
      <c r="DB31" s="181" t="n">
        <f aca="false">AJ31</f>
        <v>0.9</v>
      </c>
      <c r="DD31" s="181" t="n">
        <f aca="false">Z31</f>
        <v>0.28</v>
      </c>
      <c r="DE31" s="181" t="n">
        <f aca="false">AA31</f>
        <v>0.35</v>
      </c>
      <c r="DF31" s="181" t="n">
        <f aca="false">AB31</f>
        <v>0.42</v>
      </c>
      <c r="DH31" s="180" t="n">
        <f aca="false">BH31</f>
        <v>37408</v>
      </c>
      <c r="DI31" s="135" t="n">
        <f aca="false">BI31</f>
        <v>0.75</v>
      </c>
      <c r="DL31" s="180" t="n">
        <f aca="false">M31</f>
        <v>37408</v>
      </c>
      <c r="DM31" s="181" t="n">
        <f aca="false">AL31</f>
        <v>0.36</v>
      </c>
      <c r="DN31" s="181" t="n">
        <f aca="false">AM31</f>
        <v>0.45</v>
      </c>
      <c r="DO31" s="181" t="n">
        <f aca="false">AN31</f>
        <v>0.54</v>
      </c>
      <c r="DQ31" s="181" t="n">
        <f aca="false">AD31</f>
        <v>0.14</v>
      </c>
      <c r="DR31" s="181" t="n">
        <f aca="false">AE31</f>
        <v>0.175</v>
      </c>
      <c r="DS31" s="181" t="n">
        <f aca="false">AF31</f>
        <v>0.21</v>
      </c>
      <c r="DT31" s="141"/>
      <c r="DU31" s="0" t="n">
        <v>13</v>
      </c>
      <c r="DV31" s="186" t="s">
        <v>135</v>
      </c>
      <c r="DW31" s="187" t="s">
        <v>136</v>
      </c>
      <c r="DX31" s="188" t="s">
        <v>137</v>
      </c>
      <c r="DY31" s="220"/>
    </row>
    <row r="32" customFormat="false" ht="12.75" hidden="false" customHeight="false" outlineLevel="0" collapsed="false">
      <c r="A32" s="145" t="n">
        <f aca="false">EOMONTH(A31,0)+1</f>
        <v>46508</v>
      </c>
      <c r="B32" s="135" t="n">
        <f aca="false">'Gas Curves'!C36</f>
        <v>0.0493891842607059</v>
      </c>
      <c r="C32" s="135"/>
      <c r="D32" s="173" t="n">
        <v>37113</v>
      </c>
      <c r="E32" s="174" t="n">
        <v>61.5</v>
      </c>
      <c r="F32" s="174" t="n">
        <v>65.5</v>
      </c>
      <c r="G32" s="174" t="n">
        <v>69.5</v>
      </c>
      <c r="H32" s="159"/>
      <c r="I32" s="174" t="n">
        <v>15.25</v>
      </c>
      <c r="J32" s="174" t="n">
        <v>15.25</v>
      </c>
      <c r="K32" s="174" t="n">
        <v>15.25</v>
      </c>
      <c r="L32" s="141"/>
      <c r="M32" s="142" t="n">
        <v>37438</v>
      </c>
      <c r="N32" s="175" t="n">
        <v>36.9199990844727</v>
      </c>
      <c r="O32" s="175" t="n">
        <v>36.9199990844727</v>
      </c>
      <c r="P32" s="175" t="n">
        <v>36.9199990844727</v>
      </c>
      <c r="Q32" s="62"/>
      <c r="R32" s="175" t="n">
        <v>27.4199990844727</v>
      </c>
      <c r="S32" s="175" t="n">
        <v>27.4199990844727</v>
      </c>
      <c r="T32" s="175" t="n">
        <v>27.4199990844727</v>
      </c>
      <c r="U32" s="62"/>
      <c r="V32" s="175" t="n">
        <v>0</v>
      </c>
      <c r="W32" s="175" t="n">
        <v>0</v>
      </c>
      <c r="X32" s="175" t="n">
        <v>0</v>
      </c>
      <c r="Y32" s="62"/>
      <c r="Z32" s="175" t="n">
        <v>0.36</v>
      </c>
      <c r="AA32" s="175" t="n">
        <v>0.45</v>
      </c>
      <c r="AB32" s="175" t="n">
        <v>0.54</v>
      </c>
      <c r="AC32" s="62"/>
      <c r="AD32" s="175" t="n">
        <v>0.18</v>
      </c>
      <c r="AE32" s="175" t="n">
        <v>0.225</v>
      </c>
      <c r="AF32" s="175" t="n">
        <v>0.27</v>
      </c>
      <c r="AG32" s="62"/>
      <c r="AH32" s="175" t="n">
        <v>0.72</v>
      </c>
      <c r="AI32" s="175" t="n">
        <v>0.9</v>
      </c>
      <c r="AJ32" s="175" t="n">
        <v>1.08</v>
      </c>
      <c r="AK32" s="62"/>
      <c r="AL32" s="175" t="n">
        <v>0.432</v>
      </c>
      <c r="AM32" s="175" t="n">
        <v>0.54</v>
      </c>
      <c r="AN32" s="175" t="n">
        <v>0.648</v>
      </c>
      <c r="AO32" s="62"/>
      <c r="AP32" s="141" t="n">
        <v>5</v>
      </c>
      <c r="AQ32" s="176" t="n">
        <v>0.1</v>
      </c>
      <c r="AR32" s="62"/>
      <c r="AS32" s="141" t="n">
        <v>1200</v>
      </c>
      <c r="AT32" s="189" t="n">
        <v>0.72544080604534</v>
      </c>
      <c r="AU32" s="189" t="n">
        <v>0.72544080604534</v>
      </c>
      <c r="AV32" s="189" t="n">
        <v>0.832369942196532</v>
      </c>
      <c r="AW32" s="189" t="n">
        <v>0.85</v>
      </c>
      <c r="AX32" s="189" t="n">
        <v>0.98</v>
      </c>
      <c r="AY32" s="189" t="n">
        <v>0.47</v>
      </c>
      <c r="AZ32" s="189" t="n">
        <v>0.37</v>
      </c>
      <c r="BA32" s="189" t="n">
        <v>0.37</v>
      </c>
      <c r="BB32" s="189" t="n">
        <v>0.76</v>
      </c>
      <c r="BC32" s="189" t="n">
        <v>0.85</v>
      </c>
      <c r="BD32" s="189" t="n">
        <v>0.77</v>
      </c>
      <c r="BE32" s="189" t="n">
        <v>0.74</v>
      </c>
      <c r="BF32" s="141" t="s">
        <v>93</v>
      </c>
      <c r="BG32" s="62"/>
      <c r="BH32" s="142" t="n">
        <v>37438</v>
      </c>
      <c r="BI32" s="178" t="n">
        <v>0.75</v>
      </c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166"/>
      <c r="CI32" s="117"/>
      <c r="CJ32" s="117"/>
      <c r="CK32" s="117"/>
      <c r="CM32" s="208"/>
      <c r="CN32" s="154"/>
      <c r="CO32" s="179"/>
      <c r="CP32" s="0"/>
      <c r="CQ32" s="0"/>
      <c r="CR32" s="0"/>
      <c r="CS32" s="0"/>
      <c r="CT32" s="0"/>
      <c r="CY32" s="180" t="n">
        <f aca="false">M32</f>
        <v>37438</v>
      </c>
      <c r="CZ32" s="181" t="n">
        <f aca="false">AH32</f>
        <v>0.72</v>
      </c>
      <c r="DA32" s="181" t="n">
        <f aca="false">AI32</f>
        <v>0.9</v>
      </c>
      <c r="DB32" s="181" t="n">
        <f aca="false">AJ32</f>
        <v>1.08</v>
      </c>
      <c r="DD32" s="181" t="n">
        <f aca="false">Z32</f>
        <v>0.36</v>
      </c>
      <c r="DE32" s="181" t="n">
        <f aca="false">AA32</f>
        <v>0.45</v>
      </c>
      <c r="DF32" s="181" t="n">
        <f aca="false">AB32</f>
        <v>0.54</v>
      </c>
      <c r="DH32" s="180" t="n">
        <f aca="false">BH32</f>
        <v>37438</v>
      </c>
      <c r="DI32" s="135" t="n">
        <f aca="false">BI32</f>
        <v>0.75</v>
      </c>
      <c r="DL32" s="180" t="n">
        <f aca="false">M32</f>
        <v>37438</v>
      </c>
      <c r="DM32" s="181" t="n">
        <f aca="false">AL32</f>
        <v>0.432</v>
      </c>
      <c r="DN32" s="181" t="n">
        <f aca="false">AM32</f>
        <v>0.54</v>
      </c>
      <c r="DO32" s="181" t="n">
        <f aca="false">AN32</f>
        <v>0.648</v>
      </c>
      <c r="DQ32" s="181" t="n">
        <f aca="false">AD32</f>
        <v>0.18</v>
      </c>
      <c r="DR32" s="181" t="n">
        <f aca="false">AE32</f>
        <v>0.225</v>
      </c>
      <c r="DS32" s="181" t="n">
        <f aca="false">AF32</f>
        <v>0.27</v>
      </c>
      <c r="DT32" s="141"/>
      <c r="DU32" s="0" t="n">
        <v>14</v>
      </c>
      <c r="DV32" s="186" t="s">
        <v>138</v>
      </c>
      <c r="DW32" s="187" t="s">
        <v>139</v>
      </c>
      <c r="DX32" s="188" t="s">
        <v>140</v>
      </c>
      <c r="DY32" s="220"/>
    </row>
    <row r="33" customFormat="false" ht="12.75" hidden="false" customHeight="false" outlineLevel="0" collapsed="false">
      <c r="A33" s="145" t="n">
        <f aca="false">EOMONTH(A32,0)+1</f>
        <v>46539</v>
      </c>
      <c r="B33" s="135" t="n">
        <f aca="false">'Gas Curves'!C37</f>
        <v>0.0496764390548883</v>
      </c>
      <c r="C33" s="135"/>
      <c r="D33" s="173" t="n">
        <v>37114</v>
      </c>
      <c r="E33" s="174" t="n">
        <v>24</v>
      </c>
      <c r="F33" s="174" t="n">
        <v>28</v>
      </c>
      <c r="G33" s="174" t="n">
        <v>32</v>
      </c>
      <c r="H33" s="159"/>
      <c r="I33" s="174" t="n">
        <v>15.25</v>
      </c>
      <c r="J33" s="174" t="n">
        <v>15.25</v>
      </c>
      <c r="K33" s="174" t="n">
        <v>15.25</v>
      </c>
      <c r="L33" s="141"/>
      <c r="M33" s="142" t="n">
        <v>37469</v>
      </c>
      <c r="N33" s="175" t="n">
        <v>34.9200028991699</v>
      </c>
      <c r="O33" s="175" t="n">
        <v>34.9200028991699</v>
      </c>
      <c r="P33" s="175" t="n">
        <v>34.9200028991699</v>
      </c>
      <c r="Q33" s="62"/>
      <c r="R33" s="175" t="n">
        <v>27.4199990844727</v>
      </c>
      <c r="S33" s="175" t="n">
        <v>27.4199990844727</v>
      </c>
      <c r="T33" s="175" t="n">
        <v>27.4199990844727</v>
      </c>
      <c r="U33" s="62"/>
      <c r="V33" s="175" t="n">
        <v>0</v>
      </c>
      <c r="W33" s="175" t="n">
        <v>0</v>
      </c>
      <c r="X33" s="175" t="n">
        <v>0</v>
      </c>
      <c r="Y33" s="62"/>
      <c r="Z33" s="175" t="n">
        <v>0.36</v>
      </c>
      <c r="AA33" s="175" t="n">
        <v>0.45</v>
      </c>
      <c r="AB33" s="175" t="n">
        <v>0.54</v>
      </c>
      <c r="AC33" s="62"/>
      <c r="AD33" s="175" t="n">
        <v>0.18</v>
      </c>
      <c r="AE33" s="175" t="n">
        <v>0.225</v>
      </c>
      <c r="AF33" s="175" t="n">
        <v>0.27</v>
      </c>
      <c r="AG33" s="62"/>
      <c r="AH33" s="175" t="n">
        <v>0.72</v>
      </c>
      <c r="AI33" s="175" t="n">
        <v>0.9</v>
      </c>
      <c r="AJ33" s="175" t="n">
        <v>1.08</v>
      </c>
      <c r="AK33" s="62"/>
      <c r="AL33" s="175" t="n">
        <v>0.432</v>
      </c>
      <c r="AM33" s="175" t="n">
        <v>0.54</v>
      </c>
      <c r="AN33" s="175" t="n">
        <v>0.648</v>
      </c>
      <c r="AO33" s="62"/>
      <c r="AP33" s="141" t="n">
        <v>5</v>
      </c>
      <c r="AQ33" s="176" t="n">
        <v>0.1</v>
      </c>
      <c r="AR33" s="62"/>
      <c r="AS33" s="141" t="n">
        <v>1300</v>
      </c>
      <c r="AT33" s="189" t="n">
        <v>0.7</v>
      </c>
      <c r="AU33" s="189" t="n">
        <v>0.7</v>
      </c>
      <c r="AV33" s="189" t="n">
        <v>0.832369942196532</v>
      </c>
      <c r="AW33" s="189" t="n">
        <v>0.85</v>
      </c>
      <c r="AX33" s="189" t="n">
        <v>0.975</v>
      </c>
      <c r="AY33" s="189" t="n">
        <v>1.53</v>
      </c>
      <c r="AZ33" s="189" t="n">
        <v>1.63</v>
      </c>
      <c r="BA33" s="189" t="n">
        <v>1.63</v>
      </c>
      <c r="BB33" s="189" t="n">
        <v>0.935</v>
      </c>
      <c r="BC33" s="189" t="n">
        <v>0.85</v>
      </c>
      <c r="BD33" s="189" t="n">
        <v>0.7</v>
      </c>
      <c r="BE33" s="189" t="n">
        <v>0.73</v>
      </c>
      <c r="BF33" s="141" t="s">
        <v>93</v>
      </c>
      <c r="BG33" s="62"/>
      <c r="BH33" s="142" t="n">
        <v>37469</v>
      </c>
      <c r="BI33" s="178" t="n">
        <v>0.75</v>
      </c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117"/>
      <c r="CI33" s="116"/>
      <c r="CJ33" s="116"/>
      <c r="CK33" s="116"/>
      <c r="CM33" s="208"/>
      <c r="CN33" s="154"/>
      <c r="CO33" s="179"/>
      <c r="CP33" s="0"/>
      <c r="CQ33" s="0"/>
      <c r="CR33" s="0"/>
      <c r="CS33" s="0"/>
      <c r="CT33" s="0"/>
      <c r="CY33" s="180" t="n">
        <f aca="false">M33</f>
        <v>37469</v>
      </c>
      <c r="CZ33" s="181" t="n">
        <f aca="false">AH33</f>
        <v>0.72</v>
      </c>
      <c r="DA33" s="181" t="n">
        <f aca="false">AI33</f>
        <v>0.9</v>
      </c>
      <c r="DB33" s="181" t="n">
        <f aca="false">AJ33</f>
        <v>1.08</v>
      </c>
      <c r="DD33" s="181" t="n">
        <f aca="false">Z33</f>
        <v>0.36</v>
      </c>
      <c r="DE33" s="181" t="n">
        <f aca="false">AA33</f>
        <v>0.45</v>
      </c>
      <c r="DF33" s="181" t="n">
        <f aca="false">AB33</f>
        <v>0.54</v>
      </c>
      <c r="DH33" s="180" t="n">
        <f aca="false">BH33</f>
        <v>37469</v>
      </c>
      <c r="DI33" s="135" t="n">
        <f aca="false">BI33</f>
        <v>0.75</v>
      </c>
      <c r="DL33" s="180" t="n">
        <f aca="false">M33</f>
        <v>37469</v>
      </c>
      <c r="DM33" s="181" t="n">
        <f aca="false">AL33</f>
        <v>0.432</v>
      </c>
      <c r="DN33" s="181" t="n">
        <f aca="false">AM33</f>
        <v>0.54</v>
      </c>
      <c r="DO33" s="181" t="n">
        <f aca="false">AN33</f>
        <v>0.648</v>
      </c>
      <c r="DQ33" s="181" t="n">
        <f aca="false">AD33</f>
        <v>0.18</v>
      </c>
      <c r="DR33" s="181" t="n">
        <f aca="false">AE33</f>
        <v>0.225</v>
      </c>
      <c r="DS33" s="181" t="n">
        <f aca="false">AF33</f>
        <v>0.27</v>
      </c>
      <c r="DT33" s="141"/>
      <c r="DU33" s="0" t="n">
        <v>15</v>
      </c>
      <c r="DV33" s="186" t="s">
        <v>141</v>
      </c>
      <c r="DW33" s="187" t="s">
        <v>142</v>
      </c>
      <c r="DX33" s="188" t="s">
        <v>143</v>
      </c>
      <c r="DY33" s="220"/>
    </row>
    <row r="34" customFormat="false" ht="12.75" hidden="false" customHeight="false" outlineLevel="0" collapsed="false">
      <c r="A34" s="145" t="n">
        <f aca="false">EOMONTH(A33,0)+1</f>
        <v>46569</v>
      </c>
      <c r="B34" s="135" t="n">
        <f aca="false">'Gas Curves'!C38</f>
        <v>0.0499943183263252</v>
      </c>
      <c r="C34" s="135"/>
      <c r="D34" s="173" t="n">
        <v>37115</v>
      </c>
      <c r="E34" s="174" t="n">
        <v>24</v>
      </c>
      <c r="F34" s="174" t="n">
        <v>28</v>
      </c>
      <c r="G34" s="174" t="n">
        <v>32</v>
      </c>
      <c r="H34" s="159"/>
      <c r="I34" s="174" t="n">
        <v>15.25</v>
      </c>
      <c r="J34" s="174" t="n">
        <v>15.25</v>
      </c>
      <c r="K34" s="174" t="n">
        <v>15.25</v>
      </c>
      <c r="L34" s="141"/>
      <c r="M34" s="142" t="n">
        <v>37500</v>
      </c>
      <c r="N34" s="175" t="n">
        <v>26.9199990844727</v>
      </c>
      <c r="O34" s="175" t="n">
        <v>26.9199990844727</v>
      </c>
      <c r="P34" s="175" t="n">
        <v>26.9199990844727</v>
      </c>
      <c r="Q34" s="62"/>
      <c r="R34" s="175" t="n">
        <v>21.4199990844727</v>
      </c>
      <c r="S34" s="175" t="n">
        <v>21.4199990844727</v>
      </c>
      <c r="T34" s="175" t="n">
        <v>21.4199990844727</v>
      </c>
      <c r="U34" s="62"/>
      <c r="V34" s="175" t="n">
        <v>0</v>
      </c>
      <c r="W34" s="175" t="n">
        <v>0</v>
      </c>
      <c r="X34" s="175" t="n">
        <v>0</v>
      </c>
      <c r="Y34" s="62"/>
      <c r="Z34" s="175" t="n">
        <v>0.24</v>
      </c>
      <c r="AA34" s="175" t="n">
        <v>0.3</v>
      </c>
      <c r="AB34" s="175" t="n">
        <v>0.36</v>
      </c>
      <c r="AC34" s="62"/>
      <c r="AD34" s="175" t="n">
        <v>0.12</v>
      </c>
      <c r="AE34" s="175" t="n">
        <v>0.15</v>
      </c>
      <c r="AF34" s="175" t="n">
        <v>0.18</v>
      </c>
      <c r="AG34" s="62"/>
      <c r="AH34" s="175" t="n">
        <v>0.4</v>
      </c>
      <c r="AI34" s="175" t="n">
        <v>0.5</v>
      </c>
      <c r="AJ34" s="175" t="n">
        <v>0.6</v>
      </c>
      <c r="AK34" s="62"/>
      <c r="AL34" s="175" t="n">
        <v>0.24</v>
      </c>
      <c r="AM34" s="175" t="n">
        <v>0.3</v>
      </c>
      <c r="AN34" s="175" t="n">
        <v>0.36</v>
      </c>
      <c r="AO34" s="62"/>
      <c r="AP34" s="141" t="n">
        <v>6</v>
      </c>
      <c r="AQ34" s="176" t="n">
        <v>0.1</v>
      </c>
      <c r="AR34" s="62"/>
      <c r="AS34" s="141" t="n">
        <v>1400</v>
      </c>
      <c r="AT34" s="189" t="n">
        <v>0.7</v>
      </c>
      <c r="AU34" s="189" t="n">
        <v>0.7</v>
      </c>
      <c r="AV34" s="189" t="n">
        <v>0.832369942196532</v>
      </c>
      <c r="AW34" s="189" t="n">
        <v>0.85</v>
      </c>
      <c r="AX34" s="189" t="n">
        <v>0.99</v>
      </c>
      <c r="AY34" s="189" t="n">
        <v>1.53</v>
      </c>
      <c r="AZ34" s="189" t="n">
        <v>1.63</v>
      </c>
      <c r="BA34" s="189" t="n">
        <v>1.63</v>
      </c>
      <c r="BB34" s="189" t="n">
        <v>1.15</v>
      </c>
      <c r="BC34" s="189" t="n">
        <v>0.85</v>
      </c>
      <c r="BD34" s="189" t="n">
        <v>0.7</v>
      </c>
      <c r="BE34" s="189" t="n">
        <v>0.72</v>
      </c>
      <c r="BF34" s="141" t="s">
        <v>93</v>
      </c>
      <c r="BG34" s="62"/>
      <c r="BH34" s="142" t="n">
        <v>37500</v>
      </c>
      <c r="BI34" s="178" t="n">
        <v>0.75</v>
      </c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117"/>
      <c r="CI34" s="221"/>
      <c r="CJ34" s="148"/>
      <c r="CK34" s="148"/>
      <c r="CM34" s="208"/>
      <c r="CN34" s="154"/>
      <c r="CO34" s="179"/>
      <c r="CP34" s="0"/>
      <c r="CQ34" s="0"/>
      <c r="CR34" s="0"/>
      <c r="CS34" s="0"/>
      <c r="CT34" s="0"/>
      <c r="CY34" s="180" t="n">
        <f aca="false">M34</f>
        <v>37500</v>
      </c>
      <c r="CZ34" s="181" t="n">
        <f aca="false">AH34</f>
        <v>0.4</v>
      </c>
      <c r="DA34" s="181" t="n">
        <f aca="false">AI34</f>
        <v>0.5</v>
      </c>
      <c r="DB34" s="181" t="n">
        <f aca="false">AJ34</f>
        <v>0.6</v>
      </c>
      <c r="DD34" s="181" t="n">
        <f aca="false">Z34</f>
        <v>0.24</v>
      </c>
      <c r="DE34" s="181" t="n">
        <f aca="false">AA34</f>
        <v>0.3</v>
      </c>
      <c r="DF34" s="181" t="n">
        <f aca="false">AB34</f>
        <v>0.36</v>
      </c>
      <c r="DH34" s="180" t="n">
        <f aca="false">BH34</f>
        <v>37500</v>
      </c>
      <c r="DI34" s="135" t="n">
        <f aca="false">BI34</f>
        <v>0.75</v>
      </c>
      <c r="DL34" s="180" t="n">
        <f aca="false">M34</f>
        <v>37500</v>
      </c>
      <c r="DM34" s="181" t="n">
        <f aca="false">AL34</f>
        <v>0.24</v>
      </c>
      <c r="DN34" s="181" t="n">
        <f aca="false">AM34</f>
        <v>0.3</v>
      </c>
      <c r="DO34" s="181" t="n">
        <f aca="false">AN34</f>
        <v>0.36</v>
      </c>
      <c r="DQ34" s="181" t="n">
        <f aca="false">AD34</f>
        <v>0.12</v>
      </c>
      <c r="DR34" s="181" t="n">
        <f aca="false">AE34</f>
        <v>0.15</v>
      </c>
      <c r="DS34" s="181" t="n">
        <f aca="false">AF34</f>
        <v>0.18</v>
      </c>
      <c r="DT34" s="141"/>
      <c r="DU34" s="0" t="n">
        <v>16</v>
      </c>
      <c r="DV34" s="186" t="s">
        <v>144</v>
      </c>
      <c r="DW34" s="187" t="s">
        <v>145</v>
      </c>
      <c r="DX34" s="188" t="s">
        <v>146</v>
      </c>
      <c r="DY34" s="220"/>
    </row>
    <row r="35" customFormat="false" ht="12.75" hidden="false" customHeight="false" outlineLevel="0" collapsed="false">
      <c r="A35" s="145" t="n">
        <f aca="false">EOMONTH(A34,0)+1</f>
        <v>46600</v>
      </c>
      <c r="B35" s="135" t="n">
        <f aca="false">'Gas Curves'!C39</f>
        <v>0.0502814351166219</v>
      </c>
      <c r="C35" s="135"/>
      <c r="D35" s="173" t="n">
        <v>37116</v>
      </c>
      <c r="E35" s="174" t="n">
        <v>46.5</v>
      </c>
      <c r="F35" s="174" t="n">
        <v>50.5</v>
      </c>
      <c r="G35" s="174" t="n">
        <v>54.5</v>
      </c>
      <c r="H35" s="159"/>
      <c r="I35" s="174" t="n">
        <v>15.25</v>
      </c>
      <c r="J35" s="174" t="n">
        <v>15.25</v>
      </c>
      <c r="K35" s="174" t="n">
        <v>15.25</v>
      </c>
      <c r="L35" s="141"/>
      <c r="M35" s="142" t="n">
        <v>37530</v>
      </c>
      <c r="N35" s="175" t="n">
        <v>21.9159993743897</v>
      </c>
      <c r="O35" s="175" t="n">
        <v>21.9159993743897</v>
      </c>
      <c r="P35" s="175" t="n">
        <v>21.9159993743897</v>
      </c>
      <c r="Q35" s="62"/>
      <c r="R35" s="175" t="n">
        <v>16.4165010070801</v>
      </c>
      <c r="S35" s="175" t="n">
        <v>16.4165010070801</v>
      </c>
      <c r="T35" s="175" t="n">
        <v>16.4165010070801</v>
      </c>
      <c r="U35" s="62"/>
      <c r="V35" s="175" t="n">
        <v>0</v>
      </c>
      <c r="W35" s="175" t="n">
        <v>0</v>
      </c>
      <c r="X35" s="175" t="n">
        <v>0</v>
      </c>
      <c r="Y35" s="62"/>
      <c r="Z35" s="175" t="n">
        <v>0.24</v>
      </c>
      <c r="AA35" s="175" t="n">
        <v>0.3</v>
      </c>
      <c r="AB35" s="175" t="n">
        <v>0.36</v>
      </c>
      <c r="AC35" s="62"/>
      <c r="AD35" s="175" t="n">
        <v>0.12</v>
      </c>
      <c r="AE35" s="175" t="n">
        <v>0.15</v>
      </c>
      <c r="AF35" s="175" t="n">
        <v>0.18</v>
      </c>
      <c r="AG35" s="62"/>
      <c r="AH35" s="175" t="n">
        <v>0.4</v>
      </c>
      <c r="AI35" s="175" t="n">
        <v>0.5</v>
      </c>
      <c r="AJ35" s="175" t="n">
        <v>0.6</v>
      </c>
      <c r="AK35" s="62"/>
      <c r="AL35" s="175" t="n">
        <v>0.24</v>
      </c>
      <c r="AM35" s="175" t="n">
        <v>0.3</v>
      </c>
      <c r="AN35" s="175" t="n">
        <v>0.36</v>
      </c>
      <c r="AO35" s="62"/>
      <c r="AP35" s="141" t="n">
        <v>6</v>
      </c>
      <c r="AQ35" s="176" t="n">
        <v>0.1</v>
      </c>
      <c r="AR35" s="62"/>
      <c r="AS35" s="141" t="n">
        <v>1500</v>
      </c>
      <c r="AT35" s="189" t="n">
        <v>0.7</v>
      </c>
      <c r="AU35" s="189" t="n">
        <v>0.7</v>
      </c>
      <c r="AV35" s="189" t="n">
        <v>0.832369942196532</v>
      </c>
      <c r="AW35" s="189" t="n">
        <v>0.88</v>
      </c>
      <c r="AX35" s="189" t="n">
        <v>1.05</v>
      </c>
      <c r="AY35" s="189" t="n">
        <v>1.53</v>
      </c>
      <c r="AZ35" s="189" t="n">
        <v>1.63</v>
      </c>
      <c r="BA35" s="189" t="n">
        <v>1.63</v>
      </c>
      <c r="BB35" s="189" t="n">
        <v>1.38</v>
      </c>
      <c r="BC35" s="189" t="n">
        <v>0.88</v>
      </c>
      <c r="BD35" s="189" t="n">
        <v>0.7</v>
      </c>
      <c r="BE35" s="189" t="n">
        <v>0.73</v>
      </c>
      <c r="BF35" s="141" t="s">
        <v>93</v>
      </c>
      <c r="BG35" s="62"/>
      <c r="BH35" s="142" t="n">
        <v>37530</v>
      </c>
      <c r="BI35" s="178" t="n">
        <v>0.75</v>
      </c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117"/>
      <c r="CI35" s="152"/>
      <c r="CJ35" s="152"/>
      <c r="CK35" s="152"/>
      <c r="CM35" s="208"/>
      <c r="CN35" s="154"/>
      <c r="CO35" s="179"/>
      <c r="CP35" s="0"/>
      <c r="CQ35" s="0"/>
      <c r="CR35" s="0"/>
      <c r="CS35" s="0"/>
      <c r="CT35" s="0"/>
      <c r="CY35" s="180" t="n">
        <f aca="false">M35</f>
        <v>37530</v>
      </c>
      <c r="CZ35" s="181" t="n">
        <f aca="false">AH35</f>
        <v>0.4</v>
      </c>
      <c r="DA35" s="181" t="n">
        <f aca="false">AI35</f>
        <v>0.5</v>
      </c>
      <c r="DB35" s="181" t="n">
        <f aca="false">AJ35</f>
        <v>0.6</v>
      </c>
      <c r="DD35" s="181" t="n">
        <f aca="false">Z35</f>
        <v>0.24</v>
      </c>
      <c r="DE35" s="181" t="n">
        <f aca="false">AA35</f>
        <v>0.3</v>
      </c>
      <c r="DF35" s="181" t="n">
        <f aca="false">AB35</f>
        <v>0.36</v>
      </c>
      <c r="DH35" s="180" t="n">
        <f aca="false">BH35</f>
        <v>37530</v>
      </c>
      <c r="DI35" s="135" t="n">
        <f aca="false">BI35</f>
        <v>0.75</v>
      </c>
      <c r="DL35" s="180" t="n">
        <f aca="false">M35</f>
        <v>37530</v>
      </c>
      <c r="DM35" s="181" t="n">
        <f aca="false">AL35</f>
        <v>0.24</v>
      </c>
      <c r="DN35" s="181" t="n">
        <f aca="false">AM35</f>
        <v>0.3</v>
      </c>
      <c r="DO35" s="181" t="n">
        <f aca="false">AN35</f>
        <v>0.36</v>
      </c>
      <c r="DQ35" s="181" t="n">
        <f aca="false">AD35</f>
        <v>0.12</v>
      </c>
      <c r="DR35" s="181" t="n">
        <f aca="false">AE35</f>
        <v>0.15</v>
      </c>
      <c r="DS35" s="181" t="n">
        <f aca="false">AF35</f>
        <v>0.18</v>
      </c>
      <c r="DT35" s="141"/>
      <c r="DU35" s="0" t="n">
        <v>17</v>
      </c>
      <c r="DV35" s="186" t="s">
        <v>147</v>
      </c>
      <c r="DW35" s="187" t="s">
        <v>148</v>
      </c>
      <c r="DX35" s="188" t="s">
        <v>149</v>
      </c>
      <c r="DY35" s="220"/>
    </row>
    <row r="36" customFormat="false" ht="12.75" hidden="false" customHeight="false" outlineLevel="0" collapsed="false">
      <c r="A36" s="145" t="n">
        <f aca="false">EOMONTH(A35,0)+1</f>
        <v>46631</v>
      </c>
      <c r="B36" s="135" t="n">
        <f aca="false">'Gas Curves'!C40</f>
        <v>0.0505863742397183</v>
      </c>
      <c r="C36" s="135"/>
      <c r="D36" s="173" t="n">
        <v>37117</v>
      </c>
      <c r="E36" s="174" t="n">
        <v>46.5</v>
      </c>
      <c r="F36" s="174" t="n">
        <v>50.5</v>
      </c>
      <c r="G36" s="174" t="n">
        <v>54.5</v>
      </c>
      <c r="H36" s="159"/>
      <c r="I36" s="174" t="n">
        <v>15.25</v>
      </c>
      <c r="J36" s="174" t="n">
        <v>15.25</v>
      </c>
      <c r="K36" s="174" t="n">
        <v>15.25</v>
      </c>
      <c r="L36" s="141"/>
      <c r="M36" s="142" t="n">
        <v>37561</v>
      </c>
      <c r="N36" s="175" t="n">
        <v>23.9199990844727</v>
      </c>
      <c r="O36" s="175" t="n">
        <v>23.9199990844727</v>
      </c>
      <c r="P36" s="175" t="n">
        <v>23.9199990844727</v>
      </c>
      <c r="Q36" s="62"/>
      <c r="R36" s="175" t="n">
        <v>16.4200009918213</v>
      </c>
      <c r="S36" s="175" t="n">
        <v>16.4200009918213</v>
      </c>
      <c r="T36" s="175" t="n">
        <v>16.4200009918213</v>
      </c>
      <c r="U36" s="62"/>
      <c r="V36" s="175" t="n">
        <v>0</v>
      </c>
      <c r="W36" s="175" t="n">
        <v>0</v>
      </c>
      <c r="X36" s="175" t="n">
        <v>0</v>
      </c>
      <c r="Y36" s="62"/>
      <c r="Z36" s="175" t="n">
        <v>0.24</v>
      </c>
      <c r="AA36" s="175" t="n">
        <v>0.3</v>
      </c>
      <c r="AB36" s="175" t="n">
        <v>0.36</v>
      </c>
      <c r="AC36" s="62"/>
      <c r="AD36" s="175" t="n">
        <v>0.12</v>
      </c>
      <c r="AE36" s="175" t="n">
        <v>0.15</v>
      </c>
      <c r="AF36" s="175" t="n">
        <v>0.18</v>
      </c>
      <c r="AG36" s="62"/>
      <c r="AH36" s="175" t="n">
        <v>0.4</v>
      </c>
      <c r="AI36" s="175" t="n">
        <v>0.5</v>
      </c>
      <c r="AJ36" s="175" t="n">
        <v>0.6</v>
      </c>
      <c r="AK36" s="62"/>
      <c r="AL36" s="175" t="n">
        <v>0.24</v>
      </c>
      <c r="AM36" s="175" t="n">
        <v>0.3</v>
      </c>
      <c r="AN36" s="175" t="n">
        <v>0.36</v>
      </c>
      <c r="AO36" s="62"/>
      <c r="AP36" s="141" t="n">
        <v>6</v>
      </c>
      <c r="AQ36" s="176" t="n">
        <v>0.15</v>
      </c>
      <c r="AR36" s="62"/>
      <c r="AS36" s="141" t="n">
        <v>1600</v>
      </c>
      <c r="AT36" s="189" t="n">
        <v>0.8</v>
      </c>
      <c r="AU36" s="189" t="n">
        <v>0.8</v>
      </c>
      <c r="AV36" s="189" t="n">
        <v>0.832369942196532</v>
      </c>
      <c r="AW36" s="189" t="n">
        <v>0.88</v>
      </c>
      <c r="AX36" s="189" t="n">
        <v>1.1</v>
      </c>
      <c r="AY36" s="189" t="n">
        <v>1.53</v>
      </c>
      <c r="AZ36" s="189" t="n">
        <v>1.63</v>
      </c>
      <c r="BA36" s="189" t="n">
        <v>1.63</v>
      </c>
      <c r="BB36" s="189" t="n">
        <v>1.43</v>
      </c>
      <c r="BC36" s="189" t="n">
        <v>0.88</v>
      </c>
      <c r="BD36" s="189" t="n">
        <v>0.7</v>
      </c>
      <c r="BE36" s="189" t="n">
        <v>0.74</v>
      </c>
      <c r="BF36" s="141" t="s">
        <v>93</v>
      </c>
      <c r="BG36" s="62"/>
      <c r="BH36" s="142" t="n">
        <v>37561</v>
      </c>
      <c r="BI36" s="178" t="n">
        <v>0.75</v>
      </c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117"/>
      <c r="CI36" s="152"/>
      <c r="CJ36" s="152"/>
      <c r="CK36" s="152"/>
      <c r="CM36" s="222"/>
      <c r="CN36" s="222"/>
      <c r="CO36" s="179"/>
      <c r="CP36" s="0"/>
      <c r="CQ36" s="0"/>
      <c r="CR36" s="0"/>
      <c r="CS36" s="0"/>
      <c r="CT36" s="0"/>
      <c r="CY36" s="180" t="n">
        <f aca="false">M36</f>
        <v>37561</v>
      </c>
      <c r="CZ36" s="181" t="n">
        <f aca="false">AH36</f>
        <v>0.4</v>
      </c>
      <c r="DA36" s="181" t="n">
        <f aca="false">AI36</f>
        <v>0.5</v>
      </c>
      <c r="DB36" s="181" t="n">
        <f aca="false">AJ36</f>
        <v>0.6</v>
      </c>
      <c r="DD36" s="181" t="n">
        <f aca="false">Z36</f>
        <v>0.24</v>
      </c>
      <c r="DE36" s="181" t="n">
        <f aca="false">AA36</f>
        <v>0.3</v>
      </c>
      <c r="DF36" s="181" t="n">
        <f aca="false">AB36</f>
        <v>0.36</v>
      </c>
      <c r="DH36" s="180" t="n">
        <f aca="false">BH36</f>
        <v>37561</v>
      </c>
      <c r="DI36" s="135" t="n">
        <f aca="false">BI36</f>
        <v>0.75</v>
      </c>
      <c r="DL36" s="180" t="n">
        <f aca="false">M36</f>
        <v>37561</v>
      </c>
      <c r="DM36" s="181" t="n">
        <f aca="false">AL36</f>
        <v>0.24</v>
      </c>
      <c r="DN36" s="181" t="n">
        <f aca="false">AM36</f>
        <v>0.3</v>
      </c>
      <c r="DO36" s="181" t="n">
        <f aca="false">AN36</f>
        <v>0.36</v>
      </c>
      <c r="DQ36" s="181" t="n">
        <f aca="false">AD36</f>
        <v>0.12</v>
      </c>
      <c r="DR36" s="181" t="n">
        <f aca="false">AE36</f>
        <v>0.15</v>
      </c>
      <c r="DS36" s="181" t="n">
        <f aca="false">AF36</f>
        <v>0.18</v>
      </c>
      <c r="DT36" s="141"/>
      <c r="DU36" s="0" t="n">
        <v>18</v>
      </c>
      <c r="DV36" s="186" t="s">
        <v>150</v>
      </c>
      <c r="DW36" s="187" t="s">
        <v>151</v>
      </c>
      <c r="DX36" s="188" t="s">
        <v>152</v>
      </c>
      <c r="DY36" s="220"/>
    </row>
    <row r="37" customFormat="false" ht="12.75" hidden="false" customHeight="false" outlineLevel="0" collapsed="false">
      <c r="A37" s="145" t="n">
        <f aca="false">EOMONTH(A36,0)+1</f>
        <v>46661</v>
      </c>
      <c r="B37" s="135" t="n">
        <f aca="false">'Gas Curves'!C41</f>
        <v>0.0508624287824251</v>
      </c>
      <c r="C37" s="135"/>
      <c r="D37" s="173" t="n">
        <v>37118</v>
      </c>
      <c r="E37" s="174" t="n">
        <v>46.5</v>
      </c>
      <c r="F37" s="174" t="n">
        <v>50.5</v>
      </c>
      <c r="G37" s="174" t="n">
        <v>54.5</v>
      </c>
      <c r="H37" s="159"/>
      <c r="I37" s="174" t="n">
        <v>15.25</v>
      </c>
      <c r="J37" s="174" t="n">
        <v>15.25</v>
      </c>
      <c r="K37" s="174" t="n">
        <v>15.25</v>
      </c>
      <c r="L37" s="141"/>
      <c r="M37" s="142" t="n">
        <v>37591</v>
      </c>
      <c r="N37" s="175" t="n">
        <v>28.9199990844727</v>
      </c>
      <c r="O37" s="175" t="n">
        <v>28.9199990844727</v>
      </c>
      <c r="P37" s="175" t="n">
        <v>28.9199990844727</v>
      </c>
      <c r="Q37" s="62"/>
      <c r="R37" s="175" t="n">
        <v>23.4199990844727</v>
      </c>
      <c r="S37" s="175" t="n">
        <v>23.4199990844727</v>
      </c>
      <c r="T37" s="175" t="n">
        <v>23.4199990844727</v>
      </c>
      <c r="U37" s="62"/>
      <c r="V37" s="175" t="n">
        <v>0</v>
      </c>
      <c r="W37" s="175" t="n">
        <v>0</v>
      </c>
      <c r="X37" s="175" t="n">
        <v>0</v>
      </c>
      <c r="Y37" s="62"/>
      <c r="Z37" s="175" t="n">
        <v>0.24</v>
      </c>
      <c r="AA37" s="175" t="n">
        <v>0.3</v>
      </c>
      <c r="AB37" s="175" t="n">
        <v>0.36</v>
      </c>
      <c r="AC37" s="62"/>
      <c r="AD37" s="175" t="n">
        <v>0.12</v>
      </c>
      <c r="AE37" s="175" t="n">
        <v>0.15</v>
      </c>
      <c r="AF37" s="175" t="n">
        <v>0.18</v>
      </c>
      <c r="AG37" s="62"/>
      <c r="AH37" s="175" t="n">
        <v>0.4</v>
      </c>
      <c r="AI37" s="175" t="n">
        <v>0.5</v>
      </c>
      <c r="AJ37" s="175" t="n">
        <v>0.6</v>
      </c>
      <c r="AK37" s="62"/>
      <c r="AL37" s="175" t="n">
        <v>0.24</v>
      </c>
      <c r="AM37" s="175" t="n">
        <v>0.3</v>
      </c>
      <c r="AN37" s="175" t="n">
        <v>0.36</v>
      </c>
      <c r="AO37" s="62"/>
      <c r="AP37" s="141" t="n">
        <v>7</v>
      </c>
      <c r="AQ37" s="176" t="n">
        <v>0.15</v>
      </c>
      <c r="AR37" s="62"/>
      <c r="AS37" s="141" t="n">
        <v>1700</v>
      </c>
      <c r="AT37" s="189" t="n">
        <v>1</v>
      </c>
      <c r="AU37" s="189" t="n">
        <v>1</v>
      </c>
      <c r="AV37" s="189" t="n">
        <v>1.01734104046243</v>
      </c>
      <c r="AW37" s="189" t="n">
        <v>1.05</v>
      </c>
      <c r="AX37" s="189" t="n">
        <v>1.1</v>
      </c>
      <c r="AY37" s="189" t="n">
        <v>1.53</v>
      </c>
      <c r="AZ37" s="189" t="n">
        <v>1.63</v>
      </c>
      <c r="BA37" s="189" t="n">
        <v>1.63</v>
      </c>
      <c r="BB37" s="189" t="n">
        <v>1.55</v>
      </c>
      <c r="BC37" s="189" t="n">
        <v>1.05</v>
      </c>
      <c r="BD37" s="189" t="n">
        <v>1</v>
      </c>
      <c r="BE37" s="189" t="n">
        <v>1.12</v>
      </c>
      <c r="BF37" s="141" t="s">
        <v>93</v>
      </c>
      <c r="BG37" s="62"/>
      <c r="BH37" s="142" t="n">
        <v>37591</v>
      </c>
      <c r="BI37" s="178" t="n">
        <v>0.75</v>
      </c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117"/>
      <c r="CI37" s="166"/>
      <c r="CJ37" s="166"/>
      <c r="CK37" s="166"/>
      <c r="CM37" s="222"/>
      <c r="CN37" s="222"/>
      <c r="CO37" s="179"/>
      <c r="CP37" s="0"/>
      <c r="CQ37" s="0"/>
      <c r="CR37" s="0"/>
      <c r="CS37" s="0"/>
      <c r="CT37" s="0"/>
      <c r="CY37" s="180" t="n">
        <f aca="false">M37</f>
        <v>37591</v>
      </c>
      <c r="CZ37" s="181" t="n">
        <f aca="false">AH37</f>
        <v>0.4</v>
      </c>
      <c r="DA37" s="181" t="n">
        <f aca="false">AI37</f>
        <v>0.5</v>
      </c>
      <c r="DB37" s="181" t="n">
        <f aca="false">AJ37</f>
        <v>0.6</v>
      </c>
      <c r="DD37" s="181" t="n">
        <f aca="false">Z37</f>
        <v>0.24</v>
      </c>
      <c r="DE37" s="181" t="n">
        <f aca="false">AA37</f>
        <v>0.3</v>
      </c>
      <c r="DF37" s="181" t="n">
        <f aca="false">AB37</f>
        <v>0.36</v>
      </c>
      <c r="DH37" s="180" t="n">
        <f aca="false">BH37</f>
        <v>37591</v>
      </c>
      <c r="DI37" s="135" t="n">
        <f aca="false">BI37</f>
        <v>0.75</v>
      </c>
      <c r="DL37" s="180" t="n">
        <f aca="false">M37</f>
        <v>37591</v>
      </c>
      <c r="DM37" s="181" t="n">
        <f aca="false">AL37</f>
        <v>0.24</v>
      </c>
      <c r="DN37" s="181" t="n">
        <f aca="false">AM37</f>
        <v>0.3</v>
      </c>
      <c r="DO37" s="181" t="n">
        <f aca="false">AN37</f>
        <v>0.36</v>
      </c>
      <c r="DQ37" s="181" t="n">
        <f aca="false">AD37</f>
        <v>0.12</v>
      </c>
      <c r="DR37" s="181" t="n">
        <f aca="false">AE37</f>
        <v>0.15</v>
      </c>
      <c r="DS37" s="181" t="n">
        <f aca="false">AF37</f>
        <v>0.18</v>
      </c>
      <c r="DT37" s="141"/>
      <c r="DU37" s="0" t="n">
        <v>19</v>
      </c>
      <c r="DV37" s="186" t="s">
        <v>153</v>
      </c>
      <c r="DW37" s="187" t="s">
        <v>154</v>
      </c>
      <c r="DX37" s="188" t="s">
        <v>155</v>
      </c>
      <c r="DY37" s="220"/>
    </row>
    <row r="38" customFormat="false" ht="12.75" hidden="false" customHeight="false" outlineLevel="0" collapsed="false">
      <c r="A38" s="145" t="n">
        <f aca="false">EOMONTH(A37,0)+1</f>
        <v>46692</v>
      </c>
      <c r="B38" s="135" t="n">
        <f aca="false">'Gas Curves'!C42</f>
        <v>0.0511476851699415</v>
      </c>
      <c r="C38" s="135"/>
      <c r="D38" s="173" t="n">
        <v>37119</v>
      </c>
      <c r="E38" s="174" t="n">
        <v>46.5</v>
      </c>
      <c r="F38" s="174" t="n">
        <v>50.5</v>
      </c>
      <c r="G38" s="174" t="n">
        <v>54.5</v>
      </c>
      <c r="H38" s="159"/>
      <c r="I38" s="174" t="n">
        <v>15.25</v>
      </c>
      <c r="J38" s="174" t="n">
        <v>15.25</v>
      </c>
      <c r="K38" s="174" t="n">
        <v>15.25</v>
      </c>
      <c r="L38" s="141"/>
      <c r="M38" s="142" t="n">
        <v>37622</v>
      </c>
      <c r="N38" s="175" t="n">
        <v>35.2699966430664</v>
      </c>
      <c r="O38" s="175" t="n">
        <v>35.2699966430664</v>
      </c>
      <c r="P38" s="175" t="n">
        <v>35.2699966430664</v>
      </c>
      <c r="Q38" s="62"/>
      <c r="R38" s="175" t="n">
        <v>24.7699966430664</v>
      </c>
      <c r="S38" s="175" t="n">
        <v>24.7699966430664</v>
      </c>
      <c r="T38" s="175" t="n">
        <v>24.7699966430664</v>
      </c>
      <c r="U38" s="62"/>
      <c r="V38" s="175" t="n">
        <v>0</v>
      </c>
      <c r="W38" s="175" t="n">
        <v>0</v>
      </c>
      <c r="X38" s="175" t="n">
        <v>0</v>
      </c>
      <c r="Y38" s="62"/>
      <c r="Z38" s="175" t="n">
        <v>0.24</v>
      </c>
      <c r="AA38" s="175" t="n">
        <v>0.3</v>
      </c>
      <c r="AB38" s="175" t="n">
        <v>0.36</v>
      </c>
      <c r="AC38" s="62"/>
      <c r="AD38" s="175" t="n">
        <v>0.12</v>
      </c>
      <c r="AE38" s="175" t="n">
        <v>0.15</v>
      </c>
      <c r="AF38" s="175" t="n">
        <v>0.18</v>
      </c>
      <c r="AG38" s="62"/>
      <c r="AH38" s="175" t="n">
        <v>0.36</v>
      </c>
      <c r="AI38" s="175" t="n">
        <v>0.45</v>
      </c>
      <c r="AJ38" s="175" t="n">
        <v>0.54</v>
      </c>
      <c r="AK38" s="62"/>
      <c r="AL38" s="175" t="n">
        <v>0.216</v>
      </c>
      <c r="AM38" s="175" t="n">
        <v>0.27</v>
      </c>
      <c r="AN38" s="175" t="n">
        <v>0.324</v>
      </c>
      <c r="AO38" s="62"/>
      <c r="AP38" s="141" t="n">
        <v>7</v>
      </c>
      <c r="AQ38" s="176" t="n">
        <v>0.15</v>
      </c>
      <c r="AR38" s="62"/>
      <c r="AS38" s="141" t="n">
        <v>1800</v>
      </c>
      <c r="AT38" s="189" t="n">
        <v>1.3</v>
      </c>
      <c r="AU38" s="189" t="n">
        <v>1.3</v>
      </c>
      <c r="AV38" s="189" t="n">
        <v>1.20231213872832</v>
      </c>
      <c r="AW38" s="189" t="n">
        <v>1.2</v>
      </c>
      <c r="AX38" s="189" t="n">
        <v>1.12</v>
      </c>
      <c r="AY38" s="189" t="n">
        <v>1.53</v>
      </c>
      <c r="AZ38" s="189" t="n">
        <v>1.63</v>
      </c>
      <c r="BA38" s="189" t="n">
        <v>1.63</v>
      </c>
      <c r="BB38" s="189" t="n">
        <v>1.5</v>
      </c>
      <c r="BC38" s="189" t="n">
        <v>1.2</v>
      </c>
      <c r="BD38" s="189" t="n">
        <v>1.255</v>
      </c>
      <c r="BE38" s="189" t="n">
        <v>1.35</v>
      </c>
      <c r="BF38" s="141" t="s">
        <v>93</v>
      </c>
      <c r="BG38" s="62"/>
      <c r="BH38" s="142" t="n">
        <v>37622</v>
      </c>
      <c r="BI38" s="178" t="n">
        <v>0.75</v>
      </c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117"/>
      <c r="CI38" s="166"/>
      <c r="CJ38" s="166"/>
      <c r="CK38" s="166"/>
      <c r="CM38" s="222"/>
      <c r="CN38" s="222"/>
      <c r="CO38" s="179"/>
      <c r="CP38" s="0"/>
      <c r="CQ38" s="0"/>
      <c r="CR38" s="0"/>
      <c r="CS38" s="0"/>
      <c r="CT38" s="0"/>
      <c r="CY38" s="180" t="n">
        <f aca="false">M38</f>
        <v>37622</v>
      </c>
      <c r="CZ38" s="181" t="n">
        <f aca="false">AH38</f>
        <v>0.36</v>
      </c>
      <c r="DA38" s="181" t="n">
        <f aca="false">AI38</f>
        <v>0.45</v>
      </c>
      <c r="DB38" s="181" t="n">
        <f aca="false">AJ38</f>
        <v>0.54</v>
      </c>
      <c r="DD38" s="181" t="n">
        <f aca="false">Z38</f>
        <v>0.24</v>
      </c>
      <c r="DE38" s="181" t="n">
        <f aca="false">AA38</f>
        <v>0.3</v>
      </c>
      <c r="DF38" s="181" t="n">
        <f aca="false">AB38</f>
        <v>0.36</v>
      </c>
      <c r="DH38" s="180" t="n">
        <f aca="false">BH38</f>
        <v>37622</v>
      </c>
      <c r="DI38" s="135" t="n">
        <f aca="false">BI38</f>
        <v>0.75</v>
      </c>
      <c r="DL38" s="180" t="n">
        <f aca="false">M38</f>
        <v>37622</v>
      </c>
      <c r="DM38" s="181" t="n">
        <f aca="false">AL38</f>
        <v>0.216</v>
      </c>
      <c r="DN38" s="181" t="n">
        <f aca="false">AM38</f>
        <v>0.27</v>
      </c>
      <c r="DO38" s="181" t="n">
        <f aca="false">AN38</f>
        <v>0.324</v>
      </c>
      <c r="DQ38" s="181" t="n">
        <f aca="false">AD38</f>
        <v>0.12</v>
      </c>
      <c r="DR38" s="181" t="n">
        <f aca="false">AE38</f>
        <v>0.15</v>
      </c>
      <c r="DS38" s="181" t="n">
        <f aca="false">AF38</f>
        <v>0.18</v>
      </c>
      <c r="DT38" s="141"/>
      <c r="DU38" s="0" t="n">
        <v>20</v>
      </c>
      <c r="DV38" s="186" t="s">
        <v>156</v>
      </c>
      <c r="DW38" s="187" t="s">
        <v>157</v>
      </c>
      <c r="DX38" s="188" t="s">
        <v>158</v>
      </c>
      <c r="DY38" s="220"/>
    </row>
    <row r="39" customFormat="false" ht="12.75" hidden="false" customHeight="false" outlineLevel="0" collapsed="false">
      <c r="A39" s="145" t="n">
        <f aca="false">EOMONTH(A38,0)+1</f>
        <v>46722</v>
      </c>
      <c r="B39" s="135" t="n">
        <f aca="false">'Gas Curves'!C43</f>
        <v>0.0514199693047868</v>
      </c>
      <c r="C39" s="135"/>
      <c r="D39" s="173" t="n">
        <v>37120</v>
      </c>
      <c r="E39" s="174" t="n">
        <v>46.5</v>
      </c>
      <c r="F39" s="174" t="n">
        <v>50.5</v>
      </c>
      <c r="G39" s="174" t="n">
        <v>54.5</v>
      </c>
      <c r="H39" s="159"/>
      <c r="I39" s="174" t="n">
        <v>15.25</v>
      </c>
      <c r="J39" s="174" t="n">
        <v>15.25</v>
      </c>
      <c r="K39" s="174" t="n">
        <v>15.25</v>
      </c>
      <c r="L39" s="141"/>
      <c r="M39" s="142" t="n">
        <v>37653</v>
      </c>
      <c r="N39" s="175" t="n">
        <v>30.765998840332</v>
      </c>
      <c r="O39" s="175" t="n">
        <v>30.765998840332</v>
      </c>
      <c r="P39" s="175" t="n">
        <v>30.765998840332</v>
      </c>
      <c r="Q39" s="62"/>
      <c r="R39" s="175" t="n">
        <v>22.2664985656738</v>
      </c>
      <c r="S39" s="175" t="n">
        <v>22.2664985656738</v>
      </c>
      <c r="T39" s="175" t="n">
        <v>22.2664985656738</v>
      </c>
      <c r="U39" s="62"/>
      <c r="V39" s="175" t="n">
        <v>0</v>
      </c>
      <c r="W39" s="175" t="n">
        <v>0</v>
      </c>
      <c r="X39" s="175" t="n">
        <v>0</v>
      </c>
      <c r="Y39" s="62"/>
      <c r="Z39" s="175" t="n">
        <v>0.24</v>
      </c>
      <c r="AA39" s="175" t="n">
        <v>0.3</v>
      </c>
      <c r="AB39" s="175" t="n">
        <v>0.36</v>
      </c>
      <c r="AC39" s="62"/>
      <c r="AD39" s="175" t="n">
        <v>0.12</v>
      </c>
      <c r="AE39" s="175" t="n">
        <v>0.15</v>
      </c>
      <c r="AF39" s="175" t="n">
        <v>0.18</v>
      </c>
      <c r="AG39" s="62"/>
      <c r="AH39" s="175" t="n">
        <v>0.36</v>
      </c>
      <c r="AI39" s="175" t="n">
        <v>0.45</v>
      </c>
      <c r="AJ39" s="175" t="n">
        <v>0.54</v>
      </c>
      <c r="AK39" s="62"/>
      <c r="AL39" s="175" t="n">
        <v>0.216</v>
      </c>
      <c r="AM39" s="175" t="n">
        <v>0.27</v>
      </c>
      <c r="AN39" s="175" t="n">
        <v>0.324</v>
      </c>
      <c r="AO39" s="62"/>
      <c r="AP39" s="141" t="n">
        <v>7</v>
      </c>
      <c r="AQ39" s="176" t="n">
        <v>0.15</v>
      </c>
      <c r="AR39" s="62"/>
      <c r="AS39" s="141" t="n">
        <v>1900</v>
      </c>
      <c r="AT39" s="189" t="n">
        <v>1.3</v>
      </c>
      <c r="AU39" s="189" t="n">
        <v>1.3</v>
      </c>
      <c r="AV39" s="189" t="n">
        <v>1.20231213872832</v>
      </c>
      <c r="AW39" s="189" t="n">
        <v>1.15</v>
      </c>
      <c r="AX39" s="189" t="n">
        <v>1.15</v>
      </c>
      <c r="AY39" s="189" t="n">
        <v>1.53</v>
      </c>
      <c r="AZ39" s="189" t="n">
        <v>1.63</v>
      </c>
      <c r="BA39" s="189" t="n">
        <v>1.63</v>
      </c>
      <c r="BB39" s="189" t="n">
        <v>1.45</v>
      </c>
      <c r="BC39" s="189" t="n">
        <v>1.15</v>
      </c>
      <c r="BD39" s="189" t="n">
        <v>1.54</v>
      </c>
      <c r="BE39" s="189" t="n">
        <v>1.35</v>
      </c>
      <c r="BF39" s="141" t="s">
        <v>93</v>
      </c>
      <c r="BG39" s="62"/>
      <c r="BH39" s="142" t="n">
        <v>37653</v>
      </c>
      <c r="BI39" s="178" t="n">
        <v>0.75</v>
      </c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117"/>
      <c r="CI39" s="166"/>
      <c r="CJ39" s="166"/>
      <c r="CK39" s="166"/>
      <c r="CM39" s="222"/>
      <c r="CN39" s="222"/>
      <c r="CO39" s="179"/>
      <c r="CP39" s="0"/>
      <c r="CQ39" s="0"/>
      <c r="CR39" s="0"/>
      <c r="CS39" s="0"/>
      <c r="CT39" s="0"/>
      <c r="CY39" s="180" t="n">
        <f aca="false">M39</f>
        <v>37653</v>
      </c>
      <c r="CZ39" s="181" t="n">
        <f aca="false">AH39</f>
        <v>0.36</v>
      </c>
      <c r="DA39" s="181" t="n">
        <f aca="false">AI39</f>
        <v>0.45</v>
      </c>
      <c r="DB39" s="181" t="n">
        <f aca="false">AJ39</f>
        <v>0.54</v>
      </c>
      <c r="DD39" s="181" t="n">
        <f aca="false">Z39</f>
        <v>0.24</v>
      </c>
      <c r="DE39" s="181" t="n">
        <f aca="false">AA39</f>
        <v>0.3</v>
      </c>
      <c r="DF39" s="181" t="n">
        <f aca="false">AB39</f>
        <v>0.36</v>
      </c>
      <c r="DH39" s="180" t="n">
        <f aca="false">BH39</f>
        <v>37653</v>
      </c>
      <c r="DI39" s="135" t="n">
        <f aca="false">BI39</f>
        <v>0.75</v>
      </c>
      <c r="DL39" s="180" t="n">
        <f aca="false">M39</f>
        <v>37653</v>
      </c>
      <c r="DM39" s="181" t="n">
        <f aca="false">AL39</f>
        <v>0.216</v>
      </c>
      <c r="DN39" s="181" t="n">
        <f aca="false">AM39</f>
        <v>0.27</v>
      </c>
      <c r="DO39" s="181" t="n">
        <f aca="false">AN39</f>
        <v>0.324</v>
      </c>
      <c r="DQ39" s="181" t="n">
        <f aca="false">AD39</f>
        <v>0.12</v>
      </c>
      <c r="DR39" s="181" t="n">
        <f aca="false">AE39</f>
        <v>0.15</v>
      </c>
      <c r="DS39" s="181" t="n">
        <f aca="false">AF39</f>
        <v>0.18</v>
      </c>
      <c r="DT39" s="73"/>
      <c r="DU39" s="0" t="n">
        <v>21</v>
      </c>
      <c r="DV39" s="186" t="s">
        <v>159</v>
      </c>
      <c r="DW39" s="187" t="s">
        <v>160</v>
      </c>
      <c r="DX39" s="188" t="s">
        <v>161</v>
      </c>
      <c r="DY39" s="220"/>
    </row>
    <row r="40" customFormat="false" ht="12.75" hidden="false" customHeight="false" outlineLevel="0" collapsed="false">
      <c r="A40" s="145" t="n">
        <f aca="false">EOMONTH(A39,0)+1</f>
        <v>46753</v>
      </c>
      <c r="B40" s="135" t="n">
        <f aca="false">'Gas Curves'!C44</f>
        <v>0.0516959245308728</v>
      </c>
      <c r="C40" s="135"/>
      <c r="D40" s="173" t="n">
        <v>37121</v>
      </c>
      <c r="E40" s="174" t="n">
        <v>26</v>
      </c>
      <c r="F40" s="174" t="n">
        <v>30</v>
      </c>
      <c r="G40" s="174" t="n">
        <v>34</v>
      </c>
      <c r="H40" s="159"/>
      <c r="I40" s="174" t="n">
        <v>15.25</v>
      </c>
      <c r="J40" s="174" t="n">
        <v>15.25</v>
      </c>
      <c r="K40" s="174" t="n">
        <v>15.25</v>
      </c>
      <c r="L40" s="141"/>
      <c r="M40" s="142" t="n">
        <v>37681</v>
      </c>
      <c r="N40" s="175" t="n">
        <v>25.0199966430664</v>
      </c>
      <c r="O40" s="175" t="n">
        <v>25.0199966430664</v>
      </c>
      <c r="P40" s="175" t="n">
        <v>25.0199966430664</v>
      </c>
      <c r="Q40" s="62"/>
      <c r="R40" s="175" t="n">
        <v>19.5199966430664</v>
      </c>
      <c r="S40" s="175" t="n">
        <v>19.5199966430664</v>
      </c>
      <c r="T40" s="175" t="n">
        <v>19.5199966430664</v>
      </c>
      <c r="U40" s="62"/>
      <c r="V40" s="175" t="n">
        <v>0</v>
      </c>
      <c r="W40" s="175" t="n">
        <v>0</v>
      </c>
      <c r="X40" s="175" t="n">
        <v>0</v>
      </c>
      <c r="Y40" s="62"/>
      <c r="Z40" s="175" t="n">
        <v>0.24</v>
      </c>
      <c r="AA40" s="175" t="n">
        <v>0.3</v>
      </c>
      <c r="AB40" s="175" t="n">
        <v>0.36</v>
      </c>
      <c r="AC40" s="62"/>
      <c r="AD40" s="175" t="n">
        <v>0.12</v>
      </c>
      <c r="AE40" s="175" t="n">
        <v>0.15</v>
      </c>
      <c r="AF40" s="175" t="n">
        <v>0.18</v>
      </c>
      <c r="AG40" s="62"/>
      <c r="AH40" s="175" t="n">
        <v>0.36</v>
      </c>
      <c r="AI40" s="175" t="n">
        <v>0.45</v>
      </c>
      <c r="AJ40" s="175" t="n">
        <v>0.54</v>
      </c>
      <c r="AK40" s="62"/>
      <c r="AL40" s="175" t="n">
        <v>0.216</v>
      </c>
      <c r="AM40" s="175" t="n">
        <v>0.27</v>
      </c>
      <c r="AN40" s="175" t="n">
        <v>0.324</v>
      </c>
      <c r="AO40" s="62"/>
      <c r="AP40" s="141" t="n">
        <v>8</v>
      </c>
      <c r="AQ40" s="176" t="n">
        <v>0.15</v>
      </c>
      <c r="AR40" s="62"/>
      <c r="AS40" s="141" t="n">
        <v>2000</v>
      </c>
      <c r="AT40" s="189" t="n">
        <v>1.15</v>
      </c>
      <c r="AU40" s="189" t="n">
        <v>1.15</v>
      </c>
      <c r="AV40" s="189" t="n">
        <v>1.01734104046243</v>
      </c>
      <c r="AW40" s="189" t="n">
        <v>1.05</v>
      </c>
      <c r="AX40" s="189" t="n">
        <v>1.12</v>
      </c>
      <c r="AY40" s="189" t="n">
        <v>1.53</v>
      </c>
      <c r="AZ40" s="189" t="n">
        <v>1.63</v>
      </c>
      <c r="BA40" s="189" t="n">
        <v>1.63</v>
      </c>
      <c r="BB40" s="189" t="n">
        <v>1.35</v>
      </c>
      <c r="BC40" s="189" t="n">
        <v>1.05</v>
      </c>
      <c r="BD40" s="189" t="n">
        <v>1.54</v>
      </c>
      <c r="BE40" s="189" t="n">
        <v>1.21</v>
      </c>
      <c r="BF40" s="141" t="s">
        <v>93</v>
      </c>
      <c r="BG40" s="62"/>
      <c r="BH40" s="142" t="n">
        <v>37681</v>
      </c>
      <c r="BI40" s="178" t="n">
        <v>0.75</v>
      </c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117"/>
      <c r="CI40" s="166"/>
      <c r="CJ40" s="166"/>
      <c r="CK40" s="166"/>
      <c r="CM40" s="222"/>
      <c r="CN40" s="222"/>
      <c r="CO40" s="179"/>
      <c r="CP40" s="0"/>
      <c r="CQ40" s="0"/>
      <c r="CR40" s="0"/>
      <c r="CS40" s="0"/>
      <c r="CT40" s="0"/>
      <c r="CY40" s="180" t="n">
        <f aca="false">M40</f>
        <v>37681</v>
      </c>
      <c r="CZ40" s="181" t="n">
        <f aca="false">AH40</f>
        <v>0.36</v>
      </c>
      <c r="DA40" s="181" t="n">
        <f aca="false">AI40</f>
        <v>0.45</v>
      </c>
      <c r="DB40" s="181" t="n">
        <f aca="false">AJ40</f>
        <v>0.54</v>
      </c>
      <c r="DD40" s="181" t="n">
        <f aca="false">Z40</f>
        <v>0.24</v>
      </c>
      <c r="DE40" s="181" t="n">
        <f aca="false">AA40</f>
        <v>0.3</v>
      </c>
      <c r="DF40" s="181" t="n">
        <f aca="false">AB40</f>
        <v>0.36</v>
      </c>
      <c r="DH40" s="180" t="n">
        <f aca="false">BH40</f>
        <v>37681</v>
      </c>
      <c r="DI40" s="135" t="n">
        <f aca="false">BI40</f>
        <v>0.75</v>
      </c>
      <c r="DL40" s="180" t="n">
        <f aca="false">M40</f>
        <v>37681</v>
      </c>
      <c r="DM40" s="181" t="n">
        <f aca="false">AL40</f>
        <v>0.216</v>
      </c>
      <c r="DN40" s="181" t="n">
        <f aca="false">AM40</f>
        <v>0.27</v>
      </c>
      <c r="DO40" s="181" t="n">
        <f aca="false">AN40</f>
        <v>0.324</v>
      </c>
      <c r="DQ40" s="181" t="n">
        <f aca="false">AD40</f>
        <v>0.12</v>
      </c>
      <c r="DR40" s="181" t="n">
        <f aca="false">AE40</f>
        <v>0.15</v>
      </c>
      <c r="DS40" s="181" t="n">
        <f aca="false">AF40</f>
        <v>0.18</v>
      </c>
      <c r="DT40" s="73"/>
      <c r="DU40" s="0" t="n">
        <v>22</v>
      </c>
      <c r="DV40" s="186" t="s">
        <v>162</v>
      </c>
      <c r="DW40" s="187" t="s">
        <v>163</v>
      </c>
      <c r="DX40" s="188" t="s">
        <v>164</v>
      </c>
      <c r="DY40" s="220"/>
    </row>
    <row r="41" customFormat="false" ht="12.75" hidden="false" customHeight="false" outlineLevel="0" collapsed="false">
      <c r="A41" s="145" t="n">
        <f aca="false">EOMONTH(A40,0)+1</f>
        <v>46784</v>
      </c>
      <c r="B41" s="135" t="n">
        <f aca="false">'Gas Curves'!C45</f>
        <v>0.0519718797823638</v>
      </c>
      <c r="C41" s="135"/>
      <c r="D41" s="173" t="n">
        <v>37122</v>
      </c>
      <c r="E41" s="174" t="n">
        <v>26</v>
      </c>
      <c r="F41" s="174" t="n">
        <v>30</v>
      </c>
      <c r="G41" s="174" t="n">
        <v>34</v>
      </c>
      <c r="H41" s="159"/>
      <c r="I41" s="174" t="n">
        <v>15.25</v>
      </c>
      <c r="J41" s="174" t="n">
        <v>15.25</v>
      </c>
      <c r="K41" s="174" t="n">
        <v>15.25</v>
      </c>
      <c r="L41" s="141"/>
      <c r="M41" s="142" t="n">
        <v>37712</v>
      </c>
      <c r="N41" s="175" t="n">
        <v>21.5199966430664</v>
      </c>
      <c r="O41" s="175" t="n">
        <v>21.5199966430664</v>
      </c>
      <c r="P41" s="175" t="n">
        <v>21.5199966430664</v>
      </c>
      <c r="Q41" s="62"/>
      <c r="R41" s="175" t="n">
        <v>16.0149993896484</v>
      </c>
      <c r="S41" s="175" t="n">
        <v>16.0149993896484</v>
      </c>
      <c r="T41" s="175" t="n">
        <v>16.0149993896484</v>
      </c>
      <c r="U41" s="62"/>
      <c r="V41" s="175" t="n">
        <v>0</v>
      </c>
      <c r="W41" s="175" t="n">
        <v>0</v>
      </c>
      <c r="X41" s="175" t="n">
        <v>0</v>
      </c>
      <c r="Y41" s="62"/>
      <c r="Z41" s="175" t="n">
        <v>0.24</v>
      </c>
      <c r="AA41" s="175" t="n">
        <v>0.3</v>
      </c>
      <c r="AB41" s="175" t="n">
        <v>0.36</v>
      </c>
      <c r="AC41" s="62"/>
      <c r="AD41" s="175" t="n">
        <v>0.12</v>
      </c>
      <c r="AE41" s="175" t="n">
        <v>0.15</v>
      </c>
      <c r="AF41" s="175" t="n">
        <v>0.18</v>
      </c>
      <c r="AG41" s="62"/>
      <c r="AH41" s="175" t="n">
        <v>0.36</v>
      </c>
      <c r="AI41" s="175" t="n">
        <v>0.45</v>
      </c>
      <c r="AJ41" s="175" t="n">
        <v>0.54</v>
      </c>
      <c r="AK41" s="62"/>
      <c r="AL41" s="175" t="n">
        <v>0.216</v>
      </c>
      <c r="AM41" s="175" t="n">
        <v>0.27</v>
      </c>
      <c r="AN41" s="175" t="n">
        <v>0.324</v>
      </c>
      <c r="AO41" s="62"/>
      <c r="AP41" s="141" t="n">
        <v>8</v>
      </c>
      <c r="AQ41" s="176" t="n">
        <v>0.15</v>
      </c>
      <c r="AR41" s="62"/>
      <c r="AS41" s="141" t="n">
        <v>2100</v>
      </c>
      <c r="AT41" s="189" t="n">
        <v>0.8</v>
      </c>
      <c r="AU41" s="189" t="n">
        <v>0.8</v>
      </c>
      <c r="AV41" s="189" t="n">
        <v>0.92485549132948</v>
      </c>
      <c r="AW41" s="189" t="n">
        <v>0.9</v>
      </c>
      <c r="AX41" s="189" t="n">
        <v>0.90282131661442</v>
      </c>
      <c r="AY41" s="189" t="n">
        <v>0.47</v>
      </c>
      <c r="AZ41" s="189" t="n">
        <v>0.37</v>
      </c>
      <c r="BA41" s="189" t="n">
        <v>0.37</v>
      </c>
      <c r="BB41" s="189" t="n">
        <v>1</v>
      </c>
      <c r="BC41" s="189" t="n">
        <v>0.9</v>
      </c>
      <c r="BD41" s="189" t="n">
        <v>1.205</v>
      </c>
      <c r="BE41" s="189" t="n">
        <v>0.95</v>
      </c>
      <c r="BF41" s="141" t="s">
        <v>93</v>
      </c>
      <c r="BG41" s="62"/>
      <c r="BH41" s="142" t="n">
        <v>37712</v>
      </c>
      <c r="BI41" s="178" t="n">
        <v>0.75</v>
      </c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117"/>
      <c r="CI41" s="166"/>
      <c r="CJ41" s="166"/>
      <c r="CK41" s="166"/>
      <c r="CM41" s="222"/>
      <c r="CN41" s="222"/>
      <c r="CO41" s="179"/>
      <c r="CP41" s="0"/>
      <c r="CQ41" s="0"/>
      <c r="CR41" s="0"/>
      <c r="CS41" s="0"/>
      <c r="CT41" s="0"/>
      <c r="CY41" s="180" t="n">
        <f aca="false">M41</f>
        <v>37712</v>
      </c>
      <c r="CZ41" s="181" t="n">
        <f aca="false">AH41</f>
        <v>0.36</v>
      </c>
      <c r="DA41" s="181" t="n">
        <f aca="false">AI41</f>
        <v>0.45</v>
      </c>
      <c r="DB41" s="181" t="n">
        <f aca="false">AJ41</f>
        <v>0.54</v>
      </c>
      <c r="DD41" s="181" t="n">
        <f aca="false">Z41</f>
        <v>0.24</v>
      </c>
      <c r="DE41" s="181" t="n">
        <f aca="false">AA41</f>
        <v>0.3</v>
      </c>
      <c r="DF41" s="181" t="n">
        <f aca="false">AB41</f>
        <v>0.36</v>
      </c>
      <c r="DH41" s="180" t="n">
        <f aca="false">BH41</f>
        <v>37712</v>
      </c>
      <c r="DI41" s="135" t="n">
        <f aca="false">BI41</f>
        <v>0.75</v>
      </c>
      <c r="DL41" s="180" t="n">
        <f aca="false">M41</f>
        <v>37712</v>
      </c>
      <c r="DM41" s="181" t="n">
        <f aca="false">AL41</f>
        <v>0.216</v>
      </c>
      <c r="DN41" s="181" t="n">
        <f aca="false">AM41</f>
        <v>0.27</v>
      </c>
      <c r="DO41" s="181" t="n">
        <f aca="false">AN41</f>
        <v>0.324</v>
      </c>
      <c r="DQ41" s="181" t="n">
        <f aca="false">AD41</f>
        <v>0.12</v>
      </c>
      <c r="DR41" s="181" t="n">
        <f aca="false">AE41</f>
        <v>0.15</v>
      </c>
      <c r="DS41" s="181" t="n">
        <f aca="false">AF41</f>
        <v>0.18</v>
      </c>
      <c r="DT41" s="73"/>
      <c r="DU41" s="0" t="n">
        <v>23</v>
      </c>
      <c r="DV41" s="186" t="s">
        <v>165</v>
      </c>
      <c r="DW41" s="187" t="s">
        <v>166</v>
      </c>
      <c r="DX41" s="188" t="s">
        <v>167</v>
      </c>
      <c r="DY41" s="220"/>
    </row>
    <row r="42" customFormat="false" ht="12.75" hidden="false" customHeight="false" outlineLevel="0" collapsed="false">
      <c r="A42" s="145" t="n">
        <f aca="false">EOMONTH(A41,0)+1</f>
        <v>46813</v>
      </c>
      <c r="B42" s="135" t="n">
        <f aca="false">'Gas Curves'!C46</f>
        <v>0.0522288176608496</v>
      </c>
      <c r="C42" s="135"/>
      <c r="D42" s="173" t="n">
        <v>37123</v>
      </c>
      <c r="E42" s="174" t="n">
        <v>46.5</v>
      </c>
      <c r="F42" s="174" t="n">
        <v>50.5</v>
      </c>
      <c r="G42" s="174" t="n">
        <v>54.5</v>
      </c>
      <c r="H42" s="159"/>
      <c r="I42" s="174" t="n">
        <v>15.25</v>
      </c>
      <c r="J42" s="174" t="n">
        <v>15.25</v>
      </c>
      <c r="K42" s="174" t="n">
        <v>15.25</v>
      </c>
      <c r="L42" s="141"/>
      <c r="M42" s="142" t="n">
        <v>37742</v>
      </c>
      <c r="N42" s="175" t="n">
        <v>21.8399982452393</v>
      </c>
      <c r="O42" s="175" t="n">
        <v>21.8399982452393</v>
      </c>
      <c r="P42" s="175" t="n">
        <v>21.8399982452393</v>
      </c>
      <c r="Q42" s="62"/>
      <c r="R42" s="175" t="n">
        <v>15.3450012207031</v>
      </c>
      <c r="S42" s="175" t="n">
        <v>15.3450012207031</v>
      </c>
      <c r="T42" s="175" t="n">
        <v>15.3450012207031</v>
      </c>
      <c r="U42" s="62"/>
      <c r="V42" s="175" t="n">
        <v>0</v>
      </c>
      <c r="W42" s="175" t="n">
        <v>0</v>
      </c>
      <c r="X42" s="175" t="n">
        <v>0</v>
      </c>
      <c r="Y42" s="62"/>
      <c r="Z42" s="175" t="n">
        <v>0.28</v>
      </c>
      <c r="AA42" s="175" t="n">
        <v>0.35</v>
      </c>
      <c r="AB42" s="175" t="n">
        <v>0.42</v>
      </c>
      <c r="AC42" s="62"/>
      <c r="AD42" s="175" t="n">
        <v>0.14</v>
      </c>
      <c r="AE42" s="175" t="n">
        <v>0.175</v>
      </c>
      <c r="AF42" s="175" t="n">
        <v>0.21</v>
      </c>
      <c r="AG42" s="62"/>
      <c r="AH42" s="175" t="n">
        <v>0.36</v>
      </c>
      <c r="AI42" s="175" t="n">
        <v>0.45</v>
      </c>
      <c r="AJ42" s="175" t="n">
        <v>0.54</v>
      </c>
      <c r="AK42" s="62"/>
      <c r="AL42" s="175" t="n">
        <v>0.216</v>
      </c>
      <c r="AM42" s="175" t="n">
        <v>0.27</v>
      </c>
      <c r="AN42" s="175" t="n">
        <v>0.324</v>
      </c>
      <c r="AO42" s="62"/>
      <c r="AP42" s="141" t="n">
        <v>8</v>
      </c>
      <c r="AQ42" s="176" t="n">
        <v>0.15</v>
      </c>
      <c r="AR42" s="62"/>
      <c r="AS42" s="141" t="n">
        <v>2200</v>
      </c>
      <c r="AT42" s="189" t="n">
        <v>0.79</v>
      </c>
      <c r="AU42" s="189" t="n">
        <v>0.79</v>
      </c>
      <c r="AV42" s="189" t="n">
        <v>0.832369942196532</v>
      </c>
      <c r="AW42" s="189" t="n">
        <v>0.85</v>
      </c>
      <c r="AX42" s="189" t="n">
        <v>0.85</v>
      </c>
      <c r="AY42" s="189" t="n">
        <v>0.47</v>
      </c>
      <c r="AZ42" s="189" t="n">
        <v>0.37</v>
      </c>
      <c r="BA42" s="189" t="n">
        <v>0.37</v>
      </c>
      <c r="BB42" s="189" t="n">
        <v>0.69</v>
      </c>
      <c r="BC42" s="189" t="n">
        <v>0.85</v>
      </c>
      <c r="BD42" s="189" t="n">
        <v>0.72</v>
      </c>
      <c r="BE42" s="189" t="n">
        <v>0.72</v>
      </c>
      <c r="BF42" s="141" t="s">
        <v>93</v>
      </c>
      <c r="BG42" s="62"/>
      <c r="BH42" s="142" t="n">
        <v>37742</v>
      </c>
      <c r="BI42" s="178" t="n">
        <v>0.75</v>
      </c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148"/>
      <c r="CI42" s="166"/>
      <c r="CJ42" s="166"/>
      <c r="CK42" s="166"/>
      <c r="CM42" s="222"/>
      <c r="CN42" s="222"/>
      <c r="CO42" s="179"/>
      <c r="CP42" s="0"/>
      <c r="CQ42" s="0"/>
      <c r="CR42" s="0"/>
      <c r="CS42" s="0"/>
      <c r="CT42" s="0"/>
      <c r="CY42" s="180" t="n">
        <f aca="false">M42</f>
        <v>37742</v>
      </c>
      <c r="CZ42" s="181" t="n">
        <f aca="false">AH42</f>
        <v>0.36</v>
      </c>
      <c r="DA42" s="181" t="n">
        <f aca="false">AI42</f>
        <v>0.45</v>
      </c>
      <c r="DB42" s="181" t="n">
        <f aca="false">AJ42</f>
        <v>0.54</v>
      </c>
      <c r="DD42" s="181" t="n">
        <f aca="false">Z42</f>
        <v>0.28</v>
      </c>
      <c r="DE42" s="181" t="n">
        <f aca="false">AA42</f>
        <v>0.35</v>
      </c>
      <c r="DF42" s="181" t="n">
        <f aca="false">AB42</f>
        <v>0.42</v>
      </c>
      <c r="DH42" s="180" t="n">
        <f aca="false">BH42</f>
        <v>37742</v>
      </c>
      <c r="DI42" s="135" t="n">
        <f aca="false">BI42</f>
        <v>0.75</v>
      </c>
      <c r="DL42" s="180" t="n">
        <f aca="false">M42</f>
        <v>37742</v>
      </c>
      <c r="DM42" s="181" t="n">
        <f aca="false">AL42</f>
        <v>0.216</v>
      </c>
      <c r="DN42" s="181" t="n">
        <f aca="false">AM42</f>
        <v>0.27</v>
      </c>
      <c r="DO42" s="181" t="n">
        <f aca="false">AN42</f>
        <v>0.324</v>
      </c>
      <c r="DQ42" s="181" t="n">
        <f aca="false">AD42</f>
        <v>0.14</v>
      </c>
      <c r="DR42" s="181" t="n">
        <f aca="false">AE42</f>
        <v>0.175</v>
      </c>
      <c r="DS42" s="181" t="n">
        <f aca="false">AF42</f>
        <v>0.21</v>
      </c>
      <c r="DT42" s="73"/>
      <c r="DU42" s="0" t="n">
        <v>24</v>
      </c>
      <c r="DV42" s="186" t="s">
        <v>168</v>
      </c>
      <c r="DW42" s="187" t="s">
        <v>169</v>
      </c>
      <c r="DX42" s="188" t="s">
        <v>170</v>
      </c>
      <c r="DY42" s="62"/>
    </row>
    <row r="43" customFormat="false" ht="12.75" hidden="false" customHeight="false" outlineLevel="0" collapsed="false">
      <c r="A43" s="145" t="n">
        <f aca="false">EOMONTH(A42,0)+1</f>
        <v>46844</v>
      </c>
      <c r="B43" s="135" t="n">
        <f aca="false">'Gas Curves'!C47</f>
        <v>0.0524816322594042</v>
      </c>
      <c r="C43" s="135"/>
      <c r="D43" s="173" t="n">
        <v>37124</v>
      </c>
      <c r="E43" s="174" t="n">
        <v>46.5</v>
      </c>
      <c r="F43" s="174" t="n">
        <v>50.5</v>
      </c>
      <c r="G43" s="174" t="n">
        <v>54.5</v>
      </c>
      <c r="H43" s="159"/>
      <c r="I43" s="174" t="n">
        <v>15.25</v>
      </c>
      <c r="J43" s="174" t="n">
        <v>15.25</v>
      </c>
      <c r="K43" s="174" t="n">
        <v>15.25</v>
      </c>
      <c r="L43" s="141"/>
      <c r="M43" s="142" t="n">
        <v>37773</v>
      </c>
      <c r="N43" s="175" t="n">
        <v>28.8399982452393</v>
      </c>
      <c r="O43" s="175" t="n">
        <v>28.8399982452393</v>
      </c>
      <c r="P43" s="175" t="n">
        <v>28.8399982452393</v>
      </c>
      <c r="Q43" s="62"/>
      <c r="R43" s="175" t="n">
        <v>19.3399982452393</v>
      </c>
      <c r="S43" s="175" t="n">
        <v>19.3399982452393</v>
      </c>
      <c r="T43" s="175" t="n">
        <v>19.3399982452393</v>
      </c>
      <c r="U43" s="62"/>
      <c r="V43" s="175" t="n">
        <v>0</v>
      </c>
      <c r="W43" s="175" t="n">
        <v>0</v>
      </c>
      <c r="X43" s="175" t="n">
        <v>0</v>
      </c>
      <c r="Y43" s="62"/>
      <c r="Z43" s="175" t="n">
        <v>0.28</v>
      </c>
      <c r="AA43" s="175" t="n">
        <v>0.35</v>
      </c>
      <c r="AB43" s="175" t="n">
        <v>0.42</v>
      </c>
      <c r="AC43" s="62"/>
      <c r="AD43" s="175" t="n">
        <v>0.14</v>
      </c>
      <c r="AE43" s="175" t="n">
        <v>0.175</v>
      </c>
      <c r="AF43" s="175" t="n">
        <v>0.21</v>
      </c>
      <c r="AG43" s="62"/>
      <c r="AH43" s="175" t="n">
        <v>0.44</v>
      </c>
      <c r="AI43" s="175" t="n">
        <v>0.55</v>
      </c>
      <c r="AJ43" s="175" t="n">
        <v>0.66</v>
      </c>
      <c r="AK43" s="62"/>
      <c r="AL43" s="175" t="n">
        <v>0.264</v>
      </c>
      <c r="AM43" s="175" t="n">
        <v>0.33</v>
      </c>
      <c r="AN43" s="175" t="n">
        <v>0.396</v>
      </c>
      <c r="AO43" s="62"/>
      <c r="AP43" s="141" t="n">
        <v>9</v>
      </c>
      <c r="AQ43" s="176" t="n">
        <v>0.15</v>
      </c>
      <c r="AR43" s="62"/>
      <c r="AS43" s="141" t="n">
        <v>2300</v>
      </c>
      <c r="AT43" s="189" t="n">
        <v>1.05</v>
      </c>
      <c r="AU43" s="189" t="n">
        <v>1.05</v>
      </c>
      <c r="AV43" s="189" t="n">
        <v>1.13942581548393</v>
      </c>
      <c r="AW43" s="189" t="n">
        <v>1.26515386305201</v>
      </c>
      <c r="AX43" s="189" t="n">
        <v>1.15</v>
      </c>
      <c r="AY43" s="189" t="n">
        <v>1.25</v>
      </c>
      <c r="AZ43" s="189" t="n">
        <v>1.29465582024753</v>
      </c>
      <c r="BA43" s="189" t="n">
        <v>1.29465582024753</v>
      </c>
      <c r="BB43" s="189" t="n">
        <v>1.25</v>
      </c>
      <c r="BC43" s="189" t="n">
        <v>1.26515386305201</v>
      </c>
      <c r="BD43" s="189" t="n">
        <v>1.11998824052749</v>
      </c>
      <c r="BE43" s="189" t="n">
        <v>1.11998824052749</v>
      </c>
      <c r="BF43" s="141" t="s">
        <v>101</v>
      </c>
      <c r="BG43" s="62"/>
      <c r="BH43" s="142" t="n">
        <v>37773</v>
      </c>
      <c r="BI43" s="178" t="n">
        <v>0.75</v>
      </c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166"/>
      <c r="CI43" s="166"/>
      <c r="CJ43" s="166"/>
      <c r="CK43" s="166"/>
      <c r="CM43" s="222"/>
      <c r="CN43" s="222"/>
      <c r="CO43" s="179"/>
      <c r="CP43" s="0"/>
      <c r="CQ43" s="0"/>
      <c r="CR43" s="0"/>
      <c r="CS43" s="0"/>
      <c r="CT43" s="0"/>
      <c r="CY43" s="180" t="n">
        <f aca="false">M43</f>
        <v>37773</v>
      </c>
      <c r="CZ43" s="181" t="n">
        <f aca="false">AH43</f>
        <v>0.44</v>
      </c>
      <c r="DA43" s="181" t="n">
        <f aca="false">AI43</f>
        <v>0.55</v>
      </c>
      <c r="DB43" s="181" t="n">
        <f aca="false">AJ43</f>
        <v>0.66</v>
      </c>
      <c r="DD43" s="181" t="n">
        <f aca="false">Z43</f>
        <v>0.28</v>
      </c>
      <c r="DE43" s="181" t="n">
        <f aca="false">AA43</f>
        <v>0.35</v>
      </c>
      <c r="DF43" s="181" t="n">
        <f aca="false">AB43</f>
        <v>0.42</v>
      </c>
      <c r="DH43" s="180" t="n">
        <f aca="false">BH43</f>
        <v>37773</v>
      </c>
      <c r="DI43" s="135" t="n">
        <f aca="false">BI43</f>
        <v>0.75</v>
      </c>
      <c r="DL43" s="180" t="n">
        <f aca="false">M43</f>
        <v>37773</v>
      </c>
      <c r="DM43" s="181" t="n">
        <f aca="false">AL43</f>
        <v>0.264</v>
      </c>
      <c r="DN43" s="181" t="n">
        <f aca="false">AM43</f>
        <v>0.33</v>
      </c>
      <c r="DO43" s="181" t="n">
        <f aca="false">AN43</f>
        <v>0.396</v>
      </c>
      <c r="DQ43" s="181" t="n">
        <f aca="false">AD43</f>
        <v>0.14</v>
      </c>
      <c r="DR43" s="181" t="n">
        <f aca="false">AE43</f>
        <v>0.175</v>
      </c>
      <c r="DS43" s="181" t="n">
        <f aca="false">AF43</f>
        <v>0.21</v>
      </c>
      <c r="DT43" s="73"/>
      <c r="DU43" s="0" t="n">
        <v>25</v>
      </c>
      <c r="DV43" s="209" t="s">
        <v>171</v>
      </c>
      <c r="DW43" s="210" t="s">
        <v>172</v>
      </c>
      <c r="DX43" s="211" t="s">
        <v>173</v>
      </c>
      <c r="DY43" s="62"/>
    </row>
    <row r="44" customFormat="false" ht="12.75" hidden="false" customHeight="false" outlineLevel="0" collapsed="false">
      <c r="A44" s="145" t="n">
        <f aca="false">EOMONTH(A43,0)+1</f>
        <v>46874</v>
      </c>
      <c r="B44" s="135" t="n">
        <f aca="false">'Gas Curves'!C48</f>
        <v>0.0527262915686228</v>
      </c>
      <c r="C44" s="135"/>
      <c r="D44" s="173" t="n">
        <v>37125</v>
      </c>
      <c r="E44" s="174" t="n">
        <v>46.5</v>
      </c>
      <c r="F44" s="174" t="n">
        <v>50.5</v>
      </c>
      <c r="G44" s="174" t="n">
        <v>54.5</v>
      </c>
      <c r="H44" s="159"/>
      <c r="I44" s="174" t="n">
        <v>15.25</v>
      </c>
      <c r="J44" s="174" t="n">
        <v>15.25</v>
      </c>
      <c r="K44" s="174" t="n">
        <v>15.25</v>
      </c>
      <c r="L44" s="141"/>
      <c r="M44" s="142" t="n">
        <v>37803</v>
      </c>
      <c r="N44" s="175" t="n">
        <v>34.8400039672852</v>
      </c>
      <c r="O44" s="175" t="n">
        <v>34.8400039672852</v>
      </c>
      <c r="P44" s="175" t="n">
        <v>34.8400039672852</v>
      </c>
      <c r="Q44" s="62"/>
      <c r="R44" s="175" t="n">
        <v>25.3399982452393</v>
      </c>
      <c r="S44" s="175" t="n">
        <v>25.3399982452393</v>
      </c>
      <c r="T44" s="175" t="n">
        <v>25.3399982452393</v>
      </c>
      <c r="U44" s="62"/>
      <c r="V44" s="175" t="n">
        <v>0</v>
      </c>
      <c r="W44" s="175" t="n">
        <v>0</v>
      </c>
      <c r="X44" s="175" t="n">
        <v>0</v>
      </c>
      <c r="Y44" s="62"/>
      <c r="Z44" s="175" t="n">
        <v>0.312</v>
      </c>
      <c r="AA44" s="175" t="n">
        <v>0.39</v>
      </c>
      <c r="AB44" s="175" t="n">
        <v>0.468</v>
      </c>
      <c r="AC44" s="62"/>
      <c r="AD44" s="175" t="n">
        <v>0.156</v>
      </c>
      <c r="AE44" s="175" t="n">
        <v>0.195</v>
      </c>
      <c r="AF44" s="175" t="n">
        <v>0.234</v>
      </c>
      <c r="AG44" s="62"/>
      <c r="AH44" s="175" t="n">
        <v>0.56</v>
      </c>
      <c r="AI44" s="175" t="n">
        <v>0.7</v>
      </c>
      <c r="AJ44" s="175" t="n">
        <v>0.84</v>
      </c>
      <c r="AK44" s="62"/>
      <c r="AL44" s="175" t="n">
        <v>0.336</v>
      </c>
      <c r="AM44" s="175" t="n">
        <v>0.42</v>
      </c>
      <c r="AN44" s="175" t="n">
        <v>0.504</v>
      </c>
      <c r="AO44" s="62"/>
      <c r="AP44" s="141" t="n">
        <v>9</v>
      </c>
      <c r="AQ44" s="176" t="n">
        <v>0.15</v>
      </c>
      <c r="AR44" s="62"/>
      <c r="AS44" s="141" t="n">
        <v>2400</v>
      </c>
      <c r="AT44" s="189" t="n">
        <v>0.95</v>
      </c>
      <c r="AU44" s="189" t="n">
        <v>0.95</v>
      </c>
      <c r="AV44" s="189" t="n">
        <v>1.06539539351647</v>
      </c>
      <c r="AW44" s="189" t="n">
        <v>1.15401118724704</v>
      </c>
      <c r="AX44" s="189" t="n">
        <v>0.958807332906934</v>
      </c>
      <c r="AY44" s="189" t="n">
        <v>1.21505912963884</v>
      </c>
      <c r="AZ44" s="189" t="n">
        <v>1.19131182078933</v>
      </c>
      <c r="BA44" s="189" t="n">
        <v>1.19131182078933</v>
      </c>
      <c r="BB44" s="189" t="n">
        <v>1.21505912963884</v>
      </c>
      <c r="BC44" s="189" t="n">
        <v>1.15401118724704</v>
      </c>
      <c r="BD44" s="189" t="n">
        <v>1.05392489132036</v>
      </c>
      <c r="BE44" s="189" t="n">
        <v>1.10392489132036</v>
      </c>
      <c r="BF44" s="141" t="s">
        <v>101</v>
      </c>
      <c r="BG44" s="62"/>
      <c r="BH44" s="142" t="n">
        <v>37803</v>
      </c>
      <c r="BI44" s="178" t="n">
        <v>0.75</v>
      </c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166"/>
      <c r="CI44" s="166"/>
      <c r="CJ44" s="166"/>
      <c r="CK44" s="166"/>
      <c r="CM44" s="222"/>
      <c r="CN44" s="222"/>
      <c r="CO44" s="179"/>
      <c r="CP44" s="0"/>
      <c r="CQ44" s="0"/>
      <c r="CR44" s="0"/>
      <c r="CS44" s="0"/>
      <c r="CT44" s="0"/>
      <c r="CY44" s="180" t="n">
        <f aca="false">M44</f>
        <v>37803</v>
      </c>
      <c r="CZ44" s="181" t="n">
        <f aca="false">AH44</f>
        <v>0.56</v>
      </c>
      <c r="DA44" s="181" t="n">
        <f aca="false">AI44</f>
        <v>0.7</v>
      </c>
      <c r="DB44" s="181" t="n">
        <f aca="false">AJ44</f>
        <v>0.84</v>
      </c>
      <c r="DD44" s="181" t="n">
        <f aca="false">Z44</f>
        <v>0.312</v>
      </c>
      <c r="DE44" s="181" t="n">
        <f aca="false">AA44</f>
        <v>0.39</v>
      </c>
      <c r="DF44" s="181" t="n">
        <f aca="false">AB44</f>
        <v>0.468</v>
      </c>
      <c r="DH44" s="180" t="n">
        <f aca="false">BH44</f>
        <v>37803</v>
      </c>
      <c r="DI44" s="135" t="n">
        <f aca="false">BI44</f>
        <v>0.75</v>
      </c>
      <c r="DL44" s="180" t="n">
        <f aca="false">M44</f>
        <v>37803</v>
      </c>
      <c r="DM44" s="181" t="n">
        <f aca="false">AL44</f>
        <v>0.336</v>
      </c>
      <c r="DN44" s="181" t="n">
        <f aca="false">AM44</f>
        <v>0.42</v>
      </c>
      <c r="DO44" s="181" t="n">
        <f aca="false">AN44</f>
        <v>0.504</v>
      </c>
      <c r="DQ44" s="181" t="n">
        <f aca="false">AD44</f>
        <v>0.156</v>
      </c>
      <c r="DR44" s="181" t="n">
        <f aca="false">AE44</f>
        <v>0.195</v>
      </c>
      <c r="DS44" s="181" t="n">
        <f aca="false">AF44</f>
        <v>0.234</v>
      </c>
      <c r="DT44" s="73"/>
      <c r="DU44" s="0" t="n">
        <v>26</v>
      </c>
      <c r="DV44" s="209" t="s">
        <v>174</v>
      </c>
      <c r="DW44" s="210" t="s">
        <v>175</v>
      </c>
      <c r="DX44" s="211" t="s">
        <v>176</v>
      </c>
      <c r="DY44" s="62"/>
    </row>
    <row r="45" customFormat="false" ht="12.75" hidden="false" customHeight="false" outlineLevel="0" collapsed="false">
      <c r="A45" s="145" t="n">
        <f aca="false">EOMONTH(A44,0)+1</f>
        <v>46905</v>
      </c>
      <c r="B45" s="135" t="n">
        <f aca="false">'Gas Curves'!C49</f>
        <v>0.0529779405420663</v>
      </c>
      <c r="C45" s="135"/>
      <c r="D45" s="173" t="n">
        <v>37126</v>
      </c>
      <c r="E45" s="174" t="n">
        <v>46.5</v>
      </c>
      <c r="F45" s="174" t="n">
        <v>50.5</v>
      </c>
      <c r="G45" s="174" t="n">
        <v>54.5</v>
      </c>
      <c r="H45" s="159"/>
      <c r="I45" s="174" t="n">
        <v>15.25</v>
      </c>
      <c r="J45" s="174" t="n">
        <v>15.25</v>
      </c>
      <c r="K45" s="174" t="n">
        <v>15.25</v>
      </c>
      <c r="L45" s="141"/>
      <c r="M45" s="142" t="n">
        <v>37834</v>
      </c>
      <c r="N45" s="175" t="n">
        <v>32.8400077819824</v>
      </c>
      <c r="O45" s="175" t="n">
        <v>32.8400077819824</v>
      </c>
      <c r="P45" s="175" t="n">
        <v>32.8400077819824</v>
      </c>
      <c r="Q45" s="62"/>
      <c r="R45" s="175" t="n">
        <v>25.3399982452393</v>
      </c>
      <c r="S45" s="175" t="n">
        <v>25.3399982452393</v>
      </c>
      <c r="T45" s="175" t="n">
        <v>25.3399982452393</v>
      </c>
      <c r="U45" s="62"/>
      <c r="V45" s="175" t="n">
        <v>0</v>
      </c>
      <c r="W45" s="175" t="n">
        <v>0</v>
      </c>
      <c r="X45" s="175" t="n">
        <v>0</v>
      </c>
      <c r="Y45" s="62"/>
      <c r="Z45" s="175" t="n">
        <v>0.312</v>
      </c>
      <c r="AA45" s="175" t="n">
        <v>0.39</v>
      </c>
      <c r="AB45" s="175" t="n">
        <v>0.468</v>
      </c>
      <c r="AC45" s="62"/>
      <c r="AD45" s="175" t="n">
        <v>0.156</v>
      </c>
      <c r="AE45" s="175" t="n">
        <v>0.195</v>
      </c>
      <c r="AF45" s="175" t="n">
        <v>0.234</v>
      </c>
      <c r="AG45" s="62"/>
      <c r="AH45" s="175" t="n">
        <v>0.56</v>
      </c>
      <c r="AI45" s="175" t="n">
        <v>0.7</v>
      </c>
      <c r="AJ45" s="175" t="n">
        <v>0.84</v>
      </c>
      <c r="AK45" s="62"/>
      <c r="AL45" s="175" t="n">
        <v>0.336</v>
      </c>
      <c r="AM45" s="175" t="n">
        <v>0.42</v>
      </c>
      <c r="AN45" s="175" t="n">
        <v>0.504</v>
      </c>
      <c r="AO45" s="62"/>
      <c r="AP45" s="141" t="n">
        <v>9</v>
      </c>
      <c r="AQ45" s="176" t="n">
        <v>0.15</v>
      </c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142" t="n">
        <v>37834</v>
      </c>
      <c r="BI45" s="178" t="n">
        <v>0.75</v>
      </c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166"/>
      <c r="CI45" s="166"/>
      <c r="CJ45" s="166"/>
      <c r="CK45" s="166"/>
      <c r="CM45" s="222"/>
      <c r="CN45" s="222"/>
      <c r="CO45" s="179"/>
      <c r="CP45" s="0"/>
      <c r="CQ45" s="0"/>
      <c r="CR45" s="0"/>
      <c r="CS45" s="0"/>
      <c r="CT45" s="0"/>
      <c r="CY45" s="180" t="n">
        <f aca="false">M45</f>
        <v>37834</v>
      </c>
      <c r="CZ45" s="181" t="n">
        <f aca="false">AH45</f>
        <v>0.56</v>
      </c>
      <c r="DA45" s="181" t="n">
        <f aca="false">AI45</f>
        <v>0.7</v>
      </c>
      <c r="DB45" s="181" t="n">
        <f aca="false">AJ45</f>
        <v>0.84</v>
      </c>
      <c r="DD45" s="181" t="n">
        <f aca="false">Z45</f>
        <v>0.312</v>
      </c>
      <c r="DE45" s="181" t="n">
        <f aca="false">AA45</f>
        <v>0.39</v>
      </c>
      <c r="DF45" s="181" t="n">
        <f aca="false">AB45</f>
        <v>0.468</v>
      </c>
      <c r="DH45" s="180" t="n">
        <f aca="false">BH45</f>
        <v>37834</v>
      </c>
      <c r="DI45" s="135" t="n">
        <f aca="false">BI45</f>
        <v>0.75</v>
      </c>
      <c r="DL45" s="180" t="n">
        <f aca="false">M45</f>
        <v>37834</v>
      </c>
      <c r="DM45" s="181" t="n">
        <f aca="false">AL45</f>
        <v>0.336</v>
      </c>
      <c r="DN45" s="181" t="n">
        <f aca="false">AM45</f>
        <v>0.42</v>
      </c>
      <c r="DO45" s="181" t="n">
        <f aca="false">AN45</f>
        <v>0.504</v>
      </c>
      <c r="DQ45" s="181" t="n">
        <f aca="false">AD45</f>
        <v>0.156</v>
      </c>
      <c r="DR45" s="181" t="n">
        <f aca="false">AE45</f>
        <v>0.195</v>
      </c>
      <c r="DS45" s="181" t="n">
        <f aca="false">AF45</f>
        <v>0.234</v>
      </c>
      <c r="DT45" s="73"/>
      <c r="DU45" s="0" t="n">
        <v>27</v>
      </c>
      <c r="DV45" s="209" t="s">
        <v>177</v>
      </c>
      <c r="DW45" s="210" t="s">
        <v>178</v>
      </c>
      <c r="DX45" s="211" t="n">
        <v>9</v>
      </c>
      <c r="DY45" s="62"/>
    </row>
    <row r="46" customFormat="false" ht="12.75" hidden="false" customHeight="false" outlineLevel="0" collapsed="false">
      <c r="A46" s="145" t="n">
        <f aca="false">EOMONTH(A45,0)+1</f>
        <v>46935</v>
      </c>
      <c r="B46" s="135" t="n">
        <f aca="false">'Gas Curves'!C50</f>
        <v>0.0532283461583338</v>
      </c>
      <c r="C46" s="135"/>
      <c r="D46" s="173" t="n">
        <v>37127</v>
      </c>
      <c r="E46" s="174" t="n">
        <v>46.5</v>
      </c>
      <c r="F46" s="174" t="n">
        <v>50.5</v>
      </c>
      <c r="G46" s="174" t="n">
        <v>54.5</v>
      </c>
      <c r="H46" s="159"/>
      <c r="I46" s="174" t="n">
        <v>15.25</v>
      </c>
      <c r="J46" s="174" t="n">
        <v>15.25</v>
      </c>
      <c r="K46" s="174" t="n">
        <v>15.25</v>
      </c>
      <c r="L46" s="141"/>
      <c r="M46" s="142" t="n">
        <v>37865</v>
      </c>
      <c r="N46" s="175" t="n">
        <v>24.8399982452393</v>
      </c>
      <c r="O46" s="175" t="n">
        <v>24.8399982452393</v>
      </c>
      <c r="P46" s="175" t="n">
        <v>24.8399982452393</v>
      </c>
      <c r="Q46" s="62"/>
      <c r="R46" s="175" t="n">
        <v>19.3399982452393</v>
      </c>
      <c r="S46" s="175" t="n">
        <v>19.3399982452393</v>
      </c>
      <c r="T46" s="175" t="n">
        <v>19.3399982452393</v>
      </c>
      <c r="U46" s="62"/>
      <c r="V46" s="175" t="n">
        <v>0</v>
      </c>
      <c r="W46" s="175" t="n">
        <v>0</v>
      </c>
      <c r="X46" s="175" t="n">
        <v>0</v>
      </c>
      <c r="Y46" s="62"/>
      <c r="Z46" s="175" t="n">
        <v>0.2</v>
      </c>
      <c r="AA46" s="175" t="n">
        <v>0.25</v>
      </c>
      <c r="AB46" s="175" t="n">
        <v>0.3</v>
      </c>
      <c r="AC46" s="62"/>
      <c r="AD46" s="175" t="n">
        <v>0.1</v>
      </c>
      <c r="AE46" s="175" t="n">
        <v>0.125</v>
      </c>
      <c r="AF46" s="175" t="n">
        <v>0.15</v>
      </c>
      <c r="AG46" s="62"/>
      <c r="AH46" s="175" t="n">
        <v>0.28</v>
      </c>
      <c r="AI46" s="175" t="n">
        <v>0.35</v>
      </c>
      <c r="AJ46" s="175" t="n">
        <v>0.42</v>
      </c>
      <c r="AK46" s="62"/>
      <c r="AL46" s="175" t="n">
        <v>0.168</v>
      </c>
      <c r="AM46" s="175" t="n">
        <v>0.21</v>
      </c>
      <c r="AN46" s="175" t="n">
        <v>0.252</v>
      </c>
      <c r="AO46" s="62"/>
      <c r="AP46" s="141" t="n">
        <v>10</v>
      </c>
      <c r="AQ46" s="176" t="n">
        <v>0.15</v>
      </c>
      <c r="AR46" s="62"/>
      <c r="AS46" s="141" t="s">
        <v>179</v>
      </c>
      <c r="AT46" s="62"/>
      <c r="AU46" s="62"/>
      <c r="AV46" s="141" t="s">
        <v>180</v>
      </c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142" t="n">
        <v>37865</v>
      </c>
      <c r="BI46" s="178" t="n">
        <v>0.75</v>
      </c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166"/>
      <c r="CI46" s="166"/>
      <c r="CJ46" s="166"/>
      <c r="CK46" s="166"/>
      <c r="CM46" s="222"/>
      <c r="CN46" s="222"/>
      <c r="CO46" s="179"/>
      <c r="CP46" s="0"/>
      <c r="CQ46" s="0"/>
      <c r="CR46" s="0"/>
      <c r="CS46" s="0"/>
      <c r="CT46" s="0"/>
      <c r="CY46" s="180" t="n">
        <f aca="false">M46</f>
        <v>37865</v>
      </c>
      <c r="CZ46" s="181" t="n">
        <f aca="false">AH46</f>
        <v>0.28</v>
      </c>
      <c r="DA46" s="181" t="n">
        <f aca="false">AI46</f>
        <v>0.35</v>
      </c>
      <c r="DB46" s="181" t="n">
        <f aca="false">AJ46</f>
        <v>0.42</v>
      </c>
      <c r="DD46" s="181" t="n">
        <f aca="false">Z46</f>
        <v>0.2</v>
      </c>
      <c r="DE46" s="181" t="n">
        <f aca="false">AA46</f>
        <v>0.25</v>
      </c>
      <c r="DF46" s="181" t="n">
        <f aca="false">AB46</f>
        <v>0.3</v>
      </c>
      <c r="DH46" s="180" t="n">
        <f aca="false">BH46</f>
        <v>37865</v>
      </c>
      <c r="DI46" s="135" t="n">
        <f aca="false">BI46</f>
        <v>0.75</v>
      </c>
      <c r="DL46" s="180" t="n">
        <f aca="false">M46</f>
        <v>37865</v>
      </c>
      <c r="DM46" s="181" t="n">
        <f aca="false">AL46</f>
        <v>0.168</v>
      </c>
      <c r="DN46" s="181" t="n">
        <f aca="false">AM46</f>
        <v>0.21</v>
      </c>
      <c r="DO46" s="181" t="n">
        <f aca="false">AN46</f>
        <v>0.252</v>
      </c>
      <c r="DQ46" s="181" t="n">
        <f aca="false">AD46</f>
        <v>0.1</v>
      </c>
      <c r="DR46" s="181" t="n">
        <f aca="false">AE46</f>
        <v>0.125</v>
      </c>
      <c r="DS46" s="181" t="n">
        <f aca="false">AF46</f>
        <v>0.15</v>
      </c>
      <c r="DT46" s="73"/>
      <c r="DU46" s="0" t="n">
        <v>28</v>
      </c>
      <c r="DV46" s="209" t="s">
        <v>181</v>
      </c>
      <c r="DW46" s="210" t="s">
        <v>182</v>
      </c>
      <c r="DX46" s="211" t="n">
        <v>10</v>
      </c>
      <c r="DY46" s="62"/>
    </row>
    <row r="47" customFormat="false" ht="13.5" hidden="false" customHeight="false" outlineLevel="0" collapsed="false">
      <c r="A47" s="145" t="n">
        <f aca="false">EOMONTH(A46,0)+1</f>
        <v>46966</v>
      </c>
      <c r="B47" s="135" t="n">
        <f aca="false">'Gas Curves'!C51</f>
        <v>0.0534625965924742</v>
      </c>
      <c r="C47" s="135"/>
      <c r="D47" s="173" t="n">
        <v>37128</v>
      </c>
      <c r="E47" s="174" t="n">
        <v>26</v>
      </c>
      <c r="F47" s="174" t="n">
        <v>30</v>
      </c>
      <c r="G47" s="174" t="n">
        <v>34</v>
      </c>
      <c r="H47" s="159"/>
      <c r="I47" s="174" t="n">
        <v>15.25</v>
      </c>
      <c r="J47" s="174" t="n">
        <v>15.25</v>
      </c>
      <c r="K47" s="174" t="n">
        <v>15.25</v>
      </c>
      <c r="L47" s="141"/>
      <c r="M47" s="142" t="n">
        <v>37895</v>
      </c>
      <c r="N47" s="175" t="n">
        <v>19.8359985351563</v>
      </c>
      <c r="O47" s="175" t="n">
        <v>19.8359985351563</v>
      </c>
      <c r="P47" s="175" t="n">
        <v>19.8359985351563</v>
      </c>
      <c r="Q47" s="62"/>
      <c r="R47" s="175" t="n">
        <v>14.3365020751953</v>
      </c>
      <c r="S47" s="175" t="n">
        <v>14.3365020751953</v>
      </c>
      <c r="T47" s="175" t="n">
        <v>14.3365020751953</v>
      </c>
      <c r="U47" s="62"/>
      <c r="V47" s="175" t="n">
        <v>0</v>
      </c>
      <c r="W47" s="175" t="n">
        <v>0</v>
      </c>
      <c r="X47" s="175" t="n">
        <v>0</v>
      </c>
      <c r="Y47" s="62"/>
      <c r="Z47" s="175" t="n">
        <v>0.2</v>
      </c>
      <c r="AA47" s="175" t="n">
        <v>0.25</v>
      </c>
      <c r="AB47" s="175" t="n">
        <v>0.3</v>
      </c>
      <c r="AC47" s="62"/>
      <c r="AD47" s="175" t="n">
        <v>0.1</v>
      </c>
      <c r="AE47" s="175" t="n">
        <v>0.125</v>
      </c>
      <c r="AF47" s="175" t="n">
        <v>0.15</v>
      </c>
      <c r="AG47" s="62"/>
      <c r="AH47" s="175" t="n">
        <v>0.28</v>
      </c>
      <c r="AI47" s="175" t="n">
        <v>0.35</v>
      </c>
      <c r="AJ47" s="175" t="n">
        <v>0.42</v>
      </c>
      <c r="AK47" s="62"/>
      <c r="AL47" s="175" t="n">
        <v>0.168</v>
      </c>
      <c r="AM47" s="175" t="n">
        <v>0.21</v>
      </c>
      <c r="AN47" s="175" t="n">
        <v>0.252</v>
      </c>
      <c r="AO47" s="62"/>
      <c r="AP47" s="141" t="n">
        <v>10</v>
      </c>
      <c r="AQ47" s="176" t="n">
        <v>0.15</v>
      </c>
      <c r="AR47" s="62"/>
      <c r="AS47" s="176" t="n">
        <v>-100</v>
      </c>
      <c r="AT47" s="223" t="n">
        <v>-0.4</v>
      </c>
      <c r="AU47" s="62"/>
      <c r="AV47" s="176" t="n">
        <v>1</v>
      </c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142" t="n">
        <v>37895</v>
      </c>
      <c r="BI47" s="178" t="n">
        <v>0.75</v>
      </c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166"/>
      <c r="CI47" s="166"/>
      <c r="CJ47" s="166"/>
      <c r="CK47" s="166"/>
      <c r="CM47" s="222"/>
      <c r="CN47" s="222"/>
      <c r="CO47" s="179"/>
      <c r="CP47" s="0"/>
      <c r="CQ47" s="0"/>
      <c r="CR47" s="0"/>
      <c r="CS47" s="0"/>
      <c r="CT47" s="0"/>
      <c r="CY47" s="180" t="n">
        <f aca="false">M47</f>
        <v>37895</v>
      </c>
      <c r="CZ47" s="181" t="n">
        <f aca="false">AH47</f>
        <v>0.28</v>
      </c>
      <c r="DA47" s="181" t="n">
        <f aca="false">AI47</f>
        <v>0.35</v>
      </c>
      <c r="DB47" s="181" t="n">
        <f aca="false">AJ47</f>
        <v>0.42</v>
      </c>
      <c r="DD47" s="181" t="n">
        <f aca="false">Z47</f>
        <v>0.2</v>
      </c>
      <c r="DE47" s="181" t="n">
        <f aca="false">AA47</f>
        <v>0.25</v>
      </c>
      <c r="DF47" s="181" t="n">
        <f aca="false">AB47</f>
        <v>0.3</v>
      </c>
      <c r="DH47" s="180" t="n">
        <f aca="false">BH47</f>
        <v>37895</v>
      </c>
      <c r="DI47" s="135" t="n">
        <f aca="false">BI47</f>
        <v>0.75</v>
      </c>
      <c r="DL47" s="180" t="n">
        <f aca="false">M47</f>
        <v>37895</v>
      </c>
      <c r="DM47" s="181" t="n">
        <f aca="false">AL47</f>
        <v>0.168</v>
      </c>
      <c r="DN47" s="181" t="n">
        <f aca="false">AM47</f>
        <v>0.21</v>
      </c>
      <c r="DO47" s="181" t="n">
        <f aca="false">AN47</f>
        <v>0.252</v>
      </c>
      <c r="DQ47" s="181" t="n">
        <f aca="false">AD47</f>
        <v>0.1</v>
      </c>
      <c r="DR47" s="181" t="n">
        <f aca="false">AE47</f>
        <v>0.125</v>
      </c>
      <c r="DS47" s="181" t="n">
        <f aca="false">AF47</f>
        <v>0.15</v>
      </c>
      <c r="DT47" s="73"/>
      <c r="DU47" s="0" t="n">
        <v>29</v>
      </c>
      <c r="DV47" s="224" t="s">
        <v>183</v>
      </c>
      <c r="DW47" s="225" t="s">
        <v>184</v>
      </c>
      <c r="DX47" s="226" t="n">
        <v>11</v>
      </c>
      <c r="DY47" s="62"/>
    </row>
    <row r="48" customFormat="false" ht="12.75" hidden="false" customHeight="false" outlineLevel="0" collapsed="false">
      <c r="A48" s="145" t="n">
        <f aca="false">EOMONTH(A47,0)+1</f>
        <v>46997</v>
      </c>
      <c r="B48" s="135" t="n">
        <f aca="false">'Gas Curves'!C52</f>
        <v>0.0536931978201642</v>
      </c>
      <c r="C48" s="135"/>
      <c r="D48" s="173" t="n">
        <v>37129</v>
      </c>
      <c r="E48" s="174" t="n">
        <v>26</v>
      </c>
      <c r="F48" s="174" t="n">
        <v>30</v>
      </c>
      <c r="G48" s="174" t="n">
        <v>34</v>
      </c>
      <c r="H48" s="159"/>
      <c r="I48" s="174" t="n">
        <v>15.25</v>
      </c>
      <c r="J48" s="174" t="n">
        <v>15.25</v>
      </c>
      <c r="K48" s="174" t="n">
        <v>15.25</v>
      </c>
      <c r="L48" s="141"/>
      <c r="M48" s="142" t="n">
        <v>37926</v>
      </c>
      <c r="N48" s="175" t="n">
        <v>21.8399982452393</v>
      </c>
      <c r="O48" s="175" t="n">
        <v>21.8399982452393</v>
      </c>
      <c r="P48" s="175" t="n">
        <v>21.8399982452393</v>
      </c>
      <c r="Q48" s="62"/>
      <c r="R48" s="175" t="n">
        <v>14.3400020599365</v>
      </c>
      <c r="S48" s="175" t="n">
        <v>14.3400020599365</v>
      </c>
      <c r="T48" s="175" t="n">
        <v>14.3400020599365</v>
      </c>
      <c r="U48" s="62"/>
      <c r="V48" s="175" t="n">
        <v>0</v>
      </c>
      <c r="W48" s="175" t="n">
        <v>0</v>
      </c>
      <c r="X48" s="175" t="n">
        <v>0</v>
      </c>
      <c r="Y48" s="62"/>
      <c r="Z48" s="175" t="n">
        <v>0.2</v>
      </c>
      <c r="AA48" s="175" t="n">
        <v>0.25</v>
      </c>
      <c r="AB48" s="175" t="n">
        <v>0.3</v>
      </c>
      <c r="AC48" s="62"/>
      <c r="AD48" s="175" t="n">
        <v>0.1</v>
      </c>
      <c r="AE48" s="175" t="n">
        <v>0.125</v>
      </c>
      <c r="AF48" s="175" t="n">
        <v>0.15</v>
      </c>
      <c r="AG48" s="62"/>
      <c r="AH48" s="175" t="n">
        <v>0.28</v>
      </c>
      <c r="AI48" s="175" t="n">
        <v>0.35</v>
      </c>
      <c r="AJ48" s="175" t="n">
        <v>0.42</v>
      </c>
      <c r="AK48" s="62"/>
      <c r="AL48" s="175" t="n">
        <v>0.168</v>
      </c>
      <c r="AM48" s="175" t="n">
        <v>0.21</v>
      </c>
      <c r="AN48" s="175" t="n">
        <v>0.252</v>
      </c>
      <c r="AO48" s="62"/>
      <c r="AP48" s="141" t="n">
        <v>10</v>
      </c>
      <c r="AQ48" s="176" t="n">
        <v>0.25</v>
      </c>
      <c r="AR48" s="62"/>
      <c r="AS48" s="176" t="n">
        <v>-90</v>
      </c>
      <c r="AT48" s="178" t="n">
        <v>-0.35</v>
      </c>
      <c r="AU48" s="62"/>
      <c r="AV48" s="176" t="n">
        <v>2</v>
      </c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142" t="n">
        <v>37926</v>
      </c>
      <c r="BI48" s="178" t="n">
        <v>0.75</v>
      </c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166"/>
      <c r="CI48" s="166"/>
      <c r="CJ48" s="166"/>
      <c r="CK48" s="166"/>
      <c r="CM48" s="222"/>
      <c r="CN48" s="222"/>
      <c r="CO48" s="179"/>
      <c r="CP48" s="0"/>
      <c r="CQ48" s="0"/>
      <c r="CR48" s="0"/>
      <c r="CS48" s="0"/>
      <c r="CT48" s="0"/>
      <c r="CY48" s="180" t="n">
        <f aca="false">M48</f>
        <v>37926</v>
      </c>
      <c r="CZ48" s="181" t="n">
        <f aca="false">AH48</f>
        <v>0.28</v>
      </c>
      <c r="DA48" s="181" t="n">
        <f aca="false">AI48</f>
        <v>0.35</v>
      </c>
      <c r="DB48" s="181" t="n">
        <f aca="false">AJ48</f>
        <v>0.42</v>
      </c>
      <c r="DD48" s="181" t="n">
        <f aca="false">Z48</f>
        <v>0.2</v>
      </c>
      <c r="DE48" s="181" t="n">
        <f aca="false">AA48</f>
        <v>0.25</v>
      </c>
      <c r="DF48" s="181" t="n">
        <f aca="false">AB48</f>
        <v>0.3</v>
      </c>
      <c r="DH48" s="180" t="n">
        <f aca="false">BH48</f>
        <v>37926</v>
      </c>
      <c r="DI48" s="135" t="n">
        <f aca="false">BI48</f>
        <v>0.75</v>
      </c>
      <c r="DL48" s="180" t="n">
        <f aca="false">M48</f>
        <v>37926</v>
      </c>
      <c r="DM48" s="181" t="n">
        <f aca="false">AL48</f>
        <v>0.168</v>
      </c>
      <c r="DN48" s="181" t="n">
        <f aca="false">AM48</f>
        <v>0.21</v>
      </c>
      <c r="DO48" s="181" t="n">
        <f aca="false">AN48</f>
        <v>0.252</v>
      </c>
      <c r="DQ48" s="181" t="n">
        <f aca="false">AD48</f>
        <v>0.1</v>
      </c>
      <c r="DR48" s="181" t="n">
        <f aca="false">AE48</f>
        <v>0.125</v>
      </c>
      <c r="DS48" s="181" t="n">
        <f aca="false">AF48</f>
        <v>0.15</v>
      </c>
      <c r="DT48" s="73"/>
      <c r="DV48" s="227"/>
      <c r="DW48" s="228"/>
      <c r="DX48" s="116"/>
      <c r="DY48" s="62"/>
    </row>
    <row r="49" customFormat="false" ht="12.75" hidden="false" customHeight="false" outlineLevel="0" collapsed="false">
      <c r="A49" s="145" t="n">
        <f aca="false">EOMONTH(A48,0)+1</f>
        <v>47027</v>
      </c>
      <c r="B49" s="135" t="n">
        <f aca="false">'Gas Curves'!C53</f>
        <v>0.0538959170324853</v>
      </c>
      <c r="C49" s="135"/>
      <c r="D49" s="173" t="n">
        <v>37130</v>
      </c>
      <c r="E49" s="174" t="n">
        <v>46.5</v>
      </c>
      <c r="F49" s="174" t="n">
        <v>50.5</v>
      </c>
      <c r="G49" s="174" t="n">
        <v>54.5</v>
      </c>
      <c r="H49" s="159"/>
      <c r="I49" s="174" t="n">
        <v>13.25</v>
      </c>
      <c r="J49" s="174" t="n">
        <v>13.25</v>
      </c>
      <c r="K49" s="174" t="n">
        <v>13.25</v>
      </c>
      <c r="L49" s="141"/>
      <c r="M49" s="142" t="n">
        <v>37956</v>
      </c>
      <c r="N49" s="175" t="n">
        <v>26.8399982452393</v>
      </c>
      <c r="O49" s="175" t="n">
        <v>26.8399982452393</v>
      </c>
      <c r="P49" s="175" t="n">
        <v>26.8399982452393</v>
      </c>
      <c r="Q49" s="62"/>
      <c r="R49" s="175" t="n">
        <v>21.3399982452393</v>
      </c>
      <c r="S49" s="175" t="n">
        <v>21.3399982452393</v>
      </c>
      <c r="T49" s="175" t="n">
        <v>21.3399982452393</v>
      </c>
      <c r="U49" s="62"/>
      <c r="V49" s="175" t="n">
        <v>0</v>
      </c>
      <c r="W49" s="175" t="n">
        <v>0</v>
      </c>
      <c r="X49" s="175" t="n">
        <v>0</v>
      </c>
      <c r="Y49" s="62"/>
      <c r="Z49" s="175" t="n">
        <v>0.2</v>
      </c>
      <c r="AA49" s="175" t="n">
        <v>0.25</v>
      </c>
      <c r="AB49" s="175" t="n">
        <v>0.3</v>
      </c>
      <c r="AC49" s="62"/>
      <c r="AD49" s="175" t="n">
        <v>0.1</v>
      </c>
      <c r="AE49" s="175" t="n">
        <v>0.125</v>
      </c>
      <c r="AF49" s="175" t="n">
        <v>0.15</v>
      </c>
      <c r="AG49" s="62"/>
      <c r="AH49" s="175" t="n">
        <v>0.28</v>
      </c>
      <c r="AI49" s="175" t="n">
        <v>0.35</v>
      </c>
      <c r="AJ49" s="175" t="n">
        <v>0.42</v>
      </c>
      <c r="AK49" s="62"/>
      <c r="AL49" s="175" t="n">
        <v>0.168</v>
      </c>
      <c r="AM49" s="175" t="n">
        <v>0.21</v>
      </c>
      <c r="AN49" s="175" t="n">
        <v>0.252</v>
      </c>
      <c r="AO49" s="62"/>
      <c r="AP49" s="141" t="n">
        <v>11</v>
      </c>
      <c r="AQ49" s="176" t="n">
        <v>0.25</v>
      </c>
      <c r="AR49" s="62"/>
      <c r="AS49" s="229" t="n">
        <v>-80</v>
      </c>
      <c r="AT49" s="223" t="n">
        <v>-0.3</v>
      </c>
      <c r="AU49" s="62"/>
      <c r="AV49" s="176" t="n">
        <v>3</v>
      </c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142" t="n">
        <v>37956</v>
      </c>
      <c r="BI49" s="178" t="n">
        <v>0.75</v>
      </c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166"/>
      <c r="CI49" s="117"/>
      <c r="CJ49" s="117"/>
      <c r="CK49" s="117"/>
      <c r="CM49" s="222"/>
      <c r="CN49" s="222"/>
      <c r="CO49" s="179"/>
      <c r="CP49" s="0"/>
      <c r="CQ49" s="0"/>
      <c r="CR49" s="0"/>
      <c r="CS49" s="0"/>
      <c r="CT49" s="0"/>
      <c r="CY49" s="180" t="n">
        <f aca="false">M49</f>
        <v>37956</v>
      </c>
      <c r="CZ49" s="181" t="n">
        <f aca="false">AH49</f>
        <v>0.28</v>
      </c>
      <c r="DA49" s="181" t="n">
        <f aca="false">AI49</f>
        <v>0.35</v>
      </c>
      <c r="DB49" s="181" t="n">
        <f aca="false">AJ49</f>
        <v>0.42</v>
      </c>
      <c r="DD49" s="181" t="n">
        <f aca="false">Z49</f>
        <v>0.2</v>
      </c>
      <c r="DE49" s="181" t="n">
        <f aca="false">AA49</f>
        <v>0.25</v>
      </c>
      <c r="DF49" s="181" t="n">
        <f aca="false">AB49</f>
        <v>0.3</v>
      </c>
      <c r="DH49" s="180" t="n">
        <f aca="false">BH49</f>
        <v>37956</v>
      </c>
      <c r="DI49" s="135" t="n">
        <f aca="false">BI49</f>
        <v>0.75</v>
      </c>
      <c r="DL49" s="180" t="n">
        <f aca="false">M49</f>
        <v>37956</v>
      </c>
      <c r="DM49" s="181" t="n">
        <f aca="false">AL49</f>
        <v>0.168</v>
      </c>
      <c r="DN49" s="181" t="n">
        <f aca="false">AM49</f>
        <v>0.21</v>
      </c>
      <c r="DO49" s="181" t="n">
        <f aca="false">AN49</f>
        <v>0.252</v>
      </c>
      <c r="DQ49" s="181" t="n">
        <f aca="false">AD49</f>
        <v>0.1</v>
      </c>
      <c r="DR49" s="181" t="n">
        <f aca="false">AE49</f>
        <v>0.125</v>
      </c>
      <c r="DS49" s="181" t="n">
        <f aca="false">AF49</f>
        <v>0.15</v>
      </c>
      <c r="DT49" s="73"/>
      <c r="DV49" s="227"/>
      <c r="DW49" s="228"/>
      <c r="DX49" s="116"/>
    </row>
    <row r="50" customFormat="false" ht="12.75" hidden="false" customHeight="false" outlineLevel="0" collapsed="false">
      <c r="A50" s="145" t="n">
        <f aca="false">EOMONTH(A49,0)+1</f>
        <v>47058</v>
      </c>
      <c r="B50" s="135" t="n">
        <f aca="false">'Gas Curves'!C54</f>
        <v>0.0541053935662714</v>
      </c>
      <c r="C50" s="135"/>
      <c r="D50" s="173" t="n">
        <v>37134</v>
      </c>
      <c r="E50" s="174" t="n">
        <v>35.48</v>
      </c>
      <c r="F50" s="174" t="n">
        <v>39.48</v>
      </c>
      <c r="G50" s="174" t="n">
        <v>43.48</v>
      </c>
      <c r="H50" s="159"/>
      <c r="I50" s="174" t="n">
        <v>13.25</v>
      </c>
      <c r="J50" s="174" t="n">
        <v>13.25</v>
      </c>
      <c r="K50" s="174" t="n">
        <v>13.25</v>
      </c>
      <c r="L50" s="141"/>
      <c r="M50" s="142" t="n">
        <v>37987</v>
      </c>
      <c r="N50" s="175" t="n">
        <v>35.5</v>
      </c>
      <c r="O50" s="175" t="n">
        <v>35.5</v>
      </c>
      <c r="P50" s="175" t="n">
        <v>35.5</v>
      </c>
      <c r="Q50" s="62"/>
      <c r="R50" s="175" t="n">
        <v>25</v>
      </c>
      <c r="S50" s="175" t="n">
        <v>25</v>
      </c>
      <c r="T50" s="175" t="n">
        <v>25</v>
      </c>
      <c r="U50" s="62"/>
      <c r="V50" s="175" t="n">
        <v>0</v>
      </c>
      <c r="W50" s="175" t="n">
        <v>0</v>
      </c>
      <c r="X50" s="175" t="n">
        <v>0</v>
      </c>
      <c r="Y50" s="62"/>
      <c r="Z50" s="175" t="n">
        <v>0.16</v>
      </c>
      <c r="AA50" s="175" t="n">
        <v>0.2</v>
      </c>
      <c r="AB50" s="175" t="n">
        <v>0.24</v>
      </c>
      <c r="AC50" s="62"/>
      <c r="AD50" s="175" t="n">
        <v>0.08</v>
      </c>
      <c r="AE50" s="175" t="n">
        <v>0.1</v>
      </c>
      <c r="AF50" s="175" t="n">
        <v>0.12</v>
      </c>
      <c r="AG50" s="62"/>
      <c r="AH50" s="175" t="n">
        <v>0.28</v>
      </c>
      <c r="AI50" s="175" t="n">
        <v>0.35</v>
      </c>
      <c r="AJ50" s="175" t="n">
        <v>0.42</v>
      </c>
      <c r="AK50" s="62"/>
      <c r="AL50" s="175" t="n">
        <v>0.168</v>
      </c>
      <c r="AM50" s="175" t="n">
        <v>0.21</v>
      </c>
      <c r="AN50" s="175" t="n">
        <v>0.252</v>
      </c>
      <c r="AO50" s="62"/>
      <c r="AP50" s="141" t="n">
        <v>11</v>
      </c>
      <c r="AQ50" s="176" t="n">
        <v>0.25</v>
      </c>
      <c r="AR50" s="62"/>
      <c r="AS50" s="176" t="n">
        <v>-70</v>
      </c>
      <c r="AT50" s="223" t="n">
        <v>-0.25</v>
      </c>
      <c r="AU50" s="62"/>
      <c r="AV50" s="176" t="n">
        <v>4</v>
      </c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142" t="n">
        <v>37987</v>
      </c>
      <c r="BI50" s="178" t="n">
        <v>0.75</v>
      </c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166"/>
      <c r="CI50" s="147"/>
      <c r="CJ50" s="148"/>
      <c r="CK50" s="148"/>
      <c r="CM50" s="222"/>
      <c r="CN50" s="222"/>
      <c r="CO50" s="179"/>
      <c r="CP50" s="0"/>
      <c r="CQ50" s="0"/>
      <c r="CR50" s="0"/>
      <c r="CS50" s="0"/>
      <c r="CT50" s="0"/>
      <c r="CY50" s="180" t="n">
        <f aca="false">M50</f>
        <v>37987</v>
      </c>
      <c r="CZ50" s="181" t="n">
        <f aca="false">AH50</f>
        <v>0.28</v>
      </c>
      <c r="DA50" s="181" t="n">
        <f aca="false">AI50</f>
        <v>0.35</v>
      </c>
      <c r="DB50" s="181" t="n">
        <f aca="false">AJ50</f>
        <v>0.42</v>
      </c>
      <c r="DD50" s="181" t="n">
        <f aca="false">Z50</f>
        <v>0.16</v>
      </c>
      <c r="DE50" s="181" t="n">
        <f aca="false">AA50</f>
        <v>0.2</v>
      </c>
      <c r="DF50" s="181" t="n">
        <f aca="false">AB50</f>
        <v>0.24</v>
      </c>
      <c r="DH50" s="180" t="n">
        <f aca="false">BH50</f>
        <v>37987</v>
      </c>
      <c r="DI50" s="135" t="n">
        <f aca="false">BI50</f>
        <v>0.75</v>
      </c>
      <c r="DL50" s="180" t="n">
        <f aca="false">M50</f>
        <v>37987</v>
      </c>
      <c r="DM50" s="181" t="n">
        <f aca="false">AL50</f>
        <v>0.168</v>
      </c>
      <c r="DN50" s="181" t="n">
        <f aca="false">AM50</f>
        <v>0.21</v>
      </c>
      <c r="DO50" s="181" t="n">
        <f aca="false">AN50</f>
        <v>0.252</v>
      </c>
      <c r="DQ50" s="181" t="n">
        <f aca="false">AD50</f>
        <v>0.08</v>
      </c>
      <c r="DR50" s="181" t="n">
        <f aca="false">AE50</f>
        <v>0.1</v>
      </c>
      <c r="DS50" s="181" t="n">
        <f aca="false">AF50</f>
        <v>0.12</v>
      </c>
      <c r="DT50" s="73"/>
      <c r="DU50" s="73"/>
      <c r="DY50" s="73"/>
    </row>
    <row r="51" customFormat="false" ht="12.75" hidden="false" customHeight="false" outlineLevel="0" collapsed="false">
      <c r="A51" s="145" t="n">
        <f aca="false">EOMONTH(A50,0)+1</f>
        <v>47088</v>
      </c>
      <c r="B51" s="135" t="n">
        <f aca="false">'Gas Curves'!C55</f>
        <v>0.0543014325019837</v>
      </c>
      <c r="C51" s="135"/>
      <c r="D51" s="173" t="n">
        <v>37135</v>
      </c>
      <c r="E51" s="174" t="n">
        <v>27</v>
      </c>
      <c r="F51" s="174" t="n">
        <v>29.5</v>
      </c>
      <c r="G51" s="174" t="n">
        <v>32</v>
      </c>
      <c r="H51" s="159"/>
      <c r="I51" s="174" t="n">
        <v>12</v>
      </c>
      <c r="J51" s="174" t="n">
        <v>12</v>
      </c>
      <c r="K51" s="174" t="n">
        <v>12</v>
      </c>
      <c r="L51" s="141"/>
      <c r="M51" s="142" t="n">
        <v>38018</v>
      </c>
      <c r="N51" s="175" t="n">
        <v>31.2460021972656</v>
      </c>
      <c r="O51" s="175" t="n">
        <v>31.2460021972656</v>
      </c>
      <c r="P51" s="175" t="n">
        <v>31.2460021972656</v>
      </c>
      <c r="Q51" s="62"/>
      <c r="R51" s="175" t="n">
        <v>22.7465019226074</v>
      </c>
      <c r="S51" s="175" t="n">
        <v>22.7465019226074</v>
      </c>
      <c r="T51" s="175" t="n">
        <v>22.7465019226074</v>
      </c>
      <c r="U51" s="62"/>
      <c r="V51" s="175" t="n">
        <v>0</v>
      </c>
      <c r="W51" s="175" t="n">
        <v>0</v>
      </c>
      <c r="X51" s="175" t="n">
        <v>0</v>
      </c>
      <c r="Y51" s="62"/>
      <c r="Z51" s="175" t="n">
        <v>0.16</v>
      </c>
      <c r="AA51" s="175" t="n">
        <v>0.2</v>
      </c>
      <c r="AB51" s="175" t="n">
        <v>0.24</v>
      </c>
      <c r="AC51" s="62"/>
      <c r="AD51" s="175" t="n">
        <v>0.08</v>
      </c>
      <c r="AE51" s="175" t="n">
        <v>0.1</v>
      </c>
      <c r="AF51" s="175" t="n">
        <v>0.12</v>
      </c>
      <c r="AG51" s="62"/>
      <c r="AH51" s="175" t="n">
        <v>0.28</v>
      </c>
      <c r="AI51" s="175" t="n">
        <v>0.35</v>
      </c>
      <c r="AJ51" s="175" t="n">
        <v>0.42</v>
      </c>
      <c r="AK51" s="62"/>
      <c r="AL51" s="175" t="n">
        <v>0.168</v>
      </c>
      <c r="AM51" s="175" t="n">
        <v>0.21</v>
      </c>
      <c r="AN51" s="175" t="n">
        <v>0.252</v>
      </c>
      <c r="AO51" s="62"/>
      <c r="AP51" s="141" t="n">
        <v>11</v>
      </c>
      <c r="AQ51" s="176" t="n">
        <v>0.25</v>
      </c>
      <c r="AR51" s="62"/>
      <c r="AS51" s="176" t="n">
        <v>-60</v>
      </c>
      <c r="AT51" s="223" t="n">
        <v>-0.25</v>
      </c>
      <c r="AU51" s="62"/>
      <c r="AV51" s="176" t="n">
        <v>10</v>
      </c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142" t="n">
        <v>38018</v>
      </c>
      <c r="BI51" s="178" t="n">
        <v>0.75</v>
      </c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166"/>
      <c r="CI51" s="152"/>
      <c r="CJ51" s="152"/>
      <c r="CK51" s="152"/>
      <c r="CM51" s="222"/>
      <c r="CN51" s="222"/>
      <c r="CO51" s="179"/>
      <c r="CP51" s="0"/>
      <c r="CQ51" s="0"/>
      <c r="CR51" s="0"/>
      <c r="CS51" s="0"/>
      <c r="CT51" s="0"/>
      <c r="CY51" s="180" t="n">
        <f aca="false">M51</f>
        <v>38018</v>
      </c>
      <c r="CZ51" s="181" t="n">
        <f aca="false">AH51</f>
        <v>0.28</v>
      </c>
      <c r="DA51" s="181" t="n">
        <f aca="false">AI51</f>
        <v>0.35</v>
      </c>
      <c r="DB51" s="181" t="n">
        <f aca="false">AJ51</f>
        <v>0.42</v>
      </c>
      <c r="DD51" s="181" t="n">
        <f aca="false">Z51</f>
        <v>0.16</v>
      </c>
      <c r="DE51" s="181" t="n">
        <f aca="false">AA51</f>
        <v>0.2</v>
      </c>
      <c r="DF51" s="181" t="n">
        <f aca="false">AB51</f>
        <v>0.24</v>
      </c>
      <c r="DH51" s="180" t="n">
        <f aca="false">BH51</f>
        <v>38018</v>
      </c>
      <c r="DI51" s="135" t="n">
        <f aca="false">BI51</f>
        <v>0.75</v>
      </c>
      <c r="DL51" s="180" t="n">
        <f aca="false">M51</f>
        <v>38018</v>
      </c>
      <c r="DM51" s="181" t="n">
        <f aca="false">AL51</f>
        <v>0.168</v>
      </c>
      <c r="DN51" s="181" t="n">
        <f aca="false">AM51</f>
        <v>0.21</v>
      </c>
      <c r="DO51" s="181" t="n">
        <f aca="false">AN51</f>
        <v>0.252</v>
      </c>
      <c r="DQ51" s="181" t="n">
        <f aca="false">AD51</f>
        <v>0.08</v>
      </c>
      <c r="DR51" s="181" t="n">
        <f aca="false">AE51</f>
        <v>0.1</v>
      </c>
      <c r="DS51" s="181" t="n">
        <f aca="false">AF51</f>
        <v>0.12</v>
      </c>
      <c r="DT51" s="73"/>
      <c r="DU51" s="73"/>
      <c r="DV51" s="73"/>
      <c r="DW51" s="73"/>
      <c r="DX51" s="73"/>
      <c r="DY51" s="73"/>
    </row>
    <row r="52" customFormat="false" ht="12.75" hidden="false" customHeight="false" outlineLevel="0" collapsed="false">
      <c r="A52" s="145" t="n">
        <f aca="false">EOMONTH(A51,0)+1</f>
        <v>47119</v>
      </c>
      <c r="B52" s="135" t="n">
        <f aca="false">'Gas Curves'!C56</f>
        <v>0.0544966687681452</v>
      </c>
      <c r="C52" s="135"/>
      <c r="D52" s="173" t="n">
        <v>37165</v>
      </c>
      <c r="E52" s="174" t="n">
        <v>27.25</v>
      </c>
      <c r="F52" s="174" t="n">
        <v>28</v>
      </c>
      <c r="G52" s="174" t="n">
        <v>28.75</v>
      </c>
      <c r="H52" s="159"/>
      <c r="I52" s="174" t="n">
        <v>15.2500038146973</v>
      </c>
      <c r="J52" s="174" t="n">
        <v>15.2500038146973</v>
      </c>
      <c r="K52" s="174" t="n">
        <v>15.2500038146973</v>
      </c>
      <c r="L52" s="141"/>
      <c r="M52" s="142" t="n">
        <v>38047</v>
      </c>
      <c r="N52" s="175" t="n">
        <v>25.5</v>
      </c>
      <c r="O52" s="175" t="n">
        <v>25.5</v>
      </c>
      <c r="P52" s="175" t="n">
        <v>25.5</v>
      </c>
      <c r="Q52" s="62"/>
      <c r="R52" s="175" t="n">
        <v>20</v>
      </c>
      <c r="S52" s="175" t="n">
        <v>20</v>
      </c>
      <c r="T52" s="175" t="n">
        <v>20</v>
      </c>
      <c r="U52" s="62"/>
      <c r="V52" s="175" t="n">
        <v>0</v>
      </c>
      <c r="W52" s="175" t="n">
        <v>0</v>
      </c>
      <c r="X52" s="175" t="n">
        <v>0</v>
      </c>
      <c r="Y52" s="62"/>
      <c r="Z52" s="175" t="n">
        <v>0.16</v>
      </c>
      <c r="AA52" s="175" t="n">
        <v>0.2</v>
      </c>
      <c r="AB52" s="175" t="n">
        <v>0.24</v>
      </c>
      <c r="AC52" s="62"/>
      <c r="AD52" s="175" t="n">
        <v>0.08</v>
      </c>
      <c r="AE52" s="175" t="n">
        <v>0.1</v>
      </c>
      <c r="AF52" s="175" t="n">
        <v>0.12</v>
      </c>
      <c r="AG52" s="62"/>
      <c r="AH52" s="175" t="n">
        <v>0.28</v>
      </c>
      <c r="AI52" s="175" t="n">
        <v>0.35</v>
      </c>
      <c r="AJ52" s="175" t="n">
        <v>0.42</v>
      </c>
      <c r="AK52" s="62"/>
      <c r="AL52" s="175" t="n">
        <v>0.168</v>
      </c>
      <c r="AM52" s="175" t="n">
        <v>0.21</v>
      </c>
      <c r="AN52" s="175" t="n">
        <v>0.252</v>
      </c>
      <c r="AO52" s="62"/>
      <c r="AP52" s="141" t="n">
        <v>12</v>
      </c>
      <c r="AQ52" s="176" t="n">
        <v>0.25</v>
      </c>
      <c r="AR52" s="62"/>
      <c r="AS52" s="176" t="n">
        <v>-50</v>
      </c>
      <c r="AT52" s="178" t="n">
        <v>-0.25</v>
      </c>
      <c r="AU52" s="62"/>
      <c r="AV52" s="176" t="n">
        <v>0</v>
      </c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142" t="n">
        <v>38047</v>
      </c>
      <c r="BI52" s="178" t="n">
        <v>0.75</v>
      </c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166"/>
      <c r="CI52" s="152"/>
      <c r="CJ52" s="152"/>
      <c r="CK52" s="152"/>
      <c r="CM52" s="222"/>
      <c r="CN52" s="222"/>
      <c r="CO52" s="179"/>
      <c r="CP52" s="0"/>
      <c r="CQ52" s="0"/>
      <c r="CR52" s="0"/>
      <c r="CS52" s="0"/>
      <c r="CT52" s="0"/>
      <c r="CY52" s="180" t="n">
        <f aca="false">M52</f>
        <v>38047</v>
      </c>
      <c r="CZ52" s="181" t="n">
        <f aca="false">AH52</f>
        <v>0.28</v>
      </c>
      <c r="DA52" s="181" t="n">
        <f aca="false">AI52</f>
        <v>0.35</v>
      </c>
      <c r="DB52" s="181" t="n">
        <f aca="false">AJ52</f>
        <v>0.42</v>
      </c>
      <c r="DD52" s="181" t="n">
        <f aca="false">Z52</f>
        <v>0.16</v>
      </c>
      <c r="DE52" s="181" t="n">
        <f aca="false">AA52</f>
        <v>0.2</v>
      </c>
      <c r="DF52" s="181" t="n">
        <f aca="false">AB52</f>
        <v>0.24</v>
      </c>
      <c r="DH52" s="180" t="n">
        <f aca="false">BH52</f>
        <v>38047</v>
      </c>
      <c r="DI52" s="135" t="n">
        <f aca="false">BI52</f>
        <v>0.75</v>
      </c>
      <c r="DL52" s="180" t="n">
        <f aca="false">M52</f>
        <v>38047</v>
      </c>
      <c r="DM52" s="181" t="n">
        <f aca="false">AL52</f>
        <v>0.168</v>
      </c>
      <c r="DN52" s="181" t="n">
        <f aca="false">AM52</f>
        <v>0.21</v>
      </c>
      <c r="DO52" s="181" t="n">
        <f aca="false">AN52</f>
        <v>0.252</v>
      </c>
      <c r="DQ52" s="181" t="n">
        <f aca="false">AD52</f>
        <v>0.08</v>
      </c>
      <c r="DR52" s="181" t="n">
        <f aca="false">AE52</f>
        <v>0.1</v>
      </c>
      <c r="DS52" s="181" t="n">
        <f aca="false">AF52</f>
        <v>0.12</v>
      </c>
      <c r="DT52" s="73"/>
      <c r="DU52" s="73"/>
      <c r="DV52" s="73"/>
      <c r="DW52" s="73"/>
      <c r="DX52" s="73"/>
      <c r="DY52" s="73"/>
    </row>
    <row r="53" customFormat="false" ht="12.75" hidden="false" customHeight="false" outlineLevel="0" collapsed="false">
      <c r="A53" s="145" t="n">
        <f aca="false">EOMONTH(A52,0)+1</f>
        <v>47150</v>
      </c>
      <c r="B53" s="135" t="n">
        <f aca="false">'Gas Curves'!C57</f>
        <v>0.0546919050470063</v>
      </c>
      <c r="C53" s="135"/>
      <c r="D53" s="173" t="n">
        <v>37196</v>
      </c>
      <c r="E53" s="174" t="n">
        <v>26.25</v>
      </c>
      <c r="F53" s="174" t="n">
        <v>27</v>
      </c>
      <c r="G53" s="174" t="n">
        <v>27.75</v>
      </c>
      <c r="H53" s="159"/>
      <c r="I53" s="174" t="n">
        <v>15.5000009536743</v>
      </c>
      <c r="J53" s="174" t="n">
        <v>15.5000009536743</v>
      </c>
      <c r="K53" s="174" t="n">
        <v>15.5000009536743</v>
      </c>
      <c r="L53" s="141"/>
      <c r="M53" s="142" t="n">
        <v>38078</v>
      </c>
      <c r="N53" s="175" t="n">
        <v>22</v>
      </c>
      <c r="O53" s="175" t="n">
        <v>22</v>
      </c>
      <c r="P53" s="175" t="n">
        <v>22</v>
      </c>
      <c r="Q53" s="62"/>
      <c r="R53" s="175" t="n">
        <v>16.4950008392334</v>
      </c>
      <c r="S53" s="175" t="n">
        <v>16.4950008392334</v>
      </c>
      <c r="T53" s="175" t="n">
        <v>16.4950008392334</v>
      </c>
      <c r="U53" s="62"/>
      <c r="V53" s="175" t="n">
        <v>0</v>
      </c>
      <c r="W53" s="175" t="n">
        <v>0</v>
      </c>
      <c r="X53" s="175" t="n">
        <v>0</v>
      </c>
      <c r="Y53" s="62"/>
      <c r="Z53" s="175" t="n">
        <v>0.16</v>
      </c>
      <c r="AA53" s="175" t="n">
        <v>0.2</v>
      </c>
      <c r="AB53" s="175" t="n">
        <v>0.24</v>
      </c>
      <c r="AC53" s="62"/>
      <c r="AD53" s="175" t="n">
        <v>0.08</v>
      </c>
      <c r="AE53" s="175" t="n">
        <v>0.1</v>
      </c>
      <c r="AF53" s="175" t="n">
        <v>0.12</v>
      </c>
      <c r="AG53" s="62"/>
      <c r="AH53" s="175" t="n">
        <v>0.28</v>
      </c>
      <c r="AI53" s="175" t="n">
        <v>0.35</v>
      </c>
      <c r="AJ53" s="175" t="n">
        <v>0.42</v>
      </c>
      <c r="AK53" s="62"/>
      <c r="AL53" s="175" t="n">
        <v>0.168</v>
      </c>
      <c r="AM53" s="175" t="n">
        <v>0.21</v>
      </c>
      <c r="AN53" s="175" t="n">
        <v>0.252</v>
      </c>
      <c r="AO53" s="62"/>
      <c r="AP53" s="141" t="n">
        <v>12</v>
      </c>
      <c r="AQ53" s="176" t="n">
        <v>0.25</v>
      </c>
      <c r="AR53" s="62"/>
      <c r="AS53" s="176" t="n">
        <v>-40</v>
      </c>
      <c r="AT53" s="178" t="n">
        <v>-0.1</v>
      </c>
      <c r="AU53" s="62"/>
      <c r="AV53" s="176" t="n">
        <v>0</v>
      </c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142" t="n">
        <v>38078</v>
      </c>
      <c r="BI53" s="178" t="n">
        <v>0.75</v>
      </c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166"/>
      <c r="CI53" s="166"/>
      <c r="CJ53" s="166"/>
      <c r="CK53" s="166"/>
      <c r="CM53" s="222"/>
      <c r="CN53" s="222"/>
      <c r="CO53" s="179"/>
      <c r="CP53" s="0"/>
      <c r="CQ53" s="0"/>
      <c r="CR53" s="0"/>
      <c r="CS53" s="0"/>
      <c r="CT53" s="0"/>
      <c r="CY53" s="180" t="n">
        <f aca="false">M53</f>
        <v>38078</v>
      </c>
      <c r="CZ53" s="181" t="n">
        <f aca="false">AH53</f>
        <v>0.28</v>
      </c>
      <c r="DA53" s="181" t="n">
        <f aca="false">AI53</f>
        <v>0.35</v>
      </c>
      <c r="DB53" s="181" t="n">
        <f aca="false">AJ53</f>
        <v>0.42</v>
      </c>
      <c r="DD53" s="181" t="n">
        <f aca="false">Z53</f>
        <v>0.16</v>
      </c>
      <c r="DE53" s="181" t="n">
        <f aca="false">AA53</f>
        <v>0.2</v>
      </c>
      <c r="DF53" s="181" t="n">
        <f aca="false">AB53</f>
        <v>0.24</v>
      </c>
      <c r="DH53" s="180" t="n">
        <f aca="false">BH53</f>
        <v>38078</v>
      </c>
      <c r="DI53" s="135" t="n">
        <f aca="false">BI53</f>
        <v>0.75</v>
      </c>
      <c r="DL53" s="180" t="n">
        <f aca="false">M53</f>
        <v>38078</v>
      </c>
      <c r="DM53" s="181" t="n">
        <f aca="false">AL53</f>
        <v>0.168</v>
      </c>
      <c r="DN53" s="181" t="n">
        <f aca="false">AM53</f>
        <v>0.21</v>
      </c>
      <c r="DO53" s="181" t="n">
        <f aca="false">AN53</f>
        <v>0.252</v>
      </c>
      <c r="DQ53" s="181" t="n">
        <f aca="false">AD53</f>
        <v>0.08</v>
      </c>
      <c r="DR53" s="181" t="n">
        <f aca="false">AE53</f>
        <v>0.1</v>
      </c>
      <c r="DS53" s="181" t="n">
        <f aca="false">AF53</f>
        <v>0.12</v>
      </c>
      <c r="DT53" s="73"/>
      <c r="DU53" s="73"/>
      <c r="DV53" s="73"/>
      <c r="DW53" s="73"/>
      <c r="DX53" s="73"/>
      <c r="DY53" s="73"/>
    </row>
    <row r="54" customFormat="false" ht="12.75" hidden="false" customHeight="false" outlineLevel="0" collapsed="false">
      <c r="A54" s="145" t="n">
        <f aca="false">EOMONTH(A53,0)+1</f>
        <v>47178</v>
      </c>
      <c r="B54" s="135" t="n">
        <f aca="false">'Gas Curves'!C58</f>
        <v>0.0548742129657445</v>
      </c>
      <c r="C54" s="135"/>
      <c r="D54" s="173" t="n">
        <v>37226</v>
      </c>
      <c r="E54" s="174" t="n">
        <v>28.75</v>
      </c>
      <c r="F54" s="174" t="n">
        <v>29.5</v>
      </c>
      <c r="G54" s="174" t="n">
        <v>30.25</v>
      </c>
      <c r="H54" s="159"/>
      <c r="I54" s="174" t="n">
        <v>16.5</v>
      </c>
      <c r="J54" s="174" t="n">
        <v>16.5</v>
      </c>
      <c r="K54" s="174" t="n">
        <v>16.5</v>
      </c>
      <c r="L54" s="141"/>
      <c r="M54" s="142" t="n">
        <v>38108</v>
      </c>
      <c r="N54" s="175" t="n">
        <v>22.2900009155273</v>
      </c>
      <c r="O54" s="175" t="n">
        <v>22.2900009155273</v>
      </c>
      <c r="P54" s="175" t="n">
        <v>22.2900009155273</v>
      </c>
      <c r="Q54" s="62"/>
      <c r="R54" s="175" t="n">
        <v>15.7950000762939</v>
      </c>
      <c r="S54" s="175" t="n">
        <v>15.7950000762939</v>
      </c>
      <c r="T54" s="175" t="n">
        <v>15.7950000762939</v>
      </c>
      <c r="U54" s="62"/>
      <c r="V54" s="175" t="n">
        <v>0</v>
      </c>
      <c r="W54" s="175" t="n">
        <v>0</v>
      </c>
      <c r="X54" s="175" t="n">
        <v>0</v>
      </c>
      <c r="Y54" s="62"/>
      <c r="Z54" s="175" t="n">
        <v>0.16</v>
      </c>
      <c r="AA54" s="175" t="n">
        <v>0.2</v>
      </c>
      <c r="AB54" s="175" t="n">
        <v>0.24</v>
      </c>
      <c r="AC54" s="62"/>
      <c r="AD54" s="175" t="n">
        <v>0.08</v>
      </c>
      <c r="AE54" s="175" t="n">
        <v>0.1</v>
      </c>
      <c r="AF54" s="175" t="n">
        <v>0.12</v>
      </c>
      <c r="AG54" s="62"/>
      <c r="AH54" s="175" t="n">
        <v>0.36</v>
      </c>
      <c r="AI54" s="175" t="n">
        <v>0.45</v>
      </c>
      <c r="AJ54" s="175" t="n">
        <v>0.54</v>
      </c>
      <c r="AK54" s="62"/>
      <c r="AL54" s="175" t="n">
        <v>0.216</v>
      </c>
      <c r="AM54" s="175" t="n">
        <v>0.27</v>
      </c>
      <c r="AN54" s="175" t="n">
        <v>0.324</v>
      </c>
      <c r="AO54" s="62"/>
      <c r="AP54" s="141" t="n">
        <v>12</v>
      </c>
      <c r="AQ54" s="176" t="n">
        <v>0.25</v>
      </c>
      <c r="AR54" s="62"/>
      <c r="AS54" s="176" t="n">
        <v>-30</v>
      </c>
      <c r="AT54" s="178" t="n">
        <v>-0.05</v>
      </c>
      <c r="AU54" s="62"/>
      <c r="AV54" s="176" t="n">
        <v>0</v>
      </c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142" t="n">
        <v>38108</v>
      </c>
      <c r="BI54" s="178" t="n">
        <v>0.75</v>
      </c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166"/>
      <c r="CI54" s="166"/>
      <c r="CJ54" s="166"/>
      <c r="CK54" s="166"/>
      <c r="CM54" s="222"/>
      <c r="CN54" s="222"/>
      <c r="CO54" s="179"/>
      <c r="CP54" s="0"/>
      <c r="CQ54" s="0"/>
      <c r="CR54" s="0"/>
      <c r="CS54" s="0"/>
      <c r="CT54" s="0"/>
      <c r="CY54" s="180" t="n">
        <f aca="false">M54</f>
        <v>38108</v>
      </c>
      <c r="CZ54" s="181" t="n">
        <f aca="false">AH54</f>
        <v>0.36</v>
      </c>
      <c r="DA54" s="181" t="n">
        <f aca="false">AI54</f>
        <v>0.45</v>
      </c>
      <c r="DB54" s="181" t="n">
        <f aca="false">AJ54</f>
        <v>0.54</v>
      </c>
      <c r="DD54" s="181" t="n">
        <f aca="false">Z54</f>
        <v>0.16</v>
      </c>
      <c r="DE54" s="181" t="n">
        <f aca="false">AA54</f>
        <v>0.2</v>
      </c>
      <c r="DF54" s="181" t="n">
        <f aca="false">AB54</f>
        <v>0.24</v>
      </c>
      <c r="DH54" s="180" t="n">
        <f aca="false">BH54</f>
        <v>38108</v>
      </c>
      <c r="DI54" s="135" t="n">
        <f aca="false">BI54</f>
        <v>0.75</v>
      </c>
      <c r="DL54" s="180" t="n">
        <f aca="false">M54</f>
        <v>38108</v>
      </c>
      <c r="DM54" s="181" t="n">
        <f aca="false">AL54</f>
        <v>0.216</v>
      </c>
      <c r="DN54" s="181" t="n">
        <f aca="false">AM54</f>
        <v>0.27</v>
      </c>
      <c r="DO54" s="181" t="n">
        <f aca="false">AN54</f>
        <v>0.324</v>
      </c>
      <c r="DQ54" s="181" t="n">
        <f aca="false">AD54</f>
        <v>0.08</v>
      </c>
      <c r="DR54" s="181" t="n">
        <f aca="false">AE54</f>
        <v>0.1</v>
      </c>
      <c r="DS54" s="181" t="n">
        <f aca="false">AF54</f>
        <v>0.12</v>
      </c>
      <c r="DV54" s="73"/>
      <c r="DW54" s="73"/>
      <c r="DX54" s="73"/>
    </row>
    <row r="55" customFormat="false" ht="12.75" hidden="false" customHeight="false" outlineLevel="0" collapsed="false">
      <c r="A55" s="145" t="n">
        <f aca="false">EOMONTH(A54,0)+1</f>
        <v>47209</v>
      </c>
      <c r="B55" s="135" t="n">
        <f aca="false">'Gas Curves'!C59</f>
        <v>0.0550562193525828</v>
      </c>
      <c r="C55" s="135"/>
      <c r="D55" s="173" t="n">
        <v>37257</v>
      </c>
      <c r="E55" s="174" t="n">
        <v>32.1166677565802</v>
      </c>
      <c r="F55" s="174" t="n">
        <v>32.4166677565802</v>
      </c>
      <c r="G55" s="174" t="n">
        <v>32.7166677565802</v>
      </c>
      <c r="H55" s="159"/>
      <c r="I55" s="174" t="n">
        <v>18.25</v>
      </c>
      <c r="J55" s="174" t="n">
        <v>18.25</v>
      </c>
      <c r="K55" s="174" t="n">
        <v>18.25</v>
      </c>
      <c r="L55" s="141"/>
      <c r="M55" s="142" t="n">
        <v>38139</v>
      </c>
      <c r="N55" s="175" t="n">
        <v>29.2900009155273</v>
      </c>
      <c r="O55" s="175" t="n">
        <v>29.2900009155273</v>
      </c>
      <c r="P55" s="175" t="n">
        <v>29.2900009155273</v>
      </c>
      <c r="Q55" s="62"/>
      <c r="R55" s="175" t="n">
        <v>19.7900009155273</v>
      </c>
      <c r="S55" s="175" t="n">
        <v>19.7900009155273</v>
      </c>
      <c r="T55" s="175" t="n">
        <v>19.7900009155273</v>
      </c>
      <c r="U55" s="62"/>
      <c r="V55" s="175" t="n">
        <v>0</v>
      </c>
      <c r="W55" s="175" t="n">
        <v>0</v>
      </c>
      <c r="X55" s="175" t="n">
        <v>0</v>
      </c>
      <c r="Y55" s="62"/>
      <c r="Z55" s="175" t="n">
        <v>0.16</v>
      </c>
      <c r="AA55" s="175" t="n">
        <v>0.2</v>
      </c>
      <c r="AB55" s="175" t="n">
        <v>0.24</v>
      </c>
      <c r="AC55" s="62"/>
      <c r="AD55" s="175" t="n">
        <v>0.08</v>
      </c>
      <c r="AE55" s="175" t="n">
        <v>0.1</v>
      </c>
      <c r="AF55" s="175" t="n">
        <v>0.12</v>
      </c>
      <c r="AG55" s="62"/>
      <c r="AH55" s="175" t="n">
        <v>0.36</v>
      </c>
      <c r="AI55" s="175" t="n">
        <v>0.45</v>
      </c>
      <c r="AJ55" s="175" t="n">
        <v>0.54</v>
      </c>
      <c r="AK55" s="62"/>
      <c r="AL55" s="175" t="n">
        <v>0.216</v>
      </c>
      <c r="AM55" s="175" t="n">
        <v>0.27</v>
      </c>
      <c r="AN55" s="175" t="n">
        <v>0.324</v>
      </c>
      <c r="AO55" s="62"/>
      <c r="AP55" s="141" t="n">
        <v>13</v>
      </c>
      <c r="AQ55" s="176" t="n">
        <v>0.25</v>
      </c>
      <c r="AR55" s="62"/>
      <c r="AS55" s="176" t="n">
        <v>-20</v>
      </c>
      <c r="AT55" s="178" t="n">
        <v>0</v>
      </c>
      <c r="AU55" s="62"/>
      <c r="AV55" s="176" t="n">
        <v>0</v>
      </c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142" t="n">
        <v>38139</v>
      </c>
      <c r="BI55" s="178" t="n">
        <v>0.75</v>
      </c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117"/>
      <c r="CI55" s="166"/>
      <c r="CJ55" s="166"/>
      <c r="CK55" s="166"/>
      <c r="CM55" s="222"/>
      <c r="CN55" s="222"/>
      <c r="CO55" s="179"/>
      <c r="CP55" s="0"/>
      <c r="CQ55" s="0"/>
      <c r="CR55" s="0"/>
      <c r="CS55" s="0"/>
      <c r="CT55" s="0"/>
      <c r="CY55" s="180" t="n">
        <f aca="false">M55</f>
        <v>38139</v>
      </c>
      <c r="CZ55" s="181" t="n">
        <f aca="false">AH55</f>
        <v>0.36</v>
      </c>
      <c r="DA55" s="181" t="n">
        <f aca="false">AI55</f>
        <v>0.45</v>
      </c>
      <c r="DB55" s="181" t="n">
        <f aca="false">AJ55</f>
        <v>0.54</v>
      </c>
      <c r="DD55" s="181" t="n">
        <f aca="false">Z55</f>
        <v>0.16</v>
      </c>
      <c r="DE55" s="181" t="n">
        <f aca="false">AA55</f>
        <v>0.2</v>
      </c>
      <c r="DF55" s="181" t="n">
        <f aca="false">AB55</f>
        <v>0.24</v>
      </c>
      <c r="DH55" s="180" t="n">
        <f aca="false">BH55</f>
        <v>38139</v>
      </c>
      <c r="DI55" s="135" t="n">
        <f aca="false">BI55</f>
        <v>0.75</v>
      </c>
      <c r="DL55" s="180" t="n">
        <f aca="false">M55</f>
        <v>38139</v>
      </c>
      <c r="DM55" s="181" t="n">
        <f aca="false">AL55</f>
        <v>0.216</v>
      </c>
      <c r="DN55" s="181" t="n">
        <f aca="false">AM55</f>
        <v>0.27</v>
      </c>
      <c r="DO55" s="181" t="n">
        <f aca="false">AN55</f>
        <v>0.324</v>
      </c>
      <c r="DQ55" s="181" t="n">
        <f aca="false">AD55</f>
        <v>0.08</v>
      </c>
      <c r="DR55" s="181" t="n">
        <f aca="false">AE55</f>
        <v>0.1</v>
      </c>
      <c r="DS55" s="181" t="n">
        <f aca="false">AF55</f>
        <v>0.12</v>
      </c>
    </row>
    <row r="56" customFormat="false" ht="12.75" hidden="false" customHeight="false" outlineLevel="0" collapsed="false">
      <c r="A56" s="145" t="n">
        <f aca="false">EOMONTH(A55,0)+1</f>
        <v>47239</v>
      </c>
      <c r="B56" s="135" t="n">
        <f aca="false">'Gas Curves'!C60</f>
        <v>0.055232354576157</v>
      </c>
      <c r="C56" s="135"/>
      <c r="D56" s="173" t="n">
        <v>37288</v>
      </c>
      <c r="E56" s="174" t="n">
        <v>31.7666654677618</v>
      </c>
      <c r="F56" s="174" t="n">
        <v>32.0666654677618</v>
      </c>
      <c r="G56" s="174" t="n">
        <v>32.3666654677618</v>
      </c>
      <c r="H56" s="159"/>
      <c r="I56" s="174" t="n">
        <v>16.75</v>
      </c>
      <c r="J56" s="174" t="n">
        <v>16.75</v>
      </c>
      <c r="K56" s="174" t="n">
        <v>16.75</v>
      </c>
      <c r="L56" s="141"/>
      <c r="M56" s="142" t="n">
        <v>38169</v>
      </c>
      <c r="N56" s="175" t="n">
        <v>35.2900009155273</v>
      </c>
      <c r="O56" s="175" t="n">
        <v>35.2900009155273</v>
      </c>
      <c r="P56" s="175" t="n">
        <v>35.2900009155273</v>
      </c>
      <c r="Q56" s="62"/>
      <c r="R56" s="175" t="n">
        <v>25.7900009155273</v>
      </c>
      <c r="S56" s="175" t="n">
        <v>25.7900009155273</v>
      </c>
      <c r="T56" s="175" t="n">
        <v>25.7900009155273</v>
      </c>
      <c r="U56" s="62"/>
      <c r="V56" s="175" t="n">
        <v>0</v>
      </c>
      <c r="W56" s="175" t="n">
        <v>0</v>
      </c>
      <c r="X56" s="175" t="n">
        <v>0</v>
      </c>
      <c r="Y56" s="62"/>
      <c r="Z56" s="175" t="n">
        <v>0.24</v>
      </c>
      <c r="AA56" s="175" t="n">
        <v>0.3</v>
      </c>
      <c r="AB56" s="175" t="n">
        <v>0.36</v>
      </c>
      <c r="AC56" s="62"/>
      <c r="AD56" s="175" t="n">
        <v>0.12</v>
      </c>
      <c r="AE56" s="175" t="n">
        <v>0.15</v>
      </c>
      <c r="AF56" s="175" t="n">
        <v>0.18</v>
      </c>
      <c r="AG56" s="62"/>
      <c r="AH56" s="175" t="n">
        <v>0.48</v>
      </c>
      <c r="AI56" s="175" t="n">
        <v>0.6</v>
      </c>
      <c r="AJ56" s="175" t="n">
        <v>0.72</v>
      </c>
      <c r="AK56" s="62"/>
      <c r="AL56" s="175" t="n">
        <v>0.288</v>
      </c>
      <c r="AM56" s="175" t="n">
        <v>0.36</v>
      </c>
      <c r="AN56" s="175" t="n">
        <v>0.432</v>
      </c>
      <c r="AO56" s="62"/>
      <c r="AP56" s="141" t="n">
        <v>13</v>
      </c>
      <c r="AQ56" s="176" t="n">
        <v>0.25</v>
      </c>
      <c r="AR56" s="62"/>
      <c r="AS56" s="176" t="n">
        <v>-10</v>
      </c>
      <c r="AT56" s="178" t="n">
        <v>0</v>
      </c>
      <c r="AU56" s="62"/>
      <c r="AV56" s="176" t="n">
        <v>0</v>
      </c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142" t="n">
        <v>38169</v>
      </c>
      <c r="BI56" s="178" t="n">
        <v>0.75</v>
      </c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117"/>
      <c r="CI56" s="166"/>
      <c r="CJ56" s="166"/>
      <c r="CK56" s="166"/>
      <c r="CM56" s="222"/>
      <c r="CN56" s="222"/>
      <c r="CO56" s="179"/>
      <c r="CP56" s="0"/>
      <c r="CQ56" s="0"/>
      <c r="CR56" s="0"/>
      <c r="CS56" s="0"/>
      <c r="CT56" s="0"/>
      <c r="CY56" s="180" t="n">
        <f aca="false">M56</f>
        <v>38169</v>
      </c>
      <c r="CZ56" s="181" t="n">
        <f aca="false">AH56</f>
        <v>0.48</v>
      </c>
      <c r="DA56" s="181" t="n">
        <f aca="false">AI56</f>
        <v>0.6</v>
      </c>
      <c r="DB56" s="181" t="n">
        <f aca="false">AJ56</f>
        <v>0.72</v>
      </c>
      <c r="DD56" s="181" t="n">
        <f aca="false">Z56</f>
        <v>0.24</v>
      </c>
      <c r="DE56" s="181" t="n">
        <f aca="false">AA56</f>
        <v>0.3</v>
      </c>
      <c r="DF56" s="181" t="n">
        <f aca="false">AB56</f>
        <v>0.36</v>
      </c>
      <c r="DH56" s="180" t="n">
        <f aca="false">BH56</f>
        <v>38169</v>
      </c>
      <c r="DI56" s="135" t="n">
        <f aca="false">BI56</f>
        <v>0.75</v>
      </c>
      <c r="DL56" s="180" t="n">
        <f aca="false">M56</f>
        <v>38169</v>
      </c>
      <c r="DM56" s="181" t="n">
        <f aca="false">AL56</f>
        <v>0.288</v>
      </c>
      <c r="DN56" s="181" t="n">
        <f aca="false">AM56</f>
        <v>0.36</v>
      </c>
      <c r="DO56" s="181" t="n">
        <f aca="false">AN56</f>
        <v>0.432</v>
      </c>
      <c r="DQ56" s="181" t="n">
        <f aca="false">AD56</f>
        <v>0.12</v>
      </c>
      <c r="DR56" s="181" t="n">
        <f aca="false">AE56</f>
        <v>0.15</v>
      </c>
      <c r="DS56" s="181" t="n">
        <f aca="false">AF56</f>
        <v>0.18</v>
      </c>
    </row>
    <row r="57" customFormat="false" ht="12.75" hidden="false" customHeight="false" outlineLevel="0" collapsed="false">
      <c r="A57" s="145" t="n">
        <f aca="false">EOMONTH(A56,0)+1</f>
        <v>47270</v>
      </c>
      <c r="B57" s="135" t="n">
        <f aca="false">'Gas Curves'!C61</f>
        <v>0.0554150310123598</v>
      </c>
      <c r="C57" s="135"/>
      <c r="D57" s="173" t="n">
        <v>37316</v>
      </c>
      <c r="E57" s="174" t="n">
        <v>30.5197670515194</v>
      </c>
      <c r="F57" s="174" t="n">
        <v>31.0197670515194</v>
      </c>
      <c r="G57" s="174" t="n">
        <v>31.5197670515194</v>
      </c>
      <c r="H57" s="159"/>
      <c r="I57" s="174" t="n">
        <v>17.75</v>
      </c>
      <c r="J57" s="174" t="n">
        <v>17.75</v>
      </c>
      <c r="K57" s="174" t="n">
        <v>17.75</v>
      </c>
      <c r="L57" s="141"/>
      <c r="M57" s="142" t="n">
        <v>38200</v>
      </c>
      <c r="N57" s="175" t="n">
        <v>33.2900047302246</v>
      </c>
      <c r="O57" s="175" t="n">
        <v>33.2900047302246</v>
      </c>
      <c r="P57" s="175" t="n">
        <v>33.2900047302246</v>
      </c>
      <c r="Q57" s="62"/>
      <c r="R57" s="175" t="n">
        <v>25.7900009155273</v>
      </c>
      <c r="S57" s="175" t="n">
        <v>25.7900009155273</v>
      </c>
      <c r="T57" s="175" t="n">
        <v>25.7900009155273</v>
      </c>
      <c r="U57" s="62"/>
      <c r="V57" s="175" t="n">
        <v>0</v>
      </c>
      <c r="W57" s="175" t="n">
        <v>0</v>
      </c>
      <c r="X57" s="175" t="n">
        <v>0</v>
      </c>
      <c r="Y57" s="62"/>
      <c r="Z57" s="175" t="n">
        <v>0.24</v>
      </c>
      <c r="AA57" s="175" t="n">
        <v>0.3</v>
      </c>
      <c r="AB57" s="175" t="n">
        <v>0.36</v>
      </c>
      <c r="AC57" s="62"/>
      <c r="AD57" s="175" t="n">
        <v>0.12</v>
      </c>
      <c r="AE57" s="175" t="n">
        <v>0.15</v>
      </c>
      <c r="AF57" s="175" t="n">
        <v>0.18</v>
      </c>
      <c r="AG57" s="62"/>
      <c r="AH57" s="175" t="n">
        <v>0.48</v>
      </c>
      <c r="AI57" s="175" t="n">
        <v>0.6</v>
      </c>
      <c r="AJ57" s="175" t="n">
        <v>0.72</v>
      </c>
      <c r="AK57" s="62"/>
      <c r="AL57" s="175" t="n">
        <v>0.288</v>
      </c>
      <c r="AM57" s="175" t="n">
        <v>0.36</v>
      </c>
      <c r="AN57" s="175" t="n">
        <v>0.432</v>
      </c>
      <c r="AO57" s="62"/>
      <c r="AP57" s="141" t="n">
        <v>13</v>
      </c>
      <c r="AQ57" s="176" t="n">
        <v>0.25</v>
      </c>
      <c r="AR57" s="62"/>
      <c r="AS57" s="176" t="n">
        <v>0</v>
      </c>
      <c r="AT57" s="178" t="n">
        <v>0</v>
      </c>
      <c r="AU57" s="62"/>
      <c r="AV57" s="176" t="n">
        <v>0</v>
      </c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142" t="n">
        <v>38200</v>
      </c>
      <c r="BI57" s="178" t="n">
        <v>0.75</v>
      </c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117"/>
      <c r="CI57" s="166"/>
      <c r="CJ57" s="166"/>
      <c r="CK57" s="166"/>
      <c r="CM57" s="222"/>
      <c r="CN57" s="222"/>
      <c r="CO57" s="179"/>
      <c r="CP57" s="0"/>
      <c r="CQ57" s="0"/>
      <c r="CR57" s="0"/>
      <c r="CS57" s="0"/>
      <c r="CT57" s="0"/>
      <c r="CY57" s="180" t="n">
        <f aca="false">M57</f>
        <v>38200</v>
      </c>
      <c r="CZ57" s="181" t="n">
        <f aca="false">AH57</f>
        <v>0.48</v>
      </c>
      <c r="DA57" s="181" t="n">
        <f aca="false">AI57</f>
        <v>0.6</v>
      </c>
      <c r="DB57" s="181" t="n">
        <f aca="false">AJ57</f>
        <v>0.72</v>
      </c>
      <c r="DD57" s="181" t="n">
        <f aca="false">Z57</f>
        <v>0.24</v>
      </c>
      <c r="DE57" s="181" t="n">
        <f aca="false">AA57</f>
        <v>0.3</v>
      </c>
      <c r="DF57" s="181" t="n">
        <f aca="false">AB57</f>
        <v>0.36</v>
      </c>
      <c r="DH57" s="180" t="n">
        <f aca="false">BH57</f>
        <v>38200</v>
      </c>
      <c r="DI57" s="135" t="n">
        <f aca="false">BI57</f>
        <v>0.75</v>
      </c>
      <c r="DL57" s="180" t="n">
        <f aca="false">M57</f>
        <v>38200</v>
      </c>
      <c r="DM57" s="181" t="n">
        <f aca="false">AL57</f>
        <v>0.288</v>
      </c>
      <c r="DN57" s="181" t="n">
        <f aca="false">AM57</f>
        <v>0.36</v>
      </c>
      <c r="DO57" s="181" t="n">
        <f aca="false">AN57</f>
        <v>0.432</v>
      </c>
      <c r="DQ57" s="181" t="n">
        <f aca="false">AD57</f>
        <v>0.12</v>
      </c>
      <c r="DR57" s="181" t="n">
        <f aca="false">AE57</f>
        <v>0.15</v>
      </c>
      <c r="DS57" s="181" t="n">
        <f aca="false">AF57</f>
        <v>0.18</v>
      </c>
    </row>
    <row r="58" customFormat="false" ht="12.75" hidden="false" customHeight="false" outlineLevel="0" collapsed="false">
      <c r="A58" s="145" t="n">
        <f aca="false">EOMONTH(A57,0)+1</f>
        <v>47300</v>
      </c>
      <c r="B58" s="135" t="n">
        <f aca="false">'Gas Curves'!C62</f>
        <v>0.0555982592471898</v>
      </c>
      <c r="C58" s="135"/>
      <c r="D58" s="173" t="n">
        <v>37347</v>
      </c>
      <c r="E58" s="174" t="n">
        <v>30.4697678144588</v>
      </c>
      <c r="F58" s="174" t="n">
        <v>31.4697678144588</v>
      </c>
      <c r="G58" s="174" t="n">
        <v>32.4697678144588</v>
      </c>
      <c r="H58" s="159"/>
      <c r="I58" s="174" t="n">
        <v>15.7500009536743</v>
      </c>
      <c r="J58" s="174" t="n">
        <v>15.7500009536743</v>
      </c>
      <c r="K58" s="174" t="n">
        <v>15.7500009536743</v>
      </c>
      <c r="L58" s="141"/>
      <c r="M58" s="142" t="n">
        <v>38231</v>
      </c>
      <c r="N58" s="175" t="n">
        <v>25.2900009155273</v>
      </c>
      <c r="O58" s="175" t="n">
        <v>25.2900009155273</v>
      </c>
      <c r="P58" s="175" t="n">
        <v>25.2900009155273</v>
      </c>
      <c r="Q58" s="62"/>
      <c r="R58" s="175" t="n">
        <v>19.7900009155273</v>
      </c>
      <c r="S58" s="175" t="n">
        <v>19.7900009155273</v>
      </c>
      <c r="T58" s="175" t="n">
        <v>19.7900009155273</v>
      </c>
      <c r="U58" s="62"/>
      <c r="V58" s="175" t="n">
        <v>0</v>
      </c>
      <c r="W58" s="175" t="n">
        <v>0</v>
      </c>
      <c r="X58" s="175" t="n">
        <v>0</v>
      </c>
      <c r="Y58" s="62"/>
      <c r="Z58" s="175" t="n">
        <v>0.16</v>
      </c>
      <c r="AA58" s="175" t="n">
        <v>0.2</v>
      </c>
      <c r="AB58" s="175" t="n">
        <v>0.24</v>
      </c>
      <c r="AC58" s="62"/>
      <c r="AD58" s="175" t="n">
        <v>0.08</v>
      </c>
      <c r="AE58" s="175" t="n">
        <v>0.1</v>
      </c>
      <c r="AF58" s="175" t="n">
        <v>0.12</v>
      </c>
      <c r="AG58" s="62"/>
      <c r="AH58" s="175" t="n">
        <v>0.32</v>
      </c>
      <c r="AI58" s="175" t="n">
        <v>0.4</v>
      </c>
      <c r="AJ58" s="175" t="n">
        <v>0.48</v>
      </c>
      <c r="AK58" s="62"/>
      <c r="AL58" s="175" t="n">
        <v>0.192</v>
      </c>
      <c r="AM58" s="175" t="n">
        <v>0.24</v>
      </c>
      <c r="AN58" s="175" t="n">
        <v>0.288</v>
      </c>
      <c r="AO58" s="62"/>
      <c r="AP58" s="141" t="n">
        <v>14</v>
      </c>
      <c r="AQ58" s="176" t="n">
        <v>0.25</v>
      </c>
      <c r="AR58" s="62"/>
      <c r="AS58" s="176" t="n">
        <v>15</v>
      </c>
      <c r="AT58" s="178" t="n">
        <v>0</v>
      </c>
      <c r="AU58" s="62"/>
      <c r="AV58" s="176" t="n">
        <v>0</v>
      </c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142" t="n">
        <v>38231</v>
      </c>
      <c r="BI58" s="178" t="n">
        <v>0.75</v>
      </c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117"/>
      <c r="CI58" s="166"/>
      <c r="CJ58" s="166"/>
      <c r="CK58" s="166"/>
      <c r="CM58" s="222"/>
      <c r="CN58" s="222"/>
      <c r="CO58" s="179"/>
      <c r="CP58" s="0"/>
      <c r="CQ58" s="0"/>
      <c r="CR58" s="0"/>
      <c r="CS58" s="0"/>
      <c r="CT58" s="0"/>
      <c r="CY58" s="180" t="n">
        <f aca="false">M58</f>
        <v>38231</v>
      </c>
      <c r="CZ58" s="181" t="n">
        <f aca="false">AH58</f>
        <v>0.32</v>
      </c>
      <c r="DA58" s="181" t="n">
        <f aca="false">AI58</f>
        <v>0.4</v>
      </c>
      <c r="DB58" s="181" t="n">
        <f aca="false">AJ58</f>
        <v>0.48</v>
      </c>
      <c r="DD58" s="181" t="n">
        <f aca="false">Z58</f>
        <v>0.16</v>
      </c>
      <c r="DE58" s="181" t="n">
        <f aca="false">AA58</f>
        <v>0.2</v>
      </c>
      <c r="DF58" s="181" t="n">
        <f aca="false">AB58</f>
        <v>0.24</v>
      </c>
      <c r="DH58" s="180" t="n">
        <f aca="false">BH58</f>
        <v>38231</v>
      </c>
      <c r="DI58" s="135" t="n">
        <f aca="false">BI58</f>
        <v>0.75</v>
      </c>
      <c r="DL58" s="180" t="n">
        <f aca="false">M58</f>
        <v>38231</v>
      </c>
      <c r="DM58" s="181" t="n">
        <f aca="false">AL58</f>
        <v>0.192</v>
      </c>
      <c r="DN58" s="181" t="n">
        <f aca="false">AM58</f>
        <v>0.24</v>
      </c>
      <c r="DO58" s="181" t="n">
        <f aca="false">AN58</f>
        <v>0.288</v>
      </c>
      <c r="DQ58" s="181" t="n">
        <f aca="false">AD58</f>
        <v>0.08</v>
      </c>
      <c r="DR58" s="181" t="n">
        <f aca="false">AE58</f>
        <v>0.1</v>
      </c>
      <c r="DS58" s="181" t="n">
        <f aca="false">AF58</f>
        <v>0.12</v>
      </c>
    </row>
    <row r="59" customFormat="false" ht="12.75" hidden="false" customHeight="false" outlineLevel="0" collapsed="false">
      <c r="A59" s="145" t="n">
        <f aca="false">EOMONTH(A58,0)+1</f>
        <v>47331</v>
      </c>
      <c r="B59" s="135" t="n">
        <f aca="false">'Gas Curves'!C63</f>
        <v>0.0557637557269666</v>
      </c>
      <c r="C59" s="135"/>
      <c r="D59" s="173" t="n">
        <v>37377</v>
      </c>
      <c r="E59" s="174" t="n">
        <v>32.875</v>
      </c>
      <c r="F59" s="174" t="n">
        <v>34.625</v>
      </c>
      <c r="G59" s="174" t="n">
        <v>36.375</v>
      </c>
      <c r="H59" s="159"/>
      <c r="I59" s="174" t="n">
        <v>17.75</v>
      </c>
      <c r="J59" s="174" t="n">
        <v>17.75</v>
      </c>
      <c r="K59" s="174" t="n">
        <v>17.75</v>
      </c>
      <c r="L59" s="141"/>
      <c r="M59" s="142" t="n">
        <v>38261</v>
      </c>
      <c r="N59" s="175" t="n">
        <v>20.2860012054443</v>
      </c>
      <c r="O59" s="175" t="n">
        <v>20.2860012054443</v>
      </c>
      <c r="P59" s="175" t="n">
        <v>20.2860012054443</v>
      </c>
      <c r="Q59" s="62"/>
      <c r="R59" s="175" t="n">
        <v>14.7865009307861</v>
      </c>
      <c r="S59" s="175" t="n">
        <v>14.7865009307861</v>
      </c>
      <c r="T59" s="175" t="n">
        <v>14.7865009307861</v>
      </c>
      <c r="U59" s="62"/>
      <c r="V59" s="175" t="n">
        <v>0</v>
      </c>
      <c r="W59" s="175" t="n">
        <v>0</v>
      </c>
      <c r="X59" s="175" t="n">
        <v>0</v>
      </c>
      <c r="Y59" s="62"/>
      <c r="Z59" s="175" t="n">
        <v>0.16</v>
      </c>
      <c r="AA59" s="175" t="n">
        <v>0.2</v>
      </c>
      <c r="AB59" s="175" t="n">
        <v>0.24</v>
      </c>
      <c r="AC59" s="62"/>
      <c r="AD59" s="175" t="n">
        <v>0.08</v>
      </c>
      <c r="AE59" s="175" t="n">
        <v>0.1</v>
      </c>
      <c r="AF59" s="175" t="n">
        <v>0.12</v>
      </c>
      <c r="AG59" s="62"/>
      <c r="AH59" s="175" t="n">
        <v>0.32</v>
      </c>
      <c r="AI59" s="175" t="n">
        <v>0.4</v>
      </c>
      <c r="AJ59" s="175" t="n">
        <v>0.48</v>
      </c>
      <c r="AK59" s="62"/>
      <c r="AL59" s="175" t="n">
        <v>0.192</v>
      </c>
      <c r="AM59" s="175" t="n">
        <v>0.24</v>
      </c>
      <c r="AN59" s="175" t="n">
        <v>0.288</v>
      </c>
      <c r="AO59" s="62"/>
      <c r="AP59" s="141" t="n">
        <v>14</v>
      </c>
      <c r="AQ59" s="176" t="n">
        <v>0.25</v>
      </c>
      <c r="AR59" s="62"/>
      <c r="AS59" s="176" t="n">
        <v>25</v>
      </c>
      <c r="AT59" s="178" t="n">
        <v>0.125</v>
      </c>
      <c r="AU59" s="62"/>
      <c r="AV59" s="176" t="n">
        <v>0</v>
      </c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142" t="n">
        <v>38261</v>
      </c>
      <c r="BI59" s="178" t="n">
        <v>0.75</v>
      </c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117"/>
      <c r="CI59" s="166"/>
      <c r="CJ59" s="166"/>
      <c r="CK59" s="166"/>
      <c r="CM59" s="222"/>
      <c r="CN59" s="222"/>
      <c r="CO59" s="179"/>
      <c r="CP59" s="0"/>
      <c r="CQ59" s="0"/>
      <c r="CR59" s="0"/>
      <c r="CS59" s="0"/>
      <c r="CT59" s="0"/>
      <c r="CY59" s="180" t="n">
        <f aca="false">M59</f>
        <v>38261</v>
      </c>
      <c r="CZ59" s="181" t="n">
        <f aca="false">AH59</f>
        <v>0.32</v>
      </c>
      <c r="DA59" s="181" t="n">
        <f aca="false">AI59</f>
        <v>0.4</v>
      </c>
      <c r="DB59" s="181" t="n">
        <f aca="false">AJ59</f>
        <v>0.48</v>
      </c>
      <c r="DD59" s="181" t="n">
        <f aca="false">Z59</f>
        <v>0.16</v>
      </c>
      <c r="DE59" s="181" t="n">
        <f aca="false">AA59</f>
        <v>0.2</v>
      </c>
      <c r="DF59" s="181" t="n">
        <f aca="false">AB59</f>
        <v>0.24</v>
      </c>
      <c r="DH59" s="180" t="n">
        <f aca="false">BH59</f>
        <v>38261</v>
      </c>
      <c r="DI59" s="135" t="n">
        <f aca="false">BI59</f>
        <v>0.75</v>
      </c>
      <c r="DL59" s="180" t="n">
        <f aca="false">M59</f>
        <v>38261</v>
      </c>
      <c r="DM59" s="181" t="n">
        <f aca="false">AL59</f>
        <v>0.192</v>
      </c>
      <c r="DN59" s="181" t="n">
        <f aca="false">AM59</f>
        <v>0.24</v>
      </c>
      <c r="DO59" s="181" t="n">
        <f aca="false">AN59</f>
        <v>0.288</v>
      </c>
      <c r="DQ59" s="181" t="n">
        <f aca="false">AD59</f>
        <v>0.08</v>
      </c>
      <c r="DR59" s="181" t="n">
        <f aca="false">AE59</f>
        <v>0.1</v>
      </c>
      <c r="DS59" s="181" t="n">
        <f aca="false">AF59</f>
        <v>0.12</v>
      </c>
    </row>
    <row r="60" customFormat="false" ht="12.75" hidden="false" customHeight="false" outlineLevel="0" collapsed="false">
      <c r="A60" s="145" t="n">
        <f aca="false">EOMONTH(A59,0)+1</f>
        <v>47362</v>
      </c>
      <c r="B60" s="135" t="n">
        <f aca="false">'Gas Curves'!C64</f>
        <v>0.0559323182935842</v>
      </c>
      <c r="C60" s="135"/>
      <c r="D60" s="173" t="n">
        <v>37408</v>
      </c>
      <c r="E60" s="174" t="n">
        <v>41.25</v>
      </c>
      <c r="F60" s="174" t="n">
        <v>44.75</v>
      </c>
      <c r="G60" s="174" t="n">
        <v>48.25</v>
      </c>
      <c r="H60" s="159"/>
      <c r="I60" s="174" t="n">
        <v>20.75</v>
      </c>
      <c r="J60" s="174" t="n">
        <v>20.75</v>
      </c>
      <c r="K60" s="174" t="n">
        <v>20.75</v>
      </c>
      <c r="L60" s="141"/>
      <c r="M60" s="142" t="n">
        <v>38292</v>
      </c>
      <c r="N60" s="175" t="n">
        <v>22.2900009155273</v>
      </c>
      <c r="O60" s="175" t="n">
        <v>22.2900009155273</v>
      </c>
      <c r="P60" s="175" t="n">
        <v>22.2900009155273</v>
      </c>
      <c r="Q60" s="62"/>
      <c r="R60" s="175" t="n">
        <v>14.7900009155273</v>
      </c>
      <c r="S60" s="175" t="n">
        <v>14.7900009155273</v>
      </c>
      <c r="T60" s="175" t="n">
        <v>14.7900009155273</v>
      </c>
      <c r="U60" s="62"/>
      <c r="V60" s="175" t="n">
        <v>0</v>
      </c>
      <c r="W60" s="175" t="n">
        <v>0</v>
      </c>
      <c r="X60" s="175" t="n">
        <v>0</v>
      </c>
      <c r="Y60" s="62"/>
      <c r="Z60" s="175" t="n">
        <v>0.16</v>
      </c>
      <c r="AA60" s="175" t="n">
        <v>0.2</v>
      </c>
      <c r="AB60" s="175" t="n">
        <v>0.24</v>
      </c>
      <c r="AC60" s="62"/>
      <c r="AD60" s="175" t="n">
        <v>0.08</v>
      </c>
      <c r="AE60" s="175" t="n">
        <v>0.1</v>
      </c>
      <c r="AF60" s="175" t="n">
        <v>0.12</v>
      </c>
      <c r="AG60" s="62"/>
      <c r="AH60" s="175" t="n">
        <v>0.32</v>
      </c>
      <c r="AI60" s="175" t="n">
        <v>0.4</v>
      </c>
      <c r="AJ60" s="175" t="n">
        <v>0.48</v>
      </c>
      <c r="AK60" s="62"/>
      <c r="AL60" s="175" t="n">
        <v>0.192</v>
      </c>
      <c r="AM60" s="175" t="n">
        <v>0.24</v>
      </c>
      <c r="AN60" s="175" t="n">
        <v>0.288</v>
      </c>
      <c r="AO60" s="62"/>
      <c r="AP60" s="141" t="n">
        <v>14</v>
      </c>
      <c r="AQ60" s="176" t="n">
        <v>0.4</v>
      </c>
      <c r="AR60" s="62"/>
      <c r="AS60" s="176" t="n">
        <v>60</v>
      </c>
      <c r="AT60" s="178" t="n">
        <v>0.25</v>
      </c>
      <c r="AU60" s="62"/>
      <c r="AV60" s="176" t="n">
        <v>0</v>
      </c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142" t="n">
        <v>38292</v>
      </c>
      <c r="BI60" s="178" t="n">
        <v>0.75</v>
      </c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117"/>
      <c r="CI60" s="166"/>
      <c r="CJ60" s="166"/>
      <c r="CK60" s="166"/>
      <c r="CM60" s="222"/>
      <c r="CN60" s="222"/>
      <c r="CO60" s="179"/>
      <c r="CP60" s="0"/>
      <c r="CQ60" s="0"/>
      <c r="CR60" s="0"/>
      <c r="CS60" s="0"/>
      <c r="CT60" s="0"/>
      <c r="CY60" s="180" t="n">
        <f aca="false">M60</f>
        <v>38292</v>
      </c>
      <c r="CZ60" s="181" t="n">
        <f aca="false">AH60</f>
        <v>0.32</v>
      </c>
      <c r="DA60" s="181" t="n">
        <f aca="false">AI60</f>
        <v>0.4</v>
      </c>
      <c r="DB60" s="181" t="n">
        <f aca="false">AJ60</f>
        <v>0.48</v>
      </c>
      <c r="DD60" s="181" t="n">
        <f aca="false">Z60</f>
        <v>0.16</v>
      </c>
      <c r="DE60" s="181" t="n">
        <f aca="false">AA60</f>
        <v>0.2</v>
      </c>
      <c r="DF60" s="181" t="n">
        <f aca="false">AB60</f>
        <v>0.24</v>
      </c>
      <c r="DH60" s="180" t="n">
        <f aca="false">BH60</f>
        <v>38292</v>
      </c>
      <c r="DI60" s="135" t="n">
        <f aca="false">BI60</f>
        <v>0.75</v>
      </c>
      <c r="DL60" s="180" t="n">
        <f aca="false">M60</f>
        <v>38292</v>
      </c>
      <c r="DM60" s="181" t="n">
        <f aca="false">AL60</f>
        <v>0.192</v>
      </c>
      <c r="DN60" s="181" t="n">
        <f aca="false">AM60</f>
        <v>0.24</v>
      </c>
      <c r="DO60" s="181" t="n">
        <f aca="false">AN60</f>
        <v>0.288</v>
      </c>
      <c r="DQ60" s="181" t="n">
        <f aca="false">AD60</f>
        <v>0.08</v>
      </c>
      <c r="DR60" s="181" t="n">
        <f aca="false">AE60</f>
        <v>0.1</v>
      </c>
      <c r="DS60" s="181" t="n">
        <f aca="false">AF60</f>
        <v>0.12</v>
      </c>
    </row>
    <row r="61" customFormat="false" ht="12.75" hidden="false" customHeight="false" outlineLevel="0" collapsed="false">
      <c r="A61" s="145" t="n">
        <f aca="false">EOMONTH(A60,0)+1</f>
        <v>47392</v>
      </c>
      <c r="B61" s="135" t="n">
        <f aca="false">'Gas Curves'!C65</f>
        <v>0.0560825603331621</v>
      </c>
      <c r="C61" s="135"/>
      <c r="D61" s="173" t="n">
        <v>37438</v>
      </c>
      <c r="E61" s="174" t="n">
        <v>57.25</v>
      </c>
      <c r="F61" s="174" t="n">
        <v>62.25</v>
      </c>
      <c r="G61" s="174" t="n">
        <v>67.25</v>
      </c>
      <c r="H61" s="159"/>
      <c r="I61" s="174" t="n">
        <v>21.25</v>
      </c>
      <c r="J61" s="174" t="n">
        <v>21.25</v>
      </c>
      <c r="K61" s="174" t="n">
        <v>21.25</v>
      </c>
      <c r="L61" s="141"/>
      <c r="M61" s="142" t="n">
        <v>38322</v>
      </c>
      <c r="N61" s="175" t="n">
        <v>27.2900009155273</v>
      </c>
      <c r="O61" s="175" t="n">
        <v>27.2900009155273</v>
      </c>
      <c r="P61" s="175" t="n">
        <v>27.2900009155273</v>
      </c>
      <c r="Q61" s="62"/>
      <c r="R61" s="175" t="n">
        <v>21.7900009155273</v>
      </c>
      <c r="S61" s="175" t="n">
        <v>21.7900009155273</v>
      </c>
      <c r="T61" s="175" t="n">
        <v>21.7900009155273</v>
      </c>
      <c r="U61" s="62"/>
      <c r="V61" s="175" t="n">
        <v>0</v>
      </c>
      <c r="W61" s="175" t="n">
        <v>0</v>
      </c>
      <c r="X61" s="175" t="n">
        <v>0</v>
      </c>
      <c r="Y61" s="62"/>
      <c r="Z61" s="175" t="n">
        <v>0.16</v>
      </c>
      <c r="AA61" s="175" t="n">
        <v>0.2</v>
      </c>
      <c r="AB61" s="175" t="n">
        <v>0.24</v>
      </c>
      <c r="AC61" s="62"/>
      <c r="AD61" s="175" t="n">
        <v>0.08</v>
      </c>
      <c r="AE61" s="175" t="n">
        <v>0.1</v>
      </c>
      <c r="AF61" s="175" t="n">
        <v>0.12</v>
      </c>
      <c r="AG61" s="62"/>
      <c r="AH61" s="175" t="n">
        <v>0.32</v>
      </c>
      <c r="AI61" s="175" t="n">
        <v>0.4</v>
      </c>
      <c r="AJ61" s="175" t="n">
        <v>0.48</v>
      </c>
      <c r="AK61" s="62"/>
      <c r="AL61" s="175" t="n">
        <v>0.192</v>
      </c>
      <c r="AM61" s="175" t="n">
        <v>0.24</v>
      </c>
      <c r="AN61" s="175" t="n">
        <v>0.288</v>
      </c>
      <c r="AO61" s="62"/>
      <c r="AP61" s="141" t="n">
        <v>15</v>
      </c>
      <c r="AQ61" s="176" t="n">
        <v>0.4</v>
      </c>
      <c r="AR61" s="62"/>
      <c r="AS61" s="176" t="n">
        <v>80</v>
      </c>
      <c r="AT61" s="178" t="n">
        <v>0.4</v>
      </c>
      <c r="AU61" s="62"/>
      <c r="AV61" s="176" t="n">
        <v>0</v>
      </c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142" t="n">
        <v>38322</v>
      </c>
      <c r="BI61" s="178" t="n">
        <v>0.75</v>
      </c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116"/>
      <c r="CI61" s="166"/>
      <c r="CJ61" s="166"/>
      <c r="CK61" s="166"/>
      <c r="CM61" s="222"/>
      <c r="CN61" s="222"/>
      <c r="CO61" s="179"/>
      <c r="CP61" s="0"/>
      <c r="CQ61" s="0"/>
      <c r="CR61" s="0"/>
      <c r="CS61" s="0"/>
      <c r="CT61" s="0"/>
      <c r="CY61" s="180" t="n">
        <f aca="false">M61</f>
        <v>38322</v>
      </c>
      <c r="CZ61" s="181" t="n">
        <f aca="false">AH61</f>
        <v>0.32</v>
      </c>
      <c r="DA61" s="181" t="n">
        <f aca="false">AI61</f>
        <v>0.4</v>
      </c>
      <c r="DB61" s="181" t="n">
        <f aca="false">AJ61</f>
        <v>0.48</v>
      </c>
      <c r="DD61" s="181" t="n">
        <f aca="false">Z61</f>
        <v>0.16</v>
      </c>
      <c r="DE61" s="181" t="n">
        <f aca="false">AA61</f>
        <v>0.2</v>
      </c>
      <c r="DF61" s="181" t="n">
        <f aca="false">AB61</f>
        <v>0.24</v>
      </c>
      <c r="DH61" s="180" t="n">
        <f aca="false">BH61</f>
        <v>38322</v>
      </c>
      <c r="DI61" s="135" t="n">
        <f aca="false">BI61</f>
        <v>0.75</v>
      </c>
      <c r="DL61" s="180" t="n">
        <f aca="false">M61</f>
        <v>38322</v>
      </c>
      <c r="DM61" s="181" t="n">
        <f aca="false">AL61</f>
        <v>0.192</v>
      </c>
      <c r="DN61" s="181" t="n">
        <f aca="false">AM61</f>
        <v>0.24</v>
      </c>
      <c r="DO61" s="181" t="n">
        <f aca="false">AN61</f>
        <v>0.288</v>
      </c>
      <c r="DQ61" s="181" t="n">
        <f aca="false">AD61</f>
        <v>0.08</v>
      </c>
      <c r="DR61" s="181" t="n">
        <f aca="false">AE61</f>
        <v>0.1</v>
      </c>
      <c r="DS61" s="181" t="n">
        <f aca="false">AF61</f>
        <v>0.12</v>
      </c>
    </row>
    <row r="62" customFormat="false" ht="12.75" hidden="false" customHeight="false" outlineLevel="0" collapsed="false">
      <c r="A62" s="145" t="n">
        <f aca="false">EOMONTH(A61,0)+1</f>
        <v>47423</v>
      </c>
      <c r="B62" s="135" t="n">
        <f aca="false">'Gas Curves'!C66</f>
        <v>0.0562378104486196</v>
      </c>
      <c r="C62" s="135"/>
      <c r="D62" s="173" t="n">
        <v>37469</v>
      </c>
      <c r="E62" s="174" t="n">
        <v>57.25</v>
      </c>
      <c r="F62" s="174" t="n">
        <v>62.25</v>
      </c>
      <c r="G62" s="174" t="n">
        <v>67.25</v>
      </c>
      <c r="H62" s="159"/>
      <c r="I62" s="174" t="n">
        <v>22.25</v>
      </c>
      <c r="J62" s="174" t="n">
        <v>22.25</v>
      </c>
      <c r="K62" s="174" t="n">
        <v>22.25</v>
      </c>
      <c r="L62" s="141"/>
      <c r="M62" s="142" t="n">
        <v>38353</v>
      </c>
      <c r="N62" s="175" t="n">
        <v>35.75</v>
      </c>
      <c r="O62" s="175" t="n">
        <v>35.75</v>
      </c>
      <c r="P62" s="175" t="n">
        <v>35.75</v>
      </c>
      <c r="Q62" s="62"/>
      <c r="R62" s="175" t="n">
        <v>25.25</v>
      </c>
      <c r="S62" s="175" t="n">
        <v>25.25</v>
      </c>
      <c r="T62" s="175" t="n">
        <v>25.25</v>
      </c>
      <c r="U62" s="62"/>
      <c r="V62" s="175" t="n">
        <v>0</v>
      </c>
      <c r="W62" s="175" t="n">
        <v>0</v>
      </c>
      <c r="X62" s="175" t="n">
        <v>0</v>
      </c>
      <c r="Y62" s="62"/>
      <c r="Z62" s="175" t="n">
        <v>0.16</v>
      </c>
      <c r="AA62" s="175" t="n">
        <v>0.2</v>
      </c>
      <c r="AB62" s="175" t="n">
        <v>0.24</v>
      </c>
      <c r="AC62" s="62"/>
      <c r="AD62" s="175" t="n">
        <v>0.08</v>
      </c>
      <c r="AE62" s="175" t="n">
        <v>0.1</v>
      </c>
      <c r="AF62" s="175" t="n">
        <v>0.12</v>
      </c>
      <c r="AG62" s="62"/>
      <c r="AH62" s="175" t="n">
        <v>0.28</v>
      </c>
      <c r="AI62" s="175" t="n">
        <v>0.35</v>
      </c>
      <c r="AJ62" s="175" t="n">
        <v>0.42</v>
      </c>
      <c r="AK62" s="62"/>
      <c r="AL62" s="175" t="n">
        <v>0.168</v>
      </c>
      <c r="AM62" s="175" t="n">
        <v>0.21</v>
      </c>
      <c r="AN62" s="175" t="n">
        <v>0.252</v>
      </c>
      <c r="AO62" s="62"/>
      <c r="AP62" s="141" t="n">
        <v>15</v>
      </c>
      <c r="AQ62" s="176" t="n">
        <v>0.4</v>
      </c>
      <c r="AR62" s="62"/>
      <c r="AS62" s="176" t="n">
        <v>100</v>
      </c>
      <c r="AT62" s="178" t="n">
        <v>0.4</v>
      </c>
      <c r="AU62" s="62"/>
      <c r="AV62" s="176" t="n">
        <v>0</v>
      </c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142" t="n">
        <v>38353</v>
      </c>
      <c r="BI62" s="178" t="n">
        <v>0.75</v>
      </c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116"/>
      <c r="CI62" s="166"/>
      <c r="CJ62" s="166"/>
      <c r="CK62" s="166"/>
      <c r="CM62" s="222"/>
      <c r="CN62" s="222"/>
      <c r="CO62" s="179"/>
      <c r="CP62" s="0"/>
      <c r="CQ62" s="0"/>
      <c r="CR62" s="0"/>
      <c r="CS62" s="0"/>
      <c r="CT62" s="0"/>
      <c r="CY62" s="180" t="n">
        <f aca="false">M62</f>
        <v>38353</v>
      </c>
      <c r="CZ62" s="181" t="n">
        <f aca="false">AH62</f>
        <v>0.28</v>
      </c>
      <c r="DA62" s="181" t="n">
        <f aca="false">AI62</f>
        <v>0.35</v>
      </c>
      <c r="DB62" s="181" t="n">
        <f aca="false">AJ62</f>
        <v>0.42</v>
      </c>
      <c r="DD62" s="181" t="n">
        <f aca="false">Z62</f>
        <v>0.16</v>
      </c>
      <c r="DE62" s="181" t="n">
        <f aca="false">AA62</f>
        <v>0.2</v>
      </c>
      <c r="DF62" s="181" t="n">
        <f aca="false">AB62</f>
        <v>0.24</v>
      </c>
      <c r="DH62" s="180" t="n">
        <f aca="false">BH62</f>
        <v>38353</v>
      </c>
      <c r="DI62" s="135" t="n">
        <f aca="false">BI62</f>
        <v>0.75</v>
      </c>
      <c r="DL62" s="180" t="n">
        <f aca="false">M62</f>
        <v>38353</v>
      </c>
      <c r="DM62" s="181" t="n">
        <f aca="false">AL62</f>
        <v>0.168</v>
      </c>
      <c r="DN62" s="181" t="n">
        <f aca="false">AM62</f>
        <v>0.21</v>
      </c>
      <c r="DO62" s="181" t="n">
        <f aca="false">AN62</f>
        <v>0.252</v>
      </c>
      <c r="DQ62" s="181" t="n">
        <f aca="false">AD62</f>
        <v>0.08</v>
      </c>
      <c r="DR62" s="181" t="n">
        <f aca="false">AE62</f>
        <v>0.1</v>
      </c>
      <c r="DS62" s="181" t="n">
        <f aca="false">AF62</f>
        <v>0.12</v>
      </c>
    </row>
    <row r="63" customFormat="false" ht="12.75" hidden="false" customHeight="false" outlineLevel="0" collapsed="false">
      <c r="A63" s="145" t="n">
        <f aca="false">EOMONTH(A62,0)+1</f>
        <v>47453</v>
      </c>
      <c r="B63" s="135" t="n">
        <f aca="false">'Gas Curves'!C67</f>
        <v>0.0563753429962008</v>
      </c>
      <c r="C63" s="135"/>
      <c r="D63" s="173" t="n">
        <v>37500</v>
      </c>
      <c r="E63" s="174" t="n">
        <v>26.7</v>
      </c>
      <c r="F63" s="174" t="n">
        <v>29.25</v>
      </c>
      <c r="G63" s="174" t="n">
        <v>31.8</v>
      </c>
      <c r="H63" s="159"/>
      <c r="I63" s="174" t="n">
        <v>16.25</v>
      </c>
      <c r="J63" s="174" t="n">
        <v>16.25</v>
      </c>
      <c r="K63" s="174" t="n">
        <v>16.25</v>
      </c>
      <c r="L63" s="141"/>
      <c r="M63" s="142" t="n">
        <v>38384</v>
      </c>
      <c r="N63" s="175" t="n">
        <v>31.2460021972656</v>
      </c>
      <c r="O63" s="175" t="n">
        <v>31.2460021972656</v>
      </c>
      <c r="P63" s="175" t="n">
        <v>31.2460021972656</v>
      </c>
      <c r="Q63" s="62"/>
      <c r="R63" s="175" t="n">
        <v>22.7465019226074</v>
      </c>
      <c r="S63" s="175" t="n">
        <v>22.7465019226074</v>
      </c>
      <c r="T63" s="175" t="n">
        <v>22.7465019226074</v>
      </c>
      <c r="U63" s="62"/>
      <c r="V63" s="175" t="n">
        <v>0</v>
      </c>
      <c r="W63" s="175" t="n">
        <v>0</v>
      </c>
      <c r="X63" s="175" t="n">
        <v>0</v>
      </c>
      <c r="Y63" s="62"/>
      <c r="Z63" s="175" t="n">
        <v>0.16</v>
      </c>
      <c r="AA63" s="175" t="n">
        <v>0.2</v>
      </c>
      <c r="AB63" s="175" t="n">
        <v>0.24</v>
      </c>
      <c r="AC63" s="62"/>
      <c r="AD63" s="175" t="n">
        <v>0.08</v>
      </c>
      <c r="AE63" s="175" t="n">
        <v>0.1</v>
      </c>
      <c r="AF63" s="175" t="n">
        <v>0.12</v>
      </c>
      <c r="AG63" s="62"/>
      <c r="AH63" s="175" t="n">
        <v>0.28</v>
      </c>
      <c r="AI63" s="175" t="n">
        <v>0.35</v>
      </c>
      <c r="AJ63" s="175" t="n">
        <v>0.42</v>
      </c>
      <c r="AK63" s="62"/>
      <c r="AL63" s="175" t="n">
        <v>0.168</v>
      </c>
      <c r="AM63" s="175" t="n">
        <v>0.21</v>
      </c>
      <c r="AN63" s="175" t="n">
        <v>0.252</v>
      </c>
      <c r="AO63" s="62"/>
      <c r="AP63" s="141" t="n">
        <v>15</v>
      </c>
      <c r="AQ63" s="176" t="n">
        <v>0.4</v>
      </c>
      <c r="AR63" s="62"/>
      <c r="AS63" s="176" t="n">
        <v>120</v>
      </c>
      <c r="AT63" s="178" t="n">
        <v>0.4</v>
      </c>
      <c r="AU63" s="62"/>
      <c r="AV63" s="176" t="n">
        <v>0</v>
      </c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142" t="n">
        <v>38384</v>
      </c>
      <c r="BI63" s="178" t="n">
        <v>0.75</v>
      </c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116"/>
      <c r="CI63" s="166"/>
      <c r="CJ63" s="166"/>
      <c r="CK63" s="166"/>
      <c r="CM63" s="222"/>
      <c r="CN63" s="222"/>
      <c r="CO63" s="179"/>
      <c r="CP63" s="0"/>
      <c r="CQ63" s="0"/>
      <c r="CR63" s="0"/>
      <c r="CS63" s="0"/>
      <c r="CT63" s="0"/>
      <c r="CY63" s="180" t="n">
        <f aca="false">M63</f>
        <v>38384</v>
      </c>
      <c r="CZ63" s="181" t="n">
        <f aca="false">AH63</f>
        <v>0.28</v>
      </c>
      <c r="DA63" s="181" t="n">
        <f aca="false">AI63</f>
        <v>0.35</v>
      </c>
      <c r="DB63" s="181" t="n">
        <f aca="false">AJ63</f>
        <v>0.42</v>
      </c>
      <c r="DD63" s="181" t="n">
        <f aca="false">Z63</f>
        <v>0.16</v>
      </c>
      <c r="DE63" s="181" t="n">
        <f aca="false">AA63</f>
        <v>0.2</v>
      </c>
      <c r="DF63" s="181" t="n">
        <f aca="false">AB63</f>
        <v>0.24</v>
      </c>
      <c r="DH63" s="180" t="n">
        <f aca="false">BH63</f>
        <v>38384</v>
      </c>
      <c r="DI63" s="135" t="n">
        <f aca="false">BI63</f>
        <v>0.75</v>
      </c>
      <c r="DL63" s="180" t="n">
        <f aca="false">M63</f>
        <v>38384</v>
      </c>
      <c r="DM63" s="181" t="n">
        <f aca="false">AL63</f>
        <v>0.168</v>
      </c>
      <c r="DN63" s="181" t="n">
        <f aca="false">AM63</f>
        <v>0.21</v>
      </c>
      <c r="DO63" s="181" t="n">
        <f aca="false">AN63</f>
        <v>0.252</v>
      </c>
      <c r="DQ63" s="181" t="n">
        <f aca="false">AD63</f>
        <v>0.08</v>
      </c>
      <c r="DR63" s="181" t="n">
        <f aca="false">AE63</f>
        <v>0.1</v>
      </c>
      <c r="DS63" s="181" t="n">
        <f aca="false">AF63</f>
        <v>0.12</v>
      </c>
    </row>
    <row r="64" customFormat="false" ht="12.75" hidden="false" customHeight="false" outlineLevel="0" collapsed="false">
      <c r="A64" s="145" t="n">
        <f aca="false">EOMONTH(A63,0)+1</f>
        <v>47484</v>
      </c>
      <c r="B64" s="135" t="n">
        <f aca="false">'Gas Curves'!C68</f>
        <v>0.0565043268105669</v>
      </c>
      <c r="C64" s="135"/>
      <c r="D64" s="173" t="n">
        <v>37530</v>
      </c>
      <c r="E64" s="174" t="n">
        <v>28.7562492907047</v>
      </c>
      <c r="F64" s="174" t="n">
        <v>29.5562492907047</v>
      </c>
      <c r="G64" s="174" t="n">
        <v>30.3562492907047</v>
      </c>
      <c r="H64" s="159"/>
      <c r="I64" s="174" t="n">
        <v>15.750002861023</v>
      </c>
      <c r="J64" s="174" t="n">
        <v>15.750002861023</v>
      </c>
      <c r="K64" s="174" t="n">
        <v>15.750002861023</v>
      </c>
      <c r="L64" s="141"/>
      <c r="M64" s="142" t="n">
        <v>38412</v>
      </c>
      <c r="N64" s="175" t="n">
        <v>25.5</v>
      </c>
      <c r="O64" s="175" t="n">
        <v>25.5</v>
      </c>
      <c r="P64" s="175" t="n">
        <v>25.5</v>
      </c>
      <c r="Q64" s="62"/>
      <c r="R64" s="175" t="n">
        <v>20</v>
      </c>
      <c r="S64" s="175" t="n">
        <v>20</v>
      </c>
      <c r="T64" s="175" t="n">
        <v>20</v>
      </c>
      <c r="U64" s="62"/>
      <c r="V64" s="175" t="n">
        <v>0</v>
      </c>
      <c r="W64" s="175" t="n">
        <v>0</v>
      </c>
      <c r="X64" s="175" t="n">
        <v>0</v>
      </c>
      <c r="Y64" s="62"/>
      <c r="Z64" s="175" t="n">
        <v>0.16</v>
      </c>
      <c r="AA64" s="175" t="n">
        <v>0.2</v>
      </c>
      <c r="AB64" s="175" t="n">
        <v>0.24</v>
      </c>
      <c r="AC64" s="62"/>
      <c r="AD64" s="175" t="n">
        <v>0.08</v>
      </c>
      <c r="AE64" s="175" t="n">
        <v>0.1</v>
      </c>
      <c r="AF64" s="175" t="n">
        <v>0.12</v>
      </c>
      <c r="AG64" s="62"/>
      <c r="AH64" s="175" t="n">
        <v>0.28</v>
      </c>
      <c r="AI64" s="175" t="n">
        <v>0.35</v>
      </c>
      <c r="AJ64" s="175" t="n">
        <v>0.42</v>
      </c>
      <c r="AK64" s="62"/>
      <c r="AL64" s="175" t="n">
        <v>0.168</v>
      </c>
      <c r="AM64" s="175" t="n">
        <v>0.21</v>
      </c>
      <c r="AN64" s="175" t="n">
        <v>0.252</v>
      </c>
      <c r="AO64" s="62"/>
      <c r="AP64" s="141" t="n">
        <v>16</v>
      </c>
      <c r="AQ64" s="176" t="n">
        <v>0.4</v>
      </c>
      <c r="AR64" s="62"/>
      <c r="AS64" s="176" t="n">
        <v>140</v>
      </c>
      <c r="AT64" s="178" t="n">
        <v>0.4</v>
      </c>
      <c r="AU64" s="62"/>
      <c r="AV64" s="176" t="n">
        <v>0</v>
      </c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142" t="n">
        <v>38412</v>
      </c>
      <c r="BI64" s="178" t="n">
        <v>0.75</v>
      </c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116"/>
      <c r="CI64" s="166"/>
      <c r="CJ64" s="166"/>
      <c r="CK64" s="166"/>
      <c r="CM64" s="222"/>
      <c r="CN64" s="222"/>
      <c r="CO64" s="179"/>
      <c r="CP64" s="0"/>
      <c r="CQ64" s="0"/>
      <c r="CR64" s="0"/>
      <c r="CS64" s="0"/>
      <c r="CT64" s="0"/>
      <c r="CY64" s="180" t="n">
        <f aca="false">M64</f>
        <v>38412</v>
      </c>
      <c r="CZ64" s="181" t="n">
        <f aca="false">AH64</f>
        <v>0.28</v>
      </c>
      <c r="DA64" s="181" t="n">
        <f aca="false">AI64</f>
        <v>0.35</v>
      </c>
      <c r="DB64" s="181" t="n">
        <f aca="false">AJ64</f>
        <v>0.42</v>
      </c>
      <c r="DD64" s="181" t="n">
        <f aca="false">Z64</f>
        <v>0.16</v>
      </c>
      <c r="DE64" s="181" t="n">
        <f aca="false">AA64</f>
        <v>0.2</v>
      </c>
      <c r="DF64" s="181" t="n">
        <f aca="false">AB64</f>
        <v>0.24</v>
      </c>
      <c r="DH64" s="180" t="n">
        <f aca="false">BH64</f>
        <v>38412</v>
      </c>
      <c r="DI64" s="135" t="n">
        <f aca="false">BI64</f>
        <v>0.75</v>
      </c>
      <c r="DL64" s="180" t="n">
        <f aca="false">M64</f>
        <v>38412</v>
      </c>
      <c r="DM64" s="181" t="n">
        <f aca="false">AL64</f>
        <v>0.168</v>
      </c>
      <c r="DN64" s="181" t="n">
        <f aca="false">AM64</f>
        <v>0.21</v>
      </c>
      <c r="DO64" s="181" t="n">
        <f aca="false">AN64</f>
        <v>0.252</v>
      </c>
      <c r="DQ64" s="181" t="n">
        <f aca="false">AD64</f>
        <v>0.08</v>
      </c>
      <c r="DR64" s="181" t="n">
        <f aca="false">AE64</f>
        <v>0.1</v>
      </c>
      <c r="DS64" s="181" t="n">
        <f aca="false">AF64</f>
        <v>0.12</v>
      </c>
    </row>
    <row r="65" customFormat="false" ht="12.75" hidden="false" customHeight="false" outlineLevel="0" collapsed="false">
      <c r="A65" s="145" t="n">
        <f aca="false">EOMONTH(A64,0)+1</f>
        <v>47515</v>
      </c>
      <c r="B65" s="135" t="n">
        <f aca="false">'Gas Curves'!C69</f>
        <v>0.0566333106304708</v>
      </c>
      <c r="C65" s="135"/>
      <c r="D65" s="173" t="n">
        <v>37561</v>
      </c>
      <c r="E65" s="174" t="n">
        <v>28.9562519609928</v>
      </c>
      <c r="F65" s="174" t="n">
        <v>29.7562519609928</v>
      </c>
      <c r="G65" s="174" t="n">
        <v>30.5562519609928</v>
      </c>
      <c r="H65" s="159"/>
      <c r="I65" s="174" t="n">
        <v>16.75</v>
      </c>
      <c r="J65" s="174" t="n">
        <v>16.75</v>
      </c>
      <c r="K65" s="174" t="n">
        <v>16.75</v>
      </c>
      <c r="L65" s="141"/>
      <c r="M65" s="142" t="n">
        <v>38443</v>
      </c>
      <c r="N65" s="175" t="n">
        <v>22</v>
      </c>
      <c r="O65" s="175" t="n">
        <v>22</v>
      </c>
      <c r="P65" s="175" t="n">
        <v>22</v>
      </c>
      <c r="Q65" s="62"/>
      <c r="R65" s="175" t="n">
        <v>16.4950008392334</v>
      </c>
      <c r="S65" s="175" t="n">
        <v>16.4950008392334</v>
      </c>
      <c r="T65" s="175" t="n">
        <v>16.4950008392334</v>
      </c>
      <c r="U65" s="62"/>
      <c r="V65" s="175" t="n">
        <v>0</v>
      </c>
      <c r="W65" s="175" t="n">
        <v>0</v>
      </c>
      <c r="X65" s="175" t="n">
        <v>0</v>
      </c>
      <c r="Y65" s="62"/>
      <c r="Z65" s="175" t="n">
        <v>0.16</v>
      </c>
      <c r="AA65" s="175" t="n">
        <v>0.2</v>
      </c>
      <c r="AB65" s="175" t="n">
        <v>0.24</v>
      </c>
      <c r="AC65" s="62"/>
      <c r="AD65" s="175" t="n">
        <v>0.08</v>
      </c>
      <c r="AE65" s="175" t="n">
        <v>0.1</v>
      </c>
      <c r="AF65" s="175" t="n">
        <v>0.12</v>
      </c>
      <c r="AG65" s="62"/>
      <c r="AH65" s="175" t="n">
        <v>0.28</v>
      </c>
      <c r="AI65" s="175" t="n">
        <v>0.35</v>
      </c>
      <c r="AJ65" s="175" t="n">
        <v>0.42</v>
      </c>
      <c r="AK65" s="62"/>
      <c r="AL65" s="175" t="n">
        <v>0.168</v>
      </c>
      <c r="AM65" s="175" t="n">
        <v>0.21</v>
      </c>
      <c r="AN65" s="175" t="n">
        <v>0.252</v>
      </c>
      <c r="AO65" s="62"/>
      <c r="AP65" s="141" t="n">
        <v>16</v>
      </c>
      <c r="AQ65" s="176" t="n">
        <v>0.4</v>
      </c>
      <c r="AR65" s="62"/>
      <c r="AS65" s="176" t="n">
        <v>160</v>
      </c>
      <c r="AT65" s="178" t="n">
        <v>0.4</v>
      </c>
      <c r="AU65" s="62"/>
      <c r="AV65" s="176" t="n">
        <v>0</v>
      </c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142" t="n">
        <v>38443</v>
      </c>
      <c r="BI65" s="178" t="n">
        <v>0.75</v>
      </c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116"/>
      <c r="CI65" s="117"/>
      <c r="CJ65" s="117"/>
      <c r="CK65" s="117"/>
      <c r="CM65" s="222"/>
      <c r="CN65" s="222"/>
      <c r="CO65" s="179"/>
      <c r="CP65" s="0"/>
      <c r="CQ65" s="0"/>
      <c r="CR65" s="0"/>
      <c r="CS65" s="0"/>
      <c r="CT65" s="0"/>
      <c r="CY65" s="180" t="n">
        <f aca="false">M65</f>
        <v>38443</v>
      </c>
      <c r="CZ65" s="181" t="n">
        <f aca="false">AH65</f>
        <v>0.28</v>
      </c>
      <c r="DA65" s="181" t="n">
        <f aca="false">AI65</f>
        <v>0.35</v>
      </c>
      <c r="DB65" s="181" t="n">
        <f aca="false">AJ65</f>
        <v>0.42</v>
      </c>
      <c r="DD65" s="181" t="n">
        <f aca="false">Z65</f>
        <v>0.16</v>
      </c>
      <c r="DE65" s="181" t="n">
        <f aca="false">AA65</f>
        <v>0.2</v>
      </c>
      <c r="DF65" s="181" t="n">
        <f aca="false">AB65</f>
        <v>0.24</v>
      </c>
      <c r="DH65" s="180" t="n">
        <f aca="false">BH65</f>
        <v>38443</v>
      </c>
      <c r="DI65" s="135" t="n">
        <f aca="false">BI65</f>
        <v>0.75</v>
      </c>
      <c r="DL65" s="180" t="n">
        <f aca="false">M65</f>
        <v>38443</v>
      </c>
      <c r="DM65" s="181" t="n">
        <f aca="false">AL65</f>
        <v>0.168</v>
      </c>
      <c r="DN65" s="181" t="n">
        <f aca="false">AM65</f>
        <v>0.21</v>
      </c>
      <c r="DO65" s="181" t="n">
        <f aca="false">AN65</f>
        <v>0.252</v>
      </c>
      <c r="DQ65" s="181" t="n">
        <f aca="false">AD65</f>
        <v>0.08</v>
      </c>
      <c r="DR65" s="181" t="n">
        <f aca="false">AE65</f>
        <v>0.1</v>
      </c>
      <c r="DS65" s="181" t="n">
        <f aca="false">AF65</f>
        <v>0.12</v>
      </c>
    </row>
    <row r="66" customFormat="false" ht="12.75" hidden="false" customHeight="false" outlineLevel="0" collapsed="false">
      <c r="A66" s="145" t="n">
        <f aca="false">EOMONTH(A65,0)+1</f>
        <v>47543</v>
      </c>
      <c r="B66" s="135" t="n">
        <f aca="false">'Gas Curves'!C70</f>
        <v>0.0567581336872625</v>
      </c>
      <c r="C66" s="135"/>
      <c r="D66" s="173" t="n">
        <v>37591</v>
      </c>
      <c r="E66" s="174" t="n">
        <v>29.156248909235</v>
      </c>
      <c r="F66" s="174" t="n">
        <v>29.956248909235</v>
      </c>
      <c r="G66" s="174" t="n">
        <v>30.756248909235</v>
      </c>
      <c r="H66" s="159"/>
      <c r="I66" s="174" t="n">
        <v>19</v>
      </c>
      <c r="J66" s="174" t="n">
        <v>19</v>
      </c>
      <c r="K66" s="174" t="n">
        <v>19</v>
      </c>
      <c r="L66" s="141"/>
      <c r="M66" s="142" t="n">
        <v>38473</v>
      </c>
      <c r="N66" s="175" t="n">
        <v>22.2900009155273</v>
      </c>
      <c r="O66" s="175" t="n">
        <v>22.2900009155273</v>
      </c>
      <c r="P66" s="175" t="n">
        <v>22.2900009155273</v>
      </c>
      <c r="Q66" s="62"/>
      <c r="R66" s="175" t="n">
        <v>15.7950000762939</v>
      </c>
      <c r="S66" s="175" t="n">
        <v>15.7950000762939</v>
      </c>
      <c r="T66" s="175" t="n">
        <v>15.7950000762939</v>
      </c>
      <c r="U66" s="62"/>
      <c r="V66" s="175" t="n">
        <v>0</v>
      </c>
      <c r="W66" s="175" t="n">
        <v>0</v>
      </c>
      <c r="X66" s="175" t="n">
        <v>0</v>
      </c>
      <c r="Y66" s="62"/>
      <c r="Z66" s="175" t="n">
        <v>0.16</v>
      </c>
      <c r="AA66" s="175" t="n">
        <v>0.2</v>
      </c>
      <c r="AB66" s="175" t="n">
        <v>0.24</v>
      </c>
      <c r="AC66" s="62"/>
      <c r="AD66" s="175" t="n">
        <v>0.08</v>
      </c>
      <c r="AE66" s="175" t="n">
        <v>0.1</v>
      </c>
      <c r="AF66" s="175" t="n">
        <v>0.12</v>
      </c>
      <c r="AG66" s="62"/>
      <c r="AH66" s="175" t="n">
        <v>0.36</v>
      </c>
      <c r="AI66" s="175" t="n">
        <v>0.45</v>
      </c>
      <c r="AJ66" s="175" t="n">
        <v>0.54</v>
      </c>
      <c r="AK66" s="62"/>
      <c r="AL66" s="175" t="n">
        <v>0.216</v>
      </c>
      <c r="AM66" s="175" t="n">
        <v>0.27</v>
      </c>
      <c r="AN66" s="175" t="n">
        <v>0.324</v>
      </c>
      <c r="AO66" s="62"/>
      <c r="AP66" s="141" t="n">
        <v>16</v>
      </c>
      <c r="AQ66" s="176" t="n">
        <v>0.4</v>
      </c>
      <c r="AR66" s="62"/>
      <c r="AS66" s="176" t="n">
        <v>180</v>
      </c>
      <c r="AT66" s="178" t="n">
        <v>0.4</v>
      </c>
      <c r="AU66" s="62"/>
      <c r="AV66" s="176" t="n">
        <v>0</v>
      </c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142" t="n">
        <v>38473</v>
      </c>
      <c r="BI66" s="178" t="n">
        <v>0.75</v>
      </c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116"/>
      <c r="CI66" s="147"/>
      <c r="CJ66" s="148"/>
      <c r="CK66" s="148"/>
      <c r="CM66" s="222"/>
      <c r="CN66" s="222"/>
      <c r="CO66" s="179"/>
      <c r="CP66" s="0"/>
      <c r="CQ66" s="0"/>
      <c r="CR66" s="0"/>
      <c r="CS66" s="0"/>
      <c r="CT66" s="0"/>
      <c r="CY66" s="180" t="n">
        <f aca="false">M66</f>
        <v>38473</v>
      </c>
      <c r="CZ66" s="181" t="n">
        <f aca="false">AH66</f>
        <v>0.36</v>
      </c>
      <c r="DA66" s="181" t="n">
        <f aca="false">AI66</f>
        <v>0.45</v>
      </c>
      <c r="DB66" s="181" t="n">
        <f aca="false">AJ66</f>
        <v>0.54</v>
      </c>
      <c r="DD66" s="181" t="n">
        <f aca="false">Z66</f>
        <v>0.16</v>
      </c>
      <c r="DE66" s="181" t="n">
        <f aca="false">AA66</f>
        <v>0.2</v>
      </c>
      <c r="DF66" s="181" t="n">
        <f aca="false">AB66</f>
        <v>0.24</v>
      </c>
      <c r="DH66" s="180" t="n">
        <f aca="false">BH66</f>
        <v>38473</v>
      </c>
      <c r="DI66" s="135" t="n">
        <f aca="false">BI66</f>
        <v>0.75</v>
      </c>
      <c r="DL66" s="180" t="n">
        <f aca="false">M66</f>
        <v>38473</v>
      </c>
      <c r="DM66" s="181" t="n">
        <f aca="false">AL66</f>
        <v>0.216</v>
      </c>
      <c r="DN66" s="181" t="n">
        <f aca="false">AM66</f>
        <v>0.27</v>
      </c>
      <c r="DO66" s="181" t="n">
        <f aca="false">AN66</f>
        <v>0.324</v>
      </c>
      <c r="DQ66" s="181" t="n">
        <f aca="false">AD66</f>
        <v>0.08</v>
      </c>
      <c r="DR66" s="181" t="n">
        <f aca="false">AE66</f>
        <v>0.1</v>
      </c>
      <c r="DS66" s="181" t="n">
        <f aca="false">AF66</f>
        <v>0.12</v>
      </c>
    </row>
    <row r="67" customFormat="false" ht="12.75" hidden="false" customHeight="false" outlineLevel="0" collapsed="false">
      <c r="A67" s="145" t="n">
        <f aca="false">EOMONTH(A66,0)+1</f>
        <v>47574</v>
      </c>
      <c r="B67" s="135" t="n">
        <f aca="false">'Gas Curves'!C71</f>
        <v>0.0568871175180608</v>
      </c>
      <c r="C67" s="135"/>
      <c r="D67" s="173" t="n">
        <v>37622</v>
      </c>
      <c r="E67" s="174" t="n">
        <v>32.9357153756278</v>
      </c>
      <c r="F67" s="174" t="n">
        <v>33.2857153756278</v>
      </c>
      <c r="G67" s="174" t="n">
        <v>33.6357153756278</v>
      </c>
      <c r="H67" s="159"/>
      <c r="I67" s="174" t="n">
        <v>20.8899993896484</v>
      </c>
      <c r="J67" s="174" t="n">
        <v>20.8899993896484</v>
      </c>
      <c r="K67" s="174" t="n">
        <v>20.8899993896484</v>
      </c>
      <c r="L67" s="141"/>
      <c r="M67" s="142" t="n">
        <v>38504</v>
      </c>
      <c r="N67" s="175" t="n">
        <v>29.2900009155273</v>
      </c>
      <c r="O67" s="175" t="n">
        <v>29.2900009155273</v>
      </c>
      <c r="P67" s="175" t="n">
        <v>29.2900009155273</v>
      </c>
      <c r="Q67" s="62"/>
      <c r="R67" s="175" t="n">
        <v>19.7900009155273</v>
      </c>
      <c r="S67" s="175" t="n">
        <v>19.7900009155273</v>
      </c>
      <c r="T67" s="175" t="n">
        <v>19.7900009155273</v>
      </c>
      <c r="U67" s="62"/>
      <c r="V67" s="175" t="n">
        <v>0</v>
      </c>
      <c r="W67" s="175" t="n">
        <v>0</v>
      </c>
      <c r="X67" s="175" t="n">
        <v>0</v>
      </c>
      <c r="Y67" s="62"/>
      <c r="Z67" s="175" t="n">
        <v>0.16</v>
      </c>
      <c r="AA67" s="175" t="n">
        <v>0.2</v>
      </c>
      <c r="AB67" s="175" t="n">
        <v>0.24</v>
      </c>
      <c r="AC67" s="62"/>
      <c r="AD67" s="175" t="n">
        <v>0.08</v>
      </c>
      <c r="AE67" s="175" t="n">
        <v>0.1</v>
      </c>
      <c r="AF67" s="175" t="n">
        <v>0.12</v>
      </c>
      <c r="AG67" s="62"/>
      <c r="AH67" s="175" t="n">
        <v>0.36</v>
      </c>
      <c r="AI67" s="175" t="n">
        <v>0.45</v>
      </c>
      <c r="AJ67" s="175" t="n">
        <v>0.54</v>
      </c>
      <c r="AK67" s="62"/>
      <c r="AL67" s="175" t="n">
        <v>0.216</v>
      </c>
      <c r="AM67" s="175" t="n">
        <v>0.27</v>
      </c>
      <c r="AN67" s="175" t="n">
        <v>0.324</v>
      </c>
      <c r="AO67" s="62"/>
      <c r="AP67" s="141" t="n">
        <v>17</v>
      </c>
      <c r="AQ67" s="176" t="n">
        <v>0.4</v>
      </c>
      <c r="AR67" s="62"/>
      <c r="AS67" s="176" t="n">
        <v>200</v>
      </c>
      <c r="AT67" s="178" t="n">
        <v>0.4</v>
      </c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142" t="n">
        <v>38504</v>
      </c>
      <c r="BI67" s="178" t="n">
        <v>0.75</v>
      </c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116"/>
      <c r="CI67" s="152"/>
      <c r="CJ67" s="152"/>
      <c r="CK67" s="152"/>
      <c r="CM67" s="222"/>
      <c r="CN67" s="222"/>
      <c r="CO67" s="179"/>
      <c r="CP67" s="0"/>
      <c r="CQ67" s="0"/>
      <c r="CR67" s="0"/>
      <c r="CS67" s="0"/>
      <c r="CT67" s="0"/>
      <c r="CY67" s="180" t="n">
        <f aca="false">M67</f>
        <v>38504</v>
      </c>
      <c r="CZ67" s="181" t="n">
        <f aca="false">AH67</f>
        <v>0.36</v>
      </c>
      <c r="DA67" s="181" t="n">
        <f aca="false">AI67</f>
        <v>0.45</v>
      </c>
      <c r="DB67" s="181" t="n">
        <f aca="false">AJ67</f>
        <v>0.54</v>
      </c>
      <c r="DD67" s="181" t="n">
        <f aca="false">Z67</f>
        <v>0.16</v>
      </c>
      <c r="DE67" s="181" t="n">
        <f aca="false">AA67</f>
        <v>0.2</v>
      </c>
      <c r="DF67" s="181" t="n">
        <f aca="false">AB67</f>
        <v>0.24</v>
      </c>
      <c r="DH67" s="180" t="n">
        <f aca="false">BH67</f>
        <v>38504</v>
      </c>
      <c r="DI67" s="135" t="n">
        <f aca="false">BI67</f>
        <v>0.75</v>
      </c>
      <c r="DL67" s="180" t="n">
        <f aca="false">M67</f>
        <v>38504</v>
      </c>
      <c r="DM67" s="181" t="n">
        <f aca="false">AL67</f>
        <v>0.216</v>
      </c>
      <c r="DN67" s="181" t="n">
        <f aca="false">AM67</f>
        <v>0.27</v>
      </c>
      <c r="DO67" s="181" t="n">
        <f aca="false">AN67</f>
        <v>0.324</v>
      </c>
      <c r="DQ67" s="181" t="n">
        <f aca="false">AD67</f>
        <v>0.08</v>
      </c>
      <c r="DR67" s="181" t="n">
        <f aca="false">AE67</f>
        <v>0.1</v>
      </c>
      <c r="DS67" s="181" t="n">
        <f aca="false">AF67</f>
        <v>0.12</v>
      </c>
    </row>
    <row r="68" customFormat="false" ht="12.75" hidden="false" customHeight="false" outlineLevel="0" collapsed="false">
      <c r="A68" s="145" t="n">
        <f aca="false">EOMONTH(A67,0)+1</f>
        <v>47604</v>
      </c>
      <c r="B68" s="135" t="n">
        <f aca="false">'Gas Curves'!C72</f>
        <v>0.0570119405853946</v>
      </c>
      <c r="C68" s="135"/>
      <c r="D68" s="173" t="n">
        <v>37653</v>
      </c>
      <c r="E68" s="174" t="n">
        <v>32.3357130868094</v>
      </c>
      <c r="F68" s="174" t="n">
        <v>32.6857130868094</v>
      </c>
      <c r="G68" s="174" t="n">
        <v>33.0357130868094</v>
      </c>
      <c r="H68" s="159"/>
      <c r="I68" s="174" t="n">
        <v>19.3899993896484</v>
      </c>
      <c r="J68" s="174" t="n">
        <v>19.3899993896484</v>
      </c>
      <c r="K68" s="174" t="n">
        <v>19.3899993896484</v>
      </c>
      <c r="L68" s="141"/>
      <c r="M68" s="142" t="n">
        <v>38534</v>
      </c>
      <c r="N68" s="175" t="n">
        <v>35.2900009155273</v>
      </c>
      <c r="O68" s="175" t="n">
        <v>35.2900009155273</v>
      </c>
      <c r="P68" s="175" t="n">
        <v>35.2900009155273</v>
      </c>
      <c r="Q68" s="62"/>
      <c r="R68" s="175" t="n">
        <v>25.7900009155273</v>
      </c>
      <c r="S68" s="175" t="n">
        <v>25.7900009155273</v>
      </c>
      <c r="T68" s="175" t="n">
        <v>25.7900009155273</v>
      </c>
      <c r="U68" s="62"/>
      <c r="V68" s="175" t="n">
        <v>0</v>
      </c>
      <c r="W68" s="175" t="n">
        <v>0</v>
      </c>
      <c r="X68" s="175" t="n">
        <v>0</v>
      </c>
      <c r="Y68" s="62"/>
      <c r="Z68" s="175" t="n">
        <v>0.24</v>
      </c>
      <c r="AA68" s="175" t="n">
        <v>0.3</v>
      </c>
      <c r="AB68" s="175" t="n">
        <v>0.36</v>
      </c>
      <c r="AC68" s="62"/>
      <c r="AD68" s="175" t="n">
        <v>0.12</v>
      </c>
      <c r="AE68" s="175" t="n">
        <v>0.15</v>
      </c>
      <c r="AF68" s="175" t="n">
        <v>0.18</v>
      </c>
      <c r="AG68" s="62"/>
      <c r="AH68" s="175" t="n">
        <v>0.48</v>
      </c>
      <c r="AI68" s="175" t="n">
        <v>0.6</v>
      </c>
      <c r="AJ68" s="175" t="n">
        <v>0.72</v>
      </c>
      <c r="AK68" s="62"/>
      <c r="AL68" s="175" t="n">
        <v>0.288</v>
      </c>
      <c r="AM68" s="175" t="n">
        <v>0.36</v>
      </c>
      <c r="AN68" s="175" t="n">
        <v>0.432</v>
      </c>
      <c r="AO68" s="62"/>
      <c r="AP68" s="141" t="n">
        <v>17</v>
      </c>
      <c r="AQ68" s="176" t="n">
        <v>0.4</v>
      </c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142" t="n">
        <v>38534</v>
      </c>
      <c r="BI68" s="178" t="n">
        <v>0.75</v>
      </c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116"/>
      <c r="CI68" s="152"/>
      <c r="CJ68" s="152"/>
      <c r="CK68" s="152"/>
      <c r="CM68" s="222"/>
      <c r="CN68" s="222"/>
      <c r="CO68" s="179"/>
      <c r="CP68" s="0"/>
      <c r="CQ68" s="0"/>
      <c r="CR68" s="0"/>
      <c r="CS68" s="0"/>
      <c r="CT68" s="0"/>
      <c r="CY68" s="180" t="n">
        <f aca="false">M68</f>
        <v>38534</v>
      </c>
      <c r="CZ68" s="181" t="n">
        <f aca="false">AH68</f>
        <v>0.48</v>
      </c>
      <c r="DA68" s="181" t="n">
        <f aca="false">AI68</f>
        <v>0.6</v>
      </c>
      <c r="DB68" s="181" t="n">
        <f aca="false">AJ68</f>
        <v>0.72</v>
      </c>
      <c r="DD68" s="181" t="n">
        <f aca="false">Z68</f>
        <v>0.24</v>
      </c>
      <c r="DE68" s="181" t="n">
        <f aca="false">AA68</f>
        <v>0.3</v>
      </c>
      <c r="DF68" s="181" t="n">
        <f aca="false">AB68</f>
        <v>0.36</v>
      </c>
      <c r="DH68" s="180" t="n">
        <f aca="false">BH68</f>
        <v>38534</v>
      </c>
      <c r="DI68" s="135" t="n">
        <f aca="false">BI68</f>
        <v>0.75</v>
      </c>
      <c r="DL68" s="180" t="n">
        <f aca="false">M68</f>
        <v>38534</v>
      </c>
      <c r="DM68" s="181" t="n">
        <f aca="false">AL68</f>
        <v>0.288</v>
      </c>
      <c r="DN68" s="181" t="n">
        <f aca="false">AM68</f>
        <v>0.36</v>
      </c>
      <c r="DO68" s="181" t="n">
        <f aca="false">AN68</f>
        <v>0.432</v>
      </c>
      <c r="DQ68" s="181" t="n">
        <f aca="false">AD68</f>
        <v>0.12</v>
      </c>
      <c r="DR68" s="181" t="n">
        <f aca="false">AE68</f>
        <v>0.15</v>
      </c>
      <c r="DS68" s="181" t="n">
        <f aca="false">AF68</f>
        <v>0.18</v>
      </c>
    </row>
    <row r="69" customFormat="false" ht="12.75" hidden="false" customHeight="false" outlineLevel="0" collapsed="false">
      <c r="A69" s="145" t="n">
        <f aca="false">EOMONTH(A68,0)+1</f>
        <v>47635</v>
      </c>
      <c r="B69" s="135" t="n">
        <f aca="false">'Gas Curves'!C73</f>
        <v>0.0571409244270864</v>
      </c>
      <c r="C69" s="135"/>
      <c r="D69" s="173" t="n">
        <v>37681</v>
      </c>
      <c r="E69" s="174" t="n">
        <v>31.0976779316747</v>
      </c>
      <c r="F69" s="174" t="n">
        <v>31.6476779316747</v>
      </c>
      <c r="G69" s="174" t="n">
        <v>32.1976779316747</v>
      </c>
      <c r="H69" s="159"/>
      <c r="I69" s="174" t="n">
        <v>20.3899993896484</v>
      </c>
      <c r="J69" s="174" t="n">
        <v>20.3899993896484</v>
      </c>
      <c r="K69" s="174" t="n">
        <v>20.3899993896484</v>
      </c>
      <c r="L69" s="141"/>
      <c r="M69" s="142" t="n">
        <v>38565</v>
      </c>
      <c r="N69" s="175" t="n">
        <v>33.2900047302246</v>
      </c>
      <c r="O69" s="175" t="n">
        <v>33.2900047302246</v>
      </c>
      <c r="P69" s="175" t="n">
        <v>33.2900047302246</v>
      </c>
      <c r="Q69" s="62"/>
      <c r="R69" s="175" t="n">
        <v>25.7900009155273</v>
      </c>
      <c r="S69" s="175" t="n">
        <v>25.7900009155273</v>
      </c>
      <c r="T69" s="175" t="n">
        <v>25.7900009155273</v>
      </c>
      <c r="U69" s="62"/>
      <c r="V69" s="175" t="n">
        <v>0</v>
      </c>
      <c r="W69" s="175" t="n">
        <v>0</v>
      </c>
      <c r="X69" s="175" t="n">
        <v>0</v>
      </c>
      <c r="Y69" s="62"/>
      <c r="Z69" s="175" t="n">
        <v>0.24</v>
      </c>
      <c r="AA69" s="175" t="n">
        <v>0.3</v>
      </c>
      <c r="AB69" s="175" t="n">
        <v>0.36</v>
      </c>
      <c r="AC69" s="62"/>
      <c r="AD69" s="175" t="n">
        <v>0.12</v>
      </c>
      <c r="AE69" s="175" t="n">
        <v>0.15</v>
      </c>
      <c r="AF69" s="175" t="n">
        <v>0.18</v>
      </c>
      <c r="AG69" s="62"/>
      <c r="AH69" s="175" t="n">
        <v>0.48</v>
      </c>
      <c r="AI69" s="175" t="n">
        <v>0.6</v>
      </c>
      <c r="AJ69" s="175" t="n">
        <v>0.72</v>
      </c>
      <c r="AK69" s="62"/>
      <c r="AL69" s="175" t="n">
        <v>0.288</v>
      </c>
      <c r="AM69" s="175" t="n">
        <v>0.36</v>
      </c>
      <c r="AN69" s="175" t="n">
        <v>0.432</v>
      </c>
      <c r="AO69" s="62"/>
      <c r="AP69" s="141" t="n">
        <v>17</v>
      </c>
      <c r="AQ69" s="176" t="n">
        <v>0.4</v>
      </c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142" t="n">
        <v>38565</v>
      </c>
      <c r="BI69" s="178" t="n">
        <v>0.75</v>
      </c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116"/>
      <c r="CI69" s="166"/>
      <c r="CJ69" s="166"/>
      <c r="CK69" s="166"/>
      <c r="CM69" s="222"/>
      <c r="CN69" s="222"/>
      <c r="CO69" s="179"/>
      <c r="CP69" s="0"/>
      <c r="CQ69" s="0"/>
      <c r="CR69" s="0"/>
      <c r="CS69" s="0"/>
      <c r="CT69" s="0"/>
      <c r="CY69" s="180" t="n">
        <f aca="false">M69</f>
        <v>38565</v>
      </c>
      <c r="CZ69" s="181" t="n">
        <f aca="false">AH69</f>
        <v>0.48</v>
      </c>
      <c r="DA69" s="181" t="n">
        <f aca="false">AI69</f>
        <v>0.6</v>
      </c>
      <c r="DB69" s="181" t="n">
        <f aca="false">AJ69</f>
        <v>0.72</v>
      </c>
      <c r="DD69" s="181" t="n">
        <f aca="false">Z69</f>
        <v>0.24</v>
      </c>
      <c r="DE69" s="181" t="n">
        <f aca="false">AA69</f>
        <v>0.3</v>
      </c>
      <c r="DF69" s="181" t="n">
        <f aca="false">AB69</f>
        <v>0.36</v>
      </c>
      <c r="DH69" s="180" t="n">
        <f aca="false">BH69</f>
        <v>38565</v>
      </c>
      <c r="DI69" s="135" t="n">
        <f aca="false">BI69</f>
        <v>0.75</v>
      </c>
      <c r="DL69" s="180" t="n">
        <f aca="false">M69</f>
        <v>38565</v>
      </c>
      <c r="DM69" s="181" t="n">
        <f aca="false">AL69</f>
        <v>0.288</v>
      </c>
      <c r="DN69" s="181" t="n">
        <f aca="false">AM69</f>
        <v>0.36</v>
      </c>
      <c r="DO69" s="181" t="n">
        <f aca="false">AN69</f>
        <v>0.432</v>
      </c>
      <c r="DQ69" s="181" t="n">
        <f aca="false">AD69</f>
        <v>0.12</v>
      </c>
      <c r="DR69" s="181" t="n">
        <f aca="false">AE69</f>
        <v>0.15</v>
      </c>
      <c r="DS69" s="181" t="n">
        <f aca="false">AF69</f>
        <v>0.18</v>
      </c>
    </row>
    <row r="70" customFormat="false" ht="12.75" hidden="false" customHeight="false" outlineLevel="0" collapsed="false">
      <c r="A70" s="145" t="n">
        <f aca="false">EOMONTH(A69,0)+1</f>
        <v>47665</v>
      </c>
      <c r="B70" s="135" t="n">
        <f aca="false">'Gas Curves'!C74</f>
        <v>0.0572699082743138</v>
      </c>
      <c r="C70" s="135"/>
      <c r="D70" s="173" t="n">
        <v>37712</v>
      </c>
      <c r="E70" s="174" t="n">
        <v>30.7976710652196</v>
      </c>
      <c r="F70" s="174" t="n">
        <v>31.8476710652196</v>
      </c>
      <c r="G70" s="174" t="n">
        <v>32.8976710652196</v>
      </c>
      <c r="H70" s="159"/>
      <c r="I70" s="174" t="n">
        <v>17.3899993896484</v>
      </c>
      <c r="J70" s="174" t="n">
        <v>17.3899993896484</v>
      </c>
      <c r="K70" s="174" t="n">
        <v>17.3899993896484</v>
      </c>
      <c r="L70" s="141"/>
      <c r="M70" s="142" t="n">
        <v>38596</v>
      </c>
      <c r="N70" s="175" t="n">
        <v>25.2900009155273</v>
      </c>
      <c r="O70" s="175" t="n">
        <v>25.2900009155273</v>
      </c>
      <c r="P70" s="175" t="n">
        <v>25.2900009155273</v>
      </c>
      <c r="Q70" s="62"/>
      <c r="R70" s="175" t="n">
        <v>19.7900009155273</v>
      </c>
      <c r="S70" s="175" t="n">
        <v>19.7900009155273</v>
      </c>
      <c r="T70" s="175" t="n">
        <v>19.7900009155273</v>
      </c>
      <c r="U70" s="62"/>
      <c r="V70" s="175" t="n">
        <v>0</v>
      </c>
      <c r="W70" s="175" t="n">
        <v>0</v>
      </c>
      <c r="X70" s="175" t="n">
        <v>0</v>
      </c>
      <c r="Y70" s="62"/>
      <c r="Z70" s="175" t="n">
        <v>0.16</v>
      </c>
      <c r="AA70" s="175" t="n">
        <v>0.2</v>
      </c>
      <c r="AB70" s="175" t="n">
        <v>0.24</v>
      </c>
      <c r="AC70" s="62"/>
      <c r="AD70" s="175" t="n">
        <v>0.08</v>
      </c>
      <c r="AE70" s="175" t="n">
        <v>0.1</v>
      </c>
      <c r="AF70" s="175" t="n">
        <v>0.12</v>
      </c>
      <c r="AG70" s="62"/>
      <c r="AH70" s="175" t="n">
        <v>0.28</v>
      </c>
      <c r="AI70" s="175" t="n">
        <v>0.35</v>
      </c>
      <c r="AJ70" s="175" t="n">
        <v>0.42</v>
      </c>
      <c r="AK70" s="62"/>
      <c r="AL70" s="175" t="n">
        <v>0.168</v>
      </c>
      <c r="AM70" s="175" t="n">
        <v>0.21</v>
      </c>
      <c r="AN70" s="175" t="n">
        <v>0.252</v>
      </c>
      <c r="AO70" s="62"/>
      <c r="AP70" s="141" t="n">
        <v>18</v>
      </c>
      <c r="AQ70" s="176" t="n">
        <v>0.4</v>
      </c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142" t="n">
        <v>38596</v>
      </c>
      <c r="BI70" s="178" t="n">
        <v>0.75</v>
      </c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116"/>
      <c r="CI70" s="166"/>
      <c r="CJ70" s="166"/>
      <c r="CK70" s="166"/>
      <c r="CM70" s="222"/>
      <c r="CN70" s="222"/>
      <c r="CO70" s="179"/>
      <c r="CP70" s="0"/>
      <c r="CQ70" s="0"/>
      <c r="CR70" s="0"/>
      <c r="CS70" s="0"/>
      <c r="CT70" s="0"/>
      <c r="CY70" s="180" t="n">
        <f aca="false">M70</f>
        <v>38596</v>
      </c>
      <c r="CZ70" s="181" t="n">
        <f aca="false">AH70</f>
        <v>0.28</v>
      </c>
      <c r="DA70" s="181" t="n">
        <f aca="false">AI70</f>
        <v>0.35</v>
      </c>
      <c r="DB70" s="181" t="n">
        <f aca="false">AJ70</f>
        <v>0.42</v>
      </c>
      <c r="DD70" s="181" t="n">
        <f aca="false">Z70</f>
        <v>0.16</v>
      </c>
      <c r="DE70" s="181" t="n">
        <f aca="false">AA70</f>
        <v>0.2</v>
      </c>
      <c r="DF70" s="181" t="n">
        <f aca="false">AB70</f>
        <v>0.24</v>
      </c>
      <c r="DH70" s="180" t="n">
        <f aca="false">BH70</f>
        <v>38596</v>
      </c>
      <c r="DI70" s="135" t="n">
        <f aca="false">BI70</f>
        <v>0.75</v>
      </c>
      <c r="DL70" s="180" t="n">
        <f aca="false">M70</f>
        <v>38596</v>
      </c>
      <c r="DM70" s="181" t="n">
        <f aca="false">AL70</f>
        <v>0.168</v>
      </c>
      <c r="DN70" s="181" t="n">
        <f aca="false">AM70</f>
        <v>0.21</v>
      </c>
      <c r="DO70" s="181" t="n">
        <f aca="false">AN70</f>
        <v>0.252</v>
      </c>
      <c r="DQ70" s="181" t="n">
        <f aca="false">AD70</f>
        <v>0.08</v>
      </c>
      <c r="DR70" s="181" t="n">
        <f aca="false">AE70</f>
        <v>0.1</v>
      </c>
      <c r="DS70" s="181" t="n">
        <f aca="false">AF70</f>
        <v>0.12</v>
      </c>
    </row>
    <row r="71" customFormat="false" ht="12.75" hidden="false" customHeight="false" outlineLevel="0" collapsed="false">
      <c r="A71" s="145" t="n">
        <f aca="false">EOMONTH(A70,0)+1</f>
        <v>47696</v>
      </c>
      <c r="B71" s="135" t="n">
        <f aca="false">'Gas Curves'!C75</f>
        <v>0.0573864098185024</v>
      </c>
      <c r="C71" s="135"/>
      <c r="D71" s="173" t="n">
        <v>37742</v>
      </c>
      <c r="E71" s="174" t="n">
        <v>33.325</v>
      </c>
      <c r="F71" s="174" t="n">
        <v>35.125</v>
      </c>
      <c r="G71" s="174" t="n">
        <v>36.925</v>
      </c>
      <c r="H71" s="159"/>
      <c r="I71" s="174" t="n">
        <v>17.9300003051758</v>
      </c>
      <c r="J71" s="174" t="n">
        <v>17.9300003051758</v>
      </c>
      <c r="K71" s="174" t="n">
        <v>17.9300003051758</v>
      </c>
      <c r="L71" s="141"/>
      <c r="M71" s="142" t="n">
        <v>38626</v>
      </c>
      <c r="N71" s="175" t="n">
        <v>20.2860012054443</v>
      </c>
      <c r="O71" s="175" t="n">
        <v>20.2860012054443</v>
      </c>
      <c r="P71" s="175" t="n">
        <v>20.2860012054443</v>
      </c>
      <c r="Q71" s="62"/>
      <c r="R71" s="175" t="n">
        <v>14.7865009307861</v>
      </c>
      <c r="S71" s="175" t="n">
        <v>14.7865009307861</v>
      </c>
      <c r="T71" s="175" t="n">
        <v>14.7865009307861</v>
      </c>
      <c r="U71" s="62"/>
      <c r="V71" s="175" t="n">
        <v>0</v>
      </c>
      <c r="W71" s="175" t="n">
        <v>0</v>
      </c>
      <c r="X71" s="175" t="n">
        <v>0</v>
      </c>
      <c r="Y71" s="62"/>
      <c r="Z71" s="175" t="n">
        <v>0.16</v>
      </c>
      <c r="AA71" s="175" t="n">
        <v>0.2</v>
      </c>
      <c r="AB71" s="175" t="n">
        <v>0.24</v>
      </c>
      <c r="AC71" s="62"/>
      <c r="AD71" s="175" t="n">
        <v>0.08</v>
      </c>
      <c r="AE71" s="175" t="n">
        <v>0.1</v>
      </c>
      <c r="AF71" s="175" t="n">
        <v>0.12</v>
      </c>
      <c r="AG71" s="62"/>
      <c r="AH71" s="175" t="n">
        <v>0.28</v>
      </c>
      <c r="AI71" s="175" t="n">
        <v>0.35</v>
      </c>
      <c r="AJ71" s="175" t="n">
        <v>0.42</v>
      </c>
      <c r="AK71" s="62"/>
      <c r="AL71" s="175" t="n">
        <v>0.168</v>
      </c>
      <c r="AM71" s="175" t="n">
        <v>0.21</v>
      </c>
      <c r="AN71" s="175" t="n">
        <v>0.252</v>
      </c>
      <c r="AO71" s="62"/>
      <c r="AP71" s="141" t="n">
        <v>18</v>
      </c>
      <c r="AQ71" s="176" t="n">
        <v>0.4</v>
      </c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142" t="n">
        <v>38626</v>
      </c>
      <c r="BI71" s="178" t="n">
        <v>0.75</v>
      </c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116"/>
      <c r="CI71" s="166"/>
      <c r="CJ71" s="166"/>
      <c r="CK71" s="166"/>
      <c r="CM71" s="222"/>
      <c r="CN71" s="222"/>
      <c r="CO71" s="179"/>
      <c r="CP71" s="0"/>
      <c r="CQ71" s="0"/>
      <c r="CR71" s="0"/>
      <c r="CS71" s="0"/>
      <c r="CT71" s="0"/>
      <c r="CY71" s="180" t="n">
        <f aca="false">M71</f>
        <v>38626</v>
      </c>
      <c r="CZ71" s="181" t="n">
        <f aca="false">AH71</f>
        <v>0.28</v>
      </c>
      <c r="DA71" s="181" t="n">
        <f aca="false">AI71</f>
        <v>0.35</v>
      </c>
      <c r="DB71" s="181" t="n">
        <f aca="false">AJ71</f>
        <v>0.42</v>
      </c>
      <c r="DD71" s="181" t="n">
        <f aca="false">Z71</f>
        <v>0.16</v>
      </c>
      <c r="DE71" s="181" t="n">
        <f aca="false">AA71</f>
        <v>0.2</v>
      </c>
      <c r="DF71" s="181" t="n">
        <f aca="false">AB71</f>
        <v>0.24</v>
      </c>
      <c r="DH71" s="180" t="n">
        <f aca="false">BH71</f>
        <v>38626</v>
      </c>
      <c r="DI71" s="135" t="n">
        <f aca="false">BI71</f>
        <v>0.75</v>
      </c>
      <c r="DL71" s="180" t="n">
        <f aca="false">M71</f>
        <v>38626</v>
      </c>
      <c r="DM71" s="181" t="n">
        <f aca="false">AL71</f>
        <v>0.168</v>
      </c>
      <c r="DN71" s="181" t="n">
        <f aca="false">AM71</f>
        <v>0.21</v>
      </c>
      <c r="DO71" s="181" t="n">
        <f aca="false">AN71</f>
        <v>0.252</v>
      </c>
      <c r="DQ71" s="181" t="n">
        <f aca="false">AD71</f>
        <v>0.08</v>
      </c>
      <c r="DR71" s="181" t="n">
        <f aca="false">AE71</f>
        <v>0.1</v>
      </c>
      <c r="DS71" s="181" t="n">
        <f aca="false">AF71</f>
        <v>0.12</v>
      </c>
    </row>
    <row r="72" customFormat="false" ht="12.75" hidden="false" customHeight="false" outlineLevel="0" collapsed="false">
      <c r="A72" s="145" t="n">
        <f aca="false">EOMONTH(A71,0)+1</f>
        <v>47727</v>
      </c>
      <c r="B72" s="135" t="n">
        <f aca="false">'Gas Curves'!C76</f>
        <v>0.0575153936762645</v>
      </c>
      <c r="C72" s="135"/>
      <c r="D72" s="173" t="n">
        <v>37773</v>
      </c>
      <c r="E72" s="174" t="n">
        <v>39.5</v>
      </c>
      <c r="F72" s="174" t="n">
        <v>43.5</v>
      </c>
      <c r="G72" s="174" t="n">
        <v>47.5</v>
      </c>
      <c r="H72" s="159"/>
      <c r="I72" s="174" t="n">
        <v>20.1800003051758</v>
      </c>
      <c r="J72" s="174" t="n">
        <v>20.1800003051758</v>
      </c>
      <c r="K72" s="174" t="n">
        <v>20.1800003051758</v>
      </c>
      <c r="L72" s="141"/>
      <c r="M72" s="142" t="n">
        <v>38657</v>
      </c>
      <c r="N72" s="175" t="n">
        <v>22.2900009155273</v>
      </c>
      <c r="O72" s="175" t="n">
        <v>22.2900009155273</v>
      </c>
      <c r="P72" s="175" t="n">
        <v>22.2900009155273</v>
      </c>
      <c r="Q72" s="62"/>
      <c r="R72" s="175" t="n">
        <v>14.7900009155273</v>
      </c>
      <c r="S72" s="175" t="n">
        <v>14.7900009155273</v>
      </c>
      <c r="T72" s="175" t="n">
        <v>14.7900009155273</v>
      </c>
      <c r="U72" s="62"/>
      <c r="V72" s="175" t="n">
        <v>0</v>
      </c>
      <c r="W72" s="175" t="n">
        <v>0</v>
      </c>
      <c r="X72" s="175" t="n">
        <v>0</v>
      </c>
      <c r="Y72" s="62"/>
      <c r="Z72" s="175" t="n">
        <v>0.16</v>
      </c>
      <c r="AA72" s="175" t="n">
        <v>0.2</v>
      </c>
      <c r="AB72" s="175" t="n">
        <v>0.24</v>
      </c>
      <c r="AC72" s="62"/>
      <c r="AD72" s="175" t="n">
        <v>0.08</v>
      </c>
      <c r="AE72" s="175" t="n">
        <v>0.1</v>
      </c>
      <c r="AF72" s="175" t="n">
        <v>0.12</v>
      </c>
      <c r="AG72" s="62"/>
      <c r="AH72" s="175" t="n">
        <v>0.28</v>
      </c>
      <c r="AI72" s="175" t="n">
        <v>0.35</v>
      </c>
      <c r="AJ72" s="175" t="n">
        <v>0.42</v>
      </c>
      <c r="AK72" s="62"/>
      <c r="AL72" s="175" t="n">
        <v>0.168</v>
      </c>
      <c r="AM72" s="175" t="n">
        <v>0.21</v>
      </c>
      <c r="AN72" s="175" t="n">
        <v>0.252</v>
      </c>
      <c r="AO72" s="62"/>
      <c r="AP72" s="141" t="n">
        <v>18</v>
      </c>
      <c r="AQ72" s="176" t="n">
        <v>0.4</v>
      </c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142" t="n">
        <v>38657</v>
      </c>
      <c r="BI72" s="178" t="n">
        <v>0.75</v>
      </c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116"/>
      <c r="CI72" s="166"/>
      <c r="CJ72" s="166"/>
      <c r="CK72" s="166"/>
      <c r="CM72" s="222"/>
      <c r="CN72" s="222"/>
      <c r="CO72" s="179"/>
      <c r="CP72" s="0"/>
      <c r="CQ72" s="0"/>
      <c r="CR72" s="0"/>
      <c r="CS72" s="0"/>
      <c r="CT72" s="0"/>
      <c r="CY72" s="180" t="n">
        <f aca="false">M72</f>
        <v>38657</v>
      </c>
      <c r="CZ72" s="181" t="n">
        <f aca="false">AH72</f>
        <v>0.28</v>
      </c>
      <c r="DA72" s="181" t="n">
        <f aca="false">AI72</f>
        <v>0.35</v>
      </c>
      <c r="DB72" s="181" t="n">
        <f aca="false">AJ72</f>
        <v>0.42</v>
      </c>
      <c r="DD72" s="181" t="n">
        <f aca="false">Z72</f>
        <v>0.16</v>
      </c>
      <c r="DE72" s="181" t="n">
        <f aca="false">AA72</f>
        <v>0.2</v>
      </c>
      <c r="DF72" s="181" t="n">
        <f aca="false">AB72</f>
        <v>0.24</v>
      </c>
      <c r="DH72" s="180" t="n">
        <f aca="false">BH72</f>
        <v>38657</v>
      </c>
      <c r="DI72" s="135" t="n">
        <f aca="false">BI72</f>
        <v>0.75</v>
      </c>
      <c r="DL72" s="180" t="n">
        <f aca="false">M72</f>
        <v>38657</v>
      </c>
      <c r="DM72" s="181" t="n">
        <f aca="false">AL72</f>
        <v>0.168</v>
      </c>
      <c r="DN72" s="181" t="n">
        <f aca="false">AM72</f>
        <v>0.21</v>
      </c>
      <c r="DO72" s="181" t="n">
        <f aca="false">AN72</f>
        <v>0.252</v>
      </c>
      <c r="DQ72" s="181" t="n">
        <f aca="false">AD72</f>
        <v>0.08</v>
      </c>
      <c r="DR72" s="181" t="n">
        <f aca="false">AE72</f>
        <v>0.1</v>
      </c>
      <c r="DS72" s="181" t="n">
        <f aca="false">AF72</f>
        <v>0.12</v>
      </c>
    </row>
    <row r="73" customFormat="false" ht="12.75" hidden="false" customHeight="false" outlineLevel="0" collapsed="false">
      <c r="A73" s="145" t="n">
        <f aca="false">EOMONTH(A72,0)+1</f>
        <v>47757</v>
      </c>
      <c r="B73" s="135" t="n">
        <f aca="false">'Gas Curves'!C77</f>
        <v>0.0576337794890192</v>
      </c>
      <c r="C73" s="135"/>
      <c r="D73" s="173" t="n">
        <v>37803</v>
      </c>
      <c r="E73" s="174" t="n">
        <v>48.5</v>
      </c>
      <c r="F73" s="174" t="n">
        <v>54.5</v>
      </c>
      <c r="G73" s="174" t="n">
        <v>60.5</v>
      </c>
      <c r="H73" s="159"/>
      <c r="I73" s="174" t="n">
        <v>20.6800003051758</v>
      </c>
      <c r="J73" s="174" t="n">
        <v>20.6800003051758</v>
      </c>
      <c r="K73" s="174" t="n">
        <v>20.6800003051758</v>
      </c>
      <c r="L73" s="141"/>
      <c r="M73" s="142" t="n">
        <v>38687</v>
      </c>
      <c r="N73" s="175" t="n">
        <v>27.2900009155273</v>
      </c>
      <c r="O73" s="175" t="n">
        <v>27.2900009155273</v>
      </c>
      <c r="P73" s="175" t="n">
        <v>27.2900009155273</v>
      </c>
      <c r="Q73" s="62"/>
      <c r="R73" s="175" t="n">
        <v>21.7900009155273</v>
      </c>
      <c r="S73" s="175" t="n">
        <v>21.7900009155273</v>
      </c>
      <c r="T73" s="175" t="n">
        <v>21.7900009155273</v>
      </c>
      <c r="U73" s="62"/>
      <c r="V73" s="175" t="n">
        <v>0</v>
      </c>
      <c r="W73" s="175" t="n">
        <v>0</v>
      </c>
      <c r="X73" s="175" t="n">
        <v>0</v>
      </c>
      <c r="Y73" s="62"/>
      <c r="Z73" s="175" t="n">
        <v>0.16</v>
      </c>
      <c r="AA73" s="175" t="n">
        <v>0.2</v>
      </c>
      <c r="AB73" s="175" t="n">
        <v>0.24</v>
      </c>
      <c r="AC73" s="62"/>
      <c r="AD73" s="175" t="n">
        <v>0.08</v>
      </c>
      <c r="AE73" s="175" t="n">
        <v>0.1</v>
      </c>
      <c r="AF73" s="175" t="n">
        <v>0.12</v>
      </c>
      <c r="AG73" s="62"/>
      <c r="AH73" s="175" t="n">
        <v>0.28</v>
      </c>
      <c r="AI73" s="175" t="n">
        <v>0.35</v>
      </c>
      <c r="AJ73" s="175" t="n">
        <v>0.42</v>
      </c>
      <c r="AK73" s="62"/>
      <c r="AL73" s="175" t="n">
        <v>0.168</v>
      </c>
      <c r="AM73" s="175" t="n">
        <v>0.21</v>
      </c>
      <c r="AN73" s="175" t="n">
        <v>0.252</v>
      </c>
      <c r="AO73" s="62"/>
      <c r="AP73" s="141" t="n">
        <v>19</v>
      </c>
      <c r="AQ73" s="176" t="n">
        <v>0.4</v>
      </c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142" t="n">
        <v>38687</v>
      </c>
      <c r="BI73" s="178" t="n">
        <v>0.75</v>
      </c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116"/>
      <c r="CI73" s="166"/>
      <c r="CJ73" s="166"/>
      <c r="CK73" s="166"/>
      <c r="CM73" s="222"/>
      <c r="CN73" s="222"/>
      <c r="CO73" s="179"/>
      <c r="CP73" s="0"/>
      <c r="CQ73" s="0"/>
      <c r="CR73" s="0"/>
      <c r="CS73" s="0"/>
      <c r="CT73" s="0"/>
      <c r="CY73" s="180" t="n">
        <f aca="false">M73</f>
        <v>38687</v>
      </c>
      <c r="CZ73" s="181" t="n">
        <f aca="false">AH73</f>
        <v>0.28</v>
      </c>
      <c r="DA73" s="181" t="n">
        <f aca="false">AI73</f>
        <v>0.35</v>
      </c>
      <c r="DB73" s="181" t="n">
        <f aca="false">AJ73</f>
        <v>0.42</v>
      </c>
      <c r="DD73" s="181" t="n">
        <f aca="false">Z73</f>
        <v>0.16</v>
      </c>
      <c r="DE73" s="181" t="n">
        <f aca="false">AA73</f>
        <v>0.2</v>
      </c>
      <c r="DF73" s="181" t="n">
        <f aca="false">AB73</f>
        <v>0.24</v>
      </c>
      <c r="DH73" s="180" t="n">
        <f aca="false">BH73</f>
        <v>38687</v>
      </c>
      <c r="DI73" s="135" t="n">
        <f aca="false">BI73</f>
        <v>0.75</v>
      </c>
      <c r="DL73" s="180" t="n">
        <f aca="false">M73</f>
        <v>38687</v>
      </c>
      <c r="DM73" s="181" t="n">
        <f aca="false">AL73</f>
        <v>0.168</v>
      </c>
      <c r="DN73" s="181" t="n">
        <f aca="false">AM73</f>
        <v>0.21</v>
      </c>
      <c r="DO73" s="181" t="n">
        <f aca="false">AN73</f>
        <v>0.252</v>
      </c>
      <c r="DQ73" s="181" t="n">
        <f aca="false">AD73</f>
        <v>0.08</v>
      </c>
      <c r="DR73" s="181" t="n">
        <f aca="false">AE73</f>
        <v>0.1</v>
      </c>
      <c r="DS73" s="181" t="n">
        <f aca="false">AF73</f>
        <v>0.12</v>
      </c>
    </row>
    <row r="74" customFormat="false" ht="12.75" hidden="false" customHeight="false" outlineLevel="0" collapsed="false">
      <c r="A74" s="145" t="n">
        <f aca="false">EOMONTH(A73,0)+1</f>
        <v>47788</v>
      </c>
      <c r="B74" s="135" t="n">
        <f aca="false">'Gas Curves'!C78</f>
        <v>0.0577474129182689</v>
      </c>
      <c r="C74" s="135"/>
      <c r="D74" s="173" t="n">
        <v>37834</v>
      </c>
      <c r="E74" s="174" t="n">
        <v>48.5</v>
      </c>
      <c r="F74" s="174" t="n">
        <v>54.5</v>
      </c>
      <c r="G74" s="174" t="n">
        <v>60.5</v>
      </c>
      <c r="H74" s="159"/>
      <c r="I74" s="174" t="n">
        <v>21.6800003051758</v>
      </c>
      <c r="J74" s="174" t="n">
        <v>21.6800003051758</v>
      </c>
      <c r="K74" s="174" t="n">
        <v>21.6800003051758</v>
      </c>
      <c r="L74" s="141"/>
      <c r="M74" s="142" t="n">
        <v>38718</v>
      </c>
      <c r="N74" s="175" t="n">
        <v>35.75</v>
      </c>
      <c r="O74" s="175" t="n">
        <v>35.75</v>
      </c>
      <c r="P74" s="175" t="n">
        <v>35.75</v>
      </c>
      <c r="Q74" s="62"/>
      <c r="R74" s="175" t="n">
        <v>25.25</v>
      </c>
      <c r="S74" s="175" t="n">
        <v>25.25</v>
      </c>
      <c r="T74" s="175" t="n">
        <v>25.25</v>
      </c>
      <c r="U74" s="62"/>
      <c r="V74" s="175" t="n">
        <v>0</v>
      </c>
      <c r="W74" s="175" t="n">
        <v>0</v>
      </c>
      <c r="X74" s="175" t="n">
        <v>0</v>
      </c>
      <c r="Y74" s="62"/>
      <c r="Z74" s="175" t="n">
        <v>0.16</v>
      </c>
      <c r="AA74" s="175" t="n">
        <v>0.2</v>
      </c>
      <c r="AB74" s="175" t="n">
        <v>0.24</v>
      </c>
      <c r="AC74" s="62"/>
      <c r="AD74" s="175" t="n">
        <v>0.08</v>
      </c>
      <c r="AE74" s="175" t="n">
        <v>0.1</v>
      </c>
      <c r="AF74" s="175" t="n">
        <v>0.12</v>
      </c>
      <c r="AG74" s="62"/>
      <c r="AH74" s="175" t="n">
        <v>0.28</v>
      </c>
      <c r="AI74" s="175" t="n">
        <v>0.35</v>
      </c>
      <c r="AJ74" s="175" t="n">
        <v>0.42</v>
      </c>
      <c r="AK74" s="62"/>
      <c r="AL74" s="175" t="n">
        <v>0.168</v>
      </c>
      <c r="AM74" s="175" t="n">
        <v>0.21</v>
      </c>
      <c r="AN74" s="175" t="n">
        <v>0.252</v>
      </c>
      <c r="AO74" s="62"/>
      <c r="AP74" s="141" t="n">
        <v>19</v>
      </c>
      <c r="AQ74" s="176" t="n">
        <v>0.4</v>
      </c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142" t="n">
        <v>38718</v>
      </c>
      <c r="BI74" s="178" t="n">
        <v>0.75</v>
      </c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116"/>
      <c r="CI74" s="166"/>
      <c r="CJ74" s="166"/>
      <c r="CK74" s="166"/>
      <c r="CM74" s="222"/>
      <c r="CN74" s="222"/>
      <c r="CO74" s="179"/>
      <c r="CP74" s="0"/>
      <c r="CQ74" s="0"/>
      <c r="CR74" s="0"/>
      <c r="CS74" s="0"/>
      <c r="CT74" s="0"/>
      <c r="CY74" s="180" t="n">
        <f aca="false">M74</f>
        <v>38718</v>
      </c>
      <c r="CZ74" s="181" t="n">
        <f aca="false">AH74</f>
        <v>0.28</v>
      </c>
      <c r="DA74" s="181" t="n">
        <f aca="false">AI74</f>
        <v>0.35</v>
      </c>
      <c r="DB74" s="181" t="n">
        <f aca="false">AJ74</f>
        <v>0.42</v>
      </c>
      <c r="DD74" s="181" t="n">
        <f aca="false">Z74</f>
        <v>0.16</v>
      </c>
      <c r="DE74" s="181" t="n">
        <f aca="false">AA74</f>
        <v>0.2</v>
      </c>
      <c r="DF74" s="181" t="n">
        <f aca="false">AB74</f>
        <v>0.24</v>
      </c>
      <c r="DH74" s="180" t="n">
        <f aca="false">BH74</f>
        <v>38718</v>
      </c>
      <c r="DI74" s="135" t="n">
        <f aca="false">BI74</f>
        <v>0.75</v>
      </c>
      <c r="DL74" s="180" t="n">
        <f aca="false">M74</f>
        <v>38718</v>
      </c>
      <c r="DM74" s="181" t="n">
        <f aca="false">AL74</f>
        <v>0.168</v>
      </c>
      <c r="DN74" s="181" t="n">
        <f aca="false">AM74</f>
        <v>0.21</v>
      </c>
      <c r="DO74" s="181" t="n">
        <f aca="false">AN74</f>
        <v>0.252</v>
      </c>
      <c r="DQ74" s="181" t="n">
        <f aca="false">AD74</f>
        <v>0.08</v>
      </c>
      <c r="DR74" s="181" t="n">
        <f aca="false">AE74</f>
        <v>0.1</v>
      </c>
      <c r="DS74" s="181" t="n">
        <f aca="false">AF74</f>
        <v>0.12</v>
      </c>
    </row>
    <row r="75" customFormat="false" ht="12.75" hidden="false" customHeight="false" outlineLevel="0" collapsed="false">
      <c r="A75" s="145" t="n">
        <f aca="false">EOMONTH(A74,0)+1</f>
        <v>47818</v>
      </c>
      <c r="B75" s="135" t="n">
        <f aca="false">'Gas Curves'!C79</f>
        <v>0.0578573807571159</v>
      </c>
      <c r="C75" s="135"/>
      <c r="D75" s="173" t="n">
        <v>37865</v>
      </c>
      <c r="E75" s="174" t="n">
        <v>27.4</v>
      </c>
      <c r="F75" s="174" t="n">
        <v>30</v>
      </c>
      <c r="G75" s="174" t="n">
        <v>32.6</v>
      </c>
      <c r="H75" s="159"/>
      <c r="I75" s="174" t="n">
        <v>15.6800003051758</v>
      </c>
      <c r="J75" s="174" t="n">
        <v>15.6800003051758</v>
      </c>
      <c r="K75" s="174" t="n">
        <v>15.6800003051758</v>
      </c>
      <c r="L75" s="141"/>
      <c r="M75" s="142" t="n">
        <v>38749</v>
      </c>
      <c r="N75" s="175" t="n">
        <v>31.2460021972656</v>
      </c>
      <c r="O75" s="175" t="n">
        <v>31.2460021972656</v>
      </c>
      <c r="P75" s="175" t="n">
        <v>31.2460021972656</v>
      </c>
      <c r="Q75" s="62"/>
      <c r="R75" s="175" t="n">
        <v>22.7465019226074</v>
      </c>
      <c r="S75" s="175" t="n">
        <v>22.7465019226074</v>
      </c>
      <c r="T75" s="175" t="n">
        <v>22.7465019226074</v>
      </c>
      <c r="U75" s="62"/>
      <c r="V75" s="175" t="n">
        <v>0</v>
      </c>
      <c r="W75" s="175" t="n">
        <v>0</v>
      </c>
      <c r="X75" s="175" t="n">
        <v>0</v>
      </c>
      <c r="Y75" s="62"/>
      <c r="Z75" s="175" t="n">
        <v>0.16</v>
      </c>
      <c r="AA75" s="175" t="n">
        <v>0.2</v>
      </c>
      <c r="AB75" s="175" t="n">
        <v>0.24</v>
      </c>
      <c r="AC75" s="62"/>
      <c r="AD75" s="175" t="n">
        <v>0.08</v>
      </c>
      <c r="AE75" s="175" t="n">
        <v>0.1</v>
      </c>
      <c r="AF75" s="175" t="n">
        <v>0.12</v>
      </c>
      <c r="AG75" s="62"/>
      <c r="AH75" s="175" t="n">
        <v>0.28</v>
      </c>
      <c r="AI75" s="175" t="n">
        <v>0.35</v>
      </c>
      <c r="AJ75" s="175" t="n">
        <v>0.42</v>
      </c>
      <c r="AK75" s="62"/>
      <c r="AL75" s="175" t="n">
        <v>0.168</v>
      </c>
      <c r="AM75" s="175" t="n">
        <v>0.21</v>
      </c>
      <c r="AN75" s="175" t="n">
        <v>0.252</v>
      </c>
      <c r="AO75" s="62"/>
      <c r="AP75" s="141" t="n">
        <v>19</v>
      </c>
      <c r="AQ75" s="176" t="n">
        <v>0.4</v>
      </c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142" t="n">
        <v>38749</v>
      </c>
      <c r="BI75" s="178" t="n">
        <v>0.75</v>
      </c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116"/>
      <c r="CI75" s="166"/>
      <c r="CJ75" s="166"/>
      <c r="CK75" s="166"/>
      <c r="CM75" s="222"/>
      <c r="CN75" s="222"/>
      <c r="CO75" s="179"/>
      <c r="CP75" s="0"/>
      <c r="CQ75" s="0"/>
      <c r="CR75" s="0"/>
      <c r="CS75" s="0"/>
      <c r="CT75" s="0"/>
      <c r="CY75" s="180" t="n">
        <f aca="false">M75</f>
        <v>38749</v>
      </c>
      <c r="CZ75" s="181" t="n">
        <f aca="false">AH75</f>
        <v>0.28</v>
      </c>
      <c r="DA75" s="181" t="n">
        <f aca="false">AI75</f>
        <v>0.35</v>
      </c>
      <c r="DB75" s="181" t="n">
        <f aca="false">AJ75</f>
        <v>0.42</v>
      </c>
      <c r="DD75" s="181" t="n">
        <f aca="false">Z75</f>
        <v>0.16</v>
      </c>
      <c r="DE75" s="181" t="n">
        <f aca="false">AA75</f>
        <v>0.2</v>
      </c>
      <c r="DF75" s="181" t="n">
        <f aca="false">AB75</f>
        <v>0.24</v>
      </c>
      <c r="DH75" s="180" t="n">
        <f aca="false">BH75</f>
        <v>38749</v>
      </c>
      <c r="DI75" s="135" t="n">
        <f aca="false">BI75</f>
        <v>0.75</v>
      </c>
      <c r="DL75" s="180" t="n">
        <f aca="false">M75</f>
        <v>38749</v>
      </c>
      <c r="DM75" s="181" t="n">
        <f aca="false">AL75</f>
        <v>0.168</v>
      </c>
      <c r="DN75" s="181" t="n">
        <f aca="false">AM75</f>
        <v>0.21</v>
      </c>
      <c r="DO75" s="181" t="n">
        <f aca="false">AN75</f>
        <v>0.252</v>
      </c>
      <c r="DQ75" s="181" t="n">
        <f aca="false">AD75</f>
        <v>0.08</v>
      </c>
      <c r="DR75" s="181" t="n">
        <f aca="false">AE75</f>
        <v>0.1</v>
      </c>
      <c r="DS75" s="181" t="n">
        <f aca="false">AF75</f>
        <v>0.12</v>
      </c>
    </row>
    <row r="76" customFormat="false" ht="12.75" hidden="false" customHeight="false" outlineLevel="0" collapsed="false">
      <c r="A76" s="145" t="n">
        <f aca="false">EOMONTH(A75,0)+1</f>
        <v>47849</v>
      </c>
      <c r="B76" s="135" t="n">
        <f aca="false">'Gas Curves'!C80</f>
        <v>0.0579710141948171</v>
      </c>
      <c r="C76" s="135"/>
      <c r="D76" s="173" t="n">
        <v>37895</v>
      </c>
      <c r="E76" s="174" t="n">
        <v>29.551564002037</v>
      </c>
      <c r="F76" s="174" t="n">
        <v>30.4015640020371</v>
      </c>
      <c r="G76" s="174" t="n">
        <v>31.2515640020371</v>
      </c>
      <c r="H76" s="159"/>
      <c r="I76" s="174" t="n">
        <v>15.1800022125244</v>
      </c>
      <c r="J76" s="174" t="n">
        <v>15.1800022125244</v>
      </c>
      <c r="K76" s="174" t="n">
        <v>15.1800022125244</v>
      </c>
      <c r="L76" s="141"/>
      <c r="M76" s="142" t="n">
        <v>38777</v>
      </c>
      <c r="N76" s="175" t="n">
        <v>25.5</v>
      </c>
      <c r="O76" s="175" t="n">
        <v>25.5</v>
      </c>
      <c r="P76" s="175" t="n">
        <v>25.5</v>
      </c>
      <c r="Q76" s="62"/>
      <c r="R76" s="175" t="n">
        <v>20</v>
      </c>
      <c r="S76" s="175" t="n">
        <v>20</v>
      </c>
      <c r="T76" s="175" t="n">
        <v>20</v>
      </c>
      <c r="U76" s="62"/>
      <c r="V76" s="175" t="n">
        <v>0</v>
      </c>
      <c r="W76" s="175" t="n">
        <v>0</v>
      </c>
      <c r="X76" s="175" t="n">
        <v>0</v>
      </c>
      <c r="Y76" s="62"/>
      <c r="Z76" s="175" t="n">
        <v>0.16</v>
      </c>
      <c r="AA76" s="175" t="n">
        <v>0.2</v>
      </c>
      <c r="AB76" s="175" t="n">
        <v>0.24</v>
      </c>
      <c r="AC76" s="62"/>
      <c r="AD76" s="175" t="n">
        <v>0.08</v>
      </c>
      <c r="AE76" s="175" t="n">
        <v>0.1</v>
      </c>
      <c r="AF76" s="175" t="n">
        <v>0.12</v>
      </c>
      <c r="AG76" s="62"/>
      <c r="AH76" s="175" t="n">
        <v>0.28</v>
      </c>
      <c r="AI76" s="175" t="n">
        <v>0.35</v>
      </c>
      <c r="AJ76" s="175" t="n">
        <v>0.42</v>
      </c>
      <c r="AK76" s="62"/>
      <c r="AL76" s="175" t="n">
        <v>0.168</v>
      </c>
      <c r="AM76" s="175" t="n">
        <v>0.21</v>
      </c>
      <c r="AN76" s="175" t="n">
        <v>0.252</v>
      </c>
      <c r="AO76" s="62"/>
      <c r="AP76" s="141" t="n">
        <v>20</v>
      </c>
      <c r="AQ76" s="176" t="n">
        <v>0.4</v>
      </c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142" t="n">
        <v>38777</v>
      </c>
      <c r="BI76" s="178" t="n">
        <v>0.75</v>
      </c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116"/>
      <c r="CI76" s="166"/>
      <c r="CJ76" s="166"/>
      <c r="CK76" s="166"/>
      <c r="CM76" s="222"/>
      <c r="CN76" s="222"/>
      <c r="CO76" s="179"/>
      <c r="CP76" s="0"/>
      <c r="CQ76" s="0"/>
      <c r="CR76" s="0"/>
      <c r="CS76" s="0"/>
      <c r="CT76" s="0"/>
      <c r="CY76" s="180" t="n">
        <f aca="false">M76</f>
        <v>38777</v>
      </c>
      <c r="CZ76" s="181" t="n">
        <f aca="false">AH76</f>
        <v>0.28</v>
      </c>
      <c r="DA76" s="181" t="n">
        <f aca="false">AI76</f>
        <v>0.35</v>
      </c>
      <c r="DB76" s="181" t="n">
        <f aca="false">AJ76</f>
        <v>0.42</v>
      </c>
      <c r="DD76" s="181" t="n">
        <f aca="false">Z76</f>
        <v>0.16</v>
      </c>
      <c r="DE76" s="181" t="n">
        <f aca="false">AA76</f>
        <v>0.2</v>
      </c>
      <c r="DF76" s="181" t="n">
        <f aca="false">AB76</f>
        <v>0.24</v>
      </c>
      <c r="DH76" s="180" t="n">
        <f aca="false">BH76</f>
        <v>38777</v>
      </c>
      <c r="DI76" s="135" t="n">
        <f aca="false">BI76</f>
        <v>0.75</v>
      </c>
      <c r="DL76" s="180" t="n">
        <f aca="false">M76</f>
        <v>38777</v>
      </c>
      <c r="DM76" s="181" t="n">
        <f aca="false">AL76</f>
        <v>0.168</v>
      </c>
      <c r="DN76" s="181" t="n">
        <f aca="false">AM76</f>
        <v>0.21</v>
      </c>
      <c r="DO76" s="181" t="n">
        <f aca="false">AN76</f>
        <v>0.252</v>
      </c>
      <c r="DQ76" s="181" t="n">
        <f aca="false">AD76</f>
        <v>0.08</v>
      </c>
      <c r="DR76" s="181" t="n">
        <f aca="false">AE76</f>
        <v>0.1</v>
      </c>
      <c r="DS76" s="181" t="n">
        <f aca="false">AF76</f>
        <v>0.12</v>
      </c>
    </row>
    <row r="77" customFormat="false" ht="12.75" hidden="false" customHeight="false" outlineLevel="0" collapsed="false">
      <c r="A77" s="145" t="n">
        <f aca="false">EOMONTH(A76,0)+1</f>
        <v>47880</v>
      </c>
      <c r="B77" s="135" t="n">
        <f aca="false">'Gas Curves'!C81</f>
        <v>0.0580846476368126</v>
      </c>
      <c r="C77" s="135"/>
      <c r="D77" s="173" t="n">
        <v>37926</v>
      </c>
      <c r="E77" s="174" t="n">
        <v>29.6515624761581</v>
      </c>
      <c r="F77" s="174" t="n">
        <v>30.5015624761581</v>
      </c>
      <c r="G77" s="174" t="n">
        <v>31.3515624761581</v>
      </c>
      <c r="H77" s="159"/>
      <c r="I77" s="174" t="n">
        <v>16.1800003051758</v>
      </c>
      <c r="J77" s="174" t="n">
        <v>16.1800003051758</v>
      </c>
      <c r="K77" s="174" t="n">
        <v>16.1800003051758</v>
      </c>
      <c r="L77" s="141"/>
      <c r="M77" s="142" t="n">
        <v>38808</v>
      </c>
      <c r="N77" s="175" t="n">
        <v>22</v>
      </c>
      <c r="O77" s="175" t="n">
        <v>22</v>
      </c>
      <c r="P77" s="175" t="n">
        <v>22</v>
      </c>
      <c r="Q77" s="62"/>
      <c r="R77" s="175" t="n">
        <v>16.4950008392334</v>
      </c>
      <c r="S77" s="175" t="n">
        <v>16.4950008392334</v>
      </c>
      <c r="T77" s="175" t="n">
        <v>16.4950008392334</v>
      </c>
      <c r="U77" s="62"/>
      <c r="V77" s="175" t="n">
        <v>0</v>
      </c>
      <c r="W77" s="175" t="n">
        <v>0</v>
      </c>
      <c r="X77" s="175" t="n">
        <v>0</v>
      </c>
      <c r="Y77" s="62"/>
      <c r="Z77" s="175" t="n">
        <v>0.16</v>
      </c>
      <c r="AA77" s="175" t="n">
        <v>0.2</v>
      </c>
      <c r="AB77" s="175" t="n">
        <v>0.24</v>
      </c>
      <c r="AC77" s="62"/>
      <c r="AD77" s="175" t="n">
        <v>0.08</v>
      </c>
      <c r="AE77" s="175" t="n">
        <v>0.1</v>
      </c>
      <c r="AF77" s="175" t="n">
        <v>0.12</v>
      </c>
      <c r="AG77" s="62"/>
      <c r="AH77" s="175" t="n">
        <v>0.28</v>
      </c>
      <c r="AI77" s="175" t="n">
        <v>0.35</v>
      </c>
      <c r="AJ77" s="175" t="n">
        <v>0.42</v>
      </c>
      <c r="AK77" s="62"/>
      <c r="AL77" s="175" t="n">
        <v>0.168</v>
      </c>
      <c r="AM77" s="175" t="n">
        <v>0.21</v>
      </c>
      <c r="AN77" s="175" t="n">
        <v>0.252</v>
      </c>
      <c r="AO77" s="62"/>
      <c r="AP77" s="141" t="n">
        <v>20</v>
      </c>
      <c r="AQ77" s="176" t="n">
        <v>0.4</v>
      </c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142" t="n">
        <v>38808</v>
      </c>
      <c r="BI77" s="178" t="n">
        <v>0.75</v>
      </c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116"/>
      <c r="CI77" s="166"/>
      <c r="CJ77" s="166"/>
      <c r="CK77" s="166"/>
      <c r="CM77" s="222"/>
      <c r="CN77" s="222"/>
      <c r="CO77" s="179"/>
      <c r="CP77" s="0"/>
      <c r="CQ77" s="0"/>
      <c r="CR77" s="0"/>
      <c r="CS77" s="0"/>
      <c r="CT77" s="0"/>
      <c r="CY77" s="180" t="n">
        <f aca="false">M77</f>
        <v>38808</v>
      </c>
      <c r="CZ77" s="181" t="n">
        <f aca="false">AH77</f>
        <v>0.28</v>
      </c>
      <c r="DA77" s="181" t="n">
        <f aca="false">AI77</f>
        <v>0.35</v>
      </c>
      <c r="DB77" s="181" t="n">
        <f aca="false">AJ77</f>
        <v>0.42</v>
      </c>
      <c r="DD77" s="181" t="n">
        <f aca="false">Z77</f>
        <v>0.16</v>
      </c>
      <c r="DE77" s="181" t="n">
        <f aca="false">AA77</f>
        <v>0.2</v>
      </c>
      <c r="DF77" s="181" t="n">
        <f aca="false">AB77</f>
        <v>0.24</v>
      </c>
      <c r="DH77" s="180" t="n">
        <f aca="false">BH77</f>
        <v>38808</v>
      </c>
      <c r="DI77" s="135" t="n">
        <f aca="false">BI77</f>
        <v>0.75</v>
      </c>
      <c r="DL77" s="180" t="n">
        <f aca="false">M77</f>
        <v>38808</v>
      </c>
      <c r="DM77" s="181" t="n">
        <f aca="false">AL77</f>
        <v>0.168</v>
      </c>
      <c r="DN77" s="181" t="n">
        <f aca="false">AM77</f>
        <v>0.21</v>
      </c>
      <c r="DO77" s="181" t="n">
        <f aca="false">AN77</f>
        <v>0.252</v>
      </c>
      <c r="DQ77" s="181" t="n">
        <f aca="false">AD77</f>
        <v>0.08</v>
      </c>
      <c r="DR77" s="181" t="n">
        <f aca="false">AE77</f>
        <v>0.1</v>
      </c>
      <c r="DS77" s="181" t="n">
        <f aca="false">AF77</f>
        <v>0.12</v>
      </c>
    </row>
    <row r="78" customFormat="false" ht="12.75" hidden="false" customHeight="false" outlineLevel="0" collapsed="false">
      <c r="A78" s="145" t="n">
        <f aca="false">EOMONTH(A77,0)+1</f>
        <v>47908</v>
      </c>
      <c r="B78" s="135" t="n">
        <f aca="false">'Gas Curves'!C82</f>
        <v>0.0581946154879938</v>
      </c>
      <c r="C78" s="135"/>
      <c r="D78" s="173" t="n">
        <v>37956</v>
      </c>
      <c r="E78" s="174" t="n">
        <v>29.7515609502792</v>
      </c>
      <c r="F78" s="174" t="n">
        <v>30.6015609502792</v>
      </c>
      <c r="G78" s="174" t="n">
        <v>31.4515609502792</v>
      </c>
      <c r="H78" s="159"/>
      <c r="I78" s="174" t="n">
        <v>18.4300003051758</v>
      </c>
      <c r="J78" s="174" t="n">
        <v>18.4300003051758</v>
      </c>
      <c r="K78" s="174" t="n">
        <v>18.4300003051758</v>
      </c>
      <c r="L78" s="141"/>
      <c r="M78" s="142" t="n">
        <v>38838</v>
      </c>
      <c r="N78" s="175" t="n">
        <v>22.2900009155273</v>
      </c>
      <c r="O78" s="175" t="n">
        <v>22.2900009155273</v>
      </c>
      <c r="P78" s="175" t="n">
        <v>22.2900009155273</v>
      </c>
      <c r="Q78" s="62"/>
      <c r="R78" s="175" t="n">
        <v>15.7950000762939</v>
      </c>
      <c r="S78" s="175" t="n">
        <v>15.7950000762939</v>
      </c>
      <c r="T78" s="175" t="n">
        <v>15.7950000762939</v>
      </c>
      <c r="U78" s="62"/>
      <c r="V78" s="175" t="n">
        <v>0</v>
      </c>
      <c r="W78" s="175" t="n">
        <v>0</v>
      </c>
      <c r="X78" s="175" t="n">
        <v>0</v>
      </c>
      <c r="Y78" s="62"/>
      <c r="Z78" s="175" t="n">
        <v>0.16</v>
      </c>
      <c r="AA78" s="175" t="n">
        <v>0.2</v>
      </c>
      <c r="AB78" s="175" t="n">
        <v>0.24</v>
      </c>
      <c r="AC78" s="62"/>
      <c r="AD78" s="175" t="n">
        <v>0.08</v>
      </c>
      <c r="AE78" s="175" t="n">
        <v>0.1</v>
      </c>
      <c r="AF78" s="175" t="n">
        <v>0.12</v>
      </c>
      <c r="AG78" s="62"/>
      <c r="AH78" s="175" t="n">
        <v>0.36</v>
      </c>
      <c r="AI78" s="175" t="n">
        <v>0.45</v>
      </c>
      <c r="AJ78" s="175" t="n">
        <v>0.54</v>
      </c>
      <c r="AK78" s="62"/>
      <c r="AL78" s="175" t="n">
        <v>0.216</v>
      </c>
      <c r="AM78" s="175" t="n">
        <v>0.27</v>
      </c>
      <c r="AN78" s="175" t="n">
        <v>0.324</v>
      </c>
      <c r="AO78" s="62"/>
      <c r="AP78" s="141" t="n">
        <v>20</v>
      </c>
      <c r="AQ78" s="176" t="n">
        <v>0.4</v>
      </c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142" t="n">
        <v>38838</v>
      </c>
      <c r="BI78" s="178" t="n">
        <v>0.75</v>
      </c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116"/>
      <c r="CI78" s="166"/>
      <c r="CJ78" s="166"/>
      <c r="CK78" s="166"/>
      <c r="CM78" s="222"/>
      <c r="CN78" s="222"/>
      <c r="CO78" s="179"/>
      <c r="CP78" s="0"/>
      <c r="CQ78" s="0"/>
      <c r="CR78" s="0"/>
      <c r="CS78" s="0"/>
      <c r="CT78" s="0"/>
      <c r="CY78" s="180" t="n">
        <f aca="false">M78</f>
        <v>38838</v>
      </c>
      <c r="CZ78" s="181" t="n">
        <f aca="false">AH78</f>
        <v>0.36</v>
      </c>
      <c r="DA78" s="181" t="n">
        <f aca="false">AI78</f>
        <v>0.45</v>
      </c>
      <c r="DB78" s="181" t="n">
        <f aca="false">AJ78</f>
        <v>0.54</v>
      </c>
      <c r="DD78" s="181" t="n">
        <f aca="false">Z78</f>
        <v>0.16</v>
      </c>
      <c r="DE78" s="181" t="n">
        <f aca="false">AA78</f>
        <v>0.2</v>
      </c>
      <c r="DF78" s="181" t="n">
        <f aca="false">AB78</f>
        <v>0.24</v>
      </c>
      <c r="DH78" s="180" t="n">
        <f aca="false">BH78</f>
        <v>38838</v>
      </c>
      <c r="DI78" s="135" t="n">
        <f aca="false">BI78</f>
        <v>0.75</v>
      </c>
      <c r="DL78" s="180" t="n">
        <f aca="false">M78</f>
        <v>38838</v>
      </c>
      <c r="DM78" s="181" t="n">
        <f aca="false">AL78</f>
        <v>0.216</v>
      </c>
      <c r="DN78" s="181" t="n">
        <f aca="false">AM78</f>
        <v>0.27</v>
      </c>
      <c r="DO78" s="181" t="n">
        <f aca="false">AN78</f>
        <v>0.324</v>
      </c>
      <c r="DQ78" s="181" t="n">
        <f aca="false">AD78</f>
        <v>0.08</v>
      </c>
      <c r="DR78" s="181" t="n">
        <f aca="false">AE78</f>
        <v>0.1</v>
      </c>
      <c r="DS78" s="181" t="n">
        <f aca="false">AF78</f>
        <v>0.12</v>
      </c>
    </row>
    <row r="79" customFormat="false" ht="12.75" hidden="false" customHeight="false" outlineLevel="0" collapsed="false">
      <c r="A79" s="145" t="n">
        <f aca="false">EOMONTH(A78,0)+1</f>
        <v>47939</v>
      </c>
      <c r="B79" s="135" t="n">
        <f aca="false">'Gas Curves'!C83</f>
        <v>0.0583082489384394</v>
      </c>
      <c r="C79" s="135"/>
      <c r="D79" s="173" t="n">
        <v>37987</v>
      </c>
      <c r="E79" s="174" t="n">
        <v>33.9357146126883</v>
      </c>
      <c r="F79" s="174" t="n">
        <v>34.3357146126883</v>
      </c>
      <c r="G79" s="174" t="n">
        <v>34.7357146126883</v>
      </c>
      <c r="H79" s="159"/>
      <c r="I79" s="174" t="n">
        <v>20.75</v>
      </c>
      <c r="J79" s="174" t="n">
        <v>20.75</v>
      </c>
      <c r="K79" s="174" t="n">
        <v>20.75</v>
      </c>
      <c r="L79" s="141"/>
      <c r="M79" s="142" t="n">
        <v>38869</v>
      </c>
      <c r="N79" s="175" t="n">
        <v>29.2900009155273</v>
      </c>
      <c r="O79" s="175" t="n">
        <v>29.2900009155273</v>
      </c>
      <c r="P79" s="175" t="n">
        <v>29.2900009155273</v>
      </c>
      <c r="Q79" s="62"/>
      <c r="R79" s="175" t="n">
        <v>19.7900009155273</v>
      </c>
      <c r="S79" s="175" t="n">
        <v>19.7900009155273</v>
      </c>
      <c r="T79" s="175" t="n">
        <v>19.7900009155273</v>
      </c>
      <c r="U79" s="62"/>
      <c r="V79" s="175" t="n">
        <v>0</v>
      </c>
      <c r="W79" s="175" t="n">
        <v>0</v>
      </c>
      <c r="X79" s="175" t="n">
        <v>0</v>
      </c>
      <c r="Y79" s="62"/>
      <c r="Z79" s="175" t="n">
        <v>0.16</v>
      </c>
      <c r="AA79" s="175" t="n">
        <v>0.2</v>
      </c>
      <c r="AB79" s="175" t="n">
        <v>0.24</v>
      </c>
      <c r="AC79" s="62"/>
      <c r="AD79" s="175" t="n">
        <v>0.08</v>
      </c>
      <c r="AE79" s="175" t="n">
        <v>0.1</v>
      </c>
      <c r="AF79" s="175" t="n">
        <v>0.12</v>
      </c>
      <c r="AG79" s="62"/>
      <c r="AH79" s="175" t="n">
        <v>0.36</v>
      </c>
      <c r="AI79" s="175" t="n">
        <v>0.45</v>
      </c>
      <c r="AJ79" s="175" t="n">
        <v>0.54</v>
      </c>
      <c r="AK79" s="62"/>
      <c r="AL79" s="175" t="n">
        <v>0.216</v>
      </c>
      <c r="AM79" s="175" t="n">
        <v>0.27</v>
      </c>
      <c r="AN79" s="175" t="n">
        <v>0.324</v>
      </c>
      <c r="AO79" s="62"/>
      <c r="AP79" s="141" t="n">
        <v>21</v>
      </c>
      <c r="AQ79" s="176" t="n">
        <v>0.4</v>
      </c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142" t="n">
        <v>38869</v>
      </c>
      <c r="BI79" s="178" t="n">
        <v>0.75</v>
      </c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116"/>
      <c r="CI79" s="166"/>
      <c r="CJ79" s="166"/>
      <c r="CK79" s="166"/>
      <c r="CM79" s="222"/>
      <c r="CN79" s="222"/>
      <c r="CO79" s="179"/>
      <c r="CP79" s="0"/>
      <c r="CQ79" s="0"/>
      <c r="CR79" s="0"/>
      <c r="CS79" s="0"/>
      <c r="CT79" s="0"/>
      <c r="CY79" s="180" t="n">
        <f aca="false">M79</f>
        <v>38869</v>
      </c>
      <c r="CZ79" s="181" t="n">
        <f aca="false">AH79</f>
        <v>0.36</v>
      </c>
      <c r="DA79" s="181" t="n">
        <f aca="false">AI79</f>
        <v>0.45</v>
      </c>
      <c r="DB79" s="181" t="n">
        <f aca="false">AJ79</f>
        <v>0.54</v>
      </c>
      <c r="DD79" s="181" t="n">
        <f aca="false">Z79</f>
        <v>0.16</v>
      </c>
      <c r="DE79" s="181" t="n">
        <f aca="false">AA79</f>
        <v>0.2</v>
      </c>
      <c r="DF79" s="181" t="n">
        <f aca="false">AB79</f>
        <v>0.24</v>
      </c>
      <c r="DH79" s="180" t="n">
        <f aca="false">BH79</f>
        <v>38869</v>
      </c>
      <c r="DI79" s="135" t="n">
        <f aca="false">BI79</f>
        <v>0.75</v>
      </c>
      <c r="DL79" s="180" t="n">
        <f aca="false">M79</f>
        <v>38869</v>
      </c>
      <c r="DM79" s="181" t="n">
        <f aca="false">AL79</f>
        <v>0.216</v>
      </c>
      <c r="DN79" s="181" t="n">
        <f aca="false">AM79</f>
        <v>0.27</v>
      </c>
      <c r="DO79" s="181" t="n">
        <f aca="false">AN79</f>
        <v>0.324</v>
      </c>
      <c r="DQ79" s="181" t="n">
        <f aca="false">AD79</f>
        <v>0.08</v>
      </c>
      <c r="DR79" s="181" t="n">
        <f aca="false">AE79</f>
        <v>0.1</v>
      </c>
      <c r="DS79" s="181" t="n">
        <f aca="false">AF79</f>
        <v>0.12</v>
      </c>
    </row>
    <row r="80" customFormat="false" ht="12.75" hidden="false" customHeight="false" outlineLevel="0" collapsed="false">
      <c r="A80" s="145" t="n">
        <f aca="false">EOMONTH(A79,0)+1</f>
        <v>47969</v>
      </c>
      <c r="B80" s="135" t="n">
        <f aca="false">'Gas Curves'!C84</f>
        <v>0.0584182167977976</v>
      </c>
      <c r="C80" s="135"/>
      <c r="D80" s="173" t="n">
        <v>38018</v>
      </c>
      <c r="E80" s="174" t="n">
        <v>33.3357085091727</v>
      </c>
      <c r="F80" s="174" t="n">
        <v>33.7357085091727</v>
      </c>
      <c r="G80" s="174" t="n">
        <v>34.1357085091727</v>
      </c>
      <c r="H80" s="159"/>
      <c r="I80" s="174" t="n">
        <v>20</v>
      </c>
      <c r="J80" s="174" t="n">
        <v>20</v>
      </c>
      <c r="K80" s="174" t="n">
        <v>20</v>
      </c>
      <c r="L80" s="141"/>
      <c r="M80" s="142" t="n">
        <v>38899</v>
      </c>
      <c r="N80" s="175" t="n">
        <v>35.2900009155273</v>
      </c>
      <c r="O80" s="175" t="n">
        <v>35.2900009155273</v>
      </c>
      <c r="P80" s="175" t="n">
        <v>35.2900009155273</v>
      </c>
      <c r="Q80" s="62"/>
      <c r="R80" s="175" t="n">
        <v>25.7900009155273</v>
      </c>
      <c r="S80" s="175" t="n">
        <v>25.7900009155273</v>
      </c>
      <c r="T80" s="175" t="n">
        <v>25.7900009155273</v>
      </c>
      <c r="U80" s="62"/>
      <c r="V80" s="175" t="n">
        <v>0</v>
      </c>
      <c r="W80" s="175" t="n">
        <v>0</v>
      </c>
      <c r="X80" s="175" t="n">
        <v>0</v>
      </c>
      <c r="Y80" s="62"/>
      <c r="Z80" s="175" t="n">
        <v>0.24</v>
      </c>
      <c r="AA80" s="175" t="n">
        <v>0.3</v>
      </c>
      <c r="AB80" s="175" t="n">
        <v>0.36</v>
      </c>
      <c r="AC80" s="62"/>
      <c r="AD80" s="175" t="n">
        <v>0.12</v>
      </c>
      <c r="AE80" s="175" t="n">
        <v>0.15</v>
      </c>
      <c r="AF80" s="175" t="n">
        <v>0.18</v>
      </c>
      <c r="AG80" s="62"/>
      <c r="AH80" s="175" t="n">
        <v>0.48</v>
      </c>
      <c r="AI80" s="175" t="n">
        <v>0.6</v>
      </c>
      <c r="AJ80" s="175" t="n">
        <v>0.72</v>
      </c>
      <c r="AK80" s="62"/>
      <c r="AL80" s="175" t="n">
        <v>0.288</v>
      </c>
      <c r="AM80" s="175" t="n">
        <v>0.36</v>
      </c>
      <c r="AN80" s="175" t="n">
        <v>0.432</v>
      </c>
      <c r="AO80" s="62"/>
      <c r="AP80" s="141" t="n">
        <v>21</v>
      </c>
      <c r="AQ80" s="176" t="n">
        <v>0.4</v>
      </c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142" t="n">
        <v>38899</v>
      </c>
      <c r="BI80" s="178" t="n">
        <v>0.75</v>
      </c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116"/>
      <c r="CI80" s="166"/>
      <c r="CJ80" s="166"/>
      <c r="CK80" s="166"/>
      <c r="CM80" s="222"/>
      <c r="CN80" s="222"/>
      <c r="CO80" s="179"/>
      <c r="CP80" s="0"/>
      <c r="CQ80" s="0"/>
      <c r="CR80" s="0"/>
      <c r="CS80" s="0"/>
      <c r="CT80" s="0"/>
      <c r="CY80" s="180" t="n">
        <f aca="false">M80</f>
        <v>38899</v>
      </c>
      <c r="CZ80" s="181" t="n">
        <f aca="false">AH80</f>
        <v>0.48</v>
      </c>
      <c r="DA80" s="181" t="n">
        <f aca="false">AI80</f>
        <v>0.6</v>
      </c>
      <c r="DB80" s="181" t="n">
        <f aca="false">AJ80</f>
        <v>0.72</v>
      </c>
      <c r="DD80" s="181" t="n">
        <f aca="false">Z80</f>
        <v>0.24</v>
      </c>
      <c r="DE80" s="181" t="n">
        <f aca="false">AA80</f>
        <v>0.3</v>
      </c>
      <c r="DF80" s="181" t="n">
        <f aca="false">AB80</f>
        <v>0.36</v>
      </c>
      <c r="DH80" s="180" t="n">
        <f aca="false">BH80</f>
        <v>38899</v>
      </c>
      <c r="DI80" s="135" t="n">
        <f aca="false">BI80</f>
        <v>0.75</v>
      </c>
      <c r="DL80" s="180" t="n">
        <f aca="false">M80</f>
        <v>38899</v>
      </c>
      <c r="DM80" s="181" t="n">
        <f aca="false">AL80</f>
        <v>0.288</v>
      </c>
      <c r="DN80" s="181" t="n">
        <f aca="false">AM80</f>
        <v>0.36</v>
      </c>
      <c r="DO80" s="181" t="n">
        <f aca="false">AN80</f>
        <v>0.432</v>
      </c>
      <c r="DQ80" s="181" t="n">
        <f aca="false">AD80</f>
        <v>0.12</v>
      </c>
      <c r="DR80" s="181" t="n">
        <f aca="false">AE80</f>
        <v>0.15</v>
      </c>
      <c r="DS80" s="181" t="n">
        <f aca="false">AF80</f>
        <v>0.18</v>
      </c>
    </row>
    <row r="81" customFormat="false" ht="12.75" hidden="false" customHeight="false" outlineLevel="0" collapsed="false">
      <c r="A81" s="145" t="n">
        <f aca="false">EOMONTH(A80,0)+1</f>
        <v>48000</v>
      </c>
      <c r="B81" s="135" t="n">
        <f aca="false">'Gas Curves'!C85</f>
        <v>0.0585318502566925</v>
      </c>
      <c r="C81" s="135"/>
      <c r="D81" s="173" t="n">
        <v>38047</v>
      </c>
      <c r="E81" s="174" t="n">
        <v>31.8476771687352</v>
      </c>
      <c r="F81" s="174" t="n">
        <v>32.4476771687352</v>
      </c>
      <c r="G81" s="174" t="n">
        <v>33.0476771687352</v>
      </c>
      <c r="H81" s="159"/>
      <c r="I81" s="174" t="n">
        <v>21</v>
      </c>
      <c r="J81" s="174" t="n">
        <v>21</v>
      </c>
      <c r="K81" s="174" t="n">
        <v>21</v>
      </c>
      <c r="L81" s="141"/>
      <c r="M81" s="142" t="n">
        <v>38930</v>
      </c>
      <c r="N81" s="175" t="n">
        <v>33.2900047302246</v>
      </c>
      <c r="O81" s="175" t="n">
        <v>33.2900047302246</v>
      </c>
      <c r="P81" s="175" t="n">
        <v>33.2900047302246</v>
      </c>
      <c r="Q81" s="62"/>
      <c r="R81" s="175" t="n">
        <v>25.7900009155273</v>
      </c>
      <c r="S81" s="175" t="n">
        <v>25.7900009155273</v>
      </c>
      <c r="T81" s="175" t="n">
        <v>25.7900009155273</v>
      </c>
      <c r="U81" s="62"/>
      <c r="V81" s="175" t="n">
        <v>0</v>
      </c>
      <c r="W81" s="175" t="n">
        <v>0</v>
      </c>
      <c r="X81" s="175" t="n">
        <v>0</v>
      </c>
      <c r="Y81" s="62"/>
      <c r="Z81" s="175" t="n">
        <v>0.24</v>
      </c>
      <c r="AA81" s="175" t="n">
        <v>0.3</v>
      </c>
      <c r="AB81" s="175" t="n">
        <v>0.36</v>
      </c>
      <c r="AC81" s="62"/>
      <c r="AD81" s="175" t="n">
        <v>0.12</v>
      </c>
      <c r="AE81" s="175" t="n">
        <v>0.15</v>
      </c>
      <c r="AF81" s="175" t="n">
        <v>0.18</v>
      </c>
      <c r="AG81" s="62"/>
      <c r="AH81" s="175" t="n">
        <v>0.48</v>
      </c>
      <c r="AI81" s="175" t="n">
        <v>0.6</v>
      </c>
      <c r="AJ81" s="175" t="n">
        <v>0.72</v>
      </c>
      <c r="AK81" s="62"/>
      <c r="AL81" s="175" t="n">
        <v>0.288</v>
      </c>
      <c r="AM81" s="175" t="n">
        <v>0.36</v>
      </c>
      <c r="AN81" s="175" t="n">
        <v>0.432</v>
      </c>
      <c r="AO81" s="62"/>
      <c r="AP81" s="141" t="n">
        <v>21</v>
      </c>
      <c r="AQ81" s="176" t="n">
        <v>0.4</v>
      </c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142" t="n">
        <v>38930</v>
      </c>
      <c r="BI81" s="178" t="n">
        <v>0.75</v>
      </c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116"/>
      <c r="CI81" s="117"/>
      <c r="CJ81" s="117"/>
      <c r="CK81" s="117"/>
      <c r="CM81" s="222"/>
      <c r="CN81" s="222"/>
      <c r="CO81" s="179"/>
      <c r="CP81" s="0"/>
      <c r="CQ81" s="0"/>
      <c r="CR81" s="0"/>
      <c r="CS81" s="0"/>
      <c r="CT81" s="0"/>
      <c r="CY81" s="180" t="n">
        <f aca="false">M81</f>
        <v>38930</v>
      </c>
      <c r="CZ81" s="181" t="n">
        <f aca="false">AH81</f>
        <v>0.48</v>
      </c>
      <c r="DA81" s="181" t="n">
        <f aca="false">AI81</f>
        <v>0.6</v>
      </c>
      <c r="DB81" s="181" t="n">
        <f aca="false">AJ81</f>
        <v>0.72</v>
      </c>
      <c r="DD81" s="181" t="n">
        <f aca="false">Z81</f>
        <v>0.24</v>
      </c>
      <c r="DE81" s="181" t="n">
        <f aca="false">AA81</f>
        <v>0.3</v>
      </c>
      <c r="DF81" s="181" t="n">
        <f aca="false">AB81</f>
        <v>0.36</v>
      </c>
      <c r="DH81" s="180" t="n">
        <f aca="false">BH81</f>
        <v>38930</v>
      </c>
      <c r="DI81" s="135" t="n">
        <f aca="false">BI81</f>
        <v>0.75</v>
      </c>
      <c r="DL81" s="180" t="n">
        <f aca="false">M81</f>
        <v>38930</v>
      </c>
      <c r="DM81" s="181" t="n">
        <f aca="false">AL81</f>
        <v>0.288</v>
      </c>
      <c r="DN81" s="181" t="n">
        <f aca="false">AM81</f>
        <v>0.36</v>
      </c>
      <c r="DO81" s="181" t="n">
        <f aca="false">AN81</f>
        <v>0.432</v>
      </c>
      <c r="DQ81" s="181" t="n">
        <f aca="false">AD81</f>
        <v>0.12</v>
      </c>
      <c r="DR81" s="181" t="n">
        <f aca="false">AE81</f>
        <v>0.15</v>
      </c>
      <c r="DS81" s="181" t="n">
        <f aca="false">AF81</f>
        <v>0.18</v>
      </c>
    </row>
    <row r="82" customFormat="false" ht="12.75" hidden="false" customHeight="false" outlineLevel="0" collapsed="false">
      <c r="A82" s="145" t="n">
        <f aca="false">EOMONTH(A81,0)+1</f>
        <v>48030</v>
      </c>
      <c r="B82" s="135" t="n">
        <f aca="false">'Gas Curves'!C86</f>
        <v>0.05864548371988</v>
      </c>
      <c r="C82" s="135"/>
      <c r="D82" s="173" t="n">
        <v>38078</v>
      </c>
      <c r="E82" s="174" t="n">
        <v>31.5476779316747</v>
      </c>
      <c r="F82" s="174" t="n">
        <v>32.6476779316747</v>
      </c>
      <c r="G82" s="174" t="n">
        <v>33.7476779316747</v>
      </c>
      <c r="H82" s="159"/>
      <c r="I82" s="174" t="n">
        <v>18</v>
      </c>
      <c r="J82" s="174" t="n">
        <v>18</v>
      </c>
      <c r="K82" s="174" t="n">
        <v>18</v>
      </c>
      <c r="L82" s="141"/>
      <c r="M82" s="142" t="n">
        <v>38961</v>
      </c>
      <c r="N82" s="175" t="n">
        <v>25.2900009155273</v>
      </c>
      <c r="O82" s="175" t="n">
        <v>25.2900009155273</v>
      </c>
      <c r="P82" s="175" t="n">
        <v>25.2900009155273</v>
      </c>
      <c r="Q82" s="62"/>
      <c r="R82" s="175" t="n">
        <v>19.7900009155273</v>
      </c>
      <c r="S82" s="175" t="n">
        <v>19.7900009155273</v>
      </c>
      <c r="T82" s="175" t="n">
        <v>19.7900009155273</v>
      </c>
      <c r="U82" s="62"/>
      <c r="V82" s="175" t="n">
        <v>0</v>
      </c>
      <c r="W82" s="175" t="n">
        <v>0</v>
      </c>
      <c r="X82" s="175" t="n">
        <v>0</v>
      </c>
      <c r="Y82" s="62"/>
      <c r="Z82" s="175" t="n">
        <v>0.16</v>
      </c>
      <c r="AA82" s="175" t="n">
        <v>0.2</v>
      </c>
      <c r="AB82" s="175" t="n">
        <v>0.24</v>
      </c>
      <c r="AC82" s="62"/>
      <c r="AD82" s="175" t="n">
        <v>0.08</v>
      </c>
      <c r="AE82" s="175" t="n">
        <v>0.1</v>
      </c>
      <c r="AF82" s="175" t="n">
        <v>0.12</v>
      </c>
      <c r="AG82" s="62"/>
      <c r="AH82" s="175" t="n">
        <v>0.36</v>
      </c>
      <c r="AI82" s="175" t="n">
        <v>0.45</v>
      </c>
      <c r="AJ82" s="175" t="n">
        <v>0.54</v>
      </c>
      <c r="AK82" s="62"/>
      <c r="AL82" s="175" t="n">
        <v>0.216</v>
      </c>
      <c r="AM82" s="175" t="n">
        <v>0.27</v>
      </c>
      <c r="AN82" s="175" t="n">
        <v>0.324</v>
      </c>
      <c r="AO82" s="62"/>
      <c r="AP82" s="141" t="n">
        <v>22</v>
      </c>
      <c r="AQ82" s="176" t="n">
        <v>0.4</v>
      </c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142" t="n">
        <v>38961</v>
      </c>
      <c r="BI82" s="178" t="n">
        <v>0.75</v>
      </c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116"/>
      <c r="CI82" s="117"/>
      <c r="CJ82" s="117"/>
      <c r="CK82" s="117"/>
      <c r="CM82" s="222"/>
      <c r="CN82" s="222"/>
      <c r="CO82" s="179"/>
      <c r="CP82" s="0"/>
      <c r="CQ82" s="0"/>
      <c r="CR82" s="0"/>
      <c r="CS82" s="0"/>
      <c r="CT82" s="0"/>
      <c r="CY82" s="180" t="n">
        <f aca="false">M82</f>
        <v>38961</v>
      </c>
      <c r="CZ82" s="181" t="n">
        <f aca="false">AH82</f>
        <v>0.36</v>
      </c>
      <c r="DA82" s="181" t="n">
        <f aca="false">AI82</f>
        <v>0.45</v>
      </c>
      <c r="DB82" s="181" t="n">
        <f aca="false">AJ82</f>
        <v>0.54</v>
      </c>
      <c r="DD82" s="181" t="n">
        <f aca="false">Z82</f>
        <v>0.16</v>
      </c>
      <c r="DE82" s="181" t="n">
        <f aca="false">AA82</f>
        <v>0.2</v>
      </c>
      <c r="DF82" s="181" t="n">
        <f aca="false">AB82</f>
        <v>0.24</v>
      </c>
      <c r="DH82" s="180" t="n">
        <f aca="false">BH82</f>
        <v>38961</v>
      </c>
      <c r="DI82" s="135" t="n">
        <f aca="false">BI82</f>
        <v>0.75</v>
      </c>
      <c r="DL82" s="180" t="n">
        <f aca="false">M82</f>
        <v>38961</v>
      </c>
      <c r="DM82" s="181" t="n">
        <f aca="false">AL82</f>
        <v>0.216</v>
      </c>
      <c r="DN82" s="181" t="n">
        <f aca="false">AM82</f>
        <v>0.27</v>
      </c>
      <c r="DO82" s="181" t="n">
        <f aca="false">AN82</f>
        <v>0.324</v>
      </c>
      <c r="DQ82" s="181" t="n">
        <f aca="false">AD82</f>
        <v>0.08</v>
      </c>
      <c r="DR82" s="181" t="n">
        <f aca="false">AE82</f>
        <v>0.1</v>
      </c>
      <c r="DS82" s="181" t="n">
        <f aca="false">AF82</f>
        <v>0.12</v>
      </c>
    </row>
    <row r="83" customFormat="false" ht="12.75" hidden="false" customHeight="false" outlineLevel="0" collapsed="false">
      <c r="A83" s="145" t="n">
        <f aca="false">EOMONTH(A82,0)+1</f>
        <v>48061</v>
      </c>
      <c r="B83" s="135" t="n">
        <f aca="false">'Gas Curves'!C87</f>
        <v>0.058748120399998</v>
      </c>
      <c r="C83" s="135"/>
      <c r="D83" s="173" t="n">
        <v>38108</v>
      </c>
      <c r="E83" s="174" t="n">
        <v>33.5750030517578</v>
      </c>
      <c r="F83" s="174" t="n">
        <v>35.4250030517578</v>
      </c>
      <c r="G83" s="174" t="n">
        <v>37.2750030517578</v>
      </c>
      <c r="H83" s="159"/>
      <c r="I83" s="174" t="n">
        <v>18.5400009155273</v>
      </c>
      <c r="J83" s="174" t="n">
        <v>18.5400009155273</v>
      </c>
      <c r="K83" s="174" t="n">
        <v>18.5400009155273</v>
      </c>
      <c r="L83" s="141"/>
      <c r="M83" s="142" t="n">
        <v>38991</v>
      </c>
      <c r="N83" s="175" t="n">
        <v>20.2860012054443</v>
      </c>
      <c r="O83" s="175" t="n">
        <v>20.2860012054443</v>
      </c>
      <c r="P83" s="175" t="n">
        <v>20.2860012054443</v>
      </c>
      <c r="Q83" s="62"/>
      <c r="R83" s="175" t="n">
        <v>14.7865009307861</v>
      </c>
      <c r="S83" s="175" t="n">
        <v>14.7865009307861</v>
      </c>
      <c r="T83" s="175" t="n">
        <v>14.7865009307861</v>
      </c>
      <c r="U83" s="62"/>
      <c r="V83" s="175" t="n">
        <v>0</v>
      </c>
      <c r="W83" s="175" t="n">
        <v>0</v>
      </c>
      <c r="X83" s="175" t="n">
        <v>0</v>
      </c>
      <c r="Y83" s="62"/>
      <c r="Z83" s="175" t="n">
        <v>0.16</v>
      </c>
      <c r="AA83" s="175" t="n">
        <v>0.2</v>
      </c>
      <c r="AB83" s="175" t="n">
        <v>0.24</v>
      </c>
      <c r="AC83" s="62"/>
      <c r="AD83" s="175" t="n">
        <v>0.08</v>
      </c>
      <c r="AE83" s="175" t="n">
        <v>0.1</v>
      </c>
      <c r="AF83" s="175" t="n">
        <v>0.12</v>
      </c>
      <c r="AG83" s="62"/>
      <c r="AH83" s="175" t="n">
        <v>0.36</v>
      </c>
      <c r="AI83" s="175" t="n">
        <v>0.45</v>
      </c>
      <c r="AJ83" s="175" t="n">
        <v>0.54</v>
      </c>
      <c r="AK83" s="62"/>
      <c r="AL83" s="175" t="n">
        <v>0.216</v>
      </c>
      <c r="AM83" s="175" t="n">
        <v>0.27</v>
      </c>
      <c r="AN83" s="175" t="n">
        <v>0.324</v>
      </c>
      <c r="AO83" s="62"/>
      <c r="AP83" s="141" t="n">
        <v>22</v>
      </c>
      <c r="AQ83" s="176" t="n">
        <v>0.4</v>
      </c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142" t="n">
        <v>38991</v>
      </c>
      <c r="BI83" s="178" t="n">
        <v>0.75</v>
      </c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116"/>
      <c r="CI83" s="117"/>
      <c r="CJ83" s="117"/>
      <c r="CK83" s="117"/>
      <c r="CM83" s="222"/>
      <c r="CN83" s="222"/>
      <c r="CO83" s="179"/>
      <c r="CP83" s="0"/>
      <c r="CQ83" s="0"/>
      <c r="CR83" s="0"/>
      <c r="CS83" s="0"/>
      <c r="CT83" s="0"/>
      <c r="CY83" s="180" t="n">
        <f aca="false">M83</f>
        <v>38991</v>
      </c>
      <c r="CZ83" s="181" t="n">
        <f aca="false">AH83</f>
        <v>0.36</v>
      </c>
      <c r="DA83" s="181" t="n">
        <f aca="false">AI83</f>
        <v>0.45</v>
      </c>
      <c r="DB83" s="181" t="n">
        <f aca="false">AJ83</f>
        <v>0.54</v>
      </c>
      <c r="DD83" s="181" t="n">
        <f aca="false">Z83</f>
        <v>0.16</v>
      </c>
      <c r="DE83" s="181" t="n">
        <f aca="false">AA83</f>
        <v>0.2</v>
      </c>
      <c r="DF83" s="181" t="n">
        <f aca="false">AB83</f>
        <v>0.24</v>
      </c>
      <c r="DH83" s="180" t="n">
        <f aca="false">BH83</f>
        <v>38991</v>
      </c>
      <c r="DI83" s="135" t="n">
        <f aca="false">BI83</f>
        <v>0.75</v>
      </c>
      <c r="DL83" s="180" t="n">
        <f aca="false">M83</f>
        <v>38991</v>
      </c>
      <c r="DM83" s="181" t="n">
        <f aca="false">AL83</f>
        <v>0.216</v>
      </c>
      <c r="DN83" s="181" t="n">
        <f aca="false">AM83</f>
        <v>0.27</v>
      </c>
      <c r="DO83" s="181" t="n">
        <f aca="false">AN83</f>
        <v>0.324</v>
      </c>
      <c r="DQ83" s="181" t="n">
        <f aca="false">AD83</f>
        <v>0.08</v>
      </c>
      <c r="DR83" s="181" t="n">
        <f aca="false">AE83</f>
        <v>0.1</v>
      </c>
      <c r="DS83" s="181" t="n">
        <f aca="false">AF83</f>
        <v>0.12</v>
      </c>
    </row>
    <row r="84" customFormat="false" ht="12.75" hidden="false" customHeight="false" outlineLevel="0" collapsed="false">
      <c r="A84" s="145" t="n">
        <f aca="false">EOMONTH(A83,0)+1</f>
        <v>48092</v>
      </c>
      <c r="B84" s="135" t="n">
        <f aca="false">'Gas Curves'!C88</f>
        <v>0.0588617538713567</v>
      </c>
      <c r="C84" s="135"/>
      <c r="D84" s="173" t="n">
        <v>38139</v>
      </c>
      <c r="E84" s="174" t="n">
        <v>38.3750038146973</v>
      </c>
      <c r="F84" s="174" t="n">
        <v>42.6250038146973</v>
      </c>
      <c r="G84" s="174" t="n">
        <v>46.8750038146973</v>
      </c>
      <c r="H84" s="159"/>
      <c r="I84" s="174" t="n">
        <v>21.5400009155273</v>
      </c>
      <c r="J84" s="174" t="n">
        <v>21.5400009155273</v>
      </c>
      <c r="K84" s="174" t="n">
        <v>21.5400009155273</v>
      </c>
      <c r="L84" s="141"/>
      <c r="M84" s="142" t="n">
        <v>39022</v>
      </c>
      <c r="N84" s="175" t="n">
        <v>22.2900009155273</v>
      </c>
      <c r="O84" s="175" t="n">
        <v>22.2900009155273</v>
      </c>
      <c r="P84" s="175" t="n">
        <v>22.2900009155273</v>
      </c>
      <c r="Q84" s="62"/>
      <c r="R84" s="175" t="n">
        <v>14.7900009155273</v>
      </c>
      <c r="S84" s="175" t="n">
        <v>14.7900009155273</v>
      </c>
      <c r="T84" s="175" t="n">
        <v>14.7900009155273</v>
      </c>
      <c r="U84" s="62"/>
      <c r="V84" s="175" t="n">
        <v>0</v>
      </c>
      <c r="W84" s="175" t="n">
        <v>0</v>
      </c>
      <c r="X84" s="175" t="n">
        <v>0</v>
      </c>
      <c r="Y84" s="62"/>
      <c r="Z84" s="175" t="n">
        <v>0.16</v>
      </c>
      <c r="AA84" s="175" t="n">
        <v>0.2</v>
      </c>
      <c r="AB84" s="175" t="n">
        <v>0.24</v>
      </c>
      <c r="AC84" s="62"/>
      <c r="AD84" s="175" t="n">
        <v>0.08</v>
      </c>
      <c r="AE84" s="175" t="n">
        <v>0.1</v>
      </c>
      <c r="AF84" s="175" t="n">
        <v>0.12</v>
      </c>
      <c r="AG84" s="62"/>
      <c r="AH84" s="175" t="n">
        <v>0.28</v>
      </c>
      <c r="AI84" s="175" t="n">
        <v>0.35</v>
      </c>
      <c r="AJ84" s="175" t="n">
        <v>0.42</v>
      </c>
      <c r="AK84" s="62"/>
      <c r="AL84" s="175" t="n">
        <v>0.168</v>
      </c>
      <c r="AM84" s="175" t="n">
        <v>0.21</v>
      </c>
      <c r="AN84" s="175" t="n">
        <v>0.252</v>
      </c>
      <c r="AO84" s="62"/>
      <c r="AP84" s="141" t="n">
        <v>22</v>
      </c>
      <c r="AQ84" s="176" t="n">
        <v>0.4</v>
      </c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142" t="n">
        <v>39022</v>
      </c>
      <c r="BI84" s="178" t="n">
        <v>0.75</v>
      </c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116"/>
      <c r="CI84" s="117"/>
      <c r="CJ84" s="117"/>
      <c r="CK84" s="117"/>
      <c r="CM84" s="222"/>
      <c r="CN84" s="222"/>
      <c r="CO84" s="179"/>
      <c r="CP84" s="0"/>
      <c r="CQ84" s="0"/>
      <c r="CR84" s="0"/>
      <c r="CS84" s="0"/>
      <c r="CT84" s="0"/>
      <c r="CY84" s="180" t="n">
        <f aca="false">M84</f>
        <v>39022</v>
      </c>
      <c r="CZ84" s="181" t="n">
        <f aca="false">AH84</f>
        <v>0.28</v>
      </c>
      <c r="DA84" s="181" t="n">
        <f aca="false">AI84</f>
        <v>0.35</v>
      </c>
      <c r="DB84" s="181" t="n">
        <f aca="false">AJ84</f>
        <v>0.42</v>
      </c>
      <c r="DD84" s="181" t="n">
        <f aca="false">Z84</f>
        <v>0.16</v>
      </c>
      <c r="DE84" s="181" t="n">
        <f aca="false">AA84</f>
        <v>0.2</v>
      </c>
      <c r="DF84" s="181" t="n">
        <f aca="false">AB84</f>
        <v>0.24</v>
      </c>
      <c r="DH84" s="180" t="n">
        <f aca="false">BH84</f>
        <v>39022</v>
      </c>
      <c r="DI84" s="135" t="n">
        <f aca="false">BI84</f>
        <v>0.75</v>
      </c>
      <c r="DL84" s="180" t="n">
        <f aca="false">M84</f>
        <v>39022</v>
      </c>
      <c r="DM84" s="181" t="n">
        <f aca="false">AL84</f>
        <v>0.168</v>
      </c>
      <c r="DN84" s="181" t="n">
        <f aca="false">AM84</f>
        <v>0.21</v>
      </c>
      <c r="DO84" s="181" t="n">
        <f aca="false">AN84</f>
        <v>0.252</v>
      </c>
      <c r="DQ84" s="181" t="n">
        <f aca="false">AD84</f>
        <v>0.08</v>
      </c>
      <c r="DR84" s="181" t="n">
        <f aca="false">AE84</f>
        <v>0.1</v>
      </c>
      <c r="DS84" s="181" t="n">
        <f aca="false">AF84</f>
        <v>0.12</v>
      </c>
    </row>
    <row r="85" customFormat="false" ht="12.75" hidden="false" customHeight="false" outlineLevel="0" collapsed="false">
      <c r="A85" s="145" t="n">
        <f aca="false">EOMONTH(A84,0)+1</f>
        <v>48122</v>
      </c>
      <c r="B85" s="135" t="n">
        <f aca="false">'Gas Curves'!C89</f>
        <v>0.0589717217509524</v>
      </c>
      <c r="C85" s="135"/>
      <c r="D85" s="173" t="n">
        <v>38169</v>
      </c>
      <c r="E85" s="174" t="n">
        <v>45.5</v>
      </c>
      <c r="F85" s="174" t="n">
        <v>52.5</v>
      </c>
      <c r="G85" s="174" t="n">
        <v>59.5</v>
      </c>
      <c r="H85" s="159"/>
      <c r="I85" s="174" t="n">
        <v>22.0400009155273</v>
      </c>
      <c r="J85" s="174" t="n">
        <v>22.0400009155273</v>
      </c>
      <c r="K85" s="174" t="n">
        <v>22.0400009155273</v>
      </c>
      <c r="L85" s="141"/>
      <c r="M85" s="142" t="n">
        <v>39052</v>
      </c>
      <c r="N85" s="175" t="n">
        <v>27.2900009155273</v>
      </c>
      <c r="O85" s="175" t="n">
        <v>27.2900009155273</v>
      </c>
      <c r="P85" s="175" t="n">
        <v>27.2900009155273</v>
      </c>
      <c r="Q85" s="62"/>
      <c r="R85" s="175" t="n">
        <v>21.7900009155273</v>
      </c>
      <c r="S85" s="175" t="n">
        <v>21.7900009155273</v>
      </c>
      <c r="T85" s="175" t="n">
        <v>21.7900009155273</v>
      </c>
      <c r="U85" s="62"/>
      <c r="V85" s="175" t="n">
        <v>0</v>
      </c>
      <c r="W85" s="175" t="n">
        <v>0</v>
      </c>
      <c r="X85" s="175" t="n">
        <v>0</v>
      </c>
      <c r="Y85" s="62"/>
      <c r="Z85" s="175" t="n">
        <v>0.16</v>
      </c>
      <c r="AA85" s="175" t="n">
        <v>0.2</v>
      </c>
      <c r="AB85" s="175" t="n">
        <v>0.24</v>
      </c>
      <c r="AC85" s="62"/>
      <c r="AD85" s="175" t="n">
        <v>0.08</v>
      </c>
      <c r="AE85" s="175" t="n">
        <v>0.1</v>
      </c>
      <c r="AF85" s="175" t="n">
        <v>0.12</v>
      </c>
      <c r="AG85" s="62"/>
      <c r="AH85" s="175" t="n">
        <v>0.28</v>
      </c>
      <c r="AI85" s="175" t="n">
        <v>0.35</v>
      </c>
      <c r="AJ85" s="175" t="n">
        <v>0.42</v>
      </c>
      <c r="AK85" s="62"/>
      <c r="AL85" s="175" t="n">
        <v>0.168</v>
      </c>
      <c r="AM85" s="175" t="n">
        <v>0.21</v>
      </c>
      <c r="AN85" s="175" t="n">
        <v>0.252</v>
      </c>
      <c r="AO85" s="62"/>
      <c r="AP85" s="141" t="n">
        <v>23</v>
      </c>
      <c r="AQ85" s="176" t="n">
        <v>0.4</v>
      </c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142" t="n">
        <v>39052</v>
      </c>
      <c r="BI85" s="178" t="n">
        <v>0.75</v>
      </c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116"/>
      <c r="CI85" s="117"/>
      <c r="CJ85" s="117"/>
      <c r="CK85" s="117"/>
      <c r="CM85" s="222"/>
      <c r="CN85" s="222"/>
      <c r="CO85" s="179"/>
      <c r="CP85" s="0"/>
      <c r="CQ85" s="0"/>
      <c r="CR85" s="0"/>
      <c r="CS85" s="0"/>
      <c r="CT85" s="0"/>
      <c r="CY85" s="180" t="n">
        <f aca="false">M85</f>
        <v>39052</v>
      </c>
      <c r="CZ85" s="181" t="n">
        <f aca="false">AH85</f>
        <v>0.28</v>
      </c>
      <c r="DA85" s="181" t="n">
        <f aca="false">AI85</f>
        <v>0.35</v>
      </c>
      <c r="DB85" s="181" t="n">
        <f aca="false">AJ85</f>
        <v>0.42</v>
      </c>
      <c r="DD85" s="181" t="n">
        <f aca="false">Z85</f>
        <v>0.16</v>
      </c>
      <c r="DE85" s="181" t="n">
        <f aca="false">AA85</f>
        <v>0.2</v>
      </c>
      <c r="DF85" s="181" t="n">
        <f aca="false">AB85</f>
        <v>0.24</v>
      </c>
      <c r="DH85" s="180" t="n">
        <f aca="false">BH85</f>
        <v>39052</v>
      </c>
      <c r="DI85" s="135" t="n">
        <f aca="false">BI85</f>
        <v>0.75</v>
      </c>
      <c r="DL85" s="180" t="n">
        <f aca="false">M85</f>
        <v>39052</v>
      </c>
      <c r="DM85" s="181" t="n">
        <f aca="false">AL85</f>
        <v>0.168</v>
      </c>
      <c r="DN85" s="181" t="n">
        <f aca="false">AM85</f>
        <v>0.21</v>
      </c>
      <c r="DO85" s="181" t="n">
        <f aca="false">AN85</f>
        <v>0.252</v>
      </c>
      <c r="DQ85" s="181" t="n">
        <f aca="false">AD85</f>
        <v>0.08</v>
      </c>
      <c r="DR85" s="181" t="n">
        <f aca="false">AE85</f>
        <v>0.1</v>
      </c>
      <c r="DS85" s="181" t="n">
        <f aca="false">AF85</f>
        <v>0.12</v>
      </c>
    </row>
    <row r="86" customFormat="false" ht="12.75" hidden="false" customHeight="false" outlineLevel="0" collapsed="false">
      <c r="A86" s="145" t="n">
        <f aca="false">EOMONTH(A85,0)+1</f>
        <v>48153</v>
      </c>
      <c r="B86" s="135" t="n">
        <f aca="false">'Gas Curves'!C90</f>
        <v>0.0590853552307582</v>
      </c>
      <c r="C86" s="135"/>
      <c r="D86" s="173" t="n">
        <v>38200</v>
      </c>
      <c r="E86" s="174" t="n">
        <v>45.5</v>
      </c>
      <c r="F86" s="174" t="n">
        <v>52.5</v>
      </c>
      <c r="G86" s="174" t="n">
        <v>59.5</v>
      </c>
      <c r="H86" s="159"/>
      <c r="I86" s="174" t="n">
        <v>23.0400009155273</v>
      </c>
      <c r="J86" s="174" t="n">
        <v>23.0400009155273</v>
      </c>
      <c r="K86" s="174" t="n">
        <v>23.0400009155273</v>
      </c>
      <c r="L86" s="141"/>
      <c r="M86" s="142" t="n">
        <v>39083</v>
      </c>
      <c r="N86" s="175" t="n">
        <v>35.75</v>
      </c>
      <c r="O86" s="175" t="n">
        <v>35.75</v>
      </c>
      <c r="P86" s="175" t="n">
        <v>35.75</v>
      </c>
      <c r="Q86" s="62"/>
      <c r="R86" s="175" t="n">
        <v>25.25</v>
      </c>
      <c r="S86" s="175" t="n">
        <v>25.25</v>
      </c>
      <c r="T86" s="175" t="n">
        <v>25.25</v>
      </c>
      <c r="U86" s="62"/>
      <c r="V86" s="175" t="n">
        <v>0</v>
      </c>
      <c r="W86" s="175" t="n">
        <v>0</v>
      </c>
      <c r="X86" s="175" t="n">
        <v>0</v>
      </c>
      <c r="Y86" s="62"/>
      <c r="Z86" s="175" t="n">
        <v>0.16</v>
      </c>
      <c r="AA86" s="175" t="n">
        <v>0.2</v>
      </c>
      <c r="AB86" s="175" t="n">
        <v>0.24</v>
      </c>
      <c r="AC86" s="62"/>
      <c r="AD86" s="175" t="n">
        <v>0.08</v>
      </c>
      <c r="AE86" s="175" t="n">
        <v>0.1</v>
      </c>
      <c r="AF86" s="175" t="n">
        <v>0.12</v>
      </c>
      <c r="AG86" s="62"/>
      <c r="AH86" s="175" t="n">
        <v>0.28</v>
      </c>
      <c r="AI86" s="175" t="n">
        <v>0.35</v>
      </c>
      <c r="AJ86" s="175" t="n">
        <v>0.42</v>
      </c>
      <c r="AK86" s="62"/>
      <c r="AL86" s="175" t="n">
        <v>0.168</v>
      </c>
      <c r="AM86" s="175" t="n">
        <v>0.21</v>
      </c>
      <c r="AN86" s="175" t="n">
        <v>0.252</v>
      </c>
      <c r="AO86" s="62"/>
      <c r="AP86" s="141" t="n">
        <v>23</v>
      </c>
      <c r="AQ86" s="176" t="n">
        <v>0.4</v>
      </c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142" t="n">
        <v>39083</v>
      </c>
      <c r="BI86" s="178" t="n">
        <v>0.75</v>
      </c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116"/>
      <c r="CI86" s="117"/>
      <c r="CJ86" s="117"/>
      <c r="CK86" s="117"/>
      <c r="CM86" s="222"/>
      <c r="CN86" s="222"/>
      <c r="CO86" s="179"/>
      <c r="CP86" s="0"/>
      <c r="CQ86" s="0"/>
      <c r="CR86" s="0"/>
      <c r="CS86" s="0"/>
      <c r="CT86" s="0"/>
      <c r="CY86" s="180" t="n">
        <f aca="false">M86</f>
        <v>39083</v>
      </c>
      <c r="CZ86" s="181" t="n">
        <f aca="false">AH86</f>
        <v>0.28</v>
      </c>
      <c r="DA86" s="181" t="n">
        <f aca="false">AI86</f>
        <v>0.35</v>
      </c>
      <c r="DB86" s="181" t="n">
        <f aca="false">AJ86</f>
        <v>0.42</v>
      </c>
      <c r="DD86" s="181" t="n">
        <f aca="false">Z86</f>
        <v>0.16</v>
      </c>
      <c r="DE86" s="181" t="n">
        <f aca="false">AA86</f>
        <v>0.2</v>
      </c>
      <c r="DF86" s="181" t="n">
        <f aca="false">AB86</f>
        <v>0.24</v>
      </c>
      <c r="DH86" s="180" t="n">
        <f aca="false">BH86</f>
        <v>39083</v>
      </c>
      <c r="DI86" s="135" t="n">
        <f aca="false">BI86</f>
        <v>0.75</v>
      </c>
      <c r="DL86" s="180" t="n">
        <f aca="false">M86</f>
        <v>39083</v>
      </c>
      <c r="DM86" s="181" t="n">
        <f aca="false">AL86</f>
        <v>0.168</v>
      </c>
      <c r="DN86" s="181" t="n">
        <f aca="false">AM86</f>
        <v>0.21</v>
      </c>
      <c r="DO86" s="181" t="n">
        <f aca="false">AN86</f>
        <v>0.252</v>
      </c>
      <c r="DQ86" s="181" t="n">
        <f aca="false">AD86</f>
        <v>0.08</v>
      </c>
      <c r="DR86" s="181" t="n">
        <f aca="false">AE86</f>
        <v>0.1</v>
      </c>
      <c r="DS86" s="181" t="n">
        <f aca="false">AF86</f>
        <v>0.12</v>
      </c>
    </row>
    <row r="87" customFormat="false" ht="12.75" hidden="false" customHeight="false" outlineLevel="0" collapsed="false">
      <c r="A87" s="145" t="n">
        <f aca="false">EOMONTH(A86,0)+1</f>
        <v>48183</v>
      </c>
      <c r="B87" s="135" t="n">
        <f aca="false">'Gas Curves'!C91</f>
        <v>0.0591953231185274</v>
      </c>
      <c r="C87" s="135"/>
      <c r="D87" s="173" t="n">
        <v>38231</v>
      </c>
      <c r="E87" s="174" t="n">
        <v>27.6500011444092</v>
      </c>
      <c r="F87" s="174" t="n">
        <v>30.3000011444092</v>
      </c>
      <c r="G87" s="174" t="n">
        <v>32.9500011444092</v>
      </c>
      <c r="H87" s="159"/>
      <c r="I87" s="174" t="n">
        <v>17.0400009155273</v>
      </c>
      <c r="J87" s="174" t="n">
        <v>17.0400009155273</v>
      </c>
      <c r="K87" s="174" t="n">
        <v>17.0400009155273</v>
      </c>
      <c r="L87" s="141"/>
      <c r="M87" s="142" t="n">
        <v>39114</v>
      </c>
      <c r="N87" s="175" t="n">
        <v>31.2460021972656</v>
      </c>
      <c r="O87" s="175" t="n">
        <v>31.2460021972656</v>
      </c>
      <c r="P87" s="175" t="n">
        <v>31.2460021972656</v>
      </c>
      <c r="Q87" s="62"/>
      <c r="R87" s="175" t="n">
        <v>22.7465019226074</v>
      </c>
      <c r="S87" s="175" t="n">
        <v>22.7465019226074</v>
      </c>
      <c r="T87" s="175" t="n">
        <v>22.7465019226074</v>
      </c>
      <c r="U87" s="62"/>
      <c r="V87" s="175" t="n">
        <v>0</v>
      </c>
      <c r="W87" s="175" t="n">
        <v>0</v>
      </c>
      <c r="X87" s="175" t="n">
        <v>0</v>
      </c>
      <c r="Y87" s="62"/>
      <c r="Z87" s="175" t="n">
        <v>0.16</v>
      </c>
      <c r="AA87" s="175" t="n">
        <v>0.2</v>
      </c>
      <c r="AB87" s="175" t="n">
        <v>0.24</v>
      </c>
      <c r="AC87" s="62"/>
      <c r="AD87" s="175" t="n">
        <v>0.08</v>
      </c>
      <c r="AE87" s="175" t="n">
        <v>0.1</v>
      </c>
      <c r="AF87" s="175" t="n">
        <v>0.12</v>
      </c>
      <c r="AG87" s="62"/>
      <c r="AH87" s="175" t="n">
        <v>0.28</v>
      </c>
      <c r="AI87" s="175" t="n">
        <v>0.35</v>
      </c>
      <c r="AJ87" s="175" t="n">
        <v>0.42</v>
      </c>
      <c r="AK87" s="62"/>
      <c r="AL87" s="175" t="n">
        <v>0.168</v>
      </c>
      <c r="AM87" s="175" t="n">
        <v>0.21</v>
      </c>
      <c r="AN87" s="175" t="n">
        <v>0.252</v>
      </c>
      <c r="AO87" s="62"/>
      <c r="AP87" s="141" t="n">
        <v>23</v>
      </c>
      <c r="AQ87" s="176" t="n">
        <v>0.4</v>
      </c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142" t="n">
        <v>39114</v>
      </c>
      <c r="BI87" s="178" t="n">
        <v>0.75</v>
      </c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116"/>
      <c r="CI87" s="117"/>
      <c r="CJ87" s="117"/>
      <c r="CK87" s="117"/>
      <c r="CM87" s="222"/>
      <c r="CN87" s="222"/>
      <c r="CO87" s="179"/>
      <c r="CP87" s="0"/>
      <c r="CQ87" s="0"/>
      <c r="CR87" s="0"/>
      <c r="CS87" s="0"/>
      <c r="CT87" s="0"/>
      <c r="CY87" s="180" t="n">
        <f aca="false">M87</f>
        <v>39114</v>
      </c>
      <c r="CZ87" s="181" t="n">
        <f aca="false">AH87</f>
        <v>0.28</v>
      </c>
      <c r="DA87" s="181" t="n">
        <f aca="false">AI87</f>
        <v>0.35</v>
      </c>
      <c r="DB87" s="181" t="n">
        <f aca="false">AJ87</f>
        <v>0.42</v>
      </c>
      <c r="DD87" s="181" t="n">
        <f aca="false">Z87</f>
        <v>0.16</v>
      </c>
      <c r="DE87" s="181" t="n">
        <f aca="false">AA87</f>
        <v>0.2</v>
      </c>
      <c r="DF87" s="181" t="n">
        <f aca="false">AB87</f>
        <v>0.24</v>
      </c>
      <c r="DH87" s="180" t="n">
        <f aca="false">BH87</f>
        <v>39114</v>
      </c>
      <c r="DI87" s="135" t="n">
        <f aca="false">BI87</f>
        <v>0.75</v>
      </c>
      <c r="DL87" s="180" t="n">
        <f aca="false">M87</f>
        <v>39114</v>
      </c>
      <c r="DM87" s="181" t="n">
        <f aca="false">AL87</f>
        <v>0.168</v>
      </c>
      <c r="DN87" s="181" t="n">
        <f aca="false">AM87</f>
        <v>0.21</v>
      </c>
      <c r="DO87" s="181" t="n">
        <f aca="false">AN87</f>
        <v>0.252</v>
      </c>
      <c r="DQ87" s="181" t="n">
        <f aca="false">AD87</f>
        <v>0.08</v>
      </c>
      <c r="DR87" s="181" t="n">
        <f aca="false">AE87</f>
        <v>0.1</v>
      </c>
      <c r="DS87" s="181" t="n">
        <f aca="false">AF87</f>
        <v>0.12</v>
      </c>
    </row>
    <row r="88" customFormat="false" ht="12.75" hidden="false" customHeight="false" outlineLevel="0" collapsed="false">
      <c r="A88" s="145" t="n">
        <f aca="false">EOMONTH(A87,0)+1</f>
        <v>48214</v>
      </c>
      <c r="B88" s="135" t="n">
        <f aca="false">'Gas Curves'!C92</f>
        <v>0.0593089566067793</v>
      </c>
      <c r="C88" s="135"/>
      <c r="D88" s="173" t="n">
        <v>38261</v>
      </c>
      <c r="E88" s="174" t="n">
        <v>30.0515632390976</v>
      </c>
      <c r="F88" s="174" t="n">
        <v>30.9515632390976</v>
      </c>
      <c r="G88" s="174" t="n">
        <v>31.8515632390976</v>
      </c>
      <c r="H88" s="159"/>
      <c r="I88" s="174" t="n">
        <v>16.540002822876</v>
      </c>
      <c r="J88" s="174" t="n">
        <v>16.540002822876</v>
      </c>
      <c r="K88" s="174" t="n">
        <v>16.540002822876</v>
      </c>
      <c r="L88" s="141"/>
      <c r="M88" s="142" t="n">
        <v>39142</v>
      </c>
      <c r="N88" s="175" t="n">
        <v>25.5</v>
      </c>
      <c r="O88" s="175" t="n">
        <v>25.5</v>
      </c>
      <c r="P88" s="175" t="n">
        <v>25.5</v>
      </c>
      <c r="Q88" s="62"/>
      <c r="R88" s="175" t="n">
        <v>20</v>
      </c>
      <c r="S88" s="175" t="n">
        <v>20</v>
      </c>
      <c r="T88" s="175" t="n">
        <v>20</v>
      </c>
      <c r="U88" s="62"/>
      <c r="V88" s="175" t="n">
        <v>0</v>
      </c>
      <c r="W88" s="175" t="n">
        <v>0</v>
      </c>
      <c r="X88" s="175" t="n">
        <v>0</v>
      </c>
      <c r="Y88" s="62"/>
      <c r="Z88" s="175" t="n">
        <v>0.16</v>
      </c>
      <c r="AA88" s="175" t="n">
        <v>0.2</v>
      </c>
      <c r="AB88" s="175" t="n">
        <v>0.24</v>
      </c>
      <c r="AC88" s="62"/>
      <c r="AD88" s="175" t="n">
        <v>0.08</v>
      </c>
      <c r="AE88" s="175" t="n">
        <v>0.1</v>
      </c>
      <c r="AF88" s="175" t="n">
        <v>0.12</v>
      </c>
      <c r="AG88" s="62"/>
      <c r="AH88" s="175" t="n">
        <v>0.28</v>
      </c>
      <c r="AI88" s="175" t="n">
        <v>0.35</v>
      </c>
      <c r="AJ88" s="175" t="n">
        <v>0.42</v>
      </c>
      <c r="AK88" s="62"/>
      <c r="AL88" s="175" t="n">
        <v>0.168</v>
      </c>
      <c r="AM88" s="175" t="n">
        <v>0.21</v>
      </c>
      <c r="AN88" s="175" t="n">
        <v>0.252</v>
      </c>
      <c r="AO88" s="62"/>
      <c r="AP88" s="141" t="n">
        <v>24</v>
      </c>
      <c r="AQ88" s="176" t="n">
        <v>0.4</v>
      </c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142" t="n">
        <v>39142</v>
      </c>
      <c r="BI88" s="178" t="n">
        <v>0.75</v>
      </c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116"/>
      <c r="CI88" s="117"/>
      <c r="CJ88" s="117"/>
      <c r="CK88" s="117"/>
      <c r="CM88" s="222"/>
      <c r="CN88" s="222"/>
      <c r="CO88" s="179"/>
      <c r="CP88" s="0"/>
      <c r="CQ88" s="0"/>
      <c r="CR88" s="0"/>
      <c r="CS88" s="0"/>
      <c r="CT88" s="0"/>
      <c r="CY88" s="180" t="n">
        <f aca="false">M88</f>
        <v>39142</v>
      </c>
      <c r="CZ88" s="181" t="n">
        <f aca="false">AH88</f>
        <v>0.28</v>
      </c>
      <c r="DA88" s="181" t="n">
        <f aca="false">AI88</f>
        <v>0.35</v>
      </c>
      <c r="DB88" s="181" t="n">
        <f aca="false">AJ88</f>
        <v>0.42</v>
      </c>
      <c r="DD88" s="181" t="n">
        <f aca="false">Z88</f>
        <v>0.16</v>
      </c>
      <c r="DE88" s="181" t="n">
        <f aca="false">AA88</f>
        <v>0.2</v>
      </c>
      <c r="DF88" s="181" t="n">
        <f aca="false">AB88</f>
        <v>0.24</v>
      </c>
      <c r="DH88" s="180" t="n">
        <f aca="false">BH88</f>
        <v>39142</v>
      </c>
      <c r="DI88" s="135" t="n">
        <f aca="false">BI88</f>
        <v>0.75</v>
      </c>
      <c r="DL88" s="180" t="n">
        <f aca="false">M88</f>
        <v>39142</v>
      </c>
      <c r="DM88" s="181" t="n">
        <f aca="false">AL88</f>
        <v>0.168</v>
      </c>
      <c r="DN88" s="181" t="n">
        <f aca="false">AM88</f>
        <v>0.21</v>
      </c>
      <c r="DO88" s="181" t="n">
        <f aca="false">AN88</f>
        <v>0.252</v>
      </c>
      <c r="DQ88" s="181" t="n">
        <f aca="false">AD88</f>
        <v>0.08</v>
      </c>
      <c r="DR88" s="181" t="n">
        <f aca="false">AE88</f>
        <v>0.1</v>
      </c>
      <c r="DS88" s="181" t="n">
        <f aca="false">AF88</f>
        <v>0.12</v>
      </c>
    </row>
    <row r="89" customFormat="false" ht="12.75" hidden="false" customHeight="false" outlineLevel="0" collapsed="false">
      <c r="A89" s="145" t="n">
        <f aca="false">EOMONTH(A88,0)+1</f>
        <v>48245</v>
      </c>
      <c r="B89" s="135" t="n">
        <f aca="false">'Gas Curves'!C93</f>
        <v>0.0594225900993219</v>
      </c>
      <c r="C89" s="135"/>
      <c r="D89" s="173" t="n">
        <v>38292</v>
      </c>
      <c r="E89" s="174" t="n">
        <v>30.1515617132187</v>
      </c>
      <c r="F89" s="174" t="n">
        <v>31.0515617132187</v>
      </c>
      <c r="G89" s="174" t="n">
        <v>31.9515617132187</v>
      </c>
      <c r="H89" s="159"/>
      <c r="I89" s="174" t="n">
        <v>17.5400009155273</v>
      </c>
      <c r="J89" s="174" t="n">
        <v>17.5400009155273</v>
      </c>
      <c r="K89" s="174" t="n">
        <v>17.5400009155273</v>
      </c>
      <c r="L89" s="141"/>
      <c r="M89" s="142" t="n">
        <v>39173</v>
      </c>
      <c r="N89" s="175" t="n">
        <v>22</v>
      </c>
      <c r="O89" s="175" t="n">
        <v>22</v>
      </c>
      <c r="P89" s="175" t="n">
        <v>22</v>
      </c>
      <c r="Q89" s="62"/>
      <c r="R89" s="175" t="n">
        <v>16.4950008392334</v>
      </c>
      <c r="S89" s="175" t="n">
        <v>16.4950008392334</v>
      </c>
      <c r="T89" s="175" t="n">
        <v>16.4950008392334</v>
      </c>
      <c r="U89" s="62"/>
      <c r="V89" s="175" t="n">
        <v>0</v>
      </c>
      <c r="W89" s="175" t="n">
        <v>0</v>
      </c>
      <c r="X89" s="175" t="n">
        <v>0</v>
      </c>
      <c r="Y89" s="62"/>
      <c r="Z89" s="175" t="n">
        <v>0.16</v>
      </c>
      <c r="AA89" s="175" t="n">
        <v>0.2</v>
      </c>
      <c r="AB89" s="175" t="n">
        <v>0.24</v>
      </c>
      <c r="AC89" s="62"/>
      <c r="AD89" s="175" t="n">
        <v>0.08</v>
      </c>
      <c r="AE89" s="175" t="n">
        <v>0.1</v>
      </c>
      <c r="AF89" s="175" t="n">
        <v>0.12</v>
      </c>
      <c r="AG89" s="62"/>
      <c r="AH89" s="175" t="n">
        <v>0.28</v>
      </c>
      <c r="AI89" s="175" t="n">
        <v>0.35</v>
      </c>
      <c r="AJ89" s="175" t="n">
        <v>0.42</v>
      </c>
      <c r="AK89" s="62"/>
      <c r="AL89" s="175" t="n">
        <v>0.168</v>
      </c>
      <c r="AM89" s="175" t="n">
        <v>0.21</v>
      </c>
      <c r="AN89" s="175" t="n">
        <v>0.252</v>
      </c>
      <c r="AO89" s="62"/>
      <c r="AP89" s="141" t="n">
        <v>24</v>
      </c>
      <c r="AQ89" s="176" t="n">
        <v>0.4</v>
      </c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142" t="n">
        <v>39173</v>
      </c>
      <c r="BI89" s="178" t="n">
        <v>0.75</v>
      </c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116"/>
      <c r="CI89" s="117"/>
      <c r="CJ89" s="117"/>
      <c r="CK89" s="117"/>
      <c r="CM89" s="222"/>
      <c r="CN89" s="222"/>
      <c r="CO89" s="179"/>
      <c r="CP89" s="0"/>
      <c r="CQ89" s="0"/>
      <c r="CR89" s="0"/>
      <c r="CS89" s="0"/>
      <c r="CT89" s="0"/>
      <c r="CY89" s="180" t="n">
        <f aca="false">M89</f>
        <v>39173</v>
      </c>
      <c r="CZ89" s="181" t="n">
        <f aca="false">AH89</f>
        <v>0.28</v>
      </c>
      <c r="DA89" s="181" t="n">
        <f aca="false">AI89</f>
        <v>0.35</v>
      </c>
      <c r="DB89" s="181" t="n">
        <f aca="false">AJ89</f>
        <v>0.42</v>
      </c>
      <c r="DD89" s="181" t="n">
        <f aca="false">Z89</f>
        <v>0.16</v>
      </c>
      <c r="DE89" s="181" t="n">
        <f aca="false">AA89</f>
        <v>0.2</v>
      </c>
      <c r="DF89" s="181" t="n">
        <f aca="false">AB89</f>
        <v>0.24</v>
      </c>
      <c r="DH89" s="180" t="n">
        <f aca="false">BH89</f>
        <v>39173</v>
      </c>
      <c r="DI89" s="135" t="n">
        <f aca="false">BI89</f>
        <v>0.75</v>
      </c>
      <c r="DL89" s="180" t="n">
        <f aca="false">M89</f>
        <v>39173</v>
      </c>
      <c r="DM89" s="181" t="n">
        <f aca="false">AL89</f>
        <v>0.168</v>
      </c>
      <c r="DN89" s="181" t="n">
        <f aca="false">AM89</f>
        <v>0.21</v>
      </c>
      <c r="DO89" s="181" t="n">
        <f aca="false">AN89</f>
        <v>0.252</v>
      </c>
      <c r="DQ89" s="181" t="n">
        <f aca="false">AD89</f>
        <v>0.08</v>
      </c>
      <c r="DR89" s="181" t="n">
        <f aca="false">AE89</f>
        <v>0.1</v>
      </c>
      <c r="DS89" s="181" t="n">
        <f aca="false">AF89</f>
        <v>0.12</v>
      </c>
    </row>
    <row r="90" customFormat="false" ht="12.75" hidden="false" customHeight="false" outlineLevel="0" collapsed="false">
      <c r="A90" s="145" t="n">
        <f aca="false">EOMONTH(A89,0)+1</f>
        <v>48274</v>
      </c>
      <c r="B90" s="135" t="n">
        <f aca="false">'Gas Curves'!C94</f>
        <v>0.0595325579994181</v>
      </c>
      <c r="C90" s="135"/>
      <c r="D90" s="173" t="n">
        <v>38322</v>
      </c>
      <c r="E90" s="174" t="n">
        <v>30.2515601873398</v>
      </c>
      <c r="F90" s="174" t="n">
        <v>31.1515601873398</v>
      </c>
      <c r="G90" s="174" t="n">
        <v>32.0515601873398</v>
      </c>
      <c r="H90" s="159"/>
      <c r="I90" s="174" t="n">
        <v>19.7900009155273</v>
      </c>
      <c r="J90" s="174" t="n">
        <v>19.7900009155273</v>
      </c>
      <c r="K90" s="174" t="n">
        <v>19.7900009155273</v>
      </c>
      <c r="L90" s="141"/>
      <c r="M90" s="142" t="n">
        <v>39203</v>
      </c>
      <c r="N90" s="175" t="n">
        <v>22.2900009155273</v>
      </c>
      <c r="O90" s="175" t="n">
        <v>22.2900009155273</v>
      </c>
      <c r="P90" s="175" t="n">
        <v>22.2900009155273</v>
      </c>
      <c r="Q90" s="62"/>
      <c r="R90" s="175" t="n">
        <v>15.7950000762939</v>
      </c>
      <c r="S90" s="175" t="n">
        <v>15.7950000762939</v>
      </c>
      <c r="T90" s="175" t="n">
        <v>15.7950000762939</v>
      </c>
      <c r="U90" s="62"/>
      <c r="V90" s="175" t="n">
        <v>0</v>
      </c>
      <c r="W90" s="175" t="n">
        <v>0</v>
      </c>
      <c r="X90" s="175" t="n">
        <v>0</v>
      </c>
      <c r="Y90" s="62"/>
      <c r="Z90" s="175" t="n">
        <v>0.16</v>
      </c>
      <c r="AA90" s="175" t="n">
        <v>0.2</v>
      </c>
      <c r="AB90" s="175" t="n">
        <v>0.24</v>
      </c>
      <c r="AC90" s="62"/>
      <c r="AD90" s="175" t="n">
        <v>0.08</v>
      </c>
      <c r="AE90" s="175" t="n">
        <v>0.1</v>
      </c>
      <c r="AF90" s="175" t="n">
        <v>0.12</v>
      </c>
      <c r="AG90" s="62"/>
      <c r="AH90" s="175" t="n">
        <v>0.36</v>
      </c>
      <c r="AI90" s="175" t="n">
        <v>0.45</v>
      </c>
      <c r="AJ90" s="175" t="n">
        <v>0.54</v>
      </c>
      <c r="AK90" s="62"/>
      <c r="AL90" s="175" t="n">
        <v>0.216</v>
      </c>
      <c r="AM90" s="175" t="n">
        <v>0.27</v>
      </c>
      <c r="AN90" s="175" t="n">
        <v>0.324</v>
      </c>
      <c r="AO90" s="62"/>
      <c r="AP90" s="141" t="n">
        <v>24</v>
      </c>
      <c r="AQ90" s="176" t="n">
        <v>0.4</v>
      </c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142" t="n">
        <v>39203</v>
      </c>
      <c r="BI90" s="178" t="n">
        <v>0.75</v>
      </c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116"/>
      <c r="CI90" s="117"/>
      <c r="CJ90" s="117"/>
      <c r="CK90" s="117"/>
      <c r="CM90" s="222"/>
      <c r="CN90" s="222"/>
      <c r="CO90" s="179"/>
      <c r="CP90" s="0"/>
      <c r="CQ90" s="0"/>
      <c r="CR90" s="0"/>
      <c r="CS90" s="0"/>
      <c r="CT90" s="0"/>
      <c r="CY90" s="180" t="n">
        <f aca="false">M90</f>
        <v>39203</v>
      </c>
      <c r="CZ90" s="181" t="n">
        <f aca="false">AH90</f>
        <v>0.36</v>
      </c>
      <c r="DA90" s="181" t="n">
        <f aca="false">AI90</f>
        <v>0.45</v>
      </c>
      <c r="DB90" s="181" t="n">
        <f aca="false">AJ90</f>
        <v>0.54</v>
      </c>
      <c r="DD90" s="181" t="n">
        <f aca="false">Z90</f>
        <v>0.16</v>
      </c>
      <c r="DE90" s="181" t="n">
        <f aca="false">AA90</f>
        <v>0.2</v>
      </c>
      <c r="DF90" s="181" t="n">
        <f aca="false">AB90</f>
        <v>0.24</v>
      </c>
      <c r="DH90" s="180" t="n">
        <f aca="false">BH90</f>
        <v>39203</v>
      </c>
      <c r="DI90" s="135" t="n">
        <f aca="false">BI90</f>
        <v>0.75</v>
      </c>
      <c r="DL90" s="180" t="n">
        <f aca="false">M90</f>
        <v>39203</v>
      </c>
      <c r="DM90" s="181" t="n">
        <f aca="false">AL90</f>
        <v>0.216</v>
      </c>
      <c r="DN90" s="181" t="n">
        <f aca="false">AM90</f>
        <v>0.27</v>
      </c>
      <c r="DO90" s="181" t="n">
        <f aca="false">AN90</f>
        <v>0.324</v>
      </c>
      <c r="DQ90" s="181" t="n">
        <f aca="false">AD90</f>
        <v>0.08</v>
      </c>
      <c r="DR90" s="181" t="n">
        <f aca="false">AE90</f>
        <v>0.1</v>
      </c>
      <c r="DS90" s="181" t="n">
        <f aca="false">AF90</f>
        <v>0.12</v>
      </c>
    </row>
    <row r="91" customFormat="false" ht="12.75" hidden="false" customHeight="false" outlineLevel="0" collapsed="false">
      <c r="A91" s="145" t="n">
        <f aca="false">EOMONTH(A90,0)+1</f>
        <v>48305</v>
      </c>
      <c r="B91" s="135" t="n">
        <f aca="false">'Gas Curves'!C95</f>
        <v>0.0596461915004056</v>
      </c>
      <c r="C91" s="135"/>
      <c r="D91" s="173" t="n">
        <v>38353</v>
      </c>
      <c r="E91" s="174" t="n">
        <v>34.7257147652762</v>
      </c>
      <c r="F91" s="174" t="n">
        <v>35.1757147652762</v>
      </c>
      <c r="G91" s="174" t="n">
        <v>35.6257147652762</v>
      </c>
      <c r="H91" s="159"/>
      <c r="I91" s="174" t="n">
        <v>22</v>
      </c>
      <c r="J91" s="174" t="n">
        <v>22</v>
      </c>
      <c r="K91" s="174" t="n">
        <v>22</v>
      </c>
      <c r="L91" s="141"/>
      <c r="M91" s="142" t="n">
        <v>39234</v>
      </c>
      <c r="N91" s="175" t="n">
        <v>29.2900009155273</v>
      </c>
      <c r="O91" s="175" t="n">
        <v>29.2900009155273</v>
      </c>
      <c r="P91" s="175" t="n">
        <v>29.2900009155273</v>
      </c>
      <c r="Q91" s="62"/>
      <c r="R91" s="175" t="n">
        <v>19.7900009155273</v>
      </c>
      <c r="S91" s="175" t="n">
        <v>19.7900009155273</v>
      </c>
      <c r="T91" s="175" t="n">
        <v>19.7900009155273</v>
      </c>
      <c r="U91" s="62"/>
      <c r="V91" s="175" t="n">
        <v>0</v>
      </c>
      <c r="W91" s="175" t="n">
        <v>0</v>
      </c>
      <c r="X91" s="175" t="n">
        <v>0</v>
      </c>
      <c r="Y91" s="62"/>
      <c r="Z91" s="175" t="n">
        <v>0.16</v>
      </c>
      <c r="AA91" s="175" t="n">
        <v>0.2</v>
      </c>
      <c r="AB91" s="175" t="n">
        <v>0.24</v>
      </c>
      <c r="AC91" s="62"/>
      <c r="AD91" s="175" t="n">
        <v>0.08</v>
      </c>
      <c r="AE91" s="175" t="n">
        <v>0.1</v>
      </c>
      <c r="AF91" s="175" t="n">
        <v>0.12</v>
      </c>
      <c r="AG91" s="62"/>
      <c r="AH91" s="175" t="n">
        <v>0.36</v>
      </c>
      <c r="AI91" s="175" t="n">
        <v>0.45</v>
      </c>
      <c r="AJ91" s="175" t="n">
        <v>0.54</v>
      </c>
      <c r="AK91" s="62"/>
      <c r="AL91" s="175" t="n">
        <v>0.216</v>
      </c>
      <c r="AM91" s="175" t="n">
        <v>0.27</v>
      </c>
      <c r="AN91" s="175" t="n">
        <v>0.324</v>
      </c>
      <c r="AO91" s="62"/>
      <c r="AP91" s="141" t="n">
        <v>25</v>
      </c>
      <c r="AQ91" s="176" t="n">
        <v>0.4</v>
      </c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142" t="n">
        <v>39234</v>
      </c>
      <c r="BI91" s="178" t="n">
        <v>0.75</v>
      </c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116"/>
      <c r="CI91" s="117"/>
      <c r="CJ91" s="117"/>
      <c r="CK91" s="117"/>
      <c r="CM91" s="222"/>
      <c r="CN91" s="222"/>
      <c r="CO91" s="179"/>
      <c r="CP91" s="0"/>
      <c r="CQ91" s="0"/>
      <c r="CR91" s="0"/>
      <c r="CS91" s="0"/>
      <c r="CT91" s="0"/>
      <c r="CY91" s="180" t="n">
        <f aca="false">M91</f>
        <v>39234</v>
      </c>
      <c r="CZ91" s="181" t="n">
        <f aca="false">AH91</f>
        <v>0.36</v>
      </c>
      <c r="DA91" s="181" t="n">
        <f aca="false">AI91</f>
        <v>0.45</v>
      </c>
      <c r="DB91" s="181" t="n">
        <f aca="false">AJ91</f>
        <v>0.54</v>
      </c>
      <c r="DD91" s="181" t="n">
        <f aca="false">Z91</f>
        <v>0.16</v>
      </c>
      <c r="DE91" s="181" t="n">
        <f aca="false">AA91</f>
        <v>0.2</v>
      </c>
      <c r="DF91" s="181" t="n">
        <f aca="false">AB91</f>
        <v>0.24</v>
      </c>
      <c r="DH91" s="180" t="n">
        <f aca="false">BH91</f>
        <v>39234</v>
      </c>
      <c r="DI91" s="135" t="n">
        <f aca="false">BI91</f>
        <v>0.75</v>
      </c>
      <c r="DL91" s="180" t="n">
        <f aca="false">M91</f>
        <v>39234</v>
      </c>
      <c r="DM91" s="181" t="n">
        <f aca="false">AL91</f>
        <v>0.216</v>
      </c>
      <c r="DN91" s="181" t="n">
        <f aca="false">AM91</f>
        <v>0.27</v>
      </c>
      <c r="DO91" s="181" t="n">
        <f aca="false">AN91</f>
        <v>0.324</v>
      </c>
      <c r="DQ91" s="181" t="n">
        <f aca="false">AD91</f>
        <v>0.08</v>
      </c>
      <c r="DR91" s="181" t="n">
        <f aca="false">AE91</f>
        <v>0.1</v>
      </c>
      <c r="DS91" s="181" t="n">
        <f aca="false">AF91</f>
        <v>0.12</v>
      </c>
    </row>
    <row r="92" customFormat="false" ht="12.75" hidden="false" customHeight="false" outlineLevel="0" collapsed="false">
      <c r="A92" s="145" t="n">
        <f aca="false">EOMONTH(A91,0)+1</f>
        <v>48335</v>
      </c>
      <c r="B92" s="135" t="n">
        <f aca="false">'Gas Curves'!C96</f>
        <v>0.0597561594086731</v>
      </c>
      <c r="C92" s="135"/>
      <c r="D92" s="173" t="n">
        <v>38384</v>
      </c>
      <c r="E92" s="174" t="n">
        <v>34.1257124764579</v>
      </c>
      <c r="F92" s="174" t="n">
        <v>34.5757124764579</v>
      </c>
      <c r="G92" s="174" t="n">
        <v>35.0257124764579</v>
      </c>
      <c r="H92" s="159"/>
      <c r="I92" s="174" t="n">
        <v>20.5</v>
      </c>
      <c r="J92" s="174" t="n">
        <v>20.5</v>
      </c>
      <c r="K92" s="174" t="n">
        <v>20.5</v>
      </c>
      <c r="L92" s="141"/>
      <c r="M92" s="142" t="n">
        <v>39264</v>
      </c>
      <c r="N92" s="175" t="n">
        <v>35.2900009155273</v>
      </c>
      <c r="O92" s="175" t="n">
        <v>35.2900009155273</v>
      </c>
      <c r="P92" s="175" t="n">
        <v>35.2900009155273</v>
      </c>
      <c r="Q92" s="62"/>
      <c r="R92" s="175" t="n">
        <v>25.7900009155273</v>
      </c>
      <c r="S92" s="175" t="n">
        <v>25.7900009155273</v>
      </c>
      <c r="T92" s="175" t="n">
        <v>25.7900009155273</v>
      </c>
      <c r="U92" s="62"/>
      <c r="V92" s="175" t="n">
        <v>0</v>
      </c>
      <c r="W92" s="175" t="n">
        <v>0</v>
      </c>
      <c r="X92" s="175" t="n">
        <v>0</v>
      </c>
      <c r="Y92" s="62"/>
      <c r="Z92" s="175" t="n">
        <v>0.24</v>
      </c>
      <c r="AA92" s="175" t="n">
        <v>0.3</v>
      </c>
      <c r="AB92" s="175" t="n">
        <v>0.36</v>
      </c>
      <c r="AC92" s="62"/>
      <c r="AD92" s="175" t="n">
        <v>0.12</v>
      </c>
      <c r="AE92" s="175" t="n">
        <v>0.15</v>
      </c>
      <c r="AF92" s="175" t="n">
        <v>0.18</v>
      </c>
      <c r="AG92" s="62"/>
      <c r="AH92" s="175" t="n">
        <v>0.48</v>
      </c>
      <c r="AI92" s="175" t="n">
        <v>0.6</v>
      </c>
      <c r="AJ92" s="175" t="n">
        <v>0.72</v>
      </c>
      <c r="AK92" s="62"/>
      <c r="AL92" s="175" t="n">
        <v>0.288</v>
      </c>
      <c r="AM92" s="175" t="n">
        <v>0.36</v>
      </c>
      <c r="AN92" s="175" t="n">
        <v>0.432</v>
      </c>
      <c r="AO92" s="62"/>
      <c r="AP92" s="141" t="n">
        <v>25</v>
      </c>
      <c r="AQ92" s="176" t="n">
        <v>0.4</v>
      </c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142" t="n">
        <v>39264</v>
      </c>
      <c r="BI92" s="178" t="n">
        <v>0.75</v>
      </c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0"/>
      <c r="CM92" s="230"/>
      <c r="CN92" s="230"/>
      <c r="CO92" s="179"/>
      <c r="CP92" s="0"/>
      <c r="CQ92" s="0"/>
      <c r="CR92" s="0"/>
      <c r="CS92" s="0"/>
      <c r="CT92" s="0"/>
      <c r="CY92" s="180" t="n">
        <f aca="false">M92</f>
        <v>39264</v>
      </c>
      <c r="CZ92" s="181" t="n">
        <f aca="false">AH92</f>
        <v>0.48</v>
      </c>
      <c r="DA92" s="181" t="n">
        <f aca="false">AI92</f>
        <v>0.6</v>
      </c>
      <c r="DB92" s="181" t="n">
        <f aca="false">AJ92</f>
        <v>0.72</v>
      </c>
      <c r="DD92" s="181" t="n">
        <f aca="false">Z92</f>
        <v>0.24</v>
      </c>
      <c r="DE92" s="181" t="n">
        <f aca="false">AA92</f>
        <v>0.3</v>
      </c>
      <c r="DF92" s="181" t="n">
        <f aca="false">AB92</f>
        <v>0.36</v>
      </c>
      <c r="DH92" s="180" t="n">
        <f aca="false">BH92</f>
        <v>39264</v>
      </c>
      <c r="DI92" s="135" t="n">
        <f aca="false">BI92</f>
        <v>0.75</v>
      </c>
      <c r="DL92" s="180" t="n">
        <f aca="false">M92</f>
        <v>39264</v>
      </c>
      <c r="DM92" s="181" t="n">
        <f aca="false">AL92</f>
        <v>0.288</v>
      </c>
      <c r="DN92" s="181" t="n">
        <f aca="false">AM92</f>
        <v>0.36</v>
      </c>
      <c r="DO92" s="181" t="n">
        <f aca="false">AN92</f>
        <v>0.432</v>
      </c>
      <c r="DQ92" s="181" t="n">
        <f aca="false">AD92</f>
        <v>0.12</v>
      </c>
      <c r="DR92" s="181" t="n">
        <f aca="false">AE92</f>
        <v>0.15</v>
      </c>
      <c r="DS92" s="181" t="n">
        <f aca="false">AF92</f>
        <v>0.18</v>
      </c>
    </row>
    <row r="93" customFormat="false" ht="12.75" hidden="false" customHeight="false" outlineLevel="0" collapsed="false">
      <c r="A93" s="145" t="n">
        <f aca="false">EOMONTH(A92,0)+1</f>
        <v>48366</v>
      </c>
      <c r="B93" s="135" t="n">
        <f aca="false">'Gas Curves'!C97</f>
        <v>0.0598697929181045</v>
      </c>
      <c r="C93" s="135"/>
      <c r="D93" s="173" t="n">
        <v>38412</v>
      </c>
      <c r="E93" s="174" t="n">
        <v>32.6376773213231</v>
      </c>
      <c r="F93" s="174" t="n">
        <v>33.2876773213231</v>
      </c>
      <c r="G93" s="174" t="n">
        <v>33.9376773213231</v>
      </c>
      <c r="H93" s="159"/>
      <c r="I93" s="174" t="n">
        <v>21.5</v>
      </c>
      <c r="J93" s="174" t="n">
        <v>21.5</v>
      </c>
      <c r="K93" s="174" t="n">
        <v>21.5</v>
      </c>
      <c r="L93" s="141"/>
      <c r="M93" s="142" t="n">
        <v>39295</v>
      </c>
      <c r="N93" s="175" t="n">
        <v>33.2900047302246</v>
      </c>
      <c r="O93" s="175" t="n">
        <v>33.2900047302246</v>
      </c>
      <c r="P93" s="175" t="n">
        <v>33.2900047302246</v>
      </c>
      <c r="Q93" s="62"/>
      <c r="R93" s="175" t="n">
        <v>25.7900009155273</v>
      </c>
      <c r="S93" s="175" t="n">
        <v>25.7900009155273</v>
      </c>
      <c r="T93" s="175" t="n">
        <v>25.7900009155273</v>
      </c>
      <c r="U93" s="62"/>
      <c r="V93" s="175" t="n">
        <v>0</v>
      </c>
      <c r="W93" s="175" t="n">
        <v>0</v>
      </c>
      <c r="X93" s="175" t="n">
        <v>0</v>
      </c>
      <c r="Y93" s="62"/>
      <c r="Z93" s="175" t="n">
        <v>0.24</v>
      </c>
      <c r="AA93" s="175" t="n">
        <v>0.3</v>
      </c>
      <c r="AB93" s="175" t="n">
        <v>0.36</v>
      </c>
      <c r="AC93" s="62"/>
      <c r="AD93" s="175" t="n">
        <v>0.12</v>
      </c>
      <c r="AE93" s="175" t="n">
        <v>0.15</v>
      </c>
      <c r="AF93" s="175" t="n">
        <v>0.18</v>
      </c>
      <c r="AG93" s="62"/>
      <c r="AH93" s="175" t="n">
        <v>0.48</v>
      </c>
      <c r="AI93" s="175" t="n">
        <v>0.6</v>
      </c>
      <c r="AJ93" s="175" t="n">
        <v>0.72</v>
      </c>
      <c r="AK93" s="62"/>
      <c r="AL93" s="175" t="n">
        <v>0.288</v>
      </c>
      <c r="AM93" s="175" t="n">
        <v>0.36</v>
      </c>
      <c r="AN93" s="175" t="n">
        <v>0.432</v>
      </c>
      <c r="AO93" s="62"/>
      <c r="AP93" s="141" t="n">
        <v>25</v>
      </c>
      <c r="AQ93" s="176" t="n">
        <v>0.4</v>
      </c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142" t="n">
        <v>39295</v>
      </c>
      <c r="BI93" s="178" t="n">
        <v>0.75</v>
      </c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0"/>
      <c r="CM93" s="230"/>
      <c r="CN93" s="230"/>
      <c r="CO93" s="179"/>
      <c r="CP93" s="0"/>
      <c r="CQ93" s="0"/>
      <c r="CR93" s="0"/>
      <c r="CS93" s="0"/>
      <c r="CT93" s="0"/>
      <c r="CY93" s="180" t="n">
        <f aca="false">M93</f>
        <v>39295</v>
      </c>
      <c r="CZ93" s="181" t="n">
        <f aca="false">AH93</f>
        <v>0.48</v>
      </c>
      <c r="DA93" s="181" t="n">
        <f aca="false">AI93</f>
        <v>0.6</v>
      </c>
      <c r="DB93" s="181" t="n">
        <f aca="false">AJ93</f>
        <v>0.72</v>
      </c>
      <c r="DD93" s="181" t="n">
        <f aca="false">Z93</f>
        <v>0.24</v>
      </c>
      <c r="DE93" s="181" t="n">
        <f aca="false">AA93</f>
        <v>0.3</v>
      </c>
      <c r="DF93" s="181" t="n">
        <f aca="false">AB93</f>
        <v>0.36</v>
      </c>
      <c r="DH93" s="180" t="n">
        <f aca="false">BH93</f>
        <v>39295</v>
      </c>
      <c r="DI93" s="135" t="n">
        <f aca="false">BI93</f>
        <v>0.75</v>
      </c>
      <c r="DL93" s="180" t="n">
        <f aca="false">M93</f>
        <v>39295</v>
      </c>
      <c r="DM93" s="181" t="n">
        <f aca="false">AL93</f>
        <v>0.288</v>
      </c>
      <c r="DN93" s="181" t="n">
        <f aca="false">AM93</f>
        <v>0.36</v>
      </c>
      <c r="DO93" s="181" t="n">
        <f aca="false">AN93</f>
        <v>0.432</v>
      </c>
      <c r="DQ93" s="181" t="n">
        <f aca="false">AD93</f>
        <v>0.12</v>
      </c>
      <c r="DR93" s="181" t="n">
        <f aca="false">AE93</f>
        <v>0.15</v>
      </c>
      <c r="DS93" s="181" t="n">
        <f aca="false">AF93</f>
        <v>0.18</v>
      </c>
    </row>
    <row r="94" customFormat="false" ht="12.75" hidden="false" customHeight="false" outlineLevel="0" collapsed="false">
      <c r="A94" s="145" t="n">
        <f aca="false">EOMONTH(A93,0)+1</f>
        <v>48396</v>
      </c>
      <c r="B94" s="135" t="n">
        <f aca="false">'Gas Curves'!C98</f>
        <v>0.0599834264318262</v>
      </c>
      <c r="C94" s="135"/>
      <c r="D94" s="173" t="n">
        <v>38443</v>
      </c>
      <c r="E94" s="174" t="n">
        <v>32.3376780842626</v>
      </c>
      <c r="F94" s="174" t="n">
        <v>33.4876780842626</v>
      </c>
      <c r="G94" s="174" t="n">
        <v>34.6376780842626</v>
      </c>
      <c r="H94" s="159"/>
      <c r="I94" s="174" t="n">
        <v>18.5</v>
      </c>
      <c r="J94" s="174" t="n">
        <v>18.5</v>
      </c>
      <c r="K94" s="174" t="n">
        <v>18.5</v>
      </c>
      <c r="L94" s="141"/>
      <c r="M94" s="142" t="n">
        <v>39326</v>
      </c>
      <c r="N94" s="175" t="n">
        <v>25.2900009155273</v>
      </c>
      <c r="O94" s="175" t="n">
        <v>25.2900009155273</v>
      </c>
      <c r="P94" s="175" t="n">
        <v>25.2900009155273</v>
      </c>
      <c r="Q94" s="62"/>
      <c r="R94" s="175" t="n">
        <v>19.7900009155273</v>
      </c>
      <c r="S94" s="175" t="n">
        <v>19.7900009155273</v>
      </c>
      <c r="T94" s="175" t="n">
        <v>19.7900009155273</v>
      </c>
      <c r="U94" s="62"/>
      <c r="V94" s="175" t="n">
        <v>0</v>
      </c>
      <c r="W94" s="175" t="n">
        <v>0</v>
      </c>
      <c r="X94" s="175" t="n">
        <v>0</v>
      </c>
      <c r="Y94" s="62"/>
      <c r="Z94" s="175" t="n">
        <v>0.16</v>
      </c>
      <c r="AA94" s="175" t="n">
        <v>0.2</v>
      </c>
      <c r="AB94" s="175" t="n">
        <v>0.24</v>
      </c>
      <c r="AC94" s="62"/>
      <c r="AD94" s="175" t="n">
        <v>0.08</v>
      </c>
      <c r="AE94" s="175" t="n">
        <v>0.1</v>
      </c>
      <c r="AF94" s="175" t="n">
        <v>0.12</v>
      </c>
      <c r="AG94" s="62"/>
      <c r="AH94" s="175" t="n">
        <v>0.36</v>
      </c>
      <c r="AI94" s="175" t="n">
        <v>0.45</v>
      </c>
      <c r="AJ94" s="175" t="n">
        <v>0.54</v>
      </c>
      <c r="AK94" s="62"/>
      <c r="AL94" s="175" t="n">
        <v>0.216</v>
      </c>
      <c r="AM94" s="175" t="n">
        <v>0.27</v>
      </c>
      <c r="AN94" s="175" t="n">
        <v>0.324</v>
      </c>
      <c r="AO94" s="62"/>
      <c r="AP94" s="141" t="n">
        <v>26</v>
      </c>
      <c r="AQ94" s="176" t="n">
        <v>0.4</v>
      </c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142" t="n">
        <v>39326</v>
      </c>
      <c r="BI94" s="178" t="n">
        <v>0.75</v>
      </c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0"/>
      <c r="CM94" s="230"/>
      <c r="CN94" s="230"/>
      <c r="CO94" s="179"/>
      <c r="CP94" s="0"/>
      <c r="CQ94" s="0"/>
      <c r="CR94" s="0"/>
      <c r="CS94" s="0"/>
      <c r="CT94" s="0"/>
      <c r="CY94" s="180" t="n">
        <f aca="false">M94</f>
        <v>39326</v>
      </c>
      <c r="CZ94" s="181" t="n">
        <f aca="false">AH94</f>
        <v>0.36</v>
      </c>
      <c r="DA94" s="181" t="n">
        <f aca="false">AI94</f>
        <v>0.45</v>
      </c>
      <c r="DB94" s="181" t="n">
        <f aca="false">AJ94</f>
        <v>0.54</v>
      </c>
      <c r="DD94" s="181" t="n">
        <f aca="false">Z94</f>
        <v>0.16</v>
      </c>
      <c r="DE94" s="181" t="n">
        <f aca="false">AA94</f>
        <v>0.2</v>
      </c>
      <c r="DF94" s="181" t="n">
        <f aca="false">AB94</f>
        <v>0.24</v>
      </c>
      <c r="DH94" s="180" t="n">
        <f aca="false">BH94</f>
        <v>39326</v>
      </c>
      <c r="DI94" s="135" t="n">
        <f aca="false">BI94</f>
        <v>0.75</v>
      </c>
      <c r="DL94" s="180" t="n">
        <f aca="false">M94</f>
        <v>39326</v>
      </c>
      <c r="DM94" s="181" t="n">
        <f aca="false">AL94</f>
        <v>0.216</v>
      </c>
      <c r="DN94" s="181" t="n">
        <f aca="false">AM94</f>
        <v>0.27</v>
      </c>
      <c r="DO94" s="181" t="n">
        <f aca="false">AN94</f>
        <v>0.324</v>
      </c>
      <c r="DQ94" s="181" t="n">
        <f aca="false">AD94</f>
        <v>0.08</v>
      </c>
      <c r="DR94" s="181" t="n">
        <f aca="false">AE94</f>
        <v>0.1</v>
      </c>
      <c r="DS94" s="181" t="n">
        <f aca="false">AF94</f>
        <v>0.12</v>
      </c>
    </row>
    <row r="95" customFormat="false" ht="12.75" hidden="false" customHeight="false" outlineLevel="0" collapsed="false">
      <c r="A95" s="145" t="n">
        <f aca="false">EOMONTH(A94,0)+1</f>
        <v>48427</v>
      </c>
      <c r="B95" s="135" t="n">
        <f aca="false">'Gas Curves'!C99</f>
        <v>0.0600897287549986</v>
      </c>
      <c r="C95" s="135"/>
      <c r="D95" s="173" t="n">
        <v>38473</v>
      </c>
      <c r="E95" s="174" t="n">
        <v>34.3650032043457</v>
      </c>
      <c r="F95" s="174" t="n">
        <v>36.2650032043457</v>
      </c>
      <c r="G95" s="174" t="n">
        <v>38.1650032043457</v>
      </c>
      <c r="H95" s="159"/>
      <c r="I95" s="174" t="n">
        <v>19.0400009155273</v>
      </c>
      <c r="J95" s="174" t="n">
        <v>19.0400009155273</v>
      </c>
      <c r="K95" s="174" t="n">
        <v>19.0400009155273</v>
      </c>
      <c r="L95" s="141"/>
      <c r="M95" s="142" t="n">
        <v>39356</v>
      </c>
      <c r="N95" s="175" t="n">
        <v>20.2860012054443</v>
      </c>
      <c r="O95" s="175" t="n">
        <v>20.2860012054443</v>
      </c>
      <c r="P95" s="175" t="n">
        <v>20.2860012054443</v>
      </c>
      <c r="Q95" s="62"/>
      <c r="R95" s="175" t="n">
        <v>14.7865009307861</v>
      </c>
      <c r="S95" s="175" t="n">
        <v>14.7865009307861</v>
      </c>
      <c r="T95" s="175" t="n">
        <v>14.7865009307861</v>
      </c>
      <c r="U95" s="62"/>
      <c r="V95" s="175" t="n">
        <v>0</v>
      </c>
      <c r="W95" s="175" t="n">
        <v>0</v>
      </c>
      <c r="X95" s="175" t="n">
        <v>0</v>
      </c>
      <c r="Y95" s="62"/>
      <c r="Z95" s="175" t="n">
        <v>0.16</v>
      </c>
      <c r="AA95" s="175" t="n">
        <v>0.2</v>
      </c>
      <c r="AB95" s="175" t="n">
        <v>0.24</v>
      </c>
      <c r="AC95" s="62"/>
      <c r="AD95" s="175" t="n">
        <v>0.08</v>
      </c>
      <c r="AE95" s="175" t="n">
        <v>0.1</v>
      </c>
      <c r="AF95" s="175" t="n">
        <v>0.12</v>
      </c>
      <c r="AG95" s="62"/>
      <c r="AH95" s="175" t="n">
        <v>0.36</v>
      </c>
      <c r="AI95" s="175" t="n">
        <v>0.45</v>
      </c>
      <c r="AJ95" s="175" t="n">
        <v>0.54</v>
      </c>
      <c r="AK95" s="62"/>
      <c r="AL95" s="175" t="n">
        <v>0.216</v>
      </c>
      <c r="AM95" s="175" t="n">
        <v>0.27</v>
      </c>
      <c r="AN95" s="175" t="n">
        <v>0.324</v>
      </c>
      <c r="AO95" s="62"/>
      <c r="AP95" s="141" t="n">
        <v>26</v>
      </c>
      <c r="AQ95" s="176" t="n">
        <v>0.4</v>
      </c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142" t="n">
        <v>39356</v>
      </c>
      <c r="BI95" s="178" t="n">
        <v>0.75</v>
      </c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0"/>
      <c r="CM95" s="230"/>
      <c r="CN95" s="230"/>
      <c r="CO95" s="179"/>
      <c r="CP95" s="0"/>
      <c r="CQ95" s="0"/>
      <c r="CR95" s="0"/>
      <c r="CS95" s="0"/>
      <c r="CT95" s="0"/>
      <c r="CY95" s="180" t="n">
        <f aca="false">M95</f>
        <v>39356</v>
      </c>
      <c r="CZ95" s="181" t="n">
        <f aca="false">AH95</f>
        <v>0.36</v>
      </c>
      <c r="DA95" s="181" t="n">
        <f aca="false">AI95</f>
        <v>0.45</v>
      </c>
      <c r="DB95" s="181" t="n">
        <f aca="false">AJ95</f>
        <v>0.54</v>
      </c>
      <c r="DD95" s="181" t="n">
        <f aca="false">Z95</f>
        <v>0.16</v>
      </c>
      <c r="DE95" s="181" t="n">
        <f aca="false">AA95</f>
        <v>0.2</v>
      </c>
      <c r="DF95" s="181" t="n">
        <f aca="false">AB95</f>
        <v>0.24</v>
      </c>
      <c r="DH95" s="180" t="n">
        <f aca="false">BH95</f>
        <v>39356</v>
      </c>
      <c r="DI95" s="135" t="n">
        <f aca="false">BI95</f>
        <v>0.75</v>
      </c>
      <c r="DL95" s="180" t="n">
        <f aca="false">M95</f>
        <v>39356</v>
      </c>
      <c r="DM95" s="181" t="n">
        <f aca="false">AL95</f>
        <v>0.216</v>
      </c>
      <c r="DN95" s="181" t="n">
        <f aca="false">AM95</f>
        <v>0.27</v>
      </c>
      <c r="DO95" s="181" t="n">
        <f aca="false">AN95</f>
        <v>0.324</v>
      </c>
      <c r="DQ95" s="181" t="n">
        <f aca="false">AD95</f>
        <v>0.08</v>
      </c>
      <c r="DR95" s="181" t="n">
        <f aca="false">AE95</f>
        <v>0.1</v>
      </c>
      <c r="DS95" s="181" t="n">
        <f aca="false">AF95</f>
        <v>0.12</v>
      </c>
    </row>
    <row r="96" customFormat="false" ht="12.75" hidden="false" customHeight="false" outlineLevel="0" collapsed="false">
      <c r="A96" s="145" t="n">
        <f aca="false">EOMONTH(A95,0)+1</f>
        <v>48458</v>
      </c>
      <c r="B96" s="135" t="n">
        <f aca="false">'Gas Curves'!C100</f>
        <v>0.0602033622770244</v>
      </c>
      <c r="C96" s="135"/>
      <c r="D96" s="173" t="n">
        <v>38504</v>
      </c>
      <c r="E96" s="174" t="n">
        <v>37.8750038146973</v>
      </c>
      <c r="F96" s="174" t="n">
        <v>42.3750038146973</v>
      </c>
      <c r="G96" s="174" t="n">
        <v>46.8750038146973</v>
      </c>
      <c r="H96" s="159"/>
      <c r="I96" s="174" t="n">
        <v>22.0400009155273</v>
      </c>
      <c r="J96" s="174" t="n">
        <v>22.0400009155273</v>
      </c>
      <c r="K96" s="174" t="n">
        <v>22.0400009155273</v>
      </c>
      <c r="L96" s="141"/>
      <c r="M96" s="142" t="n">
        <v>39387</v>
      </c>
      <c r="N96" s="175" t="n">
        <v>22.2900009155273</v>
      </c>
      <c r="O96" s="175" t="n">
        <v>22.2900009155273</v>
      </c>
      <c r="P96" s="175" t="n">
        <v>22.2900009155273</v>
      </c>
      <c r="Q96" s="62"/>
      <c r="R96" s="175" t="n">
        <v>14.7900009155273</v>
      </c>
      <c r="S96" s="175" t="n">
        <v>14.7900009155273</v>
      </c>
      <c r="T96" s="175" t="n">
        <v>14.7900009155273</v>
      </c>
      <c r="U96" s="62"/>
      <c r="V96" s="175" t="n">
        <v>0</v>
      </c>
      <c r="W96" s="175" t="n">
        <v>0</v>
      </c>
      <c r="X96" s="175" t="n">
        <v>0</v>
      </c>
      <c r="Y96" s="62"/>
      <c r="Z96" s="175" t="n">
        <v>0.16</v>
      </c>
      <c r="AA96" s="175" t="n">
        <v>0.2</v>
      </c>
      <c r="AB96" s="175" t="n">
        <v>0.24</v>
      </c>
      <c r="AC96" s="62"/>
      <c r="AD96" s="175" t="n">
        <v>0.08</v>
      </c>
      <c r="AE96" s="175" t="n">
        <v>0.1</v>
      </c>
      <c r="AF96" s="175" t="n">
        <v>0.12</v>
      </c>
      <c r="AG96" s="62"/>
      <c r="AH96" s="175" t="n">
        <v>0.28</v>
      </c>
      <c r="AI96" s="175" t="n">
        <v>0.35</v>
      </c>
      <c r="AJ96" s="175" t="n">
        <v>0.42</v>
      </c>
      <c r="AK96" s="62"/>
      <c r="AL96" s="175" t="n">
        <v>0.168</v>
      </c>
      <c r="AM96" s="175" t="n">
        <v>0.21</v>
      </c>
      <c r="AN96" s="175" t="n">
        <v>0.252</v>
      </c>
      <c r="AO96" s="62"/>
      <c r="AP96" s="141" t="n">
        <v>26</v>
      </c>
      <c r="AQ96" s="176" t="n">
        <v>0.4</v>
      </c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142" t="n">
        <v>39387</v>
      </c>
      <c r="BI96" s="178" t="n">
        <v>0.75</v>
      </c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0"/>
      <c r="CM96" s="230"/>
      <c r="CN96" s="230"/>
      <c r="CO96" s="179"/>
      <c r="CP96" s="0"/>
      <c r="CQ96" s="0"/>
      <c r="CR96" s="0"/>
      <c r="CS96" s="0"/>
      <c r="CT96" s="0"/>
      <c r="CY96" s="180" t="n">
        <f aca="false">M96</f>
        <v>39387</v>
      </c>
      <c r="CZ96" s="181" t="n">
        <f aca="false">AH96</f>
        <v>0.28</v>
      </c>
      <c r="DA96" s="181" t="n">
        <f aca="false">AI96</f>
        <v>0.35</v>
      </c>
      <c r="DB96" s="181" t="n">
        <f aca="false">AJ96</f>
        <v>0.42</v>
      </c>
      <c r="DD96" s="181" t="n">
        <f aca="false">Z96</f>
        <v>0.16</v>
      </c>
      <c r="DE96" s="181" t="n">
        <f aca="false">AA96</f>
        <v>0.2</v>
      </c>
      <c r="DF96" s="181" t="n">
        <f aca="false">AB96</f>
        <v>0.24</v>
      </c>
      <c r="DH96" s="180" t="n">
        <f aca="false">BH96</f>
        <v>39387</v>
      </c>
      <c r="DI96" s="135" t="n">
        <f aca="false">BI96</f>
        <v>0.75</v>
      </c>
      <c r="DL96" s="180" t="n">
        <f aca="false">M96</f>
        <v>39387</v>
      </c>
      <c r="DM96" s="181" t="n">
        <f aca="false">AL96</f>
        <v>0.168</v>
      </c>
      <c r="DN96" s="181" t="n">
        <f aca="false">AM96</f>
        <v>0.21</v>
      </c>
      <c r="DO96" s="181" t="n">
        <f aca="false">AN96</f>
        <v>0.252</v>
      </c>
      <c r="DQ96" s="181" t="n">
        <f aca="false">AD96</f>
        <v>0.08</v>
      </c>
      <c r="DR96" s="181" t="n">
        <f aca="false">AE96</f>
        <v>0.1</v>
      </c>
      <c r="DS96" s="181" t="n">
        <f aca="false">AF96</f>
        <v>0.12</v>
      </c>
    </row>
    <row r="97" customFormat="false" ht="12.75" hidden="false" customHeight="false" outlineLevel="0" collapsed="false">
      <c r="A97" s="145" t="n">
        <f aca="false">EOMONTH(A96,0)+1</f>
        <v>48488</v>
      </c>
      <c r="B97" s="135" t="n">
        <f aca="false">'Gas Curves'!C101</f>
        <v>0.0602970878949551</v>
      </c>
      <c r="C97" s="135"/>
      <c r="D97" s="173" t="n">
        <v>38534</v>
      </c>
      <c r="E97" s="174" t="n">
        <v>42.5</v>
      </c>
      <c r="F97" s="174" t="n">
        <v>50.5</v>
      </c>
      <c r="G97" s="174" t="n">
        <v>58.5</v>
      </c>
      <c r="H97" s="159"/>
      <c r="I97" s="174" t="n">
        <v>22.5400009155273</v>
      </c>
      <c r="J97" s="174" t="n">
        <v>22.5400009155273</v>
      </c>
      <c r="K97" s="174" t="n">
        <v>22.5400009155273</v>
      </c>
      <c r="L97" s="141"/>
      <c r="M97" s="142" t="n">
        <v>39417</v>
      </c>
      <c r="N97" s="175" t="n">
        <v>27.2900009155273</v>
      </c>
      <c r="O97" s="175" t="n">
        <v>27.2900009155273</v>
      </c>
      <c r="P97" s="175" t="n">
        <v>27.2900009155273</v>
      </c>
      <c r="Q97" s="62"/>
      <c r="R97" s="175" t="n">
        <v>21.7900009155273</v>
      </c>
      <c r="S97" s="175" t="n">
        <v>21.7900009155273</v>
      </c>
      <c r="T97" s="175" t="n">
        <v>21.7900009155273</v>
      </c>
      <c r="U97" s="62"/>
      <c r="V97" s="175" t="n">
        <v>0</v>
      </c>
      <c r="W97" s="175" t="n">
        <v>0</v>
      </c>
      <c r="X97" s="175" t="n">
        <v>0</v>
      </c>
      <c r="Y97" s="62"/>
      <c r="Z97" s="175" t="n">
        <v>0.16</v>
      </c>
      <c r="AA97" s="175" t="n">
        <v>0.2</v>
      </c>
      <c r="AB97" s="175" t="n">
        <v>0.24</v>
      </c>
      <c r="AC97" s="62"/>
      <c r="AD97" s="175" t="n">
        <v>0.08</v>
      </c>
      <c r="AE97" s="175" t="n">
        <v>0.1</v>
      </c>
      <c r="AF97" s="175" t="n">
        <v>0.12</v>
      </c>
      <c r="AG97" s="62"/>
      <c r="AH97" s="175" t="n">
        <v>0.28</v>
      </c>
      <c r="AI97" s="175" t="n">
        <v>0.35</v>
      </c>
      <c r="AJ97" s="175" t="n">
        <v>0.42</v>
      </c>
      <c r="AK97" s="62"/>
      <c r="AL97" s="175" t="n">
        <v>0.168</v>
      </c>
      <c r="AM97" s="175" t="n">
        <v>0.21</v>
      </c>
      <c r="AN97" s="175" t="n">
        <v>0.252</v>
      </c>
      <c r="AO97" s="62"/>
      <c r="AP97" s="141" t="n">
        <v>27</v>
      </c>
      <c r="AQ97" s="176" t="n">
        <v>0.4</v>
      </c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142" t="n">
        <v>39417</v>
      </c>
      <c r="BI97" s="178" t="n">
        <v>0.75</v>
      </c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0"/>
      <c r="CM97" s="230"/>
      <c r="CN97" s="230"/>
      <c r="CO97" s="179"/>
      <c r="CP97" s="0"/>
      <c r="CQ97" s="0"/>
      <c r="CR97" s="0"/>
      <c r="CS97" s="0"/>
      <c r="CT97" s="0"/>
      <c r="CY97" s="180" t="n">
        <f aca="false">M97</f>
        <v>39417</v>
      </c>
      <c r="CZ97" s="181" t="n">
        <f aca="false">AH97</f>
        <v>0.28</v>
      </c>
      <c r="DA97" s="181" t="n">
        <f aca="false">AI97</f>
        <v>0.35</v>
      </c>
      <c r="DB97" s="181" t="n">
        <f aca="false">AJ97</f>
        <v>0.42</v>
      </c>
      <c r="DD97" s="181" t="n">
        <f aca="false">Z97</f>
        <v>0.16</v>
      </c>
      <c r="DE97" s="181" t="n">
        <f aca="false">AA97</f>
        <v>0.2</v>
      </c>
      <c r="DF97" s="181" t="n">
        <f aca="false">AB97</f>
        <v>0.24</v>
      </c>
      <c r="DH97" s="180" t="n">
        <f aca="false">BH97</f>
        <v>39417</v>
      </c>
      <c r="DI97" s="135" t="n">
        <f aca="false">BI97</f>
        <v>0.75</v>
      </c>
      <c r="DL97" s="180" t="n">
        <f aca="false">M97</f>
        <v>39417</v>
      </c>
      <c r="DM97" s="181" t="n">
        <f aca="false">AL97</f>
        <v>0.168</v>
      </c>
      <c r="DN97" s="181" t="n">
        <f aca="false">AM97</f>
        <v>0.21</v>
      </c>
      <c r="DO97" s="181" t="n">
        <f aca="false">AN97</f>
        <v>0.252</v>
      </c>
      <c r="DQ97" s="181" t="n">
        <f aca="false">AD97</f>
        <v>0.08</v>
      </c>
      <c r="DR97" s="181" t="n">
        <f aca="false">AE97</f>
        <v>0.1</v>
      </c>
      <c r="DS97" s="181" t="n">
        <f aca="false">AF97</f>
        <v>0.12</v>
      </c>
    </row>
    <row r="98" customFormat="false" ht="12.75" hidden="false" customHeight="false" outlineLevel="0" collapsed="false">
      <c r="A98" s="145" t="n">
        <f aca="false">EOMONTH(A97,0)+1</f>
        <v>48519</v>
      </c>
      <c r="B98" s="135" t="n">
        <f aca="false">'Gas Curves'!C102</f>
        <v>0.0603719897597341</v>
      </c>
      <c r="C98" s="135"/>
      <c r="D98" s="173" t="n">
        <v>38565</v>
      </c>
      <c r="E98" s="174" t="n">
        <v>42.5</v>
      </c>
      <c r="F98" s="174" t="n">
        <v>50.5</v>
      </c>
      <c r="G98" s="174" t="n">
        <v>58.5</v>
      </c>
      <c r="H98" s="159"/>
      <c r="I98" s="174" t="n">
        <v>23.5400009155273</v>
      </c>
      <c r="J98" s="174" t="n">
        <v>23.5400009155273</v>
      </c>
      <c r="K98" s="174" t="n">
        <v>23.5400009155273</v>
      </c>
      <c r="L98" s="141"/>
      <c r="M98" s="142" t="n">
        <v>39448</v>
      </c>
      <c r="N98" s="175" t="n">
        <v>35.75</v>
      </c>
      <c r="O98" s="175" t="n">
        <v>35.75</v>
      </c>
      <c r="P98" s="175" t="n">
        <v>35.75</v>
      </c>
      <c r="Q98" s="62"/>
      <c r="R98" s="175" t="n">
        <v>25.25</v>
      </c>
      <c r="S98" s="175" t="n">
        <v>25.25</v>
      </c>
      <c r="T98" s="175" t="n">
        <v>25.25</v>
      </c>
      <c r="U98" s="62"/>
      <c r="V98" s="175" t="n">
        <v>0</v>
      </c>
      <c r="W98" s="175" t="n">
        <v>0</v>
      </c>
      <c r="X98" s="175" t="n">
        <v>0</v>
      </c>
      <c r="Y98" s="62"/>
      <c r="Z98" s="175" t="n">
        <v>0.16</v>
      </c>
      <c r="AA98" s="175" t="n">
        <v>0.2</v>
      </c>
      <c r="AB98" s="175" t="n">
        <v>0.24</v>
      </c>
      <c r="AC98" s="62"/>
      <c r="AD98" s="175" t="n">
        <v>0.08</v>
      </c>
      <c r="AE98" s="175" t="n">
        <v>0.1</v>
      </c>
      <c r="AF98" s="175" t="n">
        <v>0.12</v>
      </c>
      <c r="AG98" s="62"/>
      <c r="AH98" s="175" t="n">
        <v>0.28</v>
      </c>
      <c r="AI98" s="175" t="n">
        <v>0.35</v>
      </c>
      <c r="AJ98" s="175" t="n">
        <v>0.42</v>
      </c>
      <c r="AK98" s="62"/>
      <c r="AL98" s="175" t="n">
        <v>0.168</v>
      </c>
      <c r="AM98" s="175" t="n">
        <v>0.21</v>
      </c>
      <c r="AN98" s="175" t="n">
        <v>0.252</v>
      </c>
      <c r="AO98" s="62"/>
      <c r="AP98" s="141" t="n">
        <v>27</v>
      </c>
      <c r="AQ98" s="176" t="n">
        <v>0.4</v>
      </c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142" t="n">
        <v>39448</v>
      </c>
      <c r="BI98" s="178" t="n">
        <v>0.75</v>
      </c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0"/>
      <c r="CM98" s="230"/>
      <c r="CN98" s="230"/>
      <c r="CO98" s="179"/>
      <c r="CP98" s="0"/>
      <c r="CQ98" s="0"/>
      <c r="CR98" s="0"/>
      <c r="CS98" s="0"/>
      <c r="CT98" s="0"/>
      <c r="CY98" s="180" t="n">
        <f aca="false">M98</f>
        <v>39448</v>
      </c>
      <c r="CZ98" s="181" t="n">
        <f aca="false">AH98</f>
        <v>0.28</v>
      </c>
      <c r="DA98" s="181" t="n">
        <f aca="false">AI98</f>
        <v>0.35</v>
      </c>
      <c r="DB98" s="181" t="n">
        <f aca="false">AJ98</f>
        <v>0.42</v>
      </c>
      <c r="DD98" s="181" t="n">
        <f aca="false">Z98</f>
        <v>0.16</v>
      </c>
      <c r="DE98" s="181" t="n">
        <f aca="false">AA98</f>
        <v>0.2</v>
      </c>
      <c r="DF98" s="181" t="n">
        <f aca="false">AB98</f>
        <v>0.24</v>
      </c>
      <c r="DH98" s="180" t="n">
        <f aca="false">BH98</f>
        <v>39448</v>
      </c>
      <c r="DI98" s="135" t="n">
        <f aca="false">BI98</f>
        <v>0.75</v>
      </c>
      <c r="DL98" s="180" t="n">
        <f aca="false">M98</f>
        <v>39448</v>
      </c>
      <c r="DM98" s="181" t="n">
        <f aca="false">AL98</f>
        <v>0.168</v>
      </c>
      <c r="DN98" s="181" t="n">
        <f aca="false">AM98</f>
        <v>0.21</v>
      </c>
      <c r="DO98" s="181" t="n">
        <f aca="false">AN98</f>
        <v>0.252</v>
      </c>
      <c r="DQ98" s="181" t="n">
        <f aca="false">AD98</f>
        <v>0.08</v>
      </c>
      <c r="DR98" s="181" t="n">
        <f aca="false">AE98</f>
        <v>0.1</v>
      </c>
      <c r="DS98" s="181" t="n">
        <f aca="false">AF98</f>
        <v>0.12</v>
      </c>
    </row>
    <row r="99" customFormat="false" ht="12.75" hidden="false" customHeight="false" outlineLevel="0" collapsed="false">
      <c r="A99" s="145" t="n">
        <f aca="false">EOMONTH(A98,0)+1</f>
        <v>48549</v>
      </c>
      <c r="B99" s="135" t="n">
        <f aca="false">'Gas Curves'!C103</f>
        <v>0.0604444754371021</v>
      </c>
      <c r="C99" s="135"/>
      <c r="D99" s="173" t="n">
        <v>38596</v>
      </c>
      <c r="E99" s="174" t="n">
        <v>28.4399993896484</v>
      </c>
      <c r="F99" s="174" t="n">
        <v>31.1399993896484</v>
      </c>
      <c r="G99" s="174" t="n">
        <v>33.8399993896484</v>
      </c>
      <c r="H99" s="159"/>
      <c r="I99" s="174" t="n">
        <v>17.5400009155273</v>
      </c>
      <c r="J99" s="174" t="n">
        <v>17.5400009155273</v>
      </c>
      <c r="K99" s="174" t="n">
        <v>17.5400009155273</v>
      </c>
      <c r="L99" s="141"/>
      <c r="M99" s="142" t="n">
        <v>39479</v>
      </c>
      <c r="N99" s="175" t="n">
        <v>31.2460021972656</v>
      </c>
      <c r="O99" s="175" t="n">
        <v>31.2460021972656</v>
      </c>
      <c r="P99" s="175" t="n">
        <v>31.2460021972656</v>
      </c>
      <c r="Q99" s="62"/>
      <c r="R99" s="175" t="n">
        <v>22.7465019226074</v>
      </c>
      <c r="S99" s="175" t="n">
        <v>22.7465019226074</v>
      </c>
      <c r="T99" s="175" t="n">
        <v>22.7465019226074</v>
      </c>
      <c r="U99" s="62"/>
      <c r="V99" s="175" t="n">
        <v>0</v>
      </c>
      <c r="W99" s="175" t="n">
        <v>0</v>
      </c>
      <c r="X99" s="175" t="n">
        <v>0</v>
      </c>
      <c r="Y99" s="62"/>
      <c r="Z99" s="175" t="n">
        <v>0.16</v>
      </c>
      <c r="AA99" s="175" t="n">
        <v>0.2</v>
      </c>
      <c r="AB99" s="175" t="n">
        <v>0.24</v>
      </c>
      <c r="AC99" s="62"/>
      <c r="AD99" s="175" t="n">
        <v>0.08</v>
      </c>
      <c r="AE99" s="175" t="n">
        <v>0.1</v>
      </c>
      <c r="AF99" s="175" t="n">
        <v>0.12</v>
      </c>
      <c r="AG99" s="62"/>
      <c r="AH99" s="175" t="n">
        <v>0.28</v>
      </c>
      <c r="AI99" s="175" t="n">
        <v>0.35</v>
      </c>
      <c r="AJ99" s="175" t="n">
        <v>0.42</v>
      </c>
      <c r="AK99" s="62"/>
      <c r="AL99" s="175" t="n">
        <v>0.168</v>
      </c>
      <c r="AM99" s="175" t="n">
        <v>0.21</v>
      </c>
      <c r="AN99" s="175" t="n">
        <v>0.252</v>
      </c>
      <c r="AO99" s="62"/>
      <c r="AP99" s="141" t="n">
        <v>27</v>
      </c>
      <c r="AQ99" s="176" t="n">
        <v>0.4</v>
      </c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142" t="n">
        <v>39479</v>
      </c>
      <c r="BI99" s="178" t="n">
        <v>0.75</v>
      </c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0"/>
      <c r="CM99" s="230"/>
      <c r="CN99" s="230"/>
      <c r="CO99" s="179"/>
      <c r="CP99" s="0"/>
      <c r="CQ99" s="0"/>
      <c r="CR99" s="0"/>
      <c r="CS99" s="0"/>
      <c r="CT99" s="0"/>
      <c r="CY99" s="180" t="n">
        <f aca="false">M99</f>
        <v>39479</v>
      </c>
      <c r="CZ99" s="181" t="n">
        <f aca="false">AH99</f>
        <v>0.28</v>
      </c>
      <c r="DA99" s="181" t="n">
        <f aca="false">AI99</f>
        <v>0.35</v>
      </c>
      <c r="DB99" s="181" t="n">
        <f aca="false">AJ99</f>
        <v>0.42</v>
      </c>
      <c r="DD99" s="181" t="n">
        <f aca="false">Z99</f>
        <v>0.16</v>
      </c>
      <c r="DE99" s="181" t="n">
        <f aca="false">AA99</f>
        <v>0.2</v>
      </c>
      <c r="DF99" s="181" t="n">
        <f aca="false">AB99</f>
        <v>0.24</v>
      </c>
      <c r="DH99" s="180" t="n">
        <f aca="false">BH99</f>
        <v>39479</v>
      </c>
      <c r="DI99" s="135" t="n">
        <f aca="false">BI99</f>
        <v>0.75</v>
      </c>
      <c r="DL99" s="180" t="n">
        <f aca="false">M99</f>
        <v>39479</v>
      </c>
      <c r="DM99" s="181" t="n">
        <f aca="false">AL99</f>
        <v>0.168</v>
      </c>
      <c r="DN99" s="181" t="n">
        <f aca="false">AM99</f>
        <v>0.21</v>
      </c>
      <c r="DO99" s="181" t="n">
        <f aca="false">AN99</f>
        <v>0.252</v>
      </c>
      <c r="DQ99" s="181" t="n">
        <f aca="false">AD99</f>
        <v>0.08</v>
      </c>
      <c r="DR99" s="181" t="n">
        <f aca="false">AE99</f>
        <v>0.1</v>
      </c>
      <c r="DS99" s="181" t="n">
        <f aca="false">AF99</f>
        <v>0.12</v>
      </c>
    </row>
    <row r="100" customFormat="false" ht="12.75" hidden="false" customHeight="false" outlineLevel="0" collapsed="false">
      <c r="A100" s="145" t="n">
        <f aca="false">EOMONTH(A99,0)+1</f>
        <v>48580</v>
      </c>
      <c r="B100" s="135" t="n">
        <f aca="false">'Gas Curves'!C104</f>
        <v>0.0605193773055488</v>
      </c>
      <c r="C100" s="135"/>
      <c r="D100" s="173" t="n">
        <v>38626</v>
      </c>
      <c r="E100" s="174" t="n">
        <v>31.0915614843369</v>
      </c>
      <c r="F100" s="174" t="n">
        <v>32.0415614843369</v>
      </c>
      <c r="G100" s="174" t="n">
        <v>32.9915614843369</v>
      </c>
      <c r="H100" s="159"/>
      <c r="I100" s="174" t="n">
        <v>17.040002822876</v>
      </c>
      <c r="J100" s="174" t="n">
        <v>17.040002822876</v>
      </c>
      <c r="K100" s="174" t="n">
        <v>17.040002822876</v>
      </c>
      <c r="L100" s="141"/>
      <c r="M100" s="142" t="n">
        <v>39508</v>
      </c>
      <c r="N100" s="175" t="n">
        <v>25.5</v>
      </c>
      <c r="O100" s="175" t="n">
        <v>25.5</v>
      </c>
      <c r="P100" s="175" t="n">
        <v>25.5</v>
      </c>
      <c r="Q100" s="62"/>
      <c r="R100" s="175" t="n">
        <v>20</v>
      </c>
      <c r="S100" s="175" t="n">
        <v>20</v>
      </c>
      <c r="T100" s="175" t="n">
        <v>20</v>
      </c>
      <c r="U100" s="62"/>
      <c r="V100" s="175" t="n">
        <v>0</v>
      </c>
      <c r="W100" s="175" t="n">
        <v>0</v>
      </c>
      <c r="X100" s="175" t="n">
        <v>0</v>
      </c>
      <c r="Y100" s="62"/>
      <c r="Z100" s="175" t="n">
        <v>0.16</v>
      </c>
      <c r="AA100" s="175" t="n">
        <v>0.2</v>
      </c>
      <c r="AB100" s="175" t="n">
        <v>0.24</v>
      </c>
      <c r="AC100" s="62"/>
      <c r="AD100" s="175" t="n">
        <v>0.08</v>
      </c>
      <c r="AE100" s="175" t="n">
        <v>0.1</v>
      </c>
      <c r="AF100" s="175" t="n">
        <v>0.12</v>
      </c>
      <c r="AG100" s="62"/>
      <c r="AH100" s="175" t="n">
        <v>0.28</v>
      </c>
      <c r="AI100" s="175" t="n">
        <v>0.35</v>
      </c>
      <c r="AJ100" s="175" t="n">
        <v>0.42</v>
      </c>
      <c r="AK100" s="62"/>
      <c r="AL100" s="175" t="n">
        <v>0.168</v>
      </c>
      <c r="AM100" s="175" t="n">
        <v>0.21</v>
      </c>
      <c r="AN100" s="175" t="n">
        <v>0.252</v>
      </c>
      <c r="AO100" s="62"/>
      <c r="AP100" s="141" t="n">
        <v>28</v>
      </c>
      <c r="AQ100" s="176" t="n">
        <v>0.4</v>
      </c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142" t="n">
        <v>39508</v>
      </c>
      <c r="BI100" s="178" t="n">
        <v>0.75</v>
      </c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0"/>
      <c r="CM100" s="230"/>
      <c r="CN100" s="230"/>
      <c r="CO100" s="179"/>
      <c r="CP100" s="0"/>
      <c r="CQ100" s="0"/>
      <c r="CR100" s="0"/>
      <c r="CS100" s="0"/>
      <c r="CT100" s="0"/>
      <c r="CY100" s="180" t="n">
        <f aca="false">M100</f>
        <v>39508</v>
      </c>
      <c r="CZ100" s="181" t="n">
        <f aca="false">AH100</f>
        <v>0.28</v>
      </c>
      <c r="DA100" s="181" t="n">
        <f aca="false">AI100</f>
        <v>0.35</v>
      </c>
      <c r="DB100" s="181" t="n">
        <f aca="false">AJ100</f>
        <v>0.42</v>
      </c>
      <c r="DD100" s="181" t="n">
        <f aca="false">Z100</f>
        <v>0.16</v>
      </c>
      <c r="DE100" s="181" t="n">
        <f aca="false">AA100</f>
        <v>0.2</v>
      </c>
      <c r="DF100" s="181" t="n">
        <f aca="false">AB100</f>
        <v>0.24</v>
      </c>
      <c r="DH100" s="180" t="n">
        <f aca="false">BH100</f>
        <v>39508</v>
      </c>
      <c r="DI100" s="135" t="n">
        <f aca="false">BI100</f>
        <v>0.75</v>
      </c>
      <c r="DL100" s="180" t="n">
        <f aca="false">M100</f>
        <v>39508</v>
      </c>
      <c r="DM100" s="181" t="n">
        <f aca="false">AL100</f>
        <v>0.168</v>
      </c>
      <c r="DN100" s="181" t="n">
        <f aca="false">AM100</f>
        <v>0.21</v>
      </c>
      <c r="DO100" s="181" t="n">
        <f aca="false">AN100</f>
        <v>0.252</v>
      </c>
      <c r="DQ100" s="181" t="n">
        <f aca="false">AD100</f>
        <v>0.08</v>
      </c>
      <c r="DR100" s="181" t="n">
        <f aca="false">AE100</f>
        <v>0.1</v>
      </c>
      <c r="DS100" s="181" t="n">
        <f aca="false">AF100</f>
        <v>0.12</v>
      </c>
    </row>
    <row r="101" customFormat="false" ht="12.75" hidden="false" customHeight="false" outlineLevel="0" collapsed="false">
      <c r="A101" s="145" t="n">
        <f aca="false">EOMONTH(A100,0)+1</f>
        <v>48611</v>
      </c>
      <c r="B101" s="135" t="n">
        <f aca="false">'Gas Curves'!C105</f>
        <v>0.0605942791758594</v>
      </c>
      <c r="C101" s="135"/>
      <c r="D101" s="173" t="n">
        <v>38657</v>
      </c>
      <c r="E101" s="174" t="n">
        <v>31.1915637731552</v>
      </c>
      <c r="F101" s="174" t="n">
        <v>32.1415637731552</v>
      </c>
      <c r="G101" s="174" t="n">
        <v>33.0915637731552</v>
      </c>
      <c r="H101" s="159"/>
      <c r="I101" s="174" t="n">
        <v>18.0400009155273</v>
      </c>
      <c r="J101" s="174" t="n">
        <v>18.0400009155273</v>
      </c>
      <c r="K101" s="174" t="n">
        <v>18.0400009155273</v>
      </c>
      <c r="L101" s="141"/>
      <c r="M101" s="142" t="n">
        <v>39539</v>
      </c>
      <c r="N101" s="175" t="n">
        <v>22</v>
      </c>
      <c r="O101" s="175" t="n">
        <v>22</v>
      </c>
      <c r="P101" s="175" t="n">
        <v>22</v>
      </c>
      <c r="Q101" s="62"/>
      <c r="R101" s="175" t="n">
        <v>16.4950008392334</v>
      </c>
      <c r="S101" s="175" t="n">
        <v>16.4950008392334</v>
      </c>
      <c r="T101" s="175" t="n">
        <v>16.4950008392334</v>
      </c>
      <c r="U101" s="62"/>
      <c r="V101" s="175" t="n">
        <v>0</v>
      </c>
      <c r="W101" s="175" t="n">
        <v>0</v>
      </c>
      <c r="X101" s="175" t="n">
        <v>0</v>
      </c>
      <c r="Y101" s="62"/>
      <c r="Z101" s="175" t="n">
        <v>0.16</v>
      </c>
      <c r="AA101" s="175" t="n">
        <v>0.2</v>
      </c>
      <c r="AB101" s="175" t="n">
        <v>0.24</v>
      </c>
      <c r="AC101" s="62"/>
      <c r="AD101" s="175" t="n">
        <v>0.08</v>
      </c>
      <c r="AE101" s="175" t="n">
        <v>0.1</v>
      </c>
      <c r="AF101" s="175" t="n">
        <v>0.12</v>
      </c>
      <c r="AG101" s="62"/>
      <c r="AH101" s="175" t="n">
        <v>0.28</v>
      </c>
      <c r="AI101" s="175" t="n">
        <v>0.35</v>
      </c>
      <c r="AJ101" s="175" t="n">
        <v>0.42</v>
      </c>
      <c r="AK101" s="62"/>
      <c r="AL101" s="175" t="n">
        <v>0.168</v>
      </c>
      <c r="AM101" s="175" t="n">
        <v>0.21</v>
      </c>
      <c r="AN101" s="175" t="n">
        <v>0.252</v>
      </c>
      <c r="AO101" s="62"/>
      <c r="AP101" s="141" t="n">
        <v>28</v>
      </c>
      <c r="AQ101" s="176" t="n">
        <v>0.4</v>
      </c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142" t="n">
        <v>39539</v>
      </c>
      <c r="BI101" s="178" t="n">
        <v>0.75</v>
      </c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0"/>
      <c r="CM101" s="230"/>
      <c r="CN101" s="230"/>
      <c r="CO101" s="179"/>
      <c r="CP101" s="0"/>
      <c r="CQ101" s="0"/>
      <c r="CR101" s="0"/>
      <c r="CS101" s="0"/>
      <c r="CT101" s="0"/>
      <c r="CY101" s="180" t="n">
        <f aca="false">M101</f>
        <v>39539</v>
      </c>
      <c r="CZ101" s="181" t="n">
        <f aca="false">AH101</f>
        <v>0.28</v>
      </c>
      <c r="DA101" s="181" t="n">
        <f aca="false">AI101</f>
        <v>0.35</v>
      </c>
      <c r="DB101" s="181" t="n">
        <f aca="false">AJ101</f>
        <v>0.42</v>
      </c>
      <c r="DD101" s="181" t="n">
        <f aca="false">Z101</f>
        <v>0.16</v>
      </c>
      <c r="DE101" s="181" t="n">
        <f aca="false">AA101</f>
        <v>0.2</v>
      </c>
      <c r="DF101" s="181" t="n">
        <f aca="false">AB101</f>
        <v>0.24</v>
      </c>
      <c r="DH101" s="180" t="n">
        <f aca="false">BH101</f>
        <v>39539</v>
      </c>
      <c r="DI101" s="135" t="n">
        <f aca="false">BI101</f>
        <v>0.75</v>
      </c>
      <c r="DL101" s="180" t="n">
        <f aca="false">M101</f>
        <v>39539</v>
      </c>
      <c r="DM101" s="181" t="n">
        <f aca="false">AL101</f>
        <v>0.168</v>
      </c>
      <c r="DN101" s="181" t="n">
        <f aca="false">AM101</f>
        <v>0.21</v>
      </c>
      <c r="DO101" s="181" t="n">
        <f aca="false">AN101</f>
        <v>0.252</v>
      </c>
      <c r="DQ101" s="181" t="n">
        <f aca="false">AD101</f>
        <v>0.08</v>
      </c>
      <c r="DR101" s="181" t="n">
        <f aca="false">AE101</f>
        <v>0.1</v>
      </c>
      <c r="DS101" s="181" t="n">
        <f aca="false">AF101</f>
        <v>0.12</v>
      </c>
    </row>
    <row r="102" customFormat="false" ht="12.75" hidden="false" customHeight="false" outlineLevel="0" collapsed="false">
      <c r="A102" s="145" t="n">
        <f aca="false">EOMONTH(A101,0)+1</f>
        <v>48639</v>
      </c>
      <c r="B102" s="135" t="n">
        <f aca="false">'Gas Curves'!C106</f>
        <v>0.0606667648585795</v>
      </c>
      <c r="C102" s="135"/>
      <c r="D102" s="173" t="n">
        <v>38687</v>
      </c>
      <c r="E102" s="174" t="n">
        <v>31.2915622472763</v>
      </c>
      <c r="F102" s="174" t="n">
        <v>32.2415622472763</v>
      </c>
      <c r="G102" s="174" t="n">
        <v>33.1915622472763</v>
      </c>
      <c r="H102" s="159"/>
      <c r="I102" s="174" t="n">
        <v>20.2900009155273</v>
      </c>
      <c r="J102" s="174" t="n">
        <v>20.2900009155273</v>
      </c>
      <c r="K102" s="174" t="n">
        <v>20.2900009155273</v>
      </c>
      <c r="L102" s="141"/>
      <c r="M102" s="142" t="n">
        <v>39569</v>
      </c>
      <c r="N102" s="175" t="n">
        <v>22.2900009155273</v>
      </c>
      <c r="O102" s="175" t="n">
        <v>22.2900009155273</v>
      </c>
      <c r="P102" s="175" t="n">
        <v>22.2900009155273</v>
      </c>
      <c r="Q102" s="62"/>
      <c r="R102" s="175" t="n">
        <v>15.7950000762939</v>
      </c>
      <c r="S102" s="175" t="n">
        <v>15.7950000762939</v>
      </c>
      <c r="T102" s="175" t="n">
        <v>15.7950000762939</v>
      </c>
      <c r="U102" s="62"/>
      <c r="V102" s="175" t="n">
        <v>0</v>
      </c>
      <c r="W102" s="175" t="n">
        <v>0</v>
      </c>
      <c r="X102" s="175" t="n">
        <v>0</v>
      </c>
      <c r="Y102" s="62"/>
      <c r="Z102" s="175" t="n">
        <v>0.16</v>
      </c>
      <c r="AA102" s="175" t="n">
        <v>0.2</v>
      </c>
      <c r="AB102" s="175" t="n">
        <v>0.24</v>
      </c>
      <c r="AC102" s="62"/>
      <c r="AD102" s="175" t="n">
        <v>0.08</v>
      </c>
      <c r="AE102" s="175" t="n">
        <v>0.1</v>
      </c>
      <c r="AF102" s="175" t="n">
        <v>0.12</v>
      </c>
      <c r="AG102" s="62"/>
      <c r="AH102" s="175" t="n">
        <v>0.36</v>
      </c>
      <c r="AI102" s="175" t="n">
        <v>0.45</v>
      </c>
      <c r="AJ102" s="175" t="n">
        <v>0.54</v>
      </c>
      <c r="AK102" s="62"/>
      <c r="AL102" s="175" t="n">
        <v>0.216</v>
      </c>
      <c r="AM102" s="175" t="n">
        <v>0.27</v>
      </c>
      <c r="AN102" s="175" t="n">
        <v>0.324</v>
      </c>
      <c r="AO102" s="62"/>
      <c r="AP102" s="141" t="n">
        <v>28</v>
      </c>
      <c r="AQ102" s="176" t="n">
        <v>0.4</v>
      </c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142" t="n">
        <v>39569</v>
      </c>
      <c r="BI102" s="178" t="n">
        <v>0.75</v>
      </c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0"/>
      <c r="CM102" s="230"/>
      <c r="CN102" s="230"/>
      <c r="CO102" s="179"/>
      <c r="CP102" s="0"/>
      <c r="CQ102" s="0"/>
      <c r="CR102" s="0"/>
      <c r="CS102" s="0"/>
      <c r="CT102" s="0"/>
      <c r="CY102" s="180" t="n">
        <f aca="false">M102</f>
        <v>39569</v>
      </c>
      <c r="CZ102" s="181" t="n">
        <f aca="false">AH102</f>
        <v>0.36</v>
      </c>
      <c r="DA102" s="181" t="n">
        <f aca="false">AI102</f>
        <v>0.45</v>
      </c>
      <c r="DB102" s="181" t="n">
        <f aca="false">AJ102</f>
        <v>0.54</v>
      </c>
      <c r="DD102" s="181" t="n">
        <f aca="false">Z102</f>
        <v>0.16</v>
      </c>
      <c r="DE102" s="181" t="n">
        <f aca="false">AA102</f>
        <v>0.2</v>
      </c>
      <c r="DF102" s="181" t="n">
        <f aca="false">AB102</f>
        <v>0.24</v>
      </c>
      <c r="DH102" s="180" t="n">
        <f aca="false">BH102</f>
        <v>39569</v>
      </c>
      <c r="DI102" s="135" t="n">
        <f aca="false">BI102</f>
        <v>0.75</v>
      </c>
      <c r="DL102" s="180" t="n">
        <f aca="false">M102</f>
        <v>39569</v>
      </c>
      <c r="DM102" s="181" t="n">
        <f aca="false">AL102</f>
        <v>0.216</v>
      </c>
      <c r="DN102" s="181" t="n">
        <f aca="false">AM102</f>
        <v>0.27</v>
      </c>
      <c r="DO102" s="181" t="n">
        <f aca="false">AN102</f>
        <v>0.324</v>
      </c>
      <c r="DQ102" s="181" t="n">
        <f aca="false">AD102</f>
        <v>0.08</v>
      </c>
      <c r="DR102" s="181" t="n">
        <f aca="false">AE102</f>
        <v>0.1</v>
      </c>
      <c r="DS102" s="181" t="n">
        <f aca="false">AF102</f>
        <v>0.12</v>
      </c>
    </row>
    <row r="103" customFormat="false" ht="12.75" hidden="false" customHeight="false" outlineLevel="0" collapsed="false">
      <c r="A103" s="145" t="n">
        <f aca="false">EOMONTH(A102,0)+1</f>
        <v>48670</v>
      </c>
      <c r="B103" s="135" t="n">
        <f aca="false">'Gas Curves'!C107</f>
        <v>0.0607416667325569</v>
      </c>
      <c r="C103" s="135"/>
      <c r="D103" s="173" t="n">
        <v>38718</v>
      </c>
      <c r="E103" s="174" t="n">
        <v>34.6157172066825</v>
      </c>
      <c r="F103" s="174" t="n">
        <v>35.1157172066825</v>
      </c>
      <c r="G103" s="174" t="n">
        <v>35.6157172066825</v>
      </c>
      <c r="H103" s="159"/>
      <c r="I103" s="174" t="n">
        <v>22.5</v>
      </c>
      <c r="J103" s="174" t="n">
        <v>22.5</v>
      </c>
      <c r="K103" s="174" t="n">
        <v>22.5</v>
      </c>
      <c r="L103" s="141"/>
      <c r="M103" s="142" t="n">
        <v>39600</v>
      </c>
      <c r="N103" s="175" t="n">
        <v>29.2900009155273</v>
      </c>
      <c r="O103" s="175" t="n">
        <v>29.2900009155273</v>
      </c>
      <c r="P103" s="175" t="n">
        <v>29.2900009155273</v>
      </c>
      <c r="Q103" s="62"/>
      <c r="R103" s="175" t="n">
        <v>19.7900009155273</v>
      </c>
      <c r="S103" s="175" t="n">
        <v>19.7900009155273</v>
      </c>
      <c r="T103" s="175" t="n">
        <v>19.7900009155273</v>
      </c>
      <c r="U103" s="62"/>
      <c r="V103" s="175" t="n">
        <v>0</v>
      </c>
      <c r="W103" s="175" t="n">
        <v>0</v>
      </c>
      <c r="X103" s="175" t="n">
        <v>0</v>
      </c>
      <c r="Y103" s="62"/>
      <c r="Z103" s="175" t="n">
        <v>0.16</v>
      </c>
      <c r="AA103" s="175" t="n">
        <v>0.2</v>
      </c>
      <c r="AB103" s="175" t="n">
        <v>0.24</v>
      </c>
      <c r="AC103" s="62"/>
      <c r="AD103" s="175" t="n">
        <v>0.08</v>
      </c>
      <c r="AE103" s="175" t="n">
        <v>0.1</v>
      </c>
      <c r="AF103" s="175" t="n">
        <v>0.12</v>
      </c>
      <c r="AG103" s="62"/>
      <c r="AH103" s="175" t="n">
        <v>0.36</v>
      </c>
      <c r="AI103" s="175" t="n">
        <v>0.45</v>
      </c>
      <c r="AJ103" s="175" t="n">
        <v>0.54</v>
      </c>
      <c r="AK103" s="62"/>
      <c r="AL103" s="175" t="n">
        <v>0.216</v>
      </c>
      <c r="AM103" s="175" t="n">
        <v>0.27</v>
      </c>
      <c r="AN103" s="175" t="n">
        <v>0.324</v>
      </c>
      <c r="AO103" s="62"/>
      <c r="AP103" s="141" t="n">
        <v>29</v>
      </c>
      <c r="AQ103" s="176" t="n">
        <v>0.4</v>
      </c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142" t="n">
        <v>39600</v>
      </c>
      <c r="BI103" s="178" t="n">
        <v>0.75</v>
      </c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0"/>
      <c r="CM103" s="230"/>
      <c r="CN103" s="230"/>
      <c r="CO103" s="179"/>
      <c r="CP103" s="0"/>
      <c r="CQ103" s="0"/>
      <c r="CR103" s="0"/>
      <c r="CS103" s="0"/>
      <c r="CT103" s="0"/>
      <c r="CY103" s="180" t="n">
        <f aca="false">M103</f>
        <v>39600</v>
      </c>
      <c r="CZ103" s="181" t="n">
        <f aca="false">AH103</f>
        <v>0.36</v>
      </c>
      <c r="DA103" s="181" t="n">
        <f aca="false">AI103</f>
        <v>0.45</v>
      </c>
      <c r="DB103" s="181" t="n">
        <f aca="false">AJ103</f>
        <v>0.54</v>
      </c>
      <c r="DD103" s="181" t="n">
        <f aca="false">Z103</f>
        <v>0.16</v>
      </c>
      <c r="DE103" s="181" t="n">
        <f aca="false">AA103</f>
        <v>0.2</v>
      </c>
      <c r="DF103" s="181" t="n">
        <f aca="false">AB103</f>
        <v>0.24</v>
      </c>
      <c r="DH103" s="180" t="n">
        <f aca="false">BH103</f>
        <v>39600</v>
      </c>
      <c r="DI103" s="135" t="n">
        <f aca="false">BI103</f>
        <v>0.75</v>
      </c>
      <c r="DL103" s="180" t="n">
        <f aca="false">M103</f>
        <v>39600</v>
      </c>
      <c r="DM103" s="181" t="n">
        <f aca="false">AL103</f>
        <v>0.216</v>
      </c>
      <c r="DN103" s="181" t="n">
        <f aca="false">AM103</f>
        <v>0.27</v>
      </c>
      <c r="DO103" s="181" t="n">
        <f aca="false">AN103</f>
        <v>0.324</v>
      </c>
      <c r="DQ103" s="181" t="n">
        <f aca="false">AD103</f>
        <v>0.08</v>
      </c>
      <c r="DR103" s="181" t="n">
        <f aca="false">AE103</f>
        <v>0.1</v>
      </c>
      <c r="DS103" s="181" t="n">
        <f aca="false">AF103</f>
        <v>0.12</v>
      </c>
    </row>
    <row r="104" customFormat="false" ht="12.75" hidden="false" customHeight="false" outlineLevel="0" collapsed="false">
      <c r="A104" s="145" t="n">
        <f aca="false">EOMONTH(A103,0)+1</f>
        <v>48700</v>
      </c>
      <c r="B104" s="135" t="n">
        <f aca="false">'Gas Curves'!C108</f>
        <v>0.0608141524188253</v>
      </c>
      <c r="C104" s="135"/>
      <c r="D104" s="173" t="n">
        <v>38749</v>
      </c>
      <c r="E104" s="174" t="n">
        <v>34.0157149178641</v>
      </c>
      <c r="F104" s="174" t="n">
        <v>34.5157149178641</v>
      </c>
      <c r="G104" s="174" t="n">
        <v>35.0157149178641</v>
      </c>
      <c r="H104" s="159"/>
      <c r="I104" s="174" t="n">
        <v>21</v>
      </c>
      <c r="J104" s="174" t="n">
        <v>21</v>
      </c>
      <c r="K104" s="174" t="n">
        <v>21</v>
      </c>
      <c r="L104" s="141"/>
      <c r="M104" s="142" t="n">
        <v>39630</v>
      </c>
      <c r="N104" s="175" t="n">
        <v>35.2900009155273</v>
      </c>
      <c r="O104" s="175" t="n">
        <v>35.2900009155273</v>
      </c>
      <c r="P104" s="175" t="n">
        <v>35.2900009155273</v>
      </c>
      <c r="Q104" s="62"/>
      <c r="R104" s="175" t="n">
        <v>25.7900009155273</v>
      </c>
      <c r="S104" s="175" t="n">
        <v>25.7900009155273</v>
      </c>
      <c r="T104" s="175" t="n">
        <v>25.7900009155273</v>
      </c>
      <c r="U104" s="62"/>
      <c r="V104" s="175" t="n">
        <v>0</v>
      </c>
      <c r="W104" s="175" t="n">
        <v>0</v>
      </c>
      <c r="X104" s="175" t="n">
        <v>0</v>
      </c>
      <c r="Y104" s="62"/>
      <c r="Z104" s="175" t="n">
        <v>0.24</v>
      </c>
      <c r="AA104" s="175" t="n">
        <v>0.3</v>
      </c>
      <c r="AB104" s="175" t="n">
        <v>0.36</v>
      </c>
      <c r="AC104" s="62"/>
      <c r="AD104" s="175" t="n">
        <v>0.12</v>
      </c>
      <c r="AE104" s="175" t="n">
        <v>0.15</v>
      </c>
      <c r="AF104" s="175" t="n">
        <v>0.18</v>
      </c>
      <c r="AG104" s="62"/>
      <c r="AH104" s="175" t="n">
        <v>0.48</v>
      </c>
      <c r="AI104" s="175" t="n">
        <v>0.6</v>
      </c>
      <c r="AJ104" s="175" t="n">
        <v>0.72</v>
      </c>
      <c r="AK104" s="62"/>
      <c r="AL104" s="175" t="n">
        <v>0.288</v>
      </c>
      <c r="AM104" s="175" t="n">
        <v>0.36</v>
      </c>
      <c r="AN104" s="175" t="n">
        <v>0.432</v>
      </c>
      <c r="AO104" s="62"/>
      <c r="AP104" s="141" t="n">
        <v>29</v>
      </c>
      <c r="AQ104" s="176" t="n">
        <v>0.4</v>
      </c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142" t="n">
        <v>39630</v>
      </c>
      <c r="BI104" s="178" t="n">
        <v>0.75</v>
      </c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0"/>
      <c r="CM104" s="230"/>
      <c r="CN104" s="230"/>
      <c r="CO104" s="179"/>
      <c r="CP104" s="0"/>
      <c r="CQ104" s="0"/>
      <c r="CR104" s="0"/>
      <c r="CS104" s="0"/>
      <c r="CT104" s="0"/>
      <c r="CY104" s="180" t="n">
        <f aca="false">M104</f>
        <v>39630</v>
      </c>
      <c r="CZ104" s="181" t="n">
        <f aca="false">AH104</f>
        <v>0.48</v>
      </c>
      <c r="DA104" s="181" t="n">
        <f aca="false">AI104</f>
        <v>0.6</v>
      </c>
      <c r="DB104" s="181" t="n">
        <f aca="false">AJ104</f>
        <v>0.72</v>
      </c>
      <c r="DD104" s="181" t="n">
        <f aca="false">Z104</f>
        <v>0.24</v>
      </c>
      <c r="DE104" s="181" t="n">
        <f aca="false">AA104</f>
        <v>0.3</v>
      </c>
      <c r="DF104" s="181" t="n">
        <f aca="false">AB104</f>
        <v>0.36</v>
      </c>
      <c r="DH104" s="180" t="n">
        <f aca="false">BH104</f>
        <v>39630</v>
      </c>
      <c r="DI104" s="135" t="n">
        <f aca="false">BI104</f>
        <v>0.75</v>
      </c>
      <c r="DL104" s="180" t="n">
        <f aca="false">M104</f>
        <v>39630</v>
      </c>
      <c r="DM104" s="181" t="n">
        <f aca="false">AL104</f>
        <v>0.288</v>
      </c>
      <c r="DN104" s="181" t="n">
        <f aca="false">AM104</f>
        <v>0.36</v>
      </c>
      <c r="DO104" s="181" t="n">
        <f aca="false">AN104</f>
        <v>0.432</v>
      </c>
      <c r="DQ104" s="181" t="n">
        <f aca="false">AD104</f>
        <v>0.12</v>
      </c>
      <c r="DR104" s="181" t="n">
        <f aca="false">AE104</f>
        <v>0.15</v>
      </c>
      <c r="DS104" s="181" t="n">
        <f aca="false">AF104</f>
        <v>0.18</v>
      </c>
    </row>
    <row r="105" customFormat="false" ht="12.75" hidden="false" customHeight="false" outlineLevel="0" collapsed="false">
      <c r="A105" s="145" t="n">
        <f aca="false">EOMONTH(A104,0)+1</f>
        <v>48731</v>
      </c>
      <c r="B105" s="135" t="n">
        <f aca="false">'Gas Curves'!C109</f>
        <v>0.0608890542964695</v>
      </c>
      <c r="C105" s="135"/>
      <c r="D105" s="173" t="n">
        <v>38777</v>
      </c>
      <c r="E105" s="174" t="n">
        <v>32.5276797627294</v>
      </c>
      <c r="F105" s="174" t="n">
        <v>33.2276797627294</v>
      </c>
      <c r="G105" s="174" t="n">
        <v>33.9276797627294</v>
      </c>
      <c r="H105" s="159"/>
      <c r="I105" s="174" t="n">
        <v>22</v>
      </c>
      <c r="J105" s="174" t="n">
        <v>22</v>
      </c>
      <c r="K105" s="174" t="n">
        <v>22</v>
      </c>
      <c r="L105" s="141"/>
      <c r="M105" s="142" t="n">
        <v>39661</v>
      </c>
      <c r="N105" s="175" t="n">
        <v>33.2900047302246</v>
      </c>
      <c r="O105" s="175" t="n">
        <v>33.2900047302246</v>
      </c>
      <c r="P105" s="175" t="n">
        <v>33.2900047302246</v>
      </c>
      <c r="Q105" s="62"/>
      <c r="R105" s="175" t="n">
        <v>25.7900009155273</v>
      </c>
      <c r="S105" s="175" t="n">
        <v>25.7900009155273</v>
      </c>
      <c r="T105" s="175" t="n">
        <v>25.7900009155273</v>
      </c>
      <c r="U105" s="62"/>
      <c r="V105" s="175" t="n">
        <v>0</v>
      </c>
      <c r="W105" s="175" t="n">
        <v>0</v>
      </c>
      <c r="X105" s="175" t="n">
        <v>0</v>
      </c>
      <c r="Y105" s="62"/>
      <c r="Z105" s="175" t="n">
        <v>0.24</v>
      </c>
      <c r="AA105" s="175" t="n">
        <v>0.3</v>
      </c>
      <c r="AB105" s="175" t="n">
        <v>0.36</v>
      </c>
      <c r="AC105" s="62"/>
      <c r="AD105" s="175" t="n">
        <v>0.12</v>
      </c>
      <c r="AE105" s="175" t="n">
        <v>0.15</v>
      </c>
      <c r="AF105" s="175" t="n">
        <v>0.18</v>
      </c>
      <c r="AG105" s="62"/>
      <c r="AH105" s="175" t="n">
        <v>0.48</v>
      </c>
      <c r="AI105" s="175" t="n">
        <v>0.6</v>
      </c>
      <c r="AJ105" s="175" t="n">
        <v>0.72</v>
      </c>
      <c r="AK105" s="62"/>
      <c r="AL105" s="175" t="n">
        <v>0.288</v>
      </c>
      <c r="AM105" s="175" t="n">
        <v>0.36</v>
      </c>
      <c r="AN105" s="175" t="n">
        <v>0.432</v>
      </c>
      <c r="AO105" s="62"/>
      <c r="AP105" s="141" t="n">
        <v>29</v>
      </c>
      <c r="AQ105" s="176" t="n">
        <v>0.4</v>
      </c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142" t="n">
        <v>39661</v>
      </c>
      <c r="BI105" s="178" t="n">
        <v>0.75</v>
      </c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0"/>
      <c r="CM105" s="230"/>
      <c r="CN105" s="230"/>
      <c r="CO105" s="179"/>
      <c r="CP105" s="0"/>
      <c r="CQ105" s="0"/>
      <c r="CR105" s="0"/>
      <c r="CS105" s="0"/>
      <c r="CT105" s="0"/>
      <c r="CY105" s="180" t="n">
        <f aca="false">M105</f>
        <v>39661</v>
      </c>
      <c r="CZ105" s="181" t="n">
        <f aca="false">AH105</f>
        <v>0.48</v>
      </c>
      <c r="DA105" s="181" t="n">
        <f aca="false">AI105</f>
        <v>0.6</v>
      </c>
      <c r="DB105" s="181" t="n">
        <f aca="false">AJ105</f>
        <v>0.72</v>
      </c>
      <c r="DD105" s="181" t="n">
        <f aca="false">Z105</f>
        <v>0.24</v>
      </c>
      <c r="DE105" s="181" t="n">
        <f aca="false">AA105</f>
        <v>0.3</v>
      </c>
      <c r="DF105" s="181" t="n">
        <f aca="false">AB105</f>
        <v>0.36</v>
      </c>
      <c r="DH105" s="180" t="n">
        <f aca="false">BH105</f>
        <v>39661</v>
      </c>
      <c r="DI105" s="135" t="n">
        <f aca="false">BI105</f>
        <v>0.75</v>
      </c>
      <c r="DL105" s="180" t="n">
        <f aca="false">M105</f>
        <v>39661</v>
      </c>
      <c r="DM105" s="181" t="n">
        <f aca="false">AL105</f>
        <v>0.288</v>
      </c>
      <c r="DN105" s="181" t="n">
        <f aca="false">AM105</f>
        <v>0.36</v>
      </c>
      <c r="DO105" s="181" t="n">
        <f aca="false">AN105</f>
        <v>0.432</v>
      </c>
      <c r="DQ105" s="181" t="n">
        <f aca="false">AD105</f>
        <v>0.12</v>
      </c>
      <c r="DR105" s="181" t="n">
        <f aca="false">AE105</f>
        <v>0.15</v>
      </c>
      <c r="DS105" s="181" t="n">
        <f aca="false">AF105</f>
        <v>0.18</v>
      </c>
    </row>
    <row r="106" customFormat="false" ht="12.75" hidden="false" customHeight="false" outlineLevel="0" collapsed="false">
      <c r="A106" s="145" t="n">
        <f aca="false">EOMONTH(A105,0)+1</f>
        <v>48761</v>
      </c>
      <c r="B106" s="135" t="n">
        <f aca="false">'Gas Curves'!C110</f>
        <v>0.0609639561759767</v>
      </c>
      <c r="C106" s="135"/>
      <c r="D106" s="173" t="n">
        <v>38808</v>
      </c>
      <c r="E106" s="174" t="n">
        <v>32.2276805256688</v>
      </c>
      <c r="F106" s="174" t="n">
        <v>33.4276805256688</v>
      </c>
      <c r="G106" s="174" t="n">
        <v>34.6276805256688</v>
      </c>
      <c r="H106" s="159"/>
      <c r="I106" s="174" t="n">
        <v>19</v>
      </c>
      <c r="J106" s="174" t="n">
        <v>19</v>
      </c>
      <c r="K106" s="174" t="n">
        <v>19</v>
      </c>
      <c r="L106" s="141"/>
      <c r="M106" s="142" t="n">
        <v>39692</v>
      </c>
      <c r="N106" s="175" t="n">
        <v>25.2900009155273</v>
      </c>
      <c r="O106" s="175" t="n">
        <v>25.2900009155273</v>
      </c>
      <c r="P106" s="175" t="n">
        <v>25.2900009155273</v>
      </c>
      <c r="Q106" s="62"/>
      <c r="R106" s="175" t="n">
        <v>19.7900009155273</v>
      </c>
      <c r="S106" s="175" t="n">
        <v>19.7900009155273</v>
      </c>
      <c r="T106" s="175" t="n">
        <v>19.7900009155273</v>
      </c>
      <c r="U106" s="62"/>
      <c r="V106" s="175" t="n">
        <v>0</v>
      </c>
      <c r="W106" s="175" t="n">
        <v>0</v>
      </c>
      <c r="X106" s="175" t="n">
        <v>0</v>
      </c>
      <c r="Y106" s="62"/>
      <c r="Z106" s="175" t="n">
        <v>0.16</v>
      </c>
      <c r="AA106" s="175" t="n">
        <v>0.2</v>
      </c>
      <c r="AB106" s="175" t="n">
        <v>0.24</v>
      </c>
      <c r="AC106" s="62"/>
      <c r="AD106" s="175" t="n">
        <v>0.08</v>
      </c>
      <c r="AE106" s="175" t="n">
        <v>0.1</v>
      </c>
      <c r="AF106" s="175" t="n">
        <v>0.12</v>
      </c>
      <c r="AG106" s="62"/>
      <c r="AH106" s="175" t="n">
        <v>0.36</v>
      </c>
      <c r="AI106" s="175" t="n">
        <v>0.45</v>
      </c>
      <c r="AJ106" s="175" t="n">
        <v>0.54</v>
      </c>
      <c r="AK106" s="62"/>
      <c r="AL106" s="175" t="n">
        <v>0.216</v>
      </c>
      <c r="AM106" s="175" t="n">
        <v>0.27</v>
      </c>
      <c r="AN106" s="175" t="n">
        <v>0.324</v>
      </c>
      <c r="AO106" s="62"/>
      <c r="AP106" s="141" t="n">
        <v>30</v>
      </c>
      <c r="AQ106" s="176" t="n">
        <v>0.4</v>
      </c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142" t="n">
        <v>39692</v>
      </c>
      <c r="BI106" s="178" t="n">
        <v>0.75</v>
      </c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0"/>
      <c r="CM106" s="230"/>
      <c r="CN106" s="230"/>
      <c r="CO106" s="179"/>
      <c r="CP106" s="0"/>
      <c r="CQ106" s="0"/>
      <c r="CR106" s="0"/>
      <c r="CS106" s="0"/>
      <c r="CT106" s="0"/>
      <c r="CY106" s="180" t="n">
        <f aca="false">M106</f>
        <v>39692</v>
      </c>
      <c r="CZ106" s="181" t="n">
        <f aca="false">AH106</f>
        <v>0.36</v>
      </c>
      <c r="DA106" s="181" t="n">
        <f aca="false">AI106</f>
        <v>0.45</v>
      </c>
      <c r="DB106" s="181" t="n">
        <f aca="false">AJ106</f>
        <v>0.54</v>
      </c>
      <c r="DD106" s="181" t="n">
        <f aca="false">Z106</f>
        <v>0.16</v>
      </c>
      <c r="DE106" s="181" t="n">
        <f aca="false">AA106</f>
        <v>0.2</v>
      </c>
      <c r="DF106" s="181" t="n">
        <f aca="false">AB106</f>
        <v>0.24</v>
      </c>
      <c r="DH106" s="180" t="n">
        <f aca="false">BH106</f>
        <v>39692</v>
      </c>
      <c r="DI106" s="135" t="n">
        <f aca="false">BI106</f>
        <v>0.75</v>
      </c>
      <c r="DL106" s="180" t="n">
        <f aca="false">M106</f>
        <v>39692</v>
      </c>
      <c r="DM106" s="181" t="n">
        <f aca="false">AL106</f>
        <v>0.216</v>
      </c>
      <c r="DN106" s="181" t="n">
        <f aca="false">AM106</f>
        <v>0.27</v>
      </c>
      <c r="DO106" s="181" t="n">
        <f aca="false">AN106</f>
        <v>0.324</v>
      </c>
      <c r="DQ106" s="181" t="n">
        <f aca="false">AD106</f>
        <v>0.08</v>
      </c>
      <c r="DR106" s="181" t="n">
        <f aca="false">AE106</f>
        <v>0.1</v>
      </c>
      <c r="DS106" s="181" t="n">
        <f aca="false">AF106</f>
        <v>0.12</v>
      </c>
    </row>
    <row r="107" customFormat="false" ht="12.75" hidden="false" customHeight="false" outlineLevel="0" collapsed="false">
      <c r="A107" s="145" t="n">
        <f aca="false">EOMONTH(A106,0)+1</f>
        <v>48792</v>
      </c>
      <c r="B107" s="135" t="n">
        <f aca="false">'Gas Curves'!C111</f>
        <v>0.0610316094881016</v>
      </c>
      <c r="C107" s="135"/>
      <c r="D107" s="173" t="n">
        <v>38838</v>
      </c>
      <c r="E107" s="174" t="n">
        <v>34.7550018310547</v>
      </c>
      <c r="F107" s="174" t="n">
        <v>36.7050018310547</v>
      </c>
      <c r="G107" s="174" t="n">
        <v>38.6550018310547</v>
      </c>
      <c r="H107" s="159"/>
      <c r="I107" s="174" t="n">
        <v>19.5400009155273</v>
      </c>
      <c r="J107" s="174" t="n">
        <v>19.5400009155273</v>
      </c>
      <c r="K107" s="174" t="n">
        <v>19.5400009155273</v>
      </c>
      <c r="L107" s="141"/>
      <c r="M107" s="142" t="n">
        <v>39722</v>
      </c>
      <c r="N107" s="175" t="n">
        <v>20.2860012054443</v>
      </c>
      <c r="O107" s="175" t="n">
        <v>20.2860012054443</v>
      </c>
      <c r="P107" s="175" t="n">
        <v>20.2860012054443</v>
      </c>
      <c r="Q107" s="62"/>
      <c r="R107" s="175" t="n">
        <v>14.7865009307861</v>
      </c>
      <c r="S107" s="175" t="n">
        <v>14.7865009307861</v>
      </c>
      <c r="T107" s="175" t="n">
        <v>14.7865009307861</v>
      </c>
      <c r="U107" s="62"/>
      <c r="V107" s="175" t="n">
        <v>0</v>
      </c>
      <c r="W107" s="175" t="n">
        <v>0</v>
      </c>
      <c r="X107" s="175" t="n">
        <v>0</v>
      </c>
      <c r="Y107" s="62"/>
      <c r="Z107" s="175" t="n">
        <v>0.16</v>
      </c>
      <c r="AA107" s="175" t="n">
        <v>0.2</v>
      </c>
      <c r="AB107" s="175" t="n">
        <v>0.24</v>
      </c>
      <c r="AC107" s="62"/>
      <c r="AD107" s="175" t="n">
        <v>0.08</v>
      </c>
      <c r="AE107" s="175" t="n">
        <v>0.1</v>
      </c>
      <c r="AF107" s="175" t="n">
        <v>0.12</v>
      </c>
      <c r="AG107" s="62"/>
      <c r="AH107" s="175" t="n">
        <v>0.36</v>
      </c>
      <c r="AI107" s="175" t="n">
        <v>0.45</v>
      </c>
      <c r="AJ107" s="175" t="n">
        <v>0.54</v>
      </c>
      <c r="AK107" s="62"/>
      <c r="AL107" s="175" t="n">
        <v>0.216</v>
      </c>
      <c r="AM107" s="175" t="n">
        <v>0.27</v>
      </c>
      <c r="AN107" s="175" t="n">
        <v>0.324</v>
      </c>
      <c r="AO107" s="62"/>
      <c r="AP107" s="141" t="n">
        <v>30</v>
      </c>
      <c r="AQ107" s="176" t="n">
        <v>0.4</v>
      </c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142" t="n">
        <v>39722</v>
      </c>
      <c r="BI107" s="178" t="n">
        <v>0.75</v>
      </c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0"/>
      <c r="CM107" s="230"/>
      <c r="CN107" s="230"/>
      <c r="CO107" s="179"/>
      <c r="CP107" s="0"/>
      <c r="CQ107" s="0"/>
      <c r="CR107" s="0"/>
      <c r="CS107" s="0"/>
      <c r="CT107" s="0"/>
      <c r="CY107" s="180" t="n">
        <f aca="false">M107</f>
        <v>39722</v>
      </c>
      <c r="CZ107" s="181" t="n">
        <f aca="false">AH107</f>
        <v>0.36</v>
      </c>
      <c r="DA107" s="181" t="n">
        <f aca="false">AI107</f>
        <v>0.45</v>
      </c>
      <c r="DB107" s="181" t="n">
        <f aca="false">AJ107</f>
        <v>0.54</v>
      </c>
      <c r="DD107" s="181" t="n">
        <f aca="false">Z107</f>
        <v>0.16</v>
      </c>
      <c r="DE107" s="181" t="n">
        <f aca="false">AA107</f>
        <v>0.2</v>
      </c>
      <c r="DF107" s="181" t="n">
        <f aca="false">AB107</f>
        <v>0.24</v>
      </c>
      <c r="DH107" s="180" t="n">
        <f aca="false">BH107</f>
        <v>39722</v>
      </c>
      <c r="DI107" s="135" t="n">
        <f aca="false">BI107</f>
        <v>0.75</v>
      </c>
      <c r="DL107" s="180" t="n">
        <f aca="false">M107</f>
        <v>39722</v>
      </c>
      <c r="DM107" s="181" t="n">
        <f aca="false">AL107</f>
        <v>0.216</v>
      </c>
      <c r="DN107" s="181" t="n">
        <f aca="false">AM107</f>
        <v>0.27</v>
      </c>
      <c r="DO107" s="181" t="n">
        <f aca="false">AN107</f>
        <v>0.324</v>
      </c>
      <c r="DQ107" s="181" t="n">
        <f aca="false">AD107</f>
        <v>0.08</v>
      </c>
      <c r="DR107" s="181" t="n">
        <f aca="false">AE107</f>
        <v>0.1</v>
      </c>
      <c r="DS107" s="181" t="n">
        <f aca="false">AF107</f>
        <v>0.12</v>
      </c>
    </row>
    <row r="108" customFormat="false" ht="12.75" hidden="false" customHeight="false" outlineLevel="0" collapsed="false">
      <c r="A108" s="145" t="n">
        <f aca="false">EOMONTH(A107,0)+1</f>
        <v>48823</v>
      </c>
      <c r="B108" s="135" t="n">
        <f aca="false">'Gas Curves'!C112</f>
        <v>0.0611065113711544</v>
      </c>
      <c r="C108" s="135"/>
      <c r="D108" s="173" t="n">
        <v>38869</v>
      </c>
      <c r="E108" s="174" t="n">
        <v>37.8750038146973</v>
      </c>
      <c r="F108" s="174" t="n">
        <v>42.6250038146973</v>
      </c>
      <c r="G108" s="174" t="n">
        <v>47.3750038146973</v>
      </c>
      <c r="H108" s="159"/>
      <c r="I108" s="174" t="n">
        <v>22.5400009155273</v>
      </c>
      <c r="J108" s="174" t="n">
        <v>22.5400009155273</v>
      </c>
      <c r="K108" s="174" t="n">
        <v>22.5400009155273</v>
      </c>
      <c r="L108" s="141"/>
      <c r="M108" s="142" t="n">
        <v>39753</v>
      </c>
      <c r="N108" s="175" t="n">
        <v>22.2900009155273</v>
      </c>
      <c r="O108" s="175" t="n">
        <v>22.2900009155273</v>
      </c>
      <c r="P108" s="175" t="n">
        <v>22.2900009155273</v>
      </c>
      <c r="Q108" s="62"/>
      <c r="R108" s="175" t="n">
        <v>14.7900009155273</v>
      </c>
      <c r="S108" s="175" t="n">
        <v>14.7900009155273</v>
      </c>
      <c r="T108" s="175" t="n">
        <v>14.7900009155273</v>
      </c>
      <c r="U108" s="62"/>
      <c r="V108" s="175" t="n">
        <v>0</v>
      </c>
      <c r="W108" s="175" t="n">
        <v>0</v>
      </c>
      <c r="X108" s="175" t="n">
        <v>0</v>
      </c>
      <c r="Y108" s="62"/>
      <c r="Z108" s="175" t="n">
        <v>0.16</v>
      </c>
      <c r="AA108" s="175" t="n">
        <v>0.2</v>
      </c>
      <c r="AB108" s="175" t="n">
        <v>0.24</v>
      </c>
      <c r="AC108" s="62"/>
      <c r="AD108" s="175" t="n">
        <v>0.08</v>
      </c>
      <c r="AE108" s="175" t="n">
        <v>0.1</v>
      </c>
      <c r="AF108" s="175" t="n">
        <v>0.12</v>
      </c>
      <c r="AG108" s="62"/>
      <c r="AH108" s="175" t="n">
        <v>0.28</v>
      </c>
      <c r="AI108" s="175" t="n">
        <v>0.35</v>
      </c>
      <c r="AJ108" s="175" t="n">
        <v>0.42</v>
      </c>
      <c r="AK108" s="62"/>
      <c r="AL108" s="175" t="n">
        <v>0.168</v>
      </c>
      <c r="AM108" s="175" t="n">
        <v>0.21</v>
      </c>
      <c r="AN108" s="175" t="n">
        <v>0.252</v>
      </c>
      <c r="AO108" s="62"/>
      <c r="AP108" s="141" t="n">
        <v>30</v>
      </c>
      <c r="AQ108" s="176" t="n">
        <v>0.4</v>
      </c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142" t="n">
        <v>39753</v>
      </c>
      <c r="BI108" s="178" t="n">
        <v>0.75</v>
      </c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0"/>
      <c r="CM108" s="230"/>
      <c r="CN108" s="230"/>
      <c r="CO108" s="179"/>
      <c r="CP108" s="0"/>
      <c r="CQ108" s="0"/>
      <c r="CR108" s="0"/>
      <c r="CS108" s="0"/>
      <c r="CT108" s="0"/>
      <c r="CY108" s="180" t="n">
        <f aca="false">M108</f>
        <v>39753</v>
      </c>
      <c r="CZ108" s="181" t="n">
        <f aca="false">AH108</f>
        <v>0.28</v>
      </c>
      <c r="DA108" s="181" t="n">
        <f aca="false">AI108</f>
        <v>0.35</v>
      </c>
      <c r="DB108" s="181" t="n">
        <f aca="false">AJ108</f>
        <v>0.42</v>
      </c>
      <c r="DD108" s="181" t="n">
        <f aca="false">Z108</f>
        <v>0.16</v>
      </c>
      <c r="DE108" s="181" t="n">
        <f aca="false">AA108</f>
        <v>0.2</v>
      </c>
      <c r="DF108" s="181" t="n">
        <f aca="false">AB108</f>
        <v>0.24</v>
      </c>
      <c r="DH108" s="180" t="n">
        <f aca="false">BH108</f>
        <v>39753</v>
      </c>
      <c r="DI108" s="135" t="n">
        <f aca="false">BI108</f>
        <v>0.75</v>
      </c>
      <c r="DL108" s="180" t="n">
        <f aca="false">M108</f>
        <v>39753</v>
      </c>
      <c r="DM108" s="181" t="n">
        <f aca="false">AL108</f>
        <v>0.168</v>
      </c>
      <c r="DN108" s="181" t="n">
        <f aca="false">AM108</f>
        <v>0.21</v>
      </c>
      <c r="DO108" s="181" t="n">
        <f aca="false">AN108</f>
        <v>0.252</v>
      </c>
      <c r="DQ108" s="181" t="n">
        <f aca="false">AD108</f>
        <v>0.08</v>
      </c>
      <c r="DR108" s="181" t="n">
        <f aca="false">AE108</f>
        <v>0.1</v>
      </c>
      <c r="DS108" s="181" t="n">
        <f aca="false">AF108</f>
        <v>0.12</v>
      </c>
    </row>
    <row r="109" customFormat="false" ht="12.75" hidden="false" customHeight="false" outlineLevel="0" collapsed="false">
      <c r="A109" s="145" t="n">
        <f aca="false">EOMONTH(A108,0)+1</f>
        <v>48853</v>
      </c>
      <c r="B109" s="135" t="n">
        <f aca="false">'Gas Curves'!C113</f>
        <v>0.061178997066206</v>
      </c>
      <c r="C109" s="135"/>
      <c r="D109" s="173" t="n">
        <v>38899</v>
      </c>
      <c r="E109" s="174" t="n">
        <v>42.75</v>
      </c>
      <c r="F109" s="174" t="n">
        <v>51.75</v>
      </c>
      <c r="G109" s="174" t="n">
        <v>60.75</v>
      </c>
      <c r="H109" s="159"/>
      <c r="I109" s="174" t="n">
        <v>23.0400009155273</v>
      </c>
      <c r="J109" s="174" t="n">
        <v>23.0400009155273</v>
      </c>
      <c r="K109" s="174" t="n">
        <v>23.0400009155273</v>
      </c>
      <c r="L109" s="141"/>
      <c r="M109" s="142" t="n">
        <v>39783</v>
      </c>
      <c r="N109" s="175" t="n">
        <v>27.2900009155273</v>
      </c>
      <c r="O109" s="175" t="n">
        <v>27.2900009155273</v>
      </c>
      <c r="P109" s="175" t="n">
        <v>27.2900009155273</v>
      </c>
      <c r="Q109" s="62"/>
      <c r="R109" s="175" t="n">
        <v>21.7900009155273</v>
      </c>
      <c r="S109" s="175" t="n">
        <v>21.7900009155273</v>
      </c>
      <c r="T109" s="175" t="n">
        <v>21.7900009155273</v>
      </c>
      <c r="U109" s="62"/>
      <c r="V109" s="175" t="n">
        <v>0</v>
      </c>
      <c r="W109" s="175" t="n">
        <v>0</v>
      </c>
      <c r="X109" s="175" t="n">
        <v>0</v>
      </c>
      <c r="Y109" s="62"/>
      <c r="Z109" s="175" t="n">
        <v>0.16</v>
      </c>
      <c r="AA109" s="175" t="n">
        <v>0.2</v>
      </c>
      <c r="AB109" s="175" t="n">
        <v>0.24</v>
      </c>
      <c r="AC109" s="62"/>
      <c r="AD109" s="175" t="n">
        <v>0.08</v>
      </c>
      <c r="AE109" s="175" t="n">
        <v>0.1</v>
      </c>
      <c r="AF109" s="175" t="n">
        <v>0.12</v>
      </c>
      <c r="AG109" s="62"/>
      <c r="AH109" s="175" t="n">
        <v>0.28</v>
      </c>
      <c r="AI109" s="175" t="n">
        <v>0.35</v>
      </c>
      <c r="AJ109" s="175" t="n">
        <v>0.42</v>
      </c>
      <c r="AK109" s="62"/>
      <c r="AL109" s="175" t="n">
        <v>0.168</v>
      </c>
      <c r="AM109" s="175" t="n">
        <v>0.21</v>
      </c>
      <c r="AN109" s="175" t="n">
        <v>0.252</v>
      </c>
      <c r="AO109" s="62"/>
      <c r="AP109" s="141" t="n">
        <v>31</v>
      </c>
      <c r="AQ109" s="176" t="n">
        <v>0.4</v>
      </c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142" t="n">
        <v>39783</v>
      </c>
      <c r="BI109" s="178" t="n">
        <v>0.75</v>
      </c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0"/>
      <c r="CM109" s="230"/>
      <c r="CN109" s="230"/>
      <c r="CO109" s="179"/>
      <c r="CP109" s="0"/>
      <c r="CQ109" s="0"/>
      <c r="CR109" s="0"/>
      <c r="CS109" s="0"/>
      <c r="CT109" s="0"/>
      <c r="CY109" s="180" t="n">
        <f aca="false">M109</f>
        <v>39783</v>
      </c>
      <c r="CZ109" s="181" t="n">
        <f aca="false">AH109</f>
        <v>0.28</v>
      </c>
      <c r="DA109" s="181" t="n">
        <f aca="false">AI109</f>
        <v>0.35</v>
      </c>
      <c r="DB109" s="181" t="n">
        <f aca="false">AJ109</f>
        <v>0.42</v>
      </c>
      <c r="DD109" s="181" t="n">
        <f aca="false">Z109</f>
        <v>0.16</v>
      </c>
      <c r="DE109" s="181" t="n">
        <f aca="false">AA109</f>
        <v>0.2</v>
      </c>
      <c r="DF109" s="181" t="n">
        <f aca="false">AB109</f>
        <v>0.24</v>
      </c>
      <c r="DH109" s="180" t="n">
        <f aca="false">BH109</f>
        <v>39783</v>
      </c>
      <c r="DI109" s="135" t="n">
        <f aca="false">BI109</f>
        <v>0.75</v>
      </c>
      <c r="DL109" s="180" t="n">
        <f aca="false">M109</f>
        <v>39783</v>
      </c>
      <c r="DM109" s="181" t="n">
        <f aca="false">AL109</f>
        <v>0.168</v>
      </c>
      <c r="DN109" s="181" t="n">
        <f aca="false">AM109</f>
        <v>0.21</v>
      </c>
      <c r="DO109" s="181" t="n">
        <f aca="false">AN109</f>
        <v>0.252</v>
      </c>
      <c r="DQ109" s="181" t="n">
        <f aca="false">AD109</f>
        <v>0.08</v>
      </c>
      <c r="DR109" s="181" t="n">
        <f aca="false">AE109</f>
        <v>0.1</v>
      </c>
      <c r="DS109" s="181" t="n">
        <f aca="false">AF109</f>
        <v>0.12</v>
      </c>
    </row>
    <row r="110" customFormat="false" ht="12.75" hidden="false" customHeight="false" outlineLevel="0" collapsed="false">
      <c r="A110" s="145" t="n">
        <f aca="false">EOMONTH(A109,0)+1</f>
        <v>48884</v>
      </c>
      <c r="B110" s="135" t="n">
        <f aca="false">'Gas Curves'!C114</f>
        <v>0.0612538989529257</v>
      </c>
      <c r="C110" s="135"/>
      <c r="D110" s="173" t="n">
        <v>38930</v>
      </c>
      <c r="E110" s="174" t="n">
        <v>42.75</v>
      </c>
      <c r="F110" s="174" t="n">
        <v>51.75</v>
      </c>
      <c r="G110" s="174" t="n">
        <v>60.75</v>
      </c>
      <c r="H110" s="159"/>
      <c r="I110" s="174" t="n">
        <v>24.0400009155273</v>
      </c>
      <c r="J110" s="174" t="n">
        <v>24.0400009155273</v>
      </c>
      <c r="K110" s="174" t="n">
        <v>24.0400009155273</v>
      </c>
      <c r="L110" s="141"/>
      <c r="M110" s="142" t="n">
        <v>39814</v>
      </c>
      <c r="N110" s="175" t="n">
        <v>35.75</v>
      </c>
      <c r="O110" s="175" t="n">
        <v>35.75</v>
      </c>
      <c r="P110" s="175" t="n">
        <v>35.75</v>
      </c>
      <c r="Q110" s="62"/>
      <c r="R110" s="175" t="n">
        <v>25.25</v>
      </c>
      <c r="S110" s="175" t="n">
        <v>25.25</v>
      </c>
      <c r="T110" s="175" t="n">
        <v>25.25</v>
      </c>
      <c r="U110" s="62"/>
      <c r="V110" s="175" t="n">
        <v>0</v>
      </c>
      <c r="W110" s="175" t="n">
        <v>0</v>
      </c>
      <c r="X110" s="175" t="n">
        <v>0</v>
      </c>
      <c r="Y110" s="62"/>
      <c r="Z110" s="175" t="n">
        <v>0.16</v>
      </c>
      <c r="AA110" s="175" t="n">
        <v>0.2</v>
      </c>
      <c r="AB110" s="175" t="n">
        <v>0.24</v>
      </c>
      <c r="AC110" s="62"/>
      <c r="AD110" s="175" t="n">
        <v>0.08</v>
      </c>
      <c r="AE110" s="175" t="n">
        <v>0.1</v>
      </c>
      <c r="AF110" s="175" t="n">
        <v>0.12</v>
      </c>
      <c r="AG110" s="62"/>
      <c r="AH110" s="175" t="n">
        <v>0.28</v>
      </c>
      <c r="AI110" s="175" t="n">
        <v>0.35</v>
      </c>
      <c r="AJ110" s="175" t="n">
        <v>0.42</v>
      </c>
      <c r="AK110" s="62"/>
      <c r="AL110" s="175" t="n">
        <v>0.168</v>
      </c>
      <c r="AM110" s="175" t="n">
        <v>0.21</v>
      </c>
      <c r="AN110" s="175" t="n">
        <v>0.252</v>
      </c>
      <c r="AO110" s="62"/>
      <c r="AP110" s="141" t="n">
        <v>31</v>
      </c>
      <c r="AQ110" s="176" t="n">
        <v>0.4</v>
      </c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142" t="n">
        <v>39814</v>
      </c>
      <c r="BI110" s="178" t="n">
        <v>0.75</v>
      </c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0"/>
      <c r="CM110" s="230"/>
      <c r="CN110" s="230"/>
      <c r="CO110" s="179"/>
      <c r="CP110" s="0"/>
      <c r="CQ110" s="0"/>
      <c r="CR110" s="0"/>
      <c r="CS110" s="0"/>
      <c r="CT110" s="0"/>
      <c r="CY110" s="180" t="n">
        <f aca="false">M110</f>
        <v>39814</v>
      </c>
      <c r="CZ110" s="181" t="n">
        <f aca="false">AH110</f>
        <v>0.28</v>
      </c>
      <c r="DA110" s="181" t="n">
        <f aca="false">AI110</f>
        <v>0.35</v>
      </c>
      <c r="DB110" s="181" t="n">
        <f aca="false">AJ110</f>
        <v>0.42</v>
      </c>
      <c r="DD110" s="181" t="n">
        <f aca="false">Z110</f>
        <v>0.16</v>
      </c>
      <c r="DE110" s="181" t="n">
        <f aca="false">AA110</f>
        <v>0.2</v>
      </c>
      <c r="DF110" s="181" t="n">
        <f aca="false">AB110</f>
        <v>0.24</v>
      </c>
      <c r="DH110" s="180" t="n">
        <f aca="false">BH110</f>
        <v>39814</v>
      </c>
      <c r="DI110" s="135" t="n">
        <f aca="false">BI110</f>
        <v>0.75</v>
      </c>
      <c r="DL110" s="180" t="n">
        <f aca="false">M110</f>
        <v>39814</v>
      </c>
      <c r="DM110" s="181" t="n">
        <f aca="false">AL110</f>
        <v>0.168</v>
      </c>
      <c r="DN110" s="181" t="n">
        <f aca="false">AM110</f>
        <v>0.21</v>
      </c>
      <c r="DO110" s="181" t="n">
        <f aca="false">AN110</f>
        <v>0.252</v>
      </c>
      <c r="DQ110" s="181" t="n">
        <f aca="false">AD110</f>
        <v>0.08</v>
      </c>
      <c r="DR110" s="181" t="n">
        <f aca="false">AE110</f>
        <v>0.1</v>
      </c>
      <c r="DS110" s="181" t="n">
        <f aca="false">AF110</f>
        <v>0.12</v>
      </c>
    </row>
    <row r="111" customFormat="false" ht="12.75" hidden="false" customHeight="false" outlineLevel="0" collapsed="false">
      <c r="A111" s="145" t="n">
        <f aca="false">EOMONTH(A110,0)+1</f>
        <v>48914</v>
      </c>
      <c r="B111" s="135" t="n">
        <f aca="false">'Gas Curves'!C115</f>
        <v>0.0613263846515251</v>
      </c>
      <c r="C111" s="135"/>
      <c r="D111" s="173" t="n">
        <v>38961</v>
      </c>
      <c r="E111" s="174" t="n">
        <v>28.0799999237061</v>
      </c>
      <c r="F111" s="174" t="n">
        <v>30.8299999237061</v>
      </c>
      <c r="G111" s="174" t="n">
        <v>33.5799999237061</v>
      </c>
      <c r="H111" s="159"/>
      <c r="I111" s="174" t="n">
        <v>18.0400009155273</v>
      </c>
      <c r="J111" s="174" t="n">
        <v>18.0400009155273</v>
      </c>
      <c r="K111" s="174" t="n">
        <v>18.0400009155273</v>
      </c>
      <c r="L111" s="141"/>
      <c r="M111" s="142" t="n">
        <v>39845</v>
      </c>
      <c r="N111" s="175" t="n">
        <v>31.2460021972656</v>
      </c>
      <c r="O111" s="175" t="n">
        <v>31.2460021972656</v>
      </c>
      <c r="P111" s="175" t="n">
        <v>31.2460021972656</v>
      </c>
      <c r="Q111" s="62"/>
      <c r="R111" s="175" t="n">
        <v>22.7465019226074</v>
      </c>
      <c r="S111" s="175" t="n">
        <v>22.7465019226074</v>
      </c>
      <c r="T111" s="175" t="n">
        <v>22.7465019226074</v>
      </c>
      <c r="U111" s="62"/>
      <c r="V111" s="175" t="n">
        <v>0</v>
      </c>
      <c r="W111" s="175" t="n">
        <v>0</v>
      </c>
      <c r="X111" s="175" t="n">
        <v>0</v>
      </c>
      <c r="Y111" s="62"/>
      <c r="Z111" s="175" t="n">
        <v>0.16</v>
      </c>
      <c r="AA111" s="175" t="n">
        <v>0.2</v>
      </c>
      <c r="AB111" s="175" t="n">
        <v>0.24</v>
      </c>
      <c r="AC111" s="62"/>
      <c r="AD111" s="175" t="n">
        <v>0.08</v>
      </c>
      <c r="AE111" s="175" t="n">
        <v>0.1</v>
      </c>
      <c r="AF111" s="175" t="n">
        <v>0.12</v>
      </c>
      <c r="AG111" s="62"/>
      <c r="AH111" s="175" t="n">
        <v>0.28</v>
      </c>
      <c r="AI111" s="175" t="n">
        <v>0.35</v>
      </c>
      <c r="AJ111" s="175" t="n">
        <v>0.42</v>
      </c>
      <c r="AK111" s="62"/>
      <c r="AL111" s="175" t="n">
        <v>0.168</v>
      </c>
      <c r="AM111" s="175" t="n">
        <v>0.21</v>
      </c>
      <c r="AN111" s="175" t="n">
        <v>0.252</v>
      </c>
      <c r="AO111" s="62"/>
      <c r="AP111" s="141" t="n">
        <v>31</v>
      </c>
      <c r="AQ111" s="176" t="n">
        <v>0.4</v>
      </c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142" t="n">
        <v>39845</v>
      </c>
      <c r="BI111" s="178" t="n">
        <v>0.75</v>
      </c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0"/>
      <c r="CM111" s="230"/>
      <c r="CN111" s="230"/>
      <c r="CO111" s="179"/>
      <c r="CP111" s="0"/>
      <c r="CQ111" s="0"/>
      <c r="CR111" s="0"/>
      <c r="CS111" s="0"/>
      <c r="CT111" s="0"/>
      <c r="CY111" s="180" t="n">
        <f aca="false">M111</f>
        <v>39845</v>
      </c>
      <c r="CZ111" s="181" t="n">
        <f aca="false">AH111</f>
        <v>0.28</v>
      </c>
      <c r="DA111" s="181" t="n">
        <f aca="false">AI111</f>
        <v>0.35</v>
      </c>
      <c r="DB111" s="181" t="n">
        <f aca="false">AJ111</f>
        <v>0.42</v>
      </c>
      <c r="DD111" s="181" t="n">
        <f aca="false">Z111</f>
        <v>0.16</v>
      </c>
      <c r="DE111" s="181" t="n">
        <f aca="false">AA111</f>
        <v>0.2</v>
      </c>
      <c r="DF111" s="181" t="n">
        <f aca="false">AB111</f>
        <v>0.24</v>
      </c>
      <c r="DH111" s="180" t="n">
        <f aca="false">BH111</f>
        <v>39845</v>
      </c>
      <c r="DI111" s="135" t="n">
        <f aca="false">BI111</f>
        <v>0.75</v>
      </c>
      <c r="DL111" s="180" t="n">
        <f aca="false">M111</f>
        <v>39845</v>
      </c>
      <c r="DM111" s="181" t="n">
        <f aca="false">AL111</f>
        <v>0.168</v>
      </c>
      <c r="DN111" s="181" t="n">
        <f aca="false">AM111</f>
        <v>0.21</v>
      </c>
      <c r="DO111" s="181" t="n">
        <f aca="false">AN111</f>
        <v>0.252</v>
      </c>
      <c r="DQ111" s="181" t="n">
        <f aca="false">AD111</f>
        <v>0.08</v>
      </c>
      <c r="DR111" s="181" t="n">
        <f aca="false">AE111</f>
        <v>0.1</v>
      </c>
      <c r="DS111" s="181" t="n">
        <f aca="false">AF111</f>
        <v>0.12</v>
      </c>
    </row>
    <row r="112" customFormat="false" ht="12.75" hidden="false" customHeight="false" outlineLevel="0" collapsed="false">
      <c r="A112" s="145" t="n">
        <f aca="false">EOMONTH(A111,0)+1</f>
        <v>48945</v>
      </c>
      <c r="B112" s="135" t="n">
        <f aca="false">'Gas Curves'!C116</f>
        <v>0.0614012865419098</v>
      </c>
      <c r="C112" s="135"/>
      <c r="D112" s="173" t="n">
        <v>38991</v>
      </c>
      <c r="E112" s="174" t="n">
        <v>30.9815639257431</v>
      </c>
      <c r="F112" s="174" t="n">
        <v>31.9815639257431</v>
      </c>
      <c r="G112" s="174" t="n">
        <v>32.9815639257431</v>
      </c>
      <c r="H112" s="159"/>
      <c r="I112" s="174" t="n">
        <v>17.540002822876</v>
      </c>
      <c r="J112" s="174" t="n">
        <v>17.540002822876</v>
      </c>
      <c r="K112" s="174" t="n">
        <v>17.540002822876</v>
      </c>
      <c r="L112" s="141"/>
      <c r="M112" s="142" t="n">
        <v>39873</v>
      </c>
      <c r="N112" s="175" t="n">
        <v>25.5</v>
      </c>
      <c r="O112" s="175" t="n">
        <v>25.5</v>
      </c>
      <c r="P112" s="175" t="n">
        <v>25.5</v>
      </c>
      <c r="Q112" s="62"/>
      <c r="R112" s="175" t="n">
        <v>20</v>
      </c>
      <c r="S112" s="175" t="n">
        <v>20</v>
      </c>
      <c r="T112" s="175" t="n">
        <v>20</v>
      </c>
      <c r="U112" s="62"/>
      <c r="V112" s="175" t="n">
        <v>0</v>
      </c>
      <c r="W112" s="175" t="n">
        <v>0</v>
      </c>
      <c r="X112" s="175" t="n">
        <v>0</v>
      </c>
      <c r="Y112" s="62"/>
      <c r="Z112" s="175" t="n">
        <v>0.16</v>
      </c>
      <c r="AA112" s="175" t="n">
        <v>0.2</v>
      </c>
      <c r="AB112" s="175" t="n">
        <v>0.24</v>
      </c>
      <c r="AC112" s="62"/>
      <c r="AD112" s="175" t="n">
        <v>0.08</v>
      </c>
      <c r="AE112" s="175" t="n">
        <v>0.1</v>
      </c>
      <c r="AF112" s="175" t="n">
        <v>0.12</v>
      </c>
      <c r="AG112" s="62"/>
      <c r="AH112" s="175" t="n">
        <v>0.28</v>
      </c>
      <c r="AI112" s="175" t="n">
        <v>0.35</v>
      </c>
      <c r="AJ112" s="175" t="n">
        <v>0.42</v>
      </c>
      <c r="AK112" s="62"/>
      <c r="AL112" s="175" t="n">
        <v>0.168</v>
      </c>
      <c r="AM112" s="175" t="n">
        <v>0.21</v>
      </c>
      <c r="AN112" s="175" t="n">
        <v>0.252</v>
      </c>
      <c r="AO112" s="62"/>
      <c r="AP112" s="141" t="n">
        <v>32</v>
      </c>
      <c r="AQ112" s="176" t="n">
        <v>0.4</v>
      </c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142" t="n">
        <v>39873</v>
      </c>
      <c r="BI112" s="178" t="n">
        <v>0.75</v>
      </c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0"/>
      <c r="CM112" s="230"/>
      <c r="CN112" s="230"/>
      <c r="CO112" s="179"/>
      <c r="CP112" s="0"/>
      <c r="CQ112" s="0"/>
      <c r="CR112" s="0"/>
      <c r="CS112" s="0"/>
      <c r="CT112" s="0"/>
      <c r="CY112" s="180" t="n">
        <f aca="false">M112</f>
        <v>39873</v>
      </c>
      <c r="CZ112" s="181" t="n">
        <f aca="false">AH112</f>
        <v>0.28</v>
      </c>
      <c r="DA112" s="181" t="n">
        <f aca="false">AI112</f>
        <v>0.35</v>
      </c>
      <c r="DB112" s="181" t="n">
        <f aca="false">AJ112</f>
        <v>0.42</v>
      </c>
      <c r="DD112" s="181" t="n">
        <f aca="false">Z112</f>
        <v>0.16</v>
      </c>
      <c r="DE112" s="181" t="n">
        <f aca="false">AA112</f>
        <v>0.2</v>
      </c>
      <c r="DF112" s="181" t="n">
        <f aca="false">AB112</f>
        <v>0.24</v>
      </c>
      <c r="DH112" s="180" t="n">
        <f aca="false">BH112</f>
        <v>39873</v>
      </c>
      <c r="DI112" s="135" t="n">
        <f aca="false">BI112</f>
        <v>0.75</v>
      </c>
      <c r="DL112" s="180" t="n">
        <f aca="false">M112</f>
        <v>39873</v>
      </c>
      <c r="DM112" s="181" t="n">
        <f aca="false">AL112</f>
        <v>0.168</v>
      </c>
      <c r="DN112" s="181" t="n">
        <f aca="false">AM112</f>
        <v>0.21</v>
      </c>
      <c r="DO112" s="181" t="n">
        <f aca="false">AN112</f>
        <v>0.252</v>
      </c>
      <c r="DQ112" s="181" t="n">
        <f aca="false">AD112</f>
        <v>0.08</v>
      </c>
      <c r="DR112" s="181" t="n">
        <f aca="false">AE112</f>
        <v>0.1</v>
      </c>
      <c r="DS112" s="181" t="n">
        <f aca="false">AF112</f>
        <v>0.12</v>
      </c>
    </row>
    <row r="113" customFormat="false" ht="12.75" hidden="false" customHeight="false" outlineLevel="0" collapsed="false">
      <c r="A113" s="145" t="n">
        <f aca="false">EOMONTH(A112,0)+1</f>
        <v>48976</v>
      </c>
      <c r="B113" s="135" t="n">
        <f aca="false">'Gas Curves'!C117</f>
        <v>0.0614761884341584</v>
      </c>
      <c r="C113" s="135"/>
      <c r="D113" s="173" t="n">
        <v>39022</v>
      </c>
      <c r="E113" s="174" t="n">
        <v>31.0815623998642</v>
      </c>
      <c r="F113" s="174" t="n">
        <v>32.0815623998642</v>
      </c>
      <c r="G113" s="174" t="n">
        <v>33.0815623998642</v>
      </c>
      <c r="H113" s="159"/>
      <c r="I113" s="174" t="n">
        <v>18.5400009155273</v>
      </c>
      <c r="J113" s="174" t="n">
        <v>18.5400009155273</v>
      </c>
      <c r="K113" s="174" t="n">
        <v>18.5400009155273</v>
      </c>
      <c r="L113" s="141"/>
      <c r="M113" s="142" t="n">
        <v>39904</v>
      </c>
      <c r="N113" s="175" t="n">
        <v>22</v>
      </c>
      <c r="O113" s="175" t="n">
        <v>22</v>
      </c>
      <c r="P113" s="175" t="n">
        <v>22</v>
      </c>
      <c r="Q113" s="62"/>
      <c r="R113" s="175" t="n">
        <v>16.4950008392334</v>
      </c>
      <c r="S113" s="175" t="n">
        <v>16.4950008392334</v>
      </c>
      <c r="T113" s="175" t="n">
        <v>16.4950008392334</v>
      </c>
      <c r="U113" s="62"/>
      <c r="V113" s="175" t="n">
        <v>0</v>
      </c>
      <c r="W113" s="175" t="n">
        <v>0</v>
      </c>
      <c r="X113" s="175" t="n">
        <v>0</v>
      </c>
      <c r="Y113" s="62"/>
      <c r="Z113" s="175" t="n">
        <v>0.16</v>
      </c>
      <c r="AA113" s="175" t="n">
        <v>0.2</v>
      </c>
      <c r="AB113" s="175" t="n">
        <v>0.24</v>
      </c>
      <c r="AC113" s="62"/>
      <c r="AD113" s="175" t="n">
        <v>0.08</v>
      </c>
      <c r="AE113" s="175" t="n">
        <v>0.1</v>
      </c>
      <c r="AF113" s="175" t="n">
        <v>0.12</v>
      </c>
      <c r="AG113" s="62"/>
      <c r="AH113" s="175" t="n">
        <v>0.28</v>
      </c>
      <c r="AI113" s="175" t="n">
        <v>0.35</v>
      </c>
      <c r="AJ113" s="175" t="n">
        <v>0.42</v>
      </c>
      <c r="AK113" s="62"/>
      <c r="AL113" s="175" t="n">
        <v>0.168</v>
      </c>
      <c r="AM113" s="175" t="n">
        <v>0.21</v>
      </c>
      <c r="AN113" s="175" t="n">
        <v>0.252</v>
      </c>
      <c r="AO113" s="62"/>
      <c r="AP113" s="141" t="n">
        <v>32</v>
      </c>
      <c r="AQ113" s="176" t="n">
        <v>0.4</v>
      </c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142" t="n">
        <v>39904</v>
      </c>
      <c r="BI113" s="178" t="n">
        <v>0.75</v>
      </c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0"/>
      <c r="CM113" s="230"/>
      <c r="CN113" s="230"/>
      <c r="CO113" s="179"/>
      <c r="CP113" s="0"/>
      <c r="CQ113" s="0"/>
      <c r="CR113" s="0"/>
      <c r="CS113" s="0"/>
      <c r="CT113" s="0"/>
      <c r="CY113" s="180" t="n">
        <f aca="false">M113</f>
        <v>39904</v>
      </c>
      <c r="CZ113" s="181" t="n">
        <f aca="false">AH113</f>
        <v>0.28</v>
      </c>
      <c r="DA113" s="181" t="n">
        <f aca="false">AI113</f>
        <v>0.35</v>
      </c>
      <c r="DB113" s="181" t="n">
        <f aca="false">AJ113</f>
        <v>0.42</v>
      </c>
      <c r="DD113" s="181" t="n">
        <f aca="false">Z113</f>
        <v>0.16</v>
      </c>
      <c r="DE113" s="181" t="n">
        <f aca="false">AA113</f>
        <v>0.2</v>
      </c>
      <c r="DF113" s="181" t="n">
        <f aca="false">AB113</f>
        <v>0.24</v>
      </c>
      <c r="DH113" s="180" t="n">
        <f aca="false">BH113</f>
        <v>39904</v>
      </c>
      <c r="DI113" s="135" t="n">
        <f aca="false">BI113</f>
        <v>0.75</v>
      </c>
      <c r="DL113" s="180" t="n">
        <f aca="false">M113</f>
        <v>39904</v>
      </c>
      <c r="DM113" s="181" t="n">
        <f aca="false">AL113</f>
        <v>0.168</v>
      </c>
      <c r="DN113" s="181" t="n">
        <f aca="false">AM113</f>
        <v>0.21</v>
      </c>
      <c r="DO113" s="181" t="n">
        <f aca="false">AN113</f>
        <v>0.252</v>
      </c>
      <c r="DQ113" s="181" t="n">
        <f aca="false">AD113</f>
        <v>0.08</v>
      </c>
      <c r="DR113" s="181" t="n">
        <f aca="false">AE113</f>
        <v>0.1</v>
      </c>
      <c r="DS113" s="181" t="n">
        <f aca="false">AF113</f>
        <v>0.12</v>
      </c>
    </row>
    <row r="114" customFormat="false" ht="12.75" hidden="false" customHeight="false" outlineLevel="0" collapsed="false">
      <c r="A114" s="145" t="n">
        <f aca="false">EOMONTH(A113,0)+1</f>
        <v>49004</v>
      </c>
      <c r="B114" s="135" t="n">
        <f aca="false">'Gas Curves'!C118</f>
        <v>0.0615486741381073</v>
      </c>
      <c r="C114" s="135"/>
      <c r="D114" s="173" t="n">
        <v>39052</v>
      </c>
      <c r="E114" s="174" t="n">
        <v>31.1815608739853</v>
      </c>
      <c r="F114" s="174" t="n">
        <v>32.1815608739853</v>
      </c>
      <c r="G114" s="174" t="n">
        <v>33.1815608739853</v>
      </c>
      <c r="H114" s="159"/>
      <c r="I114" s="174" t="n">
        <v>20.7900009155273</v>
      </c>
      <c r="J114" s="174" t="n">
        <v>20.7900009155273</v>
      </c>
      <c r="K114" s="174" t="n">
        <v>20.7900009155273</v>
      </c>
      <c r="L114" s="141"/>
      <c r="M114" s="142" t="n">
        <v>39934</v>
      </c>
      <c r="N114" s="175" t="n">
        <v>22.2900009155273</v>
      </c>
      <c r="O114" s="175" t="n">
        <v>22.2900009155273</v>
      </c>
      <c r="P114" s="175" t="n">
        <v>22.2900009155273</v>
      </c>
      <c r="Q114" s="62"/>
      <c r="R114" s="175" t="n">
        <v>15.7950000762939</v>
      </c>
      <c r="S114" s="175" t="n">
        <v>15.7950000762939</v>
      </c>
      <c r="T114" s="175" t="n">
        <v>15.7950000762939</v>
      </c>
      <c r="U114" s="62"/>
      <c r="V114" s="175" t="n">
        <v>0</v>
      </c>
      <c r="W114" s="175" t="n">
        <v>0</v>
      </c>
      <c r="X114" s="175" t="n">
        <v>0</v>
      </c>
      <c r="Y114" s="62"/>
      <c r="Z114" s="175" t="n">
        <v>0.16</v>
      </c>
      <c r="AA114" s="175" t="n">
        <v>0.2</v>
      </c>
      <c r="AB114" s="175" t="n">
        <v>0.24</v>
      </c>
      <c r="AC114" s="62"/>
      <c r="AD114" s="175" t="n">
        <v>0.08</v>
      </c>
      <c r="AE114" s="175" t="n">
        <v>0.1</v>
      </c>
      <c r="AF114" s="175" t="n">
        <v>0.12</v>
      </c>
      <c r="AG114" s="62"/>
      <c r="AH114" s="175" t="n">
        <v>0.36</v>
      </c>
      <c r="AI114" s="175" t="n">
        <v>0.45</v>
      </c>
      <c r="AJ114" s="175" t="n">
        <v>0.54</v>
      </c>
      <c r="AK114" s="62"/>
      <c r="AL114" s="175" t="n">
        <v>0.216</v>
      </c>
      <c r="AM114" s="175" t="n">
        <v>0.27</v>
      </c>
      <c r="AN114" s="175" t="n">
        <v>0.324</v>
      </c>
      <c r="AO114" s="62"/>
      <c r="AP114" s="141" t="n">
        <v>32</v>
      </c>
      <c r="AQ114" s="176" t="n">
        <v>0.4</v>
      </c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142" t="n">
        <v>39934</v>
      </c>
      <c r="BI114" s="178" t="n">
        <v>0.75</v>
      </c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0"/>
      <c r="CM114" s="230"/>
      <c r="CN114" s="230"/>
      <c r="CO114" s="179"/>
      <c r="CP114" s="0"/>
      <c r="CQ114" s="0"/>
      <c r="CR114" s="0"/>
      <c r="CS114" s="0"/>
      <c r="CT114" s="0"/>
      <c r="CY114" s="180" t="n">
        <f aca="false">M114</f>
        <v>39934</v>
      </c>
      <c r="CZ114" s="181" t="n">
        <f aca="false">AH114</f>
        <v>0.36</v>
      </c>
      <c r="DA114" s="181" t="n">
        <f aca="false">AI114</f>
        <v>0.45</v>
      </c>
      <c r="DB114" s="181" t="n">
        <f aca="false">AJ114</f>
        <v>0.54</v>
      </c>
      <c r="DD114" s="181" t="n">
        <f aca="false">Z114</f>
        <v>0.16</v>
      </c>
      <c r="DE114" s="181" t="n">
        <f aca="false">AA114</f>
        <v>0.2</v>
      </c>
      <c r="DF114" s="181" t="n">
        <f aca="false">AB114</f>
        <v>0.24</v>
      </c>
      <c r="DH114" s="180" t="n">
        <f aca="false">BH114</f>
        <v>39934</v>
      </c>
      <c r="DI114" s="135" t="n">
        <f aca="false">BI114</f>
        <v>0.75</v>
      </c>
      <c r="DL114" s="180" t="n">
        <f aca="false">M114</f>
        <v>39934</v>
      </c>
      <c r="DM114" s="181" t="n">
        <f aca="false">AL114</f>
        <v>0.216</v>
      </c>
      <c r="DN114" s="181" t="n">
        <f aca="false">AM114</f>
        <v>0.27</v>
      </c>
      <c r="DO114" s="181" t="n">
        <f aca="false">AN114</f>
        <v>0.324</v>
      </c>
      <c r="DQ114" s="181" t="n">
        <f aca="false">AD114</f>
        <v>0.08</v>
      </c>
      <c r="DR114" s="181" t="n">
        <f aca="false">AE114</f>
        <v>0.1</v>
      </c>
      <c r="DS114" s="181" t="n">
        <f aca="false">AF114</f>
        <v>0.12</v>
      </c>
    </row>
    <row r="115" customFormat="false" ht="12.75" hidden="false" customHeight="false" outlineLevel="0" collapsed="false">
      <c r="A115" s="145" t="n">
        <f aca="false">EOMONTH(A114,0)+1</f>
        <v>49035</v>
      </c>
      <c r="B115" s="135" t="n">
        <f aca="false">'Gas Curves'!C119</f>
        <v>0.0616235760340209</v>
      </c>
      <c r="C115" s="135"/>
      <c r="D115" s="173" t="n">
        <v>39083</v>
      </c>
      <c r="E115" s="174" t="n">
        <v>34.9757132393973</v>
      </c>
      <c r="F115" s="174" t="n">
        <v>35.5257132393973</v>
      </c>
      <c r="G115" s="174" t="n">
        <v>36.0757132393973</v>
      </c>
      <c r="H115" s="159"/>
      <c r="I115" s="174" t="n">
        <v>23</v>
      </c>
      <c r="J115" s="174" t="n">
        <v>23</v>
      </c>
      <c r="K115" s="174" t="n">
        <v>23</v>
      </c>
      <c r="L115" s="141"/>
      <c r="M115" s="142" t="n">
        <v>39965</v>
      </c>
      <c r="N115" s="175" t="n">
        <v>29.2900009155273</v>
      </c>
      <c r="O115" s="175" t="n">
        <v>29.2900009155273</v>
      </c>
      <c r="P115" s="175" t="n">
        <v>29.2900009155273</v>
      </c>
      <c r="Q115" s="62"/>
      <c r="R115" s="175" t="n">
        <v>19.7900009155273</v>
      </c>
      <c r="S115" s="175" t="n">
        <v>19.7900009155273</v>
      </c>
      <c r="T115" s="175" t="n">
        <v>19.7900009155273</v>
      </c>
      <c r="U115" s="62"/>
      <c r="V115" s="175" t="n">
        <v>0</v>
      </c>
      <c r="W115" s="175" t="n">
        <v>0</v>
      </c>
      <c r="X115" s="175" t="n">
        <v>0</v>
      </c>
      <c r="Y115" s="62"/>
      <c r="Z115" s="175" t="n">
        <v>0.16</v>
      </c>
      <c r="AA115" s="175" t="n">
        <v>0.2</v>
      </c>
      <c r="AB115" s="175" t="n">
        <v>0.24</v>
      </c>
      <c r="AC115" s="62"/>
      <c r="AD115" s="175" t="n">
        <v>0.08</v>
      </c>
      <c r="AE115" s="175" t="n">
        <v>0.1</v>
      </c>
      <c r="AF115" s="175" t="n">
        <v>0.12</v>
      </c>
      <c r="AG115" s="62"/>
      <c r="AH115" s="175" t="n">
        <v>0.36</v>
      </c>
      <c r="AI115" s="175" t="n">
        <v>0.45</v>
      </c>
      <c r="AJ115" s="175" t="n">
        <v>0.54</v>
      </c>
      <c r="AK115" s="62"/>
      <c r="AL115" s="175" t="n">
        <v>0.216</v>
      </c>
      <c r="AM115" s="175" t="n">
        <v>0.27</v>
      </c>
      <c r="AN115" s="175" t="n">
        <v>0.324</v>
      </c>
      <c r="AO115" s="62"/>
      <c r="AP115" s="141" t="n">
        <v>33</v>
      </c>
      <c r="AQ115" s="176" t="n">
        <v>0.4</v>
      </c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142" t="n">
        <v>39965</v>
      </c>
      <c r="BI115" s="178" t="n">
        <v>0.75</v>
      </c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0"/>
      <c r="CM115" s="230"/>
      <c r="CN115" s="230"/>
      <c r="CO115" s="179"/>
      <c r="CP115" s="0"/>
      <c r="CQ115" s="0"/>
      <c r="CR115" s="0"/>
      <c r="CS115" s="0"/>
      <c r="CT115" s="0"/>
      <c r="CY115" s="180" t="n">
        <f aca="false">M115</f>
        <v>39965</v>
      </c>
      <c r="CZ115" s="181" t="n">
        <f aca="false">AH115</f>
        <v>0.36</v>
      </c>
      <c r="DA115" s="181" t="n">
        <f aca="false">AI115</f>
        <v>0.45</v>
      </c>
      <c r="DB115" s="181" t="n">
        <f aca="false">AJ115</f>
        <v>0.54</v>
      </c>
      <c r="DD115" s="181" t="n">
        <f aca="false">Z115</f>
        <v>0.16</v>
      </c>
      <c r="DE115" s="181" t="n">
        <f aca="false">AA115</f>
        <v>0.2</v>
      </c>
      <c r="DF115" s="181" t="n">
        <f aca="false">AB115</f>
        <v>0.24</v>
      </c>
      <c r="DH115" s="180" t="n">
        <f aca="false">BH115</f>
        <v>39965</v>
      </c>
      <c r="DI115" s="135" t="n">
        <f aca="false">BI115</f>
        <v>0.75</v>
      </c>
      <c r="DL115" s="180" t="n">
        <f aca="false">M115</f>
        <v>39965</v>
      </c>
      <c r="DM115" s="181" t="n">
        <f aca="false">AL115</f>
        <v>0.216</v>
      </c>
      <c r="DN115" s="181" t="n">
        <f aca="false">AM115</f>
        <v>0.27</v>
      </c>
      <c r="DO115" s="181" t="n">
        <f aca="false">AN115</f>
        <v>0.324</v>
      </c>
      <c r="DQ115" s="181" t="n">
        <f aca="false">AD115</f>
        <v>0.08</v>
      </c>
      <c r="DR115" s="181" t="n">
        <f aca="false">AE115</f>
        <v>0.1</v>
      </c>
      <c r="DS115" s="181" t="n">
        <f aca="false">AF115</f>
        <v>0.12</v>
      </c>
    </row>
    <row r="116" customFormat="false" ht="12.75" hidden="false" customHeight="false" outlineLevel="0" collapsed="false">
      <c r="A116" s="145" t="n">
        <f aca="false">EOMONTH(A115,0)+1</f>
        <v>49065</v>
      </c>
      <c r="B116" s="135" t="n">
        <f aca="false">'Gas Curves'!C120</f>
        <v>0.0616960617415172</v>
      </c>
      <c r="C116" s="135"/>
      <c r="D116" s="173" t="n">
        <v>39114</v>
      </c>
      <c r="E116" s="174" t="n">
        <v>34.375710950579</v>
      </c>
      <c r="F116" s="174" t="n">
        <v>34.925710950579</v>
      </c>
      <c r="G116" s="174" t="n">
        <v>35.475710950579</v>
      </c>
      <c r="H116" s="159"/>
      <c r="I116" s="174" t="n">
        <v>21.5</v>
      </c>
      <c r="J116" s="174" t="n">
        <v>21.5</v>
      </c>
      <c r="K116" s="174" t="n">
        <v>21.5</v>
      </c>
      <c r="L116" s="141"/>
      <c r="M116" s="142" t="n">
        <v>39995</v>
      </c>
      <c r="N116" s="175" t="n">
        <v>35.2900009155273</v>
      </c>
      <c r="O116" s="175" t="n">
        <v>35.2900009155273</v>
      </c>
      <c r="P116" s="175" t="n">
        <v>35.2900009155273</v>
      </c>
      <c r="Q116" s="62"/>
      <c r="R116" s="175" t="n">
        <v>25.7900009155273</v>
      </c>
      <c r="S116" s="175" t="n">
        <v>25.7900009155273</v>
      </c>
      <c r="T116" s="175" t="n">
        <v>25.7900009155273</v>
      </c>
      <c r="U116" s="62"/>
      <c r="V116" s="175" t="n">
        <v>0</v>
      </c>
      <c r="W116" s="175" t="n">
        <v>0</v>
      </c>
      <c r="X116" s="175" t="n">
        <v>0</v>
      </c>
      <c r="Y116" s="62"/>
      <c r="Z116" s="175" t="n">
        <v>0.24</v>
      </c>
      <c r="AA116" s="175" t="n">
        <v>0.3</v>
      </c>
      <c r="AB116" s="175" t="n">
        <v>0.36</v>
      </c>
      <c r="AC116" s="62"/>
      <c r="AD116" s="175" t="n">
        <v>0.12</v>
      </c>
      <c r="AE116" s="175" t="n">
        <v>0.15</v>
      </c>
      <c r="AF116" s="175" t="n">
        <v>0.18</v>
      </c>
      <c r="AG116" s="62"/>
      <c r="AH116" s="175" t="n">
        <v>0.48</v>
      </c>
      <c r="AI116" s="175" t="n">
        <v>0.6</v>
      </c>
      <c r="AJ116" s="175" t="n">
        <v>0.72</v>
      </c>
      <c r="AK116" s="62"/>
      <c r="AL116" s="175" t="n">
        <v>0.288</v>
      </c>
      <c r="AM116" s="175" t="n">
        <v>0.36</v>
      </c>
      <c r="AN116" s="175" t="n">
        <v>0.432</v>
      </c>
      <c r="AO116" s="62"/>
      <c r="AP116" s="141" t="n">
        <v>33</v>
      </c>
      <c r="AQ116" s="176" t="n">
        <v>0.4</v>
      </c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142" t="n">
        <v>39995</v>
      </c>
      <c r="BI116" s="178" t="n">
        <v>0.75</v>
      </c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0"/>
      <c r="CM116" s="230"/>
      <c r="CN116" s="230"/>
      <c r="CO116" s="179"/>
      <c r="CP116" s="0"/>
      <c r="CQ116" s="0"/>
      <c r="CR116" s="0"/>
      <c r="CS116" s="0"/>
      <c r="CT116" s="0"/>
      <c r="CY116" s="180" t="n">
        <f aca="false">M116</f>
        <v>39995</v>
      </c>
      <c r="CZ116" s="181" t="n">
        <f aca="false">AH116</f>
        <v>0.48</v>
      </c>
      <c r="DA116" s="181" t="n">
        <f aca="false">AI116</f>
        <v>0.6</v>
      </c>
      <c r="DB116" s="181" t="n">
        <f aca="false">AJ116</f>
        <v>0.72</v>
      </c>
      <c r="DD116" s="181" t="n">
        <f aca="false">Z116</f>
        <v>0.24</v>
      </c>
      <c r="DE116" s="181" t="n">
        <f aca="false">AA116</f>
        <v>0.3</v>
      </c>
      <c r="DF116" s="181" t="n">
        <f aca="false">AB116</f>
        <v>0.36</v>
      </c>
      <c r="DH116" s="180" t="n">
        <f aca="false">BH116</f>
        <v>39995</v>
      </c>
      <c r="DI116" s="135" t="n">
        <f aca="false">BI116</f>
        <v>0.75</v>
      </c>
      <c r="DL116" s="180" t="n">
        <f aca="false">M116</f>
        <v>39995</v>
      </c>
      <c r="DM116" s="181" t="n">
        <f aca="false">AL116</f>
        <v>0.288</v>
      </c>
      <c r="DN116" s="181" t="n">
        <f aca="false">AM116</f>
        <v>0.36</v>
      </c>
      <c r="DO116" s="181" t="n">
        <f aca="false">AN116</f>
        <v>0.432</v>
      </c>
      <c r="DQ116" s="181" t="n">
        <f aca="false">AD116</f>
        <v>0.12</v>
      </c>
      <c r="DR116" s="181" t="n">
        <f aca="false">AE116</f>
        <v>0.15</v>
      </c>
      <c r="DS116" s="181" t="n">
        <f aca="false">AF116</f>
        <v>0.18</v>
      </c>
    </row>
    <row r="117" customFormat="false" ht="12.75" hidden="false" customHeight="false" outlineLevel="0" collapsed="false">
      <c r="A117" s="145" t="n">
        <f aca="false">EOMONTH(A116,0)+1</f>
        <v>49096</v>
      </c>
      <c r="B117" s="135" t="n">
        <f aca="false">'Gas Curves'!C121</f>
        <v>0.0617709636410955</v>
      </c>
      <c r="C117" s="135"/>
      <c r="D117" s="173" t="n">
        <v>39142</v>
      </c>
      <c r="E117" s="174" t="n">
        <v>32.8876796101415</v>
      </c>
      <c r="F117" s="174" t="n">
        <v>33.6376796101415</v>
      </c>
      <c r="G117" s="174" t="n">
        <v>34.3876796101415</v>
      </c>
      <c r="H117" s="159"/>
      <c r="I117" s="174" t="n">
        <v>22.5</v>
      </c>
      <c r="J117" s="174" t="n">
        <v>22.5</v>
      </c>
      <c r="K117" s="174" t="n">
        <v>22.5</v>
      </c>
      <c r="L117" s="141"/>
      <c r="M117" s="142" t="n">
        <v>40026</v>
      </c>
      <c r="N117" s="175" t="n">
        <v>33.2900047302246</v>
      </c>
      <c r="O117" s="175" t="n">
        <v>33.2900047302246</v>
      </c>
      <c r="P117" s="175" t="n">
        <v>33.2900047302246</v>
      </c>
      <c r="Q117" s="62"/>
      <c r="R117" s="175" t="n">
        <v>25.7900009155273</v>
      </c>
      <c r="S117" s="175" t="n">
        <v>25.7900009155273</v>
      </c>
      <c r="T117" s="175" t="n">
        <v>25.7900009155273</v>
      </c>
      <c r="U117" s="62"/>
      <c r="V117" s="175" t="n">
        <v>0</v>
      </c>
      <c r="W117" s="175" t="n">
        <v>0</v>
      </c>
      <c r="X117" s="175" t="n">
        <v>0</v>
      </c>
      <c r="Y117" s="62"/>
      <c r="Z117" s="175" t="n">
        <v>0.24</v>
      </c>
      <c r="AA117" s="175" t="n">
        <v>0.3</v>
      </c>
      <c r="AB117" s="175" t="n">
        <v>0.36</v>
      </c>
      <c r="AC117" s="62"/>
      <c r="AD117" s="175" t="n">
        <v>0.12</v>
      </c>
      <c r="AE117" s="175" t="n">
        <v>0.15</v>
      </c>
      <c r="AF117" s="175" t="n">
        <v>0.18</v>
      </c>
      <c r="AG117" s="62"/>
      <c r="AH117" s="175" t="n">
        <v>0.48</v>
      </c>
      <c r="AI117" s="175" t="n">
        <v>0.6</v>
      </c>
      <c r="AJ117" s="175" t="n">
        <v>0.72</v>
      </c>
      <c r="AK117" s="62"/>
      <c r="AL117" s="175" t="n">
        <v>0.288</v>
      </c>
      <c r="AM117" s="175" t="n">
        <v>0.36</v>
      </c>
      <c r="AN117" s="175" t="n">
        <v>0.432</v>
      </c>
      <c r="AO117" s="62"/>
      <c r="AP117" s="141" t="n">
        <v>33</v>
      </c>
      <c r="AQ117" s="176" t="n">
        <v>0.4</v>
      </c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142" t="n">
        <v>40026</v>
      </c>
      <c r="BI117" s="178" t="n">
        <v>0.75</v>
      </c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0"/>
      <c r="CM117" s="230"/>
      <c r="CN117" s="230"/>
      <c r="CO117" s="179"/>
      <c r="CP117" s="0"/>
      <c r="CQ117" s="0"/>
      <c r="CR117" s="0"/>
      <c r="CS117" s="0"/>
      <c r="CT117" s="0"/>
      <c r="CY117" s="180" t="n">
        <f aca="false">M117</f>
        <v>40026</v>
      </c>
      <c r="CZ117" s="181" t="n">
        <f aca="false">AH117</f>
        <v>0.48</v>
      </c>
      <c r="DA117" s="181" t="n">
        <f aca="false">AI117</f>
        <v>0.6</v>
      </c>
      <c r="DB117" s="181" t="n">
        <f aca="false">AJ117</f>
        <v>0.72</v>
      </c>
      <c r="DD117" s="181" t="n">
        <f aca="false">Z117</f>
        <v>0.24</v>
      </c>
      <c r="DE117" s="181" t="n">
        <f aca="false">AA117</f>
        <v>0.3</v>
      </c>
      <c r="DF117" s="181" t="n">
        <f aca="false">AB117</f>
        <v>0.36</v>
      </c>
      <c r="DH117" s="180" t="n">
        <f aca="false">BH117</f>
        <v>40026</v>
      </c>
      <c r="DI117" s="135" t="n">
        <f aca="false">BI117</f>
        <v>0.75</v>
      </c>
      <c r="DL117" s="180" t="n">
        <f aca="false">M117</f>
        <v>40026</v>
      </c>
      <c r="DM117" s="181" t="n">
        <f aca="false">AL117</f>
        <v>0.288</v>
      </c>
      <c r="DN117" s="181" t="n">
        <f aca="false">AM117</f>
        <v>0.36</v>
      </c>
      <c r="DO117" s="181" t="n">
        <f aca="false">AN117</f>
        <v>0.432</v>
      </c>
      <c r="DQ117" s="181" t="n">
        <f aca="false">AD117</f>
        <v>0.12</v>
      </c>
      <c r="DR117" s="181" t="n">
        <f aca="false">AE117</f>
        <v>0.15</v>
      </c>
      <c r="DS117" s="181" t="n">
        <f aca="false">AF117</f>
        <v>0.18</v>
      </c>
    </row>
    <row r="118" customFormat="false" ht="12.75" hidden="false" customHeight="false" outlineLevel="0" collapsed="false">
      <c r="A118" s="145" t="n">
        <f aca="false">EOMONTH(A117,0)+1</f>
        <v>49126</v>
      </c>
      <c r="B118" s="135" t="n">
        <f aca="false">'Gas Curves'!C122</f>
        <v>0.0618458655425367</v>
      </c>
      <c r="C118" s="135"/>
      <c r="D118" s="173" t="n">
        <v>39173</v>
      </c>
      <c r="E118" s="174" t="n">
        <v>32.5876803730809</v>
      </c>
      <c r="F118" s="174" t="n">
        <v>33.8376803730809</v>
      </c>
      <c r="G118" s="174" t="n">
        <v>35.0876803730809</v>
      </c>
      <c r="H118" s="159"/>
      <c r="I118" s="174" t="n">
        <v>19.5</v>
      </c>
      <c r="J118" s="174" t="n">
        <v>19.5</v>
      </c>
      <c r="K118" s="174" t="n">
        <v>19.5</v>
      </c>
      <c r="L118" s="141"/>
      <c r="M118" s="142" t="n">
        <v>40057</v>
      </c>
      <c r="N118" s="175" t="n">
        <v>25.2900009155273</v>
      </c>
      <c r="O118" s="175" t="n">
        <v>25.2900009155273</v>
      </c>
      <c r="P118" s="175" t="n">
        <v>25.2900009155273</v>
      </c>
      <c r="Q118" s="62"/>
      <c r="R118" s="175" t="n">
        <v>19.7900009155273</v>
      </c>
      <c r="S118" s="175" t="n">
        <v>19.7900009155273</v>
      </c>
      <c r="T118" s="175" t="n">
        <v>19.7900009155273</v>
      </c>
      <c r="U118" s="62"/>
      <c r="V118" s="175" t="n">
        <v>0</v>
      </c>
      <c r="W118" s="175" t="n">
        <v>0</v>
      </c>
      <c r="X118" s="175" t="n">
        <v>0</v>
      </c>
      <c r="Y118" s="62"/>
      <c r="Z118" s="175" t="n">
        <v>0.16</v>
      </c>
      <c r="AA118" s="175" t="n">
        <v>0.2</v>
      </c>
      <c r="AB118" s="175" t="n">
        <v>0.24</v>
      </c>
      <c r="AC118" s="62"/>
      <c r="AD118" s="175" t="n">
        <v>0.08</v>
      </c>
      <c r="AE118" s="175" t="n">
        <v>0.1</v>
      </c>
      <c r="AF118" s="175" t="n">
        <v>0.12</v>
      </c>
      <c r="AG118" s="62"/>
      <c r="AH118" s="175" t="n">
        <v>0.36</v>
      </c>
      <c r="AI118" s="175" t="n">
        <v>0.45</v>
      </c>
      <c r="AJ118" s="175" t="n">
        <v>0.54</v>
      </c>
      <c r="AK118" s="62"/>
      <c r="AL118" s="175" t="n">
        <v>0.216</v>
      </c>
      <c r="AM118" s="175" t="n">
        <v>0.27</v>
      </c>
      <c r="AN118" s="175" t="n">
        <v>0.324</v>
      </c>
      <c r="AO118" s="62"/>
      <c r="AP118" s="141" t="n">
        <v>34</v>
      </c>
      <c r="AQ118" s="176" t="n">
        <v>0.4</v>
      </c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142" t="n">
        <v>40057</v>
      </c>
      <c r="BI118" s="178" t="n">
        <v>0.75</v>
      </c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0"/>
      <c r="CM118" s="230"/>
      <c r="CN118" s="230"/>
      <c r="CO118" s="179"/>
      <c r="CP118" s="0"/>
      <c r="CQ118" s="0"/>
      <c r="CR118" s="0"/>
      <c r="CS118" s="0"/>
      <c r="CT118" s="0"/>
      <c r="CY118" s="180" t="n">
        <f aca="false">M118</f>
        <v>40057</v>
      </c>
      <c r="CZ118" s="181" t="n">
        <f aca="false">AH118</f>
        <v>0.36</v>
      </c>
      <c r="DA118" s="181" t="n">
        <f aca="false">AI118</f>
        <v>0.45</v>
      </c>
      <c r="DB118" s="181" t="n">
        <f aca="false">AJ118</f>
        <v>0.54</v>
      </c>
      <c r="DD118" s="181" t="n">
        <f aca="false">Z118</f>
        <v>0.16</v>
      </c>
      <c r="DE118" s="181" t="n">
        <f aca="false">AA118</f>
        <v>0.2</v>
      </c>
      <c r="DF118" s="181" t="n">
        <f aca="false">AB118</f>
        <v>0.24</v>
      </c>
      <c r="DH118" s="180" t="n">
        <f aca="false">BH118</f>
        <v>40057</v>
      </c>
      <c r="DI118" s="135" t="n">
        <f aca="false">BI118</f>
        <v>0.75</v>
      </c>
      <c r="DL118" s="180" t="n">
        <f aca="false">M118</f>
        <v>40057</v>
      </c>
      <c r="DM118" s="181" t="n">
        <f aca="false">AL118</f>
        <v>0.216</v>
      </c>
      <c r="DN118" s="181" t="n">
        <f aca="false">AM118</f>
        <v>0.27</v>
      </c>
      <c r="DO118" s="181" t="n">
        <f aca="false">AN118</f>
        <v>0.324</v>
      </c>
      <c r="DQ118" s="181" t="n">
        <f aca="false">AD118</f>
        <v>0.08</v>
      </c>
      <c r="DR118" s="181" t="n">
        <f aca="false">AE118</f>
        <v>0.1</v>
      </c>
      <c r="DS118" s="181" t="n">
        <f aca="false">AF118</f>
        <v>0.12</v>
      </c>
    </row>
    <row r="119" customFormat="false" ht="12.75" hidden="false" customHeight="false" outlineLevel="0" collapsed="false">
      <c r="A119" s="145" t="n">
        <f aca="false">EOMONTH(A118,0)+1</f>
        <v>49157</v>
      </c>
      <c r="B119" s="135" t="n">
        <f aca="false">'Gas Curves'!C123</f>
        <v>0.061913518874471</v>
      </c>
      <c r="C119" s="135"/>
      <c r="D119" s="173" t="n">
        <v>39203</v>
      </c>
      <c r="E119" s="174" t="n">
        <v>35.6150016784668</v>
      </c>
      <c r="F119" s="174" t="n">
        <v>37.6150016784668</v>
      </c>
      <c r="G119" s="174" t="n">
        <v>39.6150016784668</v>
      </c>
      <c r="H119" s="159"/>
      <c r="I119" s="174" t="n">
        <v>20.0400009155273</v>
      </c>
      <c r="J119" s="174" t="n">
        <v>20.0400009155273</v>
      </c>
      <c r="K119" s="174" t="n">
        <v>20.0400009155273</v>
      </c>
      <c r="L119" s="141"/>
      <c r="M119" s="142" t="n">
        <v>40087</v>
      </c>
      <c r="N119" s="175" t="n">
        <v>20.2860012054443</v>
      </c>
      <c r="O119" s="175" t="n">
        <v>20.2860012054443</v>
      </c>
      <c r="P119" s="175" t="n">
        <v>20.2860012054443</v>
      </c>
      <c r="Q119" s="62"/>
      <c r="R119" s="175" t="n">
        <v>14.7865009307861</v>
      </c>
      <c r="S119" s="175" t="n">
        <v>14.7865009307861</v>
      </c>
      <c r="T119" s="175" t="n">
        <v>14.7865009307861</v>
      </c>
      <c r="U119" s="62"/>
      <c r="V119" s="175" t="n">
        <v>0</v>
      </c>
      <c r="W119" s="175" t="n">
        <v>0</v>
      </c>
      <c r="X119" s="175" t="n">
        <v>0</v>
      </c>
      <c r="Y119" s="62"/>
      <c r="Z119" s="175" t="n">
        <v>0.16</v>
      </c>
      <c r="AA119" s="175" t="n">
        <v>0.2</v>
      </c>
      <c r="AB119" s="175" t="n">
        <v>0.24</v>
      </c>
      <c r="AC119" s="62"/>
      <c r="AD119" s="175" t="n">
        <v>0.08</v>
      </c>
      <c r="AE119" s="175" t="n">
        <v>0.1</v>
      </c>
      <c r="AF119" s="175" t="n">
        <v>0.12</v>
      </c>
      <c r="AG119" s="62"/>
      <c r="AH119" s="175" t="n">
        <v>0.36</v>
      </c>
      <c r="AI119" s="175" t="n">
        <v>0.45</v>
      </c>
      <c r="AJ119" s="175" t="n">
        <v>0.54</v>
      </c>
      <c r="AK119" s="62"/>
      <c r="AL119" s="175" t="n">
        <v>0.216</v>
      </c>
      <c r="AM119" s="175" t="n">
        <v>0.27</v>
      </c>
      <c r="AN119" s="175" t="n">
        <v>0.324</v>
      </c>
      <c r="AO119" s="62"/>
      <c r="AP119" s="141" t="n">
        <v>34</v>
      </c>
      <c r="AQ119" s="176" t="n">
        <v>0.4</v>
      </c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142" t="n">
        <v>40087</v>
      </c>
      <c r="BI119" s="178" t="n">
        <v>0.75</v>
      </c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0"/>
      <c r="CM119" s="230"/>
      <c r="CN119" s="230"/>
      <c r="CO119" s="179"/>
      <c r="CP119" s="0"/>
      <c r="CQ119" s="0"/>
      <c r="CR119" s="0"/>
      <c r="CS119" s="0"/>
      <c r="CT119" s="0"/>
      <c r="CY119" s="180" t="n">
        <f aca="false">M119</f>
        <v>40087</v>
      </c>
      <c r="CZ119" s="181" t="n">
        <f aca="false">AH119</f>
        <v>0.36</v>
      </c>
      <c r="DA119" s="181" t="n">
        <f aca="false">AI119</f>
        <v>0.45</v>
      </c>
      <c r="DB119" s="181" t="n">
        <f aca="false">AJ119</f>
        <v>0.54</v>
      </c>
      <c r="DD119" s="181" t="n">
        <f aca="false">Z119</f>
        <v>0.16</v>
      </c>
      <c r="DE119" s="181" t="n">
        <f aca="false">AA119</f>
        <v>0.2</v>
      </c>
      <c r="DF119" s="181" t="n">
        <f aca="false">AB119</f>
        <v>0.24</v>
      </c>
      <c r="DH119" s="180" t="n">
        <f aca="false">BH119</f>
        <v>40087</v>
      </c>
      <c r="DI119" s="135" t="n">
        <f aca="false">BI119</f>
        <v>0.75</v>
      </c>
      <c r="DL119" s="180" t="n">
        <f aca="false">M119</f>
        <v>40087</v>
      </c>
      <c r="DM119" s="181" t="n">
        <f aca="false">AL119</f>
        <v>0.216</v>
      </c>
      <c r="DN119" s="181" t="n">
        <f aca="false">AM119</f>
        <v>0.27</v>
      </c>
      <c r="DO119" s="181" t="n">
        <f aca="false">AN119</f>
        <v>0.324</v>
      </c>
      <c r="DQ119" s="181" t="n">
        <f aca="false">AD119</f>
        <v>0.08</v>
      </c>
      <c r="DR119" s="181" t="n">
        <f aca="false">AE119</f>
        <v>0.1</v>
      </c>
      <c r="DS119" s="181" t="n">
        <f aca="false">AF119</f>
        <v>0.12</v>
      </c>
    </row>
    <row r="120" customFormat="false" ht="12.75" hidden="false" customHeight="false" outlineLevel="0" collapsed="false">
      <c r="A120" s="145" t="n">
        <f aca="false">EOMONTH(A119,0)+1</f>
        <v>49188</v>
      </c>
      <c r="B120" s="135" t="n">
        <f aca="false">'Gas Curves'!C124</f>
        <v>0.061988420779457</v>
      </c>
      <c r="C120" s="135"/>
      <c r="D120" s="173" t="n">
        <v>39234</v>
      </c>
      <c r="E120" s="174" t="n">
        <v>38.375</v>
      </c>
      <c r="F120" s="174" t="n">
        <v>43.375</v>
      </c>
      <c r="G120" s="174" t="n">
        <v>48.375</v>
      </c>
      <c r="H120" s="159"/>
      <c r="I120" s="174" t="n">
        <v>23.0400009155273</v>
      </c>
      <c r="J120" s="174" t="n">
        <v>23.0400009155273</v>
      </c>
      <c r="K120" s="174" t="n">
        <v>23.0400009155273</v>
      </c>
      <c r="L120" s="141"/>
      <c r="M120" s="142" t="n">
        <v>40118</v>
      </c>
      <c r="N120" s="175" t="n">
        <v>22.2900009155273</v>
      </c>
      <c r="O120" s="175" t="n">
        <v>22.2900009155273</v>
      </c>
      <c r="P120" s="175" t="n">
        <v>22.2900009155273</v>
      </c>
      <c r="Q120" s="62"/>
      <c r="R120" s="175" t="n">
        <v>14.7900009155273</v>
      </c>
      <c r="S120" s="175" t="n">
        <v>14.7900009155273</v>
      </c>
      <c r="T120" s="175" t="n">
        <v>14.7900009155273</v>
      </c>
      <c r="U120" s="62"/>
      <c r="V120" s="175" t="n">
        <v>0</v>
      </c>
      <c r="W120" s="175" t="n">
        <v>0</v>
      </c>
      <c r="X120" s="175" t="n">
        <v>0</v>
      </c>
      <c r="Y120" s="62"/>
      <c r="Z120" s="175" t="n">
        <v>0.16</v>
      </c>
      <c r="AA120" s="175" t="n">
        <v>0.2</v>
      </c>
      <c r="AB120" s="175" t="n">
        <v>0.24</v>
      </c>
      <c r="AC120" s="62"/>
      <c r="AD120" s="175" t="n">
        <v>0.08</v>
      </c>
      <c r="AE120" s="175" t="n">
        <v>0.1</v>
      </c>
      <c r="AF120" s="175" t="n">
        <v>0.12</v>
      </c>
      <c r="AG120" s="62"/>
      <c r="AH120" s="175" t="n">
        <v>0.28</v>
      </c>
      <c r="AI120" s="175" t="n">
        <v>0.35</v>
      </c>
      <c r="AJ120" s="175" t="n">
        <v>0.42</v>
      </c>
      <c r="AK120" s="62"/>
      <c r="AL120" s="175" t="n">
        <v>0.168</v>
      </c>
      <c r="AM120" s="175" t="n">
        <v>0.21</v>
      </c>
      <c r="AN120" s="175" t="n">
        <v>0.252</v>
      </c>
      <c r="AO120" s="62"/>
      <c r="AP120" s="141" t="n">
        <v>34</v>
      </c>
      <c r="AQ120" s="176" t="n">
        <v>0.4</v>
      </c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142" t="n">
        <v>40118</v>
      </c>
      <c r="BI120" s="178" t="n">
        <v>0.75</v>
      </c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0"/>
      <c r="CM120" s="230"/>
      <c r="CN120" s="230"/>
      <c r="CO120" s="179"/>
      <c r="CP120" s="0"/>
      <c r="CQ120" s="0"/>
      <c r="CR120" s="0"/>
      <c r="CS120" s="0"/>
      <c r="CT120" s="0"/>
      <c r="CY120" s="180" t="n">
        <f aca="false">M120</f>
        <v>40118</v>
      </c>
      <c r="CZ120" s="181" t="n">
        <f aca="false">AH120</f>
        <v>0.28</v>
      </c>
      <c r="DA120" s="181" t="n">
        <f aca="false">AI120</f>
        <v>0.35</v>
      </c>
      <c r="DB120" s="181" t="n">
        <f aca="false">AJ120</f>
        <v>0.42</v>
      </c>
      <c r="DD120" s="181" t="n">
        <f aca="false">Z120</f>
        <v>0.16</v>
      </c>
      <c r="DE120" s="181" t="n">
        <f aca="false">AA120</f>
        <v>0.2</v>
      </c>
      <c r="DF120" s="181" t="n">
        <f aca="false">AB120</f>
        <v>0.24</v>
      </c>
      <c r="DH120" s="180" t="n">
        <f aca="false">BH120</f>
        <v>40118</v>
      </c>
      <c r="DI120" s="135" t="n">
        <f aca="false">BI120</f>
        <v>0.75</v>
      </c>
      <c r="DL120" s="180" t="n">
        <f aca="false">M120</f>
        <v>40118</v>
      </c>
      <c r="DM120" s="181" t="n">
        <f aca="false">AL120</f>
        <v>0.168</v>
      </c>
      <c r="DN120" s="181" t="n">
        <f aca="false">AM120</f>
        <v>0.21</v>
      </c>
      <c r="DO120" s="181" t="n">
        <f aca="false">AN120</f>
        <v>0.252</v>
      </c>
      <c r="DQ120" s="181" t="n">
        <f aca="false">AD120</f>
        <v>0.08</v>
      </c>
      <c r="DR120" s="181" t="n">
        <f aca="false">AE120</f>
        <v>0.1</v>
      </c>
      <c r="DS120" s="181" t="n">
        <f aca="false">AF120</f>
        <v>0.12</v>
      </c>
    </row>
    <row r="121" customFormat="false" ht="12.75" hidden="false" customHeight="false" outlineLevel="0" collapsed="false">
      <c r="A121" s="145" t="n">
        <f aca="false">EOMONTH(A120,0)+1</f>
        <v>49218</v>
      </c>
      <c r="B121" s="135" t="n">
        <f aca="false">'Gas Curves'!C125</f>
        <v>0.0620609064957325</v>
      </c>
      <c r="C121" s="135"/>
      <c r="D121" s="173" t="n">
        <v>39264</v>
      </c>
      <c r="E121" s="174" t="n">
        <v>42.75</v>
      </c>
      <c r="F121" s="174" t="n">
        <v>52.75</v>
      </c>
      <c r="G121" s="174" t="n">
        <v>62.75</v>
      </c>
      <c r="H121" s="159"/>
      <c r="I121" s="174" t="n">
        <v>23.5400009155273</v>
      </c>
      <c r="J121" s="174" t="n">
        <v>23.5400009155273</v>
      </c>
      <c r="K121" s="174" t="n">
        <v>23.5400009155273</v>
      </c>
      <c r="L121" s="141"/>
      <c r="M121" s="142" t="n">
        <v>40148</v>
      </c>
      <c r="N121" s="175" t="n">
        <v>27.2900009155273</v>
      </c>
      <c r="O121" s="175" t="n">
        <v>27.2900009155273</v>
      </c>
      <c r="P121" s="175" t="n">
        <v>27.2900009155273</v>
      </c>
      <c r="Q121" s="62"/>
      <c r="R121" s="175" t="n">
        <v>21.7900009155273</v>
      </c>
      <c r="S121" s="175" t="n">
        <v>21.7900009155273</v>
      </c>
      <c r="T121" s="175" t="n">
        <v>21.7900009155273</v>
      </c>
      <c r="U121" s="62"/>
      <c r="V121" s="175" t="n">
        <v>0</v>
      </c>
      <c r="W121" s="175" t="n">
        <v>0</v>
      </c>
      <c r="X121" s="175" t="n">
        <v>0</v>
      </c>
      <c r="Y121" s="62"/>
      <c r="Z121" s="175" t="n">
        <v>0.16</v>
      </c>
      <c r="AA121" s="175" t="n">
        <v>0.2</v>
      </c>
      <c r="AB121" s="175" t="n">
        <v>0.24</v>
      </c>
      <c r="AC121" s="62"/>
      <c r="AD121" s="175" t="n">
        <v>0.08</v>
      </c>
      <c r="AE121" s="175" t="n">
        <v>0.1</v>
      </c>
      <c r="AF121" s="175" t="n">
        <v>0.12</v>
      </c>
      <c r="AG121" s="62"/>
      <c r="AH121" s="175" t="n">
        <v>0.28</v>
      </c>
      <c r="AI121" s="175" t="n">
        <v>0.35</v>
      </c>
      <c r="AJ121" s="175" t="n">
        <v>0.42</v>
      </c>
      <c r="AK121" s="62"/>
      <c r="AL121" s="175" t="n">
        <v>0.168</v>
      </c>
      <c r="AM121" s="175" t="n">
        <v>0.21</v>
      </c>
      <c r="AN121" s="175" t="n">
        <v>0.252</v>
      </c>
      <c r="AO121" s="62"/>
      <c r="AP121" s="141" t="n">
        <v>35</v>
      </c>
      <c r="AQ121" s="176" t="n">
        <v>0.4</v>
      </c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142" t="n">
        <v>40148</v>
      </c>
      <c r="BI121" s="178" t="n">
        <v>0.75</v>
      </c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0"/>
      <c r="CM121" s="230"/>
      <c r="CN121" s="230"/>
      <c r="CO121" s="179"/>
      <c r="CP121" s="0"/>
      <c r="CQ121" s="0"/>
      <c r="CR121" s="0"/>
      <c r="CS121" s="0"/>
      <c r="CT121" s="0"/>
      <c r="CY121" s="180" t="n">
        <f aca="false">M121</f>
        <v>40148</v>
      </c>
      <c r="CZ121" s="181" t="n">
        <f aca="false">AH121</f>
        <v>0.28</v>
      </c>
      <c r="DA121" s="181" t="n">
        <f aca="false">AI121</f>
        <v>0.35</v>
      </c>
      <c r="DB121" s="181" t="n">
        <f aca="false">AJ121</f>
        <v>0.42</v>
      </c>
      <c r="DD121" s="181" t="n">
        <f aca="false">Z121</f>
        <v>0.16</v>
      </c>
      <c r="DE121" s="181" t="n">
        <f aca="false">AA121</f>
        <v>0.2</v>
      </c>
      <c r="DF121" s="181" t="n">
        <f aca="false">AB121</f>
        <v>0.24</v>
      </c>
      <c r="DH121" s="180" t="n">
        <f aca="false">BH121</f>
        <v>40148</v>
      </c>
      <c r="DI121" s="135" t="n">
        <f aca="false">BI121</f>
        <v>0.75</v>
      </c>
      <c r="DL121" s="180" t="n">
        <f aca="false">M121</f>
        <v>40148</v>
      </c>
      <c r="DM121" s="181" t="n">
        <f aca="false">AL121</f>
        <v>0.168</v>
      </c>
      <c r="DN121" s="181" t="n">
        <f aca="false">AM121</f>
        <v>0.21</v>
      </c>
      <c r="DO121" s="181" t="n">
        <f aca="false">AN121</f>
        <v>0.252</v>
      </c>
      <c r="DQ121" s="181" t="n">
        <f aca="false">AD121</f>
        <v>0.08</v>
      </c>
      <c r="DR121" s="181" t="n">
        <f aca="false">AE121</f>
        <v>0.1</v>
      </c>
      <c r="DS121" s="181" t="n">
        <f aca="false">AF121</f>
        <v>0.12</v>
      </c>
    </row>
    <row r="122" customFormat="false" ht="12.75" hidden="false" customHeight="false" outlineLevel="0" collapsed="false">
      <c r="A122" s="145" t="n">
        <f aca="false">EOMONTH(A121,0)+1</f>
        <v>49249</v>
      </c>
      <c r="B122" s="135" t="n">
        <f aca="false">'Gas Curves'!C126</f>
        <v>0.0621358084043822</v>
      </c>
      <c r="C122" s="135"/>
      <c r="D122" s="173" t="n">
        <v>39295</v>
      </c>
      <c r="E122" s="174" t="n">
        <v>42.75</v>
      </c>
      <c r="F122" s="174" t="n">
        <v>52.75</v>
      </c>
      <c r="G122" s="174" t="n">
        <v>62.75</v>
      </c>
      <c r="H122" s="159"/>
      <c r="I122" s="174" t="n">
        <v>24.5400009155273</v>
      </c>
      <c r="J122" s="174" t="n">
        <v>24.5400009155273</v>
      </c>
      <c r="K122" s="174" t="n">
        <v>24.5400009155273</v>
      </c>
      <c r="L122" s="141"/>
      <c r="M122" s="142" t="n">
        <v>40179</v>
      </c>
      <c r="N122" s="175" t="n">
        <v>35.75</v>
      </c>
      <c r="O122" s="175" t="n">
        <v>35.75</v>
      </c>
      <c r="P122" s="175" t="n">
        <v>35.75</v>
      </c>
      <c r="Q122" s="62"/>
      <c r="R122" s="175" t="n">
        <v>25.25</v>
      </c>
      <c r="S122" s="175" t="n">
        <v>25.25</v>
      </c>
      <c r="T122" s="175" t="n">
        <v>25.25</v>
      </c>
      <c r="U122" s="62"/>
      <c r="V122" s="175" t="n">
        <v>0</v>
      </c>
      <c r="W122" s="175" t="n">
        <v>0</v>
      </c>
      <c r="X122" s="175" t="n">
        <v>0</v>
      </c>
      <c r="Y122" s="62"/>
      <c r="Z122" s="175" t="n">
        <v>0.16</v>
      </c>
      <c r="AA122" s="175" t="n">
        <v>0.2</v>
      </c>
      <c r="AB122" s="175" t="n">
        <v>0.24</v>
      </c>
      <c r="AC122" s="62"/>
      <c r="AD122" s="175" t="n">
        <v>0.08</v>
      </c>
      <c r="AE122" s="175" t="n">
        <v>0.1</v>
      </c>
      <c r="AF122" s="175" t="n">
        <v>0.12</v>
      </c>
      <c r="AG122" s="62"/>
      <c r="AH122" s="175" t="n">
        <v>0.2</v>
      </c>
      <c r="AI122" s="175" t="n">
        <v>0.25</v>
      </c>
      <c r="AJ122" s="175" t="n">
        <v>0.3</v>
      </c>
      <c r="AK122" s="62"/>
      <c r="AL122" s="175" t="n">
        <v>0.12</v>
      </c>
      <c r="AM122" s="175" t="n">
        <v>0.15</v>
      </c>
      <c r="AN122" s="175" t="n">
        <v>0.18</v>
      </c>
      <c r="AO122" s="62"/>
      <c r="AP122" s="141" t="n">
        <v>35</v>
      </c>
      <c r="AQ122" s="176" t="n">
        <v>0.4</v>
      </c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142" t="n">
        <v>40179</v>
      </c>
      <c r="BI122" s="178" t="n">
        <v>0.75</v>
      </c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0"/>
      <c r="CM122" s="230"/>
      <c r="CN122" s="230"/>
      <c r="CO122" s="179"/>
      <c r="CP122" s="0"/>
      <c r="CQ122" s="0"/>
      <c r="CR122" s="0"/>
      <c r="CS122" s="0"/>
      <c r="CT122" s="0"/>
      <c r="CY122" s="180" t="n">
        <f aca="false">M122</f>
        <v>40179</v>
      </c>
      <c r="CZ122" s="181" t="n">
        <f aca="false">AH122</f>
        <v>0.2</v>
      </c>
      <c r="DA122" s="181" t="n">
        <f aca="false">AI122</f>
        <v>0.25</v>
      </c>
      <c r="DB122" s="181" t="n">
        <f aca="false">AJ122</f>
        <v>0.3</v>
      </c>
      <c r="DD122" s="181" t="n">
        <f aca="false">Z122</f>
        <v>0.16</v>
      </c>
      <c r="DE122" s="181" t="n">
        <f aca="false">AA122</f>
        <v>0.2</v>
      </c>
      <c r="DF122" s="181" t="n">
        <f aca="false">AB122</f>
        <v>0.24</v>
      </c>
      <c r="DH122" s="180" t="n">
        <f aca="false">BH122</f>
        <v>40179</v>
      </c>
      <c r="DI122" s="135" t="n">
        <f aca="false">BI122</f>
        <v>0.75</v>
      </c>
      <c r="DL122" s="180" t="n">
        <f aca="false">M122</f>
        <v>40179</v>
      </c>
      <c r="DM122" s="181" t="n">
        <f aca="false">AL122</f>
        <v>0.12</v>
      </c>
      <c r="DN122" s="181" t="n">
        <f aca="false">AM122</f>
        <v>0.15</v>
      </c>
      <c r="DO122" s="181" t="n">
        <f aca="false">AN122</f>
        <v>0.18</v>
      </c>
      <c r="DQ122" s="181" t="n">
        <f aca="false">AD122</f>
        <v>0.08</v>
      </c>
      <c r="DR122" s="181" t="n">
        <f aca="false">AE122</f>
        <v>0.1</v>
      </c>
      <c r="DS122" s="181" t="n">
        <f aca="false">AF122</f>
        <v>0.12</v>
      </c>
    </row>
    <row r="123" customFormat="false" ht="12.75" hidden="false" customHeight="false" outlineLevel="0" collapsed="false">
      <c r="A123" s="145" t="n">
        <f aca="false">EOMONTH(A122,0)+1</f>
        <v>49279</v>
      </c>
      <c r="B123" s="135" t="n">
        <f aca="false">'Gas Curves'!C127</f>
        <v>0.0622082941242037</v>
      </c>
      <c r="C123" s="135"/>
      <c r="D123" s="173" t="n">
        <v>39326</v>
      </c>
      <c r="E123" s="174" t="n">
        <v>28.1899978637695</v>
      </c>
      <c r="F123" s="174" t="n">
        <v>30.9899978637695</v>
      </c>
      <c r="G123" s="174" t="n">
        <v>33.7899978637695</v>
      </c>
      <c r="H123" s="159"/>
      <c r="I123" s="174" t="n">
        <v>18.5400009155273</v>
      </c>
      <c r="J123" s="174" t="n">
        <v>18.5400009155273</v>
      </c>
      <c r="K123" s="174" t="n">
        <v>18.5400009155273</v>
      </c>
      <c r="L123" s="141"/>
      <c r="M123" s="142" t="n">
        <v>40210</v>
      </c>
      <c r="N123" s="175" t="n">
        <v>31.2460021972656</v>
      </c>
      <c r="O123" s="175" t="n">
        <v>31.2460021972656</v>
      </c>
      <c r="P123" s="175" t="n">
        <v>31.2460021972656</v>
      </c>
      <c r="Q123" s="62"/>
      <c r="R123" s="175" t="n">
        <v>22.7465019226074</v>
      </c>
      <c r="S123" s="175" t="n">
        <v>22.7465019226074</v>
      </c>
      <c r="T123" s="175" t="n">
        <v>22.7465019226074</v>
      </c>
      <c r="U123" s="62"/>
      <c r="V123" s="175" t="n">
        <v>0</v>
      </c>
      <c r="W123" s="175" t="n">
        <v>0</v>
      </c>
      <c r="X123" s="175" t="n">
        <v>0</v>
      </c>
      <c r="Y123" s="62"/>
      <c r="Z123" s="175" t="n">
        <v>0.16</v>
      </c>
      <c r="AA123" s="175" t="n">
        <v>0.2</v>
      </c>
      <c r="AB123" s="175" t="n">
        <v>0.24</v>
      </c>
      <c r="AC123" s="62"/>
      <c r="AD123" s="175" t="n">
        <v>0.08</v>
      </c>
      <c r="AE123" s="175" t="n">
        <v>0.1</v>
      </c>
      <c r="AF123" s="175" t="n">
        <v>0.12</v>
      </c>
      <c r="AG123" s="62"/>
      <c r="AH123" s="175" t="n">
        <v>0.2</v>
      </c>
      <c r="AI123" s="175" t="n">
        <v>0.25</v>
      </c>
      <c r="AJ123" s="175" t="n">
        <v>0.3</v>
      </c>
      <c r="AK123" s="62"/>
      <c r="AL123" s="175" t="n">
        <v>0.12</v>
      </c>
      <c r="AM123" s="175" t="n">
        <v>0.15</v>
      </c>
      <c r="AN123" s="175" t="n">
        <v>0.18</v>
      </c>
      <c r="AO123" s="62"/>
      <c r="AP123" s="141" t="n">
        <v>35</v>
      </c>
      <c r="AQ123" s="176" t="n">
        <v>0.4</v>
      </c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142" t="n">
        <v>40210</v>
      </c>
      <c r="BI123" s="178" t="n">
        <v>0.75</v>
      </c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0"/>
      <c r="CM123" s="230"/>
      <c r="CN123" s="230"/>
      <c r="CO123" s="179"/>
      <c r="CP123" s="0"/>
      <c r="CQ123" s="0"/>
      <c r="CR123" s="0"/>
      <c r="CS123" s="0"/>
      <c r="CT123" s="0"/>
      <c r="CY123" s="180" t="n">
        <f aca="false">M123</f>
        <v>40210</v>
      </c>
      <c r="CZ123" s="181" t="n">
        <f aca="false">AH123</f>
        <v>0.2</v>
      </c>
      <c r="DA123" s="181" t="n">
        <f aca="false">AI123</f>
        <v>0.25</v>
      </c>
      <c r="DB123" s="181" t="n">
        <f aca="false">AJ123</f>
        <v>0.3</v>
      </c>
      <c r="DD123" s="181" t="n">
        <f aca="false">Z123</f>
        <v>0.16</v>
      </c>
      <c r="DE123" s="181" t="n">
        <f aca="false">AA123</f>
        <v>0.2</v>
      </c>
      <c r="DF123" s="181" t="n">
        <f aca="false">AB123</f>
        <v>0.24</v>
      </c>
      <c r="DH123" s="180" t="n">
        <f aca="false">BH123</f>
        <v>40210</v>
      </c>
      <c r="DI123" s="135" t="n">
        <f aca="false">BI123</f>
        <v>0.75</v>
      </c>
      <c r="DL123" s="180" t="n">
        <f aca="false">M123</f>
        <v>40210</v>
      </c>
      <c r="DM123" s="181" t="n">
        <f aca="false">AL123</f>
        <v>0.12</v>
      </c>
      <c r="DN123" s="181" t="n">
        <f aca="false">AM123</f>
        <v>0.15</v>
      </c>
      <c r="DO123" s="181" t="n">
        <f aca="false">AN123</f>
        <v>0.18</v>
      </c>
      <c r="DQ123" s="181" t="n">
        <f aca="false">AD123</f>
        <v>0.08</v>
      </c>
      <c r="DR123" s="181" t="n">
        <f aca="false">AE123</f>
        <v>0.1</v>
      </c>
      <c r="DS123" s="181" t="n">
        <f aca="false">AF123</f>
        <v>0.12</v>
      </c>
    </row>
    <row r="124" customFormat="false" ht="12.75" hidden="false" customHeight="false" outlineLevel="0" collapsed="false">
      <c r="A124" s="145" t="n">
        <f aca="false">EOMONTH(A123,0)+1</f>
        <v>49310</v>
      </c>
      <c r="B124" s="135" t="n">
        <f aca="false">'Gas Curves'!C128</f>
        <v>0.062283196036518</v>
      </c>
      <c r="C124" s="135"/>
      <c r="D124" s="173" t="n">
        <v>39356</v>
      </c>
      <c r="E124" s="174" t="n">
        <v>31.3415675878525</v>
      </c>
      <c r="F124" s="174" t="n">
        <v>32.3915675878525</v>
      </c>
      <c r="G124" s="174" t="n">
        <v>33.4415675878525</v>
      </c>
      <c r="H124" s="159"/>
      <c r="I124" s="174" t="n">
        <v>18.040002822876</v>
      </c>
      <c r="J124" s="174" t="n">
        <v>18.040002822876</v>
      </c>
      <c r="K124" s="174" t="n">
        <v>18.040002822876</v>
      </c>
      <c r="L124" s="141"/>
      <c r="M124" s="142" t="n">
        <v>40238</v>
      </c>
      <c r="N124" s="175" t="n">
        <v>25.5</v>
      </c>
      <c r="O124" s="175" t="n">
        <v>25.5</v>
      </c>
      <c r="P124" s="175" t="n">
        <v>25.5</v>
      </c>
      <c r="Q124" s="62"/>
      <c r="R124" s="175" t="n">
        <v>20</v>
      </c>
      <c r="S124" s="175" t="n">
        <v>20</v>
      </c>
      <c r="T124" s="175" t="n">
        <v>20</v>
      </c>
      <c r="U124" s="62"/>
      <c r="V124" s="175" t="n">
        <v>0</v>
      </c>
      <c r="W124" s="175" t="n">
        <v>0</v>
      </c>
      <c r="X124" s="175" t="n">
        <v>0</v>
      </c>
      <c r="Y124" s="62"/>
      <c r="Z124" s="175" t="n">
        <v>0.16</v>
      </c>
      <c r="AA124" s="175" t="n">
        <v>0.2</v>
      </c>
      <c r="AB124" s="175" t="n">
        <v>0.24</v>
      </c>
      <c r="AC124" s="62"/>
      <c r="AD124" s="175" t="n">
        <v>0.08</v>
      </c>
      <c r="AE124" s="175" t="n">
        <v>0.1</v>
      </c>
      <c r="AF124" s="175" t="n">
        <v>0.12</v>
      </c>
      <c r="AG124" s="62"/>
      <c r="AH124" s="175" t="n">
        <v>0.2</v>
      </c>
      <c r="AI124" s="175" t="n">
        <v>0.25</v>
      </c>
      <c r="AJ124" s="175" t="n">
        <v>0.3</v>
      </c>
      <c r="AK124" s="62"/>
      <c r="AL124" s="175" t="n">
        <v>0.12</v>
      </c>
      <c r="AM124" s="175" t="n">
        <v>0.15</v>
      </c>
      <c r="AN124" s="175" t="n">
        <v>0.18</v>
      </c>
      <c r="AO124" s="62"/>
      <c r="AP124" s="141" t="n">
        <v>36</v>
      </c>
      <c r="AQ124" s="176" t="n">
        <v>0.4</v>
      </c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142" t="n">
        <v>40238</v>
      </c>
      <c r="BI124" s="178" t="n">
        <v>0.75</v>
      </c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0"/>
      <c r="CM124" s="230"/>
      <c r="CN124" s="230"/>
      <c r="CO124" s="179"/>
      <c r="CP124" s="0"/>
      <c r="CQ124" s="0"/>
      <c r="CR124" s="0"/>
      <c r="CS124" s="0"/>
      <c r="CT124" s="0"/>
      <c r="CY124" s="180" t="n">
        <f aca="false">M124</f>
        <v>40238</v>
      </c>
      <c r="CZ124" s="181" t="n">
        <f aca="false">AH124</f>
        <v>0.2</v>
      </c>
      <c r="DA124" s="181" t="n">
        <f aca="false">AI124</f>
        <v>0.25</v>
      </c>
      <c r="DB124" s="181" t="n">
        <f aca="false">AJ124</f>
        <v>0.3</v>
      </c>
      <c r="DD124" s="181" t="n">
        <f aca="false">Z124</f>
        <v>0.16</v>
      </c>
      <c r="DE124" s="181" t="n">
        <f aca="false">AA124</f>
        <v>0.2</v>
      </c>
      <c r="DF124" s="181" t="n">
        <f aca="false">AB124</f>
        <v>0.24</v>
      </c>
      <c r="DH124" s="180" t="n">
        <f aca="false">BH124</f>
        <v>40238</v>
      </c>
      <c r="DI124" s="135" t="n">
        <f aca="false">BI124</f>
        <v>0.75</v>
      </c>
      <c r="DL124" s="180" t="n">
        <f aca="false">M124</f>
        <v>40238</v>
      </c>
      <c r="DM124" s="181" t="n">
        <f aca="false">AL124</f>
        <v>0.12</v>
      </c>
      <c r="DN124" s="181" t="n">
        <f aca="false">AM124</f>
        <v>0.15</v>
      </c>
      <c r="DO124" s="181" t="n">
        <f aca="false">AN124</f>
        <v>0.18</v>
      </c>
      <c r="DQ124" s="181" t="n">
        <f aca="false">AD124</f>
        <v>0.08</v>
      </c>
      <c r="DR124" s="181" t="n">
        <f aca="false">AE124</f>
        <v>0.1</v>
      </c>
      <c r="DS124" s="181" t="n">
        <f aca="false">AF124</f>
        <v>0.12</v>
      </c>
    </row>
    <row r="125" customFormat="false" ht="12.75" hidden="false" customHeight="false" outlineLevel="0" collapsed="false">
      <c r="A125" s="145" t="n">
        <f aca="false">EOMONTH(A124,0)+1</f>
        <v>49341</v>
      </c>
      <c r="B125" s="135" t="n">
        <f aca="false">'Gas Curves'!C129</f>
        <v>0.0623580979506948</v>
      </c>
      <c r="C125" s="135"/>
      <c r="D125" s="173" t="n">
        <v>39387</v>
      </c>
      <c r="E125" s="174" t="n">
        <v>31.4415660619736</v>
      </c>
      <c r="F125" s="174" t="n">
        <v>32.4915660619736</v>
      </c>
      <c r="G125" s="174" t="n">
        <v>33.5415660619736</v>
      </c>
      <c r="H125" s="159"/>
      <c r="I125" s="174" t="n">
        <v>19.0400009155273</v>
      </c>
      <c r="J125" s="174" t="n">
        <v>19.0400009155273</v>
      </c>
      <c r="K125" s="174" t="n">
        <v>19.0400009155273</v>
      </c>
      <c r="L125" s="141"/>
      <c r="M125" s="142" t="n">
        <v>40269</v>
      </c>
      <c r="N125" s="175" t="n">
        <v>22</v>
      </c>
      <c r="O125" s="175" t="n">
        <v>22</v>
      </c>
      <c r="P125" s="175" t="n">
        <v>22</v>
      </c>
      <c r="Q125" s="62"/>
      <c r="R125" s="175" t="n">
        <v>16.4950008392334</v>
      </c>
      <c r="S125" s="175" t="n">
        <v>16.4950008392334</v>
      </c>
      <c r="T125" s="175" t="n">
        <v>16.4950008392334</v>
      </c>
      <c r="U125" s="62"/>
      <c r="V125" s="175" t="n">
        <v>0</v>
      </c>
      <c r="W125" s="175" t="n">
        <v>0</v>
      </c>
      <c r="X125" s="175" t="n">
        <v>0</v>
      </c>
      <c r="Y125" s="62"/>
      <c r="Z125" s="175" t="n">
        <v>0.16</v>
      </c>
      <c r="AA125" s="175" t="n">
        <v>0.2</v>
      </c>
      <c r="AB125" s="175" t="n">
        <v>0.24</v>
      </c>
      <c r="AC125" s="62"/>
      <c r="AD125" s="175" t="n">
        <v>0.08</v>
      </c>
      <c r="AE125" s="175" t="n">
        <v>0.1</v>
      </c>
      <c r="AF125" s="175" t="n">
        <v>0.12</v>
      </c>
      <c r="AG125" s="62"/>
      <c r="AH125" s="175" t="n">
        <v>0.2</v>
      </c>
      <c r="AI125" s="175" t="n">
        <v>0.25</v>
      </c>
      <c r="AJ125" s="175" t="n">
        <v>0.3</v>
      </c>
      <c r="AK125" s="62"/>
      <c r="AL125" s="175" t="n">
        <v>0.12</v>
      </c>
      <c r="AM125" s="175" t="n">
        <v>0.15</v>
      </c>
      <c r="AN125" s="175" t="n">
        <v>0.18</v>
      </c>
      <c r="AO125" s="62"/>
      <c r="AP125" s="141" t="n">
        <v>36</v>
      </c>
      <c r="AQ125" s="176" t="n">
        <v>0.4</v>
      </c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142" t="n">
        <v>40269</v>
      </c>
      <c r="BI125" s="178" t="n">
        <v>0.75</v>
      </c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0"/>
      <c r="CM125" s="230"/>
      <c r="CN125" s="230"/>
      <c r="CO125" s="179"/>
      <c r="CP125" s="0"/>
      <c r="CQ125" s="0"/>
      <c r="CR125" s="0"/>
      <c r="CS125" s="0"/>
      <c r="CT125" s="0"/>
      <c r="CY125" s="180" t="n">
        <f aca="false">M125</f>
        <v>40269</v>
      </c>
      <c r="CZ125" s="181" t="n">
        <f aca="false">AH125</f>
        <v>0.2</v>
      </c>
      <c r="DA125" s="181" t="n">
        <f aca="false">AI125</f>
        <v>0.25</v>
      </c>
      <c r="DB125" s="181" t="n">
        <f aca="false">AJ125</f>
        <v>0.3</v>
      </c>
      <c r="DD125" s="181" t="n">
        <f aca="false">Z125</f>
        <v>0.16</v>
      </c>
      <c r="DE125" s="181" t="n">
        <f aca="false">AA125</f>
        <v>0.2</v>
      </c>
      <c r="DF125" s="181" t="n">
        <f aca="false">AB125</f>
        <v>0.24</v>
      </c>
      <c r="DH125" s="180" t="n">
        <f aca="false">BH125</f>
        <v>40269</v>
      </c>
      <c r="DI125" s="135" t="n">
        <f aca="false">BI125</f>
        <v>0.75</v>
      </c>
      <c r="DL125" s="180" t="n">
        <f aca="false">M125</f>
        <v>40269</v>
      </c>
      <c r="DM125" s="181" t="n">
        <f aca="false">AL125</f>
        <v>0.12</v>
      </c>
      <c r="DN125" s="181" t="n">
        <f aca="false">AM125</f>
        <v>0.15</v>
      </c>
      <c r="DO125" s="181" t="n">
        <f aca="false">AN125</f>
        <v>0.18</v>
      </c>
      <c r="DQ125" s="181" t="n">
        <f aca="false">AD125</f>
        <v>0.08</v>
      </c>
      <c r="DR125" s="181" t="n">
        <f aca="false">AE125</f>
        <v>0.1</v>
      </c>
      <c r="DS125" s="181" t="n">
        <f aca="false">AF125</f>
        <v>0.12</v>
      </c>
    </row>
    <row r="126" customFormat="false" ht="12.75" hidden="false" customHeight="false" outlineLevel="0" collapsed="false">
      <c r="A126" s="145" t="n">
        <f aca="false">EOMONTH(A125,0)+1</f>
        <v>49369</v>
      </c>
      <c r="B126" s="135" t="n">
        <f aca="false">'Gas Curves'!C130</f>
        <v>0.0624305836758641</v>
      </c>
      <c r="C126" s="135"/>
      <c r="D126" s="173" t="n">
        <v>39417</v>
      </c>
      <c r="E126" s="174" t="n">
        <v>31.5415645360947</v>
      </c>
      <c r="F126" s="174" t="n">
        <v>32.5915645360947</v>
      </c>
      <c r="G126" s="174" t="n">
        <v>33.6415645360947</v>
      </c>
      <c r="H126" s="159"/>
      <c r="I126" s="174" t="n">
        <v>21.2900009155273</v>
      </c>
      <c r="J126" s="174" t="n">
        <v>21.2900009155273</v>
      </c>
      <c r="K126" s="174" t="n">
        <v>21.2900009155273</v>
      </c>
      <c r="L126" s="141"/>
      <c r="M126" s="142" t="n">
        <v>40299</v>
      </c>
      <c r="N126" s="175" t="n">
        <v>22.2900009155273</v>
      </c>
      <c r="O126" s="175" t="n">
        <v>22.2900009155273</v>
      </c>
      <c r="P126" s="175" t="n">
        <v>22.2900009155273</v>
      </c>
      <c r="Q126" s="62"/>
      <c r="R126" s="175" t="n">
        <v>15.7950000762939</v>
      </c>
      <c r="S126" s="175" t="n">
        <v>15.7950000762939</v>
      </c>
      <c r="T126" s="175" t="n">
        <v>15.7950000762939</v>
      </c>
      <c r="U126" s="62"/>
      <c r="V126" s="175" t="n">
        <v>0</v>
      </c>
      <c r="W126" s="175" t="n">
        <v>0</v>
      </c>
      <c r="X126" s="175" t="n">
        <v>0</v>
      </c>
      <c r="Y126" s="62"/>
      <c r="Z126" s="175" t="n">
        <v>0.16</v>
      </c>
      <c r="AA126" s="175" t="n">
        <v>0.2</v>
      </c>
      <c r="AB126" s="175" t="n">
        <v>0.24</v>
      </c>
      <c r="AC126" s="62"/>
      <c r="AD126" s="175" t="n">
        <v>0.08</v>
      </c>
      <c r="AE126" s="175" t="n">
        <v>0.1</v>
      </c>
      <c r="AF126" s="175" t="n">
        <v>0.12</v>
      </c>
      <c r="AG126" s="62"/>
      <c r="AH126" s="175" t="n">
        <v>0.2</v>
      </c>
      <c r="AI126" s="175" t="n">
        <v>0.25</v>
      </c>
      <c r="AJ126" s="175" t="n">
        <v>0.3</v>
      </c>
      <c r="AK126" s="62"/>
      <c r="AL126" s="175" t="n">
        <v>0.12</v>
      </c>
      <c r="AM126" s="175" t="n">
        <v>0.15</v>
      </c>
      <c r="AN126" s="175" t="n">
        <v>0.18</v>
      </c>
      <c r="AO126" s="62"/>
      <c r="AP126" s="141" t="n">
        <v>36</v>
      </c>
      <c r="AQ126" s="176" t="n">
        <v>0.4</v>
      </c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142" t="n">
        <v>40299</v>
      </c>
      <c r="BI126" s="178" t="n">
        <v>0.75</v>
      </c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0"/>
      <c r="CM126" s="230"/>
      <c r="CN126" s="230"/>
      <c r="CO126" s="179"/>
      <c r="CP126" s="0"/>
      <c r="CQ126" s="0"/>
      <c r="CR126" s="0"/>
      <c r="CS126" s="0"/>
      <c r="CT126" s="0"/>
      <c r="CY126" s="180" t="n">
        <f aca="false">M126</f>
        <v>40299</v>
      </c>
      <c r="CZ126" s="181" t="n">
        <f aca="false">AH126</f>
        <v>0.2</v>
      </c>
      <c r="DA126" s="181" t="n">
        <f aca="false">AI126</f>
        <v>0.25</v>
      </c>
      <c r="DB126" s="181" t="n">
        <f aca="false">AJ126</f>
        <v>0.3</v>
      </c>
      <c r="DD126" s="181" t="n">
        <f aca="false">Z126</f>
        <v>0.16</v>
      </c>
      <c r="DE126" s="181" t="n">
        <f aca="false">AA126</f>
        <v>0.2</v>
      </c>
      <c r="DF126" s="181" t="n">
        <f aca="false">AB126</f>
        <v>0.24</v>
      </c>
      <c r="DH126" s="180" t="n">
        <f aca="false">BH126</f>
        <v>40299</v>
      </c>
      <c r="DI126" s="135" t="n">
        <f aca="false">BI126</f>
        <v>0.75</v>
      </c>
      <c r="DL126" s="180" t="n">
        <f aca="false">M126</f>
        <v>40299</v>
      </c>
      <c r="DM126" s="181" t="n">
        <f aca="false">AL126</f>
        <v>0.12</v>
      </c>
      <c r="DN126" s="181" t="n">
        <f aca="false">AM126</f>
        <v>0.15</v>
      </c>
      <c r="DO126" s="181" t="n">
        <f aca="false">AN126</f>
        <v>0.18</v>
      </c>
      <c r="DQ126" s="181" t="n">
        <f aca="false">AD126</f>
        <v>0.08</v>
      </c>
      <c r="DR126" s="181" t="n">
        <f aca="false">AE126</f>
        <v>0.1</v>
      </c>
      <c r="DS126" s="181" t="n">
        <f aca="false">AF126</f>
        <v>0.12</v>
      </c>
    </row>
    <row r="127" customFormat="false" ht="12.75" hidden="false" customHeight="false" outlineLevel="0" collapsed="false">
      <c r="A127" s="145" t="n">
        <f aca="false">EOMONTH(A126,0)+1</f>
        <v>49400</v>
      </c>
      <c r="B127" s="135" t="n">
        <f aca="false">'Gas Curves'!C131</f>
        <v>0.0625054855937037</v>
      </c>
      <c r="C127" s="135"/>
      <c r="D127" s="173" t="n">
        <v>39448</v>
      </c>
      <c r="E127" s="174" t="n">
        <v>34.355715070452</v>
      </c>
      <c r="F127" s="174" t="n">
        <v>35.855715070452</v>
      </c>
      <c r="G127" s="174" t="n">
        <v>37.355715070452</v>
      </c>
      <c r="H127" s="159"/>
      <c r="I127" s="174" t="n">
        <v>23.5</v>
      </c>
      <c r="J127" s="174" t="n">
        <v>23.5</v>
      </c>
      <c r="K127" s="174" t="n">
        <v>23.5</v>
      </c>
      <c r="L127" s="141"/>
      <c r="M127" s="142" t="n">
        <v>40330</v>
      </c>
      <c r="N127" s="175" t="n">
        <v>29.2900009155273</v>
      </c>
      <c r="O127" s="175" t="n">
        <v>29.2900009155273</v>
      </c>
      <c r="P127" s="175" t="n">
        <v>29.2900009155273</v>
      </c>
      <c r="Q127" s="62"/>
      <c r="R127" s="175" t="n">
        <v>19.7900009155273</v>
      </c>
      <c r="S127" s="175" t="n">
        <v>19.7900009155273</v>
      </c>
      <c r="T127" s="175" t="n">
        <v>19.7900009155273</v>
      </c>
      <c r="U127" s="62"/>
      <c r="V127" s="175" t="n">
        <v>0</v>
      </c>
      <c r="W127" s="175" t="n">
        <v>0</v>
      </c>
      <c r="X127" s="175" t="n">
        <v>0</v>
      </c>
      <c r="Y127" s="62"/>
      <c r="Z127" s="175" t="n">
        <v>0.16</v>
      </c>
      <c r="AA127" s="175" t="n">
        <v>0.2</v>
      </c>
      <c r="AB127" s="175" t="n">
        <v>0.24</v>
      </c>
      <c r="AC127" s="62"/>
      <c r="AD127" s="175" t="n">
        <v>0.08</v>
      </c>
      <c r="AE127" s="175" t="n">
        <v>0.1</v>
      </c>
      <c r="AF127" s="175" t="n">
        <v>0.12</v>
      </c>
      <c r="AG127" s="62"/>
      <c r="AH127" s="175" t="n">
        <v>0.2</v>
      </c>
      <c r="AI127" s="175" t="n">
        <v>0.25</v>
      </c>
      <c r="AJ127" s="175" t="n">
        <v>0.3</v>
      </c>
      <c r="AK127" s="62"/>
      <c r="AL127" s="175" t="n">
        <v>0.12</v>
      </c>
      <c r="AM127" s="175" t="n">
        <v>0.15</v>
      </c>
      <c r="AN127" s="175" t="n">
        <v>0.18</v>
      </c>
      <c r="AO127" s="62"/>
      <c r="AP127" s="141" t="n">
        <v>37</v>
      </c>
      <c r="AQ127" s="176" t="n">
        <v>0.4</v>
      </c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142" t="n">
        <v>40330</v>
      </c>
      <c r="BI127" s="178" t="n">
        <v>0.75</v>
      </c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0"/>
      <c r="CM127" s="230"/>
      <c r="CN127" s="230"/>
      <c r="CO127" s="179"/>
      <c r="CP127" s="0"/>
      <c r="CQ127" s="0"/>
      <c r="CR127" s="0"/>
      <c r="CS127" s="0"/>
      <c r="CT127" s="0"/>
      <c r="CY127" s="180" t="n">
        <f aca="false">M127</f>
        <v>40330</v>
      </c>
      <c r="CZ127" s="181" t="n">
        <f aca="false">AH127</f>
        <v>0.2</v>
      </c>
      <c r="DA127" s="181" t="n">
        <f aca="false">AI127</f>
        <v>0.25</v>
      </c>
      <c r="DB127" s="181" t="n">
        <f aca="false">AJ127</f>
        <v>0.3</v>
      </c>
      <c r="DD127" s="181" t="n">
        <f aca="false">Z127</f>
        <v>0.16</v>
      </c>
      <c r="DE127" s="181" t="n">
        <f aca="false">AA127</f>
        <v>0.2</v>
      </c>
      <c r="DF127" s="181" t="n">
        <f aca="false">AB127</f>
        <v>0.24</v>
      </c>
      <c r="DH127" s="180" t="n">
        <f aca="false">BH127</f>
        <v>40330</v>
      </c>
      <c r="DI127" s="135" t="n">
        <f aca="false">BI127</f>
        <v>0.75</v>
      </c>
      <c r="DL127" s="180" t="n">
        <f aca="false">M127</f>
        <v>40330</v>
      </c>
      <c r="DM127" s="181" t="n">
        <f aca="false">AL127</f>
        <v>0.12</v>
      </c>
      <c r="DN127" s="181" t="n">
        <f aca="false">AM127</f>
        <v>0.15</v>
      </c>
      <c r="DO127" s="181" t="n">
        <f aca="false">AN127</f>
        <v>0.18</v>
      </c>
      <c r="DQ127" s="181" t="n">
        <f aca="false">AD127</f>
        <v>0.08</v>
      </c>
      <c r="DR127" s="181" t="n">
        <f aca="false">AE127</f>
        <v>0.1</v>
      </c>
      <c r="DS127" s="181" t="n">
        <f aca="false">AF127</f>
        <v>0.12</v>
      </c>
    </row>
    <row r="128" customFormat="false" ht="12.75" hidden="false" customHeight="false" outlineLevel="0" collapsed="false">
      <c r="A128" s="145" t="n">
        <f aca="false">EOMONTH(A127,0)+1</f>
        <v>49430</v>
      </c>
      <c r="B128" s="135" t="n">
        <f aca="false">'Gas Curves'!C132</f>
        <v>0.0625779713224186</v>
      </c>
      <c r="C128" s="135"/>
      <c r="D128" s="173" t="n">
        <v>39479</v>
      </c>
      <c r="E128" s="174" t="n">
        <v>33.7557127816337</v>
      </c>
      <c r="F128" s="174" t="n">
        <v>35.2557127816337</v>
      </c>
      <c r="G128" s="174" t="n">
        <v>36.7557127816337</v>
      </c>
      <c r="H128" s="159"/>
      <c r="I128" s="174" t="n">
        <v>22</v>
      </c>
      <c r="J128" s="174" t="n">
        <v>22</v>
      </c>
      <c r="K128" s="174" t="n">
        <v>22</v>
      </c>
      <c r="L128" s="141"/>
      <c r="M128" s="142" t="n">
        <v>40360</v>
      </c>
      <c r="N128" s="175" t="n">
        <v>35.2900009155273</v>
      </c>
      <c r="O128" s="175" t="n">
        <v>35.2900009155273</v>
      </c>
      <c r="P128" s="175" t="n">
        <v>35.2900009155273</v>
      </c>
      <c r="Q128" s="62"/>
      <c r="R128" s="175" t="n">
        <v>25.7900009155273</v>
      </c>
      <c r="S128" s="175" t="n">
        <v>25.7900009155273</v>
      </c>
      <c r="T128" s="175" t="n">
        <v>25.7900009155273</v>
      </c>
      <c r="U128" s="62"/>
      <c r="V128" s="175" t="n">
        <v>0</v>
      </c>
      <c r="W128" s="175" t="n">
        <v>0</v>
      </c>
      <c r="X128" s="175" t="n">
        <v>0</v>
      </c>
      <c r="Y128" s="62"/>
      <c r="Z128" s="175" t="n">
        <v>0.24</v>
      </c>
      <c r="AA128" s="175" t="n">
        <v>0.3</v>
      </c>
      <c r="AB128" s="175" t="n">
        <v>0.36</v>
      </c>
      <c r="AC128" s="62"/>
      <c r="AD128" s="175" t="n">
        <v>0.12</v>
      </c>
      <c r="AE128" s="175" t="n">
        <v>0.15</v>
      </c>
      <c r="AF128" s="175" t="n">
        <v>0.18</v>
      </c>
      <c r="AG128" s="62"/>
      <c r="AH128" s="175" t="n">
        <v>0.32</v>
      </c>
      <c r="AI128" s="175" t="n">
        <v>0.4</v>
      </c>
      <c r="AJ128" s="175" t="n">
        <v>0.48</v>
      </c>
      <c r="AK128" s="62"/>
      <c r="AL128" s="175" t="n">
        <v>0.192</v>
      </c>
      <c r="AM128" s="175" t="n">
        <v>0.24</v>
      </c>
      <c r="AN128" s="175" t="n">
        <v>0.288</v>
      </c>
      <c r="AO128" s="62"/>
      <c r="AP128" s="141" t="n">
        <v>37</v>
      </c>
      <c r="AQ128" s="176" t="n">
        <v>0.4</v>
      </c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142" t="n">
        <v>40360</v>
      </c>
      <c r="BI128" s="178" t="n">
        <v>0.75</v>
      </c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0"/>
      <c r="CM128" s="230"/>
      <c r="CN128" s="230"/>
      <c r="CO128" s="179"/>
      <c r="CP128" s="0"/>
      <c r="CQ128" s="0"/>
      <c r="CR128" s="0"/>
      <c r="CS128" s="0"/>
      <c r="CT128" s="0"/>
      <c r="CY128" s="180" t="n">
        <f aca="false">M128</f>
        <v>40360</v>
      </c>
      <c r="CZ128" s="181" t="n">
        <f aca="false">AH128</f>
        <v>0.32</v>
      </c>
      <c r="DA128" s="181" t="n">
        <f aca="false">AI128</f>
        <v>0.4</v>
      </c>
      <c r="DB128" s="181" t="n">
        <f aca="false">AJ128</f>
        <v>0.48</v>
      </c>
      <c r="DD128" s="181" t="n">
        <f aca="false">Z128</f>
        <v>0.24</v>
      </c>
      <c r="DE128" s="181" t="n">
        <f aca="false">AA128</f>
        <v>0.3</v>
      </c>
      <c r="DF128" s="181" t="n">
        <f aca="false">AB128</f>
        <v>0.36</v>
      </c>
      <c r="DH128" s="180" t="n">
        <f aca="false">BH128</f>
        <v>40360</v>
      </c>
      <c r="DI128" s="135" t="n">
        <f aca="false">BI128</f>
        <v>0.75</v>
      </c>
      <c r="DL128" s="180" t="n">
        <f aca="false">M128</f>
        <v>40360</v>
      </c>
      <c r="DM128" s="181" t="n">
        <f aca="false">AL128</f>
        <v>0.192</v>
      </c>
      <c r="DN128" s="181" t="n">
        <f aca="false">AM128</f>
        <v>0.24</v>
      </c>
      <c r="DO128" s="181" t="n">
        <f aca="false">AN128</f>
        <v>0.288</v>
      </c>
      <c r="DQ128" s="181" t="n">
        <f aca="false">AD128</f>
        <v>0.12</v>
      </c>
      <c r="DR128" s="181" t="n">
        <f aca="false">AE128</f>
        <v>0.15</v>
      </c>
      <c r="DS128" s="181" t="n">
        <f aca="false">AF128</f>
        <v>0.18</v>
      </c>
    </row>
    <row r="129" customFormat="false" ht="12.75" hidden="false" customHeight="false" outlineLevel="0" collapsed="false">
      <c r="A129" s="145" t="n">
        <f aca="false">EOMONTH(A128,0)+1</f>
        <v>49461</v>
      </c>
      <c r="B129" s="135" t="n">
        <f aca="false">'Gas Curves'!C133</f>
        <v>0.0626528732439224</v>
      </c>
      <c r="C129" s="135"/>
      <c r="D129" s="173" t="n">
        <v>39508</v>
      </c>
      <c r="E129" s="174" t="n">
        <v>32.4676814411962</v>
      </c>
      <c r="F129" s="174" t="n">
        <v>33.9676814411962</v>
      </c>
      <c r="G129" s="174" t="n">
        <v>35.4676814411962</v>
      </c>
      <c r="H129" s="159"/>
      <c r="I129" s="174" t="n">
        <v>23</v>
      </c>
      <c r="J129" s="174" t="n">
        <v>23</v>
      </c>
      <c r="K129" s="174" t="n">
        <v>23</v>
      </c>
      <c r="L129" s="141"/>
      <c r="M129" s="142" t="n">
        <v>40391</v>
      </c>
      <c r="N129" s="175" t="n">
        <v>33.2900047302246</v>
      </c>
      <c r="O129" s="175" t="n">
        <v>33.2900047302246</v>
      </c>
      <c r="P129" s="175" t="n">
        <v>33.2900047302246</v>
      </c>
      <c r="Q129" s="62"/>
      <c r="R129" s="175" t="n">
        <v>25.7900009155273</v>
      </c>
      <c r="S129" s="175" t="n">
        <v>25.7900009155273</v>
      </c>
      <c r="T129" s="175" t="n">
        <v>25.7900009155273</v>
      </c>
      <c r="U129" s="62"/>
      <c r="V129" s="175" t="n">
        <v>0</v>
      </c>
      <c r="W129" s="175" t="n">
        <v>0</v>
      </c>
      <c r="X129" s="175" t="n">
        <v>0</v>
      </c>
      <c r="Y129" s="62"/>
      <c r="Z129" s="175" t="n">
        <v>0.24</v>
      </c>
      <c r="AA129" s="175" t="n">
        <v>0.3</v>
      </c>
      <c r="AB129" s="175" t="n">
        <v>0.36</v>
      </c>
      <c r="AC129" s="62"/>
      <c r="AD129" s="175" t="n">
        <v>0.12</v>
      </c>
      <c r="AE129" s="175" t="n">
        <v>0.15</v>
      </c>
      <c r="AF129" s="175" t="n">
        <v>0.18</v>
      </c>
      <c r="AG129" s="62"/>
      <c r="AH129" s="175" t="n">
        <v>0.32</v>
      </c>
      <c r="AI129" s="175" t="n">
        <v>0.4</v>
      </c>
      <c r="AJ129" s="175" t="n">
        <v>0.48</v>
      </c>
      <c r="AK129" s="62"/>
      <c r="AL129" s="175" t="n">
        <v>0.192</v>
      </c>
      <c r="AM129" s="175" t="n">
        <v>0.24</v>
      </c>
      <c r="AN129" s="175" t="n">
        <v>0.288</v>
      </c>
      <c r="AO129" s="62"/>
      <c r="AP129" s="141" t="n">
        <v>37</v>
      </c>
      <c r="AQ129" s="176" t="n">
        <v>0.4</v>
      </c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142" t="n">
        <v>40391</v>
      </c>
      <c r="BI129" s="178" t="n">
        <v>0.75</v>
      </c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0"/>
      <c r="CM129" s="230"/>
      <c r="CN129" s="230"/>
      <c r="CO129" s="179"/>
      <c r="CP129" s="0"/>
      <c r="CQ129" s="0"/>
      <c r="CR129" s="0"/>
      <c r="CS129" s="0"/>
      <c r="CT129" s="0"/>
      <c r="CY129" s="180" t="n">
        <f aca="false">M129</f>
        <v>40391</v>
      </c>
      <c r="CZ129" s="181" t="n">
        <f aca="false">AH129</f>
        <v>0.32</v>
      </c>
      <c r="DA129" s="181" t="n">
        <f aca="false">AI129</f>
        <v>0.4</v>
      </c>
      <c r="DB129" s="181" t="n">
        <f aca="false">AJ129</f>
        <v>0.48</v>
      </c>
      <c r="DD129" s="181" t="n">
        <f aca="false">Z129</f>
        <v>0.24</v>
      </c>
      <c r="DE129" s="181" t="n">
        <f aca="false">AA129</f>
        <v>0.3</v>
      </c>
      <c r="DF129" s="181" t="n">
        <f aca="false">AB129</f>
        <v>0.36</v>
      </c>
      <c r="DH129" s="180" t="n">
        <f aca="false">BH129</f>
        <v>40391</v>
      </c>
      <c r="DI129" s="135" t="n">
        <f aca="false">BI129</f>
        <v>0.75</v>
      </c>
      <c r="DL129" s="180" t="n">
        <f aca="false">M129</f>
        <v>40391</v>
      </c>
      <c r="DM129" s="181" t="n">
        <f aca="false">AL129</f>
        <v>0.192</v>
      </c>
      <c r="DN129" s="181" t="n">
        <f aca="false">AM129</f>
        <v>0.24</v>
      </c>
      <c r="DO129" s="181" t="n">
        <f aca="false">AN129</f>
        <v>0.288</v>
      </c>
      <c r="DQ129" s="181" t="n">
        <f aca="false">AD129</f>
        <v>0.12</v>
      </c>
      <c r="DR129" s="181" t="n">
        <f aca="false">AE129</f>
        <v>0.15</v>
      </c>
      <c r="DS129" s="181" t="n">
        <f aca="false">AF129</f>
        <v>0.18</v>
      </c>
    </row>
    <row r="130" customFormat="false" ht="12.75" hidden="false" customHeight="false" outlineLevel="0" collapsed="false">
      <c r="A130" s="145" t="n">
        <f aca="false">EOMONTH(A129,0)+1</f>
        <v>49491</v>
      </c>
      <c r="B130" s="135" t="n">
        <f aca="false">'Gas Curves'!C134</f>
        <v>0.0627277751672874</v>
      </c>
      <c r="C130" s="135"/>
      <c r="D130" s="173" t="n">
        <v>39539</v>
      </c>
      <c r="E130" s="174" t="n">
        <v>32.6676822041356</v>
      </c>
      <c r="F130" s="174" t="n">
        <v>34.1676822041356</v>
      </c>
      <c r="G130" s="174" t="n">
        <v>35.6676822041356</v>
      </c>
      <c r="H130" s="159"/>
      <c r="I130" s="174" t="n">
        <v>20</v>
      </c>
      <c r="J130" s="174" t="n">
        <v>20</v>
      </c>
      <c r="K130" s="174" t="n">
        <v>20</v>
      </c>
      <c r="L130" s="141"/>
      <c r="M130" s="142" t="n">
        <v>40422</v>
      </c>
      <c r="N130" s="175" t="n">
        <v>25.2900009155273</v>
      </c>
      <c r="O130" s="175" t="n">
        <v>25.2900009155273</v>
      </c>
      <c r="P130" s="175" t="n">
        <v>25.2900009155273</v>
      </c>
      <c r="Q130" s="62"/>
      <c r="R130" s="175" t="n">
        <v>19.7900009155273</v>
      </c>
      <c r="S130" s="175" t="n">
        <v>19.7900009155273</v>
      </c>
      <c r="T130" s="175" t="n">
        <v>19.7900009155273</v>
      </c>
      <c r="U130" s="62"/>
      <c r="V130" s="175" t="n">
        <v>0</v>
      </c>
      <c r="W130" s="175" t="n">
        <v>0</v>
      </c>
      <c r="X130" s="175" t="n">
        <v>0</v>
      </c>
      <c r="Y130" s="62"/>
      <c r="Z130" s="175" t="n">
        <v>0.16</v>
      </c>
      <c r="AA130" s="175" t="n">
        <v>0.2</v>
      </c>
      <c r="AB130" s="175" t="n">
        <v>0.24</v>
      </c>
      <c r="AC130" s="62"/>
      <c r="AD130" s="175" t="n">
        <v>0.08</v>
      </c>
      <c r="AE130" s="175" t="n">
        <v>0.1</v>
      </c>
      <c r="AF130" s="175" t="n">
        <v>0.12</v>
      </c>
      <c r="AG130" s="62"/>
      <c r="AH130" s="175" t="n">
        <v>0.2</v>
      </c>
      <c r="AI130" s="175" t="n">
        <v>0.25</v>
      </c>
      <c r="AJ130" s="175" t="n">
        <v>0.3</v>
      </c>
      <c r="AK130" s="62"/>
      <c r="AL130" s="175" t="n">
        <v>0.12</v>
      </c>
      <c r="AM130" s="175" t="n">
        <v>0.15</v>
      </c>
      <c r="AN130" s="175" t="n">
        <v>0.18</v>
      </c>
      <c r="AO130" s="62"/>
      <c r="AP130" s="141" t="n">
        <v>38</v>
      </c>
      <c r="AQ130" s="176" t="n">
        <v>0.4</v>
      </c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142" t="n">
        <v>40422</v>
      </c>
      <c r="BI130" s="178" t="n">
        <v>0.75</v>
      </c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0"/>
      <c r="CM130" s="230"/>
      <c r="CN130" s="230"/>
      <c r="CO130" s="179"/>
      <c r="CP130" s="0"/>
      <c r="CQ130" s="0"/>
      <c r="CR130" s="0"/>
      <c r="CS130" s="0"/>
      <c r="CT130" s="0"/>
      <c r="CY130" s="180" t="n">
        <f aca="false">M130</f>
        <v>40422</v>
      </c>
      <c r="CZ130" s="181" t="n">
        <f aca="false">AH130</f>
        <v>0.2</v>
      </c>
      <c r="DA130" s="181" t="n">
        <f aca="false">AI130</f>
        <v>0.25</v>
      </c>
      <c r="DB130" s="181" t="n">
        <f aca="false">AJ130</f>
        <v>0.3</v>
      </c>
      <c r="DD130" s="181" t="n">
        <f aca="false">Z130</f>
        <v>0.16</v>
      </c>
      <c r="DE130" s="181" t="n">
        <f aca="false">AA130</f>
        <v>0.2</v>
      </c>
      <c r="DF130" s="181" t="n">
        <f aca="false">AB130</f>
        <v>0.24</v>
      </c>
      <c r="DH130" s="180" t="n">
        <f aca="false">BH130</f>
        <v>40422</v>
      </c>
      <c r="DI130" s="135" t="n">
        <f aca="false">BI130</f>
        <v>0.75</v>
      </c>
      <c r="DL130" s="180" t="n">
        <f aca="false">M130</f>
        <v>40422</v>
      </c>
      <c r="DM130" s="181" t="n">
        <f aca="false">AL130</f>
        <v>0.12</v>
      </c>
      <c r="DN130" s="181" t="n">
        <f aca="false">AM130</f>
        <v>0.15</v>
      </c>
      <c r="DO130" s="181" t="n">
        <f aca="false">AN130</f>
        <v>0.18</v>
      </c>
      <c r="DQ130" s="181" t="n">
        <f aca="false">AD130</f>
        <v>0.08</v>
      </c>
      <c r="DR130" s="181" t="n">
        <f aca="false">AE130</f>
        <v>0.1</v>
      </c>
      <c r="DS130" s="181" t="n">
        <f aca="false">AF130</f>
        <v>0.12</v>
      </c>
    </row>
    <row r="131" customFormat="false" ht="12.75" hidden="false" customHeight="false" outlineLevel="0" collapsed="false">
      <c r="A131" s="145" t="n">
        <f aca="false">EOMONTH(A130,0)+1</f>
        <v>49522</v>
      </c>
      <c r="B131" s="135" t="n">
        <f aca="false">'Gas Curves'!C135</f>
        <v>0.0627954285190242</v>
      </c>
      <c r="C131" s="135"/>
      <c r="D131" s="173" t="n">
        <v>39569</v>
      </c>
      <c r="E131" s="174" t="n">
        <v>36.3950035095215</v>
      </c>
      <c r="F131" s="174" t="n">
        <v>38.4450035095215</v>
      </c>
      <c r="G131" s="174" t="n">
        <v>40.4950035095215</v>
      </c>
      <c r="H131" s="159"/>
      <c r="I131" s="174" t="n">
        <v>20.5400009155273</v>
      </c>
      <c r="J131" s="174" t="n">
        <v>20.5400009155273</v>
      </c>
      <c r="K131" s="174" t="n">
        <v>20.5400009155273</v>
      </c>
      <c r="L131" s="141"/>
      <c r="M131" s="142" t="n">
        <v>40452</v>
      </c>
      <c r="N131" s="175" t="n">
        <v>20.2860012054443</v>
      </c>
      <c r="O131" s="175" t="n">
        <v>20.2860012054443</v>
      </c>
      <c r="P131" s="175" t="n">
        <v>20.2860012054443</v>
      </c>
      <c r="Q131" s="62"/>
      <c r="R131" s="175" t="n">
        <v>14.7865009307861</v>
      </c>
      <c r="S131" s="175" t="n">
        <v>14.7865009307861</v>
      </c>
      <c r="T131" s="175" t="n">
        <v>14.7865009307861</v>
      </c>
      <c r="U131" s="62"/>
      <c r="V131" s="175" t="n">
        <v>0</v>
      </c>
      <c r="W131" s="175" t="n">
        <v>0</v>
      </c>
      <c r="X131" s="175" t="n">
        <v>0</v>
      </c>
      <c r="Y131" s="62"/>
      <c r="Z131" s="175" t="n">
        <v>0.16</v>
      </c>
      <c r="AA131" s="175" t="n">
        <v>0.2</v>
      </c>
      <c r="AB131" s="175" t="n">
        <v>0.24</v>
      </c>
      <c r="AC131" s="62"/>
      <c r="AD131" s="175" t="n">
        <v>0.08</v>
      </c>
      <c r="AE131" s="175" t="n">
        <v>0.1</v>
      </c>
      <c r="AF131" s="175" t="n">
        <v>0.12</v>
      </c>
      <c r="AG131" s="62"/>
      <c r="AH131" s="175" t="n">
        <v>0.2</v>
      </c>
      <c r="AI131" s="175" t="n">
        <v>0.25</v>
      </c>
      <c r="AJ131" s="175" t="n">
        <v>0.3</v>
      </c>
      <c r="AK131" s="62"/>
      <c r="AL131" s="175" t="n">
        <v>0.12</v>
      </c>
      <c r="AM131" s="175" t="n">
        <v>0.15</v>
      </c>
      <c r="AN131" s="175" t="n">
        <v>0.18</v>
      </c>
      <c r="AO131" s="62"/>
      <c r="AP131" s="141" t="n">
        <v>38</v>
      </c>
      <c r="AQ131" s="176" t="n">
        <v>0.4</v>
      </c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142" t="n">
        <v>40452</v>
      </c>
      <c r="BI131" s="178" t="n">
        <v>0.75</v>
      </c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0"/>
      <c r="CM131" s="230"/>
      <c r="CN131" s="230"/>
      <c r="CO131" s="179"/>
      <c r="CP131" s="0"/>
      <c r="CQ131" s="0"/>
      <c r="CR131" s="0"/>
      <c r="CS131" s="0"/>
      <c r="CT131" s="0"/>
      <c r="CY131" s="180" t="n">
        <f aca="false">M131</f>
        <v>40452</v>
      </c>
      <c r="CZ131" s="181" t="n">
        <f aca="false">AH131</f>
        <v>0.2</v>
      </c>
      <c r="DA131" s="181" t="n">
        <f aca="false">AI131</f>
        <v>0.25</v>
      </c>
      <c r="DB131" s="181" t="n">
        <f aca="false">AJ131</f>
        <v>0.3</v>
      </c>
      <c r="DD131" s="181" t="n">
        <f aca="false">Z131</f>
        <v>0.16</v>
      </c>
      <c r="DE131" s="181" t="n">
        <f aca="false">AA131</f>
        <v>0.2</v>
      </c>
      <c r="DF131" s="181" t="n">
        <f aca="false">AB131</f>
        <v>0.24</v>
      </c>
      <c r="DH131" s="180" t="n">
        <f aca="false">BH131</f>
        <v>40452</v>
      </c>
      <c r="DI131" s="135" t="n">
        <f aca="false">BI131</f>
        <v>0.75</v>
      </c>
      <c r="DL131" s="180" t="n">
        <f aca="false">M131</f>
        <v>40452</v>
      </c>
      <c r="DM131" s="181" t="n">
        <f aca="false">AL131</f>
        <v>0.12</v>
      </c>
      <c r="DN131" s="181" t="n">
        <f aca="false">AM131</f>
        <v>0.15</v>
      </c>
      <c r="DO131" s="181" t="n">
        <f aca="false">AN131</f>
        <v>0.18</v>
      </c>
      <c r="DQ131" s="181" t="n">
        <f aca="false">AD131</f>
        <v>0.08</v>
      </c>
      <c r="DR131" s="181" t="n">
        <f aca="false">AE131</f>
        <v>0.1</v>
      </c>
      <c r="DS131" s="181" t="n">
        <f aca="false">AF131</f>
        <v>0.12</v>
      </c>
    </row>
    <row r="132" customFormat="false" ht="12.75" hidden="false" customHeight="false" outlineLevel="0" collapsed="false">
      <c r="A132" s="145" t="n">
        <f aca="false">EOMONTH(A131,0)+1</f>
        <v>49553</v>
      </c>
      <c r="B132" s="135" t="n">
        <f aca="false">'Gas Curves'!C136</f>
        <v>0.062870330445933</v>
      </c>
      <c r="C132" s="135"/>
      <c r="D132" s="173" t="n">
        <v>39600</v>
      </c>
      <c r="E132" s="174" t="n">
        <v>39.1250038146973</v>
      </c>
      <c r="F132" s="174" t="n">
        <v>44.1250038146973</v>
      </c>
      <c r="G132" s="174" t="n">
        <v>49.1250038146973</v>
      </c>
      <c r="H132" s="159"/>
      <c r="I132" s="174" t="n">
        <v>23.5400009155273</v>
      </c>
      <c r="J132" s="174" t="n">
        <v>23.5400009155273</v>
      </c>
      <c r="K132" s="174" t="n">
        <v>23.5400009155273</v>
      </c>
      <c r="L132" s="141"/>
      <c r="M132" s="142" t="n">
        <v>40483</v>
      </c>
      <c r="N132" s="175" t="n">
        <v>22.2900009155273</v>
      </c>
      <c r="O132" s="175" t="n">
        <v>22.2900009155273</v>
      </c>
      <c r="P132" s="175" t="n">
        <v>22.2900009155273</v>
      </c>
      <c r="Q132" s="62"/>
      <c r="R132" s="175" t="n">
        <v>14.7900009155273</v>
      </c>
      <c r="S132" s="175" t="n">
        <v>14.7900009155273</v>
      </c>
      <c r="T132" s="175" t="n">
        <v>14.7900009155273</v>
      </c>
      <c r="U132" s="62"/>
      <c r="V132" s="175" t="n">
        <v>0</v>
      </c>
      <c r="W132" s="175" t="n">
        <v>0</v>
      </c>
      <c r="X132" s="175" t="n">
        <v>0</v>
      </c>
      <c r="Y132" s="62"/>
      <c r="Z132" s="175" t="n">
        <v>0.16</v>
      </c>
      <c r="AA132" s="175" t="n">
        <v>0.2</v>
      </c>
      <c r="AB132" s="175" t="n">
        <v>0.24</v>
      </c>
      <c r="AC132" s="62"/>
      <c r="AD132" s="175" t="n">
        <v>0.08</v>
      </c>
      <c r="AE132" s="175" t="n">
        <v>0.1</v>
      </c>
      <c r="AF132" s="175" t="n">
        <v>0.12</v>
      </c>
      <c r="AG132" s="62"/>
      <c r="AH132" s="175" t="n">
        <v>0.2</v>
      </c>
      <c r="AI132" s="175" t="n">
        <v>0.25</v>
      </c>
      <c r="AJ132" s="175" t="n">
        <v>0.3</v>
      </c>
      <c r="AK132" s="62"/>
      <c r="AL132" s="175" t="n">
        <v>0.12</v>
      </c>
      <c r="AM132" s="175" t="n">
        <v>0.15</v>
      </c>
      <c r="AN132" s="175" t="n">
        <v>0.18</v>
      </c>
      <c r="AO132" s="62"/>
      <c r="AP132" s="141" t="n">
        <v>38</v>
      </c>
      <c r="AQ132" s="176" t="n">
        <v>0.4</v>
      </c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142" t="n">
        <v>40483</v>
      </c>
      <c r="BI132" s="178" t="n">
        <v>0.75</v>
      </c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0"/>
      <c r="CM132" s="230"/>
      <c r="CN132" s="230"/>
      <c r="CO132" s="179"/>
      <c r="CP132" s="0"/>
      <c r="CQ132" s="0"/>
      <c r="CR132" s="0"/>
      <c r="CS132" s="0"/>
      <c r="CT132" s="0"/>
      <c r="CY132" s="180" t="n">
        <f aca="false">M132</f>
        <v>40483</v>
      </c>
      <c r="CZ132" s="181" t="n">
        <f aca="false">AH132</f>
        <v>0.2</v>
      </c>
      <c r="DA132" s="181" t="n">
        <f aca="false">AI132</f>
        <v>0.25</v>
      </c>
      <c r="DB132" s="181" t="n">
        <f aca="false">AJ132</f>
        <v>0.3</v>
      </c>
      <c r="DD132" s="181" t="n">
        <f aca="false">Z132</f>
        <v>0.16</v>
      </c>
      <c r="DE132" s="181" t="n">
        <f aca="false">AA132</f>
        <v>0.2</v>
      </c>
      <c r="DF132" s="181" t="n">
        <f aca="false">AB132</f>
        <v>0.24</v>
      </c>
      <c r="DH132" s="180" t="n">
        <f aca="false">BH132</f>
        <v>40483</v>
      </c>
      <c r="DI132" s="135" t="n">
        <f aca="false">BI132</f>
        <v>0.75</v>
      </c>
      <c r="DL132" s="180" t="n">
        <f aca="false">M132</f>
        <v>40483</v>
      </c>
      <c r="DM132" s="181" t="n">
        <f aca="false">AL132</f>
        <v>0.12</v>
      </c>
      <c r="DN132" s="181" t="n">
        <f aca="false">AM132</f>
        <v>0.15</v>
      </c>
      <c r="DO132" s="181" t="n">
        <f aca="false">AN132</f>
        <v>0.18</v>
      </c>
      <c r="DQ132" s="181" t="n">
        <f aca="false">AD132</f>
        <v>0.08</v>
      </c>
      <c r="DR132" s="181" t="n">
        <f aca="false">AE132</f>
        <v>0.1</v>
      </c>
      <c r="DS132" s="181" t="n">
        <f aca="false">AF132</f>
        <v>0.12</v>
      </c>
    </row>
    <row r="133" customFormat="false" ht="12.75" hidden="false" customHeight="false" outlineLevel="0" collapsed="false">
      <c r="A133" s="145" t="n">
        <f aca="false">EOMONTH(A132,0)+1</f>
        <v>49583</v>
      </c>
      <c r="B133" s="135" t="n">
        <f aca="false">'Gas Curves'!C137</f>
        <v>0.0629274350563564</v>
      </c>
      <c r="C133" s="135"/>
      <c r="D133" s="173" t="n">
        <v>39630</v>
      </c>
      <c r="E133" s="174" t="n">
        <v>44.75</v>
      </c>
      <c r="F133" s="174" t="n">
        <v>54.75</v>
      </c>
      <c r="G133" s="174" t="n">
        <v>64.75</v>
      </c>
      <c r="H133" s="159"/>
      <c r="I133" s="174" t="n">
        <v>24.0400009155273</v>
      </c>
      <c r="J133" s="174" t="n">
        <v>24.0400009155273</v>
      </c>
      <c r="K133" s="174" t="n">
        <v>24.0400009155273</v>
      </c>
      <c r="L133" s="141"/>
      <c r="M133" s="142" t="n">
        <v>40513</v>
      </c>
      <c r="N133" s="175" t="n">
        <v>27.2900009155273</v>
      </c>
      <c r="O133" s="175" t="n">
        <v>27.2900009155273</v>
      </c>
      <c r="P133" s="175" t="n">
        <v>27.2900009155273</v>
      </c>
      <c r="Q133" s="62"/>
      <c r="R133" s="175" t="n">
        <v>21.7900009155273</v>
      </c>
      <c r="S133" s="175" t="n">
        <v>21.7900009155273</v>
      </c>
      <c r="T133" s="175" t="n">
        <v>21.7900009155273</v>
      </c>
      <c r="U133" s="62"/>
      <c r="V133" s="175" t="n">
        <v>0</v>
      </c>
      <c r="W133" s="175" t="n">
        <v>0</v>
      </c>
      <c r="X133" s="175" t="n">
        <v>0</v>
      </c>
      <c r="Y133" s="62"/>
      <c r="Z133" s="175" t="n">
        <v>0.16</v>
      </c>
      <c r="AA133" s="175" t="n">
        <v>0.2</v>
      </c>
      <c r="AB133" s="175" t="n">
        <v>0.24</v>
      </c>
      <c r="AC133" s="62"/>
      <c r="AD133" s="175" t="n">
        <v>0.08</v>
      </c>
      <c r="AE133" s="175" t="n">
        <v>0.1</v>
      </c>
      <c r="AF133" s="175" t="n">
        <v>0.12</v>
      </c>
      <c r="AG133" s="62"/>
      <c r="AH133" s="175" t="n">
        <v>0.2</v>
      </c>
      <c r="AI133" s="175" t="n">
        <v>0.25</v>
      </c>
      <c r="AJ133" s="175" t="n">
        <v>0.3</v>
      </c>
      <c r="AK133" s="62"/>
      <c r="AL133" s="175" t="n">
        <v>0.12</v>
      </c>
      <c r="AM133" s="175" t="n">
        <v>0.15</v>
      </c>
      <c r="AN133" s="175" t="n">
        <v>0.18</v>
      </c>
      <c r="AO133" s="62"/>
      <c r="AP133" s="141" t="n">
        <v>39</v>
      </c>
      <c r="AQ133" s="176" t="n">
        <v>0.4</v>
      </c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142" t="n">
        <v>40513</v>
      </c>
      <c r="BI133" s="178" t="n">
        <v>0.75</v>
      </c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0"/>
      <c r="CM133" s="230"/>
      <c r="CN133" s="230"/>
      <c r="CO133" s="179"/>
      <c r="CP133" s="0"/>
      <c r="CQ133" s="0"/>
      <c r="CR133" s="0"/>
      <c r="CS133" s="0"/>
      <c r="CT133" s="0"/>
      <c r="CY133" s="180" t="n">
        <f aca="false">M133</f>
        <v>40513</v>
      </c>
      <c r="CZ133" s="181" t="n">
        <f aca="false">AH133</f>
        <v>0.2</v>
      </c>
      <c r="DA133" s="181" t="n">
        <f aca="false">AI133</f>
        <v>0.25</v>
      </c>
      <c r="DB133" s="181" t="n">
        <f aca="false">AJ133</f>
        <v>0.3</v>
      </c>
      <c r="DD133" s="181" t="n">
        <f aca="false">Z133</f>
        <v>0.16</v>
      </c>
      <c r="DE133" s="181" t="n">
        <f aca="false">AA133</f>
        <v>0.2</v>
      </c>
      <c r="DF133" s="181" t="n">
        <f aca="false">AB133</f>
        <v>0.24</v>
      </c>
      <c r="DH133" s="180" t="n">
        <f aca="false">BH133</f>
        <v>40513</v>
      </c>
      <c r="DI133" s="135" t="n">
        <f aca="false">BI133</f>
        <v>0.75</v>
      </c>
      <c r="DL133" s="180" t="n">
        <f aca="false">M133</f>
        <v>40513</v>
      </c>
      <c r="DM133" s="181" t="n">
        <f aca="false">AL133</f>
        <v>0.12</v>
      </c>
      <c r="DN133" s="181" t="n">
        <f aca="false">AM133</f>
        <v>0.15</v>
      </c>
      <c r="DO133" s="181" t="n">
        <f aca="false">AN133</f>
        <v>0.18</v>
      </c>
      <c r="DQ133" s="181" t="n">
        <f aca="false">AD133</f>
        <v>0.08</v>
      </c>
      <c r="DR133" s="181" t="n">
        <f aca="false">AE133</f>
        <v>0.1</v>
      </c>
      <c r="DS133" s="181" t="n">
        <f aca="false">AF133</f>
        <v>0.12</v>
      </c>
    </row>
    <row r="134" customFormat="false" ht="12.75" hidden="false" customHeight="false" outlineLevel="0" collapsed="false">
      <c r="A134" s="145" t="n">
        <f aca="false">EOMONTH(A133,0)+1</f>
        <v>49614</v>
      </c>
      <c r="B134" s="135" t="n">
        <f aca="false">'Gas Curves'!C138</f>
        <v>0.062965658913714</v>
      </c>
      <c r="C134" s="135"/>
      <c r="D134" s="173" t="n">
        <v>39661</v>
      </c>
      <c r="E134" s="174" t="n">
        <v>44.75</v>
      </c>
      <c r="F134" s="174" t="n">
        <v>54.75</v>
      </c>
      <c r="G134" s="174" t="n">
        <v>64.75</v>
      </c>
      <c r="H134" s="159"/>
      <c r="I134" s="174" t="n">
        <v>25.0400009155273</v>
      </c>
      <c r="J134" s="174" t="n">
        <v>25.0400009155273</v>
      </c>
      <c r="K134" s="174" t="n">
        <v>25.0400009155273</v>
      </c>
      <c r="L134" s="141"/>
      <c r="M134" s="142" t="n">
        <v>40544</v>
      </c>
      <c r="N134" s="175" t="n">
        <v>35.75</v>
      </c>
      <c r="O134" s="175" t="n">
        <v>35.75</v>
      </c>
      <c r="P134" s="175" t="n">
        <v>35.75</v>
      </c>
      <c r="Q134" s="62"/>
      <c r="R134" s="175" t="n">
        <v>25.25</v>
      </c>
      <c r="S134" s="175" t="n">
        <v>25.25</v>
      </c>
      <c r="T134" s="175" t="n">
        <v>25.25</v>
      </c>
      <c r="U134" s="62"/>
      <c r="V134" s="175" t="n">
        <v>0</v>
      </c>
      <c r="W134" s="175" t="n">
        <v>0</v>
      </c>
      <c r="X134" s="175" t="n">
        <v>0</v>
      </c>
      <c r="Y134" s="62"/>
      <c r="Z134" s="175" t="n">
        <v>0.16</v>
      </c>
      <c r="AA134" s="175" t="n">
        <v>0.2</v>
      </c>
      <c r="AB134" s="175" t="n">
        <v>0.24</v>
      </c>
      <c r="AC134" s="62"/>
      <c r="AD134" s="175" t="n">
        <v>0.08</v>
      </c>
      <c r="AE134" s="175" t="n">
        <v>0.1</v>
      </c>
      <c r="AF134" s="175" t="n">
        <v>0.12</v>
      </c>
      <c r="AG134" s="62"/>
      <c r="AH134" s="175" t="n">
        <v>0.2</v>
      </c>
      <c r="AI134" s="175" t="n">
        <v>0.25</v>
      </c>
      <c r="AJ134" s="175" t="n">
        <v>0.3</v>
      </c>
      <c r="AK134" s="62"/>
      <c r="AL134" s="175" t="n">
        <v>0.12</v>
      </c>
      <c r="AM134" s="175" t="n">
        <v>0.15</v>
      </c>
      <c r="AN134" s="175" t="n">
        <v>0.18</v>
      </c>
      <c r="AO134" s="62"/>
      <c r="AP134" s="141" t="n">
        <v>39</v>
      </c>
      <c r="AQ134" s="176" t="n">
        <v>0.4</v>
      </c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142" t="n">
        <v>40544</v>
      </c>
      <c r="BI134" s="178" t="n">
        <v>0.75</v>
      </c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0"/>
      <c r="CM134" s="230"/>
      <c r="CN134" s="230"/>
      <c r="CO134" s="179"/>
      <c r="CP134" s="0"/>
      <c r="CQ134" s="0"/>
      <c r="CR134" s="0"/>
      <c r="CS134" s="0"/>
      <c r="CT134" s="0"/>
      <c r="CY134" s="180" t="n">
        <f aca="false">M134</f>
        <v>40544</v>
      </c>
      <c r="CZ134" s="181" t="n">
        <f aca="false">AH134</f>
        <v>0.2</v>
      </c>
      <c r="DA134" s="181" t="n">
        <f aca="false">AI134</f>
        <v>0.25</v>
      </c>
      <c r="DB134" s="181" t="n">
        <f aca="false">AJ134</f>
        <v>0.3</v>
      </c>
      <c r="DD134" s="181" t="n">
        <f aca="false">Z134</f>
        <v>0.16</v>
      </c>
      <c r="DE134" s="181" t="n">
        <f aca="false">AA134</f>
        <v>0.2</v>
      </c>
      <c r="DF134" s="181" t="n">
        <f aca="false">AB134</f>
        <v>0.24</v>
      </c>
      <c r="DH134" s="180" t="n">
        <f aca="false">BH134</f>
        <v>40544</v>
      </c>
      <c r="DI134" s="135" t="n">
        <f aca="false">BI134</f>
        <v>0.75</v>
      </c>
      <c r="DL134" s="180" t="n">
        <f aca="false">M134</f>
        <v>40544</v>
      </c>
      <c r="DM134" s="181" t="n">
        <f aca="false">AL134</f>
        <v>0.12</v>
      </c>
      <c r="DN134" s="181" t="n">
        <f aca="false">AM134</f>
        <v>0.15</v>
      </c>
      <c r="DO134" s="181" t="n">
        <f aca="false">AN134</f>
        <v>0.18</v>
      </c>
      <c r="DQ134" s="181" t="n">
        <f aca="false">AD134</f>
        <v>0.08</v>
      </c>
      <c r="DR134" s="181" t="n">
        <f aca="false">AE134</f>
        <v>0.1</v>
      </c>
      <c r="DS134" s="181" t="n">
        <f aca="false">AF134</f>
        <v>0.12</v>
      </c>
    </row>
    <row r="135" customFormat="false" ht="12.75" hidden="false" customHeight="false" outlineLevel="0" collapsed="false">
      <c r="A135" s="145" t="n">
        <f aca="false">EOMONTH(A134,0)+1</f>
        <v>49644</v>
      </c>
      <c r="B135" s="135" t="n">
        <f aca="false">'Gas Curves'!C139</f>
        <v>0.0630026497438765</v>
      </c>
      <c r="C135" s="135"/>
      <c r="D135" s="173" t="n">
        <v>39692</v>
      </c>
      <c r="E135" s="174" t="n">
        <v>29.5699996948242</v>
      </c>
      <c r="F135" s="174" t="n">
        <v>31.0699996948242</v>
      </c>
      <c r="G135" s="174" t="n">
        <v>32.5699996948242</v>
      </c>
      <c r="H135" s="159"/>
      <c r="I135" s="174" t="n">
        <v>19.0400009155273</v>
      </c>
      <c r="J135" s="174" t="n">
        <v>19.0400009155273</v>
      </c>
      <c r="K135" s="174" t="n">
        <v>19.0400009155273</v>
      </c>
      <c r="L135" s="141"/>
      <c r="M135" s="142" t="n">
        <v>40575</v>
      </c>
      <c r="N135" s="175" t="n">
        <v>31.2460021972656</v>
      </c>
      <c r="O135" s="175" t="n">
        <v>31.2460021972656</v>
      </c>
      <c r="P135" s="175" t="n">
        <v>31.2460021972656</v>
      </c>
      <c r="Q135" s="62"/>
      <c r="R135" s="175" t="n">
        <v>22.7465019226074</v>
      </c>
      <c r="S135" s="175" t="n">
        <v>22.7465019226074</v>
      </c>
      <c r="T135" s="175" t="n">
        <v>22.7465019226074</v>
      </c>
      <c r="U135" s="62"/>
      <c r="V135" s="175" t="n">
        <v>0</v>
      </c>
      <c r="W135" s="175" t="n">
        <v>0</v>
      </c>
      <c r="X135" s="175" t="n">
        <v>0</v>
      </c>
      <c r="Y135" s="62"/>
      <c r="Z135" s="175" t="n">
        <v>0.16</v>
      </c>
      <c r="AA135" s="175" t="n">
        <v>0.2</v>
      </c>
      <c r="AB135" s="175" t="n">
        <v>0.24</v>
      </c>
      <c r="AC135" s="62"/>
      <c r="AD135" s="175" t="n">
        <v>0.08</v>
      </c>
      <c r="AE135" s="175" t="n">
        <v>0.1</v>
      </c>
      <c r="AF135" s="175" t="n">
        <v>0.12</v>
      </c>
      <c r="AG135" s="62"/>
      <c r="AH135" s="175" t="n">
        <v>0.2</v>
      </c>
      <c r="AI135" s="175" t="n">
        <v>0.25</v>
      </c>
      <c r="AJ135" s="175" t="n">
        <v>0.3</v>
      </c>
      <c r="AK135" s="62"/>
      <c r="AL135" s="175" t="n">
        <v>0.12</v>
      </c>
      <c r="AM135" s="175" t="n">
        <v>0.15</v>
      </c>
      <c r="AN135" s="175" t="n">
        <v>0.18</v>
      </c>
      <c r="AO135" s="62"/>
      <c r="AP135" s="141" t="n">
        <v>39</v>
      </c>
      <c r="AQ135" s="176" t="n">
        <v>0.4</v>
      </c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142" t="n">
        <v>40575</v>
      </c>
      <c r="BI135" s="178" t="n">
        <v>0.75</v>
      </c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0"/>
      <c r="CM135" s="230"/>
      <c r="CN135" s="230"/>
      <c r="CO135" s="179"/>
      <c r="CP135" s="0"/>
      <c r="CQ135" s="0"/>
      <c r="CR135" s="0"/>
      <c r="CS135" s="0"/>
      <c r="CT135" s="0"/>
      <c r="CY135" s="180" t="n">
        <f aca="false">M135</f>
        <v>40575</v>
      </c>
      <c r="CZ135" s="181" t="n">
        <f aca="false">AH135</f>
        <v>0.2</v>
      </c>
      <c r="DA135" s="181" t="n">
        <f aca="false">AI135</f>
        <v>0.25</v>
      </c>
      <c r="DB135" s="181" t="n">
        <f aca="false">AJ135</f>
        <v>0.3</v>
      </c>
      <c r="DD135" s="181" t="n">
        <f aca="false">Z135</f>
        <v>0.16</v>
      </c>
      <c r="DE135" s="181" t="n">
        <f aca="false">AA135</f>
        <v>0.2</v>
      </c>
      <c r="DF135" s="181" t="n">
        <f aca="false">AB135</f>
        <v>0.24</v>
      </c>
      <c r="DH135" s="180" t="n">
        <f aca="false">BH135</f>
        <v>40575</v>
      </c>
      <c r="DI135" s="135" t="n">
        <f aca="false">BI135</f>
        <v>0.75</v>
      </c>
      <c r="DL135" s="180" t="n">
        <f aca="false">M135</f>
        <v>40575</v>
      </c>
      <c r="DM135" s="181" t="n">
        <f aca="false">AL135</f>
        <v>0.12</v>
      </c>
      <c r="DN135" s="181" t="n">
        <f aca="false">AM135</f>
        <v>0.15</v>
      </c>
      <c r="DO135" s="181" t="n">
        <f aca="false">AN135</f>
        <v>0.18</v>
      </c>
      <c r="DQ135" s="181" t="n">
        <f aca="false">AD135</f>
        <v>0.08</v>
      </c>
      <c r="DR135" s="181" t="n">
        <f aca="false">AE135</f>
        <v>0.1</v>
      </c>
      <c r="DS135" s="181" t="n">
        <f aca="false">AF135</f>
        <v>0.12</v>
      </c>
    </row>
    <row r="136" customFormat="false" ht="12.75" hidden="false" customHeight="false" outlineLevel="0" collapsed="false">
      <c r="A136" s="145" t="n">
        <f aca="false">EOMONTH(A135,0)+1</f>
        <v>49675</v>
      </c>
      <c r="B136" s="135" t="n">
        <f aca="false">'Gas Curves'!C140</f>
        <v>0.0630408736021884</v>
      </c>
      <c r="C136" s="135"/>
      <c r="D136" s="173" t="n">
        <v>39722</v>
      </c>
      <c r="E136" s="174" t="n">
        <v>31.2215694189072</v>
      </c>
      <c r="F136" s="174" t="n">
        <v>32.7215694189072</v>
      </c>
      <c r="G136" s="174" t="n">
        <v>34.2215694189072</v>
      </c>
      <c r="H136" s="159"/>
      <c r="I136" s="174" t="n">
        <v>18.540002822876</v>
      </c>
      <c r="J136" s="174" t="n">
        <v>18.540002822876</v>
      </c>
      <c r="K136" s="174" t="n">
        <v>18.540002822876</v>
      </c>
      <c r="L136" s="141"/>
      <c r="M136" s="142" t="n">
        <v>40603</v>
      </c>
      <c r="N136" s="175" t="n">
        <v>25.5</v>
      </c>
      <c r="O136" s="175" t="n">
        <v>25.5</v>
      </c>
      <c r="P136" s="175" t="n">
        <v>25.5</v>
      </c>
      <c r="Q136" s="62"/>
      <c r="R136" s="175" t="n">
        <v>20</v>
      </c>
      <c r="S136" s="175" t="n">
        <v>20</v>
      </c>
      <c r="T136" s="175" t="n">
        <v>20</v>
      </c>
      <c r="U136" s="62"/>
      <c r="V136" s="175" t="n">
        <v>0</v>
      </c>
      <c r="W136" s="175" t="n">
        <v>0</v>
      </c>
      <c r="X136" s="175" t="n">
        <v>0</v>
      </c>
      <c r="Y136" s="62"/>
      <c r="Z136" s="175" t="n">
        <v>0.16</v>
      </c>
      <c r="AA136" s="175" t="n">
        <v>0.2</v>
      </c>
      <c r="AB136" s="175" t="n">
        <v>0.24</v>
      </c>
      <c r="AC136" s="62"/>
      <c r="AD136" s="175" t="n">
        <v>0.08</v>
      </c>
      <c r="AE136" s="175" t="n">
        <v>0.1</v>
      </c>
      <c r="AF136" s="175" t="n">
        <v>0.12</v>
      </c>
      <c r="AG136" s="62"/>
      <c r="AH136" s="175" t="n">
        <v>0.2</v>
      </c>
      <c r="AI136" s="175" t="n">
        <v>0.25</v>
      </c>
      <c r="AJ136" s="175" t="n">
        <v>0.3</v>
      </c>
      <c r="AK136" s="62"/>
      <c r="AL136" s="175" t="n">
        <v>0.12</v>
      </c>
      <c r="AM136" s="175" t="n">
        <v>0.15</v>
      </c>
      <c r="AN136" s="175" t="n">
        <v>0.18</v>
      </c>
      <c r="AO136" s="62"/>
      <c r="AP136" s="141" t="n">
        <v>40</v>
      </c>
      <c r="AQ136" s="176" t="n">
        <v>0.4</v>
      </c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142" t="n">
        <v>40603</v>
      </c>
      <c r="BI136" s="178" t="n">
        <v>0.75</v>
      </c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0"/>
      <c r="CM136" s="230"/>
      <c r="CN136" s="230"/>
      <c r="CO136" s="179"/>
      <c r="CP136" s="0"/>
      <c r="CQ136" s="0"/>
      <c r="CR136" s="0"/>
      <c r="CS136" s="0"/>
      <c r="CT136" s="0"/>
      <c r="CY136" s="180" t="n">
        <f aca="false">M136</f>
        <v>40603</v>
      </c>
      <c r="CZ136" s="181" t="n">
        <f aca="false">AH136</f>
        <v>0.2</v>
      </c>
      <c r="DA136" s="181" t="n">
        <f aca="false">AI136</f>
        <v>0.25</v>
      </c>
      <c r="DB136" s="181" t="n">
        <f aca="false">AJ136</f>
        <v>0.3</v>
      </c>
      <c r="DD136" s="181" t="n">
        <f aca="false">Z136</f>
        <v>0.16</v>
      </c>
      <c r="DE136" s="181" t="n">
        <f aca="false">AA136</f>
        <v>0.2</v>
      </c>
      <c r="DF136" s="181" t="n">
        <f aca="false">AB136</f>
        <v>0.24</v>
      </c>
      <c r="DH136" s="180" t="n">
        <f aca="false">BH136</f>
        <v>40603</v>
      </c>
      <c r="DI136" s="135" t="n">
        <f aca="false">BI136</f>
        <v>0.75</v>
      </c>
      <c r="DL136" s="180" t="n">
        <f aca="false">M136</f>
        <v>40603</v>
      </c>
      <c r="DM136" s="181" t="n">
        <f aca="false">AL136</f>
        <v>0.12</v>
      </c>
      <c r="DN136" s="181" t="n">
        <f aca="false">AM136</f>
        <v>0.15</v>
      </c>
      <c r="DO136" s="181" t="n">
        <f aca="false">AN136</f>
        <v>0.18</v>
      </c>
      <c r="DQ136" s="181" t="n">
        <f aca="false">AD136</f>
        <v>0.08</v>
      </c>
      <c r="DR136" s="181" t="n">
        <f aca="false">AE136</f>
        <v>0.1</v>
      </c>
      <c r="DS136" s="181" t="n">
        <f aca="false">AF136</f>
        <v>0.12</v>
      </c>
    </row>
    <row r="137" customFormat="false" ht="12.75" hidden="false" customHeight="false" outlineLevel="0" collapsed="false">
      <c r="A137" s="145" t="n">
        <f aca="false">EOMONTH(A136,0)+1</f>
        <v>49706</v>
      </c>
      <c r="B137" s="135" t="n">
        <f aca="false">'Gas Curves'!C141</f>
        <v>0.0630790974609852</v>
      </c>
      <c r="C137" s="135"/>
      <c r="D137" s="173" t="n">
        <v>39753</v>
      </c>
      <c r="E137" s="174" t="n">
        <v>31.3215678930283</v>
      </c>
      <c r="F137" s="174" t="n">
        <v>32.8215678930283</v>
      </c>
      <c r="G137" s="174" t="n">
        <v>34.3215678930283</v>
      </c>
      <c r="H137" s="159"/>
      <c r="I137" s="174" t="n">
        <v>19.5400009155273</v>
      </c>
      <c r="J137" s="174" t="n">
        <v>19.5400009155273</v>
      </c>
      <c r="K137" s="174" t="n">
        <v>19.5400009155273</v>
      </c>
      <c r="L137" s="141"/>
      <c r="M137" s="142" t="n">
        <v>40634</v>
      </c>
      <c r="N137" s="175" t="n">
        <v>22</v>
      </c>
      <c r="O137" s="175" t="n">
        <v>22</v>
      </c>
      <c r="P137" s="175" t="n">
        <v>22</v>
      </c>
      <c r="Q137" s="62"/>
      <c r="R137" s="175" t="n">
        <v>16.4950008392334</v>
      </c>
      <c r="S137" s="175" t="n">
        <v>16.4950008392334</v>
      </c>
      <c r="T137" s="175" t="n">
        <v>16.4950008392334</v>
      </c>
      <c r="U137" s="62"/>
      <c r="V137" s="175" t="n">
        <v>0</v>
      </c>
      <c r="W137" s="175" t="n">
        <v>0</v>
      </c>
      <c r="X137" s="175" t="n">
        <v>0</v>
      </c>
      <c r="Y137" s="62"/>
      <c r="Z137" s="175" t="n">
        <v>0.16</v>
      </c>
      <c r="AA137" s="175" t="n">
        <v>0.2</v>
      </c>
      <c r="AB137" s="175" t="n">
        <v>0.24</v>
      </c>
      <c r="AC137" s="62"/>
      <c r="AD137" s="175" t="n">
        <v>0.08</v>
      </c>
      <c r="AE137" s="175" t="n">
        <v>0.1</v>
      </c>
      <c r="AF137" s="175" t="n">
        <v>0.12</v>
      </c>
      <c r="AG137" s="62"/>
      <c r="AH137" s="175" t="n">
        <v>0.2</v>
      </c>
      <c r="AI137" s="175" t="n">
        <v>0.25</v>
      </c>
      <c r="AJ137" s="175" t="n">
        <v>0.3</v>
      </c>
      <c r="AK137" s="62"/>
      <c r="AL137" s="175" t="n">
        <v>0.12</v>
      </c>
      <c r="AM137" s="175" t="n">
        <v>0.15</v>
      </c>
      <c r="AN137" s="175" t="n">
        <v>0.18</v>
      </c>
      <c r="AO137" s="62"/>
      <c r="AP137" s="141" t="n">
        <v>40</v>
      </c>
      <c r="AQ137" s="176" t="n">
        <v>0.4</v>
      </c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142" t="n">
        <v>40634</v>
      </c>
      <c r="BI137" s="178" t="n">
        <v>0.75</v>
      </c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0"/>
      <c r="CM137" s="230"/>
      <c r="CN137" s="230"/>
      <c r="CO137" s="179"/>
      <c r="CP137" s="0"/>
      <c r="CQ137" s="0"/>
      <c r="CR137" s="0"/>
      <c r="CS137" s="0"/>
      <c r="CT137" s="0"/>
      <c r="CY137" s="180" t="n">
        <f aca="false">M137</f>
        <v>40634</v>
      </c>
      <c r="CZ137" s="181" t="n">
        <f aca="false">AH137</f>
        <v>0.2</v>
      </c>
      <c r="DA137" s="181" t="n">
        <f aca="false">AI137</f>
        <v>0.25</v>
      </c>
      <c r="DB137" s="181" t="n">
        <f aca="false">AJ137</f>
        <v>0.3</v>
      </c>
      <c r="DD137" s="181" t="n">
        <f aca="false">Z137</f>
        <v>0.16</v>
      </c>
      <c r="DE137" s="181" t="n">
        <f aca="false">AA137</f>
        <v>0.2</v>
      </c>
      <c r="DF137" s="181" t="n">
        <f aca="false">AB137</f>
        <v>0.24</v>
      </c>
      <c r="DH137" s="180" t="n">
        <f aca="false">BH137</f>
        <v>40634</v>
      </c>
      <c r="DI137" s="135" t="n">
        <f aca="false">BI137</f>
        <v>0.75</v>
      </c>
      <c r="DL137" s="180" t="n">
        <f aca="false">M137</f>
        <v>40634</v>
      </c>
      <c r="DM137" s="181" t="n">
        <f aca="false">AL137</f>
        <v>0.12</v>
      </c>
      <c r="DN137" s="181" t="n">
        <f aca="false">AM137</f>
        <v>0.15</v>
      </c>
      <c r="DO137" s="181" t="n">
        <f aca="false">AN137</f>
        <v>0.18</v>
      </c>
      <c r="DQ137" s="181" t="n">
        <f aca="false">AD137</f>
        <v>0.08</v>
      </c>
      <c r="DR137" s="181" t="n">
        <f aca="false">AE137</f>
        <v>0.1</v>
      </c>
      <c r="DS137" s="181" t="n">
        <f aca="false">AF137</f>
        <v>0.12</v>
      </c>
    </row>
    <row r="138" customFormat="false" ht="12.75" hidden="false" customHeight="false" outlineLevel="0" collapsed="false">
      <c r="A138" s="145" t="n">
        <f aca="false">EOMONTH(A137,0)+1</f>
        <v>49735</v>
      </c>
      <c r="B138" s="135" t="n">
        <f aca="false">'Gas Curves'!C142</f>
        <v>0.0631160882925399</v>
      </c>
      <c r="C138" s="135"/>
      <c r="D138" s="173" t="n">
        <v>39783</v>
      </c>
      <c r="E138" s="174" t="n">
        <v>31.4215663671494</v>
      </c>
      <c r="F138" s="174" t="n">
        <v>32.9215663671494</v>
      </c>
      <c r="G138" s="174" t="n">
        <v>34.4215663671494</v>
      </c>
      <c r="H138" s="159"/>
      <c r="I138" s="174" t="n">
        <v>21.7900009155273</v>
      </c>
      <c r="J138" s="174" t="n">
        <v>21.7900009155273</v>
      </c>
      <c r="K138" s="174" t="n">
        <v>21.7900009155273</v>
      </c>
      <c r="L138" s="141"/>
      <c r="M138" s="142" t="n">
        <v>40664</v>
      </c>
      <c r="N138" s="175" t="n">
        <v>22.2900009155273</v>
      </c>
      <c r="O138" s="175" t="n">
        <v>22.2900009155273</v>
      </c>
      <c r="P138" s="175" t="n">
        <v>22.2900009155273</v>
      </c>
      <c r="Q138" s="62"/>
      <c r="R138" s="175" t="n">
        <v>15.7950000762939</v>
      </c>
      <c r="S138" s="175" t="n">
        <v>15.7950000762939</v>
      </c>
      <c r="T138" s="175" t="n">
        <v>15.7950000762939</v>
      </c>
      <c r="U138" s="62"/>
      <c r="V138" s="175" t="n">
        <v>0</v>
      </c>
      <c r="W138" s="175" t="n">
        <v>0</v>
      </c>
      <c r="X138" s="175" t="n">
        <v>0</v>
      </c>
      <c r="Y138" s="62"/>
      <c r="Z138" s="175" t="n">
        <v>0.16</v>
      </c>
      <c r="AA138" s="175" t="n">
        <v>0.2</v>
      </c>
      <c r="AB138" s="175" t="n">
        <v>0.24</v>
      </c>
      <c r="AC138" s="62"/>
      <c r="AD138" s="175" t="n">
        <v>0.08</v>
      </c>
      <c r="AE138" s="175" t="n">
        <v>0.1</v>
      </c>
      <c r="AF138" s="175" t="n">
        <v>0.12</v>
      </c>
      <c r="AG138" s="62"/>
      <c r="AH138" s="175" t="n">
        <v>0.2</v>
      </c>
      <c r="AI138" s="175" t="n">
        <v>0.25</v>
      </c>
      <c r="AJ138" s="175" t="n">
        <v>0.3</v>
      </c>
      <c r="AK138" s="62"/>
      <c r="AL138" s="175" t="n">
        <v>0.12</v>
      </c>
      <c r="AM138" s="175" t="n">
        <v>0.15</v>
      </c>
      <c r="AN138" s="175" t="n">
        <v>0.18</v>
      </c>
      <c r="AO138" s="62"/>
      <c r="AP138" s="141" t="n">
        <v>40</v>
      </c>
      <c r="AQ138" s="176" t="n">
        <v>0.4</v>
      </c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142" t="n">
        <v>40664</v>
      </c>
      <c r="BI138" s="178" t="n">
        <v>0.75</v>
      </c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0"/>
      <c r="CM138" s="230"/>
      <c r="CN138" s="230"/>
      <c r="CO138" s="179"/>
      <c r="CP138" s="0"/>
      <c r="CQ138" s="0"/>
      <c r="CR138" s="0"/>
      <c r="CS138" s="0"/>
      <c r="CT138" s="0"/>
      <c r="CY138" s="180" t="n">
        <f aca="false">M138</f>
        <v>40664</v>
      </c>
      <c r="CZ138" s="181" t="n">
        <f aca="false">AH138</f>
        <v>0.2</v>
      </c>
      <c r="DA138" s="181" t="n">
        <f aca="false">AI138</f>
        <v>0.25</v>
      </c>
      <c r="DB138" s="181" t="n">
        <f aca="false">AJ138</f>
        <v>0.3</v>
      </c>
      <c r="DD138" s="181" t="n">
        <f aca="false">Z138</f>
        <v>0.16</v>
      </c>
      <c r="DE138" s="181" t="n">
        <f aca="false">AA138</f>
        <v>0.2</v>
      </c>
      <c r="DF138" s="181" t="n">
        <f aca="false">AB138</f>
        <v>0.24</v>
      </c>
      <c r="DH138" s="180" t="n">
        <f aca="false">BH138</f>
        <v>40664</v>
      </c>
      <c r="DI138" s="135" t="n">
        <f aca="false">BI138</f>
        <v>0.75</v>
      </c>
      <c r="DL138" s="180" t="n">
        <f aca="false">M138</f>
        <v>40664</v>
      </c>
      <c r="DM138" s="181" t="n">
        <f aca="false">AL138</f>
        <v>0.12</v>
      </c>
      <c r="DN138" s="181" t="n">
        <f aca="false">AM138</f>
        <v>0.15</v>
      </c>
      <c r="DO138" s="181" t="n">
        <f aca="false">AN138</f>
        <v>0.18</v>
      </c>
      <c r="DQ138" s="181" t="n">
        <f aca="false">AD138</f>
        <v>0.08</v>
      </c>
      <c r="DR138" s="181" t="n">
        <f aca="false">AE138</f>
        <v>0.1</v>
      </c>
      <c r="DS138" s="181" t="n">
        <f aca="false">AF138</f>
        <v>0.12</v>
      </c>
    </row>
    <row r="139" customFormat="false" ht="12.75" hidden="false" customHeight="false" outlineLevel="0" collapsed="false">
      <c r="A139" s="145" t="n">
        <f aca="false">EOMONTH(A138,0)+1</f>
        <v>49766</v>
      </c>
      <c r="B139" s="135" t="n">
        <f aca="false">'Gas Curves'!C143</f>
        <v>0.0631543121522902</v>
      </c>
      <c r="C139" s="135"/>
      <c r="D139" s="173" t="n">
        <v>39814</v>
      </c>
      <c r="E139" s="174" t="n">
        <v>34.5957129342215</v>
      </c>
      <c r="F139" s="174" t="n">
        <v>36.0957129342215</v>
      </c>
      <c r="G139" s="174" t="n">
        <v>37.5957129342215</v>
      </c>
      <c r="H139" s="159"/>
      <c r="I139" s="174" t="n">
        <v>24</v>
      </c>
      <c r="J139" s="174" t="n">
        <v>24</v>
      </c>
      <c r="K139" s="174" t="n">
        <v>24</v>
      </c>
      <c r="L139" s="141"/>
      <c r="M139" s="142" t="n">
        <v>40695</v>
      </c>
      <c r="N139" s="175" t="n">
        <v>29.2900009155273</v>
      </c>
      <c r="O139" s="175" t="n">
        <v>29.2900009155273</v>
      </c>
      <c r="P139" s="175" t="n">
        <v>29.2900009155273</v>
      </c>
      <c r="Q139" s="62"/>
      <c r="R139" s="175" t="n">
        <v>19.7900009155273</v>
      </c>
      <c r="S139" s="175" t="n">
        <v>19.7900009155273</v>
      </c>
      <c r="T139" s="175" t="n">
        <v>19.7900009155273</v>
      </c>
      <c r="U139" s="62"/>
      <c r="V139" s="175" t="n">
        <v>0</v>
      </c>
      <c r="W139" s="175" t="n">
        <v>0</v>
      </c>
      <c r="X139" s="175" t="n">
        <v>0</v>
      </c>
      <c r="Y139" s="62"/>
      <c r="Z139" s="175" t="n">
        <v>0.16</v>
      </c>
      <c r="AA139" s="175" t="n">
        <v>0.2</v>
      </c>
      <c r="AB139" s="175" t="n">
        <v>0.24</v>
      </c>
      <c r="AC139" s="62"/>
      <c r="AD139" s="175" t="n">
        <v>0.08</v>
      </c>
      <c r="AE139" s="175" t="n">
        <v>0.1</v>
      </c>
      <c r="AF139" s="175" t="n">
        <v>0.12</v>
      </c>
      <c r="AG139" s="62"/>
      <c r="AH139" s="175" t="n">
        <v>0.2</v>
      </c>
      <c r="AI139" s="175" t="n">
        <v>0.25</v>
      </c>
      <c r="AJ139" s="175" t="n">
        <v>0.3</v>
      </c>
      <c r="AK139" s="62"/>
      <c r="AL139" s="175" t="n">
        <v>0.12</v>
      </c>
      <c r="AM139" s="175" t="n">
        <v>0.15</v>
      </c>
      <c r="AN139" s="175" t="n">
        <v>0.18</v>
      </c>
      <c r="AO139" s="62"/>
      <c r="AP139" s="141" t="n">
        <v>41</v>
      </c>
      <c r="AQ139" s="176" t="n">
        <v>0.4</v>
      </c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142" t="n">
        <v>40695</v>
      </c>
      <c r="BI139" s="178" t="n">
        <v>0.75</v>
      </c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0"/>
      <c r="CM139" s="230"/>
      <c r="CN139" s="230"/>
      <c r="CO139" s="179"/>
      <c r="CP139" s="0"/>
      <c r="CQ139" s="0"/>
      <c r="CR139" s="0"/>
      <c r="CS139" s="0"/>
      <c r="CT139" s="0"/>
      <c r="CY139" s="180" t="n">
        <f aca="false">M139</f>
        <v>40695</v>
      </c>
      <c r="CZ139" s="181" t="n">
        <f aca="false">AH139</f>
        <v>0.2</v>
      </c>
      <c r="DA139" s="181" t="n">
        <f aca="false">AI139</f>
        <v>0.25</v>
      </c>
      <c r="DB139" s="181" t="n">
        <f aca="false">AJ139</f>
        <v>0.3</v>
      </c>
      <c r="DD139" s="181" t="n">
        <f aca="false">Z139</f>
        <v>0.16</v>
      </c>
      <c r="DE139" s="181" t="n">
        <f aca="false">AA139</f>
        <v>0.2</v>
      </c>
      <c r="DF139" s="181" t="n">
        <f aca="false">AB139</f>
        <v>0.24</v>
      </c>
      <c r="DH139" s="180" t="n">
        <f aca="false">BH139</f>
        <v>40695</v>
      </c>
      <c r="DI139" s="135" t="n">
        <f aca="false">BI139</f>
        <v>0.75</v>
      </c>
      <c r="DL139" s="180" t="n">
        <f aca="false">M139</f>
        <v>40695</v>
      </c>
      <c r="DM139" s="181" t="n">
        <f aca="false">AL139</f>
        <v>0.12</v>
      </c>
      <c r="DN139" s="181" t="n">
        <f aca="false">AM139</f>
        <v>0.15</v>
      </c>
      <c r="DO139" s="181" t="n">
        <f aca="false">AN139</f>
        <v>0.18</v>
      </c>
      <c r="DQ139" s="181" t="n">
        <f aca="false">AD139</f>
        <v>0.08</v>
      </c>
      <c r="DR139" s="181" t="n">
        <f aca="false">AE139</f>
        <v>0.1</v>
      </c>
      <c r="DS139" s="181" t="n">
        <f aca="false">AF139</f>
        <v>0.12</v>
      </c>
    </row>
    <row r="140" customFormat="false" ht="12.75" hidden="false" customHeight="false" outlineLevel="0" collapsed="false">
      <c r="A140" s="145" t="n">
        <f aca="false">EOMONTH(A139,0)+1</f>
        <v>49796</v>
      </c>
      <c r="B140" s="135" t="n">
        <f aca="false">'Gas Curves'!C144</f>
        <v>0.0631913029847682</v>
      </c>
      <c r="C140" s="135"/>
      <c r="D140" s="173" t="n">
        <v>39845</v>
      </c>
      <c r="E140" s="174" t="n">
        <v>33.9957106454032</v>
      </c>
      <c r="F140" s="174" t="n">
        <v>35.4957106454032</v>
      </c>
      <c r="G140" s="174" t="n">
        <v>36.9957106454032</v>
      </c>
      <c r="H140" s="159"/>
      <c r="I140" s="174" t="n">
        <v>22.5</v>
      </c>
      <c r="J140" s="174" t="n">
        <v>22.5</v>
      </c>
      <c r="K140" s="174" t="n">
        <v>22.5</v>
      </c>
      <c r="L140" s="141"/>
      <c r="M140" s="142" t="n">
        <v>40725</v>
      </c>
      <c r="N140" s="175" t="n">
        <v>35.2900009155273</v>
      </c>
      <c r="O140" s="175" t="n">
        <v>35.2900009155273</v>
      </c>
      <c r="P140" s="175" t="n">
        <v>35.2900009155273</v>
      </c>
      <c r="Q140" s="62"/>
      <c r="R140" s="175" t="n">
        <v>25.7900009155273</v>
      </c>
      <c r="S140" s="175" t="n">
        <v>25.7900009155273</v>
      </c>
      <c r="T140" s="175" t="n">
        <v>25.7900009155273</v>
      </c>
      <c r="U140" s="62"/>
      <c r="V140" s="175" t="n">
        <v>0</v>
      </c>
      <c r="W140" s="175" t="n">
        <v>0</v>
      </c>
      <c r="X140" s="175" t="n">
        <v>0</v>
      </c>
      <c r="Y140" s="62"/>
      <c r="Z140" s="175" t="n">
        <v>0.24</v>
      </c>
      <c r="AA140" s="175" t="n">
        <v>0.3</v>
      </c>
      <c r="AB140" s="175" t="n">
        <v>0.36</v>
      </c>
      <c r="AC140" s="62"/>
      <c r="AD140" s="175" t="n">
        <v>0.12</v>
      </c>
      <c r="AE140" s="175" t="n">
        <v>0.15</v>
      </c>
      <c r="AF140" s="175" t="n">
        <v>0.18</v>
      </c>
      <c r="AG140" s="62"/>
      <c r="AH140" s="175" t="n">
        <v>0.32</v>
      </c>
      <c r="AI140" s="175" t="n">
        <v>0.4</v>
      </c>
      <c r="AJ140" s="175" t="n">
        <v>0.48</v>
      </c>
      <c r="AK140" s="62"/>
      <c r="AL140" s="175" t="n">
        <v>0.192</v>
      </c>
      <c r="AM140" s="175" t="n">
        <v>0.24</v>
      </c>
      <c r="AN140" s="175" t="n">
        <v>0.288</v>
      </c>
      <c r="AO140" s="62"/>
      <c r="AP140" s="141" t="n">
        <v>41</v>
      </c>
      <c r="AQ140" s="176" t="n">
        <v>0.4</v>
      </c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142" t="n">
        <v>40725</v>
      </c>
      <c r="BI140" s="178" t="n">
        <v>0.75</v>
      </c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0"/>
      <c r="CM140" s="230"/>
      <c r="CN140" s="230"/>
      <c r="CO140" s="179"/>
      <c r="CP140" s="0"/>
      <c r="CQ140" s="0"/>
      <c r="CR140" s="0"/>
      <c r="CS140" s="0"/>
      <c r="CT140" s="0"/>
      <c r="CY140" s="180" t="n">
        <f aca="false">M140</f>
        <v>40725</v>
      </c>
      <c r="CZ140" s="181" t="n">
        <f aca="false">AH140</f>
        <v>0.32</v>
      </c>
      <c r="DA140" s="181" t="n">
        <f aca="false">AI140</f>
        <v>0.4</v>
      </c>
      <c r="DB140" s="181" t="n">
        <f aca="false">AJ140</f>
        <v>0.48</v>
      </c>
      <c r="DD140" s="181" t="n">
        <f aca="false">Z140</f>
        <v>0.24</v>
      </c>
      <c r="DE140" s="181" t="n">
        <f aca="false">AA140</f>
        <v>0.3</v>
      </c>
      <c r="DF140" s="181" t="n">
        <f aca="false">AB140</f>
        <v>0.36</v>
      </c>
      <c r="DH140" s="180" t="n">
        <f aca="false">BH140</f>
        <v>40725</v>
      </c>
      <c r="DI140" s="135" t="n">
        <f aca="false">BI140</f>
        <v>0.75</v>
      </c>
      <c r="DL140" s="180" t="n">
        <f aca="false">M140</f>
        <v>40725</v>
      </c>
      <c r="DM140" s="181" t="n">
        <f aca="false">AL140</f>
        <v>0.192</v>
      </c>
      <c r="DN140" s="181" t="n">
        <f aca="false">AM140</f>
        <v>0.24</v>
      </c>
      <c r="DO140" s="181" t="n">
        <f aca="false">AN140</f>
        <v>0.288</v>
      </c>
      <c r="DQ140" s="181" t="n">
        <f aca="false">AD140</f>
        <v>0.12</v>
      </c>
      <c r="DR140" s="181" t="n">
        <f aca="false">AE140</f>
        <v>0.15</v>
      </c>
      <c r="DS140" s="181" t="n">
        <f aca="false">AF140</f>
        <v>0.18</v>
      </c>
    </row>
    <row r="141" customFormat="false" ht="12.75" hidden="false" customHeight="false" outlineLevel="0" collapsed="false">
      <c r="A141" s="145" t="n">
        <f aca="false">EOMONTH(A140,0)+1</f>
        <v>49827</v>
      </c>
      <c r="B141" s="135" t="n">
        <f aca="false">'Gas Curves'!C145</f>
        <v>0.0632295268454719</v>
      </c>
      <c r="C141" s="135"/>
      <c r="D141" s="173" t="n">
        <v>39873</v>
      </c>
      <c r="E141" s="174" t="n">
        <v>32.7076793049657</v>
      </c>
      <c r="F141" s="174" t="n">
        <v>34.2076793049657</v>
      </c>
      <c r="G141" s="174" t="n">
        <v>35.7076793049657</v>
      </c>
      <c r="H141" s="159"/>
      <c r="I141" s="174" t="n">
        <v>23.5</v>
      </c>
      <c r="J141" s="174" t="n">
        <v>23.5</v>
      </c>
      <c r="K141" s="174" t="n">
        <v>23.5</v>
      </c>
      <c r="L141" s="141"/>
      <c r="M141" s="142" t="n">
        <v>40756</v>
      </c>
      <c r="N141" s="175" t="n">
        <v>33.2900047302246</v>
      </c>
      <c r="O141" s="175" t="n">
        <v>33.2900047302246</v>
      </c>
      <c r="P141" s="175" t="n">
        <v>33.2900047302246</v>
      </c>
      <c r="Q141" s="62"/>
      <c r="R141" s="175" t="n">
        <v>25.7900009155273</v>
      </c>
      <c r="S141" s="175" t="n">
        <v>25.7900009155273</v>
      </c>
      <c r="T141" s="175" t="n">
        <v>25.7900009155273</v>
      </c>
      <c r="U141" s="62"/>
      <c r="V141" s="175" t="n">
        <v>0</v>
      </c>
      <c r="W141" s="175" t="n">
        <v>0</v>
      </c>
      <c r="X141" s="175" t="n">
        <v>0</v>
      </c>
      <c r="Y141" s="62"/>
      <c r="Z141" s="175" t="n">
        <v>0.24</v>
      </c>
      <c r="AA141" s="175" t="n">
        <v>0.3</v>
      </c>
      <c r="AB141" s="175" t="n">
        <v>0.36</v>
      </c>
      <c r="AC141" s="62"/>
      <c r="AD141" s="175" t="n">
        <v>0.12</v>
      </c>
      <c r="AE141" s="175" t="n">
        <v>0.15</v>
      </c>
      <c r="AF141" s="175" t="n">
        <v>0.18</v>
      </c>
      <c r="AG141" s="62"/>
      <c r="AH141" s="175" t="n">
        <v>0.32</v>
      </c>
      <c r="AI141" s="175" t="n">
        <v>0.4</v>
      </c>
      <c r="AJ141" s="175" t="n">
        <v>0.48</v>
      </c>
      <c r="AK141" s="62"/>
      <c r="AL141" s="175" t="n">
        <v>0.192</v>
      </c>
      <c r="AM141" s="175" t="n">
        <v>0.24</v>
      </c>
      <c r="AN141" s="175" t="n">
        <v>0.288</v>
      </c>
      <c r="AO141" s="62"/>
      <c r="AP141" s="141" t="n">
        <v>41</v>
      </c>
      <c r="AQ141" s="176" t="n">
        <v>0.4</v>
      </c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142" t="n">
        <v>40756</v>
      </c>
      <c r="BI141" s="178" t="n">
        <v>0.75</v>
      </c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0"/>
      <c r="CM141" s="230"/>
      <c r="CN141" s="230"/>
      <c r="CO141" s="179"/>
      <c r="CP141" s="0"/>
      <c r="CQ141" s="0"/>
      <c r="CR141" s="0"/>
      <c r="CS141" s="0"/>
      <c r="CT141" s="0"/>
      <c r="CY141" s="180" t="n">
        <f aca="false">M141</f>
        <v>40756</v>
      </c>
      <c r="CZ141" s="181" t="n">
        <f aca="false">AH141</f>
        <v>0.32</v>
      </c>
      <c r="DA141" s="181" t="n">
        <f aca="false">AI141</f>
        <v>0.4</v>
      </c>
      <c r="DB141" s="181" t="n">
        <f aca="false">AJ141</f>
        <v>0.48</v>
      </c>
      <c r="DD141" s="181" t="n">
        <f aca="false">Z141</f>
        <v>0.24</v>
      </c>
      <c r="DE141" s="181" t="n">
        <f aca="false">AA141</f>
        <v>0.3</v>
      </c>
      <c r="DF141" s="181" t="n">
        <f aca="false">AB141</f>
        <v>0.36</v>
      </c>
      <c r="DH141" s="180" t="n">
        <f aca="false">BH141</f>
        <v>40756</v>
      </c>
      <c r="DI141" s="135" t="n">
        <f aca="false">BI141</f>
        <v>0.75</v>
      </c>
      <c r="DL141" s="180" t="n">
        <f aca="false">M141</f>
        <v>40756</v>
      </c>
      <c r="DM141" s="181" t="n">
        <f aca="false">AL141</f>
        <v>0.192</v>
      </c>
      <c r="DN141" s="181" t="n">
        <f aca="false">AM141</f>
        <v>0.24</v>
      </c>
      <c r="DO141" s="181" t="n">
        <f aca="false">AN141</f>
        <v>0.288</v>
      </c>
      <c r="DQ141" s="181" t="n">
        <f aca="false">AD141</f>
        <v>0.12</v>
      </c>
      <c r="DR141" s="181" t="n">
        <f aca="false">AE141</f>
        <v>0.15</v>
      </c>
      <c r="DS141" s="181" t="n">
        <f aca="false">AF141</f>
        <v>0.18</v>
      </c>
    </row>
    <row r="142" customFormat="false" ht="12.75" hidden="false" customHeight="false" outlineLevel="0" collapsed="false">
      <c r="A142" s="145" t="n">
        <f aca="false">EOMONTH(A141,0)+1</f>
        <v>49857</v>
      </c>
      <c r="B142" s="135" t="n">
        <f aca="false">'Gas Curves'!C146</f>
        <v>0.063267750706661</v>
      </c>
      <c r="C142" s="135"/>
      <c r="D142" s="173" t="n">
        <v>39904</v>
      </c>
      <c r="E142" s="174" t="n">
        <v>32.9076800679052</v>
      </c>
      <c r="F142" s="174" t="n">
        <v>34.4076800679052</v>
      </c>
      <c r="G142" s="174" t="n">
        <v>35.9076800679052</v>
      </c>
      <c r="H142" s="159"/>
      <c r="I142" s="174" t="n">
        <v>20.5</v>
      </c>
      <c r="J142" s="174" t="n">
        <v>20.5</v>
      </c>
      <c r="K142" s="174" t="n">
        <v>20.5</v>
      </c>
      <c r="L142" s="141"/>
      <c r="M142" s="142" t="n">
        <v>40787</v>
      </c>
      <c r="N142" s="175" t="n">
        <v>25.2900009155273</v>
      </c>
      <c r="O142" s="175" t="n">
        <v>25.2900009155273</v>
      </c>
      <c r="P142" s="175" t="n">
        <v>25.2900009155273</v>
      </c>
      <c r="Q142" s="62"/>
      <c r="R142" s="175" t="n">
        <v>19.7900009155273</v>
      </c>
      <c r="S142" s="175" t="n">
        <v>19.7900009155273</v>
      </c>
      <c r="T142" s="175" t="n">
        <v>19.7900009155273</v>
      </c>
      <c r="U142" s="62"/>
      <c r="V142" s="175" t="n">
        <v>0</v>
      </c>
      <c r="W142" s="175" t="n">
        <v>0</v>
      </c>
      <c r="X142" s="175" t="n">
        <v>0</v>
      </c>
      <c r="Y142" s="62"/>
      <c r="Z142" s="175" t="n">
        <v>0.16</v>
      </c>
      <c r="AA142" s="175" t="n">
        <v>0.2</v>
      </c>
      <c r="AB142" s="175" t="n">
        <v>0.24</v>
      </c>
      <c r="AC142" s="62"/>
      <c r="AD142" s="175" t="n">
        <v>0.08</v>
      </c>
      <c r="AE142" s="175" t="n">
        <v>0.1</v>
      </c>
      <c r="AF142" s="175" t="n">
        <v>0.12</v>
      </c>
      <c r="AG142" s="62"/>
      <c r="AH142" s="175" t="n">
        <v>0.2</v>
      </c>
      <c r="AI142" s="175" t="n">
        <v>0.25</v>
      </c>
      <c r="AJ142" s="175" t="n">
        <v>0.3</v>
      </c>
      <c r="AK142" s="62"/>
      <c r="AL142" s="175" t="n">
        <v>0.12</v>
      </c>
      <c r="AM142" s="175" t="n">
        <v>0.15</v>
      </c>
      <c r="AN142" s="175" t="n">
        <v>0.18</v>
      </c>
      <c r="AO142" s="62"/>
      <c r="AP142" s="141" t="n">
        <v>42</v>
      </c>
      <c r="AQ142" s="176" t="n">
        <v>0.4</v>
      </c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142" t="n">
        <v>40787</v>
      </c>
      <c r="BI142" s="178" t="n">
        <v>0.75</v>
      </c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0"/>
      <c r="CM142" s="230"/>
      <c r="CN142" s="230"/>
      <c r="CO142" s="179"/>
      <c r="CP142" s="0"/>
      <c r="CQ142" s="0"/>
      <c r="CR142" s="0"/>
      <c r="CS142" s="0"/>
      <c r="CT142" s="0"/>
      <c r="CY142" s="180" t="n">
        <f aca="false">M142</f>
        <v>40787</v>
      </c>
      <c r="CZ142" s="181" t="n">
        <f aca="false">AH142</f>
        <v>0.2</v>
      </c>
      <c r="DA142" s="181" t="n">
        <f aca="false">AI142</f>
        <v>0.25</v>
      </c>
      <c r="DB142" s="181" t="n">
        <f aca="false">AJ142</f>
        <v>0.3</v>
      </c>
      <c r="DD142" s="181" t="n">
        <f aca="false">Z142</f>
        <v>0.16</v>
      </c>
      <c r="DE142" s="181" t="n">
        <f aca="false">AA142</f>
        <v>0.2</v>
      </c>
      <c r="DF142" s="181" t="n">
        <f aca="false">AB142</f>
        <v>0.24</v>
      </c>
      <c r="DH142" s="180" t="n">
        <f aca="false">BH142</f>
        <v>40787</v>
      </c>
      <c r="DI142" s="135" t="n">
        <f aca="false">BI142</f>
        <v>0.75</v>
      </c>
      <c r="DL142" s="180" t="n">
        <f aca="false">M142</f>
        <v>40787</v>
      </c>
      <c r="DM142" s="181" t="n">
        <f aca="false">AL142</f>
        <v>0.12</v>
      </c>
      <c r="DN142" s="181" t="n">
        <f aca="false">AM142</f>
        <v>0.15</v>
      </c>
      <c r="DO142" s="181" t="n">
        <f aca="false">AN142</f>
        <v>0.18</v>
      </c>
      <c r="DQ142" s="181" t="n">
        <f aca="false">AD142</f>
        <v>0.08</v>
      </c>
      <c r="DR142" s="181" t="n">
        <f aca="false">AE142</f>
        <v>0.1</v>
      </c>
      <c r="DS142" s="181" t="n">
        <f aca="false">AF142</f>
        <v>0.12</v>
      </c>
    </row>
    <row r="143" customFormat="false" ht="12.75" hidden="false" customHeight="false" outlineLevel="0" collapsed="false">
      <c r="A143" s="145" t="n">
        <f aca="false">EOMONTH(A142,0)+1</f>
        <v>49888</v>
      </c>
      <c r="B143" s="135" t="n">
        <f aca="false">'Gas Curves'!C147</f>
        <v>0.0633035085127278</v>
      </c>
      <c r="C143" s="135"/>
      <c r="D143" s="173" t="n">
        <v>39934</v>
      </c>
      <c r="E143" s="174" t="n">
        <v>37.085001373291</v>
      </c>
      <c r="F143" s="174" t="n">
        <v>39.185001373291</v>
      </c>
      <c r="G143" s="174" t="n">
        <v>41.285001373291</v>
      </c>
      <c r="H143" s="159"/>
      <c r="I143" s="174" t="n">
        <v>21.0400009155273</v>
      </c>
      <c r="J143" s="174" t="n">
        <v>21.0400009155273</v>
      </c>
      <c r="K143" s="174" t="n">
        <v>21.0400009155273</v>
      </c>
      <c r="L143" s="141"/>
      <c r="M143" s="142" t="n">
        <v>40817</v>
      </c>
      <c r="N143" s="175" t="n">
        <v>20.2860012054443</v>
      </c>
      <c r="O143" s="175" t="n">
        <v>20.2860012054443</v>
      </c>
      <c r="P143" s="175" t="n">
        <v>20.2860012054443</v>
      </c>
      <c r="Q143" s="62"/>
      <c r="R143" s="175" t="n">
        <v>14.7865009307861</v>
      </c>
      <c r="S143" s="175" t="n">
        <v>14.7865009307861</v>
      </c>
      <c r="T143" s="175" t="n">
        <v>14.7865009307861</v>
      </c>
      <c r="U143" s="62"/>
      <c r="V143" s="175" t="n">
        <v>0</v>
      </c>
      <c r="W143" s="175" t="n">
        <v>0</v>
      </c>
      <c r="X143" s="175" t="n">
        <v>0</v>
      </c>
      <c r="Y143" s="62"/>
      <c r="Z143" s="175" t="n">
        <v>0.16</v>
      </c>
      <c r="AA143" s="175" t="n">
        <v>0.2</v>
      </c>
      <c r="AB143" s="175" t="n">
        <v>0.24</v>
      </c>
      <c r="AC143" s="62"/>
      <c r="AD143" s="175" t="n">
        <v>0.08</v>
      </c>
      <c r="AE143" s="175" t="n">
        <v>0.1</v>
      </c>
      <c r="AF143" s="175" t="n">
        <v>0.12</v>
      </c>
      <c r="AG143" s="62"/>
      <c r="AH143" s="175" t="n">
        <v>0.2</v>
      </c>
      <c r="AI143" s="175" t="n">
        <v>0.25</v>
      </c>
      <c r="AJ143" s="175" t="n">
        <v>0.3</v>
      </c>
      <c r="AK143" s="62"/>
      <c r="AL143" s="175" t="n">
        <v>0.12</v>
      </c>
      <c r="AM143" s="175" t="n">
        <v>0.15</v>
      </c>
      <c r="AN143" s="175" t="n">
        <v>0.18</v>
      </c>
      <c r="AO143" s="62"/>
      <c r="AP143" s="141" t="n">
        <v>42</v>
      </c>
      <c r="AQ143" s="176" t="n">
        <v>0.4</v>
      </c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142" t="n">
        <v>40817</v>
      </c>
      <c r="BI143" s="178" t="n">
        <v>0.75</v>
      </c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0"/>
      <c r="CM143" s="230"/>
      <c r="CN143" s="230"/>
      <c r="CO143" s="179"/>
      <c r="CP143" s="0"/>
      <c r="CQ143" s="0"/>
      <c r="CR143" s="0"/>
      <c r="CS143" s="0"/>
      <c r="CT143" s="0"/>
      <c r="CY143" s="180" t="n">
        <f aca="false">M143</f>
        <v>40817</v>
      </c>
      <c r="CZ143" s="181" t="n">
        <f aca="false">AH143</f>
        <v>0.2</v>
      </c>
      <c r="DA143" s="181" t="n">
        <f aca="false">AI143</f>
        <v>0.25</v>
      </c>
      <c r="DB143" s="181" t="n">
        <f aca="false">AJ143</f>
        <v>0.3</v>
      </c>
      <c r="DD143" s="181" t="n">
        <f aca="false">Z143</f>
        <v>0.16</v>
      </c>
      <c r="DE143" s="181" t="n">
        <f aca="false">AA143</f>
        <v>0.2</v>
      </c>
      <c r="DF143" s="181" t="n">
        <f aca="false">AB143</f>
        <v>0.24</v>
      </c>
      <c r="DH143" s="180" t="n">
        <f aca="false">BH143</f>
        <v>40817</v>
      </c>
      <c r="DI143" s="135" t="n">
        <f aca="false">BI143</f>
        <v>0.75</v>
      </c>
      <c r="DL143" s="180" t="n">
        <f aca="false">M143</f>
        <v>40817</v>
      </c>
      <c r="DM143" s="181" t="n">
        <f aca="false">AL143</f>
        <v>0.12</v>
      </c>
      <c r="DN143" s="181" t="n">
        <f aca="false">AM143</f>
        <v>0.15</v>
      </c>
      <c r="DO143" s="181" t="n">
        <f aca="false">AN143</f>
        <v>0.18</v>
      </c>
      <c r="DQ143" s="181" t="n">
        <f aca="false">AD143</f>
        <v>0.08</v>
      </c>
      <c r="DR143" s="181" t="n">
        <f aca="false">AE143</f>
        <v>0.1</v>
      </c>
      <c r="DS143" s="181" t="n">
        <f aca="false">AF143</f>
        <v>0.12</v>
      </c>
    </row>
    <row r="144" customFormat="false" ht="12.75" hidden="false" customHeight="false" outlineLevel="0" collapsed="false">
      <c r="A144" s="145" t="n">
        <f aca="false">EOMONTH(A143,0)+1</f>
        <v>49919</v>
      </c>
      <c r="B144" s="135" t="n">
        <f aca="false">'Gas Curves'!C148</f>
        <v>0.0633417323748548</v>
      </c>
      <c r="C144" s="135"/>
      <c r="D144" s="173" t="n">
        <v>39965</v>
      </c>
      <c r="E144" s="174" t="n">
        <v>40.625</v>
      </c>
      <c r="F144" s="174" t="n">
        <v>45.625</v>
      </c>
      <c r="G144" s="174" t="n">
        <v>50.625</v>
      </c>
      <c r="H144" s="159"/>
      <c r="I144" s="174" t="n">
        <v>24.0400009155273</v>
      </c>
      <c r="J144" s="174" t="n">
        <v>24.0400009155273</v>
      </c>
      <c r="K144" s="174" t="n">
        <v>24.0400009155273</v>
      </c>
      <c r="L144" s="141"/>
      <c r="M144" s="142" t="n">
        <v>40848</v>
      </c>
      <c r="N144" s="175" t="n">
        <v>22.2900009155273</v>
      </c>
      <c r="O144" s="175" t="n">
        <v>22.2900009155273</v>
      </c>
      <c r="P144" s="175" t="n">
        <v>22.2900009155273</v>
      </c>
      <c r="Q144" s="62"/>
      <c r="R144" s="175" t="n">
        <v>14.7900009155273</v>
      </c>
      <c r="S144" s="175" t="n">
        <v>14.7900009155273</v>
      </c>
      <c r="T144" s="175" t="n">
        <v>14.7900009155273</v>
      </c>
      <c r="U144" s="62"/>
      <c r="V144" s="175" t="n">
        <v>0</v>
      </c>
      <c r="W144" s="175" t="n">
        <v>0</v>
      </c>
      <c r="X144" s="175" t="n">
        <v>0</v>
      </c>
      <c r="Y144" s="62"/>
      <c r="Z144" s="175" t="n">
        <v>0.16</v>
      </c>
      <c r="AA144" s="175" t="n">
        <v>0.2</v>
      </c>
      <c r="AB144" s="175" t="n">
        <v>0.24</v>
      </c>
      <c r="AC144" s="62"/>
      <c r="AD144" s="175" t="n">
        <v>0.08</v>
      </c>
      <c r="AE144" s="175" t="n">
        <v>0.1</v>
      </c>
      <c r="AF144" s="175" t="n">
        <v>0.12</v>
      </c>
      <c r="AG144" s="62"/>
      <c r="AH144" s="175" t="n">
        <v>0.2</v>
      </c>
      <c r="AI144" s="175" t="n">
        <v>0.25</v>
      </c>
      <c r="AJ144" s="175" t="n">
        <v>0.3</v>
      </c>
      <c r="AK144" s="62"/>
      <c r="AL144" s="175" t="n">
        <v>0.12</v>
      </c>
      <c r="AM144" s="175" t="n">
        <v>0.15</v>
      </c>
      <c r="AN144" s="175" t="n">
        <v>0.18</v>
      </c>
      <c r="AO144" s="62"/>
      <c r="AP144" s="141" t="n">
        <v>42</v>
      </c>
      <c r="AQ144" s="176" t="n">
        <v>0.4</v>
      </c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142" t="n">
        <v>40848</v>
      </c>
      <c r="BI144" s="178" t="n">
        <v>0.75</v>
      </c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0"/>
      <c r="CM144" s="230"/>
      <c r="CN144" s="230"/>
      <c r="CO144" s="179"/>
      <c r="CP144" s="0"/>
      <c r="CQ144" s="0"/>
      <c r="CR144" s="0"/>
      <c r="CS144" s="0"/>
      <c r="CT144" s="0"/>
      <c r="CY144" s="180" t="n">
        <f aca="false">M144</f>
        <v>40848</v>
      </c>
      <c r="CZ144" s="181" t="n">
        <f aca="false">AH144</f>
        <v>0.2</v>
      </c>
      <c r="DA144" s="181" t="n">
        <f aca="false">AI144</f>
        <v>0.25</v>
      </c>
      <c r="DB144" s="181" t="n">
        <f aca="false">AJ144</f>
        <v>0.3</v>
      </c>
      <c r="DD144" s="181" t="n">
        <f aca="false">Z144</f>
        <v>0.16</v>
      </c>
      <c r="DE144" s="181" t="n">
        <f aca="false">AA144</f>
        <v>0.2</v>
      </c>
      <c r="DF144" s="181" t="n">
        <f aca="false">AB144</f>
        <v>0.24</v>
      </c>
      <c r="DH144" s="180" t="n">
        <f aca="false">BH144</f>
        <v>40848</v>
      </c>
      <c r="DI144" s="135" t="n">
        <f aca="false">BI144</f>
        <v>0.75</v>
      </c>
      <c r="DL144" s="180" t="n">
        <f aca="false">M144</f>
        <v>40848</v>
      </c>
      <c r="DM144" s="181" t="n">
        <f aca="false">AL144</f>
        <v>0.12</v>
      </c>
      <c r="DN144" s="181" t="n">
        <f aca="false">AM144</f>
        <v>0.15</v>
      </c>
      <c r="DO144" s="181" t="n">
        <f aca="false">AN144</f>
        <v>0.18</v>
      </c>
      <c r="DQ144" s="181" t="n">
        <f aca="false">AD144</f>
        <v>0.08</v>
      </c>
      <c r="DR144" s="181" t="n">
        <f aca="false">AE144</f>
        <v>0.1</v>
      </c>
      <c r="DS144" s="181" t="n">
        <f aca="false">AF144</f>
        <v>0.12</v>
      </c>
    </row>
    <row r="145" customFormat="false" ht="12.75" hidden="false" customHeight="false" outlineLevel="0" collapsed="false">
      <c r="A145" s="145" t="n">
        <f aca="false">EOMONTH(A144,0)+1</f>
        <v>49949</v>
      </c>
      <c r="B145" s="135" t="n">
        <f aca="false">'Gas Curves'!C149</f>
        <v>0.0633787232096328</v>
      </c>
      <c r="C145" s="135"/>
      <c r="D145" s="173" t="n">
        <v>39995</v>
      </c>
      <c r="E145" s="174" t="n">
        <v>46.2499961853027</v>
      </c>
      <c r="F145" s="174" t="n">
        <v>56.2499961853027</v>
      </c>
      <c r="G145" s="174" t="n">
        <v>66.2499961853027</v>
      </c>
      <c r="H145" s="159"/>
      <c r="I145" s="174" t="n">
        <v>24.5400009155273</v>
      </c>
      <c r="J145" s="174" t="n">
        <v>24.5400009155273</v>
      </c>
      <c r="K145" s="174" t="n">
        <v>24.5400009155273</v>
      </c>
      <c r="L145" s="141"/>
      <c r="M145" s="142" t="n">
        <v>40878</v>
      </c>
      <c r="N145" s="175" t="n">
        <v>27.2900009155273</v>
      </c>
      <c r="O145" s="175" t="n">
        <v>27.2900009155273</v>
      </c>
      <c r="P145" s="175" t="n">
        <v>27.2900009155273</v>
      </c>
      <c r="Q145" s="62"/>
      <c r="R145" s="175" t="n">
        <v>21.7900009155273</v>
      </c>
      <c r="S145" s="175" t="n">
        <v>21.7900009155273</v>
      </c>
      <c r="T145" s="175" t="n">
        <v>21.7900009155273</v>
      </c>
      <c r="U145" s="62"/>
      <c r="V145" s="175" t="n">
        <v>0</v>
      </c>
      <c r="W145" s="175" t="n">
        <v>0</v>
      </c>
      <c r="X145" s="175" t="n">
        <v>0</v>
      </c>
      <c r="Y145" s="62"/>
      <c r="Z145" s="175" t="n">
        <v>0.16</v>
      </c>
      <c r="AA145" s="175" t="n">
        <v>0.2</v>
      </c>
      <c r="AB145" s="175" t="n">
        <v>0.24</v>
      </c>
      <c r="AC145" s="62"/>
      <c r="AD145" s="175" t="n">
        <v>0.08</v>
      </c>
      <c r="AE145" s="175" t="n">
        <v>0.1</v>
      </c>
      <c r="AF145" s="175" t="n">
        <v>0.12</v>
      </c>
      <c r="AG145" s="62"/>
      <c r="AH145" s="175" t="n">
        <v>0.2</v>
      </c>
      <c r="AI145" s="175" t="n">
        <v>0.25</v>
      </c>
      <c r="AJ145" s="175" t="n">
        <v>0.3</v>
      </c>
      <c r="AK145" s="62"/>
      <c r="AL145" s="175" t="n">
        <v>0.12</v>
      </c>
      <c r="AM145" s="175" t="n">
        <v>0.15</v>
      </c>
      <c r="AN145" s="175" t="n">
        <v>0.18</v>
      </c>
      <c r="AO145" s="62"/>
      <c r="AP145" s="141" t="n">
        <v>43</v>
      </c>
      <c r="AQ145" s="176" t="n">
        <v>0.4</v>
      </c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142" t="n">
        <v>40878</v>
      </c>
      <c r="BI145" s="178" t="n">
        <v>0.75</v>
      </c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0"/>
      <c r="CM145" s="230"/>
      <c r="CN145" s="230"/>
      <c r="CO145" s="179"/>
      <c r="CP145" s="0"/>
      <c r="CQ145" s="0"/>
      <c r="CR145" s="0"/>
      <c r="CS145" s="0"/>
      <c r="CT145" s="0"/>
      <c r="CY145" s="180" t="n">
        <f aca="false">M145</f>
        <v>40878</v>
      </c>
      <c r="CZ145" s="181" t="n">
        <f aca="false">AH145</f>
        <v>0.2</v>
      </c>
      <c r="DA145" s="181" t="n">
        <f aca="false">AI145</f>
        <v>0.25</v>
      </c>
      <c r="DB145" s="181" t="n">
        <f aca="false">AJ145</f>
        <v>0.3</v>
      </c>
      <c r="DD145" s="181" t="n">
        <f aca="false">Z145</f>
        <v>0.16</v>
      </c>
      <c r="DE145" s="181" t="n">
        <f aca="false">AA145</f>
        <v>0.2</v>
      </c>
      <c r="DF145" s="181" t="n">
        <f aca="false">AB145</f>
        <v>0.24</v>
      </c>
      <c r="DH145" s="180" t="n">
        <f aca="false">BH145</f>
        <v>40878</v>
      </c>
      <c r="DI145" s="135" t="n">
        <f aca="false">BI145</f>
        <v>0.75</v>
      </c>
      <c r="DL145" s="180" t="n">
        <f aca="false">M145</f>
        <v>40878</v>
      </c>
      <c r="DM145" s="181" t="n">
        <f aca="false">AL145</f>
        <v>0.12</v>
      </c>
      <c r="DN145" s="181" t="n">
        <f aca="false">AM145</f>
        <v>0.15</v>
      </c>
      <c r="DO145" s="181" t="n">
        <f aca="false">AN145</f>
        <v>0.18</v>
      </c>
      <c r="DQ145" s="181" t="n">
        <f aca="false">AD145</f>
        <v>0.08</v>
      </c>
      <c r="DR145" s="181" t="n">
        <f aca="false">AE145</f>
        <v>0.1</v>
      </c>
      <c r="DS145" s="181" t="n">
        <f aca="false">AF145</f>
        <v>0.12</v>
      </c>
    </row>
    <row r="146" customFormat="false" ht="12.75" hidden="false" customHeight="false" outlineLevel="0" collapsed="false">
      <c r="A146" s="145" t="n">
        <f aca="false">EOMONTH(A145,0)+1</f>
        <v>49980</v>
      </c>
      <c r="B146" s="135" t="n">
        <f aca="false">'Gas Curves'!C150</f>
        <v>0.0634169470727133</v>
      </c>
      <c r="C146" s="135"/>
      <c r="D146" s="173" t="n">
        <v>40026</v>
      </c>
      <c r="E146" s="174" t="n">
        <v>46.2499961853027</v>
      </c>
      <c r="F146" s="174" t="n">
        <v>56.2499961853027</v>
      </c>
      <c r="G146" s="174" t="n">
        <v>66.2499961853027</v>
      </c>
      <c r="H146" s="159"/>
      <c r="I146" s="174" t="n">
        <v>25.5400009155273</v>
      </c>
      <c r="J146" s="174" t="n">
        <v>25.5400009155273</v>
      </c>
      <c r="K146" s="174" t="n">
        <v>25.5400009155273</v>
      </c>
      <c r="L146" s="141"/>
      <c r="M146" s="142" t="n">
        <v>40909</v>
      </c>
      <c r="N146" s="175" t="n">
        <v>35.75</v>
      </c>
      <c r="O146" s="175" t="n">
        <v>35.75</v>
      </c>
      <c r="P146" s="175" t="n">
        <v>35.75</v>
      </c>
      <c r="Q146" s="62"/>
      <c r="R146" s="175" t="n">
        <v>25.25</v>
      </c>
      <c r="S146" s="175" t="n">
        <v>25.25</v>
      </c>
      <c r="T146" s="175" t="n">
        <v>25.25</v>
      </c>
      <c r="U146" s="62"/>
      <c r="V146" s="175" t="n">
        <v>0</v>
      </c>
      <c r="W146" s="175" t="n">
        <v>0</v>
      </c>
      <c r="X146" s="175" t="n">
        <v>0</v>
      </c>
      <c r="Y146" s="62"/>
      <c r="Z146" s="175" t="n">
        <v>0.16</v>
      </c>
      <c r="AA146" s="175" t="n">
        <v>0.2</v>
      </c>
      <c r="AB146" s="175" t="n">
        <v>0.24</v>
      </c>
      <c r="AC146" s="62"/>
      <c r="AD146" s="175" t="n">
        <v>0.08</v>
      </c>
      <c r="AE146" s="175" t="n">
        <v>0.1</v>
      </c>
      <c r="AF146" s="175" t="n">
        <v>0.12</v>
      </c>
      <c r="AG146" s="62"/>
      <c r="AH146" s="175" t="n">
        <v>0.2</v>
      </c>
      <c r="AI146" s="175" t="n">
        <v>0.25</v>
      </c>
      <c r="AJ146" s="175" t="n">
        <v>0.3</v>
      </c>
      <c r="AK146" s="62"/>
      <c r="AL146" s="175" t="n">
        <v>0.12</v>
      </c>
      <c r="AM146" s="175" t="n">
        <v>0.15</v>
      </c>
      <c r="AN146" s="175" t="n">
        <v>0.18</v>
      </c>
      <c r="AO146" s="62"/>
      <c r="AP146" s="141" t="n">
        <v>43</v>
      </c>
      <c r="AQ146" s="176" t="n">
        <v>0.4</v>
      </c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142" t="n">
        <v>40909</v>
      </c>
      <c r="BI146" s="178" t="n">
        <v>0.75</v>
      </c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0"/>
      <c r="CM146" s="230"/>
      <c r="CN146" s="230"/>
      <c r="CO146" s="179"/>
      <c r="CP146" s="0"/>
      <c r="CQ146" s="0"/>
      <c r="CR146" s="0"/>
      <c r="CS146" s="0"/>
      <c r="CT146" s="0"/>
      <c r="CY146" s="180" t="n">
        <f aca="false">M146</f>
        <v>40909</v>
      </c>
      <c r="CZ146" s="181" t="n">
        <f aca="false">AH146</f>
        <v>0.2</v>
      </c>
      <c r="DA146" s="181" t="n">
        <f aca="false">AI146</f>
        <v>0.25</v>
      </c>
      <c r="DB146" s="181" t="n">
        <f aca="false">AJ146</f>
        <v>0.3</v>
      </c>
      <c r="DD146" s="181" t="n">
        <f aca="false">Z146</f>
        <v>0.16</v>
      </c>
      <c r="DE146" s="181" t="n">
        <f aca="false">AA146</f>
        <v>0.2</v>
      </c>
      <c r="DF146" s="181" t="n">
        <f aca="false">AB146</f>
        <v>0.24</v>
      </c>
      <c r="DH146" s="180" t="n">
        <f aca="false">BH146</f>
        <v>40909</v>
      </c>
      <c r="DI146" s="135" t="n">
        <f aca="false">BI146</f>
        <v>0.75</v>
      </c>
      <c r="DL146" s="180" t="n">
        <f aca="false">M146</f>
        <v>40909</v>
      </c>
      <c r="DM146" s="181" t="n">
        <f aca="false">AL146</f>
        <v>0.12</v>
      </c>
      <c r="DN146" s="181" t="n">
        <f aca="false">AM146</f>
        <v>0.15</v>
      </c>
      <c r="DO146" s="181" t="n">
        <f aca="false">AN146</f>
        <v>0.18</v>
      </c>
      <c r="DQ146" s="181" t="n">
        <f aca="false">AD146</f>
        <v>0.08</v>
      </c>
      <c r="DR146" s="181" t="n">
        <f aca="false">AE146</f>
        <v>0.1</v>
      </c>
      <c r="DS146" s="181" t="n">
        <f aca="false">AF146</f>
        <v>0.12</v>
      </c>
    </row>
    <row r="147" customFormat="false" ht="12.75" hidden="false" customHeight="false" outlineLevel="0" collapsed="false">
      <c r="A147" s="145" t="n">
        <f aca="false">EOMONTH(A146,0)+1</f>
        <v>50010</v>
      </c>
      <c r="B147" s="135" t="n">
        <f aca="false">'Gas Curves'!C151</f>
        <v>0.063453937908414</v>
      </c>
      <c r="C147" s="135"/>
      <c r="D147" s="173" t="n">
        <v>40057</v>
      </c>
      <c r="E147" s="174" t="n">
        <v>29.5599975585938</v>
      </c>
      <c r="F147" s="174" t="n">
        <v>31.0599975585938</v>
      </c>
      <c r="G147" s="174" t="n">
        <v>32.5599975585938</v>
      </c>
      <c r="H147" s="159"/>
      <c r="I147" s="174" t="n">
        <v>19.5400009155273</v>
      </c>
      <c r="J147" s="174" t="n">
        <v>19.5400009155273</v>
      </c>
      <c r="K147" s="174" t="n">
        <v>19.5400009155273</v>
      </c>
      <c r="L147" s="141"/>
      <c r="M147" s="142" t="n">
        <v>40940</v>
      </c>
      <c r="N147" s="175" t="n">
        <v>31.2460021972656</v>
      </c>
      <c r="O147" s="175" t="n">
        <v>31.2460021972656</v>
      </c>
      <c r="P147" s="175" t="n">
        <v>31.2460021972656</v>
      </c>
      <c r="Q147" s="62"/>
      <c r="R147" s="175" t="n">
        <v>22.7465019226074</v>
      </c>
      <c r="S147" s="175" t="n">
        <v>22.7465019226074</v>
      </c>
      <c r="T147" s="175" t="n">
        <v>22.7465019226074</v>
      </c>
      <c r="U147" s="62"/>
      <c r="V147" s="175" t="n">
        <v>0</v>
      </c>
      <c r="W147" s="175" t="n">
        <v>0</v>
      </c>
      <c r="X147" s="175" t="n">
        <v>0</v>
      </c>
      <c r="Y147" s="62"/>
      <c r="Z147" s="175" t="n">
        <v>0.16</v>
      </c>
      <c r="AA147" s="175" t="n">
        <v>0.2</v>
      </c>
      <c r="AB147" s="175" t="n">
        <v>0.24</v>
      </c>
      <c r="AC147" s="62"/>
      <c r="AD147" s="175" t="n">
        <v>0.08</v>
      </c>
      <c r="AE147" s="175" t="n">
        <v>0.1</v>
      </c>
      <c r="AF147" s="175" t="n">
        <v>0.12</v>
      </c>
      <c r="AG147" s="62"/>
      <c r="AH147" s="175" t="n">
        <v>0.2</v>
      </c>
      <c r="AI147" s="175" t="n">
        <v>0.25</v>
      </c>
      <c r="AJ147" s="175" t="n">
        <v>0.3</v>
      </c>
      <c r="AK147" s="62"/>
      <c r="AL147" s="175" t="n">
        <v>0.12</v>
      </c>
      <c r="AM147" s="175" t="n">
        <v>0.15</v>
      </c>
      <c r="AN147" s="175" t="n">
        <v>0.18</v>
      </c>
      <c r="AO147" s="62"/>
      <c r="AP147" s="141" t="n">
        <v>43</v>
      </c>
      <c r="AQ147" s="176" t="n">
        <v>0.4</v>
      </c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142" t="n">
        <v>40940</v>
      </c>
      <c r="BI147" s="178" t="n">
        <v>0.75</v>
      </c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0"/>
      <c r="CM147" s="230"/>
      <c r="CN147" s="230"/>
      <c r="CO147" s="179"/>
      <c r="CP147" s="0"/>
      <c r="CQ147" s="0"/>
      <c r="CR147" s="0"/>
      <c r="CS147" s="0"/>
      <c r="CT147" s="0"/>
      <c r="CY147" s="180" t="n">
        <f aca="false">M147</f>
        <v>40940</v>
      </c>
      <c r="CZ147" s="181" t="n">
        <f aca="false">AH147</f>
        <v>0.2</v>
      </c>
      <c r="DA147" s="181" t="n">
        <f aca="false">AI147</f>
        <v>0.25</v>
      </c>
      <c r="DB147" s="181" t="n">
        <f aca="false">AJ147</f>
        <v>0.3</v>
      </c>
      <c r="DD147" s="181" t="n">
        <f aca="false">Z147</f>
        <v>0.16</v>
      </c>
      <c r="DE147" s="181" t="n">
        <f aca="false">AA147</f>
        <v>0.2</v>
      </c>
      <c r="DF147" s="181" t="n">
        <f aca="false">AB147</f>
        <v>0.24</v>
      </c>
      <c r="DH147" s="180" t="n">
        <f aca="false">BH147</f>
        <v>40940</v>
      </c>
      <c r="DI147" s="135" t="n">
        <f aca="false">BI147</f>
        <v>0.75</v>
      </c>
      <c r="DL147" s="180" t="n">
        <f aca="false">M147</f>
        <v>40940</v>
      </c>
      <c r="DM147" s="181" t="n">
        <f aca="false">AL147</f>
        <v>0.12</v>
      </c>
      <c r="DN147" s="181" t="n">
        <f aca="false">AM147</f>
        <v>0.15</v>
      </c>
      <c r="DO147" s="181" t="n">
        <f aca="false">AN147</f>
        <v>0.18</v>
      </c>
      <c r="DQ147" s="181" t="n">
        <f aca="false">AD147</f>
        <v>0.08</v>
      </c>
      <c r="DR147" s="181" t="n">
        <f aca="false">AE147</f>
        <v>0.1</v>
      </c>
      <c r="DS147" s="181" t="n">
        <f aca="false">AF147</f>
        <v>0.12</v>
      </c>
    </row>
    <row r="148" customFormat="false" ht="12.75" hidden="false" customHeight="false" outlineLevel="0" collapsed="false">
      <c r="A148" s="145" t="n">
        <f aca="false">EOMONTH(A147,0)+1</f>
        <v>50041</v>
      </c>
      <c r="B148" s="135" t="n">
        <f aca="false">'Gas Curves'!C152</f>
        <v>0.0634921617724484</v>
      </c>
      <c r="C148" s="135"/>
      <c r="D148" s="173" t="n">
        <v>40087</v>
      </c>
      <c r="E148" s="174" t="n">
        <v>31.4615672826767</v>
      </c>
      <c r="F148" s="174" t="n">
        <v>32.9615672826767</v>
      </c>
      <c r="G148" s="174" t="n">
        <v>34.4615672826767</v>
      </c>
      <c r="H148" s="159"/>
      <c r="I148" s="174" t="n">
        <v>19.040002822876</v>
      </c>
      <c r="J148" s="174" t="n">
        <v>19.040002822876</v>
      </c>
      <c r="K148" s="174" t="n">
        <v>19.040002822876</v>
      </c>
      <c r="L148" s="141"/>
      <c r="M148" s="142" t="n">
        <v>40969</v>
      </c>
      <c r="N148" s="175" t="n">
        <v>25.5</v>
      </c>
      <c r="O148" s="175" t="n">
        <v>25.5</v>
      </c>
      <c r="P148" s="175" t="n">
        <v>25.5</v>
      </c>
      <c r="Q148" s="62"/>
      <c r="R148" s="175" t="n">
        <v>20</v>
      </c>
      <c r="S148" s="175" t="n">
        <v>20</v>
      </c>
      <c r="T148" s="175" t="n">
        <v>20</v>
      </c>
      <c r="U148" s="62"/>
      <c r="V148" s="175" t="n">
        <v>0</v>
      </c>
      <c r="W148" s="175" t="n">
        <v>0</v>
      </c>
      <c r="X148" s="175" t="n">
        <v>0</v>
      </c>
      <c r="Y148" s="62"/>
      <c r="Z148" s="175" t="n">
        <v>0.16</v>
      </c>
      <c r="AA148" s="175" t="n">
        <v>0.2</v>
      </c>
      <c r="AB148" s="175" t="n">
        <v>0.24</v>
      </c>
      <c r="AC148" s="62"/>
      <c r="AD148" s="175" t="n">
        <v>0.08</v>
      </c>
      <c r="AE148" s="175" t="n">
        <v>0.1</v>
      </c>
      <c r="AF148" s="175" t="n">
        <v>0.12</v>
      </c>
      <c r="AG148" s="62"/>
      <c r="AH148" s="175" t="n">
        <v>0.2</v>
      </c>
      <c r="AI148" s="175" t="n">
        <v>0.25</v>
      </c>
      <c r="AJ148" s="175" t="n">
        <v>0.3</v>
      </c>
      <c r="AK148" s="62"/>
      <c r="AL148" s="175" t="n">
        <v>0.12</v>
      </c>
      <c r="AM148" s="175" t="n">
        <v>0.15</v>
      </c>
      <c r="AN148" s="175" t="n">
        <v>0.18</v>
      </c>
      <c r="AO148" s="62"/>
      <c r="AP148" s="141" t="n">
        <v>44</v>
      </c>
      <c r="AQ148" s="176" t="n">
        <v>0.4</v>
      </c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142" t="n">
        <v>40969</v>
      </c>
      <c r="BI148" s="178" t="n">
        <v>0.75</v>
      </c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0"/>
      <c r="CM148" s="230"/>
      <c r="CN148" s="230"/>
      <c r="CO148" s="179"/>
      <c r="CP148" s="0"/>
      <c r="CQ148" s="0"/>
      <c r="CR148" s="0"/>
      <c r="CS148" s="0"/>
      <c r="CT148" s="0"/>
      <c r="CY148" s="180" t="n">
        <f aca="false">M148</f>
        <v>40969</v>
      </c>
      <c r="CZ148" s="181" t="n">
        <f aca="false">AH148</f>
        <v>0.2</v>
      </c>
      <c r="DA148" s="181" t="n">
        <f aca="false">AI148</f>
        <v>0.25</v>
      </c>
      <c r="DB148" s="181" t="n">
        <f aca="false">AJ148</f>
        <v>0.3</v>
      </c>
      <c r="DD148" s="181" t="n">
        <f aca="false">Z148</f>
        <v>0.16</v>
      </c>
      <c r="DE148" s="181" t="n">
        <f aca="false">AA148</f>
        <v>0.2</v>
      </c>
      <c r="DF148" s="181" t="n">
        <f aca="false">AB148</f>
        <v>0.24</v>
      </c>
      <c r="DH148" s="180" t="n">
        <f aca="false">BH148</f>
        <v>40969</v>
      </c>
      <c r="DI148" s="135" t="n">
        <f aca="false">BI148</f>
        <v>0.75</v>
      </c>
      <c r="DL148" s="180" t="n">
        <f aca="false">M148</f>
        <v>40969</v>
      </c>
      <c r="DM148" s="181" t="n">
        <f aca="false">AL148</f>
        <v>0.12</v>
      </c>
      <c r="DN148" s="181" t="n">
        <f aca="false">AM148</f>
        <v>0.15</v>
      </c>
      <c r="DO148" s="181" t="n">
        <f aca="false">AN148</f>
        <v>0.18</v>
      </c>
      <c r="DQ148" s="181" t="n">
        <f aca="false">AD148</f>
        <v>0.08</v>
      </c>
      <c r="DR148" s="181" t="n">
        <f aca="false">AE148</f>
        <v>0.1</v>
      </c>
      <c r="DS148" s="181" t="n">
        <f aca="false">AF148</f>
        <v>0.12</v>
      </c>
    </row>
    <row r="149" customFormat="false" ht="12.75" hidden="false" customHeight="false" outlineLevel="0" collapsed="false">
      <c r="A149" s="145" t="n">
        <f aca="false">EOMONTH(A148,0)+1</f>
        <v>50072</v>
      </c>
      <c r="B149" s="135" t="n">
        <f aca="false">'Gas Curves'!C153</f>
        <v>0.0635303856369673</v>
      </c>
      <c r="C149" s="135"/>
      <c r="D149" s="173" t="n">
        <v>40118</v>
      </c>
      <c r="E149" s="174" t="n">
        <v>31.5615657567978</v>
      </c>
      <c r="F149" s="174" t="n">
        <v>33.0615657567978</v>
      </c>
      <c r="G149" s="174" t="n">
        <v>34.5615657567978</v>
      </c>
      <c r="H149" s="159"/>
      <c r="I149" s="174" t="n">
        <v>20.0400009155273</v>
      </c>
      <c r="J149" s="174" t="n">
        <v>20.0400009155273</v>
      </c>
      <c r="K149" s="174" t="n">
        <v>20.0400009155273</v>
      </c>
      <c r="L149" s="141"/>
      <c r="M149" s="142" t="n">
        <v>41000</v>
      </c>
      <c r="N149" s="175" t="n">
        <v>22</v>
      </c>
      <c r="O149" s="175" t="n">
        <v>22</v>
      </c>
      <c r="P149" s="175" t="n">
        <v>22</v>
      </c>
      <c r="Q149" s="62"/>
      <c r="R149" s="175" t="n">
        <v>16.4950008392334</v>
      </c>
      <c r="S149" s="175" t="n">
        <v>16.4950008392334</v>
      </c>
      <c r="T149" s="175" t="n">
        <v>16.4950008392334</v>
      </c>
      <c r="U149" s="62"/>
      <c r="V149" s="175" t="n">
        <v>0</v>
      </c>
      <c r="W149" s="175" t="n">
        <v>0</v>
      </c>
      <c r="X149" s="175" t="n">
        <v>0</v>
      </c>
      <c r="Y149" s="62"/>
      <c r="Z149" s="175" t="n">
        <v>0.16</v>
      </c>
      <c r="AA149" s="175" t="n">
        <v>0.2</v>
      </c>
      <c r="AB149" s="175" t="n">
        <v>0.24</v>
      </c>
      <c r="AC149" s="62"/>
      <c r="AD149" s="175" t="n">
        <v>0.08</v>
      </c>
      <c r="AE149" s="175" t="n">
        <v>0.1</v>
      </c>
      <c r="AF149" s="175" t="n">
        <v>0.12</v>
      </c>
      <c r="AG149" s="62"/>
      <c r="AH149" s="175" t="n">
        <v>0.2</v>
      </c>
      <c r="AI149" s="175" t="n">
        <v>0.25</v>
      </c>
      <c r="AJ149" s="175" t="n">
        <v>0.3</v>
      </c>
      <c r="AK149" s="62"/>
      <c r="AL149" s="175" t="n">
        <v>0.12</v>
      </c>
      <c r="AM149" s="175" t="n">
        <v>0.15</v>
      </c>
      <c r="AN149" s="175" t="n">
        <v>0.18</v>
      </c>
      <c r="AO149" s="62"/>
      <c r="AP149" s="141" t="n">
        <v>44</v>
      </c>
      <c r="AQ149" s="176" t="n">
        <v>0.4</v>
      </c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142" t="n">
        <v>41000</v>
      </c>
      <c r="BI149" s="178" t="n">
        <v>0.75</v>
      </c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0"/>
      <c r="CM149" s="230"/>
      <c r="CN149" s="230"/>
      <c r="CO149" s="179"/>
      <c r="CP149" s="0"/>
      <c r="CQ149" s="0"/>
      <c r="CR149" s="0"/>
      <c r="CS149" s="0"/>
      <c r="CT149" s="0"/>
      <c r="CY149" s="180" t="n">
        <f aca="false">M149</f>
        <v>41000</v>
      </c>
      <c r="CZ149" s="181" t="n">
        <f aca="false">AH149</f>
        <v>0.2</v>
      </c>
      <c r="DA149" s="181" t="n">
        <f aca="false">AI149</f>
        <v>0.25</v>
      </c>
      <c r="DB149" s="181" t="n">
        <f aca="false">AJ149</f>
        <v>0.3</v>
      </c>
      <c r="DD149" s="181" t="n">
        <f aca="false">Z149</f>
        <v>0.16</v>
      </c>
      <c r="DE149" s="181" t="n">
        <f aca="false">AA149</f>
        <v>0.2</v>
      </c>
      <c r="DF149" s="181" t="n">
        <f aca="false">AB149</f>
        <v>0.24</v>
      </c>
      <c r="DH149" s="180" t="n">
        <f aca="false">BH149</f>
        <v>41000</v>
      </c>
      <c r="DI149" s="135" t="n">
        <f aca="false">BI149</f>
        <v>0.75</v>
      </c>
      <c r="DL149" s="180" t="n">
        <f aca="false">M149</f>
        <v>41000</v>
      </c>
      <c r="DM149" s="181" t="n">
        <f aca="false">AL149</f>
        <v>0.12</v>
      </c>
      <c r="DN149" s="181" t="n">
        <f aca="false">AM149</f>
        <v>0.15</v>
      </c>
      <c r="DO149" s="181" t="n">
        <f aca="false">AN149</f>
        <v>0.18</v>
      </c>
      <c r="DQ149" s="181" t="n">
        <f aca="false">AD149</f>
        <v>0.08</v>
      </c>
      <c r="DR149" s="181" t="n">
        <f aca="false">AE149</f>
        <v>0.1</v>
      </c>
      <c r="DS149" s="181" t="n">
        <f aca="false">AF149</f>
        <v>0.12</v>
      </c>
    </row>
    <row r="150" customFormat="false" ht="12.75" hidden="false" customHeight="false" outlineLevel="0" collapsed="false">
      <c r="A150" s="145" t="n">
        <f aca="false">EOMONTH(A149,0)+1</f>
        <v>50100</v>
      </c>
      <c r="B150" s="135" t="n">
        <f aca="false">'Gas Curves'!C154</f>
        <v>0.0635673764740599</v>
      </c>
      <c r="C150" s="135"/>
      <c r="D150" s="173" t="n">
        <v>40148</v>
      </c>
      <c r="E150" s="174" t="n">
        <v>31.6615642309189</v>
      </c>
      <c r="F150" s="174" t="n">
        <v>33.1615642309189</v>
      </c>
      <c r="G150" s="174" t="n">
        <v>34.6615642309189</v>
      </c>
      <c r="H150" s="159"/>
      <c r="I150" s="174" t="n">
        <v>22.2900009155273</v>
      </c>
      <c r="J150" s="174" t="n">
        <v>22.2900009155273</v>
      </c>
      <c r="K150" s="174" t="n">
        <v>22.2900009155273</v>
      </c>
      <c r="L150" s="141"/>
      <c r="M150" s="142" t="n">
        <v>41030</v>
      </c>
      <c r="N150" s="175" t="n">
        <v>22.2900009155273</v>
      </c>
      <c r="O150" s="175" t="n">
        <v>22.2900009155273</v>
      </c>
      <c r="P150" s="175" t="n">
        <v>22.2900009155273</v>
      </c>
      <c r="Q150" s="62"/>
      <c r="R150" s="175" t="n">
        <v>15.7950000762939</v>
      </c>
      <c r="S150" s="175" t="n">
        <v>15.7950000762939</v>
      </c>
      <c r="T150" s="175" t="n">
        <v>15.7950000762939</v>
      </c>
      <c r="U150" s="62"/>
      <c r="V150" s="175" t="n">
        <v>0</v>
      </c>
      <c r="W150" s="175" t="n">
        <v>0</v>
      </c>
      <c r="X150" s="175" t="n">
        <v>0</v>
      </c>
      <c r="Y150" s="62"/>
      <c r="Z150" s="175" t="n">
        <v>0.16</v>
      </c>
      <c r="AA150" s="175" t="n">
        <v>0.2</v>
      </c>
      <c r="AB150" s="175" t="n">
        <v>0.24</v>
      </c>
      <c r="AC150" s="62"/>
      <c r="AD150" s="175" t="n">
        <v>0.08</v>
      </c>
      <c r="AE150" s="175" t="n">
        <v>0.1</v>
      </c>
      <c r="AF150" s="175" t="n">
        <v>0.12</v>
      </c>
      <c r="AG150" s="62"/>
      <c r="AH150" s="175" t="n">
        <v>0.2</v>
      </c>
      <c r="AI150" s="175" t="n">
        <v>0.25</v>
      </c>
      <c r="AJ150" s="175" t="n">
        <v>0.3</v>
      </c>
      <c r="AK150" s="62"/>
      <c r="AL150" s="175" t="n">
        <v>0.12</v>
      </c>
      <c r="AM150" s="175" t="n">
        <v>0.15</v>
      </c>
      <c r="AN150" s="175" t="n">
        <v>0.18</v>
      </c>
      <c r="AO150" s="62"/>
      <c r="AP150" s="141" t="n">
        <v>44</v>
      </c>
      <c r="AQ150" s="176" t="n">
        <v>0.4</v>
      </c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142" t="n">
        <v>41030</v>
      </c>
      <c r="BI150" s="178" t="n">
        <v>0.75</v>
      </c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0"/>
      <c r="CM150" s="230"/>
      <c r="CN150" s="230"/>
      <c r="CO150" s="179"/>
      <c r="CP150" s="0"/>
      <c r="CQ150" s="0"/>
      <c r="CR150" s="0"/>
      <c r="CS150" s="0"/>
      <c r="CT150" s="0"/>
      <c r="CY150" s="180" t="n">
        <f aca="false">M150</f>
        <v>41030</v>
      </c>
      <c r="CZ150" s="181" t="n">
        <f aca="false">AH150</f>
        <v>0.2</v>
      </c>
      <c r="DA150" s="181" t="n">
        <f aca="false">AI150</f>
        <v>0.25</v>
      </c>
      <c r="DB150" s="181" t="n">
        <f aca="false">AJ150</f>
        <v>0.3</v>
      </c>
      <c r="DD150" s="181" t="n">
        <f aca="false">Z150</f>
        <v>0.16</v>
      </c>
      <c r="DE150" s="181" t="n">
        <f aca="false">AA150</f>
        <v>0.2</v>
      </c>
      <c r="DF150" s="181" t="n">
        <f aca="false">AB150</f>
        <v>0.24</v>
      </c>
      <c r="DH150" s="180" t="n">
        <f aca="false">BH150</f>
        <v>41030</v>
      </c>
      <c r="DI150" s="135" t="n">
        <f aca="false">BI150</f>
        <v>0.75</v>
      </c>
      <c r="DL150" s="180" t="n">
        <f aca="false">M150</f>
        <v>41030</v>
      </c>
      <c r="DM150" s="181" t="n">
        <f aca="false">AL150</f>
        <v>0.12</v>
      </c>
      <c r="DN150" s="181" t="n">
        <f aca="false">AM150</f>
        <v>0.15</v>
      </c>
      <c r="DO150" s="181" t="n">
        <f aca="false">AN150</f>
        <v>0.18</v>
      </c>
      <c r="DQ150" s="181" t="n">
        <f aca="false">AD150</f>
        <v>0.08</v>
      </c>
      <c r="DR150" s="181" t="n">
        <f aca="false">AE150</f>
        <v>0.1</v>
      </c>
      <c r="DS150" s="181" t="n">
        <f aca="false">AF150</f>
        <v>0.12</v>
      </c>
    </row>
    <row r="151" customFormat="false" ht="12.75" hidden="false" customHeight="false" outlineLevel="0" collapsed="false">
      <c r="A151" s="145" t="n">
        <f aca="false">EOMONTH(A150,0)+1</f>
        <v>50131</v>
      </c>
      <c r="B151" s="135" t="n">
        <f aca="false">'Gas Curves'!C155</f>
        <v>0.0636056003395322</v>
      </c>
      <c r="C151" s="135"/>
      <c r="D151" s="173" t="n">
        <v>40179</v>
      </c>
      <c r="E151" s="174" t="n">
        <v>34.9957144601004</v>
      </c>
      <c r="F151" s="174" t="n">
        <v>36.4957144601004</v>
      </c>
      <c r="G151" s="174" t="n">
        <v>37.9957144601004</v>
      </c>
      <c r="H151" s="159"/>
      <c r="I151" s="174" t="n">
        <v>24.5</v>
      </c>
      <c r="J151" s="174" t="n">
        <v>24.5</v>
      </c>
      <c r="K151" s="174" t="n">
        <v>24.5</v>
      </c>
      <c r="L151" s="141"/>
      <c r="M151" s="142" t="n">
        <v>41061</v>
      </c>
      <c r="N151" s="175" t="n">
        <v>29.2900009155273</v>
      </c>
      <c r="O151" s="175" t="n">
        <v>29.2900009155273</v>
      </c>
      <c r="P151" s="175" t="n">
        <v>29.2900009155273</v>
      </c>
      <c r="Q151" s="62"/>
      <c r="R151" s="175" t="n">
        <v>19.7900009155273</v>
      </c>
      <c r="S151" s="175" t="n">
        <v>19.7900009155273</v>
      </c>
      <c r="T151" s="175" t="n">
        <v>19.7900009155273</v>
      </c>
      <c r="U151" s="62"/>
      <c r="V151" s="175" t="n">
        <v>0</v>
      </c>
      <c r="W151" s="175" t="n">
        <v>0</v>
      </c>
      <c r="X151" s="175" t="n">
        <v>0</v>
      </c>
      <c r="Y151" s="62"/>
      <c r="Z151" s="175" t="n">
        <v>0.16</v>
      </c>
      <c r="AA151" s="175" t="n">
        <v>0.2</v>
      </c>
      <c r="AB151" s="175" t="n">
        <v>0.24</v>
      </c>
      <c r="AC151" s="62"/>
      <c r="AD151" s="175" t="n">
        <v>0.08</v>
      </c>
      <c r="AE151" s="175" t="n">
        <v>0.1</v>
      </c>
      <c r="AF151" s="175" t="n">
        <v>0.12</v>
      </c>
      <c r="AG151" s="62"/>
      <c r="AH151" s="175" t="n">
        <v>0.2</v>
      </c>
      <c r="AI151" s="175" t="n">
        <v>0.25</v>
      </c>
      <c r="AJ151" s="175" t="n">
        <v>0.3</v>
      </c>
      <c r="AK151" s="62"/>
      <c r="AL151" s="175" t="n">
        <v>0.12</v>
      </c>
      <c r="AM151" s="175" t="n">
        <v>0.15</v>
      </c>
      <c r="AN151" s="175" t="n">
        <v>0.18</v>
      </c>
      <c r="AO151" s="62"/>
      <c r="AP151" s="141" t="n">
        <v>45</v>
      </c>
      <c r="AQ151" s="176" t="n">
        <v>0.4</v>
      </c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142" t="n">
        <v>41061</v>
      </c>
      <c r="BI151" s="178" t="n">
        <v>0.75</v>
      </c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0"/>
      <c r="CM151" s="230"/>
      <c r="CN151" s="230"/>
      <c r="CO151" s="179"/>
      <c r="CP151" s="0"/>
      <c r="CQ151" s="0"/>
      <c r="CR151" s="0"/>
      <c r="CS151" s="0"/>
      <c r="CT151" s="0"/>
      <c r="CY151" s="180" t="n">
        <f aca="false">M151</f>
        <v>41061</v>
      </c>
      <c r="CZ151" s="181" t="n">
        <f aca="false">AH151</f>
        <v>0.2</v>
      </c>
      <c r="DA151" s="181" t="n">
        <f aca="false">AI151</f>
        <v>0.25</v>
      </c>
      <c r="DB151" s="181" t="n">
        <f aca="false">AJ151</f>
        <v>0.3</v>
      </c>
      <c r="DD151" s="181" t="n">
        <f aca="false">Z151</f>
        <v>0.16</v>
      </c>
      <c r="DE151" s="181" t="n">
        <f aca="false">AA151</f>
        <v>0.2</v>
      </c>
      <c r="DF151" s="181" t="n">
        <f aca="false">AB151</f>
        <v>0.24</v>
      </c>
      <c r="DH151" s="180" t="n">
        <f aca="false">BH151</f>
        <v>41061</v>
      </c>
      <c r="DI151" s="135" t="n">
        <f aca="false">BI151</f>
        <v>0.75</v>
      </c>
      <c r="DL151" s="180" t="n">
        <f aca="false">M151</f>
        <v>41061</v>
      </c>
      <c r="DM151" s="181" t="n">
        <f aca="false">AL151</f>
        <v>0.12</v>
      </c>
      <c r="DN151" s="181" t="n">
        <f aca="false">AM151</f>
        <v>0.15</v>
      </c>
      <c r="DO151" s="181" t="n">
        <f aca="false">AN151</f>
        <v>0.18</v>
      </c>
      <c r="DQ151" s="181" t="n">
        <f aca="false">AD151</f>
        <v>0.08</v>
      </c>
      <c r="DR151" s="181" t="n">
        <f aca="false">AE151</f>
        <v>0.1</v>
      </c>
      <c r="DS151" s="181" t="n">
        <f aca="false">AF151</f>
        <v>0.12</v>
      </c>
    </row>
    <row r="152" customFormat="false" ht="12.75" hidden="false" customHeight="false" outlineLevel="0" collapsed="false">
      <c r="A152" s="145" t="n">
        <f aca="false">EOMONTH(A151,0)+1</f>
        <v>50161</v>
      </c>
      <c r="B152" s="135" t="n">
        <f aca="false">'Gas Curves'!C156</f>
        <v>0.063642591177548</v>
      </c>
      <c r="C152" s="135"/>
      <c r="D152" s="173" t="n">
        <v>40210</v>
      </c>
      <c r="E152" s="174" t="n">
        <v>34.3957121712821</v>
      </c>
      <c r="F152" s="174" t="n">
        <v>35.8957121712821</v>
      </c>
      <c r="G152" s="174" t="n">
        <v>37.3957121712821</v>
      </c>
      <c r="H152" s="159"/>
      <c r="I152" s="174" t="n">
        <v>23</v>
      </c>
      <c r="J152" s="174" t="n">
        <v>23</v>
      </c>
      <c r="K152" s="174" t="n">
        <v>23</v>
      </c>
      <c r="L152" s="141"/>
      <c r="M152" s="142" t="n">
        <v>41091</v>
      </c>
      <c r="N152" s="175" t="n">
        <v>35.2900009155273</v>
      </c>
      <c r="O152" s="175" t="n">
        <v>35.2900009155273</v>
      </c>
      <c r="P152" s="175" t="n">
        <v>35.2900009155273</v>
      </c>
      <c r="Q152" s="62"/>
      <c r="R152" s="175" t="n">
        <v>25.7900009155273</v>
      </c>
      <c r="S152" s="175" t="n">
        <v>25.7900009155273</v>
      </c>
      <c r="T152" s="175" t="n">
        <v>25.7900009155273</v>
      </c>
      <c r="U152" s="62"/>
      <c r="V152" s="175" t="n">
        <v>0</v>
      </c>
      <c r="W152" s="175" t="n">
        <v>0</v>
      </c>
      <c r="X152" s="175" t="n">
        <v>0</v>
      </c>
      <c r="Y152" s="62"/>
      <c r="Z152" s="175" t="n">
        <v>0.24</v>
      </c>
      <c r="AA152" s="175" t="n">
        <v>0.3</v>
      </c>
      <c r="AB152" s="175" t="n">
        <v>0.36</v>
      </c>
      <c r="AC152" s="62"/>
      <c r="AD152" s="175" t="n">
        <v>0.12</v>
      </c>
      <c r="AE152" s="175" t="n">
        <v>0.15</v>
      </c>
      <c r="AF152" s="175" t="n">
        <v>0.18</v>
      </c>
      <c r="AG152" s="62"/>
      <c r="AH152" s="175" t="n">
        <v>0.32</v>
      </c>
      <c r="AI152" s="175" t="n">
        <v>0.4</v>
      </c>
      <c r="AJ152" s="175" t="n">
        <v>0.48</v>
      </c>
      <c r="AK152" s="62"/>
      <c r="AL152" s="175" t="n">
        <v>0.192</v>
      </c>
      <c r="AM152" s="175" t="n">
        <v>0.24</v>
      </c>
      <c r="AN152" s="175" t="n">
        <v>0.288</v>
      </c>
      <c r="AO152" s="62"/>
      <c r="AP152" s="141" t="n">
        <v>45</v>
      </c>
      <c r="AQ152" s="176" t="n">
        <v>0.4</v>
      </c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142" t="n">
        <v>41091</v>
      </c>
      <c r="BI152" s="178" t="n">
        <v>0.75</v>
      </c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0"/>
      <c r="CM152" s="230"/>
      <c r="CN152" s="230"/>
      <c r="CO152" s="179"/>
      <c r="CP152" s="0"/>
      <c r="CQ152" s="0"/>
      <c r="CR152" s="0"/>
      <c r="CS152" s="0"/>
      <c r="CT152" s="0"/>
      <c r="CY152" s="180" t="n">
        <f aca="false">M152</f>
        <v>41091</v>
      </c>
      <c r="CZ152" s="181" t="n">
        <f aca="false">AH152</f>
        <v>0.32</v>
      </c>
      <c r="DA152" s="181" t="n">
        <f aca="false">AI152</f>
        <v>0.4</v>
      </c>
      <c r="DB152" s="181" t="n">
        <f aca="false">AJ152</f>
        <v>0.48</v>
      </c>
      <c r="DD152" s="181" t="n">
        <f aca="false">Z152</f>
        <v>0.24</v>
      </c>
      <c r="DE152" s="181" t="n">
        <f aca="false">AA152</f>
        <v>0.3</v>
      </c>
      <c r="DF152" s="181" t="n">
        <f aca="false">AB152</f>
        <v>0.36</v>
      </c>
      <c r="DH152" s="180" t="n">
        <f aca="false">BH152</f>
        <v>41091</v>
      </c>
      <c r="DI152" s="135" t="n">
        <f aca="false">BI152</f>
        <v>0.75</v>
      </c>
      <c r="DL152" s="180" t="n">
        <f aca="false">M152</f>
        <v>41091</v>
      </c>
      <c r="DM152" s="181" t="n">
        <f aca="false">AL152</f>
        <v>0.192</v>
      </c>
      <c r="DN152" s="181" t="n">
        <f aca="false">AM152</f>
        <v>0.24</v>
      </c>
      <c r="DO152" s="181" t="n">
        <f aca="false">AN152</f>
        <v>0.288</v>
      </c>
      <c r="DQ152" s="181" t="n">
        <f aca="false">AD152</f>
        <v>0.12</v>
      </c>
      <c r="DR152" s="181" t="n">
        <f aca="false">AE152</f>
        <v>0.15</v>
      </c>
      <c r="DS152" s="181" t="n">
        <f aca="false">AF152</f>
        <v>0.18</v>
      </c>
    </row>
    <row r="153" customFormat="false" ht="12.75" hidden="false" customHeight="false" outlineLevel="0" collapsed="false">
      <c r="A153" s="145" t="n">
        <f aca="false">EOMONTH(A152,0)+1</f>
        <v>50192</v>
      </c>
      <c r="B153" s="135" t="n">
        <f aca="false">'Gas Curves'!C157</f>
        <v>0.0636808150439743</v>
      </c>
      <c r="C153" s="135"/>
      <c r="D153" s="173" t="n">
        <v>40238</v>
      </c>
      <c r="E153" s="174" t="n">
        <v>33.1076808308446</v>
      </c>
      <c r="F153" s="174" t="n">
        <v>34.6076808308446</v>
      </c>
      <c r="G153" s="174" t="n">
        <v>36.1076808308446</v>
      </c>
      <c r="H153" s="159"/>
      <c r="I153" s="174" t="n">
        <v>24</v>
      </c>
      <c r="J153" s="174" t="n">
        <v>24</v>
      </c>
      <c r="K153" s="174" t="n">
        <v>24</v>
      </c>
      <c r="L153" s="141"/>
      <c r="M153" s="142" t="n">
        <v>41122</v>
      </c>
      <c r="N153" s="175" t="n">
        <v>33.2900047302246</v>
      </c>
      <c r="O153" s="175" t="n">
        <v>33.2900047302246</v>
      </c>
      <c r="P153" s="175" t="n">
        <v>33.2900047302246</v>
      </c>
      <c r="Q153" s="62"/>
      <c r="R153" s="175" t="n">
        <v>25.7900009155273</v>
      </c>
      <c r="S153" s="175" t="n">
        <v>25.7900009155273</v>
      </c>
      <c r="T153" s="175" t="n">
        <v>25.7900009155273</v>
      </c>
      <c r="U153" s="62"/>
      <c r="V153" s="175" t="n">
        <v>0</v>
      </c>
      <c r="W153" s="175" t="n">
        <v>0</v>
      </c>
      <c r="X153" s="175" t="n">
        <v>0</v>
      </c>
      <c r="Y153" s="62"/>
      <c r="Z153" s="175" t="n">
        <v>0.24</v>
      </c>
      <c r="AA153" s="175" t="n">
        <v>0.3</v>
      </c>
      <c r="AB153" s="175" t="n">
        <v>0.36</v>
      </c>
      <c r="AC153" s="62"/>
      <c r="AD153" s="175" t="n">
        <v>0.12</v>
      </c>
      <c r="AE153" s="175" t="n">
        <v>0.15</v>
      </c>
      <c r="AF153" s="175" t="n">
        <v>0.18</v>
      </c>
      <c r="AG153" s="62"/>
      <c r="AH153" s="175" t="n">
        <v>0.32</v>
      </c>
      <c r="AI153" s="175" t="n">
        <v>0.4</v>
      </c>
      <c r="AJ153" s="175" t="n">
        <v>0.48</v>
      </c>
      <c r="AK153" s="62"/>
      <c r="AL153" s="175" t="n">
        <v>0.192</v>
      </c>
      <c r="AM153" s="175" t="n">
        <v>0.24</v>
      </c>
      <c r="AN153" s="175" t="n">
        <v>0.288</v>
      </c>
      <c r="AO153" s="62"/>
      <c r="AP153" s="141" t="n">
        <v>45</v>
      </c>
      <c r="AQ153" s="176" t="n">
        <v>0.4</v>
      </c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142" t="n">
        <v>41122</v>
      </c>
      <c r="BI153" s="178" t="n">
        <v>0.75</v>
      </c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0"/>
      <c r="CM153" s="230"/>
      <c r="CN153" s="230"/>
      <c r="CO153" s="179"/>
      <c r="CP153" s="0"/>
      <c r="CQ153" s="0"/>
      <c r="CR153" s="0"/>
      <c r="CS153" s="0"/>
      <c r="CT153" s="0"/>
      <c r="CY153" s="180" t="n">
        <f aca="false">M153</f>
        <v>41122</v>
      </c>
      <c r="CZ153" s="181" t="n">
        <f aca="false">AH153</f>
        <v>0.32</v>
      </c>
      <c r="DA153" s="181" t="n">
        <f aca="false">AI153</f>
        <v>0.4</v>
      </c>
      <c r="DB153" s="181" t="n">
        <f aca="false">AJ153</f>
        <v>0.48</v>
      </c>
      <c r="DD153" s="181" t="n">
        <f aca="false">Z153</f>
        <v>0.24</v>
      </c>
      <c r="DE153" s="181" t="n">
        <f aca="false">AA153</f>
        <v>0.3</v>
      </c>
      <c r="DF153" s="181" t="n">
        <f aca="false">AB153</f>
        <v>0.36</v>
      </c>
      <c r="DH153" s="180" t="n">
        <f aca="false">BH153</f>
        <v>41122</v>
      </c>
      <c r="DI153" s="135" t="n">
        <f aca="false">BI153</f>
        <v>0.75</v>
      </c>
      <c r="DL153" s="180" t="n">
        <f aca="false">M153</f>
        <v>41122</v>
      </c>
      <c r="DM153" s="181" t="n">
        <f aca="false">AL153</f>
        <v>0.192</v>
      </c>
      <c r="DN153" s="181" t="n">
        <f aca="false">AM153</f>
        <v>0.24</v>
      </c>
      <c r="DO153" s="181" t="n">
        <f aca="false">AN153</f>
        <v>0.288</v>
      </c>
      <c r="DQ153" s="181" t="n">
        <f aca="false">AD153</f>
        <v>0.12</v>
      </c>
      <c r="DR153" s="181" t="n">
        <f aca="false">AE153</f>
        <v>0.15</v>
      </c>
      <c r="DS153" s="181" t="n">
        <f aca="false">AF153</f>
        <v>0.18</v>
      </c>
    </row>
    <row r="154" customFormat="false" ht="12.75" hidden="false" customHeight="false" outlineLevel="0" collapsed="false">
      <c r="A154" s="145" t="n">
        <f aca="false">EOMONTH(A153,0)+1</f>
        <v>50222</v>
      </c>
      <c r="B154" s="135" t="n">
        <f aca="false">'Gas Curves'!C158</f>
        <v>0.0637190389108846</v>
      </c>
      <c r="C154" s="135"/>
      <c r="D154" s="173" t="n">
        <v>40269</v>
      </c>
      <c r="E154" s="174" t="n">
        <v>33.3076815937841</v>
      </c>
      <c r="F154" s="174" t="n">
        <v>34.8076815937841</v>
      </c>
      <c r="G154" s="174" t="n">
        <v>36.3076815937841</v>
      </c>
      <c r="H154" s="159"/>
      <c r="I154" s="174" t="n">
        <v>21</v>
      </c>
      <c r="J154" s="174" t="n">
        <v>21</v>
      </c>
      <c r="K154" s="174" t="n">
        <v>21</v>
      </c>
      <c r="L154" s="141"/>
      <c r="M154" s="142" t="n">
        <v>41153</v>
      </c>
      <c r="N154" s="175" t="n">
        <v>25.2900009155273</v>
      </c>
      <c r="O154" s="175" t="n">
        <v>25.2900009155273</v>
      </c>
      <c r="P154" s="175" t="n">
        <v>25.2900009155273</v>
      </c>
      <c r="Q154" s="62"/>
      <c r="R154" s="175" t="n">
        <v>19.7900009155273</v>
      </c>
      <c r="S154" s="175" t="n">
        <v>19.7900009155273</v>
      </c>
      <c r="T154" s="175" t="n">
        <v>19.7900009155273</v>
      </c>
      <c r="U154" s="62"/>
      <c r="V154" s="175" t="n">
        <v>0</v>
      </c>
      <c r="W154" s="175" t="n">
        <v>0</v>
      </c>
      <c r="X154" s="175" t="n">
        <v>0</v>
      </c>
      <c r="Y154" s="62"/>
      <c r="Z154" s="175" t="n">
        <v>0.16</v>
      </c>
      <c r="AA154" s="175" t="n">
        <v>0.2</v>
      </c>
      <c r="AB154" s="175" t="n">
        <v>0.24</v>
      </c>
      <c r="AC154" s="62"/>
      <c r="AD154" s="175" t="n">
        <v>0.08</v>
      </c>
      <c r="AE154" s="175" t="n">
        <v>0.1</v>
      </c>
      <c r="AF154" s="175" t="n">
        <v>0.12</v>
      </c>
      <c r="AG154" s="62"/>
      <c r="AH154" s="175" t="n">
        <v>0.2</v>
      </c>
      <c r="AI154" s="175" t="n">
        <v>0.25</v>
      </c>
      <c r="AJ154" s="175" t="n">
        <v>0.3</v>
      </c>
      <c r="AK154" s="62"/>
      <c r="AL154" s="175" t="n">
        <v>0.12</v>
      </c>
      <c r="AM154" s="175" t="n">
        <v>0.15</v>
      </c>
      <c r="AN154" s="175" t="n">
        <v>0.18</v>
      </c>
      <c r="AO154" s="62"/>
      <c r="AP154" s="141" t="n">
        <v>46</v>
      </c>
      <c r="AQ154" s="176" t="n">
        <v>0.4</v>
      </c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142" t="n">
        <v>41153</v>
      </c>
      <c r="BI154" s="178" t="n">
        <v>0.75</v>
      </c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0"/>
      <c r="CM154" s="230"/>
      <c r="CN154" s="230"/>
      <c r="CO154" s="179"/>
      <c r="CP154" s="0"/>
      <c r="CQ154" s="0"/>
      <c r="CR154" s="0"/>
      <c r="CS154" s="0"/>
      <c r="CT154" s="0"/>
      <c r="CY154" s="180" t="n">
        <f aca="false">M154</f>
        <v>41153</v>
      </c>
      <c r="CZ154" s="181" t="n">
        <f aca="false">AH154</f>
        <v>0.2</v>
      </c>
      <c r="DA154" s="181" t="n">
        <f aca="false">AI154</f>
        <v>0.25</v>
      </c>
      <c r="DB154" s="181" t="n">
        <f aca="false">AJ154</f>
        <v>0.3</v>
      </c>
      <c r="DD154" s="181" t="n">
        <f aca="false">Z154</f>
        <v>0.16</v>
      </c>
      <c r="DE154" s="181" t="n">
        <f aca="false">AA154</f>
        <v>0.2</v>
      </c>
      <c r="DF154" s="181" t="n">
        <f aca="false">AB154</f>
        <v>0.24</v>
      </c>
      <c r="DH154" s="180" t="n">
        <f aca="false">BH154</f>
        <v>41153</v>
      </c>
      <c r="DI154" s="135" t="n">
        <f aca="false">BI154</f>
        <v>0.75</v>
      </c>
      <c r="DL154" s="180" t="n">
        <f aca="false">M154</f>
        <v>41153</v>
      </c>
      <c r="DM154" s="181" t="n">
        <f aca="false">AL154</f>
        <v>0.12</v>
      </c>
      <c r="DN154" s="181" t="n">
        <f aca="false">AM154</f>
        <v>0.15</v>
      </c>
      <c r="DO154" s="181" t="n">
        <f aca="false">AN154</f>
        <v>0.18</v>
      </c>
      <c r="DQ154" s="181" t="n">
        <f aca="false">AD154</f>
        <v>0.08</v>
      </c>
      <c r="DR154" s="181" t="n">
        <f aca="false">AE154</f>
        <v>0.1</v>
      </c>
      <c r="DS154" s="181" t="n">
        <f aca="false">AF154</f>
        <v>0.12</v>
      </c>
    </row>
    <row r="155" customFormat="false" ht="12.75" hidden="false" customHeight="false" outlineLevel="0" collapsed="false">
      <c r="A155" s="145" t="n">
        <f aca="false">EOMONTH(A154,0)+1</f>
        <v>50253</v>
      </c>
      <c r="B155" s="135" t="n">
        <f aca="false">'Gas Curves'!C159</f>
        <v>0.0637535636943176</v>
      </c>
      <c r="C155" s="135"/>
      <c r="D155" s="173" t="n">
        <v>40299</v>
      </c>
      <c r="E155" s="174" t="n">
        <v>37.9350028991699</v>
      </c>
      <c r="F155" s="174" t="n">
        <v>40.0850028991699</v>
      </c>
      <c r="G155" s="174" t="n">
        <v>42.2350028991699</v>
      </c>
      <c r="H155" s="159"/>
      <c r="I155" s="174" t="n">
        <v>21.5400009155273</v>
      </c>
      <c r="J155" s="174" t="n">
        <v>21.5400009155273</v>
      </c>
      <c r="K155" s="174" t="n">
        <v>21.5400009155273</v>
      </c>
      <c r="L155" s="141"/>
      <c r="M155" s="142" t="n">
        <v>41183</v>
      </c>
      <c r="N155" s="175" t="n">
        <v>20.2860012054443</v>
      </c>
      <c r="O155" s="175" t="n">
        <v>20.2860012054443</v>
      </c>
      <c r="P155" s="175" t="n">
        <v>20.2860012054443</v>
      </c>
      <c r="Q155" s="62"/>
      <c r="R155" s="175" t="n">
        <v>14.7865009307861</v>
      </c>
      <c r="S155" s="175" t="n">
        <v>14.7865009307861</v>
      </c>
      <c r="T155" s="175" t="n">
        <v>14.7865009307861</v>
      </c>
      <c r="U155" s="62"/>
      <c r="V155" s="175" t="n">
        <v>0</v>
      </c>
      <c r="W155" s="175" t="n">
        <v>0</v>
      </c>
      <c r="X155" s="175" t="n">
        <v>0</v>
      </c>
      <c r="Y155" s="62"/>
      <c r="Z155" s="175" t="n">
        <v>0.16</v>
      </c>
      <c r="AA155" s="175" t="n">
        <v>0.2</v>
      </c>
      <c r="AB155" s="175" t="n">
        <v>0.24</v>
      </c>
      <c r="AC155" s="62"/>
      <c r="AD155" s="175" t="n">
        <v>0.08</v>
      </c>
      <c r="AE155" s="175" t="n">
        <v>0.1</v>
      </c>
      <c r="AF155" s="175" t="n">
        <v>0.12</v>
      </c>
      <c r="AG155" s="62"/>
      <c r="AH155" s="175" t="n">
        <v>0.2</v>
      </c>
      <c r="AI155" s="175" t="n">
        <v>0.25</v>
      </c>
      <c r="AJ155" s="175" t="n">
        <v>0.3</v>
      </c>
      <c r="AK155" s="62"/>
      <c r="AL155" s="175" t="n">
        <v>0.12</v>
      </c>
      <c r="AM155" s="175" t="n">
        <v>0.15</v>
      </c>
      <c r="AN155" s="175" t="n">
        <v>0.18</v>
      </c>
      <c r="AO155" s="62"/>
      <c r="AP155" s="141" t="n">
        <v>46</v>
      </c>
      <c r="AQ155" s="176" t="n">
        <v>0.4</v>
      </c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142" t="n">
        <v>41183</v>
      </c>
      <c r="BI155" s="178" t="n">
        <v>0.75</v>
      </c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0"/>
      <c r="CM155" s="230"/>
      <c r="CN155" s="230"/>
      <c r="CO155" s="179"/>
      <c r="CP155" s="0"/>
      <c r="CQ155" s="0"/>
      <c r="CR155" s="0"/>
      <c r="CS155" s="0"/>
      <c r="CT155" s="0"/>
      <c r="CY155" s="180" t="n">
        <f aca="false">M155</f>
        <v>41183</v>
      </c>
      <c r="CZ155" s="181" t="n">
        <f aca="false">AH155</f>
        <v>0.2</v>
      </c>
      <c r="DA155" s="181" t="n">
        <f aca="false">AI155</f>
        <v>0.25</v>
      </c>
      <c r="DB155" s="181" t="n">
        <f aca="false">AJ155</f>
        <v>0.3</v>
      </c>
      <c r="DD155" s="181" t="n">
        <f aca="false">Z155</f>
        <v>0.16</v>
      </c>
      <c r="DE155" s="181" t="n">
        <f aca="false">AA155</f>
        <v>0.2</v>
      </c>
      <c r="DF155" s="181" t="n">
        <f aca="false">AB155</f>
        <v>0.24</v>
      </c>
      <c r="DH155" s="180" t="n">
        <f aca="false">BH155</f>
        <v>41183</v>
      </c>
      <c r="DI155" s="135" t="n">
        <f aca="false">BI155</f>
        <v>0.75</v>
      </c>
      <c r="DL155" s="180" t="n">
        <f aca="false">M155</f>
        <v>41183</v>
      </c>
      <c r="DM155" s="181" t="n">
        <f aca="false">AL155</f>
        <v>0.12</v>
      </c>
      <c r="DN155" s="181" t="n">
        <f aca="false">AM155</f>
        <v>0.15</v>
      </c>
      <c r="DO155" s="181" t="n">
        <f aca="false">AN155</f>
        <v>0.18</v>
      </c>
      <c r="DQ155" s="181" t="n">
        <f aca="false">AD155</f>
        <v>0.08</v>
      </c>
      <c r="DR155" s="181" t="n">
        <f aca="false">AE155</f>
        <v>0.1</v>
      </c>
      <c r="DS155" s="181" t="n">
        <f aca="false">AF155</f>
        <v>0.12</v>
      </c>
    </row>
    <row r="156" customFormat="false" ht="12.75" hidden="false" customHeight="false" outlineLevel="0" collapsed="false">
      <c r="A156" s="145" t="n">
        <f aca="false">EOMONTH(A155,0)+1</f>
        <v>50284</v>
      </c>
      <c r="B156" s="135" t="n">
        <f aca="false">'Gas Curves'!C160</f>
        <v>0.0637917875621503</v>
      </c>
      <c r="C156" s="135"/>
      <c r="D156" s="173" t="n">
        <v>40330</v>
      </c>
      <c r="E156" s="174" t="n">
        <v>42.6250038146973</v>
      </c>
      <c r="F156" s="174" t="n">
        <v>47.6250038146973</v>
      </c>
      <c r="G156" s="174" t="n">
        <v>52.6250038146973</v>
      </c>
      <c r="H156" s="159"/>
      <c r="I156" s="174" t="n">
        <v>24.5400009155273</v>
      </c>
      <c r="J156" s="174" t="n">
        <v>24.5400009155273</v>
      </c>
      <c r="K156" s="174" t="n">
        <v>24.5400009155273</v>
      </c>
      <c r="L156" s="141"/>
      <c r="M156" s="142" t="n">
        <v>41214</v>
      </c>
      <c r="N156" s="175" t="n">
        <v>22.2900009155273</v>
      </c>
      <c r="O156" s="175" t="n">
        <v>22.2900009155273</v>
      </c>
      <c r="P156" s="175" t="n">
        <v>22.2900009155273</v>
      </c>
      <c r="Q156" s="62"/>
      <c r="R156" s="175" t="n">
        <v>14.7900009155273</v>
      </c>
      <c r="S156" s="175" t="n">
        <v>14.7900009155273</v>
      </c>
      <c r="T156" s="175" t="n">
        <v>14.7900009155273</v>
      </c>
      <c r="U156" s="62"/>
      <c r="V156" s="175" t="n">
        <v>0</v>
      </c>
      <c r="W156" s="175" t="n">
        <v>0</v>
      </c>
      <c r="X156" s="175" t="n">
        <v>0</v>
      </c>
      <c r="Y156" s="62"/>
      <c r="Z156" s="175" t="n">
        <v>0.16</v>
      </c>
      <c r="AA156" s="175" t="n">
        <v>0.2</v>
      </c>
      <c r="AB156" s="175" t="n">
        <v>0.24</v>
      </c>
      <c r="AC156" s="62"/>
      <c r="AD156" s="175" t="n">
        <v>0.08</v>
      </c>
      <c r="AE156" s="175" t="n">
        <v>0.1</v>
      </c>
      <c r="AF156" s="175" t="n">
        <v>0.12</v>
      </c>
      <c r="AG156" s="62"/>
      <c r="AH156" s="175" t="n">
        <v>0.2</v>
      </c>
      <c r="AI156" s="175" t="n">
        <v>0.25</v>
      </c>
      <c r="AJ156" s="175" t="n">
        <v>0.3</v>
      </c>
      <c r="AK156" s="62"/>
      <c r="AL156" s="175" t="n">
        <v>0.12</v>
      </c>
      <c r="AM156" s="175" t="n">
        <v>0.15</v>
      </c>
      <c r="AN156" s="175" t="n">
        <v>0.18</v>
      </c>
      <c r="AO156" s="62"/>
      <c r="AP156" s="141" t="n">
        <v>46</v>
      </c>
      <c r="AQ156" s="176" t="n">
        <v>0.4</v>
      </c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142" t="n">
        <v>41214</v>
      </c>
      <c r="BI156" s="178" t="n">
        <v>0.75</v>
      </c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0"/>
      <c r="CM156" s="230"/>
      <c r="CN156" s="230"/>
      <c r="CO156" s="179"/>
      <c r="CP156" s="0"/>
      <c r="CQ156" s="0"/>
      <c r="CR156" s="0"/>
      <c r="CS156" s="0"/>
      <c r="CT156" s="0"/>
      <c r="CY156" s="180" t="n">
        <f aca="false">M156</f>
        <v>41214</v>
      </c>
      <c r="CZ156" s="181" t="n">
        <f aca="false">AH156</f>
        <v>0.2</v>
      </c>
      <c r="DA156" s="181" t="n">
        <f aca="false">AI156</f>
        <v>0.25</v>
      </c>
      <c r="DB156" s="181" t="n">
        <f aca="false">AJ156</f>
        <v>0.3</v>
      </c>
      <c r="DD156" s="181" t="n">
        <f aca="false">Z156</f>
        <v>0.16</v>
      </c>
      <c r="DE156" s="181" t="n">
        <f aca="false">AA156</f>
        <v>0.2</v>
      </c>
      <c r="DF156" s="181" t="n">
        <f aca="false">AB156</f>
        <v>0.24</v>
      </c>
      <c r="DH156" s="180" t="n">
        <f aca="false">BH156</f>
        <v>41214</v>
      </c>
      <c r="DI156" s="135" t="n">
        <f aca="false">BI156</f>
        <v>0.75</v>
      </c>
      <c r="DL156" s="180" t="n">
        <f aca="false">M156</f>
        <v>41214</v>
      </c>
      <c r="DM156" s="181" t="n">
        <f aca="false">AL156</f>
        <v>0.12</v>
      </c>
      <c r="DN156" s="181" t="n">
        <f aca="false">AM156</f>
        <v>0.15</v>
      </c>
      <c r="DO156" s="181" t="n">
        <f aca="false">AN156</f>
        <v>0.18</v>
      </c>
      <c r="DQ156" s="181" t="n">
        <f aca="false">AD156</f>
        <v>0.08</v>
      </c>
      <c r="DR156" s="181" t="n">
        <f aca="false">AE156</f>
        <v>0.1</v>
      </c>
      <c r="DS156" s="181" t="n">
        <f aca="false">AF156</f>
        <v>0.12</v>
      </c>
    </row>
    <row r="157" customFormat="false" ht="12.75" hidden="false" customHeight="false" outlineLevel="0" collapsed="false">
      <c r="A157" s="145" t="n">
        <f aca="false">EOMONTH(A156,0)+1</f>
        <v>50314</v>
      </c>
      <c r="B157" s="135" t="n">
        <f aca="false">'Gas Curves'!C161</f>
        <v>0.0638287784024496</v>
      </c>
      <c r="C157" s="135"/>
      <c r="D157" s="173" t="n">
        <v>40360</v>
      </c>
      <c r="E157" s="174" t="n">
        <v>48.25</v>
      </c>
      <c r="F157" s="174" t="n">
        <v>58.25</v>
      </c>
      <c r="G157" s="174" t="n">
        <v>68.25</v>
      </c>
      <c r="H157" s="159"/>
      <c r="I157" s="174" t="n">
        <v>25.0400009155273</v>
      </c>
      <c r="J157" s="174" t="n">
        <v>25.0400009155273</v>
      </c>
      <c r="K157" s="174" t="n">
        <v>25.0400009155273</v>
      </c>
      <c r="L157" s="141"/>
      <c r="M157" s="142" t="n">
        <v>41244</v>
      </c>
      <c r="N157" s="175" t="n">
        <v>27.2900009155273</v>
      </c>
      <c r="O157" s="175" t="n">
        <v>27.2900009155273</v>
      </c>
      <c r="P157" s="175" t="n">
        <v>27.2900009155273</v>
      </c>
      <c r="Q157" s="62"/>
      <c r="R157" s="175" t="n">
        <v>21.7900009155273</v>
      </c>
      <c r="S157" s="175" t="n">
        <v>21.7900009155273</v>
      </c>
      <c r="T157" s="175" t="n">
        <v>21.7900009155273</v>
      </c>
      <c r="U157" s="62"/>
      <c r="V157" s="175" t="n">
        <v>0</v>
      </c>
      <c r="W157" s="175" t="n">
        <v>0</v>
      </c>
      <c r="X157" s="175" t="n">
        <v>0</v>
      </c>
      <c r="Y157" s="62"/>
      <c r="Z157" s="175" t="n">
        <v>0.16</v>
      </c>
      <c r="AA157" s="175" t="n">
        <v>0.2</v>
      </c>
      <c r="AB157" s="175" t="n">
        <v>0.24</v>
      </c>
      <c r="AC157" s="62"/>
      <c r="AD157" s="175" t="n">
        <v>0.08</v>
      </c>
      <c r="AE157" s="175" t="n">
        <v>0.1</v>
      </c>
      <c r="AF157" s="175" t="n">
        <v>0.12</v>
      </c>
      <c r="AG157" s="62"/>
      <c r="AH157" s="175" t="n">
        <v>0.2</v>
      </c>
      <c r="AI157" s="175" t="n">
        <v>0.25</v>
      </c>
      <c r="AJ157" s="175" t="n">
        <v>0.3</v>
      </c>
      <c r="AK157" s="62"/>
      <c r="AL157" s="175" t="n">
        <v>0.12</v>
      </c>
      <c r="AM157" s="175" t="n">
        <v>0.15</v>
      </c>
      <c r="AN157" s="175" t="n">
        <v>0.18</v>
      </c>
      <c r="AO157" s="62"/>
      <c r="AP157" s="141" t="n">
        <v>47</v>
      </c>
      <c r="AQ157" s="176" t="n">
        <v>0.4</v>
      </c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142" t="n">
        <v>41244</v>
      </c>
      <c r="BI157" s="178" t="n">
        <v>0.75</v>
      </c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0"/>
      <c r="CM157" s="230"/>
      <c r="CN157" s="230"/>
      <c r="CO157" s="179"/>
      <c r="CP157" s="0"/>
      <c r="CQ157" s="0"/>
      <c r="CR157" s="0"/>
      <c r="CS157" s="0"/>
      <c r="CT157" s="0"/>
      <c r="CY157" s="180" t="n">
        <f aca="false">M157</f>
        <v>41244</v>
      </c>
      <c r="CZ157" s="181" t="n">
        <f aca="false">AH157</f>
        <v>0.2</v>
      </c>
      <c r="DA157" s="181" t="n">
        <f aca="false">AI157</f>
        <v>0.25</v>
      </c>
      <c r="DB157" s="181" t="n">
        <f aca="false">AJ157</f>
        <v>0.3</v>
      </c>
      <c r="DD157" s="181" t="n">
        <f aca="false">Z157</f>
        <v>0.16</v>
      </c>
      <c r="DE157" s="181" t="n">
        <f aca="false">AA157</f>
        <v>0.2</v>
      </c>
      <c r="DF157" s="181" t="n">
        <f aca="false">AB157</f>
        <v>0.24</v>
      </c>
      <c r="DH157" s="180" t="n">
        <f aca="false">BH157</f>
        <v>41244</v>
      </c>
      <c r="DI157" s="135" t="n">
        <f aca="false">BI157</f>
        <v>0.75</v>
      </c>
      <c r="DL157" s="180" t="n">
        <f aca="false">M157</f>
        <v>41244</v>
      </c>
      <c r="DM157" s="181" t="n">
        <f aca="false">AL157</f>
        <v>0.12</v>
      </c>
      <c r="DN157" s="181" t="n">
        <f aca="false">AM157</f>
        <v>0.15</v>
      </c>
      <c r="DO157" s="181" t="n">
        <f aca="false">AN157</f>
        <v>0.18</v>
      </c>
      <c r="DQ157" s="181" t="n">
        <f aca="false">AD157</f>
        <v>0.08</v>
      </c>
      <c r="DR157" s="181" t="n">
        <f aca="false">AE157</f>
        <v>0.1</v>
      </c>
      <c r="DS157" s="181" t="n">
        <f aca="false">AF157</f>
        <v>0.12</v>
      </c>
    </row>
    <row r="158" customFormat="false" ht="12.75" hidden="false" customHeight="false" outlineLevel="0" collapsed="false">
      <c r="A158" s="145" t="n">
        <f aca="false">EOMONTH(A157,0)+1</f>
        <v>50345</v>
      </c>
      <c r="B158" s="135" t="n">
        <f aca="false">'Gas Curves'!C162</f>
        <v>0.0638670022712362</v>
      </c>
      <c r="C158" s="135"/>
      <c r="D158" s="173" t="n">
        <v>40391</v>
      </c>
      <c r="E158" s="174" t="n">
        <v>48.25</v>
      </c>
      <c r="F158" s="174" t="n">
        <v>58.25</v>
      </c>
      <c r="G158" s="174" t="n">
        <v>68.25</v>
      </c>
      <c r="H158" s="159"/>
      <c r="I158" s="174" t="n">
        <v>26.0400009155273</v>
      </c>
      <c r="J158" s="174" t="n">
        <v>26.0400009155273</v>
      </c>
      <c r="K158" s="174" t="n">
        <v>26.0400009155273</v>
      </c>
      <c r="L158" s="141"/>
      <c r="M158" s="142" t="n">
        <v>41275</v>
      </c>
      <c r="N158" s="175" t="n">
        <v>35.75</v>
      </c>
      <c r="O158" s="175" t="n">
        <v>35.75</v>
      </c>
      <c r="P158" s="175" t="n">
        <v>35.75</v>
      </c>
      <c r="Q158" s="62"/>
      <c r="R158" s="175" t="n">
        <v>25.25</v>
      </c>
      <c r="S158" s="175" t="n">
        <v>25.25</v>
      </c>
      <c r="T158" s="175" t="n">
        <v>25.25</v>
      </c>
      <c r="U158" s="62"/>
      <c r="V158" s="175" t="n">
        <v>0</v>
      </c>
      <c r="W158" s="175" t="n">
        <v>0</v>
      </c>
      <c r="X158" s="175" t="n">
        <v>0</v>
      </c>
      <c r="Y158" s="62"/>
      <c r="Z158" s="175" t="n">
        <v>0.16</v>
      </c>
      <c r="AA158" s="175" t="n">
        <v>0.2</v>
      </c>
      <c r="AB158" s="175" t="n">
        <v>0.24</v>
      </c>
      <c r="AC158" s="62"/>
      <c r="AD158" s="175" t="n">
        <v>0.08</v>
      </c>
      <c r="AE158" s="175" t="n">
        <v>0.1</v>
      </c>
      <c r="AF158" s="175" t="n">
        <v>0.12</v>
      </c>
      <c r="AG158" s="62"/>
      <c r="AH158" s="175" t="n">
        <v>0.2</v>
      </c>
      <c r="AI158" s="175" t="n">
        <v>0.25</v>
      </c>
      <c r="AJ158" s="175" t="n">
        <v>0.3</v>
      </c>
      <c r="AK158" s="62"/>
      <c r="AL158" s="175" t="n">
        <v>0.12</v>
      </c>
      <c r="AM158" s="175" t="n">
        <v>0.15</v>
      </c>
      <c r="AN158" s="175" t="n">
        <v>0.18</v>
      </c>
      <c r="AO158" s="62"/>
      <c r="AP158" s="141" t="n">
        <v>47</v>
      </c>
      <c r="AQ158" s="176" t="n">
        <v>0.4</v>
      </c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142" t="n">
        <v>41275</v>
      </c>
      <c r="BI158" s="178" t="n">
        <v>0.75</v>
      </c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0"/>
      <c r="CM158" s="230"/>
      <c r="CN158" s="230"/>
      <c r="CO158" s="179"/>
      <c r="CP158" s="0"/>
      <c r="CQ158" s="0"/>
      <c r="CR158" s="0"/>
      <c r="CS158" s="0"/>
      <c r="CT158" s="0"/>
      <c r="CY158" s="180" t="n">
        <f aca="false">M158</f>
        <v>41275</v>
      </c>
      <c r="CZ158" s="181" t="n">
        <f aca="false">AH158</f>
        <v>0.2</v>
      </c>
      <c r="DA158" s="181" t="n">
        <f aca="false">AI158</f>
        <v>0.25</v>
      </c>
      <c r="DB158" s="181" t="n">
        <f aca="false">AJ158</f>
        <v>0.3</v>
      </c>
      <c r="DD158" s="181" t="n">
        <f aca="false">Z158</f>
        <v>0.16</v>
      </c>
      <c r="DE158" s="181" t="n">
        <f aca="false">AA158</f>
        <v>0.2</v>
      </c>
      <c r="DF158" s="181" t="n">
        <f aca="false">AB158</f>
        <v>0.24</v>
      </c>
      <c r="DH158" s="180" t="n">
        <f aca="false">BH158</f>
        <v>41275</v>
      </c>
      <c r="DI158" s="135" t="n">
        <f aca="false">BI158</f>
        <v>0.75</v>
      </c>
      <c r="DL158" s="180" t="n">
        <f aca="false">M158</f>
        <v>41275</v>
      </c>
      <c r="DM158" s="181" t="n">
        <f aca="false">AL158</f>
        <v>0.12</v>
      </c>
      <c r="DN158" s="181" t="n">
        <f aca="false">AM158</f>
        <v>0.15</v>
      </c>
      <c r="DO158" s="181" t="n">
        <f aca="false">AN158</f>
        <v>0.18</v>
      </c>
      <c r="DQ158" s="181" t="n">
        <f aca="false">AD158</f>
        <v>0.08</v>
      </c>
      <c r="DR158" s="181" t="n">
        <f aca="false">AE158</f>
        <v>0.1</v>
      </c>
      <c r="DS158" s="181" t="n">
        <f aca="false">AF158</f>
        <v>0.12</v>
      </c>
    </row>
    <row r="159" customFormat="false" ht="12.75" hidden="false" customHeight="false" outlineLevel="0" collapsed="false">
      <c r="A159" s="145" t="n">
        <f aca="false">EOMONTH(A158,0)+1</f>
        <v>50375</v>
      </c>
      <c r="B159" s="135" t="n">
        <f aca="false">'Gas Curves'!C163</f>
        <v>0.0639039931124588</v>
      </c>
      <c r="C159" s="135"/>
      <c r="D159" s="173" t="n">
        <v>40422</v>
      </c>
      <c r="E159" s="174" t="n">
        <v>29.7099990844727</v>
      </c>
      <c r="F159" s="174" t="n">
        <v>31.2099990844727</v>
      </c>
      <c r="G159" s="174" t="n">
        <v>32.7099990844727</v>
      </c>
      <c r="H159" s="159"/>
      <c r="I159" s="174" t="n">
        <v>20.0400009155273</v>
      </c>
      <c r="J159" s="174" t="n">
        <v>20.0400009155273</v>
      </c>
      <c r="K159" s="174" t="n">
        <v>20.0400009155273</v>
      </c>
      <c r="L159" s="141"/>
      <c r="M159" s="142" t="n">
        <v>41306</v>
      </c>
      <c r="N159" s="175" t="n">
        <v>31.2460021972656</v>
      </c>
      <c r="O159" s="175" t="n">
        <v>31.2460021972656</v>
      </c>
      <c r="P159" s="175" t="n">
        <v>31.2460021972656</v>
      </c>
      <c r="Q159" s="62"/>
      <c r="R159" s="175" t="n">
        <v>22.7465019226074</v>
      </c>
      <c r="S159" s="175" t="n">
        <v>22.7465019226074</v>
      </c>
      <c r="T159" s="175" t="n">
        <v>22.7465019226074</v>
      </c>
      <c r="U159" s="62"/>
      <c r="V159" s="175" t="n">
        <v>0</v>
      </c>
      <c r="W159" s="175" t="n">
        <v>0</v>
      </c>
      <c r="X159" s="175" t="n">
        <v>0</v>
      </c>
      <c r="Y159" s="62"/>
      <c r="Z159" s="175" t="n">
        <v>0.16</v>
      </c>
      <c r="AA159" s="175" t="n">
        <v>0.2</v>
      </c>
      <c r="AB159" s="175" t="n">
        <v>0.24</v>
      </c>
      <c r="AC159" s="62"/>
      <c r="AD159" s="175" t="n">
        <v>0.08</v>
      </c>
      <c r="AE159" s="175" t="n">
        <v>0.1</v>
      </c>
      <c r="AF159" s="175" t="n">
        <v>0.12</v>
      </c>
      <c r="AG159" s="62"/>
      <c r="AH159" s="175" t="n">
        <v>0.2</v>
      </c>
      <c r="AI159" s="175" t="n">
        <v>0.25</v>
      </c>
      <c r="AJ159" s="175" t="n">
        <v>0.3</v>
      </c>
      <c r="AK159" s="62"/>
      <c r="AL159" s="175" t="n">
        <v>0.12</v>
      </c>
      <c r="AM159" s="175" t="n">
        <v>0.15</v>
      </c>
      <c r="AN159" s="175" t="n">
        <v>0.18</v>
      </c>
      <c r="AO159" s="62"/>
      <c r="AP159" s="141" t="n">
        <v>47</v>
      </c>
      <c r="AQ159" s="176" t="n">
        <v>0.4</v>
      </c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142" t="n">
        <v>41306</v>
      </c>
      <c r="BI159" s="178" t="n">
        <v>0.75</v>
      </c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0"/>
      <c r="CM159" s="230"/>
      <c r="CN159" s="230"/>
      <c r="CO159" s="179"/>
      <c r="CP159" s="0"/>
      <c r="CQ159" s="0"/>
      <c r="CR159" s="0"/>
      <c r="CS159" s="0"/>
      <c r="CT159" s="0"/>
      <c r="CY159" s="180" t="n">
        <f aca="false">M159</f>
        <v>41306</v>
      </c>
      <c r="CZ159" s="181" t="n">
        <f aca="false">AH159</f>
        <v>0.2</v>
      </c>
      <c r="DA159" s="181" t="n">
        <f aca="false">AI159</f>
        <v>0.25</v>
      </c>
      <c r="DB159" s="181" t="n">
        <f aca="false">AJ159</f>
        <v>0.3</v>
      </c>
      <c r="DD159" s="181" t="n">
        <f aca="false">Z159</f>
        <v>0.16</v>
      </c>
      <c r="DE159" s="181" t="n">
        <f aca="false">AA159</f>
        <v>0.2</v>
      </c>
      <c r="DF159" s="181" t="n">
        <f aca="false">AB159</f>
        <v>0.24</v>
      </c>
      <c r="DH159" s="180" t="n">
        <f aca="false">BH159</f>
        <v>41306</v>
      </c>
      <c r="DI159" s="135" t="n">
        <f aca="false">BI159</f>
        <v>0.75</v>
      </c>
      <c r="DL159" s="180" t="n">
        <f aca="false">M159</f>
        <v>41306</v>
      </c>
      <c r="DM159" s="181" t="n">
        <f aca="false">AL159</f>
        <v>0.12</v>
      </c>
      <c r="DN159" s="181" t="n">
        <f aca="false">AM159</f>
        <v>0.15</v>
      </c>
      <c r="DO159" s="181" t="n">
        <f aca="false">AN159</f>
        <v>0.18</v>
      </c>
      <c r="DQ159" s="181" t="n">
        <f aca="false">AD159</f>
        <v>0.08</v>
      </c>
      <c r="DR159" s="181" t="n">
        <f aca="false">AE159</f>
        <v>0.1</v>
      </c>
      <c r="DS159" s="181" t="n">
        <f aca="false">AF159</f>
        <v>0.12</v>
      </c>
    </row>
    <row r="160" customFormat="false" ht="12.75" hidden="false" customHeight="false" outlineLevel="0" collapsed="false">
      <c r="A160" s="145" t="n">
        <f aca="false">EOMONTH(A159,0)+1</f>
        <v>50406</v>
      </c>
      <c r="B160" s="135" t="n">
        <f aca="false">'Gas Curves'!C164</f>
        <v>0.0639422169821988</v>
      </c>
      <c r="C160" s="135"/>
      <c r="D160" s="173" t="n">
        <v>40452</v>
      </c>
      <c r="E160" s="174" t="n">
        <v>31.8615688085556</v>
      </c>
      <c r="F160" s="174" t="n">
        <v>33.3615688085556</v>
      </c>
      <c r="G160" s="174" t="n">
        <v>34.8615688085556</v>
      </c>
      <c r="H160" s="159"/>
      <c r="I160" s="174" t="n">
        <v>19.540002822876</v>
      </c>
      <c r="J160" s="174" t="n">
        <v>19.540002822876</v>
      </c>
      <c r="K160" s="174" t="n">
        <v>19.540002822876</v>
      </c>
      <c r="L160" s="141"/>
      <c r="M160" s="142" t="n">
        <v>41334</v>
      </c>
      <c r="N160" s="175" t="n">
        <v>25.5</v>
      </c>
      <c r="O160" s="175" t="n">
        <v>25.5</v>
      </c>
      <c r="P160" s="175" t="n">
        <v>25.5</v>
      </c>
      <c r="Q160" s="62"/>
      <c r="R160" s="175" t="n">
        <v>20</v>
      </c>
      <c r="S160" s="175" t="n">
        <v>20</v>
      </c>
      <c r="T160" s="175" t="n">
        <v>20</v>
      </c>
      <c r="U160" s="62"/>
      <c r="V160" s="175" t="n">
        <v>0</v>
      </c>
      <c r="W160" s="175" t="n">
        <v>0</v>
      </c>
      <c r="X160" s="175" t="n">
        <v>0</v>
      </c>
      <c r="Y160" s="62"/>
      <c r="Z160" s="175" t="n">
        <v>0.16</v>
      </c>
      <c r="AA160" s="175" t="n">
        <v>0.2</v>
      </c>
      <c r="AB160" s="175" t="n">
        <v>0.24</v>
      </c>
      <c r="AC160" s="62"/>
      <c r="AD160" s="175" t="n">
        <v>0.08</v>
      </c>
      <c r="AE160" s="175" t="n">
        <v>0.1</v>
      </c>
      <c r="AF160" s="175" t="n">
        <v>0.12</v>
      </c>
      <c r="AG160" s="62"/>
      <c r="AH160" s="175" t="n">
        <v>0.2</v>
      </c>
      <c r="AI160" s="175" t="n">
        <v>0.25</v>
      </c>
      <c r="AJ160" s="175" t="n">
        <v>0.3</v>
      </c>
      <c r="AK160" s="62"/>
      <c r="AL160" s="175" t="n">
        <v>0.12</v>
      </c>
      <c r="AM160" s="175" t="n">
        <v>0.15</v>
      </c>
      <c r="AN160" s="175" t="n">
        <v>0.18</v>
      </c>
      <c r="AO160" s="62"/>
      <c r="AP160" s="141" t="n">
        <v>48</v>
      </c>
      <c r="AQ160" s="176" t="n">
        <v>0.4</v>
      </c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142" t="n">
        <v>41334</v>
      </c>
      <c r="BI160" s="178" t="n">
        <v>0.75</v>
      </c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0"/>
      <c r="CM160" s="230"/>
      <c r="CN160" s="230"/>
      <c r="CO160" s="179"/>
      <c r="CP160" s="0"/>
      <c r="CQ160" s="0"/>
      <c r="CR160" s="0"/>
      <c r="CS160" s="0"/>
      <c r="CT160" s="0"/>
      <c r="CY160" s="180" t="n">
        <f aca="false">M160</f>
        <v>41334</v>
      </c>
      <c r="CZ160" s="181" t="n">
        <f aca="false">AH160</f>
        <v>0.2</v>
      </c>
      <c r="DA160" s="181" t="n">
        <f aca="false">AI160</f>
        <v>0.25</v>
      </c>
      <c r="DB160" s="181" t="n">
        <f aca="false">AJ160</f>
        <v>0.3</v>
      </c>
      <c r="DD160" s="181" t="n">
        <f aca="false">Z160</f>
        <v>0.16</v>
      </c>
      <c r="DE160" s="181" t="n">
        <f aca="false">AA160</f>
        <v>0.2</v>
      </c>
      <c r="DF160" s="181" t="n">
        <f aca="false">AB160</f>
        <v>0.24</v>
      </c>
      <c r="DH160" s="180" t="n">
        <f aca="false">BH160</f>
        <v>41334</v>
      </c>
      <c r="DI160" s="135" t="n">
        <f aca="false">BI160</f>
        <v>0.75</v>
      </c>
      <c r="DL160" s="180" t="n">
        <f aca="false">M160</f>
        <v>41334</v>
      </c>
      <c r="DM160" s="181" t="n">
        <f aca="false">AL160</f>
        <v>0.12</v>
      </c>
      <c r="DN160" s="181" t="n">
        <f aca="false">AM160</f>
        <v>0.15</v>
      </c>
      <c r="DO160" s="181" t="n">
        <f aca="false">AN160</f>
        <v>0.18</v>
      </c>
      <c r="DQ160" s="181" t="n">
        <f aca="false">AD160</f>
        <v>0.08</v>
      </c>
      <c r="DR160" s="181" t="n">
        <f aca="false">AE160</f>
        <v>0.1</v>
      </c>
      <c r="DS160" s="181" t="n">
        <f aca="false">AF160</f>
        <v>0.12</v>
      </c>
    </row>
    <row r="161" customFormat="false" ht="12.75" hidden="false" customHeight="false" outlineLevel="0" collapsed="false">
      <c r="A161" s="145" t="n">
        <f aca="false">EOMONTH(A160,0)+1</f>
        <v>50437</v>
      </c>
      <c r="B161" s="135" t="n">
        <f aca="false">'Gas Curves'!C165</f>
        <v>0.0639804408524229</v>
      </c>
      <c r="C161" s="135"/>
      <c r="D161" s="173" t="n">
        <v>40483</v>
      </c>
      <c r="E161" s="174" t="n">
        <v>31.9615672826767</v>
      </c>
      <c r="F161" s="174" t="n">
        <v>33.4615672826767</v>
      </c>
      <c r="G161" s="174" t="n">
        <v>34.9615672826767</v>
      </c>
      <c r="H161" s="159"/>
      <c r="I161" s="174" t="n">
        <v>20.5400009155273</v>
      </c>
      <c r="J161" s="174" t="n">
        <v>20.5400009155273</v>
      </c>
      <c r="K161" s="174" t="n">
        <v>20.5400009155273</v>
      </c>
      <c r="L161" s="141"/>
      <c r="M161" s="142" t="n">
        <v>41365</v>
      </c>
      <c r="N161" s="175" t="n">
        <v>22</v>
      </c>
      <c r="O161" s="175" t="n">
        <v>22</v>
      </c>
      <c r="P161" s="175" t="n">
        <v>22</v>
      </c>
      <c r="Q161" s="62"/>
      <c r="R161" s="175" t="n">
        <v>16.4950008392334</v>
      </c>
      <c r="S161" s="175" t="n">
        <v>16.4950008392334</v>
      </c>
      <c r="T161" s="175" t="n">
        <v>16.4950008392334</v>
      </c>
      <c r="U161" s="62"/>
      <c r="V161" s="175" t="n">
        <v>0</v>
      </c>
      <c r="W161" s="175" t="n">
        <v>0</v>
      </c>
      <c r="X161" s="175" t="n">
        <v>0</v>
      </c>
      <c r="Y161" s="62"/>
      <c r="Z161" s="175" t="n">
        <v>0.16</v>
      </c>
      <c r="AA161" s="175" t="n">
        <v>0.2</v>
      </c>
      <c r="AB161" s="175" t="n">
        <v>0.24</v>
      </c>
      <c r="AC161" s="62"/>
      <c r="AD161" s="175" t="n">
        <v>0.08</v>
      </c>
      <c r="AE161" s="175" t="n">
        <v>0.1</v>
      </c>
      <c r="AF161" s="175" t="n">
        <v>0.12</v>
      </c>
      <c r="AG161" s="62"/>
      <c r="AH161" s="175" t="n">
        <v>0.2</v>
      </c>
      <c r="AI161" s="175" t="n">
        <v>0.25</v>
      </c>
      <c r="AJ161" s="175" t="n">
        <v>0.3</v>
      </c>
      <c r="AK161" s="62"/>
      <c r="AL161" s="175" t="n">
        <v>0.12</v>
      </c>
      <c r="AM161" s="175" t="n">
        <v>0.15</v>
      </c>
      <c r="AN161" s="175" t="n">
        <v>0.18</v>
      </c>
      <c r="AO161" s="62"/>
      <c r="AP161" s="141" t="n">
        <v>48</v>
      </c>
      <c r="AQ161" s="176" t="n">
        <v>0.4</v>
      </c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142" t="n">
        <v>41365</v>
      </c>
      <c r="BI161" s="178" t="n">
        <v>0.75</v>
      </c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0"/>
      <c r="CM161" s="230"/>
      <c r="CN161" s="230"/>
      <c r="CO161" s="179"/>
      <c r="CP161" s="0"/>
      <c r="CQ161" s="0"/>
      <c r="CR161" s="0"/>
      <c r="CS161" s="0"/>
      <c r="CT161" s="0"/>
      <c r="CY161" s="180" t="n">
        <f aca="false">M161</f>
        <v>41365</v>
      </c>
      <c r="CZ161" s="181" t="n">
        <f aca="false">AH161</f>
        <v>0.2</v>
      </c>
      <c r="DA161" s="181" t="n">
        <f aca="false">AI161</f>
        <v>0.25</v>
      </c>
      <c r="DB161" s="181" t="n">
        <f aca="false">AJ161</f>
        <v>0.3</v>
      </c>
      <c r="DD161" s="181" t="n">
        <f aca="false">Z161</f>
        <v>0.16</v>
      </c>
      <c r="DE161" s="181" t="n">
        <f aca="false">AA161</f>
        <v>0.2</v>
      </c>
      <c r="DF161" s="181" t="n">
        <f aca="false">AB161</f>
        <v>0.24</v>
      </c>
      <c r="DH161" s="180" t="n">
        <f aca="false">BH161</f>
        <v>41365</v>
      </c>
      <c r="DI161" s="135" t="n">
        <f aca="false">BI161</f>
        <v>0.75</v>
      </c>
      <c r="DL161" s="180" t="n">
        <f aca="false">M161</f>
        <v>41365</v>
      </c>
      <c r="DM161" s="181" t="n">
        <f aca="false">AL161</f>
        <v>0.12</v>
      </c>
      <c r="DN161" s="181" t="n">
        <f aca="false">AM161</f>
        <v>0.15</v>
      </c>
      <c r="DO161" s="181" t="n">
        <f aca="false">AN161</f>
        <v>0.18</v>
      </c>
      <c r="DQ161" s="181" t="n">
        <f aca="false">AD161</f>
        <v>0.08</v>
      </c>
      <c r="DR161" s="181" t="n">
        <f aca="false">AE161</f>
        <v>0.1</v>
      </c>
      <c r="DS161" s="181" t="n">
        <f aca="false">AF161</f>
        <v>0.12</v>
      </c>
    </row>
    <row r="162" customFormat="false" ht="12.75" hidden="false" customHeight="false" outlineLevel="0" collapsed="false">
      <c r="A162" s="145" t="n">
        <f aca="false">EOMONTH(A161,0)+1</f>
        <v>50465</v>
      </c>
      <c r="B162" s="135" t="n">
        <f aca="false">'Gas Curves'!C166</f>
        <v>0.0640174316950368</v>
      </c>
      <c r="C162" s="135"/>
      <c r="D162" s="173" t="n">
        <v>40513</v>
      </c>
      <c r="E162" s="174" t="n">
        <v>32.0615657567978</v>
      </c>
      <c r="F162" s="174" t="n">
        <v>33.5615657567978</v>
      </c>
      <c r="G162" s="174" t="n">
        <v>35.0615657567978</v>
      </c>
      <c r="H162" s="159"/>
      <c r="I162" s="174" t="n">
        <v>22.7900009155273</v>
      </c>
      <c r="J162" s="174" t="n">
        <v>22.7900009155273</v>
      </c>
      <c r="K162" s="174" t="n">
        <v>22.7900009155273</v>
      </c>
      <c r="L162" s="141"/>
      <c r="M162" s="142" t="n">
        <v>41395</v>
      </c>
      <c r="N162" s="175" t="n">
        <v>22.2900009155273</v>
      </c>
      <c r="O162" s="175" t="n">
        <v>22.2900009155273</v>
      </c>
      <c r="P162" s="175" t="n">
        <v>22.2900009155273</v>
      </c>
      <c r="Q162" s="62"/>
      <c r="R162" s="175" t="n">
        <v>15.7950000762939</v>
      </c>
      <c r="S162" s="175" t="n">
        <v>15.7950000762939</v>
      </c>
      <c r="T162" s="175" t="n">
        <v>15.7950000762939</v>
      </c>
      <c r="U162" s="62"/>
      <c r="V162" s="175" t="n">
        <v>0</v>
      </c>
      <c r="W162" s="175" t="n">
        <v>0</v>
      </c>
      <c r="X162" s="175" t="n">
        <v>0</v>
      </c>
      <c r="Y162" s="62"/>
      <c r="Z162" s="175" t="n">
        <v>0.16</v>
      </c>
      <c r="AA162" s="175" t="n">
        <v>0.2</v>
      </c>
      <c r="AB162" s="175" t="n">
        <v>0.24</v>
      </c>
      <c r="AC162" s="62"/>
      <c r="AD162" s="175" t="n">
        <v>0.08</v>
      </c>
      <c r="AE162" s="175" t="n">
        <v>0.1</v>
      </c>
      <c r="AF162" s="175" t="n">
        <v>0.12</v>
      </c>
      <c r="AG162" s="62"/>
      <c r="AH162" s="175" t="n">
        <v>0.2</v>
      </c>
      <c r="AI162" s="175" t="n">
        <v>0.25</v>
      </c>
      <c r="AJ162" s="175" t="n">
        <v>0.3</v>
      </c>
      <c r="AK162" s="62"/>
      <c r="AL162" s="175" t="n">
        <v>0.12</v>
      </c>
      <c r="AM162" s="175" t="n">
        <v>0.15</v>
      </c>
      <c r="AN162" s="175" t="n">
        <v>0.18</v>
      </c>
      <c r="AO162" s="62"/>
      <c r="AP162" s="141" t="n">
        <v>48</v>
      </c>
      <c r="AQ162" s="176" t="n">
        <v>0.4</v>
      </c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142" t="n">
        <v>41395</v>
      </c>
      <c r="BI162" s="178" t="n">
        <v>0.75</v>
      </c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0"/>
      <c r="CM162" s="230"/>
      <c r="CN162" s="230"/>
      <c r="CO162" s="179"/>
      <c r="CP162" s="0"/>
      <c r="CQ162" s="0"/>
      <c r="CR162" s="0"/>
      <c r="CS162" s="0"/>
      <c r="CT162" s="0"/>
      <c r="CY162" s="180" t="n">
        <f aca="false">M162</f>
        <v>41395</v>
      </c>
      <c r="CZ162" s="181" t="n">
        <f aca="false">AH162</f>
        <v>0.2</v>
      </c>
      <c r="DA162" s="181" t="n">
        <f aca="false">AI162</f>
        <v>0.25</v>
      </c>
      <c r="DB162" s="181" t="n">
        <f aca="false">AJ162</f>
        <v>0.3</v>
      </c>
      <c r="DD162" s="181" t="n">
        <f aca="false">Z162</f>
        <v>0.16</v>
      </c>
      <c r="DE162" s="181" t="n">
        <f aca="false">AA162</f>
        <v>0.2</v>
      </c>
      <c r="DF162" s="181" t="n">
        <f aca="false">AB162</f>
        <v>0.24</v>
      </c>
      <c r="DH162" s="180" t="n">
        <f aca="false">BH162</f>
        <v>41395</v>
      </c>
      <c r="DI162" s="135" t="n">
        <f aca="false">BI162</f>
        <v>0.75</v>
      </c>
      <c r="DL162" s="180" t="n">
        <f aca="false">M162</f>
        <v>41395</v>
      </c>
      <c r="DM162" s="181" t="n">
        <f aca="false">AL162</f>
        <v>0.12</v>
      </c>
      <c r="DN162" s="181" t="n">
        <f aca="false">AM162</f>
        <v>0.15</v>
      </c>
      <c r="DO162" s="181" t="n">
        <f aca="false">AN162</f>
        <v>0.18</v>
      </c>
      <c r="DQ162" s="181" t="n">
        <f aca="false">AD162</f>
        <v>0.08</v>
      </c>
      <c r="DR162" s="181" t="n">
        <f aca="false">AE162</f>
        <v>0.1</v>
      </c>
      <c r="DS162" s="181" t="n">
        <f aca="false">AF162</f>
        <v>0.12</v>
      </c>
    </row>
    <row r="163" customFormat="false" ht="12.75" hidden="false" customHeight="false" outlineLevel="0" collapsed="false">
      <c r="A163" s="145" t="n">
        <f aca="false">EOMONTH(A162,0)+1</f>
        <v>50496</v>
      </c>
      <c r="B163" s="135" t="n">
        <f aca="false">'Gas Curves'!C167</f>
        <v>0.0640556555662148</v>
      </c>
      <c r="C163" s="135"/>
      <c r="D163" s="173" t="n">
        <v>40544</v>
      </c>
      <c r="E163" s="174" t="n">
        <v>35.4957144601004</v>
      </c>
      <c r="F163" s="174" t="n">
        <v>36.9957144601004</v>
      </c>
      <c r="G163" s="174" t="n">
        <v>38.4957144601004</v>
      </c>
      <c r="H163" s="159"/>
      <c r="I163" s="174" t="n">
        <v>25</v>
      </c>
      <c r="J163" s="174" t="n">
        <v>25</v>
      </c>
      <c r="K163" s="174" t="n">
        <v>25</v>
      </c>
      <c r="L163" s="141"/>
      <c r="M163" s="142" t="n">
        <v>41426</v>
      </c>
      <c r="N163" s="175" t="n">
        <v>29.2900009155273</v>
      </c>
      <c r="O163" s="175" t="n">
        <v>29.2900009155273</v>
      </c>
      <c r="P163" s="175" t="n">
        <v>29.2900009155273</v>
      </c>
      <c r="Q163" s="62"/>
      <c r="R163" s="175" t="n">
        <v>19.7900009155273</v>
      </c>
      <c r="S163" s="175" t="n">
        <v>19.7900009155273</v>
      </c>
      <c r="T163" s="175" t="n">
        <v>19.7900009155273</v>
      </c>
      <c r="U163" s="62"/>
      <c r="V163" s="175" t="n">
        <v>0</v>
      </c>
      <c r="W163" s="175" t="n">
        <v>0</v>
      </c>
      <c r="X163" s="175" t="n">
        <v>0</v>
      </c>
      <c r="Y163" s="62"/>
      <c r="Z163" s="175" t="n">
        <v>0.16</v>
      </c>
      <c r="AA163" s="175" t="n">
        <v>0.2</v>
      </c>
      <c r="AB163" s="175" t="n">
        <v>0.24</v>
      </c>
      <c r="AC163" s="62"/>
      <c r="AD163" s="175" t="n">
        <v>0.08</v>
      </c>
      <c r="AE163" s="175" t="n">
        <v>0.1</v>
      </c>
      <c r="AF163" s="175" t="n">
        <v>0.12</v>
      </c>
      <c r="AG163" s="62"/>
      <c r="AH163" s="175" t="n">
        <v>0.2</v>
      </c>
      <c r="AI163" s="175" t="n">
        <v>0.25</v>
      </c>
      <c r="AJ163" s="175" t="n">
        <v>0.3</v>
      </c>
      <c r="AK163" s="62"/>
      <c r="AL163" s="175" t="n">
        <v>0.12</v>
      </c>
      <c r="AM163" s="175" t="n">
        <v>0.15</v>
      </c>
      <c r="AN163" s="175" t="n">
        <v>0.18</v>
      </c>
      <c r="AO163" s="62"/>
      <c r="AP163" s="141" t="n">
        <v>49</v>
      </c>
      <c r="AQ163" s="176" t="n">
        <v>0.4</v>
      </c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142" t="n">
        <v>41426</v>
      </c>
      <c r="BI163" s="178" t="n">
        <v>0.75</v>
      </c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0"/>
      <c r="CM163" s="230"/>
      <c r="CN163" s="230"/>
      <c r="CO163" s="179"/>
      <c r="CP163" s="0"/>
      <c r="CQ163" s="0"/>
      <c r="CR163" s="0"/>
      <c r="CS163" s="0"/>
      <c r="CT163" s="0"/>
      <c r="CY163" s="180" t="n">
        <f aca="false">M163</f>
        <v>41426</v>
      </c>
      <c r="CZ163" s="181" t="n">
        <f aca="false">AH163</f>
        <v>0.2</v>
      </c>
      <c r="DA163" s="181" t="n">
        <f aca="false">AI163</f>
        <v>0.25</v>
      </c>
      <c r="DB163" s="181" t="n">
        <f aca="false">AJ163</f>
        <v>0.3</v>
      </c>
      <c r="DD163" s="181" t="n">
        <f aca="false">Z163</f>
        <v>0.16</v>
      </c>
      <c r="DE163" s="181" t="n">
        <f aca="false">AA163</f>
        <v>0.2</v>
      </c>
      <c r="DF163" s="181" t="n">
        <f aca="false">AB163</f>
        <v>0.24</v>
      </c>
      <c r="DH163" s="180" t="n">
        <f aca="false">BH163</f>
        <v>41426</v>
      </c>
      <c r="DI163" s="135" t="n">
        <f aca="false">BI163</f>
        <v>0.75</v>
      </c>
      <c r="DL163" s="180" t="n">
        <f aca="false">M163</f>
        <v>41426</v>
      </c>
      <c r="DM163" s="181" t="n">
        <f aca="false">AL163</f>
        <v>0.12</v>
      </c>
      <c r="DN163" s="181" t="n">
        <f aca="false">AM163</f>
        <v>0.15</v>
      </c>
      <c r="DO163" s="181" t="n">
        <f aca="false">AN163</f>
        <v>0.18</v>
      </c>
      <c r="DQ163" s="181" t="n">
        <f aca="false">AD163</f>
        <v>0.08</v>
      </c>
      <c r="DR163" s="181" t="n">
        <f aca="false">AE163</f>
        <v>0.1</v>
      </c>
      <c r="DS163" s="181" t="n">
        <f aca="false">AF163</f>
        <v>0.12</v>
      </c>
    </row>
    <row r="164" customFormat="false" ht="12.75" hidden="false" customHeight="false" outlineLevel="0" collapsed="false">
      <c r="A164" s="145" t="n">
        <f aca="false">EOMONTH(A163,0)+1</f>
        <v>50526</v>
      </c>
      <c r="B164" s="135" t="n">
        <f aca="false">'Gas Curves'!C168</f>
        <v>0.0640926464097515</v>
      </c>
      <c r="C164" s="135"/>
      <c r="D164" s="173" t="n">
        <v>40575</v>
      </c>
      <c r="E164" s="174" t="n">
        <v>34.8957121712821</v>
      </c>
      <c r="F164" s="174" t="n">
        <v>36.3957121712821</v>
      </c>
      <c r="G164" s="174" t="n">
        <v>37.8957121712821</v>
      </c>
      <c r="H164" s="159"/>
      <c r="I164" s="174" t="n">
        <v>23.5</v>
      </c>
      <c r="J164" s="174" t="n">
        <v>23.5</v>
      </c>
      <c r="K164" s="174" t="n">
        <v>23.5</v>
      </c>
      <c r="L164" s="141"/>
      <c r="M164" s="142" t="n">
        <v>41456</v>
      </c>
      <c r="N164" s="175" t="n">
        <v>35.2900009155273</v>
      </c>
      <c r="O164" s="175" t="n">
        <v>35.2900009155273</v>
      </c>
      <c r="P164" s="175" t="n">
        <v>35.2900009155273</v>
      </c>
      <c r="Q164" s="62"/>
      <c r="R164" s="175" t="n">
        <v>25.7900009155273</v>
      </c>
      <c r="S164" s="175" t="n">
        <v>25.7900009155273</v>
      </c>
      <c r="T164" s="175" t="n">
        <v>25.7900009155273</v>
      </c>
      <c r="U164" s="62"/>
      <c r="V164" s="175" t="n">
        <v>0</v>
      </c>
      <c r="W164" s="175" t="n">
        <v>0</v>
      </c>
      <c r="X164" s="175" t="n">
        <v>0</v>
      </c>
      <c r="Y164" s="62"/>
      <c r="Z164" s="175" t="n">
        <v>0.24</v>
      </c>
      <c r="AA164" s="175" t="n">
        <v>0.3</v>
      </c>
      <c r="AB164" s="175" t="n">
        <v>0.36</v>
      </c>
      <c r="AC164" s="62"/>
      <c r="AD164" s="175" t="n">
        <v>0.12</v>
      </c>
      <c r="AE164" s="175" t="n">
        <v>0.15</v>
      </c>
      <c r="AF164" s="175" t="n">
        <v>0.18</v>
      </c>
      <c r="AG164" s="62"/>
      <c r="AH164" s="175" t="n">
        <v>0.32</v>
      </c>
      <c r="AI164" s="175" t="n">
        <v>0.4</v>
      </c>
      <c r="AJ164" s="175" t="n">
        <v>0.48</v>
      </c>
      <c r="AK164" s="62"/>
      <c r="AL164" s="175" t="n">
        <v>0.192</v>
      </c>
      <c r="AM164" s="175" t="n">
        <v>0.24</v>
      </c>
      <c r="AN164" s="175" t="n">
        <v>0.288</v>
      </c>
      <c r="AO164" s="62"/>
      <c r="AP164" s="141" t="n">
        <v>49</v>
      </c>
      <c r="AQ164" s="176" t="n">
        <v>0.4</v>
      </c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142" t="n">
        <v>41456</v>
      </c>
      <c r="BI164" s="178" t="n">
        <v>0.75</v>
      </c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0"/>
      <c r="CM164" s="230"/>
      <c r="CN164" s="230"/>
      <c r="CO164" s="179"/>
      <c r="CP164" s="0"/>
      <c r="CQ164" s="0"/>
      <c r="CR164" s="0"/>
      <c r="CS164" s="0"/>
      <c r="CT164" s="0"/>
      <c r="CY164" s="180" t="n">
        <f aca="false">M164</f>
        <v>41456</v>
      </c>
      <c r="CZ164" s="181" t="n">
        <f aca="false">AH164</f>
        <v>0.32</v>
      </c>
      <c r="DA164" s="181" t="n">
        <f aca="false">AI164</f>
        <v>0.4</v>
      </c>
      <c r="DB164" s="181" t="n">
        <f aca="false">AJ164</f>
        <v>0.48</v>
      </c>
      <c r="DD164" s="181" t="n">
        <f aca="false">Z164</f>
        <v>0.24</v>
      </c>
      <c r="DE164" s="181" t="n">
        <f aca="false">AA164</f>
        <v>0.3</v>
      </c>
      <c r="DF164" s="181" t="n">
        <f aca="false">AB164</f>
        <v>0.36</v>
      </c>
      <c r="DH164" s="180" t="n">
        <f aca="false">BH164</f>
        <v>41456</v>
      </c>
      <c r="DI164" s="135" t="n">
        <f aca="false">BI164</f>
        <v>0.75</v>
      </c>
      <c r="DL164" s="180" t="n">
        <f aca="false">M164</f>
        <v>41456</v>
      </c>
      <c r="DM164" s="181" t="n">
        <f aca="false">AL164</f>
        <v>0.192</v>
      </c>
      <c r="DN164" s="181" t="n">
        <f aca="false">AM164</f>
        <v>0.24</v>
      </c>
      <c r="DO164" s="181" t="n">
        <f aca="false">AN164</f>
        <v>0.288</v>
      </c>
      <c r="DQ164" s="181" t="n">
        <f aca="false">AD164</f>
        <v>0.12</v>
      </c>
      <c r="DR164" s="181" t="n">
        <f aca="false">AE164</f>
        <v>0.15</v>
      </c>
      <c r="DS164" s="181" t="n">
        <f aca="false">AF164</f>
        <v>0.18</v>
      </c>
    </row>
    <row r="165" customFormat="false" ht="12.75" hidden="false" customHeight="false" outlineLevel="0" collapsed="false">
      <c r="A165" s="145" t="n">
        <f aca="false">EOMONTH(A164,0)+1</f>
        <v>50557</v>
      </c>
      <c r="B165" s="135" t="n">
        <f aca="false">'Gas Curves'!C169</f>
        <v>0.064130870281883</v>
      </c>
      <c r="C165" s="135"/>
      <c r="D165" s="173" t="n">
        <v>40603</v>
      </c>
      <c r="E165" s="174" t="n">
        <v>33.6076808308446</v>
      </c>
      <c r="F165" s="174" t="n">
        <v>35.1076808308446</v>
      </c>
      <c r="G165" s="174" t="n">
        <v>36.6076808308446</v>
      </c>
      <c r="H165" s="159"/>
      <c r="I165" s="174" t="n">
        <v>24.5</v>
      </c>
      <c r="J165" s="174" t="n">
        <v>24.5</v>
      </c>
      <c r="K165" s="174" t="n">
        <v>24.5</v>
      </c>
      <c r="L165" s="141"/>
      <c r="M165" s="142" t="n">
        <v>41487</v>
      </c>
      <c r="N165" s="175" t="n">
        <v>33.2900047302246</v>
      </c>
      <c r="O165" s="175" t="n">
        <v>33.2900047302246</v>
      </c>
      <c r="P165" s="175" t="n">
        <v>33.2900047302246</v>
      </c>
      <c r="Q165" s="62"/>
      <c r="R165" s="175" t="n">
        <v>25.7900009155273</v>
      </c>
      <c r="S165" s="175" t="n">
        <v>25.7900009155273</v>
      </c>
      <c r="T165" s="175" t="n">
        <v>25.7900009155273</v>
      </c>
      <c r="U165" s="62"/>
      <c r="V165" s="175" t="n">
        <v>0</v>
      </c>
      <c r="W165" s="175" t="n">
        <v>0</v>
      </c>
      <c r="X165" s="175" t="n">
        <v>0</v>
      </c>
      <c r="Y165" s="62"/>
      <c r="Z165" s="175" t="n">
        <v>0.24</v>
      </c>
      <c r="AA165" s="175" t="n">
        <v>0.3</v>
      </c>
      <c r="AB165" s="175" t="n">
        <v>0.36</v>
      </c>
      <c r="AC165" s="62"/>
      <c r="AD165" s="175" t="n">
        <v>0.12</v>
      </c>
      <c r="AE165" s="175" t="n">
        <v>0.15</v>
      </c>
      <c r="AF165" s="175" t="n">
        <v>0.18</v>
      </c>
      <c r="AG165" s="62"/>
      <c r="AH165" s="175" t="n">
        <v>0.32</v>
      </c>
      <c r="AI165" s="175" t="n">
        <v>0.4</v>
      </c>
      <c r="AJ165" s="175" t="n">
        <v>0.48</v>
      </c>
      <c r="AK165" s="62"/>
      <c r="AL165" s="175" t="n">
        <v>0.192</v>
      </c>
      <c r="AM165" s="175" t="n">
        <v>0.24</v>
      </c>
      <c r="AN165" s="175" t="n">
        <v>0.288</v>
      </c>
      <c r="AO165" s="62"/>
      <c r="AP165" s="141" t="n">
        <v>49</v>
      </c>
      <c r="AQ165" s="176" t="n">
        <v>0.4</v>
      </c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142" t="n">
        <v>41487</v>
      </c>
      <c r="BI165" s="178" t="n">
        <v>0.75</v>
      </c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0"/>
      <c r="CM165" s="230"/>
      <c r="CN165" s="230"/>
      <c r="CO165" s="179"/>
      <c r="CP165" s="0"/>
      <c r="CQ165" s="0"/>
      <c r="CR165" s="0"/>
      <c r="CS165" s="0"/>
      <c r="CT165" s="0"/>
      <c r="CY165" s="180" t="n">
        <f aca="false">M165</f>
        <v>41487</v>
      </c>
      <c r="CZ165" s="181" t="n">
        <f aca="false">AH165</f>
        <v>0.32</v>
      </c>
      <c r="DA165" s="181" t="n">
        <f aca="false">AI165</f>
        <v>0.4</v>
      </c>
      <c r="DB165" s="181" t="n">
        <f aca="false">AJ165</f>
        <v>0.48</v>
      </c>
      <c r="DD165" s="181" t="n">
        <f aca="false">Z165</f>
        <v>0.24</v>
      </c>
      <c r="DE165" s="181" t="n">
        <f aca="false">AA165</f>
        <v>0.3</v>
      </c>
      <c r="DF165" s="181" t="n">
        <f aca="false">AB165</f>
        <v>0.36</v>
      </c>
      <c r="DH165" s="180" t="n">
        <f aca="false">BH165</f>
        <v>41487</v>
      </c>
      <c r="DI165" s="135" t="n">
        <f aca="false">BI165</f>
        <v>0.75</v>
      </c>
      <c r="DL165" s="180" t="n">
        <f aca="false">M165</f>
        <v>41487</v>
      </c>
      <c r="DM165" s="181" t="n">
        <f aca="false">AL165</f>
        <v>0.192</v>
      </c>
      <c r="DN165" s="181" t="n">
        <f aca="false">AM165</f>
        <v>0.24</v>
      </c>
      <c r="DO165" s="181" t="n">
        <f aca="false">AN165</f>
        <v>0.288</v>
      </c>
      <c r="DQ165" s="181" t="n">
        <f aca="false">AD165</f>
        <v>0.12</v>
      </c>
      <c r="DR165" s="181" t="n">
        <f aca="false">AE165</f>
        <v>0.15</v>
      </c>
      <c r="DS165" s="181" t="n">
        <f aca="false">AF165</f>
        <v>0.18</v>
      </c>
    </row>
    <row r="166" customFormat="false" ht="12.75" hidden="false" customHeight="false" outlineLevel="0" collapsed="false">
      <c r="A166" s="145" t="n">
        <f aca="false">EOMONTH(A165,0)+1</f>
        <v>50587</v>
      </c>
      <c r="B166" s="135" t="n">
        <f aca="false">'Gas Curves'!C170</f>
        <v>0.0641690941544981</v>
      </c>
      <c r="C166" s="135"/>
      <c r="D166" s="173" t="n">
        <v>40634</v>
      </c>
      <c r="E166" s="174" t="n">
        <v>33.8076815937841</v>
      </c>
      <c r="F166" s="174" t="n">
        <v>35.3076815937841</v>
      </c>
      <c r="G166" s="174" t="n">
        <v>36.8076815937841</v>
      </c>
      <c r="H166" s="159"/>
      <c r="I166" s="174" t="n">
        <v>21.5</v>
      </c>
      <c r="J166" s="174" t="n">
        <v>21.5</v>
      </c>
      <c r="K166" s="174" t="n">
        <v>21.5</v>
      </c>
      <c r="L166" s="141"/>
      <c r="M166" s="142" t="n">
        <v>41518</v>
      </c>
      <c r="N166" s="175" t="n">
        <v>25.2900009155273</v>
      </c>
      <c r="O166" s="175" t="n">
        <v>25.2900009155273</v>
      </c>
      <c r="P166" s="175" t="n">
        <v>25.2900009155273</v>
      </c>
      <c r="Q166" s="62"/>
      <c r="R166" s="175" t="n">
        <v>19.7900009155273</v>
      </c>
      <c r="S166" s="175" t="n">
        <v>19.7900009155273</v>
      </c>
      <c r="T166" s="175" t="n">
        <v>19.7900009155273</v>
      </c>
      <c r="U166" s="62"/>
      <c r="V166" s="175" t="n">
        <v>0</v>
      </c>
      <c r="W166" s="175" t="n">
        <v>0</v>
      </c>
      <c r="X166" s="175" t="n">
        <v>0</v>
      </c>
      <c r="Y166" s="62"/>
      <c r="Z166" s="175" t="n">
        <v>0.16</v>
      </c>
      <c r="AA166" s="175" t="n">
        <v>0.2</v>
      </c>
      <c r="AB166" s="175" t="n">
        <v>0.24</v>
      </c>
      <c r="AC166" s="62"/>
      <c r="AD166" s="175" t="n">
        <v>0.08</v>
      </c>
      <c r="AE166" s="175" t="n">
        <v>0.1</v>
      </c>
      <c r="AF166" s="175" t="n">
        <v>0.12</v>
      </c>
      <c r="AG166" s="62"/>
      <c r="AH166" s="175" t="n">
        <v>0.2</v>
      </c>
      <c r="AI166" s="175" t="n">
        <v>0.25</v>
      </c>
      <c r="AJ166" s="175" t="n">
        <v>0.3</v>
      </c>
      <c r="AK166" s="62"/>
      <c r="AL166" s="175" t="n">
        <v>0.12</v>
      </c>
      <c r="AM166" s="175" t="n">
        <v>0.15</v>
      </c>
      <c r="AN166" s="175" t="n">
        <v>0.18</v>
      </c>
      <c r="AO166" s="62"/>
      <c r="AP166" s="141" t="n">
        <v>50</v>
      </c>
      <c r="AQ166" s="176" t="n">
        <v>0.4</v>
      </c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142" t="n">
        <v>41518</v>
      </c>
      <c r="BI166" s="178" t="n">
        <v>0.75</v>
      </c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0"/>
      <c r="CM166" s="230"/>
      <c r="CN166" s="230"/>
      <c r="CO166" s="179"/>
      <c r="CP166" s="0"/>
      <c r="CQ166" s="0"/>
      <c r="CR166" s="0"/>
      <c r="CS166" s="0"/>
      <c r="CT166" s="0"/>
      <c r="CY166" s="180" t="n">
        <f aca="false">M166</f>
        <v>41518</v>
      </c>
      <c r="CZ166" s="181" t="n">
        <f aca="false">AH166</f>
        <v>0.2</v>
      </c>
      <c r="DA166" s="181" t="n">
        <f aca="false">AI166</f>
        <v>0.25</v>
      </c>
      <c r="DB166" s="181" t="n">
        <f aca="false">AJ166</f>
        <v>0.3</v>
      </c>
      <c r="DD166" s="181" t="n">
        <f aca="false">Z166</f>
        <v>0.16</v>
      </c>
      <c r="DE166" s="181" t="n">
        <f aca="false">AA166</f>
        <v>0.2</v>
      </c>
      <c r="DF166" s="181" t="n">
        <f aca="false">AB166</f>
        <v>0.24</v>
      </c>
      <c r="DH166" s="180" t="n">
        <f aca="false">BH166</f>
        <v>41518</v>
      </c>
      <c r="DI166" s="135" t="n">
        <f aca="false">BI166</f>
        <v>0.75</v>
      </c>
      <c r="DL166" s="180" t="n">
        <f aca="false">M166</f>
        <v>41518</v>
      </c>
      <c r="DM166" s="181" t="n">
        <f aca="false">AL166</f>
        <v>0.12</v>
      </c>
      <c r="DN166" s="181" t="n">
        <f aca="false">AM166</f>
        <v>0.15</v>
      </c>
      <c r="DO166" s="181" t="n">
        <f aca="false">AN166</f>
        <v>0.18</v>
      </c>
      <c r="DQ166" s="181" t="n">
        <f aca="false">AD166</f>
        <v>0.08</v>
      </c>
      <c r="DR166" s="181" t="n">
        <f aca="false">AE166</f>
        <v>0.1</v>
      </c>
      <c r="DS166" s="181" t="n">
        <f aca="false">AF166</f>
        <v>0.12</v>
      </c>
    </row>
    <row r="167" customFormat="false" ht="12.75" hidden="false" customHeight="false" outlineLevel="0" collapsed="false">
      <c r="A167" s="145" t="n">
        <f aca="false">EOMONTH(A166,0)+1</f>
        <v>50618</v>
      </c>
      <c r="B167" s="135" t="n">
        <f aca="false">'Gas Curves'!C171</f>
        <v>0.0642036189430839</v>
      </c>
      <c r="C167" s="135"/>
      <c r="D167" s="173" t="n">
        <v>40664</v>
      </c>
      <c r="E167" s="174" t="n">
        <v>38.8850028991699</v>
      </c>
      <c r="F167" s="174" t="n">
        <v>41.0850028991699</v>
      </c>
      <c r="G167" s="174" t="n">
        <v>43.2850028991699</v>
      </c>
      <c r="H167" s="159"/>
      <c r="I167" s="174" t="n">
        <v>22.0400009155273</v>
      </c>
      <c r="J167" s="174" t="n">
        <v>22.0400009155273</v>
      </c>
      <c r="K167" s="174" t="n">
        <v>22.0400009155273</v>
      </c>
      <c r="L167" s="141"/>
      <c r="M167" s="142" t="n">
        <v>41548</v>
      </c>
      <c r="N167" s="175" t="n">
        <v>20.2860012054443</v>
      </c>
      <c r="O167" s="175" t="n">
        <v>20.2860012054443</v>
      </c>
      <c r="P167" s="175" t="n">
        <v>20.2860012054443</v>
      </c>
      <c r="Q167" s="62"/>
      <c r="R167" s="175" t="n">
        <v>14.7865009307861</v>
      </c>
      <c r="S167" s="175" t="n">
        <v>14.7865009307861</v>
      </c>
      <c r="T167" s="175" t="n">
        <v>14.7865009307861</v>
      </c>
      <c r="U167" s="62"/>
      <c r="V167" s="175" t="n">
        <v>0</v>
      </c>
      <c r="W167" s="175" t="n">
        <v>0</v>
      </c>
      <c r="X167" s="175" t="n">
        <v>0</v>
      </c>
      <c r="Y167" s="62"/>
      <c r="Z167" s="175" t="n">
        <v>0.16</v>
      </c>
      <c r="AA167" s="175" t="n">
        <v>0.2</v>
      </c>
      <c r="AB167" s="175" t="n">
        <v>0.24</v>
      </c>
      <c r="AC167" s="62"/>
      <c r="AD167" s="175" t="n">
        <v>0.08</v>
      </c>
      <c r="AE167" s="175" t="n">
        <v>0.1</v>
      </c>
      <c r="AF167" s="175" t="n">
        <v>0.12</v>
      </c>
      <c r="AG167" s="62"/>
      <c r="AH167" s="175" t="n">
        <v>0.2</v>
      </c>
      <c r="AI167" s="175" t="n">
        <v>0.25</v>
      </c>
      <c r="AJ167" s="175" t="n">
        <v>0.3</v>
      </c>
      <c r="AK167" s="62"/>
      <c r="AL167" s="175" t="n">
        <v>0.12</v>
      </c>
      <c r="AM167" s="175" t="n">
        <v>0.15</v>
      </c>
      <c r="AN167" s="175" t="n">
        <v>0.18</v>
      </c>
      <c r="AO167" s="62"/>
      <c r="AP167" s="141" t="n">
        <v>50</v>
      </c>
      <c r="AQ167" s="176" t="n">
        <v>0.4</v>
      </c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142" t="n">
        <v>41548</v>
      </c>
      <c r="BI167" s="178" t="n">
        <v>0.75</v>
      </c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0"/>
      <c r="CM167" s="230"/>
      <c r="CN167" s="230"/>
      <c r="CO167" s="179"/>
      <c r="CP167" s="0"/>
      <c r="CQ167" s="0"/>
      <c r="CR167" s="0"/>
      <c r="CS167" s="0"/>
      <c r="CT167" s="0"/>
      <c r="CY167" s="180" t="n">
        <f aca="false">M167</f>
        <v>41548</v>
      </c>
      <c r="CZ167" s="181" t="n">
        <f aca="false">AH167</f>
        <v>0.2</v>
      </c>
      <c r="DA167" s="181" t="n">
        <f aca="false">AI167</f>
        <v>0.25</v>
      </c>
      <c r="DB167" s="181" t="n">
        <f aca="false">AJ167</f>
        <v>0.3</v>
      </c>
      <c r="DD167" s="181" t="n">
        <f aca="false">Z167</f>
        <v>0.16</v>
      </c>
      <c r="DE167" s="181" t="n">
        <f aca="false">AA167</f>
        <v>0.2</v>
      </c>
      <c r="DF167" s="181" t="n">
        <f aca="false">AB167</f>
        <v>0.24</v>
      </c>
      <c r="DH167" s="180" t="n">
        <f aca="false">BH167</f>
        <v>41548</v>
      </c>
      <c r="DI167" s="135" t="n">
        <f aca="false">BI167</f>
        <v>0.75</v>
      </c>
      <c r="DL167" s="180" t="n">
        <f aca="false">M167</f>
        <v>41548</v>
      </c>
      <c r="DM167" s="181" t="n">
        <f aca="false">AL167</f>
        <v>0.12</v>
      </c>
      <c r="DN167" s="181" t="n">
        <f aca="false">AM167</f>
        <v>0.15</v>
      </c>
      <c r="DO167" s="181" t="n">
        <f aca="false">AN167</f>
        <v>0.18</v>
      </c>
      <c r="DQ167" s="181" t="n">
        <f aca="false">AD167</f>
        <v>0.08</v>
      </c>
      <c r="DR167" s="181" t="n">
        <f aca="false">AE167</f>
        <v>0.1</v>
      </c>
      <c r="DS167" s="181" t="n">
        <f aca="false">AF167</f>
        <v>0.12</v>
      </c>
    </row>
    <row r="168" customFormat="false" ht="12.75" hidden="false" customHeight="false" outlineLevel="0" collapsed="false">
      <c r="A168" s="145" t="n">
        <f aca="false">EOMONTH(A167,0)+1</f>
        <v>50649</v>
      </c>
      <c r="B168" s="135" t="n">
        <f aca="false">'Gas Curves'!C172</f>
        <v>0.0642418428166214</v>
      </c>
      <c r="C168" s="135"/>
      <c r="D168" s="173" t="n">
        <v>40695</v>
      </c>
      <c r="E168" s="174" t="n">
        <v>44.6250038146973</v>
      </c>
      <c r="F168" s="174" t="n">
        <v>49.6250038146973</v>
      </c>
      <c r="G168" s="174" t="n">
        <v>54.6250038146973</v>
      </c>
      <c r="H168" s="159"/>
      <c r="I168" s="174" t="n">
        <v>25.0400009155273</v>
      </c>
      <c r="J168" s="174" t="n">
        <v>25.0400009155273</v>
      </c>
      <c r="K168" s="174" t="n">
        <v>25.0400009155273</v>
      </c>
      <c r="L168" s="141"/>
      <c r="M168" s="142" t="n">
        <v>41579</v>
      </c>
      <c r="N168" s="175" t="n">
        <v>22.2900009155273</v>
      </c>
      <c r="O168" s="175" t="n">
        <v>22.2900009155273</v>
      </c>
      <c r="P168" s="175" t="n">
        <v>22.2900009155273</v>
      </c>
      <c r="Q168" s="62"/>
      <c r="R168" s="175" t="n">
        <v>14.7900009155273</v>
      </c>
      <c r="S168" s="175" t="n">
        <v>14.7900009155273</v>
      </c>
      <c r="T168" s="175" t="n">
        <v>14.7900009155273</v>
      </c>
      <c r="U168" s="62"/>
      <c r="V168" s="175" t="n">
        <v>0</v>
      </c>
      <c r="W168" s="175" t="n">
        <v>0</v>
      </c>
      <c r="X168" s="175" t="n">
        <v>0</v>
      </c>
      <c r="Y168" s="62"/>
      <c r="Z168" s="175" t="n">
        <v>0.16</v>
      </c>
      <c r="AA168" s="175" t="n">
        <v>0.2</v>
      </c>
      <c r="AB168" s="175" t="n">
        <v>0.24</v>
      </c>
      <c r="AC168" s="62"/>
      <c r="AD168" s="175" t="n">
        <v>0.08</v>
      </c>
      <c r="AE168" s="175" t="n">
        <v>0.1</v>
      </c>
      <c r="AF168" s="175" t="n">
        <v>0.12</v>
      </c>
      <c r="AG168" s="62"/>
      <c r="AH168" s="175" t="n">
        <v>0.2</v>
      </c>
      <c r="AI168" s="175" t="n">
        <v>0.25</v>
      </c>
      <c r="AJ168" s="175" t="n">
        <v>0.3</v>
      </c>
      <c r="AK168" s="62"/>
      <c r="AL168" s="175" t="n">
        <v>0.12</v>
      </c>
      <c r="AM168" s="175" t="n">
        <v>0.15</v>
      </c>
      <c r="AN168" s="175" t="n">
        <v>0.18</v>
      </c>
      <c r="AO168" s="62"/>
      <c r="AP168" s="141" t="n">
        <v>50</v>
      </c>
      <c r="AQ168" s="176" t="n">
        <v>0.4</v>
      </c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142" t="n">
        <v>41579</v>
      </c>
      <c r="BI168" s="178" t="n">
        <v>0.75</v>
      </c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0"/>
      <c r="CM168" s="230"/>
      <c r="CN168" s="230"/>
      <c r="CO168" s="179"/>
      <c r="CP168" s="0"/>
      <c r="CQ168" s="0"/>
      <c r="CR168" s="0"/>
      <c r="CS168" s="0"/>
      <c r="CT168" s="0"/>
      <c r="CY168" s="180" t="n">
        <f aca="false">M168</f>
        <v>41579</v>
      </c>
      <c r="CZ168" s="181" t="n">
        <f aca="false">AH168</f>
        <v>0.2</v>
      </c>
      <c r="DA168" s="181" t="n">
        <f aca="false">AI168</f>
        <v>0.25</v>
      </c>
      <c r="DB168" s="181" t="n">
        <f aca="false">AJ168</f>
        <v>0.3</v>
      </c>
      <c r="DD168" s="181" t="n">
        <f aca="false">Z168</f>
        <v>0.16</v>
      </c>
      <c r="DE168" s="181" t="n">
        <f aca="false">AA168</f>
        <v>0.2</v>
      </c>
      <c r="DF168" s="181" t="n">
        <f aca="false">AB168</f>
        <v>0.24</v>
      </c>
      <c r="DH168" s="180" t="n">
        <f aca="false">BH168</f>
        <v>41579</v>
      </c>
      <c r="DI168" s="135" t="n">
        <f aca="false">BI168</f>
        <v>0.75</v>
      </c>
      <c r="DL168" s="180" t="n">
        <f aca="false">M168</f>
        <v>41579</v>
      </c>
      <c r="DM168" s="181" t="n">
        <f aca="false">AL168</f>
        <v>0.12</v>
      </c>
      <c r="DN168" s="181" t="n">
        <f aca="false">AM168</f>
        <v>0.15</v>
      </c>
      <c r="DO168" s="181" t="n">
        <f aca="false">AN168</f>
        <v>0.18</v>
      </c>
      <c r="DQ168" s="181" t="n">
        <f aca="false">AD168</f>
        <v>0.08</v>
      </c>
      <c r="DR168" s="181" t="n">
        <f aca="false">AE168</f>
        <v>0.1</v>
      </c>
      <c r="DS168" s="181" t="n">
        <f aca="false">AF168</f>
        <v>0.12</v>
      </c>
    </row>
    <row r="169" customFormat="false" ht="12.75" hidden="false" customHeight="false" outlineLevel="0" collapsed="false">
      <c r="A169" s="145" t="n">
        <f aca="false">EOMONTH(A168,0)+1</f>
        <v>50679</v>
      </c>
      <c r="B169" s="135" t="n">
        <f aca="false">'Gas Curves'!C173</f>
        <v>0.064278833662442</v>
      </c>
      <c r="C169" s="135"/>
      <c r="D169" s="173" t="n">
        <v>40725</v>
      </c>
      <c r="E169" s="174" t="n">
        <v>50.25</v>
      </c>
      <c r="F169" s="174" t="n">
        <v>60.25</v>
      </c>
      <c r="G169" s="174" t="n">
        <v>70.25</v>
      </c>
      <c r="H169" s="159"/>
      <c r="I169" s="174" t="n">
        <v>25.5400009155273</v>
      </c>
      <c r="J169" s="174" t="n">
        <v>25.5400009155273</v>
      </c>
      <c r="K169" s="174" t="n">
        <v>25.5400009155273</v>
      </c>
      <c r="L169" s="141"/>
      <c r="M169" s="142" t="n">
        <v>41609</v>
      </c>
      <c r="N169" s="175" t="n">
        <v>27.2900009155273</v>
      </c>
      <c r="O169" s="175" t="n">
        <v>27.2900009155273</v>
      </c>
      <c r="P169" s="175" t="n">
        <v>27.2900009155273</v>
      </c>
      <c r="Q169" s="62"/>
      <c r="R169" s="175" t="n">
        <v>21.7900009155273</v>
      </c>
      <c r="S169" s="175" t="n">
        <v>21.7900009155273</v>
      </c>
      <c r="T169" s="175" t="n">
        <v>21.7900009155273</v>
      </c>
      <c r="U169" s="62"/>
      <c r="V169" s="175" t="n">
        <v>0</v>
      </c>
      <c r="W169" s="175" t="n">
        <v>0</v>
      </c>
      <c r="X169" s="175" t="n">
        <v>0</v>
      </c>
      <c r="Y169" s="62"/>
      <c r="Z169" s="175" t="n">
        <v>0.16</v>
      </c>
      <c r="AA169" s="175" t="n">
        <v>0.2</v>
      </c>
      <c r="AB169" s="175" t="n">
        <v>0.24</v>
      </c>
      <c r="AC169" s="62"/>
      <c r="AD169" s="175" t="n">
        <v>0.08</v>
      </c>
      <c r="AE169" s="175" t="n">
        <v>0.1</v>
      </c>
      <c r="AF169" s="175" t="n">
        <v>0.12</v>
      </c>
      <c r="AG169" s="62"/>
      <c r="AH169" s="175" t="n">
        <v>0.2</v>
      </c>
      <c r="AI169" s="175" t="n">
        <v>0.25</v>
      </c>
      <c r="AJ169" s="175" t="n">
        <v>0.3</v>
      </c>
      <c r="AK169" s="62"/>
      <c r="AL169" s="175" t="n">
        <v>0.12</v>
      </c>
      <c r="AM169" s="175" t="n">
        <v>0.15</v>
      </c>
      <c r="AN169" s="175" t="n">
        <v>0.18</v>
      </c>
      <c r="AO169" s="62"/>
      <c r="AP169" s="141" t="n">
        <v>51</v>
      </c>
      <c r="AQ169" s="176" t="n">
        <v>0.4</v>
      </c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142" t="n">
        <v>41609</v>
      </c>
      <c r="BI169" s="178" t="n">
        <v>0.75</v>
      </c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0"/>
      <c r="CM169" s="230"/>
      <c r="CN169" s="230"/>
      <c r="CO169" s="179"/>
      <c r="CP169" s="0"/>
      <c r="CQ169" s="0"/>
      <c r="CR169" s="0"/>
      <c r="CS169" s="0"/>
      <c r="CT169" s="0"/>
      <c r="CY169" s="180" t="n">
        <f aca="false">M169</f>
        <v>41609</v>
      </c>
      <c r="CZ169" s="181" t="n">
        <f aca="false">AH169</f>
        <v>0.2</v>
      </c>
      <c r="DA169" s="181" t="n">
        <f aca="false">AI169</f>
        <v>0.25</v>
      </c>
      <c r="DB169" s="181" t="n">
        <f aca="false">AJ169</f>
        <v>0.3</v>
      </c>
      <c r="DD169" s="181" t="n">
        <f aca="false">Z169</f>
        <v>0.16</v>
      </c>
      <c r="DE169" s="181" t="n">
        <f aca="false">AA169</f>
        <v>0.2</v>
      </c>
      <c r="DF169" s="181" t="n">
        <f aca="false">AB169</f>
        <v>0.24</v>
      </c>
      <c r="DH169" s="180" t="n">
        <f aca="false">BH169</f>
        <v>41609</v>
      </c>
      <c r="DI169" s="135" t="n">
        <f aca="false">BI169</f>
        <v>0.75</v>
      </c>
      <c r="DL169" s="180" t="n">
        <f aca="false">M169</f>
        <v>41609</v>
      </c>
      <c r="DM169" s="181" t="n">
        <f aca="false">AL169</f>
        <v>0.12</v>
      </c>
      <c r="DN169" s="181" t="n">
        <f aca="false">AM169</f>
        <v>0.15</v>
      </c>
      <c r="DO169" s="181" t="n">
        <f aca="false">AN169</f>
        <v>0.18</v>
      </c>
      <c r="DQ169" s="181" t="n">
        <f aca="false">AD169</f>
        <v>0.08</v>
      </c>
      <c r="DR169" s="181" t="n">
        <f aca="false">AE169</f>
        <v>0.1</v>
      </c>
      <c r="DS169" s="181" t="n">
        <f aca="false">AF169</f>
        <v>0.12</v>
      </c>
    </row>
    <row r="170" customFormat="false" ht="12.75" hidden="false" customHeight="false" outlineLevel="0" collapsed="false">
      <c r="A170" s="145" t="n">
        <f aca="false">EOMONTH(A169,0)+1</f>
        <v>50710</v>
      </c>
      <c r="B170" s="135" t="n">
        <f aca="false">'Gas Curves'!C174</f>
        <v>0.064317057536933</v>
      </c>
      <c r="C170" s="135"/>
      <c r="D170" s="173" t="n">
        <v>40756</v>
      </c>
      <c r="E170" s="174" t="n">
        <v>50.25</v>
      </c>
      <c r="F170" s="174" t="n">
        <v>60.25</v>
      </c>
      <c r="G170" s="174" t="n">
        <v>70.25</v>
      </c>
      <c r="H170" s="159"/>
      <c r="I170" s="174" t="n">
        <v>26.5400009155273</v>
      </c>
      <c r="J170" s="174" t="n">
        <v>26.5400009155273</v>
      </c>
      <c r="K170" s="174" t="n">
        <v>26.5400009155273</v>
      </c>
      <c r="L170" s="141"/>
      <c r="M170" s="142" t="n">
        <v>41640</v>
      </c>
      <c r="N170" s="175" t="n">
        <v>35.75</v>
      </c>
      <c r="O170" s="175" t="n">
        <v>35.75</v>
      </c>
      <c r="P170" s="175" t="n">
        <v>35.75</v>
      </c>
      <c r="Q170" s="62"/>
      <c r="R170" s="175" t="n">
        <v>25.25</v>
      </c>
      <c r="S170" s="175" t="n">
        <v>25.25</v>
      </c>
      <c r="T170" s="175" t="n">
        <v>25.25</v>
      </c>
      <c r="U170" s="62"/>
      <c r="V170" s="175" t="n">
        <v>0</v>
      </c>
      <c r="W170" s="175" t="n">
        <v>0</v>
      </c>
      <c r="X170" s="175" t="n">
        <v>0</v>
      </c>
      <c r="Y170" s="62"/>
      <c r="Z170" s="175" t="n">
        <v>0.16</v>
      </c>
      <c r="AA170" s="175" t="n">
        <v>0.2</v>
      </c>
      <c r="AB170" s="175" t="n">
        <v>0.24</v>
      </c>
      <c r="AC170" s="62"/>
      <c r="AD170" s="175" t="n">
        <v>0.08</v>
      </c>
      <c r="AE170" s="175" t="n">
        <v>0.1</v>
      </c>
      <c r="AF170" s="175" t="n">
        <v>0.12</v>
      </c>
      <c r="AG170" s="62"/>
      <c r="AH170" s="175" t="n">
        <v>0.2</v>
      </c>
      <c r="AI170" s="175" t="n">
        <v>0.25</v>
      </c>
      <c r="AJ170" s="175" t="n">
        <v>0.3</v>
      </c>
      <c r="AK170" s="62"/>
      <c r="AL170" s="175" t="n">
        <v>0.12</v>
      </c>
      <c r="AM170" s="175" t="n">
        <v>0.15</v>
      </c>
      <c r="AN170" s="175" t="n">
        <v>0.18</v>
      </c>
      <c r="AO170" s="62"/>
      <c r="AP170" s="141" t="n">
        <v>51</v>
      </c>
      <c r="AQ170" s="176" t="n">
        <v>0.4</v>
      </c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142" t="n">
        <v>41640</v>
      </c>
      <c r="BI170" s="178" t="n">
        <v>0.75</v>
      </c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0"/>
      <c r="CM170" s="230"/>
      <c r="CN170" s="230"/>
      <c r="CO170" s="179"/>
      <c r="CP170" s="0"/>
      <c r="CQ170" s="0"/>
      <c r="CR170" s="0"/>
      <c r="CS170" s="0"/>
      <c r="CT170" s="0"/>
      <c r="CY170" s="180" t="n">
        <f aca="false">M170</f>
        <v>41640</v>
      </c>
      <c r="CZ170" s="181" t="n">
        <f aca="false">AH170</f>
        <v>0.2</v>
      </c>
      <c r="DA170" s="181" t="n">
        <f aca="false">AI170</f>
        <v>0.25</v>
      </c>
      <c r="DB170" s="181" t="n">
        <f aca="false">AJ170</f>
        <v>0.3</v>
      </c>
      <c r="DD170" s="181" t="n">
        <f aca="false">Z170</f>
        <v>0.16</v>
      </c>
      <c r="DE170" s="181" t="n">
        <f aca="false">AA170</f>
        <v>0.2</v>
      </c>
      <c r="DF170" s="181" t="n">
        <f aca="false">AB170</f>
        <v>0.24</v>
      </c>
      <c r="DH170" s="180" t="n">
        <f aca="false">BH170</f>
        <v>41640</v>
      </c>
      <c r="DI170" s="135" t="n">
        <f aca="false">BI170</f>
        <v>0.75</v>
      </c>
      <c r="DL170" s="180" t="n">
        <f aca="false">M170</f>
        <v>41640</v>
      </c>
      <c r="DM170" s="181" t="n">
        <f aca="false">AL170</f>
        <v>0.12</v>
      </c>
      <c r="DN170" s="181" t="n">
        <f aca="false">AM170</f>
        <v>0.15</v>
      </c>
      <c r="DO170" s="181" t="n">
        <f aca="false">AN170</f>
        <v>0.18</v>
      </c>
      <c r="DQ170" s="181" t="n">
        <f aca="false">AD170</f>
        <v>0.08</v>
      </c>
      <c r="DR170" s="181" t="n">
        <f aca="false">AE170</f>
        <v>0.1</v>
      </c>
      <c r="DS170" s="181" t="n">
        <f aca="false">AF170</f>
        <v>0.12</v>
      </c>
    </row>
    <row r="171" customFormat="false" ht="12.75" hidden="false" customHeight="false" outlineLevel="0" collapsed="false">
      <c r="A171" s="145" t="n">
        <f aca="false">EOMONTH(A170,0)+1</f>
        <v>50740</v>
      </c>
      <c r="B171" s="135" t="n">
        <f aca="false">'Gas Curves'!C175</f>
        <v>0.064354048383676</v>
      </c>
      <c r="C171" s="135"/>
      <c r="D171" s="173" t="n">
        <v>40787</v>
      </c>
      <c r="E171" s="174" t="n">
        <v>29.9600028991699</v>
      </c>
      <c r="F171" s="174" t="n">
        <v>31.4600028991699</v>
      </c>
      <c r="G171" s="174" t="n">
        <v>32.9600028991699</v>
      </c>
      <c r="H171" s="159"/>
      <c r="I171" s="174" t="n">
        <v>20.5400009155273</v>
      </c>
      <c r="J171" s="174" t="n">
        <v>20.5400009155273</v>
      </c>
      <c r="K171" s="174" t="n">
        <v>20.5400009155273</v>
      </c>
      <c r="L171" s="141"/>
      <c r="M171" s="142" t="n">
        <v>41671</v>
      </c>
      <c r="N171" s="175" t="n">
        <v>31.2460021972656</v>
      </c>
      <c r="O171" s="175" t="n">
        <v>31.2460021972656</v>
      </c>
      <c r="P171" s="175" t="n">
        <v>31.2460021972656</v>
      </c>
      <c r="Q171" s="62"/>
      <c r="R171" s="175" t="n">
        <v>22.7465019226074</v>
      </c>
      <c r="S171" s="175" t="n">
        <v>22.7465019226074</v>
      </c>
      <c r="T171" s="175" t="n">
        <v>22.7465019226074</v>
      </c>
      <c r="U171" s="62"/>
      <c r="V171" s="175" t="n">
        <v>0</v>
      </c>
      <c r="W171" s="175" t="n">
        <v>0</v>
      </c>
      <c r="X171" s="175" t="n">
        <v>0</v>
      </c>
      <c r="Y171" s="62"/>
      <c r="Z171" s="175" t="n">
        <v>0.16</v>
      </c>
      <c r="AA171" s="175" t="n">
        <v>0.2</v>
      </c>
      <c r="AB171" s="175" t="n">
        <v>0.24</v>
      </c>
      <c r="AC171" s="62"/>
      <c r="AD171" s="175" t="n">
        <v>0.08</v>
      </c>
      <c r="AE171" s="175" t="n">
        <v>0.1</v>
      </c>
      <c r="AF171" s="175" t="n">
        <v>0.12</v>
      </c>
      <c r="AG171" s="62"/>
      <c r="AH171" s="175" t="n">
        <v>0.2</v>
      </c>
      <c r="AI171" s="175" t="n">
        <v>0.25</v>
      </c>
      <c r="AJ171" s="175" t="n">
        <v>0.3</v>
      </c>
      <c r="AK171" s="62"/>
      <c r="AL171" s="175" t="n">
        <v>0.12</v>
      </c>
      <c r="AM171" s="175" t="n">
        <v>0.15</v>
      </c>
      <c r="AN171" s="175" t="n">
        <v>0.18</v>
      </c>
      <c r="AO171" s="62"/>
      <c r="AP171" s="141" t="n">
        <v>51</v>
      </c>
      <c r="AQ171" s="176" t="n">
        <v>0.4</v>
      </c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142" t="n">
        <v>41671</v>
      </c>
      <c r="BI171" s="178" t="n">
        <v>0.75</v>
      </c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0"/>
      <c r="CM171" s="230"/>
      <c r="CN171" s="230"/>
      <c r="CO171" s="179"/>
      <c r="CP171" s="0"/>
      <c r="CQ171" s="0"/>
      <c r="CR171" s="0"/>
      <c r="CS171" s="0"/>
      <c r="CT171" s="0"/>
      <c r="CY171" s="180" t="n">
        <f aca="false">M171</f>
        <v>41671</v>
      </c>
      <c r="CZ171" s="181" t="n">
        <f aca="false">AH171</f>
        <v>0.2</v>
      </c>
      <c r="DA171" s="181" t="n">
        <f aca="false">AI171</f>
        <v>0.25</v>
      </c>
      <c r="DB171" s="181" t="n">
        <f aca="false">AJ171</f>
        <v>0.3</v>
      </c>
      <c r="DD171" s="181" t="n">
        <f aca="false">Z171</f>
        <v>0.16</v>
      </c>
      <c r="DE171" s="181" t="n">
        <f aca="false">AA171</f>
        <v>0.2</v>
      </c>
      <c r="DF171" s="181" t="n">
        <f aca="false">AB171</f>
        <v>0.24</v>
      </c>
      <c r="DH171" s="180" t="n">
        <f aca="false">BH171</f>
        <v>41671</v>
      </c>
      <c r="DI171" s="135" t="n">
        <f aca="false">BI171</f>
        <v>0.75</v>
      </c>
      <c r="DL171" s="180" t="n">
        <f aca="false">M171</f>
        <v>41671</v>
      </c>
      <c r="DM171" s="181" t="n">
        <f aca="false">AL171</f>
        <v>0.12</v>
      </c>
      <c r="DN171" s="181" t="n">
        <f aca="false">AM171</f>
        <v>0.15</v>
      </c>
      <c r="DO171" s="181" t="n">
        <f aca="false">AN171</f>
        <v>0.18</v>
      </c>
      <c r="DQ171" s="181" t="n">
        <f aca="false">AD171</f>
        <v>0.08</v>
      </c>
      <c r="DR171" s="181" t="n">
        <f aca="false">AE171</f>
        <v>0.1</v>
      </c>
      <c r="DS171" s="181" t="n">
        <f aca="false">AF171</f>
        <v>0.12</v>
      </c>
    </row>
    <row r="172" customFormat="false" ht="12.75" hidden="false" customHeight="false" outlineLevel="0" collapsed="false">
      <c r="A172" s="145" t="n">
        <f aca="false">EOMONTH(A171,0)+1</f>
        <v>50771</v>
      </c>
      <c r="B172" s="135" t="n">
        <f aca="false">'Gas Curves'!C176</f>
        <v>0.0643922722591204</v>
      </c>
      <c r="C172" s="135"/>
      <c r="D172" s="173" t="n">
        <v>40817</v>
      </c>
      <c r="E172" s="174" t="n">
        <v>32.3615688085556</v>
      </c>
      <c r="F172" s="174" t="n">
        <v>33.8615688085556</v>
      </c>
      <c r="G172" s="174" t="n">
        <v>35.3615688085556</v>
      </c>
      <c r="H172" s="159"/>
      <c r="I172" s="174" t="n">
        <v>20.040002822876</v>
      </c>
      <c r="J172" s="174" t="n">
        <v>20.040002822876</v>
      </c>
      <c r="K172" s="174" t="n">
        <v>20.040002822876</v>
      </c>
      <c r="L172" s="141"/>
      <c r="M172" s="142" t="n">
        <v>41699</v>
      </c>
      <c r="N172" s="175" t="n">
        <v>25.5</v>
      </c>
      <c r="O172" s="175" t="n">
        <v>25.5</v>
      </c>
      <c r="P172" s="175" t="n">
        <v>25.5</v>
      </c>
      <c r="Q172" s="62"/>
      <c r="R172" s="175" t="n">
        <v>20</v>
      </c>
      <c r="S172" s="175" t="n">
        <v>20</v>
      </c>
      <c r="T172" s="175" t="n">
        <v>20</v>
      </c>
      <c r="U172" s="62"/>
      <c r="V172" s="175" t="n">
        <v>0</v>
      </c>
      <c r="W172" s="175" t="n">
        <v>0</v>
      </c>
      <c r="X172" s="175" t="n">
        <v>0</v>
      </c>
      <c r="Y172" s="62"/>
      <c r="Z172" s="175" t="n">
        <v>0.16</v>
      </c>
      <c r="AA172" s="175" t="n">
        <v>0.2</v>
      </c>
      <c r="AB172" s="175" t="n">
        <v>0.24</v>
      </c>
      <c r="AC172" s="62"/>
      <c r="AD172" s="175" t="n">
        <v>0.08</v>
      </c>
      <c r="AE172" s="175" t="n">
        <v>0.1</v>
      </c>
      <c r="AF172" s="175" t="n">
        <v>0.12</v>
      </c>
      <c r="AG172" s="62"/>
      <c r="AH172" s="175" t="n">
        <v>0.2</v>
      </c>
      <c r="AI172" s="175" t="n">
        <v>0.25</v>
      </c>
      <c r="AJ172" s="175" t="n">
        <v>0.3</v>
      </c>
      <c r="AK172" s="62"/>
      <c r="AL172" s="175" t="n">
        <v>0.12</v>
      </c>
      <c r="AM172" s="175" t="n">
        <v>0.15</v>
      </c>
      <c r="AN172" s="175" t="n">
        <v>0.18</v>
      </c>
      <c r="AO172" s="62"/>
      <c r="AP172" s="141" t="n">
        <v>52</v>
      </c>
      <c r="AQ172" s="176" t="n">
        <v>0.4</v>
      </c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142" t="n">
        <v>41699</v>
      </c>
      <c r="BI172" s="178" t="n">
        <v>0.75</v>
      </c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0"/>
      <c r="CM172" s="230"/>
      <c r="CN172" s="230"/>
      <c r="CO172" s="179"/>
      <c r="CP172" s="0"/>
      <c r="CQ172" s="0"/>
      <c r="CR172" s="0"/>
      <c r="CS172" s="0"/>
      <c r="CT172" s="0"/>
      <c r="CY172" s="180" t="n">
        <f aca="false">M172</f>
        <v>41699</v>
      </c>
      <c r="CZ172" s="181" t="n">
        <f aca="false">AH172</f>
        <v>0.2</v>
      </c>
      <c r="DA172" s="181" t="n">
        <f aca="false">AI172</f>
        <v>0.25</v>
      </c>
      <c r="DB172" s="181" t="n">
        <f aca="false">AJ172</f>
        <v>0.3</v>
      </c>
      <c r="DD172" s="181" t="n">
        <f aca="false">Z172</f>
        <v>0.16</v>
      </c>
      <c r="DE172" s="181" t="n">
        <f aca="false">AA172</f>
        <v>0.2</v>
      </c>
      <c r="DF172" s="181" t="n">
        <f aca="false">AB172</f>
        <v>0.24</v>
      </c>
      <c r="DH172" s="180" t="n">
        <f aca="false">BH172</f>
        <v>41699</v>
      </c>
      <c r="DI172" s="135" t="n">
        <f aca="false">BI172</f>
        <v>0.75</v>
      </c>
      <c r="DL172" s="180" t="n">
        <f aca="false">M172</f>
        <v>41699</v>
      </c>
      <c r="DM172" s="181" t="n">
        <f aca="false">AL172</f>
        <v>0.12</v>
      </c>
      <c r="DN172" s="181" t="n">
        <f aca="false">AM172</f>
        <v>0.15</v>
      </c>
      <c r="DO172" s="181" t="n">
        <f aca="false">AN172</f>
        <v>0.18</v>
      </c>
      <c r="DQ172" s="181" t="n">
        <f aca="false">AD172</f>
        <v>0.08</v>
      </c>
      <c r="DR172" s="181" t="n">
        <f aca="false">AE172</f>
        <v>0.1</v>
      </c>
      <c r="DS172" s="181" t="n">
        <f aca="false">AF172</f>
        <v>0.12</v>
      </c>
    </row>
    <row r="173" customFormat="false" ht="12.75" hidden="false" customHeight="false" outlineLevel="0" collapsed="false">
      <c r="A173" s="145" t="n">
        <f aca="false">EOMONTH(A172,0)+1</f>
        <v>50802</v>
      </c>
      <c r="B173" s="135" t="n">
        <f aca="false">'Gas Curves'!C177</f>
        <v>0.0644304961350488</v>
      </c>
      <c r="C173" s="135"/>
      <c r="D173" s="173" t="n">
        <v>40848</v>
      </c>
      <c r="E173" s="174" t="n">
        <v>32.4615672826767</v>
      </c>
      <c r="F173" s="174" t="n">
        <v>33.9615672826767</v>
      </c>
      <c r="G173" s="174" t="n">
        <v>35.4615672826767</v>
      </c>
      <c r="H173" s="159"/>
      <c r="I173" s="174" t="n">
        <v>21.0400009155273</v>
      </c>
      <c r="J173" s="174" t="n">
        <v>21.0400009155273</v>
      </c>
      <c r="K173" s="174" t="n">
        <v>21.0400009155273</v>
      </c>
      <c r="L173" s="141"/>
      <c r="M173" s="142" t="n">
        <v>41730</v>
      </c>
      <c r="N173" s="175" t="n">
        <v>22</v>
      </c>
      <c r="O173" s="175" t="n">
        <v>22</v>
      </c>
      <c r="P173" s="175" t="n">
        <v>22</v>
      </c>
      <c r="Q173" s="62"/>
      <c r="R173" s="175" t="n">
        <v>16.4950008392334</v>
      </c>
      <c r="S173" s="175" t="n">
        <v>16.4950008392334</v>
      </c>
      <c r="T173" s="175" t="n">
        <v>16.4950008392334</v>
      </c>
      <c r="U173" s="62"/>
      <c r="V173" s="175" t="n">
        <v>0</v>
      </c>
      <c r="W173" s="175" t="n">
        <v>0</v>
      </c>
      <c r="X173" s="175" t="n">
        <v>0</v>
      </c>
      <c r="Y173" s="62"/>
      <c r="Z173" s="175" t="n">
        <v>0.16</v>
      </c>
      <c r="AA173" s="175" t="n">
        <v>0.2</v>
      </c>
      <c r="AB173" s="175" t="n">
        <v>0.24</v>
      </c>
      <c r="AC173" s="62"/>
      <c r="AD173" s="175" t="n">
        <v>0.08</v>
      </c>
      <c r="AE173" s="175" t="n">
        <v>0.1</v>
      </c>
      <c r="AF173" s="175" t="n">
        <v>0.12</v>
      </c>
      <c r="AG173" s="62"/>
      <c r="AH173" s="175" t="n">
        <v>0.2</v>
      </c>
      <c r="AI173" s="175" t="n">
        <v>0.25</v>
      </c>
      <c r="AJ173" s="175" t="n">
        <v>0.3</v>
      </c>
      <c r="AK173" s="62"/>
      <c r="AL173" s="175" t="n">
        <v>0.12</v>
      </c>
      <c r="AM173" s="175" t="n">
        <v>0.15</v>
      </c>
      <c r="AN173" s="175" t="n">
        <v>0.18</v>
      </c>
      <c r="AO173" s="62"/>
      <c r="AP173" s="141" t="n">
        <v>52</v>
      </c>
      <c r="AQ173" s="176" t="n">
        <v>0.4</v>
      </c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142" t="n">
        <v>41730</v>
      </c>
      <c r="BI173" s="178" t="n">
        <v>0.75</v>
      </c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0"/>
      <c r="CM173" s="230"/>
      <c r="CN173" s="230"/>
      <c r="CO173" s="179"/>
      <c r="CP173" s="0"/>
      <c r="CQ173" s="0"/>
      <c r="CR173" s="0"/>
      <c r="CS173" s="0"/>
      <c r="CT173" s="0"/>
      <c r="CY173" s="180" t="n">
        <f aca="false">M173</f>
        <v>41730</v>
      </c>
      <c r="CZ173" s="181" t="n">
        <f aca="false">AH173</f>
        <v>0.2</v>
      </c>
      <c r="DA173" s="181" t="n">
        <f aca="false">AI173</f>
        <v>0.25</v>
      </c>
      <c r="DB173" s="181" t="n">
        <f aca="false">AJ173</f>
        <v>0.3</v>
      </c>
      <c r="DD173" s="181" t="n">
        <f aca="false">Z173</f>
        <v>0.16</v>
      </c>
      <c r="DE173" s="181" t="n">
        <f aca="false">AA173</f>
        <v>0.2</v>
      </c>
      <c r="DF173" s="181" t="n">
        <f aca="false">AB173</f>
        <v>0.24</v>
      </c>
      <c r="DH173" s="180" t="n">
        <f aca="false">BH173</f>
        <v>41730</v>
      </c>
      <c r="DI173" s="135" t="n">
        <f aca="false">BI173</f>
        <v>0.75</v>
      </c>
      <c r="DL173" s="180" t="n">
        <f aca="false">M173</f>
        <v>41730</v>
      </c>
      <c r="DM173" s="181" t="n">
        <f aca="false">AL173</f>
        <v>0.12</v>
      </c>
      <c r="DN173" s="181" t="n">
        <f aca="false">AM173</f>
        <v>0.15</v>
      </c>
      <c r="DO173" s="181" t="n">
        <f aca="false">AN173</f>
        <v>0.18</v>
      </c>
      <c r="DQ173" s="181" t="n">
        <f aca="false">AD173</f>
        <v>0.08</v>
      </c>
      <c r="DR173" s="181" t="n">
        <f aca="false">AE173</f>
        <v>0.1</v>
      </c>
      <c r="DS173" s="181" t="n">
        <f aca="false">AF173</f>
        <v>0.12</v>
      </c>
    </row>
    <row r="174" customFormat="false" ht="12.75" hidden="false" customHeight="false" outlineLevel="0" collapsed="false">
      <c r="A174" s="145" t="n">
        <f aca="false">EOMONTH(A173,0)+1</f>
        <v>50830</v>
      </c>
      <c r="B174" s="135" t="n">
        <f aca="false">'Gas Curves'!C178</f>
        <v>0.0644674869831836</v>
      </c>
      <c r="C174" s="135"/>
      <c r="D174" s="173" t="n">
        <v>40878</v>
      </c>
      <c r="E174" s="174" t="n">
        <v>32.5615657567978</v>
      </c>
      <c r="F174" s="174" t="n">
        <v>34.0615657567978</v>
      </c>
      <c r="G174" s="174" t="n">
        <v>35.5615657567978</v>
      </c>
      <c r="H174" s="159"/>
      <c r="I174" s="174" t="n">
        <v>23.2900009155273</v>
      </c>
      <c r="J174" s="174" t="n">
        <v>23.2900009155273</v>
      </c>
      <c r="K174" s="174" t="n">
        <v>23.2900009155273</v>
      </c>
      <c r="L174" s="141"/>
      <c r="M174" s="142" t="n">
        <v>41760</v>
      </c>
      <c r="N174" s="175" t="n">
        <v>22.2900009155273</v>
      </c>
      <c r="O174" s="175" t="n">
        <v>22.2900009155273</v>
      </c>
      <c r="P174" s="175" t="n">
        <v>22.2900009155273</v>
      </c>
      <c r="Q174" s="62"/>
      <c r="R174" s="175" t="n">
        <v>15.7950000762939</v>
      </c>
      <c r="S174" s="175" t="n">
        <v>15.7950000762939</v>
      </c>
      <c r="T174" s="175" t="n">
        <v>15.7950000762939</v>
      </c>
      <c r="U174" s="62"/>
      <c r="V174" s="175" t="n">
        <v>0</v>
      </c>
      <c r="W174" s="175" t="n">
        <v>0</v>
      </c>
      <c r="X174" s="175" t="n">
        <v>0</v>
      </c>
      <c r="Y174" s="62"/>
      <c r="Z174" s="175" t="n">
        <v>0.16</v>
      </c>
      <c r="AA174" s="175" t="n">
        <v>0.2</v>
      </c>
      <c r="AB174" s="175" t="n">
        <v>0.24</v>
      </c>
      <c r="AC174" s="62"/>
      <c r="AD174" s="175" t="n">
        <v>0.08</v>
      </c>
      <c r="AE174" s="175" t="n">
        <v>0.1</v>
      </c>
      <c r="AF174" s="175" t="n">
        <v>0.12</v>
      </c>
      <c r="AG174" s="62"/>
      <c r="AH174" s="175" t="n">
        <v>0.2</v>
      </c>
      <c r="AI174" s="175" t="n">
        <v>0.25</v>
      </c>
      <c r="AJ174" s="175" t="n">
        <v>0.3</v>
      </c>
      <c r="AK174" s="62"/>
      <c r="AL174" s="175" t="n">
        <v>0.12</v>
      </c>
      <c r="AM174" s="175" t="n">
        <v>0.15</v>
      </c>
      <c r="AN174" s="175" t="n">
        <v>0.18</v>
      </c>
      <c r="AO174" s="62"/>
      <c r="AP174" s="141" t="n">
        <v>52</v>
      </c>
      <c r="AQ174" s="176" t="n">
        <v>0.4</v>
      </c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142" t="n">
        <v>41760</v>
      </c>
      <c r="BI174" s="178" t="n">
        <v>0.75</v>
      </c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0"/>
      <c r="CM174" s="230"/>
      <c r="CN174" s="230"/>
      <c r="CO174" s="179"/>
      <c r="CP174" s="0"/>
      <c r="CQ174" s="0"/>
      <c r="CR174" s="0"/>
      <c r="CS174" s="0"/>
      <c r="CT174" s="0"/>
      <c r="CY174" s="180" t="n">
        <f aca="false">M174</f>
        <v>41760</v>
      </c>
      <c r="CZ174" s="181" t="n">
        <f aca="false">AH174</f>
        <v>0.2</v>
      </c>
      <c r="DA174" s="181" t="n">
        <f aca="false">AI174</f>
        <v>0.25</v>
      </c>
      <c r="DB174" s="181" t="n">
        <f aca="false">AJ174</f>
        <v>0.3</v>
      </c>
      <c r="DD174" s="181" t="n">
        <f aca="false">Z174</f>
        <v>0.16</v>
      </c>
      <c r="DE174" s="181" t="n">
        <f aca="false">AA174</f>
        <v>0.2</v>
      </c>
      <c r="DF174" s="181" t="n">
        <f aca="false">AB174</f>
        <v>0.24</v>
      </c>
      <c r="DH174" s="180" t="n">
        <f aca="false">BH174</f>
        <v>41760</v>
      </c>
      <c r="DI174" s="135" t="n">
        <f aca="false">BI174</f>
        <v>0.75</v>
      </c>
      <c r="DL174" s="180" t="n">
        <f aca="false">M174</f>
        <v>41760</v>
      </c>
      <c r="DM174" s="181" t="n">
        <f aca="false">AL174</f>
        <v>0.12</v>
      </c>
      <c r="DN174" s="181" t="n">
        <f aca="false">AM174</f>
        <v>0.15</v>
      </c>
      <c r="DO174" s="181" t="n">
        <f aca="false">AN174</f>
        <v>0.18</v>
      </c>
      <c r="DQ174" s="181" t="n">
        <f aca="false">AD174</f>
        <v>0.08</v>
      </c>
      <c r="DR174" s="181" t="n">
        <f aca="false">AE174</f>
        <v>0.1</v>
      </c>
      <c r="DS174" s="181" t="n">
        <f aca="false">AF174</f>
        <v>0.12</v>
      </c>
    </row>
    <row r="175" customFormat="false" ht="12.75" hidden="false" customHeight="false" outlineLevel="0" collapsed="false">
      <c r="A175" s="145" t="n">
        <f aca="false">EOMONTH(A174,0)+1</f>
        <v>50861</v>
      </c>
      <c r="B175" s="135" t="n">
        <f aca="false">'Gas Curves'!C179</f>
        <v>0.0645057108600651</v>
      </c>
      <c r="C175" s="135"/>
      <c r="D175" s="173" t="n">
        <v>40909</v>
      </c>
      <c r="E175" s="174" t="n">
        <v>35.9957144601004</v>
      </c>
      <c r="F175" s="174" t="n">
        <v>37.4957144601004</v>
      </c>
      <c r="G175" s="174" t="n">
        <v>38.9957144601004</v>
      </c>
      <c r="H175" s="159"/>
      <c r="I175" s="174" t="n">
        <v>25.5</v>
      </c>
      <c r="J175" s="174" t="n">
        <v>25.5</v>
      </c>
      <c r="K175" s="174" t="n">
        <v>25.5</v>
      </c>
      <c r="L175" s="141"/>
      <c r="M175" s="142" t="n">
        <v>41791</v>
      </c>
      <c r="N175" s="175" t="n">
        <v>29.2900009155273</v>
      </c>
      <c r="O175" s="175" t="n">
        <v>29.2900009155273</v>
      </c>
      <c r="P175" s="175" t="n">
        <v>29.2900009155273</v>
      </c>
      <c r="Q175" s="62"/>
      <c r="R175" s="175" t="n">
        <v>19.7900009155273</v>
      </c>
      <c r="S175" s="175" t="n">
        <v>19.7900009155273</v>
      </c>
      <c r="T175" s="175" t="n">
        <v>19.7900009155273</v>
      </c>
      <c r="U175" s="62"/>
      <c r="V175" s="175" t="n">
        <v>0</v>
      </c>
      <c r="W175" s="175" t="n">
        <v>0</v>
      </c>
      <c r="X175" s="175" t="n">
        <v>0</v>
      </c>
      <c r="Y175" s="62"/>
      <c r="Z175" s="175" t="n">
        <v>0.16</v>
      </c>
      <c r="AA175" s="175" t="n">
        <v>0.2</v>
      </c>
      <c r="AB175" s="175" t="n">
        <v>0.24</v>
      </c>
      <c r="AC175" s="62"/>
      <c r="AD175" s="175" t="n">
        <v>0.08</v>
      </c>
      <c r="AE175" s="175" t="n">
        <v>0.1</v>
      </c>
      <c r="AF175" s="175" t="n">
        <v>0.12</v>
      </c>
      <c r="AG175" s="62"/>
      <c r="AH175" s="175" t="n">
        <v>0.2</v>
      </c>
      <c r="AI175" s="175" t="n">
        <v>0.25</v>
      </c>
      <c r="AJ175" s="175" t="n">
        <v>0.3</v>
      </c>
      <c r="AK175" s="62"/>
      <c r="AL175" s="175" t="n">
        <v>0.12</v>
      </c>
      <c r="AM175" s="175" t="n">
        <v>0.15</v>
      </c>
      <c r="AN175" s="175" t="n">
        <v>0.18</v>
      </c>
      <c r="AO175" s="62"/>
      <c r="AP175" s="141" t="n">
        <v>53</v>
      </c>
      <c r="AQ175" s="176" t="n">
        <v>0.4</v>
      </c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142" t="n">
        <v>41791</v>
      </c>
      <c r="BI175" s="178" t="n">
        <v>0.75</v>
      </c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0"/>
      <c r="CM175" s="230"/>
      <c r="CN175" s="230"/>
      <c r="CO175" s="179"/>
      <c r="CP175" s="0"/>
      <c r="CQ175" s="0"/>
      <c r="CR175" s="0"/>
      <c r="CS175" s="0"/>
      <c r="CT175" s="0"/>
      <c r="CY175" s="180" t="n">
        <f aca="false">M175</f>
        <v>41791</v>
      </c>
      <c r="CZ175" s="181" t="n">
        <f aca="false">AH175</f>
        <v>0.2</v>
      </c>
      <c r="DA175" s="181" t="n">
        <f aca="false">AI175</f>
        <v>0.25</v>
      </c>
      <c r="DB175" s="181" t="n">
        <f aca="false">AJ175</f>
        <v>0.3</v>
      </c>
      <c r="DD175" s="181" t="n">
        <f aca="false">Z175</f>
        <v>0.16</v>
      </c>
      <c r="DE175" s="181" t="n">
        <f aca="false">AA175</f>
        <v>0.2</v>
      </c>
      <c r="DF175" s="181" t="n">
        <f aca="false">AB175</f>
        <v>0.24</v>
      </c>
      <c r="DH175" s="180" t="n">
        <f aca="false">BH175</f>
        <v>41791</v>
      </c>
      <c r="DI175" s="135" t="n">
        <f aca="false">BI175</f>
        <v>0.75</v>
      </c>
      <c r="DL175" s="180" t="n">
        <f aca="false">M175</f>
        <v>41791</v>
      </c>
      <c r="DM175" s="181" t="n">
        <f aca="false">AL175</f>
        <v>0.12</v>
      </c>
      <c r="DN175" s="181" t="n">
        <f aca="false">AM175</f>
        <v>0.15</v>
      </c>
      <c r="DO175" s="181" t="n">
        <f aca="false">AN175</f>
        <v>0.18</v>
      </c>
      <c r="DQ175" s="181" t="n">
        <f aca="false">AD175</f>
        <v>0.08</v>
      </c>
      <c r="DR175" s="181" t="n">
        <f aca="false">AE175</f>
        <v>0.1</v>
      </c>
      <c r="DS175" s="181" t="n">
        <f aca="false">AF175</f>
        <v>0.12</v>
      </c>
    </row>
    <row r="176" customFormat="false" ht="12.75" hidden="false" customHeight="false" outlineLevel="0" collapsed="false">
      <c r="A176" s="145" t="n">
        <f aca="false">EOMONTH(A175,0)+1</f>
        <v>50891</v>
      </c>
      <c r="B176" s="135" t="n">
        <f aca="false">'Gas Curves'!C180</f>
        <v>0.0645427017091218</v>
      </c>
      <c r="C176" s="135"/>
      <c r="D176" s="173" t="n">
        <v>40940</v>
      </c>
      <c r="E176" s="174" t="n">
        <v>35.3957121712821</v>
      </c>
      <c r="F176" s="174" t="n">
        <v>36.8957121712821</v>
      </c>
      <c r="G176" s="174" t="n">
        <v>38.3957121712821</v>
      </c>
      <c r="H176" s="159"/>
      <c r="I176" s="174" t="n">
        <v>24</v>
      </c>
      <c r="J176" s="174" t="n">
        <v>24</v>
      </c>
      <c r="K176" s="174" t="n">
        <v>24</v>
      </c>
      <c r="L176" s="141"/>
      <c r="M176" s="142" t="n">
        <v>41821</v>
      </c>
      <c r="N176" s="175" t="n">
        <v>35.2900009155273</v>
      </c>
      <c r="O176" s="175" t="n">
        <v>35.2900009155273</v>
      </c>
      <c r="P176" s="175" t="n">
        <v>35.2900009155273</v>
      </c>
      <c r="Q176" s="62"/>
      <c r="R176" s="175" t="n">
        <v>25.7900009155273</v>
      </c>
      <c r="S176" s="175" t="n">
        <v>25.7900009155273</v>
      </c>
      <c r="T176" s="175" t="n">
        <v>25.7900009155273</v>
      </c>
      <c r="U176" s="62"/>
      <c r="V176" s="175" t="n">
        <v>0</v>
      </c>
      <c r="W176" s="175" t="n">
        <v>0</v>
      </c>
      <c r="X176" s="175" t="n">
        <v>0</v>
      </c>
      <c r="Y176" s="62"/>
      <c r="Z176" s="175" t="n">
        <v>0.24</v>
      </c>
      <c r="AA176" s="175" t="n">
        <v>0.3</v>
      </c>
      <c r="AB176" s="175" t="n">
        <v>0.36</v>
      </c>
      <c r="AC176" s="62"/>
      <c r="AD176" s="175" t="n">
        <v>0.12</v>
      </c>
      <c r="AE176" s="175" t="n">
        <v>0.15</v>
      </c>
      <c r="AF176" s="175" t="n">
        <v>0.18</v>
      </c>
      <c r="AG176" s="62"/>
      <c r="AH176" s="175" t="n">
        <v>0.32</v>
      </c>
      <c r="AI176" s="175" t="n">
        <v>0.4</v>
      </c>
      <c r="AJ176" s="175" t="n">
        <v>0.48</v>
      </c>
      <c r="AK176" s="62"/>
      <c r="AL176" s="175" t="n">
        <v>0.192</v>
      </c>
      <c r="AM176" s="175" t="n">
        <v>0.24</v>
      </c>
      <c r="AN176" s="175" t="n">
        <v>0.288</v>
      </c>
      <c r="AO176" s="62"/>
      <c r="AP176" s="141" t="n">
        <v>53</v>
      </c>
      <c r="AQ176" s="176" t="n">
        <v>0.4</v>
      </c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142" t="n">
        <v>41821</v>
      </c>
      <c r="BI176" s="178" t="n">
        <v>0.75</v>
      </c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0"/>
      <c r="CM176" s="230"/>
      <c r="CN176" s="230"/>
      <c r="CO176" s="179"/>
      <c r="CP176" s="0"/>
      <c r="CQ176" s="0"/>
      <c r="CR176" s="0"/>
      <c r="CS176" s="0"/>
      <c r="CT176" s="0"/>
      <c r="CY176" s="180" t="n">
        <f aca="false">M176</f>
        <v>41821</v>
      </c>
      <c r="CZ176" s="181" t="n">
        <f aca="false">AH176</f>
        <v>0.32</v>
      </c>
      <c r="DA176" s="181" t="n">
        <f aca="false">AI176</f>
        <v>0.4</v>
      </c>
      <c r="DB176" s="181" t="n">
        <f aca="false">AJ176</f>
        <v>0.48</v>
      </c>
      <c r="DD176" s="181" t="n">
        <f aca="false">Z176</f>
        <v>0.24</v>
      </c>
      <c r="DE176" s="181" t="n">
        <f aca="false">AA176</f>
        <v>0.3</v>
      </c>
      <c r="DF176" s="181" t="n">
        <f aca="false">AB176</f>
        <v>0.36</v>
      </c>
      <c r="DH176" s="180" t="n">
        <f aca="false">BH176</f>
        <v>41821</v>
      </c>
      <c r="DI176" s="135" t="n">
        <f aca="false">BI176</f>
        <v>0.75</v>
      </c>
      <c r="DL176" s="180" t="n">
        <f aca="false">M176</f>
        <v>41821</v>
      </c>
      <c r="DM176" s="181" t="n">
        <f aca="false">AL176</f>
        <v>0.192</v>
      </c>
      <c r="DN176" s="181" t="n">
        <f aca="false">AM176</f>
        <v>0.24</v>
      </c>
      <c r="DO176" s="181" t="n">
        <f aca="false">AN176</f>
        <v>0.288</v>
      </c>
      <c r="DQ176" s="181" t="n">
        <f aca="false">AD176</f>
        <v>0.12</v>
      </c>
      <c r="DR176" s="181" t="n">
        <f aca="false">AE176</f>
        <v>0.15</v>
      </c>
      <c r="DS176" s="181" t="n">
        <f aca="false">AF176</f>
        <v>0.18</v>
      </c>
    </row>
    <row r="177" customFormat="false" ht="12.75" hidden="false" customHeight="false" outlineLevel="0" collapsed="false">
      <c r="A177" s="145" t="n">
        <f aca="false">EOMONTH(A176,0)+1</f>
        <v>50922</v>
      </c>
      <c r="B177" s="135" t="n">
        <f aca="false">'Gas Curves'!C181</f>
        <v>0.0645809255869567</v>
      </c>
      <c r="C177" s="135"/>
      <c r="D177" s="173" t="n">
        <v>40969</v>
      </c>
      <c r="E177" s="174" t="n">
        <v>34.1076808308446</v>
      </c>
      <c r="F177" s="174" t="n">
        <v>35.6076808308446</v>
      </c>
      <c r="G177" s="174" t="n">
        <v>37.1076808308446</v>
      </c>
      <c r="H177" s="159"/>
      <c r="I177" s="174" t="n">
        <v>25</v>
      </c>
      <c r="J177" s="174" t="n">
        <v>25</v>
      </c>
      <c r="K177" s="174" t="n">
        <v>25</v>
      </c>
      <c r="L177" s="141"/>
      <c r="M177" s="142" t="n">
        <v>41852</v>
      </c>
      <c r="N177" s="175" t="n">
        <v>33.2900047302246</v>
      </c>
      <c r="O177" s="175" t="n">
        <v>33.2900047302246</v>
      </c>
      <c r="P177" s="175" t="n">
        <v>33.2900047302246</v>
      </c>
      <c r="Q177" s="62"/>
      <c r="R177" s="175" t="n">
        <v>25.7900009155273</v>
      </c>
      <c r="S177" s="175" t="n">
        <v>25.7900009155273</v>
      </c>
      <c r="T177" s="175" t="n">
        <v>25.7900009155273</v>
      </c>
      <c r="U177" s="62"/>
      <c r="V177" s="175" t="n">
        <v>0</v>
      </c>
      <c r="W177" s="175" t="n">
        <v>0</v>
      </c>
      <c r="X177" s="175" t="n">
        <v>0</v>
      </c>
      <c r="Y177" s="62"/>
      <c r="Z177" s="175" t="n">
        <v>0.24</v>
      </c>
      <c r="AA177" s="175" t="n">
        <v>0.3</v>
      </c>
      <c r="AB177" s="175" t="n">
        <v>0.36</v>
      </c>
      <c r="AC177" s="62"/>
      <c r="AD177" s="175" t="n">
        <v>0.12</v>
      </c>
      <c r="AE177" s="175" t="n">
        <v>0.15</v>
      </c>
      <c r="AF177" s="175" t="n">
        <v>0.18</v>
      </c>
      <c r="AG177" s="62"/>
      <c r="AH177" s="175" t="n">
        <v>0.32</v>
      </c>
      <c r="AI177" s="175" t="n">
        <v>0.4</v>
      </c>
      <c r="AJ177" s="175" t="n">
        <v>0.48</v>
      </c>
      <c r="AK177" s="62"/>
      <c r="AL177" s="175" t="n">
        <v>0.192</v>
      </c>
      <c r="AM177" s="175" t="n">
        <v>0.24</v>
      </c>
      <c r="AN177" s="175" t="n">
        <v>0.288</v>
      </c>
      <c r="AO177" s="62"/>
      <c r="AP177" s="141" t="n">
        <v>53</v>
      </c>
      <c r="AQ177" s="176" t="n">
        <v>0.4</v>
      </c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142" t="n">
        <v>41852</v>
      </c>
      <c r="BI177" s="178" t="n">
        <v>0.75</v>
      </c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0"/>
      <c r="CM177" s="230"/>
      <c r="CN177" s="230"/>
      <c r="CO177" s="179"/>
      <c r="CP177" s="0"/>
      <c r="CQ177" s="0"/>
      <c r="CR177" s="0"/>
      <c r="CS177" s="0"/>
      <c r="CT177" s="0"/>
      <c r="CY177" s="180" t="n">
        <f aca="false">M177</f>
        <v>41852</v>
      </c>
      <c r="CZ177" s="181" t="n">
        <f aca="false">AH177</f>
        <v>0.32</v>
      </c>
      <c r="DA177" s="181" t="n">
        <f aca="false">AI177</f>
        <v>0.4</v>
      </c>
      <c r="DB177" s="181" t="n">
        <f aca="false">AJ177</f>
        <v>0.48</v>
      </c>
      <c r="DD177" s="181" t="n">
        <f aca="false">Z177</f>
        <v>0.24</v>
      </c>
      <c r="DE177" s="181" t="n">
        <f aca="false">AA177</f>
        <v>0.3</v>
      </c>
      <c r="DF177" s="181" t="n">
        <f aca="false">AB177</f>
        <v>0.36</v>
      </c>
      <c r="DH177" s="180" t="n">
        <f aca="false">BH177</f>
        <v>41852</v>
      </c>
      <c r="DI177" s="135" t="n">
        <f aca="false">BI177</f>
        <v>0.75</v>
      </c>
      <c r="DL177" s="180" t="n">
        <f aca="false">M177</f>
        <v>41852</v>
      </c>
      <c r="DM177" s="181" t="n">
        <f aca="false">AL177</f>
        <v>0.192</v>
      </c>
      <c r="DN177" s="181" t="n">
        <f aca="false">AM177</f>
        <v>0.24</v>
      </c>
      <c r="DO177" s="181" t="n">
        <f aca="false">AN177</f>
        <v>0.288</v>
      </c>
      <c r="DQ177" s="181" t="n">
        <f aca="false">AD177</f>
        <v>0.12</v>
      </c>
      <c r="DR177" s="181" t="n">
        <f aca="false">AE177</f>
        <v>0.15</v>
      </c>
      <c r="DS177" s="181" t="n">
        <f aca="false">AF177</f>
        <v>0.18</v>
      </c>
    </row>
    <row r="178" customFormat="false" ht="12.75" hidden="false" customHeight="false" outlineLevel="0" collapsed="false">
      <c r="A178" s="145" t="n">
        <f aca="false">EOMONTH(A177,0)+1</f>
        <v>50952</v>
      </c>
      <c r="B178" s="135" t="n">
        <f aca="false">'Gas Curves'!C182</f>
        <v>0.0646191494652766</v>
      </c>
      <c r="C178" s="135"/>
      <c r="D178" s="173" t="n">
        <v>41000</v>
      </c>
      <c r="E178" s="174" t="n">
        <v>34.3076815937841</v>
      </c>
      <c r="F178" s="174" t="n">
        <v>35.8076815937841</v>
      </c>
      <c r="G178" s="174" t="n">
        <v>37.3076815937841</v>
      </c>
      <c r="H178" s="159"/>
      <c r="I178" s="174" t="n">
        <v>22</v>
      </c>
      <c r="J178" s="174" t="n">
        <v>22</v>
      </c>
      <c r="K178" s="174" t="n">
        <v>22</v>
      </c>
      <c r="L178" s="141"/>
      <c r="M178" s="142" t="n">
        <v>41883</v>
      </c>
      <c r="N178" s="175" t="n">
        <v>25.2900009155273</v>
      </c>
      <c r="O178" s="175" t="n">
        <v>25.2900009155273</v>
      </c>
      <c r="P178" s="175" t="n">
        <v>25.2900009155273</v>
      </c>
      <c r="Q178" s="62"/>
      <c r="R178" s="175" t="n">
        <v>19.7900009155273</v>
      </c>
      <c r="S178" s="175" t="n">
        <v>19.7900009155273</v>
      </c>
      <c r="T178" s="175" t="n">
        <v>19.7900009155273</v>
      </c>
      <c r="U178" s="62"/>
      <c r="V178" s="175" t="n">
        <v>0</v>
      </c>
      <c r="W178" s="175" t="n">
        <v>0</v>
      </c>
      <c r="X178" s="175" t="n">
        <v>0</v>
      </c>
      <c r="Y178" s="62"/>
      <c r="Z178" s="175" t="n">
        <v>0.16</v>
      </c>
      <c r="AA178" s="175" t="n">
        <v>0.2</v>
      </c>
      <c r="AB178" s="175" t="n">
        <v>0.24</v>
      </c>
      <c r="AC178" s="62"/>
      <c r="AD178" s="175" t="n">
        <v>0.08</v>
      </c>
      <c r="AE178" s="175" t="n">
        <v>0.1</v>
      </c>
      <c r="AF178" s="175" t="n">
        <v>0.12</v>
      </c>
      <c r="AG178" s="62"/>
      <c r="AH178" s="175" t="n">
        <v>0.2</v>
      </c>
      <c r="AI178" s="175" t="n">
        <v>0.25</v>
      </c>
      <c r="AJ178" s="175" t="n">
        <v>0.3</v>
      </c>
      <c r="AK178" s="62"/>
      <c r="AL178" s="175" t="n">
        <v>0.12</v>
      </c>
      <c r="AM178" s="175" t="n">
        <v>0.15</v>
      </c>
      <c r="AN178" s="175" t="n">
        <v>0.18</v>
      </c>
      <c r="AO178" s="62"/>
      <c r="AP178" s="141" t="n">
        <v>54</v>
      </c>
      <c r="AQ178" s="176" t="n">
        <v>0.4</v>
      </c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142" t="n">
        <v>41883</v>
      </c>
      <c r="BI178" s="178" t="n">
        <v>0.75</v>
      </c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0"/>
      <c r="CM178" s="230"/>
      <c r="CN178" s="230"/>
      <c r="CO178" s="179"/>
      <c r="CP178" s="0"/>
      <c r="CQ178" s="0"/>
      <c r="CR178" s="0"/>
      <c r="CS178" s="0"/>
      <c r="CT178" s="0"/>
      <c r="CY178" s="180" t="n">
        <f aca="false">M178</f>
        <v>41883</v>
      </c>
      <c r="CZ178" s="181" t="n">
        <f aca="false">AH178</f>
        <v>0.2</v>
      </c>
      <c r="DA178" s="181" t="n">
        <f aca="false">AI178</f>
        <v>0.25</v>
      </c>
      <c r="DB178" s="181" t="n">
        <f aca="false">AJ178</f>
        <v>0.3</v>
      </c>
      <c r="DD178" s="181" t="n">
        <f aca="false">Z178</f>
        <v>0.16</v>
      </c>
      <c r="DE178" s="181" t="n">
        <f aca="false">AA178</f>
        <v>0.2</v>
      </c>
      <c r="DF178" s="181" t="n">
        <f aca="false">AB178</f>
        <v>0.24</v>
      </c>
      <c r="DH178" s="180" t="n">
        <f aca="false">BH178</f>
        <v>41883</v>
      </c>
      <c r="DI178" s="135" t="n">
        <f aca="false">BI178</f>
        <v>0.75</v>
      </c>
      <c r="DL178" s="180" t="n">
        <f aca="false">M178</f>
        <v>41883</v>
      </c>
      <c r="DM178" s="181" t="n">
        <f aca="false">AL178</f>
        <v>0.12</v>
      </c>
      <c r="DN178" s="181" t="n">
        <f aca="false">AM178</f>
        <v>0.15</v>
      </c>
      <c r="DO178" s="181" t="n">
        <f aca="false">AN178</f>
        <v>0.18</v>
      </c>
      <c r="DQ178" s="181" t="n">
        <f aca="false">AD178</f>
        <v>0.08</v>
      </c>
      <c r="DR178" s="181" t="n">
        <f aca="false">AE178</f>
        <v>0.1</v>
      </c>
      <c r="DS178" s="181" t="n">
        <f aca="false">AF178</f>
        <v>0.12</v>
      </c>
    </row>
    <row r="179" customFormat="false" ht="12.75" hidden="false" customHeight="false" outlineLevel="0" collapsed="false">
      <c r="A179" s="145" t="n">
        <f aca="false">EOMONTH(A178,0)+1</f>
        <v>50983</v>
      </c>
      <c r="B179" s="135" t="n">
        <f aca="false">'Gas Curves'!C183</f>
        <v>0.0646536742590134</v>
      </c>
      <c r="C179" s="135"/>
      <c r="D179" s="173" t="n">
        <v>41030</v>
      </c>
      <c r="E179" s="174" t="n">
        <v>39.8350028991699</v>
      </c>
      <c r="F179" s="174" t="n">
        <v>42.0850028991699</v>
      </c>
      <c r="G179" s="174" t="n">
        <v>44.3350028991699</v>
      </c>
      <c r="H179" s="159"/>
      <c r="I179" s="174" t="n">
        <v>22.5400009155273</v>
      </c>
      <c r="J179" s="174" t="n">
        <v>22.5400009155273</v>
      </c>
      <c r="K179" s="174" t="n">
        <v>22.5400009155273</v>
      </c>
      <c r="L179" s="141"/>
      <c r="M179" s="142" t="n">
        <v>41913</v>
      </c>
      <c r="N179" s="175" t="n">
        <v>20.2860012054443</v>
      </c>
      <c r="O179" s="175" t="n">
        <v>20.2860012054443</v>
      </c>
      <c r="P179" s="175" t="n">
        <v>20.2860012054443</v>
      </c>
      <c r="Q179" s="62"/>
      <c r="R179" s="175" t="n">
        <v>14.7865009307861</v>
      </c>
      <c r="S179" s="175" t="n">
        <v>14.7865009307861</v>
      </c>
      <c r="T179" s="175" t="n">
        <v>14.7865009307861</v>
      </c>
      <c r="U179" s="62"/>
      <c r="V179" s="175" t="n">
        <v>0</v>
      </c>
      <c r="W179" s="175" t="n">
        <v>0</v>
      </c>
      <c r="X179" s="175" t="n">
        <v>0</v>
      </c>
      <c r="Y179" s="62"/>
      <c r="Z179" s="175" t="n">
        <v>0.16</v>
      </c>
      <c r="AA179" s="175" t="n">
        <v>0.2</v>
      </c>
      <c r="AB179" s="175" t="n">
        <v>0.24</v>
      </c>
      <c r="AC179" s="62"/>
      <c r="AD179" s="175" t="n">
        <v>0.08</v>
      </c>
      <c r="AE179" s="175" t="n">
        <v>0.1</v>
      </c>
      <c r="AF179" s="175" t="n">
        <v>0.12</v>
      </c>
      <c r="AG179" s="62"/>
      <c r="AH179" s="175" t="n">
        <v>0.2</v>
      </c>
      <c r="AI179" s="175" t="n">
        <v>0.25</v>
      </c>
      <c r="AJ179" s="175" t="n">
        <v>0.3</v>
      </c>
      <c r="AK179" s="62"/>
      <c r="AL179" s="175" t="n">
        <v>0.12</v>
      </c>
      <c r="AM179" s="175" t="n">
        <v>0.15</v>
      </c>
      <c r="AN179" s="175" t="n">
        <v>0.18</v>
      </c>
      <c r="AO179" s="62"/>
      <c r="AP179" s="141" t="n">
        <v>54</v>
      </c>
      <c r="AQ179" s="176" t="n">
        <v>0.4</v>
      </c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142" t="n">
        <v>41913</v>
      </c>
      <c r="BI179" s="178" t="n">
        <v>0.75</v>
      </c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0"/>
      <c r="CM179" s="230"/>
      <c r="CN179" s="230"/>
      <c r="CO179" s="179"/>
      <c r="CP179" s="0"/>
      <c r="CQ179" s="0"/>
      <c r="CR179" s="0"/>
      <c r="CS179" s="0"/>
      <c r="CT179" s="0"/>
      <c r="CY179" s="180" t="n">
        <f aca="false">M179</f>
        <v>41913</v>
      </c>
      <c r="CZ179" s="181" t="n">
        <f aca="false">AH179</f>
        <v>0.2</v>
      </c>
      <c r="DA179" s="181" t="n">
        <f aca="false">AI179</f>
        <v>0.25</v>
      </c>
      <c r="DB179" s="181" t="n">
        <f aca="false">AJ179</f>
        <v>0.3</v>
      </c>
      <c r="DD179" s="181" t="n">
        <f aca="false">Z179</f>
        <v>0.16</v>
      </c>
      <c r="DE179" s="181" t="n">
        <f aca="false">AA179</f>
        <v>0.2</v>
      </c>
      <c r="DF179" s="181" t="n">
        <f aca="false">AB179</f>
        <v>0.24</v>
      </c>
      <c r="DH179" s="180" t="n">
        <f aca="false">BH179</f>
        <v>41913</v>
      </c>
      <c r="DI179" s="135" t="n">
        <f aca="false">BI179</f>
        <v>0.75</v>
      </c>
      <c r="DL179" s="180" t="n">
        <f aca="false">M179</f>
        <v>41913</v>
      </c>
      <c r="DM179" s="181" t="n">
        <f aca="false">AL179</f>
        <v>0.12</v>
      </c>
      <c r="DN179" s="181" t="n">
        <f aca="false">AM179</f>
        <v>0.15</v>
      </c>
      <c r="DO179" s="181" t="n">
        <f aca="false">AN179</f>
        <v>0.18</v>
      </c>
      <c r="DQ179" s="181" t="n">
        <f aca="false">AD179</f>
        <v>0.08</v>
      </c>
      <c r="DR179" s="181" t="n">
        <f aca="false">AE179</f>
        <v>0.1</v>
      </c>
      <c r="DS179" s="181" t="n">
        <f aca="false">AF179</f>
        <v>0.12</v>
      </c>
    </row>
    <row r="180" customFormat="false" ht="12.75" hidden="false" customHeight="false" outlineLevel="0" collapsed="false">
      <c r="A180" s="145" t="n">
        <f aca="false">EOMONTH(A179,0)+1</f>
        <v>51014</v>
      </c>
      <c r="B180" s="135" t="n">
        <f aca="false">'Gas Curves'!C184</f>
        <v>0.0646918981382547</v>
      </c>
      <c r="C180" s="135"/>
      <c r="D180" s="173" t="n">
        <v>41061</v>
      </c>
      <c r="E180" s="174" t="n">
        <v>46.6250038146973</v>
      </c>
      <c r="F180" s="174" t="n">
        <v>51.6250038146973</v>
      </c>
      <c r="G180" s="174" t="n">
        <v>56.6250038146973</v>
      </c>
      <c r="H180" s="159"/>
      <c r="I180" s="174" t="n">
        <v>25.5400009155273</v>
      </c>
      <c r="J180" s="174" t="n">
        <v>25.5400009155273</v>
      </c>
      <c r="K180" s="174" t="n">
        <v>25.5400009155273</v>
      </c>
      <c r="L180" s="141"/>
      <c r="M180" s="142" t="n">
        <v>41944</v>
      </c>
      <c r="N180" s="175" t="n">
        <v>22.2900009155273</v>
      </c>
      <c r="O180" s="175" t="n">
        <v>22.2900009155273</v>
      </c>
      <c r="P180" s="175" t="n">
        <v>22.2900009155273</v>
      </c>
      <c r="Q180" s="62"/>
      <c r="R180" s="175" t="n">
        <v>14.7900009155273</v>
      </c>
      <c r="S180" s="175" t="n">
        <v>14.7900009155273</v>
      </c>
      <c r="T180" s="175" t="n">
        <v>14.7900009155273</v>
      </c>
      <c r="U180" s="62"/>
      <c r="V180" s="175" t="n">
        <v>0</v>
      </c>
      <c r="W180" s="175" t="n">
        <v>0</v>
      </c>
      <c r="X180" s="175" t="n">
        <v>0</v>
      </c>
      <c r="Y180" s="62"/>
      <c r="Z180" s="175" t="n">
        <v>0.16</v>
      </c>
      <c r="AA180" s="175" t="n">
        <v>0.2</v>
      </c>
      <c r="AB180" s="175" t="n">
        <v>0.24</v>
      </c>
      <c r="AC180" s="62"/>
      <c r="AD180" s="175" t="n">
        <v>0.08</v>
      </c>
      <c r="AE180" s="175" t="n">
        <v>0.1</v>
      </c>
      <c r="AF180" s="175" t="n">
        <v>0.12</v>
      </c>
      <c r="AG180" s="62"/>
      <c r="AH180" s="175" t="n">
        <v>0.2</v>
      </c>
      <c r="AI180" s="175" t="n">
        <v>0.25</v>
      </c>
      <c r="AJ180" s="175" t="n">
        <v>0.3</v>
      </c>
      <c r="AK180" s="62"/>
      <c r="AL180" s="175" t="n">
        <v>0.12</v>
      </c>
      <c r="AM180" s="175" t="n">
        <v>0.15</v>
      </c>
      <c r="AN180" s="175" t="n">
        <v>0.18</v>
      </c>
      <c r="AO180" s="62"/>
      <c r="AP180" s="141" t="n">
        <v>54</v>
      </c>
      <c r="AQ180" s="176" t="n">
        <v>0.4</v>
      </c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142" t="n">
        <v>41944</v>
      </c>
      <c r="BI180" s="178" t="n">
        <v>0.75</v>
      </c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0"/>
      <c r="CM180" s="230"/>
      <c r="CN180" s="230"/>
      <c r="CO180" s="179"/>
      <c r="CP180" s="0"/>
      <c r="CQ180" s="0"/>
      <c r="CR180" s="0"/>
      <c r="CS180" s="0"/>
      <c r="CT180" s="0"/>
      <c r="CY180" s="180" t="n">
        <f aca="false">M180</f>
        <v>41944</v>
      </c>
      <c r="CZ180" s="181" t="n">
        <f aca="false">AH180</f>
        <v>0.2</v>
      </c>
      <c r="DA180" s="181" t="n">
        <f aca="false">AI180</f>
        <v>0.25</v>
      </c>
      <c r="DB180" s="181" t="n">
        <f aca="false">AJ180</f>
        <v>0.3</v>
      </c>
      <c r="DD180" s="181" t="n">
        <f aca="false">Z180</f>
        <v>0.16</v>
      </c>
      <c r="DE180" s="181" t="n">
        <f aca="false">AA180</f>
        <v>0.2</v>
      </c>
      <c r="DF180" s="181" t="n">
        <f aca="false">AB180</f>
        <v>0.24</v>
      </c>
      <c r="DH180" s="180" t="n">
        <f aca="false">BH180</f>
        <v>41944</v>
      </c>
      <c r="DI180" s="135" t="n">
        <f aca="false">BI180</f>
        <v>0.75</v>
      </c>
      <c r="DL180" s="180" t="n">
        <f aca="false">M180</f>
        <v>41944</v>
      </c>
      <c r="DM180" s="181" t="n">
        <f aca="false">AL180</f>
        <v>0.12</v>
      </c>
      <c r="DN180" s="181" t="n">
        <f aca="false">AM180</f>
        <v>0.15</v>
      </c>
      <c r="DO180" s="181" t="n">
        <f aca="false">AN180</f>
        <v>0.18</v>
      </c>
      <c r="DQ180" s="181" t="n">
        <f aca="false">AD180</f>
        <v>0.08</v>
      </c>
      <c r="DR180" s="181" t="n">
        <f aca="false">AE180</f>
        <v>0.1</v>
      </c>
      <c r="DS180" s="181" t="n">
        <f aca="false">AF180</f>
        <v>0.12</v>
      </c>
    </row>
    <row r="181" customFormat="false" ht="12.75" hidden="false" customHeight="false" outlineLevel="0" collapsed="false">
      <c r="A181" s="145" t="n">
        <f aca="false">EOMONTH(A180,0)+1</f>
        <v>51044</v>
      </c>
      <c r="B181" s="135" t="n">
        <f aca="false">'Gas Curves'!C185</f>
        <v>0.0647288889895945</v>
      </c>
      <c r="C181" s="135"/>
      <c r="D181" s="173" t="n">
        <v>41091</v>
      </c>
      <c r="E181" s="174" t="n">
        <v>52.25</v>
      </c>
      <c r="F181" s="174" t="n">
        <v>62.25</v>
      </c>
      <c r="G181" s="174" t="n">
        <v>72.25</v>
      </c>
      <c r="H181" s="159"/>
      <c r="I181" s="174" t="n">
        <v>26.0400009155273</v>
      </c>
      <c r="J181" s="174" t="n">
        <v>26.0400009155273</v>
      </c>
      <c r="K181" s="174" t="n">
        <v>26.0400009155273</v>
      </c>
      <c r="L181" s="141"/>
      <c r="M181" s="142" t="n">
        <v>41974</v>
      </c>
      <c r="N181" s="175" t="n">
        <v>27.2900009155273</v>
      </c>
      <c r="O181" s="175" t="n">
        <v>27.2900009155273</v>
      </c>
      <c r="P181" s="175" t="n">
        <v>27.2900009155273</v>
      </c>
      <c r="Q181" s="62"/>
      <c r="R181" s="175" t="n">
        <v>21.7900009155273</v>
      </c>
      <c r="S181" s="175" t="n">
        <v>21.7900009155273</v>
      </c>
      <c r="T181" s="175" t="n">
        <v>21.7900009155273</v>
      </c>
      <c r="U181" s="62"/>
      <c r="V181" s="175" t="n">
        <v>0</v>
      </c>
      <c r="W181" s="175" t="n">
        <v>0</v>
      </c>
      <c r="X181" s="175" t="n">
        <v>0</v>
      </c>
      <c r="Y181" s="62"/>
      <c r="Z181" s="175" t="n">
        <v>0.16</v>
      </c>
      <c r="AA181" s="175" t="n">
        <v>0.2</v>
      </c>
      <c r="AB181" s="175" t="n">
        <v>0.24</v>
      </c>
      <c r="AC181" s="62"/>
      <c r="AD181" s="175" t="n">
        <v>0.08</v>
      </c>
      <c r="AE181" s="175" t="n">
        <v>0.1</v>
      </c>
      <c r="AF181" s="175" t="n">
        <v>0.12</v>
      </c>
      <c r="AG181" s="62"/>
      <c r="AH181" s="175" t="n">
        <v>0.2</v>
      </c>
      <c r="AI181" s="175" t="n">
        <v>0.25</v>
      </c>
      <c r="AJ181" s="175" t="n">
        <v>0.3</v>
      </c>
      <c r="AK181" s="62"/>
      <c r="AL181" s="175" t="n">
        <v>0.12</v>
      </c>
      <c r="AM181" s="175" t="n">
        <v>0.15</v>
      </c>
      <c r="AN181" s="175" t="n">
        <v>0.18</v>
      </c>
      <c r="AO181" s="62"/>
      <c r="AP181" s="141" t="n">
        <v>55</v>
      </c>
      <c r="AQ181" s="176" t="n">
        <v>0.4</v>
      </c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142" t="n">
        <v>41974</v>
      </c>
      <c r="BI181" s="178" t="n">
        <v>0.75</v>
      </c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0"/>
      <c r="CM181" s="230"/>
      <c r="CN181" s="230"/>
      <c r="CO181" s="179"/>
      <c r="CP181" s="0"/>
      <c r="CQ181" s="0"/>
      <c r="CR181" s="0"/>
      <c r="CS181" s="0"/>
      <c r="CT181" s="0"/>
      <c r="CY181" s="180" t="n">
        <f aca="false">M181</f>
        <v>41974</v>
      </c>
      <c r="CZ181" s="181" t="n">
        <f aca="false">AH181</f>
        <v>0.2</v>
      </c>
      <c r="DA181" s="181" t="n">
        <f aca="false">AI181</f>
        <v>0.25</v>
      </c>
      <c r="DB181" s="181" t="n">
        <f aca="false">AJ181</f>
        <v>0.3</v>
      </c>
      <c r="DD181" s="181" t="n">
        <f aca="false">Z181</f>
        <v>0.16</v>
      </c>
      <c r="DE181" s="181" t="n">
        <f aca="false">AA181</f>
        <v>0.2</v>
      </c>
      <c r="DF181" s="181" t="n">
        <f aca="false">AB181</f>
        <v>0.24</v>
      </c>
      <c r="DH181" s="180" t="n">
        <f aca="false">BH181</f>
        <v>41974</v>
      </c>
      <c r="DI181" s="135" t="n">
        <f aca="false">BI181</f>
        <v>0.75</v>
      </c>
      <c r="DL181" s="180" t="n">
        <f aca="false">M181</f>
        <v>41974</v>
      </c>
      <c r="DM181" s="181" t="n">
        <f aca="false">AL181</f>
        <v>0.12</v>
      </c>
      <c r="DN181" s="181" t="n">
        <f aca="false">AM181</f>
        <v>0.15</v>
      </c>
      <c r="DO181" s="181" t="n">
        <f aca="false">AN181</f>
        <v>0.18</v>
      </c>
      <c r="DQ181" s="181" t="n">
        <f aca="false">AD181</f>
        <v>0.08</v>
      </c>
      <c r="DR181" s="181" t="n">
        <f aca="false">AE181</f>
        <v>0.1</v>
      </c>
      <c r="DS181" s="181" t="n">
        <f aca="false">AF181</f>
        <v>0.12</v>
      </c>
    </row>
    <row r="182" customFormat="false" ht="12.75" hidden="false" customHeight="false" outlineLevel="0" collapsed="false">
      <c r="A182" s="145" t="n">
        <f aca="false">EOMONTH(A181,0)+1</f>
        <v>51075</v>
      </c>
      <c r="B182" s="135" t="n">
        <f aca="false">'Gas Curves'!C186</f>
        <v>0.0647671128697889</v>
      </c>
      <c r="C182" s="135"/>
      <c r="D182" s="173" t="n">
        <v>41122</v>
      </c>
      <c r="E182" s="174" t="n">
        <v>52.25</v>
      </c>
      <c r="F182" s="174" t="n">
        <v>62.25</v>
      </c>
      <c r="G182" s="174" t="n">
        <v>72.25</v>
      </c>
      <c r="H182" s="159"/>
      <c r="I182" s="174" t="n">
        <v>27.0400009155273</v>
      </c>
      <c r="J182" s="174" t="n">
        <v>27.0400009155273</v>
      </c>
      <c r="K182" s="174" t="n">
        <v>27.0400009155273</v>
      </c>
      <c r="L182" s="141"/>
      <c r="M182" s="142" t="n">
        <v>42005</v>
      </c>
      <c r="N182" s="175" t="n">
        <v>35.75</v>
      </c>
      <c r="O182" s="175" t="n">
        <v>35.75</v>
      </c>
      <c r="P182" s="175" t="n">
        <v>35.75</v>
      </c>
      <c r="Q182" s="62"/>
      <c r="R182" s="175" t="n">
        <v>25.25</v>
      </c>
      <c r="S182" s="175" t="n">
        <v>25.25</v>
      </c>
      <c r="T182" s="175" t="n">
        <v>25.25</v>
      </c>
      <c r="U182" s="62"/>
      <c r="V182" s="175" t="n">
        <v>0</v>
      </c>
      <c r="W182" s="175" t="n">
        <v>0</v>
      </c>
      <c r="X182" s="175" t="n">
        <v>0</v>
      </c>
      <c r="Y182" s="62"/>
      <c r="Z182" s="175" t="n">
        <v>0.16</v>
      </c>
      <c r="AA182" s="175" t="n">
        <v>0.2</v>
      </c>
      <c r="AB182" s="175" t="n">
        <v>0.24</v>
      </c>
      <c r="AC182" s="62"/>
      <c r="AD182" s="175" t="n">
        <v>0.08</v>
      </c>
      <c r="AE182" s="175" t="n">
        <v>0.1</v>
      </c>
      <c r="AF182" s="175" t="n">
        <v>0.12</v>
      </c>
      <c r="AG182" s="62"/>
      <c r="AH182" s="175" t="n">
        <v>0.2</v>
      </c>
      <c r="AI182" s="175" t="n">
        <v>0.25</v>
      </c>
      <c r="AJ182" s="175" t="n">
        <v>0.3</v>
      </c>
      <c r="AK182" s="62"/>
      <c r="AL182" s="175" t="n">
        <v>0.12</v>
      </c>
      <c r="AM182" s="175" t="n">
        <v>0.15</v>
      </c>
      <c r="AN182" s="175" t="n">
        <v>0.18</v>
      </c>
      <c r="AO182" s="62"/>
      <c r="AP182" s="141" t="n">
        <v>55</v>
      </c>
      <c r="AQ182" s="176" t="n">
        <v>0.4</v>
      </c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142" t="n">
        <v>42005</v>
      </c>
      <c r="BI182" s="178" t="n">
        <v>0.75</v>
      </c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0"/>
      <c r="CM182" s="230"/>
      <c r="CN182" s="230"/>
      <c r="CO182" s="179"/>
      <c r="CP182" s="0"/>
      <c r="CQ182" s="0"/>
      <c r="CR182" s="0"/>
      <c r="CS182" s="0"/>
      <c r="CT182" s="0"/>
      <c r="CY182" s="180" t="n">
        <f aca="false">M182</f>
        <v>42005</v>
      </c>
      <c r="CZ182" s="181" t="n">
        <f aca="false">AH182</f>
        <v>0.2</v>
      </c>
      <c r="DA182" s="181" t="n">
        <f aca="false">AI182</f>
        <v>0.25</v>
      </c>
      <c r="DB182" s="181" t="n">
        <f aca="false">AJ182</f>
        <v>0.3</v>
      </c>
      <c r="DD182" s="181" t="n">
        <f aca="false">Z182</f>
        <v>0.16</v>
      </c>
      <c r="DE182" s="181" t="n">
        <f aca="false">AA182</f>
        <v>0.2</v>
      </c>
      <c r="DF182" s="181" t="n">
        <f aca="false">AB182</f>
        <v>0.24</v>
      </c>
      <c r="DH182" s="180" t="n">
        <f aca="false">BH182</f>
        <v>42005</v>
      </c>
      <c r="DI182" s="135" t="n">
        <f aca="false">BI182</f>
        <v>0.75</v>
      </c>
      <c r="DL182" s="180" t="n">
        <f aca="false">M182</f>
        <v>42005</v>
      </c>
      <c r="DM182" s="181" t="n">
        <f aca="false">AL182</f>
        <v>0.12</v>
      </c>
      <c r="DN182" s="181" t="n">
        <f aca="false">AM182</f>
        <v>0.15</v>
      </c>
      <c r="DO182" s="181" t="n">
        <f aca="false">AN182</f>
        <v>0.18</v>
      </c>
      <c r="DQ182" s="181" t="n">
        <f aca="false">AD182</f>
        <v>0.08</v>
      </c>
      <c r="DR182" s="181" t="n">
        <f aca="false">AE182</f>
        <v>0.1</v>
      </c>
      <c r="DS182" s="181" t="n">
        <f aca="false">AF182</f>
        <v>0.12</v>
      </c>
    </row>
    <row r="183" customFormat="false" ht="12.75" hidden="false" customHeight="false" outlineLevel="0" collapsed="false">
      <c r="A183" s="145" t="n">
        <f aca="false">EOMONTH(A182,0)+1</f>
        <v>51105</v>
      </c>
      <c r="B183" s="135" t="n">
        <f aca="false">'Gas Curves'!C187</f>
        <v>0.064804103722051</v>
      </c>
      <c r="C183" s="135"/>
      <c r="D183" s="173" t="n">
        <v>41153</v>
      </c>
      <c r="E183" s="174" t="n">
        <v>30.2100028991699</v>
      </c>
      <c r="F183" s="174" t="n">
        <v>31.7100028991699</v>
      </c>
      <c r="G183" s="174" t="n">
        <v>33.2100028991699</v>
      </c>
      <c r="H183" s="159"/>
      <c r="I183" s="174" t="n">
        <v>21.0400009155273</v>
      </c>
      <c r="J183" s="174" t="n">
        <v>21.0400009155273</v>
      </c>
      <c r="K183" s="174" t="n">
        <v>21.0400009155273</v>
      </c>
      <c r="L183" s="141"/>
      <c r="M183" s="142" t="n">
        <v>42036</v>
      </c>
      <c r="N183" s="175" t="n">
        <v>31.2460021972656</v>
      </c>
      <c r="O183" s="175" t="n">
        <v>31.2460021972656</v>
      </c>
      <c r="P183" s="175" t="n">
        <v>31.2460021972656</v>
      </c>
      <c r="Q183" s="62"/>
      <c r="R183" s="175" t="n">
        <v>22.7465019226074</v>
      </c>
      <c r="S183" s="175" t="n">
        <v>22.7465019226074</v>
      </c>
      <c r="T183" s="175" t="n">
        <v>22.7465019226074</v>
      </c>
      <c r="U183" s="62"/>
      <c r="V183" s="175" t="n">
        <v>0</v>
      </c>
      <c r="W183" s="175" t="n">
        <v>0</v>
      </c>
      <c r="X183" s="175" t="n">
        <v>0</v>
      </c>
      <c r="Y183" s="62"/>
      <c r="Z183" s="175" t="n">
        <v>0.16</v>
      </c>
      <c r="AA183" s="175" t="n">
        <v>0.2</v>
      </c>
      <c r="AB183" s="175" t="n">
        <v>0.24</v>
      </c>
      <c r="AC183" s="62"/>
      <c r="AD183" s="175" t="n">
        <v>0.08</v>
      </c>
      <c r="AE183" s="175" t="n">
        <v>0.1</v>
      </c>
      <c r="AF183" s="175" t="n">
        <v>0.12</v>
      </c>
      <c r="AG183" s="62"/>
      <c r="AH183" s="175" t="n">
        <v>0.2</v>
      </c>
      <c r="AI183" s="175" t="n">
        <v>0.25</v>
      </c>
      <c r="AJ183" s="175" t="n">
        <v>0.3</v>
      </c>
      <c r="AK183" s="62"/>
      <c r="AL183" s="175" t="n">
        <v>0.12</v>
      </c>
      <c r="AM183" s="175" t="n">
        <v>0.15</v>
      </c>
      <c r="AN183" s="175" t="n">
        <v>0.18</v>
      </c>
      <c r="AO183" s="62"/>
      <c r="AP183" s="141" t="n">
        <v>55</v>
      </c>
      <c r="AQ183" s="176" t="n">
        <v>0.4</v>
      </c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142" t="n">
        <v>42036</v>
      </c>
      <c r="BI183" s="178" t="n">
        <v>0.75</v>
      </c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0"/>
      <c r="CM183" s="230"/>
      <c r="CN183" s="230"/>
      <c r="CO183" s="179"/>
      <c r="CP183" s="0"/>
      <c r="CQ183" s="0"/>
      <c r="CR183" s="0"/>
      <c r="CS183" s="0"/>
      <c r="CT183" s="0"/>
      <c r="CY183" s="180" t="n">
        <f aca="false">M183</f>
        <v>42036</v>
      </c>
      <c r="CZ183" s="181" t="n">
        <f aca="false">AH183</f>
        <v>0.2</v>
      </c>
      <c r="DA183" s="181" t="n">
        <f aca="false">AI183</f>
        <v>0.25</v>
      </c>
      <c r="DB183" s="181" t="n">
        <f aca="false">AJ183</f>
        <v>0.3</v>
      </c>
      <c r="DD183" s="181" t="n">
        <f aca="false">Z183</f>
        <v>0.16</v>
      </c>
      <c r="DE183" s="181" t="n">
        <f aca="false">AA183</f>
        <v>0.2</v>
      </c>
      <c r="DF183" s="181" t="n">
        <f aca="false">AB183</f>
        <v>0.24</v>
      </c>
      <c r="DH183" s="180" t="n">
        <f aca="false">BH183</f>
        <v>42036</v>
      </c>
      <c r="DI183" s="135" t="n">
        <f aca="false">BI183</f>
        <v>0.75</v>
      </c>
      <c r="DL183" s="180" t="n">
        <f aca="false">M183</f>
        <v>42036</v>
      </c>
      <c r="DM183" s="181" t="n">
        <f aca="false">AL183</f>
        <v>0.12</v>
      </c>
      <c r="DN183" s="181" t="n">
        <f aca="false">AM183</f>
        <v>0.15</v>
      </c>
      <c r="DO183" s="181" t="n">
        <f aca="false">AN183</f>
        <v>0.18</v>
      </c>
      <c r="DQ183" s="181" t="n">
        <f aca="false">AD183</f>
        <v>0.08</v>
      </c>
      <c r="DR183" s="181" t="n">
        <f aca="false">AE183</f>
        <v>0.1</v>
      </c>
      <c r="DS183" s="181" t="n">
        <f aca="false">AF183</f>
        <v>0.12</v>
      </c>
    </row>
    <row r="184" customFormat="false" ht="12.75" hidden="false" customHeight="false" outlineLevel="0" collapsed="false">
      <c r="A184" s="145" t="n">
        <f aca="false">EOMONTH(A183,0)+1</f>
        <v>51136</v>
      </c>
      <c r="B184" s="135" t="n">
        <f aca="false">'Gas Curves'!C188</f>
        <v>0.0648423276031989</v>
      </c>
      <c r="C184" s="135"/>
      <c r="D184" s="173" t="n">
        <v>41183</v>
      </c>
      <c r="E184" s="174" t="n">
        <v>32.8615688085556</v>
      </c>
      <c r="F184" s="174" t="n">
        <v>34.3615688085556</v>
      </c>
      <c r="G184" s="174" t="n">
        <v>35.8615688085556</v>
      </c>
      <c r="H184" s="159"/>
      <c r="I184" s="174" t="n">
        <v>20.540002822876</v>
      </c>
      <c r="J184" s="174" t="n">
        <v>20.540002822876</v>
      </c>
      <c r="K184" s="174" t="n">
        <v>20.540002822876</v>
      </c>
      <c r="L184" s="141"/>
      <c r="M184" s="142" t="n">
        <v>42064</v>
      </c>
      <c r="N184" s="175" t="n">
        <v>25.5</v>
      </c>
      <c r="O184" s="175" t="n">
        <v>25.5</v>
      </c>
      <c r="P184" s="175" t="n">
        <v>25.5</v>
      </c>
      <c r="Q184" s="62"/>
      <c r="R184" s="175" t="n">
        <v>20</v>
      </c>
      <c r="S184" s="175" t="n">
        <v>20</v>
      </c>
      <c r="T184" s="175" t="n">
        <v>20</v>
      </c>
      <c r="U184" s="62"/>
      <c r="V184" s="175" t="n">
        <v>0</v>
      </c>
      <c r="W184" s="175" t="n">
        <v>0</v>
      </c>
      <c r="X184" s="175" t="n">
        <v>0</v>
      </c>
      <c r="Y184" s="62"/>
      <c r="Z184" s="175" t="n">
        <v>0.16</v>
      </c>
      <c r="AA184" s="175" t="n">
        <v>0.2</v>
      </c>
      <c r="AB184" s="175" t="n">
        <v>0.24</v>
      </c>
      <c r="AC184" s="62"/>
      <c r="AD184" s="175" t="n">
        <v>0.08</v>
      </c>
      <c r="AE184" s="175" t="n">
        <v>0.1</v>
      </c>
      <c r="AF184" s="175" t="n">
        <v>0.12</v>
      </c>
      <c r="AG184" s="62"/>
      <c r="AH184" s="175" t="n">
        <v>0.2</v>
      </c>
      <c r="AI184" s="175" t="n">
        <v>0.25</v>
      </c>
      <c r="AJ184" s="175" t="n">
        <v>0.3</v>
      </c>
      <c r="AK184" s="62"/>
      <c r="AL184" s="175" t="n">
        <v>0.12</v>
      </c>
      <c r="AM184" s="175" t="n">
        <v>0.15</v>
      </c>
      <c r="AN184" s="175" t="n">
        <v>0.18</v>
      </c>
      <c r="AO184" s="62"/>
      <c r="AP184" s="141" t="n">
        <v>56</v>
      </c>
      <c r="AQ184" s="176" t="n">
        <v>0.4</v>
      </c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142" t="n">
        <v>42064</v>
      </c>
      <c r="BI184" s="178" t="n">
        <v>0.75</v>
      </c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0"/>
      <c r="CM184" s="230"/>
      <c r="CN184" s="230"/>
      <c r="CO184" s="179"/>
      <c r="CP184" s="0"/>
      <c r="CQ184" s="0"/>
      <c r="CR184" s="0"/>
      <c r="CS184" s="0"/>
      <c r="CT184" s="0"/>
      <c r="CY184" s="180" t="n">
        <f aca="false">M184</f>
        <v>42064</v>
      </c>
      <c r="CZ184" s="181" t="n">
        <f aca="false">AH184</f>
        <v>0.2</v>
      </c>
      <c r="DA184" s="181" t="n">
        <f aca="false">AI184</f>
        <v>0.25</v>
      </c>
      <c r="DB184" s="181" t="n">
        <f aca="false">AJ184</f>
        <v>0.3</v>
      </c>
      <c r="DD184" s="181" t="n">
        <f aca="false">Z184</f>
        <v>0.16</v>
      </c>
      <c r="DE184" s="181" t="n">
        <f aca="false">AA184</f>
        <v>0.2</v>
      </c>
      <c r="DF184" s="181" t="n">
        <f aca="false">AB184</f>
        <v>0.24</v>
      </c>
      <c r="DH184" s="180" t="n">
        <f aca="false">BH184</f>
        <v>42064</v>
      </c>
      <c r="DI184" s="135" t="n">
        <f aca="false">BI184</f>
        <v>0.75</v>
      </c>
      <c r="DL184" s="180" t="n">
        <f aca="false">M184</f>
        <v>42064</v>
      </c>
      <c r="DM184" s="181" t="n">
        <f aca="false">AL184</f>
        <v>0.12</v>
      </c>
      <c r="DN184" s="181" t="n">
        <f aca="false">AM184</f>
        <v>0.15</v>
      </c>
      <c r="DO184" s="181" t="n">
        <f aca="false">AN184</f>
        <v>0.18</v>
      </c>
      <c r="DQ184" s="181" t="n">
        <f aca="false">AD184</f>
        <v>0.08</v>
      </c>
      <c r="DR184" s="181" t="n">
        <f aca="false">AE184</f>
        <v>0.1</v>
      </c>
      <c r="DS184" s="181" t="n">
        <f aca="false">AF184</f>
        <v>0.12</v>
      </c>
    </row>
    <row r="185" customFormat="false" ht="12.75" hidden="false" customHeight="false" outlineLevel="0" collapsed="false">
      <c r="A185" s="145" t="n">
        <f aca="false">EOMONTH(A184,0)+1</f>
        <v>51167</v>
      </c>
      <c r="B185" s="135" t="n">
        <f aca="false">'Gas Curves'!C189</f>
        <v>0.0648805514848303</v>
      </c>
      <c r="C185" s="135"/>
      <c r="D185" s="173" t="n">
        <v>41214</v>
      </c>
      <c r="E185" s="174" t="n">
        <v>32.9615672826767</v>
      </c>
      <c r="F185" s="174" t="n">
        <v>34.4615672826767</v>
      </c>
      <c r="G185" s="174" t="n">
        <v>35.9615672826767</v>
      </c>
      <c r="H185" s="159"/>
      <c r="I185" s="174" t="n">
        <v>21.5400009155273</v>
      </c>
      <c r="J185" s="174" t="n">
        <v>21.5400009155273</v>
      </c>
      <c r="K185" s="174" t="n">
        <v>21.5400009155273</v>
      </c>
      <c r="L185" s="141"/>
      <c r="M185" s="142" t="n">
        <v>42095</v>
      </c>
      <c r="N185" s="175" t="n">
        <v>22</v>
      </c>
      <c r="O185" s="175" t="n">
        <v>22</v>
      </c>
      <c r="P185" s="175" t="n">
        <v>22</v>
      </c>
      <c r="Q185" s="62"/>
      <c r="R185" s="175" t="n">
        <v>16.4950008392334</v>
      </c>
      <c r="S185" s="175" t="n">
        <v>16.4950008392334</v>
      </c>
      <c r="T185" s="175" t="n">
        <v>16.4950008392334</v>
      </c>
      <c r="U185" s="62"/>
      <c r="V185" s="175" t="n">
        <v>0</v>
      </c>
      <c r="W185" s="175" t="n">
        <v>0</v>
      </c>
      <c r="X185" s="175" t="n">
        <v>0</v>
      </c>
      <c r="Y185" s="62"/>
      <c r="Z185" s="175" t="n">
        <v>0.16</v>
      </c>
      <c r="AA185" s="175" t="n">
        <v>0.2</v>
      </c>
      <c r="AB185" s="175" t="n">
        <v>0.24</v>
      </c>
      <c r="AC185" s="62"/>
      <c r="AD185" s="175" t="n">
        <v>0.08</v>
      </c>
      <c r="AE185" s="175" t="n">
        <v>0.1</v>
      </c>
      <c r="AF185" s="175" t="n">
        <v>0.12</v>
      </c>
      <c r="AG185" s="62"/>
      <c r="AH185" s="175" t="n">
        <v>0.2</v>
      </c>
      <c r="AI185" s="175" t="n">
        <v>0.25</v>
      </c>
      <c r="AJ185" s="175" t="n">
        <v>0.3</v>
      </c>
      <c r="AK185" s="62"/>
      <c r="AL185" s="175" t="n">
        <v>0.12</v>
      </c>
      <c r="AM185" s="175" t="n">
        <v>0.15</v>
      </c>
      <c r="AN185" s="175" t="n">
        <v>0.18</v>
      </c>
      <c r="AO185" s="62"/>
      <c r="AP185" s="141" t="n">
        <v>56</v>
      </c>
      <c r="AQ185" s="176" t="n">
        <v>0.4</v>
      </c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142" t="n">
        <v>42095</v>
      </c>
      <c r="BI185" s="178" t="n">
        <v>0.75</v>
      </c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0"/>
      <c r="CM185" s="230"/>
      <c r="CN185" s="230"/>
      <c r="CO185" s="179"/>
      <c r="CP185" s="0"/>
      <c r="CQ185" s="0"/>
      <c r="CR185" s="0"/>
      <c r="CS185" s="0"/>
      <c r="CT185" s="0"/>
      <c r="CY185" s="180" t="n">
        <f aca="false">M185</f>
        <v>42095</v>
      </c>
      <c r="CZ185" s="181" t="n">
        <f aca="false">AH185</f>
        <v>0.2</v>
      </c>
      <c r="DA185" s="181" t="n">
        <f aca="false">AI185</f>
        <v>0.25</v>
      </c>
      <c r="DB185" s="181" t="n">
        <f aca="false">AJ185</f>
        <v>0.3</v>
      </c>
      <c r="DD185" s="181" t="n">
        <f aca="false">Z185</f>
        <v>0.16</v>
      </c>
      <c r="DE185" s="181" t="n">
        <f aca="false">AA185</f>
        <v>0.2</v>
      </c>
      <c r="DF185" s="181" t="n">
        <f aca="false">AB185</f>
        <v>0.24</v>
      </c>
      <c r="DH185" s="180" t="n">
        <f aca="false">BH185</f>
        <v>42095</v>
      </c>
      <c r="DI185" s="135" t="n">
        <f aca="false">BI185</f>
        <v>0.75</v>
      </c>
      <c r="DL185" s="180" t="n">
        <f aca="false">M185</f>
        <v>42095</v>
      </c>
      <c r="DM185" s="181" t="n">
        <f aca="false">AL185</f>
        <v>0.12</v>
      </c>
      <c r="DN185" s="181" t="n">
        <f aca="false">AM185</f>
        <v>0.15</v>
      </c>
      <c r="DO185" s="181" t="n">
        <f aca="false">AN185</f>
        <v>0.18</v>
      </c>
      <c r="DQ185" s="181" t="n">
        <f aca="false">AD185</f>
        <v>0.08</v>
      </c>
      <c r="DR185" s="181" t="n">
        <f aca="false">AE185</f>
        <v>0.1</v>
      </c>
      <c r="DS185" s="181" t="n">
        <f aca="false">AF185</f>
        <v>0.12</v>
      </c>
    </row>
    <row r="186" customFormat="false" ht="12.75" hidden="false" customHeight="false" outlineLevel="0" collapsed="false">
      <c r="A186" s="145" t="n">
        <f aca="false">EOMONTH(A185,0)+1</f>
        <v>51196</v>
      </c>
      <c r="B186" s="135" t="n">
        <f aca="false">'Gas Curves'!C190</f>
        <v>0.0649175423384838</v>
      </c>
      <c r="C186" s="135"/>
      <c r="D186" s="173" t="n">
        <v>41244</v>
      </c>
      <c r="E186" s="174" t="n">
        <v>33.0615657567978</v>
      </c>
      <c r="F186" s="174" t="n">
        <v>34.5615657567978</v>
      </c>
      <c r="G186" s="174" t="n">
        <v>36.0615657567978</v>
      </c>
      <c r="H186" s="159"/>
      <c r="I186" s="174" t="n">
        <v>23.7900009155273</v>
      </c>
      <c r="J186" s="174" t="n">
        <v>23.7900009155273</v>
      </c>
      <c r="K186" s="174" t="n">
        <v>23.7900009155273</v>
      </c>
      <c r="L186" s="141"/>
      <c r="M186" s="142" t="n">
        <v>42125</v>
      </c>
      <c r="N186" s="175" t="n">
        <v>22.2900009155273</v>
      </c>
      <c r="O186" s="175" t="n">
        <v>22.2900009155273</v>
      </c>
      <c r="P186" s="175" t="n">
        <v>22.2900009155273</v>
      </c>
      <c r="Q186" s="62"/>
      <c r="R186" s="175" t="n">
        <v>15.7950000762939</v>
      </c>
      <c r="S186" s="175" t="n">
        <v>15.7950000762939</v>
      </c>
      <c r="T186" s="175" t="n">
        <v>15.7950000762939</v>
      </c>
      <c r="U186" s="62"/>
      <c r="V186" s="175" t="n">
        <v>0</v>
      </c>
      <c r="W186" s="175" t="n">
        <v>0</v>
      </c>
      <c r="X186" s="175" t="n">
        <v>0</v>
      </c>
      <c r="Y186" s="62"/>
      <c r="Z186" s="175" t="n">
        <v>0.16</v>
      </c>
      <c r="AA186" s="175" t="n">
        <v>0.2</v>
      </c>
      <c r="AB186" s="175" t="n">
        <v>0.24</v>
      </c>
      <c r="AC186" s="62"/>
      <c r="AD186" s="175" t="n">
        <v>0.08</v>
      </c>
      <c r="AE186" s="175" t="n">
        <v>0.1</v>
      </c>
      <c r="AF186" s="175" t="n">
        <v>0.12</v>
      </c>
      <c r="AG186" s="62"/>
      <c r="AH186" s="175" t="n">
        <v>0.2</v>
      </c>
      <c r="AI186" s="175" t="n">
        <v>0.25</v>
      </c>
      <c r="AJ186" s="175" t="n">
        <v>0.3</v>
      </c>
      <c r="AK186" s="62"/>
      <c r="AL186" s="175" t="n">
        <v>0.12</v>
      </c>
      <c r="AM186" s="175" t="n">
        <v>0.15</v>
      </c>
      <c r="AN186" s="175" t="n">
        <v>0.18</v>
      </c>
      <c r="AO186" s="62"/>
      <c r="AP186" s="141" t="n">
        <v>56</v>
      </c>
      <c r="AQ186" s="176" t="n">
        <v>0.4</v>
      </c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142" t="n">
        <v>42125</v>
      </c>
      <c r="BI186" s="178" t="n">
        <v>0.75</v>
      </c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0"/>
      <c r="CM186" s="230"/>
      <c r="CN186" s="230"/>
      <c r="CO186" s="179"/>
      <c r="CP186" s="0"/>
      <c r="CQ186" s="0"/>
      <c r="CR186" s="0"/>
      <c r="CS186" s="0"/>
      <c r="CT186" s="0"/>
      <c r="CY186" s="180" t="n">
        <f aca="false">M186</f>
        <v>42125</v>
      </c>
      <c r="CZ186" s="181" t="n">
        <f aca="false">AH186</f>
        <v>0.2</v>
      </c>
      <c r="DA186" s="181" t="n">
        <f aca="false">AI186</f>
        <v>0.25</v>
      </c>
      <c r="DB186" s="181" t="n">
        <f aca="false">AJ186</f>
        <v>0.3</v>
      </c>
      <c r="DD186" s="181" t="n">
        <f aca="false">Z186</f>
        <v>0.16</v>
      </c>
      <c r="DE186" s="181" t="n">
        <f aca="false">AA186</f>
        <v>0.2</v>
      </c>
      <c r="DF186" s="181" t="n">
        <f aca="false">AB186</f>
        <v>0.24</v>
      </c>
      <c r="DH186" s="180" t="n">
        <f aca="false">BH186</f>
        <v>42125</v>
      </c>
      <c r="DI186" s="135" t="n">
        <f aca="false">BI186</f>
        <v>0.75</v>
      </c>
      <c r="DL186" s="180" t="n">
        <f aca="false">M186</f>
        <v>42125</v>
      </c>
      <c r="DM186" s="181" t="n">
        <f aca="false">AL186</f>
        <v>0.12</v>
      </c>
      <c r="DN186" s="181" t="n">
        <f aca="false">AM186</f>
        <v>0.15</v>
      </c>
      <c r="DO186" s="181" t="n">
        <f aca="false">AN186</f>
        <v>0.18</v>
      </c>
      <c r="DQ186" s="181" t="n">
        <f aca="false">AD186</f>
        <v>0.08</v>
      </c>
      <c r="DR186" s="181" t="n">
        <f aca="false">AE186</f>
        <v>0.1</v>
      </c>
      <c r="DS186" s="181" t="n">
        <f aca="false">AF186</f>
        <v>0.12</v>
      </c>
    </row>
    <row r="187" customFormat="false" ht="12.75" hidden="false" customHeight="false" outlineLevel="0" collapsed="false">
      <c r="A187" s="145" t="n">
        <f aca="false">EOMONTH(A186,0)+1</f>
        <v>51227</v>
      </c>
      <c r="B187" s="135" t="n">
        <f aca="false">'Gas Curves'!C191</f>
        <v>0.0649557662210682</v>
      </c>
      <c r="C187" s="135"/>
      <c r="D187" s="173" t="n">
        <v>41275</v>
      </c>
      <c r="E187" s="174" t="n">
        <v>36.4957144601004</v>
      </c>
      <c r="F187" s="174" t="n">
        <v>37.9957144601004</v>
      </c>
      <c r="G187" s="174" t="n">
        <v>39.4957144601004</v>
      </c>
      <c r="H187" s="159"/>
      <c r="I187" s="174" t="n">
        <v>26</v>
      </c>
      <c r="J187" s="174" t="n">
        <v>26</v>
      </c>
      <c r="K187" s="174" t="n">
        <v>26</v>
      </c>
      <c r="L187" s="141"/>
      <c r="M187" s="142" t="n">
        <v>42156</v>
      </c>
      <c r="N187" s="175" t="n">
        <v>29.2900009155273</v>
      </c>
      <c r="O187" s="175" t="n">
        <v>29.2900009155273</v>
      </c>
      <c r="P187" s="175" t="n">
        <v>29.2900009155273</v>
      </c>
      <c r="Q187" s="62"/>
      <c r="R187" s="175" t="n">
        <v>19.7900009155273</v>
      </c>
      <c r="S187" s="175" t="n">
        <v>19.7900009155273</v>
      </c>
      <c r="T187" s="175" t="n">
        <v>19.7900009155273</v>
      </c>
      <c r="U187" s="62"/>
      <c r="V187" s="175" t="n">
        <v>0</v>
      </c>
      <c r="W187" s="175" t="n">
        <v>0</v>
      </c>
      <c r="X187" s="175" t="n">
        <v>0</v>
      </c>
      <c r="Y187" s="62"/>
      <c r="Z187" s="175" t="n">
        <v>0.16</v>
      </c>
      <c r="AA187" s="175" t="n">
        <v>0.2</v>
      </c>
      <c r="AB187" s="175" t="n">
        <v>0.24</v>
      </c>
      <c r="AC187" s="62"/>
      <c r="AD187" s="175" t="n">
        <v>0.08</v>
      </c>
      <c r="AE187" s="175" t="n">
        <v>0.1</v>
      </c>
      <c r="AF187" s="175" t="n">
        <v>0.12</v>
      </c>
      <c r="AG187" s="62"/>
      <c r="AH187" s="175" t="n">
        <v>0.2</v>
      </c>
      <c r="AI187" s="175" t="n">
        <v>0.25</v>
      </c>
      <c r="AJ187" s="175" t="n">
        <v>0.3</v>
      </c>
      <c r="AK187" s="62"/>
      <c r="AL187" s="175" t="n">
        <v>0.12</v>
      </c>
      <c r="AM187" s="175" t="n">
        <v>0.15</v>
      </c>
      <c r="AN187" s="175" t="n">
        <v>0.18</v>
      </c>
      <c r="AO187" s="62"/>
      <c r="AP187" s="141" t="n">
        <v>57</v>
      </c>
      <c r="AQ187" s="176" t="n">
        <v>0.4</v>
      </c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142" t="n">
        <v>42156</v>
      </c>
      <c r="BI187" s="178" t="n">
        <v>0.75</v>
      </c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0"/>
      <c r="CM187" s="230"/>
      <c r="CN187" s="230"/>
      <c r="CO187" s="179"/>
      <c r="CP187" s="0"/>
      <c r="CQ187" s="0"/>
      <c r="CR187" s="0"/>
      <c r="CS187" s="0"/>
      <c r="CT187" s="0"/>
      <c r="CY187" s="180" t="n">
        <f aca="false">M187</f>
        <v>42156</v>
      </c>
      <c r="CZ187" s="181" t="n">
        <f aca="false">AH187</f>
        <v>0.2</v>
      </c>
      <c r="DA187" s="181" t="n">
        <f aca="false">AI187</f>
        <v>0.25</v>
      </c>
      <c r="DB187" s="181" t="n">
        <f aca="false">AJ187</f>
        <v>0.3</v>
      </c>
      <c r="DD187" s="181" t="n">
        <f aca="false">Z187</f>
        <v>0.16</v>
      </c>
      <c r="DE187" s="181" t="n">
        <f aca="false">AA187</f>
        <v>0.2</v>
      </c>
      <c r="DF187" s="181" t="n">
        <f aca="false">AB187</f>
        <v>0.24</v>
      </c>
      <c r="DH187" s="180" t="n">
        <f aca="false">BH187</f>
        <v>42156</v>
      </c>
      <c r="DI187" s="135" t="n">
        <f aca="false">BI187</f>
        <v>0.75</v>
      </c>
      <c r="DL187" s="180" t="n">
        <f aca="false">M187</f>
        <v>42156</v>
      </c>
      <c r="DM187" s="181" t="n">
        <f aca="false">AL187</f>
        <v>0.12</v>
      </c>
      <c r="DN187" s="181" t="n">
        <f aca="false">AM187</f>
        <v>0.15</v>
      </c>
      <c r="DO187" s="181" t="n">
        <f aca="false">AN187</f>
        <v>0.18</v>
      </c>
      <c r="DQ187" s="181" t="n">
        <f aca="false">AD187</f>
        <v>0.08</v>
      </c>
      <c r="DR187" s="181" t="n">
        <f aca="false">AE187</f>
        <v>0.1</v>
      </c>
      <c r="DS187" s="181" t="n">
        <f aca="false">AF187</f>
        <v>0.12</v>
      </c>
    </row>
    <row r="188" customFormat="false" ht="12.75" hidden="false" customHeight="false" outlineLevel="0" collapsed="false">
      <c r="A188" s="145" t="n">
        <f aca="false">EOMONTH(A187,0)+1</f>
        <v>51257</v>
      </c>
      <c r="B188" s="135" t="n">
        <f aca="false">'Gas Curves'!C192</f>
        <v>0.0649927570756437</v>
      </c>
      <c r="C188" s="135"/>
      <c r="D188" s="173" t="n">
        <v>41306</v>
      </c>
      <c r="E188" s="174" t="n">
        <v>35.8957121712821</v>
      </c>
      <c r="F188" s="174" t="n">
        <v>37.3957121712821</v>
      </c>
      <c r="G188" s="174" t="n">
        <v>38.8957121712821</v>
      </c>
      <c r="H188" s="159"/>
      <c r="I188" s="174" t="n">
        <v>24.5</v>
      </c>
      <c r="J188" s="174" t="n">
        <v>24.5</v>
      </c>
      <c r="K188" s="174" t="n">
        <v>24.5</v>
      </c>
      <c r="L188" s="141"/>
      <c r="M188" s="142" t="n">
        <v>42186</v>
      </c>
      <c r="N188" s="175" t="n">
        <v>35.2900009155273</v>
      </c>
      <c r="O188" s="175" t="n">
        <v>35.2900009155273</v>
      </c>
      <c r="P188" s="175" t="n">
        <v>35.2900009155273</v>
      </c>
      <c r="Q188" s="62"/>
      <c r="R188" s="175" t="n">
        <v>25.7900009155273</v>
      </c>
      <c r="S188" s="175" t="n">
        <v>25.7900009155273</v>
      </c>
      <c r="T188" s="175" t="n">
        <v>25.7900009155273</v>
      </c>
      <c r="U188" s="62"/>
      <c r="V188" s="175" t="n">
        <v>0</v>
      </c>
      <c r="W188" s="175" t="n">
        <v>0</v>
      </c>
      <c r="X188" s="175" t="n">
        <v>0</v>
      </c>
      <c r="Y188" s="62"/>
      <c r="Z188" s="175" t="n">
        <v>0.24</v>
      </c>
      <c r="AA188" s="175" t="n">
        <v>0.3</v>
      </c>
      <c r="AB188" s="175" t="n">
        <v>0.36</v>
      </c>
      <c r="AC188" s="62"/>
      <c r="AD188" s="175" t="n">
        <v>0.12</v>
      </c>
      <c r="AE188" s="175" t="n">
        <v>0.15</v>
      </c>
      <c r="AF188" s="175" t="n">
        <v>0.18</v>
      </c>
      <c r="AG188" s="62"/>
      <c r="AH188" s="175" t="n">
        <v>0.32</v>
      </c>
      <c r="AI188" s="175" t="n">
        <v>0.4</v>
      </c>
      <c r="AJ188" s="175" t="n">
        <v>0.48</v>
      </c>
      <c r="AK188" s="62"/>
      <c r="AL188" s="175" t="n">
        <v>0.192</v>
      </c>
      <c r="AM188" s="175" t="n">
        <v>0.24</v>
      </c>
      <c r="AN188" s="175" t="n">
        <v>0.288</v>
      </c>
      <c r="AO188" s="62"/>
      <c r="AP188" s="141" t="n">
        <v>57</v>
      </c>
      <c r="AQ188" s="176" t="n">
        <v>0.4</v>
      </c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142" t="n">
        <v>42186</v>
      </c>
      <c r="BI188" s="178" t="n">
        <v>0.75</v>
      </c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0"/>
      <c r="CM188" s="230"/>
      <c r="CN188" s="230"/>
      <c r="CO188" s="179"/>
      <c r="CP188" s="0"/>
      <c r="CQ188" s="0"/>
      <c r="CR188" s="0"/>
      <c r="CS188" s="0"/>
      <c r="CT188" s="0"/>
      <c r="CY188" s="180" t="n">
        <f aca="false">M188</f>
        <v>42186</v>
      </c>
      <c r="CZ188" s="181" t="n">
        <f aca="false">AH188</f>
        <v>0.32</v>
      </c>
      <c r="DA188" s="181" t="n">
        <f aca="false">AI188</f>
        <v>0.4</v>
      </c>
      <c r="DB188" s="181" t="n">
        <f aca="false">AJ188</f>
        <v>0.48</v>
      </c>
      <c r="DD188" s="181" t="n">
        <f aca="false">Z188</f>
        <v>0.24</v>
      </c>
      <c r="DE188" s="181" t="n">
        <f aca="false">AA188</f>
        <v>0.3</v>
      </c>
      <c r="DF188" s="181" t="n">
        <f aca="false">AB188</f>
        <v>0.36</v>
      </c>
      <c r="DH188" s="180" t="n">
        <f aca="false">BH188</f>
        <v>42186</v>
      </c>
      <c r="DI188" s="135" t="n">
        <f aca="false">BI188</f>
        <v>0.75</v>
      </c>
      <c r="DL188" s="180" t="n">
        <f aca="false">M188</f>
        <v>42186</v>
      </c>
      <c r="DM188" s="181" t="n">
        <f aca="false">AL188</f>
        <v>0.192</v>
      </c>
      <c r="DN188" s="181" t="n">
        <f aca="false">AM188</f>
        <v>0.24</v>
      </c>
      <c r="DO188" s="181" t="n">
        <f aca="false">AN188</f>
        <v>0.288</v>
      </c>
      <c r="DQ188" s="181" t="n">
        <f aca="false">AD188</f>
        <v>0.12</v>
      </c>
      <c r="DR188" s="181" t="n">
        <f aca="false">AE188</f>
        <v>0.15</v>
      </c>
      <c r="DS188" s="181" t="n">
        <f aca="false">AF188</f>
        <v>0.18</v>
      </c>
    </row>
    <row r="189" customFormat="false" ht="12.75" hidden="false" customHeight="false" outlineLevel="0" collapsed="false">
      <c r="A189" s="145" t="n">
        <f aca="false">EOMONTH(A188,0)+1</f>
        <v>51288</v>
      </c>
      <c r="B189" s="135" t="n">
        <f aca="false">'Gas Curves'!C193</f>
        <v>0.0650309809591816</v>
      </c>
      <c r="C189" s="135"/>
      <c r="D189" s="173" t="n">
        <v>41334</v>
      </c>
      <c r="E189" s="174" t="n">
        <v>34.6076808308446</v>
      </c>
      <c r="F189" s="174" t="n">
        <v>36.1076808308446</v>
      </c>
      <c r="G189" s="174" t="n">
        <v>37.6076808308446</v>
      </c>
      <c r="H189" s="159"/>
      <c r="I189" s="174" t="n">
        <v>25.5</v>
      </c>
      <c r="J189" s="174" t="n">
        <v>25.5</v>
      </c>
      <c r="K189" s="174" t="n">
        <v>25.5</v>
      </c>
      <c r="L189" s="141"/>
      <c r="M189" s="142" t="n">
        <v>42217</v>
      </c>
      <c r="N189" s="175" t="n">
        <v>33.2900047302246</v>
      </c>
      <c r="O189" s="175" t="n">
        <v>33.2900047302246</v>
      </c>
      <c r="P189" s="175" t="n">
        <v>33.2900047302246</v>
      </c>
      <c r="Q189" s="62"/>
      <c r="R189" s="175" t="n">
        <v>25.7900009155273</v>
      </c>
      <c r="S189" s="175" t="n">
        <v>25.7900009155273</v>
      </c>
      <c r="T189" s="175" t="n">
        <v>25.7900009155273</v>
      </c>
      <c r="U189" s="62"/>
      <c r="V189" s="175" t="n">
        <v>0</v>
      </c>
      <c r="W189" s="175" t="n">
        <v>0</v>
      </c>
      <c r="X189" s="175" t="n">
        <v>0</v>
      </c>
      <c r="Y189" s="62"/>
      <c r="Z189" s="175" t="n">
        <v>0.24</v>
      </c>
      <c r="AA189" s="175" t="n">
        <v>0.3</v>
      </c>
      <c r="AB189" s="175" t="n">
        <v>0.36</v>
      </c>
      <c r="AC189" s="62"/>
      <c r="AD189" s="175" t="n">
        <v>0.12</v>
      </c>
      <c r="AE189" s="175" t="n">
        <v>0.15</v>
      </c>
      <c r="AF189" s="175" t="n">
        <v>0.18</v>
      </c>
      <c r="AG189" s="62"/>
      <c r="AH189" s="175" t="n">
        <v>0.32</v>
      </c>
      <c r="AI189" s="175" t="n">
        <v>0.4</v>
      </c>
      <c r="AJ189" s="175" t="n">
        <v>0.48</v>
      </c>
      <c r="AK189" s="62"/>
      <c r="AL189" s="175" t="n">
        <v>0.192</v>
      </c>
      <c r="AM189" s="175" t="n">
        <v>0.24</v>
      </c>
      <c r="AN189" s="175" t="n">
        <v>0.288</v>
      </c>
      <c r="AO189" s="62"/>
      <c r="AP189" s="141" t="n">
        <v>57</v>
      </c>
      <c r="AQ189" s="176" t="n">
        <v>0.4</v>
      </c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142" t="n">
        <v>42217</v>
      </c>
      <c r="BI189" s="178" t="n">
        <v>0.75</v>
      </c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0"/>
      <c r="CM189" s="230"/>
      <c r="CN189" s="230"/>
      <c r="CO189" s="179"/>
      <c r="CP189" s="0"/>
      <c r="CQ189" s="0"/>
      <c r="CR189" s="0"/>
      <c r="CS189" s="0"/>
      <c r="CT189" s="0"/>
      <c r="CY189" s="180" t="n">
        <f aca="false">M189</f>
        <v>42217</v>
      </c>
      <c r="CZ189" s="181" t="n">
        <f aca="false">AH189</f>
        <v>0.32</v>
      </c>
      <c r="DA189" s="181" t="n">
        <f aca="false">AI189</f>
        <v>0.4</v>
      </c>
      <c r="DB189" s="181" t="n">
        <f aca="false">AJ189</f>
        <v>0.48</v>
      </c>
      <c r="DD189" s="181" t="n">
        <f aca="false">Z189</f>
        <v>0.24</v>
      </c>
      <c r="DE189" s="181" t="n">
        <f aca="false">AA189</f>
        <v>0.3</v>
      </c>
      <c r="DF189" s="181" t="n">
        <f aca="false">AB189</f>
        <v>0.36</v>
      </c>
      <c r="DH189" s="180" t="n">
        <f aca="false">BH189</f>
        <v>42217</v>
      </c>
      <c r="DI189" s="135" t="n">
        <f aca="false">BI189</f>
        <v>0.75</v>
      </c>
      <c r="DL189" s="180" t="n">
        <f aca="false">M189</f>
        <v>42217</v>
      </c>
      <c r="DM189" s="181" t="n">
        <f aca="false">AL189</f>
        <v>0.192</v>
      </c>
      <c r="DN189" s="181" t="n">
        <f aca="false">AM189</f>
        <v>0.24</v>
      </c>
      <c r="DO189" s="181" t="n">
        <f aca="false">AN189</f>
        <v>0.288</v>
      </c>
      <c r="DQ189" s="181" t="n">
        <f aca="false">AD189</f>
        <v>0.12</v>
      </c>
      <c r="DR189" s="181" t="n">
        <f aca="false">AE189</f>
        <v>0.15</v>
      </c>
      <c r="DS189" s="181" t="n">
        <f aca="false">AF189</f>
        <v>0.18</v>
      </c>
    </row>
    <row r="190" customFormat="false" ht="12.75" hidden="false" customHeight="false" outlineLevel="0" collapsed="false">
      <c r="A190" s="145" t="n">
        <f aca="false">EOMONTH(A189,0)+1</f>
        <v>51318</v>
      </c>
      <c r="B190" s="135" t="n">
        <f aca="false">'Gas Curves'!C194</f>
        <v>0.0650692048432036</v>
      </c>
      <c r="C190" s="135"/>
      <c r="D190" s="173" t="n">
        <v>41365</v>
      </c>
      <c r="E190" s="174" t="n">
        <v>34.8076815937841</v>
      </c>
      <c r="F190" s="174" t="n">
        <v>36.3076815937841</v>
      </c>
      <c r="G190" s="174" t="n">
        <v>37.8076815937841</v>
      </c>
      <c r="H190" s="159"/>
      <c r="I190" s="174" t="n">
        <v>22.5</v>
      </c>
      <c r="J190" s="174" t="n">
        <v>22.5</v>
      </c>
      <c r="K190" s="174" t="n">
        <v>22.5</v>
      </c>
      <c r="L190" s="141"/>
      <c r="M190" s="142" t="n">
        <v>42248</v>
      </c>
      <c r="N190" s="175" t="n">
        <v>25.2900009155273</v>
      </c>
      <c r="O190" s="175" t="n">
        <v>25.2900009155273</v>
      </c>
      <c r="P190" s="175" t="n">
        <v>25.2900009155273</v>
      </c>
      <c r="Q190" s="62"/>
      <c r="R190" s="175" t="n">
        <v>19.7900009155273</v>
      </c>
      <c r="S190" s="175" t="n">
        <v>19.7900009155273</v>
      </c>
      <c r="T190" s="175" t="n">
        <v>19.7900009155273</v>
      </c>
      <c r="U190" s="62"/>
      <c r="V190" s="175" t="n">
        <v>0</v>
      </c>
      <c r="W190" s="175" t="n">
        <v>0</v>
      </c>
      <c r="X190" s="175" t="n">
        <v>0</v>
      </c>
      <c r="Y190" s="62"/>
      <c r="Z190" s="175" t="n">
        <v>0.16</v>
      </c>
      <c r="AA190" s="175" t="n">
        <v>0.2</v>
      </c>
      <c r="AB190" s="175" t="n">
        <v>0.24</v>
      </c>
      <c r="AC190" s="62"/>
      <c r="AD190" s="175" t="n">
        <v>0.08</v>
      </c>
      <c r="AE190" s="175" t="n">
        <v>0.1</v>
      </c>
      <c r="AF190" s="175" t="n">
        <v>0.12</v>
      </c>
      <c r="AG190" s="62"/>
      <c r="AH190" s="175" t="n">
        <v>0.2</v>
      </c>
      <c r="AI190" s="175" t="n">
        <v>0.25</v>
      </c>
      <c r="AJ190" s="175" t="n">
        <v>0.3</v>
      </c>
      <c r="AK190" s="62"/>
      <c r="AL190" s="175" t="n">
        <v>0.12</v>
      </c>
      <c r="AM190" s="175" t="n">
        <v>0.15</v>
      </c>
      <c r="AN190" s="175" t="n">
        <v>0.18</v>
      </c>
      <c r="AO190" s="62"/>
      <c r="AP190" s="141" t="n">
        <v>58</v>
      </c>
      <c r="AQ190" s="176" t="n">
        <v>0.4</v>
      </c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142" t="n">
        <v>42248</v>
      </c>
      <c r="BI190" s="178" t="n">
        <v>0.75</v>
      </c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0"/>
      <c r="CM190" s="230"/>
      <c r="CN190" s="230"/>
      <c r="CO190" s="179"/>
      <c r="CP190" s="0"/>
      <c r="CQ190" s="0"/>
      <c r="CR190" s="0"/>
      <c r="CS190" s="0"/>
      <c r="CT190" s="0"/>
      <c r="CY190" s="180" t="n">
        <f aca="false">M190</f>
        <v>42248</v>
      </c>
      <c r="CZ190" s="181" t="n">
        <f aca="false">AH190</f>
        <v>0.2</v>
      </c>
      <c r="DA190" s="181" t="n">
        <f aca="false">AI190</f>
        <v>0.25</v>
      </c>
      <c r="DB190" s="181" t="n">
        <f aca="false">AJ190</f>
        <v>0.3</v>
      </c>
      <c r="DD190" s="181" t="n">
        <f aca="false">Z190</f>
        <v>0.16</v>
      </c>
      <c r="DE190" s="181" t="n">
        <f aca="false">AA190</f>
        <v>0.2</v>
      </c>
      <c r="DF190" s="181" t="n">
        <f aca="false">AB190</f>
        <v>0.24</v>
      </c>
      <c r="DH190" s="180" t="n">
        <f aca="false">BH190</f>
        <v>42248</v>
      </c>
      <c r="DI190" s="135" t="n">
        <f aca="false">BI190</f>
        <v>0.75</v>
      </c>
      <c r="DL190" s="180" t="n">
        <f aca="false">M190</f>
        <v>42248</v>
      </c>
      <c r="DM190" s="181" t="n">
        <f aca="false">AL190</f>
        <v>0.12</v>
      </c>
      <c r="DN190" s="181" t="n">
        <f aca="false">AM190</f>
        <v>0.15</v>
      </c>
      <c r="DO190" s="181" t="n">
        <f aca="false">AN190</f>
        <v>0.18</v>
      </c>
      <c r="DQ190" s="181" t="n">
        <f aca="false">AD190</f>
        <v>0.08</v>
      </c>
      <c r="DR190" s="181" t="n">
        <f aca="false">AE190</f>
        <v>0.1</v>
      </c>
      <c r="DS190" s="181" t="n">
        <f aca="false">AF190</f>
        <v>0.12</v>
      </c>
    </row>
    <row r="191" customFormat="false" ht="12.75" hidden="false" customHeight="false" outlineLevel="0" collapsed="false">
      <c r="A191" s="145" t="n">
        <f aca="false">EOMONTH(A190,0)+1</f>
        <v>51349</v>
      </c>
      <c r="B191" s="135" t="n">
        <f aca="false">'Gas Curves'!C195</f>
        <v>0.0651049626706302</v>
      </c>
      <c r="C191" s="135"/>
      <c r="D191" s="173" t="n">
        <v>41395</v>
      </c>
      <c r="E191" s="174" t="n">
        <v>40.7850028991699</v>
      </c>
      <c r="F191" s="174" t="n">
        <v>43.0850028991699</v>
      </c>
      <c r="G191" s="174" t="n">
        <v>45.3850028991699</v>
      </c>
      <c r="H191" s="159"/>
      <c r="I191" s="174" t="n">
        <v>23.0400009155273</v>
      </c>
      <c r="J191" s="174" t="n">
        <v>23.0400009155273</v>
      </c>
      <c r="K191" s="174" t="n">
        <v>23.0400009155273</v>
      </c>
      <c r="L191" s="141"/>
      <c r="M191" s="142" t="n">
        <v>42278</v>
      </c>
      <c r="N191" s="175" t="n">
        <v>20.2860012054443</v>
      </c>
      <c r="O191" s="175" t="n">
        <v>20.2860012054443</v>
      </c>
      <c r="P191" s="175" t="n">
        <v>20.2860012054443</v>
      </c>
      <c r="Q191" s="62"/>
      <c r="R191" s="175" t="n">
        <v>14.7865009307861</v>
      </c>
      <c r="S191" s="175" t="n">
        <v>14.7865009307861</v>
      </c>
      <c r="T191" s="175" t="n">
        <v>14.7865009307861</v>
      </c>
      <c r="U191" s="62"/>
      <c r="V191" s="175" t="n">
        <v>0</v>
      </c>
      <c r="W191" s="175" t="n">
        <v>0</v>
      </c>
      <c r="X191" s="175" t="n">
        <v>0</v>
      </c>
      <c r="Y191" s="62"/>
      <c r="Z191" s="175" t="n">
        <v>0.16</v>
      </c>
      <c r="AA191" s="175" t="n">
        <v>0.2</v>
      </c>
      <c r="AB191" s="175" t="n">
        <v>0.24</v>
      </c>
      <c r="AC191" s="62"/>
      <c r="AD191" s="175" t="n">
        <v>0.08</v>
      </c>
      <c r="AE191" s="175" t="n">
        <v>0.1</v>
      </c>
      <c r="AF191" s="175" t="n">
        <v>0.12</v>
      </c>
      <c r="AG191" s="62"/>
      <c r="AH191" s="175" t="n">
        <v>0.2</v>
      </c>
      <c r="AI191" s="175" t="n">
        <v>0.25</v>
      </c>
      <c r="AJ191" s="175" t="n">
        <v>0.3</v>
      </c>
      <c r="AK191" s="62"/>
      <c r="AL191" s="175" t="n">
        <v>0.12</v>
      </c>
      <c r="AM191" s="175" t="n">
        <v>0.15</v>
      </c>
      <c r="AN191" s="175" t="n">
        <v>0.18</v>
      </c>
      <c r="AO191" s="62"/>
      <c r="AP191" s="141" t="n">
        <v>58</v>
      </c>
      <c r="AQ191" s="176" t="n">
        <v>0.4</v>
      </c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142" t="n">
        <v>42278</v>
      </c>
      <c r="BI191" s="178" t="n">
        <v>0.75</v>
      </c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0"/>
      <c r="CM191" s="230"/>
      <c r="CN191" s="230"/>
      <c r="CO191" s="179"/>
      <c r="CP191" s="0"/>
      <c r="CQ191" s="0"/>
      <c r="CR191" s="0"/>
      <c r="CS191" s="0"/>
      <c r="CT191" s="0"/>
      <c r="CY191" s="180" t="n">
        <f aca="false">M191</f>
        <v>42278</v>
      </c>
      <c r="CZ191" s="181" t="n">
        <f aca="false">AH191</f>
        <v>0.2</v>
      </c>
      <c r="DA191" s="181" t="n">
        <f aca="false">AI191</f>
        <v>0.25</v>
      </c>
      <c r="DB191" s="181" t="n">
        <f aca="false">AJ191</f>
        <v>0.3</v>
      </c>
      <c r="DD191" s="181" t="n">
        <f aca="false">Z191</f>
        <v>0.16</v>
      </c>
      <c r="DE191" s="181" t="n">
        <f aca="false">AA191</f>
        <v>0.2</v>
      </c>
      <c r="DF191" s="181" t="n">
        <f aca="false">AB191</f>
        <v>0.24</v>
      </c>
      <c r="DH191" s="180" t="n">
        <f aca="false">BH191</f>
        <v>42278</v>
      </c>
      <c r="DI191" s="135" t="n">
        <f aca="false">BI191</f>
        <v>0.75</v>
      </c>
      <c r="DL191" s="180" t="n">
        <f aca="false">M191</f>
        <v>42278</v>
      </c>
      <c r="DM191" s="181" t="n">
        <f aca="false">AL191</f>
        <v>0.12</v>
      </c>
      <c r="DN191" s="181" t="n">
        <f aca="false">AM191</f>
        <v>0.15</v>
      </c>
      <c r="DO191" s="181" t="n">
        <f aca="false">AN191</f>
        <v>0.18</v>
      </c>
      <c r="DQ191" s="181" t="n">
        <f aca="false">AD191</f>
        <v>0.08</v>
      </c>
      <c r="DR191" s="181" t="n">
        <f aca="false">AE191</f>
        <v>0.1</v>
      </c>
      <c r="DS191" s="181" t="n">
        <f aca="false">AF191</f>
        <v>0.12</v>
      </c>
    </row>
    <row r="192" customFormat="false" ht="12.75" hidden="false" customHeight="false" outlineLevel="0" collapsed="false">
      <c r="A192" s="145" t="n">
        <f aca="false">EOMONTH(A191,0)+1</f>
        <v>51380</v>
      </c>
      <c r="B192" s="135" t="n">
        <f aca="false">'Gas Curves'!C196</f>
        <v>0.0651431865555896</v>
      </c>
      <c r="C192" s="135"/>
      <c r="D192" s="173" t="n">
        <v>41426</v>
      </c>
      <c r="E192" s="174" t="n">
        <v>48.6250038146973</v>
      </c>
      <c r="F192" s="174" t="n">
        <v>53.6250038146973</v>
      </c>
      <c r="G192" s="174" t="n">
        <v>58.6250038146973</v>
      </c>
      <c r="H192" s="159"/>
      <c r="I192" s="174" t="n">
        <v>26.0400009155273</v>
      </c>
      <c r="J192" s="174" t="n">
        <v>26.0400009155273</v>
      </c>
      <c r="K192" s="174" t="n">
        <v>26.0400009155273</v>
      </c>
      <c r="L192" s="141"/>
      <c r="M192" s="142" t="n">
        <v>42309</v>
      </c>
      <c r="N192" s="175" t="n">
        <v>22.2900009155273</v>
      </c>
      <c r="O192" s="175" t="n">
        <v>22.2900009155273</v>
      </c>
      <c r="P192" s="175" t="n">
        <v>22.2900009155273</v>
      </c>
      <c r="Q192" s="62"/>
      <c r="R192" s="175" t="n">
        <v>14.7900009155273</v>
      </c>
      <c r="S192" s="175" t="n">
        <v>14.7900009155273</v>
      </c>
      <c r="T192" s="175" t="n">
        <v>14.7900009155273</v>
      </c>
      <c r="U192" s="62"/>
      <c r="V192" s="175" t="n">
        <v>0</v>
      </c>
      <c r="W192" s="175" t="n">
        <v>0</v>
      </c>
      <c r="X192" s="175" t="n">
        <v>0</v>
      </c>
      <c r="Y192" s="62"/>
      <c r="Z192" s="175" t="n">
        <v>0.16</v>
      </c>
      <c r="AA192" s="175" t="n">
        <v>0.2</v>
      </c>
      <c r="AB192" s="175" t="n">
        <v>0.24</v>
      </c>
      <c r="AC192" s="62"/>
      <c r="AD192" s="175" t="n">
        <v>0.08</v>
      </c>
      <c r="AE192" s="175" t="n">
        <v>0.1</v>
      </c>
      <c r="AF192" s="175" t="n">
        <v>0.12</v>
      </c>
      <c r="AG192" s="62"/>
      <c r="AH192" s="175" t="n">
        <v>0.2</v>
      </c>
      <c r="AI192" s="175" t="n">
        <v>0.25</v>
      </c>
      <c r="AJ192" s="175" t="n">
        <v>0.3</v>
      </c>
      <c r="AK192" s="62"/>
      <c r="AL192" s="175" t="n">
        <v>0.12</v>
      </c>
      <c r="AM192" s="175" t="n">
        <v>0.15</v>
      </c>
      <c r="AN192" s="175" t="n">
        <v>0.18</v>
      </c>
      <c r="AO192" s="62"/>
      <c r="AP192" s="141" t="n">
        <v>58</v>
      </c>
      <c r="AQ192" s="176" t="n">
        <v>0.4</v>
      </c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142" t="n">
        <v>42309</v>
      </c>
      <c r="BI192" s="178" t="n">
        <v>0.75</v>
      </c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0"/>
      <c r="CM192" s="230"/>
      <c r="CN192" s="230"/>
      <c r="CO192" s="179"/>
      <c r="CP192" s="0"/>
      <c r="CQ192" s="0"/>
      <c r="CR192" s="0"/>
      <c r="CS192" s="0"/>
      <c r="CT192" s="0"/>
      <c r="CY192" s="180" t="n">
        <f aca="false">M192</f>
        <v>42309</v>
      </c>
      <c r="CZ192" s="181" t="n">
        <f aca="false">AH192</f>
        <v>0.2</v>
      </c>
      <c r="DA192" s="181" t="n">
        <f aca="false">AI192</f>
        <v>0.25</v>
      </c>
      <c r="DB192" s="181" t="n">
        <f aca="false">AJ192</f>
        <v>0.3</v>
      </c>
      <c r="DD192" s="181" t="n">
        <f aca="false">Z192</f>
        <v>0.16</v>
      </c>
      <c r="DE192" s="181" t="n">
        <f aca="false">AA192</f>
        <v>0.2</v>
      </c>
      <c r="DF192" s="181" t="n">
        <f aca="false">AB192</f>
        <v>0.24</v>
      </c>
      <c r="DH192" s="180" t="n">
        <f aca="false">BH192</f>
        <v>42309</v>
      </c>
      <c r="DI192" s="135" t="n">
        <f aca="false">BI192</f>
        <v>0.75</v>
      </c>
      <c r="DL192" s="180" t="n">
        <f aca="false">M192</f>
        <v>42309</v>
      </c>
      <c r="DM192" s="181" t="n">
        <f aca="false">AL192</f>
        <v>0.12</v>
      </c>
      <c r="DN192" s="181" t="n">
        <f aca="false">AM192</f>
        <v>0.15</v>
      </c>
      <c r="DO192" s="181" t="n">
        <f aca="false">AN192</f>
        <v>0.18</v>
      </c>
      <c r="DQ192" s="181" t="n">
        <f aca="false">AD192</f>
        <v>0.08</v>
      </c>
      <c r="DR192" s="181" t="n">
        <f aca="false">AE192</f>
        <v>0.1</v>
      </c>
      <c r="DS192" s="181" t="n">
        <f aca="false">AF192</f>
        <v>0.12</v>
      </c>
    </row>
    <row r="193" customFormat="false" ht="12.75" hidden="false" customHeight="false" outlineLevel="0" collapsed="false">
      <c r="A193" s="145" t="n">
        <f aca="false">EOMONTH(A192,0)+1</f>
        <v>51410</v>
      </c>
      <c r="B193" s="135" t="n">
        <f aca="false">'Gas Curves'!C197</f>
        <v>0.0651801774124627</v>
      </c>
      <c r="C193" s="135"/>
      <c r="D193" s="173" t="n">
        <v>41456</v>
      </c>
      <c r="E193" s="174" t="n">
        <v>54.25</v>
      </c>
      <c r="F193" s="174" t="n">
        <v>64.25</v>
      </c>
      <c r="G193" s="174" t="n">
        <v>74.25</v>
      </c>
      <c r="H193" s="159"/>
      <c r="I193" s="174" t="n">
        <v>26.5400009155273</v>
      </c>
      <c r="J193" s="174" t="n">
        <v>26.5400009155273</v>
      </c>
      <c r="K193" s="174" t="n">
        <v>26.5400009155273</v>
      </c>
      <c r="L193" s="141"/>
      <c r="M193" s="142" t="n">
        <v>42339</v>
      </c>
      <c r="N193" s="175" t="n">
        <v>27.2900009155273</v>
      </c>
      <c r="O193" s="175" t="n">
        <v>27.2900009155273</v>
      </c>
      <c r="P193" s="175" t="n">
        <v>27.2900009155273</v>
      </c>
      <c r="Q193" s="62"/>
      <c r="R193" s="175" t="n">
        <v>21.7900009155273</v>
      </c>
      <c r="S193" s="175" t="n">
        <v>21.7900009155273</v>
      </c>
      <c r="T193" s="175" t="n">
        <v>21.7900009155273</v>
      </c>
      <c r="U193" s="62"/>
      <c r="V193" s="175" t="n">
        <v>0</v>
      </c>
      <c r="W193" s="175" t="n">
        <v>0</v>
      </c>
      <c r="X193" s="175" t="n">
        <v>0</v>
      </c>
      <c r="Y193" s="62"/>
      <c r="Z193" s="175" t="n">
        <v>0.16</v>
      </c>
      <c r="AA193" s="175" t="n">
        <v>0.2</v>
      </c>
      <c r="AB193" s="175" t="n">
        <v>0.24</v>
      </c>
      <c r="AC193" s="62"/>
      <c r="AD193" s="175" t="n">
        <v>0.08</v>
      </c>
      <c r="AE193" s="175" t="n">
        <v>0.1</v>
      </c>
      <c r="AF193" s="175" t="n">
        <v>0.12</v>
      </c>
      <c r="AG193" s="62"/>
      <c r="AH193" s="175" t="n">
        <v>0.2</v>
      </c>
      <c r="AI193" s="175" t="n">
        <v>0.25</v>
      </c>
      <c r="AJ193" s="175" t="n">
        <v>0.3</v>
      </c>
      <c r="AK193" s="62"/>
      <c r="AL193" s="175" t="n">
        <v>0.12</v>
      </c>
      <c r="AM193" s="175" t="n">
        <v>0.15</v>
      </c>
      <c r="AN193" s="175" t="n">
        <v>0.18</v>
      </c>
      <c r="AO193" s="62"/>
      <c r="AP193" s="141" t="n">
        <v>59</v>
      </c>
      <c r="AQ193" s="176" t="n">
        <v>0.4</v>
      </c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142" t="n">
        <v>42339</v>
      </c>
      <c r="BI193" s="178" t="n">
        <v>0.75</v>
      </c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0"/>
      <c r="CM193" s="230"/>
      <c r="CN193" s="230"/>
      <c r="CO193" s="179"/>
      <c r="CP193" s="0"/>
      <c r="CQ193" s="0"/>
      <c r="CR193" s="0"/>
      <c r="CS193" s="0"/>
      <c r="CT193" s="0"/>
      <c r="CY193" s="180" t="n">
        <f aca="false">M193</f>
        <v>42339</v>
      </c>
      <c r="CZ193" s="181" t="n">
        <f aca="false">AH193</f>
        <v>0.2</v>
      </c>
      <c r="DA193" s="181" t="n">
        <f aca="false">AI193</f>
        <v>0.25</v>
      </c>
      <c r="DB193" s="181" t="n">
        <f aca="false">AJ193</f>
        <v>0.3</v>
      </c>
      <c r="DD193" s="181" t="n">
        <f aca="false">Z193</f>
        <v>0.16</v>
      </c>
      <c r="DE193" s="181" t="n">
        <f aca="false">AA193</f>
        <v>0.2</v>
      </c>
      <c r="DF193" s="181" t="n">
        <f aca="false">AB193</f>
        <v>0.24</v>
      </c>
      <c r="DH193" s="180" t="n">
        <f aca="false">BH193</f>
        <v>42339</v>
      </c>
      <c r="DI193" s="135" t="n">
        <f aca="false">BI193</f>
        <v>0.75</v>
      </c>
      <c r="DL193" s="180" t="n">
        <f aca="false">M193</f>
        <v>42339</v>
      </c>
      <c r="DM193" s="181" t="n">
        <f aca="false">AL193</f>
        <v>0.12</v>
      </c>
      <c r="DN193" s="181" t="n">
        <f aca="false">AM193</f>
        <v>0.15</v>
      </c>
      <c r="DO193" s="181" t="n">
        <f aca="false">AN193</f>
        <v>0.18</v>
      </c>
      <c r="DQ193" s="181" t="n">
        <f aca="false">AD193</f>
        <v>0.08</v>
      </c>
      <c r="DR193" s="181" t="n">
        <f aca="false">AE193</f>
        <v>0.1</v>
      </c>
      <c r="DS193" s="181" t="n">
        <f aca="false">AF193</f>
        <v>0.12</v>
      </c>
    </row>
    <row r="194" customFormat="false" ht="12.75" hidden="false" customHeight="false" outlineLevel="0" collapsed="false">
      <c r="A194" s="145" t="n">
        <f aca="false">EOMONTH(A193,0)+1</f>
        <v>51441</v>
      </c>
      <c r="B194" s="135" t="n">
        <f aca="false">'Gas Curves'!C198</f>
        <v>0.0652184012983752</v>
      </c>
      <c r="C194" s="135"/>
      <c r="D194" s="173" t="n">
        <v>41487</v>
      </c>
      <c r="E194" s="174" t="n">
        <v>54.25</v>
      </c>
      <c r="F194" s="174" t="n">
        <v>64.25</v>
      </c>
      <c r="G194" s="174" t="n">
        <v>74.25</v>
      </c>
      <c r="H194" s="159"/>
      <c r="I194" s="174" t="n">
        <v>27.5400009155273</v>
      </c>
      <c r="J194" s="174" t="n">
        <v>27.5400009155273</v>
      </c>
      <c r="K194" s="174" t="n">
        <v>27.5400009155273</v>
      </c>
      <c r="L194" s="141"/>
      <c r="M194" s="142" t="n">
        <v>42370</v>
      </c>
      <c r="N194" s="175" t="n">
        <v>35.75</v>
      </c>
      <c r="O194" s="175" t="n">
        <v>35.75</v>
      </c>
      <c r="P194" s="175" t="n">
        <v>35.75</v>
      </c>
      <c r="Q194" s="62"/>
      <c r="R194" s="175" t="n">
        <v>25.25</v>
      </c>
      <c r="S194" s="175" t="n">
        <v>25.25</v>
      </c>
      <c r="T194" s="175" t="n">
        <v>25.25</v>
      </c>
      <c r="U194" s="62"/>
      <c r="V194" s="175" t="n">
        <v>0</v>
      </c>
      <c r="W194" s="175" t="n">
        <v>0</v>
      </c>
      <c r="X194" s="175" t="n">
        <v>0</v>
      </c>
      <c r="Y194" s="62"/>
      <c r="Z194" s="175" t="n">
        <v>0.16</v>
      </c>
      <c r="AA194" s="175" t="n">
        <v>0.2</v>
      </c>
      <c r="AB194" s="175" t="n">
        <v>0.24</v>
      </c>
      <c r="AC194" s="62"/>
      <c r="AD194" s="175" t="n">
        <v>0.08</v>
      </c>
      <c r="AE194" s="175" t="n">
        <v>0.1</v>
      </c>
      <c r="AF194" s="175" t="n">
        <v>0.12</v>
      </c>
      <c r="AG194" s="62"/>
      <c r="AH194" s="175" t="n">
        <v>0.2</v>
      </c>
      <c r="AI194" s="175" t="n">
        <v>0.25</v>
      </c>
      <c r="AJ194" s="175" t="n">
        <v>0.3</v>
      </c>
      <c r="AK194" s="62"/>
      <c r="AL194" s="175" t="n">
        <v>0.12</v>
      </c>
      <c r="AM194" s="175" t="n">
        <v>0.15</v>
      </c>
      <c r="AN194" s="175" t="n">
        <v>0.18</v>
      </c>
      <c r="AO194" s="62"/>
      <c r="AP194" s="141" t="n">
        <v>59</v>
      </c>
      <c r="AQ194" s="176" t="n">
        <v>0.4</v>
      </c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142" t="n">
        <v>42370</v>
      </c>
      <c r="BI194" s="178" t="n">
        <v>0.75</v>
      </c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0"/>
      <c r="CM194" s="230"/>
      <c r="CN194" s="230"/>
      <c r="CO194" s="179"/>
      <c r="CP194" s="0"/>
      <c r="CQ194" s="0"/>
      <c r="CR194" s="0"/>
      <c r="CS194" s="0"/>
      <c r="CT194" s="0"/>
      <c r="CY194" s="180" t="n">
        <f aca="false">M194</f>
        <v>42370</v>
      </c>
      <c r="CZ194" s="181" t="n">
        <f aca="false">AH194</f>
        <v>0.2</v>
      </c>
      <c r="DA194" s="181" t="n">
        <f aca="false">AI194</f>
        <v>0.25</v>
      </c>
      <c r="DB194" s="181" t="n">
        <f aca="false">AJ194</f>
        <v>0.3</v>
      </c>
      <c r="DD194" s="181" t="n">
        <f aca="false">Z194</f>
        <v>0.16</v>
      </c>
      <c r="DE194" s="181" t="n">
        <f aca="false">AA194</f>
        <v>0.2</v>
      </c>
      <c r="DF194" s="181" t="n">
        <f aca="false">AB194</f>
        <v>0.24</v>
      </c>
      <c r="DH194" s="180" t="n">
        <f aca="false">BH194</f>
        <v>42370</v>
      </c>
      <c r="DI194" s="135" t="n">
        <f aca="false">BI194</f>
        <v>0.75</v>
      </c>
      <c r="DL194" s="180" t="n">
        <f aca="false">M194</f>
        <v>42370</v>
      </c>
      <c r="DM194" s="181" t="n">
        <f aca="false">AL194</f>
        <v>0.12</v>
      </c>
      <c r="DN194" s="181" t="n">
        <f aca="false">AM194</f>
        <v>0.15</v>
      </c>
      <c r="DO194" s="181" t="n">
        <f aca="false">AN194</f>
        <v>0.18</v>
      </c>
      <c r="DQ194" s="181" t="n">
        <f aca="false">AD194</f>
        <v>0.08</v>
      </c>
      <c r="DR194" s="181" t="n">
        <f aca="false">AE194</f>
        <v>0.1</v>
      </c>
      <c r="DS194" s="181" t="n">
        <f aca="false">AF194</f>
        <v>0.12</v>
      </c>
    </row>
    <row r="195" customFormat="false" ht="12.75" hidden="false" customHeight="false" outlineLevel="0" collapsed="false">
      <c r="A195" s="145" t="n">
        <f aca="false">EOMONTH(A194,0)+1</f>
        <v>51471</v>
      </c>
      <c r="B195" s="135" t="n">
        <f aca="false">'Gas Curves'!C199</f>
        <v>0.0652553921561703</v>
      </c>
      <c r="C195" s="135"/>
      <c r="D195" s="173" t="n">
        <v>41518</v>
      </c>
      <c r="E195" s="174" t="n">
        <v>30.4600028991699</v>
      </c>
      <c r="F195" s="174" t="n">
        <v>31.9600028991699</v>
      </c>
      <c r="G195" s="174" t="n">
        <v>33.4600028991699</v>
      </c>
      <c r="H195" s="159"/>
      <c r="I195" s="174" t="n">
        <v>21.5400009155273</v>
      </c>
      <c r="J195" s="174" t="n">
        <v>21.5400009155273</v>
      </c>
      <c r="K195" s="174" t="n">
        <v>21.5400009155273</v>
      </c>
      <c r="L195" s="141"/>
      <c r="M195" s="142" t="n">
        <v>42401</v>
      </c>
      <c r="N195" s="175" t="n">
        <v>31.2460021972656</v>
      </c>
      <c r="O195" s="175" t="n">
        <v>31.2460021972656</v>
      </c>
      <c r="P195" s="175" t="n">
        <v>31.2460021972656</v>
      </c>
      <c r="Q195" s="62"/>
      <c r="R195" s="175" t="n">
        <v>22.7465019226074</v>
      </c>
      <c r="S195" s="175" t="n">
        <v>22.7465019226074</v>
      </c>
      <c r="T195" s="175" t="n">
        <v>22.7465019226074</v>
      </c>
      <c r="U195" s="62"/>
      <c r="V195" s="175" t="n">
        <v>0</v>
      </c>
      <c r="W195" s="175" t="n">
        <v>0</v>
      </c>
      <c r="X195" s="175" t="n">
        <v>0</v>
      </c>
      <c r="Y195" s="62"/>
      <c r="Z195" s="175" t="n">
        <v>0.16</v>
      </c>
      <c r="AA195" s="175" t="n">
        <v>0.2</v>
      </c>
      <c r="AB195" s="175" t="n">
        <v>0.24</v>
      </c>
      <c r="AC195" s="62"/>
      <c r="AD195" s="175" t="n">
        <v>0.08</v>
      </c>
      <c r="AE195" s="175" t="n">
        <v>0.1</v>
      </c>
      <c r="AF195" s="175" t="n">
        <v>0.12</v>
      </c>
      <c r="AG195" s="62"/>
      <c r="AH195" s="175" t="n">
        <v>0.2</v>
      </c>
      <c r="AI195" s="175" t="n">
        <v>0.25</v>
      </c>
      <c r="AJ195" s="175" t="n">
        <v>0.3</v>
      </c>
      <c r="AK195" s="62"/>
      <c r="AL195" s="175" t="n">
        <v>0.12</v>
      </c>
      <c r="AM195" s="175" t="n">
        <v>0.15</v>
      </c>
      <c r="AN195" s="175" t="n">
        <v>0.18</v>
      </c>
      <c r="AO195" s="62"/>
      <c r="AP195" s="141" t="n">
        <v>59</v>
      </c>
      <c r="AQ195" s="176" t="n">
        <v>0.4</v>
      </c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142" t="n">
        <v>42401</v>
      </c>
      <c r="BI195" s="178" t="n">
        <v>0.75</v>
      </c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0"/>
      <c r="CM195" s="230"/>
      <c r="CN195" s="230"/>
      <c r="CO195" s="179"/>
      <c r="CP195" s="0"/>
      <c r="CQ195" s="0"/>
      <c r="CR195" s="0"/>
      <c r="CS195" s="0"/>
      <c r="CT195" s="0"/>
      <c r="CY195" s="180" t="n">
        <f aca="false">M195</f>
        <v>42401</v>
      </c>
      <c r="CZ195" s="181" t="n">
        <f aca="false">AH195</f>
        <v>0.2</v>
      </c>
      <c r="DA195" s="181" t="n">
        <f aca="false">AI195</f>
        <v>0.25</v>
      </c>
      <c r="DB195" s="181" t="n">
        <f aca="false">AJ195</f>
        <v>0.3</v>
      </c>
      <c r="DD195" s="181" t="n">
        <f aca="false">Z195</f>
        <v>0.16</v>
      </c>
      <c r="DE195" s="181" t="n">
        <f aca="false">AA195</f>
        <v>0.2</v>
      </c>
      <c r="DF195" s="181" t="n">
        <f aca="false">AB195</f>
        <v>0.24</v>
      </c>
      <c r="DH195" s="180" t="n">
        <f aca="false">BH195</f>
        <v>42401</v>
      </c>
      <c r="DI195" s="135" t="n">
        <f aca="false">BI195</f>
        <v>0.75</v>
      </c>
      <c r="DL195" s="180" t="n">
        <f aca="false">M195</f>
        <v>42401</v>
      </c>
      <c r="DM195" s="181" t="n">
        <f aca="false">AL195</f>
        <v>0.12</v>
      </c>
      <c r="DN195" s="181" t="n">
        <f aca="false">AM195</f>
        <v>0.15</v>
      </c>
      <c r="DO195" s="181" t="n">
        <f aca="false">AN195</f>
        <v>0.18</v>
      </c>
      <c r="DQ195" s="181" t="n">
        <f aca="false">AD195</f>
        <v>0.08</v>
      </c>
      <c r="DR195" s="181" t="n">
        <f aca="false">AE195</f>
        <v>0.1</v>
      </c>
      <c r="DS195" s="181" t="n">
        <f aca="false">AF195</f>
        <v>0.12</v>
      </c>
    </row>
    <row r="196" customFormat="false" ht="12.75" hidden="false" customHeight="false" outlineLevel="0" collapsed="false">
      <c r="A196" s="145" t="n">
        <f aca="false">EOMONTH(A195,0)+1</f>
        <v>51502</v>
      </c>
      <c r="B196" s="135" t="n">
        <f aca="false">'Gas Curves'!C200</f>
        <v>0.0652936160430348</v>
      </c>
      <c r="C196" s="135"/>
      <c r="D196" s="173" t="n">
        <v>41548</v>
      </c>
      <c r="E196" s="174" t="n">
        <v>33.3615688085556</v>
      </c>
      <c r="F196" s="174" t="n">
        <v>34.8615688085556</v>
      </c>
      <c r="G196" s="174" t="n">
        <v>36.3615688085556</v>
      </c>
      <c r="H196" s="159"/>
      <c r="I196" s="174" t="n">
        <v>21.040002822876</v>
      </c>
      <c r="J196" s="174" t="n">
        <v>21.040002822876</v>
      </c>
      <c r="K196" s="174" t="n">
        <v>21.040002822876</v>
      </c>
      <c r="L196" s="141"/>
      <c r="M196" s="142" t="n">
        <v>42430</v>
      </c>
      <c r="N196" s="175" t="n">
        <v>25.5</v>
      </c>
      <c r="O196" s="175" t="n">
        <v>25.5</v>
      </c>
      <c r="P196" s="175" t="n">
        <v>25.5</v>
      </c>
      <c r="Q196" s="62"/>
      <c r="R196" s="175" t="n">
        <v>20</v>
      </c>
      <c r="S196" s="175" t="n">
        <v>20</v>
      </c>
      <c r="T196" s="175" t="n">
        <v>20</v>
      </c>
      <c r="U196" s="62"/>
      <c r="V196" s="175" t="n">
        <v>0</v>
      </c>
      <c r="W196" s="175" t="n">
        <v>0</v>
      </c>
      <c r="X196" s="175" t="n">
        <v>0</v>
      </c>
      <c r="Y196" s="62"/>
      <c r="Z196" s="175" t="n">
        <v>0.16</v>
      </c>
      <c r="AA196" s="175" t="n">
        <v>0.2</v>
      </c>
      <c r="AB196" s="175" t="n">
        <v>0.24</v>
      </c>
      <c r="AC196" s="62"/>
      <c r="AD196" s="175" t="n">
        <v>0.08</v>
      </c>
      <c r="AE196" s="175" t="n">
        <v>0.1</v>
      </c>
      <c r="AF196" s="175" t="n">
        <v>0.12</v>
      </c>
      <c r="AG196" s="62"/>
      <c r="AH196" s="175" t="n">
        <v>0.2</v>
      </c>
      <c r="AI196" s="175" t="n">
        <v>0.25</v>
      </c>
      <c r="AJ196" s="175" t="n">
        <v>0.3</v>
      </c>
      <c r="AK196" s="62"/>
      <c r="AL196" s="175" t="n">
        <v>0.12</v>
      </c>
      <c r="AM196" s="175" t="n">
        <v>0.15</v>
      </c>
      <c r="AN196" s="175" t="n">
        <v>0.18</v>
      </c>
      <c r="AO196" s="62"/>
      <c r="AP196" s="141" t="n">
        <v>60</v>
      </c>
      <c r="AQ196" s="176" t="n">
        <v>0.4</v>
      </c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142" t="n">
        <v>42430</v>
      </c>
      <c r="BI196" s="178" t="n">
        <v>0.75</v>
      </c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0"/>
      <c r="CM196" s="230"/>
      <c r="CN196" s="230"/>
      <c r="CO196" s="179"/>
      <c r="CP196" s="0"/>
      <c r="CQ196" s="0"/>
      <c r="CR196" s="0"/>
      <c r="CS196" s="0"/>
      <c r="CT196" s="0"/>
      <c r="CY196" s="180" t="n">
        <f aca="false">M196</f>
        <v>42430</v>
      </c>
      <c r="CZ196" s="181" t="n">
        <f aca="false">AH196</f>
        <v>0.2</v>
      </c>
      <c r="DA196" s="181" t="n">
        <f aca="false">AI196</f>
        <v>0.25</v>
      </c>
      <c r="DB196" s="181" t="n">
        <f aca="false">AJ196</f>
        <v>0.3</v>
      </c>
      <c r="DD196" s="181" t="n">
        <f aca="false">Z196</f>
        <v>0.16</v>
      </c>
      <c r="DE196" s="181" t="n">
        <f aca="false">AA196</f>
        <v>0.2</v>
      </c>
      <c r="DF196" s="181" t="n">
        <f aca="false">AB196</f>
        <v>0.24</v>
      </c>
      <c r="DH196" s="180" t="n">
        <f aca="false">BH196</f>
        <v>42430</v>
      </c>
      <c r="DI196" s="135" t="n">
        <f aca="false">BI196</f>
        <v>0.75</v>
      </c>
      <c r="DL196" s="180" t="n">
        <f aca="false">M196</f>
        <v>42430</v>
      </c>
      <c r="DM196" s="181" t="n">
        <f aca="false">AL196</f>
        <v>0.12</v>
      </c>
      <c r="DN196" s="181" t="n">
        <f aca="false">AM196</f>
        <v>0.15</v>
      </c>
      <c r="DO196" s="181" t="n">
        <f aca="false">AN196</f>
        <v>0.18</v>
      </c>
      <c r="DQ196" s="181" t="n">
        <f aca="false">AD196</f>
        <v>0.08</v>
      </c>
      <c r="DR196" s="181" t="n">
        <f aca="false">AE196</f>
        <v>0.1</v>
      </c>
      <c r="DS196" s="181" t="n">
        <f aca="false">AF196</f>
        <v>0.12</v>
      </c>
    </row>
    <row r="197" customFormat="false" ht="12.75" hidden="false" customHeight="false" outlineLevel="0" collapsed="false">
      <c r="A197" s="145" t="n">
        <f aca="false">EOMONTH(A196,0)+1</f>
        <v>51533</v>
      </c>
      <c r="B197" s="135" t="n">
        <f aca="false">'Gas Curves'!C201</f>
        <v>0.0653318399303844</v>
      </c>
      <c r="C197" s="135"/>
      <c r="D197" s="173" t="n">
        <v>41579</v>
      </c>
      <c r="E197" s="174" t="n">
        <v>33.4615672826767</v>
      </c>
      <c r="F197" s="174" t="n">
        <v>34.9615672826767</v>
      </c>
      <c r="G197" s="174" t="n">
        <v>36.4615672826767</v>
      </c>
      <c r="H197" s="159"/>
      <c r="I197" s="174" t="n">
        <v>22.0400009155273</v>
      </c>
      <c r="J197" s="174" t="n">
        <v>22.0400009155273</v>
      </c>
      <c r="K197" s="174" t="n">
        <v>22.0400009155273</v>
      </c>
      <c r="L197" s="141"/>
      <c r="M197" s="142" t="n">
        <v>42461</v>
      </c>
      <c r="N197" s="175" t="n">
        <v>22</v>
      </c>
      <c r="O197" s="175" t="n">
        <v>22</v>
      </c>
      <c r="P197" s="175" t="n">
        <v>22</v>
      </c>
      <c r="Q197" s="62"/>
      <c r="R197" s="175" t="n">
        <v>16.4950008392334</v>
      </c>
      <c r="S197" s="175" t="n">
        <v>16.4950008392334</v>
      </c>
      <c r="T197" s="175" t="n">
        <v>16.4950008392334</v>
      </c>
      <c r="U197" s="62"/>
      <c r="V197" s="175" t="n">
        <v>0</v>
      </c>
      <c r="W197" s="175" t="n">
        <v>0</v>
      </c>
      <c r="X197" s="175" t="n">
        <v>0</v>
      </c>
      <c r="Y197" s="62"/>
      <c r="Z197" s="175" t="n">
        <v>0.16</v>
      </c>
      <c r="AA197" s="175" t="n">
        <v>0.2</v>
      </c>
      <c r="AB197" s="175" t="n">
        <v>0.24</v>
      </c>
      <c r="AC197" s="62"/>
      <c r="AD197" s="175" t="n">
        <v>0.08</v>
      </c>
      <c r="AE197" s="175" t="n">
        <v>0.1</v>
      </c>
      <c r="AF197" s="175" t="n">
        <v>0.12</v>
      </c>
      <c r="AG197" s="62"/>
      <c r="AH197" s="175" t="n">
        <v>0.2</v>
      </c>
      <c r="AI197" s="175" t="n">
        <v>0.25</v>
      </c>
      <c r="AJ197" s="175" t="n">
        <v>0.3</v>
      </c>
      <c r="AK197" s="62"/>
      <c r="AL197" s="175" t="n">
        <v>0.12</v>
      </c>
      <c r="AM197" s="175" t="n">
        <v>0.15</v>
      </c>
      <c r="AN197" s="175" t="n">
        <v>0.18</v>
      </c>
      <c r="AO197" s="62"/>
      <c r="AP197" s="141" t="n">
        <v>60</v>
      </c>
      <c r="AQ197" s="176" t="n">
        <v>0.4</v>
      </c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142" t="n">
        <v>42461</v>
      </c>
      <c r="BI197" s="178" t="n">
        <v>0.75</v>
      </c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0"/>
      <c r="CM197" s="230"/>
      <c r="CN197" s="230"/>
      <c r="CO197" s="179"/>
      <c r="CP197" s="0"/>
      <c r="CQ197" s="0"/>
      <c r="CR197" s="0"/>
      <c r="CS197" s="0"/>
      <c r="CT197" s="0"/>
      <c r="CY197" s="180" t="n">
        <f aca="false">M197</f>
        <v>42461</v>
      </c>
      <c r="CZ197" s="181" t="n">
        <f aca="false">AH197</f>
        <v>0.2</v>
      </c>
      <c r="DA197" s="181" t="n">
        <f aca="false">AI197</f>
        <v>0.25</v>
      </c>
      <c r="DB197" s="181" t="n">
        <f aca="false">AJ197</f>
        <v>0.3</v>
      </c>
      <c r="DD197" s="181" t="n">
        <f aca="false">Z197</f>
        <v>0.16</v>
      </c>
      <c r="DE197" s="181" t="n">
        <f aca="false">AA197</f>
        <v>0.2</v>
      </c>
      <c r="DF197" s="181" t="n">
        <f aca="false">AB197</f>
        <v>0.24</v>
      </c>
      <c r="DH197" s="180" t="n">
        <f aca="false">BH197</f>
        <v>42461</v>
      </c>
      <c r="DI197" s="135" t="n">
        <f aca="false">BI197</f>
        <v>0.75</v>
      </c>
      <c r="DL197" s="180" t="n">
        <f aca="false">M197</f>
        <v>42461</v>
      </c>
      <c r="DM197" s="181" t="n">
        <f aca="false">AL197</f>
        <v>0.12</v>
      </c>
      <c r="DN197" s="181" t="n">
        <f aca="false">AM197</f>
        <v>0.15</v>
      </c>
      <c r="DO197" s="181" t="n">
        <f aca="false">AN197</f>
        <v>0.18</v>
      </c>
      <c r="DQ197" s="181" t="n">
        <f aca="false">AD197</f>
        <v>0.08</v>
      </c>
      <c r="DR197" s="181" t="n">
        <f aca="false">AE197</f>
        <v>0.1</v>
      </c>
      <c r="DS197" s="181" t="n">
        <f aca="false">AF197</f>
        <v>0.12</v>
      </c>
    </row>
    <row r="198" customFormat="false" ht="12.75" hidden="false" customHeight="false" outlineLevel="0" collapsed="false">
      <c r="A198" s="145" t="n">
        <f aca="false">EOMONTH(A197,0)+1</f>
        <v>51561</v>
      </c>
      <c r="B198" s="135" t="n">
        <f aca="false">'Gas Curves'!C202</f>
        <v>0.0653688307895703</v>
      </c>
      <c r="C198" s="135"/>
      <c r="D198" s="173" t="n">
        <v>41609</v>
      </c>
      <c r="E198" s="174" t="n">
        <v>33.5615657567978</v>
      </c>
      <c r="F198" s="174" t="n">
        <v>35.0615657567978</v>
      </c>
      <c r="G198" s="174" t="n">
        <v>36.5615657567978</v>
      </c>
      <c r="H198" s="159"/>
      <c r="I198" s="174" t="n">
        <v>24.2900009155273</v>
      </c>
      <c r="J198" s="174" t="n">
        <v>24.2900009155273</v>
      </c>
      <c r="K198" s="174" t="n">
        <v>24.2900009155273</v>
      </c>
      <c r="L198" s="141"/>
      <c r="M198" s="142" t="n">
        <v>42491</v>
      </c>
      <c r="N198" s="175" t="n">
        <v>22.2900009155273</v>
      </c>
      <c r="O198" s="175" t="n">
        <v>22.2900009155273</v>
      </c>
      <c r="P198" s="175" t="n">
        <v>22.2900009155273</v>
      </c>
      <c r="Q198" s="62"/>
      <c r="R198" s="175" t="n">
        <v>15.7950000762939</v>
      </c>
      <c r="S198" s="175" t="n">
        <v>15.7950000762939</v>
      </c>
      <c r="T198" s="175" t="n">
        <v>15.7950000762939</v>
      </c>
      <c r="U198" s="62"/>
      <c r="V198" s="175" t="n">
        <v>0</v>
      </c>
      <c r="W198" s="175" t="n">
        <v>0</v>
      </c>
      <c r="X198" s="175" t="n">
        <v>0</v>
      </c>
      <c r="Y198" s="62"/>
      <c r="Z198" s="175" t="n">
        <v>0.16</v>
      </c>
      <c r="AA198" s="175" t="n">
        <v>0.2</v>
      </c>
      <c r="AB198" s="175" t="n">
        <v>0.24</v>
      </c>
      <c r="AC198" s="62"/>
      <c r="AD198" s="175" t="n">
        <v>0.08</v>
      </c>
      <c r="AE198" s="175" t="n">
        <v>0.1</v>
      </c>
      <c r="AF198" s="175" t="n">
        <v>0.12</v>
      </c>
      <c r="AG198" s="62"/>
      <c r="AH198" s="175" t="n">
        <v>0.2</v>
      </c>
      <c r="AI198" s="175" t="n">
        <v>0.25</v>
      </c>
      <c r="AJ198" s="175" t="n">
        <v>0.3</v>
      </c>
      <c r="AK198" s="62"/>
      <c r="AL198" s="175" t="n">
        <v>0.12</v>
      </c>
      <c r="AM198" s="175" t="n">
        <v>0.15</v>
      </c>
      <c r="AN198" s="175" t="n">
        <v>0.18</v>
      </c>
      <c r="AO198" s="62"/>
      <c r="AP198" s="141" t="n">
        <v>60</v>
      </c>
      <c r="AQ198" s="176" t="n">
        <v>0.4</v>
      </c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142" t="n">
        <v>42491</v>
      </c>
      <c r="BI198" s="178" t="n">
        <v>0.75</v>
      </c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0"/>
      <c r="CM198" s="230"/>
      <c r="CN198" s="230"/>
      <c r="CO198" s="179"/>
      <c r="CP198" s="0"/>
      <c r="CQ198" s="0"/>
      <c r="CR198" s="0"/>
      <c r="CS198" s="0"/>
      <c r="CT198" s="0"/>
      <c r="CY198" s="180" t="n">
        <f aca="false">M198</f>
        <v>42491</v>
      </c>
      <c r="CZ198" s="181" t="n">
        <f aca="false">AH198</f>
        <v>0.2</v>
      </c>
      <c r="DA198" s="181" t="n">
        <f aca="false">AI198</f>
        <v>0.25</v>
      </c>
      <c r="DB198" s="181" t="n">
        <f aca="false">AJ198</f>
        <v>0.3</v>
      </c>
      <c r="DD198" s="181" t="n">
        <f aca="false">Z198</f>
        <v>0.16</v>
      </c>
      <c r="DE198" s="181" t="n">
        <f aca="false">AA198</f>
        <v>0.2</v>
      </c>
      <c r="DF198" s="181" t="n">
        <f aca="false">AB198</f>
        <v>0.24</v>
      </c>
      <c r="DH198" s="180" t="n">
        <f aca="false">BH198</f>
        <v>42491</v>
      </c>
      <c r="DI198" s="135" t="n">
        <f aca="false">BI198</f>
        <v>0.75</v>
      </c>
      <c r="DL198" s="180" t="n">
        <f aca="false">M198</f>
        <v>42491</v>
      </c>
      <c r="DM198" s="181" t="n">
        <f aca="false">AL198</f>
        <v>0.12</v>
      </c>
      <c r="DN198" s="181" t="n">
        <f aca="false">AM198</f>
        <v>0.15</v>
      </c>
      <c r="DO198" s="181" t="n">
        <f aca="false">AN198</f>
        <v>0.18</v>
      </c>
      <c r="DQ198" s="181" t="n">
        <f aca="false">AD198</f>
        <v>0.08</v>
      </c>
      <c r="DR198" s="181" t="n">
        <f aca="false">AE198</f>
        <v>0.1</v>
      </c>
      <c r="DS198" s="181" t="n">
        <f aca="false">AF198</f>
        <v>0.12</v>
      </c>
    </row>
    <row r="199" customFormat="false" ht="12.75" hidden="false" customHeight="false" outlineLevel="0" collapsed="false">
      <c r="A199" s="145" t="n">
        <f aca="false">EOMONTH(A198,0)+1</f>
        <v>51592</v>
      </c>
      <c r="B199" s="135" t="n">
        <f aca="false">'Gas Curves'!C203</f>
        <v>0.0654070546778724</v>
      </c>
      <c r="C199" s="135"/>
      <c r="D199" s="173" t="n">
        <v>41640</v>
      </c>
      <c r="E199" s="174" t="n">
        <v>36.9957144601004</v>
      </c>
      <c r="F199" s="174" t="n">
        <v>38.4957144601004</v>
      </c>
      <c r="G199" s="174" t="n">
        <v>39.9957144601004</v>
      </c>
      <c r="H199" s="159"/>
      <c r="I199" s="174" t="n">
        <v>26.5</v>
      </c>
      <c r="J199" s="174" t="n">
        <v>26.5</v>
      </c>
      <c r="K199" s="174" t="n">
        <v>26.5</v>
      </c>
      <c r="L199" s="141"/>
      <c r="M199" s="142" t="n">
        <v>42522</v>
      </c>
      <c r="N199" s="175" t="n">
        <v>29.2900009155273</v>
      </c>
      <c r="O199" s="175" t="n">
        <v>29.2900009155273</v>
      </c>
      <c r="P199" s="175" t="n">
        <v>29.2900009155273</v>
      </c>
      <c r="Q199" s="62"/>
      <c r="R199" s="175" t="n">
        <v>19.7900009155273</v>
      </c>
      <c r="S199" s="175" t="n">
        <v>19.7900009155273</v>
      </c>
      <c r="T199" s="175" t="n">
        <v>19.7900009155273</v>
      </c>
      <c r="U199" s="62"/>
      <c r="V199" s="175" t="n">
        <v>0</v>
      </c>
      <c r="W199" s="175" t="n">
        <v>0</v>
      </c>
      <c r="X199" s="175" t="n">
        <v>0</v>
      </c>
      <c r="Y199" s="62"/>
      <c r="Z199" s="175" t="n">
        <v>0.16</v>
      </c>
      <c r="AA199" s="175" t="n">
        <v>0.2</v>
      </c>
      <c r="AB199" s="175" t="n">
        <v>0.24</v>
      </c>
      <c r="AC199" s="62"/>
      <c r="AD199" s="175" t="n">
        <v>0.08</v>
      </c>
      <c r="AE199" s="175" t="n">
        <v>0.1</v>
      </c>
      <c r="AF199" s="175" t="n">
        <v>0.12</v>
      </c>
      <c r="AG199" s="62"/>
      <c r="AH199" s="175" t="n">
        <v>0.2</v>
      </c>
      <c r="AI199" s="175" t="n">
        <v>0.25</v>
      </c>
      <c r="AJ199" s="175" t="n">
        <v>0.3</v>
      </c>
      <c r="AK199" s="62"/>
      <c r="AL199" s="175" t="n">
        <v>0.12</v>
      </c>
      <c r="AM199" s="175" t="n">
        <v>0.15</v>
      </c>
      <c r="AN199" s="175" t="n">
        <v>0.18</v>
      </c>
      <c r="AO199" s="62"/>
      <c r="AP199" s="141" t="n">
        <v>61</v>
      </c>
      <c r="AQ199" s="176" t="n">
        <v>0.4</v>
      </c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142" t="n">
        <v>42522</v>
      </c>
      <c r="BI199" s="178" t="n">
        <v>0.75</v>
      </c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0"/>
      <c r="CM199" s="230"/>
      <c r="CN199" s="230"/>
      <c r="CO199" s="179"/>
      <c r="CP199" s="0"/>
      <c r="CQ199" s="0"/>
      <c r="CR199" s="0"/>
      <c r="CS199" s="0"/>
      <c r="CT199" s="0"/>
      <c r="CY199" s="180" t="n">
        <f aca="false">M199</f>
        <v>42522</v>
      </c>
      <c r="CZ199" s="181" t="n">
        <f aca="false">AH199</f>
        <v>0.2</v>
      </c>
      <c r="DA199" s="181" t="n">
        <f aca="false">AI199</f>
        <v>0.25</v>
      </c>
      <c r="DB199" s="181" t="n">
        <f aca="false">AJ199</f>
        <v>0.3</v>
      </c>
      <c r="DD199" s="181" t="n">
        <f aca="false">Z199</f>
        <v>0.16</v>
      </c>
      <c r="DE199" s="181" t="n">
        <f aca="false">AA199</f>
        <v>0.2</v>
      </c>
      <c r="DF199" s="181" t="n">
        <f aca="false">AB199</f>
        <v>0.24</v>
      </c>
      <c r="DH199" s="180" t="n">
        <f aca="false">BH199</f>
        <v>42522</v>
      </c>
      <c r="DI199" s="135" t="n">
        <f aca="false">BI199</f>
        <v>0.75</v>
      </c>
      <c r="DL199" s="180" t="n">
        <f aca="false">M199</f>
        <v>42522</v>
      </c>
      <c r="DM199" s="181" t="n">
        <f aca="false">AL199</f>
        <v>0.12</v>
      </c>
      <c r="DN199" s="181" t="n">
        <f aca="false">AM199</f>
        <v>0.15</v>
      </c>
      <c r="DO199" s="181" t="n">
        <f aca="false">AN199</f>
        <v>0.18</v>
      </c>
      <c r="DQ199" s="181" t="n">
        <f aca="false">AD199</f>
        <v>0.08</v>
      </c>
      <c r="DR199" s="181" t="n">
        <f aca="false">AE199</f>
        <v>0.1</v>
      </c>
      <c r="DS199" s="181" t="n">
        <f aca="false">AF199</f>
        <v>0.12</v>
      </c>
    </row>
    <row r="200" customFormat="false" ht="12.75" hidden="false" customHeight="false" outlineLevel="0" collapsed="false">
      <c r="A200" s="145" t="n">
        <f aca="false">EOMONTH(A199,0)+1</f>
        <v>51622</v>
      </c>
      <c r="B200" s="135" t="n">
        <f aca="false">'Gas Curves'!C204</f>
        <v>0.0654440455379803</v>
      </c>
      <c r="C200" s="135"/>
      <c r="D200" s="173" t="n">
        <v>41671</v>
      </c>
      <c r="E200" s="174" t="n">
        <v>36.3957121712821</v>
      </c>
      <c r="F200" s="174" t="n">
        <v>37.8957121712821</v>
      </c>
      <c r="G200" s="174" t="n">
        <v>39.3957121712821</v>
      </c>
      <c r="H200" s="159"/>
      <c r="I200" s="174" t="n">
        <v>25</v>
      </c>
      <c r="J200" s="174" t="n">
        <v>25</v>
      </c>
      <c r="K200" s="174" t="n">
        <v>25</v>
      </c>
      <c r="L200" s="141"/>
      <c r="M200" s="142" t="n">
        <v>42552</v>
      </c>
      <c r="N200" s="175" t="n">
        <v>35.2900009155273</v>
      </c>
      <c r="O200" s="175" t="n">
        <v>35.2900009155273</v>
      </c>
      <c r="P200" s="175" t="n">
        <v>35.2900009155273</v>
      </c>
      <c r="Q200" s="62"/>
      <c r="R200" s="175" t="n">
        <v>25.7900009155273</v>
      </c>
      <c r="S200" s="175" t="n">
        <v>25.7900009155273</v>
      </c>
      <c r="T200" s="175" t="n">
        <v>25.7900009155273</v>
      </c>
      <c r="U200" s="62"/>
      <c r="V200" s="175" t="n">
        <v>0</v>
      </c>
      <c r="W200" s="175" t="n">
        <v>0</v>
      </c>
      <c r="X200" s="175" t="n">
        <v>0</v>
      </c>
      <c r="Y200" s="62"/>
      <c r="Z200" s="175" t="n">
        <v>0.24</v>
      </c>
      <c r="AA200" s="175" t="n">
        <v>0.3</v>
      </c>
      <c r="AB200" s="175" t="n">
        <v>0.36</v>
      </c>
      <c r="AC200" s="62"/>
      <c r="AD200" s="175" t="n">
        <v>0.12</v>
      </c>
      <c r="AE200" s="175" t="n">
        <v>0.15</v>
      </c>
      <c r="AF200" s="175" t="n">
        <v>0.18</v>
      </c>
      <c r="AG200" s="62"/>
      <c r="AH200" s="175" t="n">
        <v>0.32</v>
      </c>
      <c r="AI200" s="175" t="n">
        <v>0.4</v>
      </c>
      <c r="AJ200" s="175" t="n">
        <v>0.48</v>
      </c>
      <c r="AK200" s="62"/>
      <c r="AL200" s="175" t="n">
        <v>0.192</v>
      </c>
      <c r="AM200" s="175" t="n">
        <v>0.24</v>
      </c>
      <c r="AN200" s="175" t="n">
        <v>0.288</v>
      </c>
      <c r="AO200" s="62"/>
      <c r="AP200" s="141" t="n">
        <v>61</v>
      </c>
      <c r="AQ200" s="176" t="n">
        <v>0.4</v>
      </c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142" t="n">
        <v>42552</v>
      </c>
      <c r="BI200" s="178" t="n">
        <v>0.75</v>
      </c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0"/>
      <c r="CM200" s="230"/>
      <c r="CN200" s="230"/>
      <c r="CO200" s="179"/>
      <c r="CP200" s="0"/>
      <c r="CQ200" s="0"/>
      <c r="CR200" s="0"/>
      <c r="CS200" s="0"/>
      <c r="CT200" s="0"/>
      <c r="CY200" s="180" t="n">
        <f aca="false">M200</f>
        <v>42552</v>
      </c>
      <c r="CZ200" s="181" t="n">
        <f aca="false">AH200</f>
        <v>0.32</v>
      </c>
      <c r="DA200" s="181" t="n">
        <f aca="false">AI200</f>
        <v>0.4</v>
      </c>
      <c r="DB200" s="181" t="n">
        <f aca="false">AJ200</f>
        <v>0.48</v>
      </c>
      <c r="DD200" s="181" t="n">
        <f aca="false">Z200</f>
        <v>0.24</v>
      </c>
      <c r="DE200" s="181" t="n">
        <f aca="false">AA200</f>
        <v>0.3</v>
      </c>
      <c r="DF200" s="181" t="n">
        <f aca="false">AB200</f>
        <v>0.36</v>
      </c>
      <c r="DH200" s="180" t="n">
        <f aca="false">BH200</f>
        <v>42552</v>
      </c>
      <c r="DI200" s="135" t="n">
        <f aca="false">BI200</f>
        <v>0.75</v>
      </c>
      <c r="DL200" s="180" t="n">
        <f aca="false">M200</f>
        <v>42552</v>
      </c>
      <c r="DM200" s="181" t="n">
        <f aca="false">AL200</f>
        <v>0.192</v>
      </c>
      <c r="DN200" s="181" t="n">
        <f aca="false">AM200</f>
        <v>0.24</v>
      </c>
      <c r="DO200" s="181" t="n">
        <f aca="false">AN200</f>
        <v>0.288</v>
      </c>
      <c r="DQ200" s="181" t="n">
        <f aca="false">AD200</f>
        <v>0.12</v>
      </c>
      <c r="DR200" s="181" t="n">
        <f aca="false">AE200</f>
        <v>0.15</v>
      </c>
      <c r="DS200" s="181" t="n">
        <f aca="false">AF200</f>
        <v>0.18</v>
      </c>
    </row>
    <row r="201" customFormat="false" ht="12.75" hidden="false" customHeight="false" outlineLevel="0" collapsed="false">
      <c r="A201" s="145" t="n">
        <f aca="false">EOMONTH(A200,0)+1</f>
        <v>51653</v>
      </c>
      <c r="B201" s="135" t="n">
        <f aca="false">'Gas Curves'!C205</f>
        <v>0.0654822694272354</v>
      </c>
      <c r="C201" s="135"/>
      <c r="D201" s="173" t="n">
        <v>41699</v>
      </c>
      <c r="E201" s="174" t="n">
        <v>35.1076808308446</v>
      </c>
      <c r="F201" s="174" t="n">
        <v>36.6076808308446</v>
      </c>
      <c r="G201" s="174" t="n">
        <v>38.1076808308446</v>
      </c>
      <c r="H201" s="159"/>
      <c r="I201" s="174" t="n">
        <v>26</v>
      </c>
      <c r="J201" s="174" t="n">
        <v>26</v>
      </c>
      <c r="K201" s="174" t="n">
        <v>26</v>
      </c>
      <c r="L201" s="141"/>
      <c r="M201" s="142" t="n">
        <v>42583</v>
      </c>
      <c r="N201" s="175" t="n">
        <v>33.2900047302246</v>
      </c>
      <c r="O201" s="175" t="n">
        <v>33.2900047302246</v>
      </c>
      <c r="P201" s="175" t="n">
        <v>33.2900047302246</v>
      </c>
      <c r="Q201" s="62"/>
      <c r="R201" s="175" t="n">
        <v>25.7900009155273</v>
      </c>
      <c r="S201" s="175" t="n">
        <v>25.7900009155273</v>
      </c>
      <c r="T201" s="175" t="n">
        <v>25.7900009155273</v>
      </c>
      <c r="U201" s="62"/>
      <c r="V201" s="175" t="n">
        <v>0</v>
      </c>
      <c r="W201" s="175" t="n">
        <v>0</v>
      </c>
      <c r="X201" s="175" t="n">
        <v>0</v>
      </c>
      <c r="Y201" s="62"/>
      <c r="Z201" s="175" t="n">
        <v>0.24</v>
      </c>
      <c r="AA201" s="175" t="n">
        <v>0.3</v>
      </c>
      <c r="AB201" s="175" t="n">
        <v>0.36</v>
      </c>
      <c r="AC201" s="62"/>
      <c r="AD201" s="175" t="n">
        <v>0.12</v>
      </c>
      <c r="AE201" s="175" t="n">
        <v>0.15</v>
      </c>
      <c r="AF201" s="175" t="n">
        <v>0.18</v>
      </c>
      <c r="AG201" s="62"/>
      <c r="AH201" s="175" t="n">
        <v>0.32</v>
      </c>
      <c r="AI201" s="175" t="n">
        <v>0.4</v>
      </c>
      <c r="AJ201" s="175" t="n">
        <v>0.48</v>
      </c>
      <c r="AK201" s="62"/>
      <c r="AL201" s="175" t="n">
        <v>0.192</v>
      </c>
      <c r="AM201" s="175" t="n">
        <v>0.24</v>
      </c>
      <c r="AN201" s="175" t="n">
        <v>0.288</v>
      </c>
      <c r="AO201" s="62"/>
      <c r="AP201" s="141" t="n">
        <v>61</v>
      </c>
      <c r="AQ201" s="176" t="n">
        <v>0.4</v>
      </c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142" t="n">
        <v>42583</v>
      </c>
      <c r="BI201" s="178" t="n">
        <v>0.75</v>
      </c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0"/>
      <c r="CP201" s="0"/>
      <c r="CQ201" s="0"/>
      <c r="CR201" s="0"/>
      <c r="CS201" s="0"/>
      <c r="CT201" s="0"/>
      <c r="CY201" s="180" t="n">
        <f aca="false">M201</f>
        <v>42583</v>
      </c>
      <c r="CZ201" s="181" t="n">
        <f aca="false">AH201</f>
        <v>0.32</v>
      </c>
      <c r="DA201" s="181" t="n">
        <f aca="false">AI201</f>
        <v>0.4</v>
      </c>
      <c r="DB201" s="181" t="n">
        <f aca="false">AJ201</f>
        <v>0.48</v>
      </c>
      <c r="DD201" s="181" t="n">
        <f aca="false">Z201</f>
        <v>0.24</v>
      </c>
      <c r="DE201" s="181" t="n">
        <f aca="false">AA201</f>
        <v>0.3</v>
      </c>
      <c r="DF201" s="181" t="n">
        <f aca="false">AB201</f>
        <v>0.36</v>
      </c>
      <c r="DH201" s="180" t="n">
        <f aca="false">BH201</f>
        <v>42583</v>
      </c>
      <c r="DI201" s="135" t="n">
        <f aca="false">BI201</f>
        <v>0.75</v>
      </c>
      <c r="DL201" s="180" t="n">
        <f aca="false">M201</f>
        <v>42583</v>
      </c>
      <c r="DM201" s="181" t="n">
        <f aca="false">AL201</f>
        <v>0.192</v>
      </c>
      <c r="DN201" s="181" t="n">
        <f aca="false">AM201</f>
        <v>0.24</v>
      </c>
      <c r="DO201" s="181" t="n">
        <f aca="false">AN201</f>
        <v>0.288</v>
      </c>
      <c r="DQ201" s="181" t="n">
        <f aca="false">AD201</f>
        <v>0.12</v>
      </c>
      <c r="DR201" s="181" t="n">
        <f aca="false">AE201</f>
        <v>0.15</v>
      </c>
      <c r="DS201" s="181" t="n">
        <f aca="false">AF201</f>
        <v>0.18</v>
      </c>
    </row>
    <row r="202" customFormat="false" ht="12.75" hidden="false" customHeight="false" outlineLevel="0" collapsed="false">
      <c r="A202" s="145" t="n">
        <f aca="false">EOMONTH(A201,0)+1</f>
        <v>51683</v>
      </c>
      <c r="B202" s="135" t="n">
        <f aca="false">'Gas Curves'!C206</f>
        <v>0.0655204933169742</v>
      </c>
      <c r="C202" s="135"/>
      <c r="D202" s="173" t="n">
        <v>41730</v>
      </c>
      <c r="E202" s="174" t="n">
        <v>35.3076815937841</v>
      </c>
      <c r="F202" s="174" t="n">
        <v>36.8076815937841</v>
      </c>
      <c r="G202" s="174" t="n">
        <v>38.3076815937841</v>
      </c>
      <c r="H202" s="159"/>
      <c r="I202" s="174" t="n">
        <v>23</v>
      </c>
      <c r="J202" s="174" t="n">
        <v>23</v>
      </c>
      <c r="K202" s="174" t="n">
        <v>23</v>
      </c>
      <c r="L202" s="141"/>
      <c r="M202" s="142" t="n">
        <v>42614</v>
      </c>
      <c r="N202" s="175" t="n">
        <v>25.2900009155273</v>
      </c>
      <c r="O202" s="175" t="n">
        <v>25.2900009155273</v>
      </c>
      <c r="P202" s="175" t="n">
        <v>25.2900009155273</v>
      </c>
      <c r="Q202" s="62"/>
      <c r="R202" s="175" t="n">
        <v>19.7900009155273</v>
      </c>
      <c r="S202" s="175" t="n">
        <v>19.7900009155273</v>
      </c>
      <c r="T202" s="175" t="n">
        <v>19.7900009155273</v>
      </c>
      <c r="U202" s="62"/>
      <c r="V202" s="175" t="n">
        <v>0</v>
      </c>
      <c r="W202" s="175" t="n">
        <v>0</v>
      </c>
      <c r="X202" s="175" t="n">
        <v>0</v>
      </c>
      <c r="Y202" s="62"/>
      <c r="Z202" s="175" t="n">
        <v>0.16</v>
      </c>
      <c r="AA202" s="175" t="n">
        <v>0.2</v>
      </c>
      <c r="AB202" s="175" t="n">
        <v>0.24</v>
      </c>
      <c r="AC202" s="62"/>
      <c r="AD202" s="175" t="n">
        <v>0.08</v>
      </c>
      <c r="AE202" s="175" t="n">
        <v>0.1</v>
      </c>
      <c r="AF202" s="175" t="n">
        <v>0.12</v>
      </c>
      <c r="AG202" s="62"/>
      <c r="AH202" s="175" t="n">
        <v>0.2</v>
      </c>
      <c r="AI202" s="175" t="n">
        <v>0.25</v>
      </c>
      <c r="AJ202" s="175" t="n">
        <v>0.3</v>
      </c>
      <c r="AK202" s="62"/>
      <c r="AL202" s="175" t="n">
        <v>0.12</v>
      </c>
      <c r="AM202" s="175" t="n">
        <v>0.15</v>
      </c>
      <c r="AN202" s="175" t="n">
        <v>0.18</v>
      </c>
      <c r="AO202" s="62"/>
      <c r="AP202" s="141" t="n">
        <v>62</v>
      </c>
      <c r="AQ202" s="176" t="n">
        <v>0.4</v>
      </c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142" t="n">
        <v>42614</v>
      </c>
      <c r="BI202" s="178" t="n">
        <v>0.75</v>
      </c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0"/>
      <c r="CP202" s="0"/>
      <c r="CQ202" s="0"/>
      <c r="CR202" s="0"/>
      <c r="CS202" s="0"/>
      <c r="CT202" s="0"/>
      <c r="CY202" s="180" t="n">
        <f aca="false">M202</f>
        <v>42614</v>
      </c>
      <c r="CZ202" s="181" t="n">
        <f aca="false">AH202</f>
        <v>0.2</v>
      </c>
      <c r="DA202" s="181" t="n">
        <f aca="false">AI202</f>
        <v>0.25</v>
      </c>
      <c r="DB202" s="181" t="n">
        <f aca="false">AJ202</f>
        <v>0.3</v>
      </c>
      <c r="DD202" s="181" t="n">
        <f aca="false">Z202</f>
        <v>0.16</v>
      </c>
      <c r="DE202" s="181" t="n">
        <f aca="false">AA202</f>
        <v>0.2</v>
      </c>
      <c r="DF202" s="181" t="n">
        <f aca="false">AB202</f>
        <v>0.24</v>
      </c>
      <c r="DH202" s="180" t="n">
        <f aca="false">BH202</f>
        <v>42614</v>
      </c>
      <c r="DI202" s="135" t="n">
        <f aca="false">BI202</f>
        <v>0.75</v>
      </c>
      <c r="DL202" s="180" t="n">
        <f aca="false">M202</f>
        <v>42614</v>
      </c>
      <c r="DM202" s="181" t="n">
        <f aca="false">AL202</f>
        <v>0.12</v>
      </c>
      <c r="DN202" s="181" t="n">
        <f aca="false">AM202</f>
        <v>0.15</v>
      </c>
      <c r="DO202" s="181" t="n">
        <f aca="false">AN202</f>
        <v>0.18</v>
      </c>
      <c r="DQ202" s="181" t="n">
        <f aca="false">AD202</f>
        <v>0.08</v>
      </c>
      <c r="DR202" s="181" t="n">
        <f aca="false">AE202</f>
        <v>0.1</v>
      </c>
      <c r="DS202" s="181" t="n">
        <f aca="false">AF202</f>
        <v>0.12</v>
      </c>
    </row>
    <row r="203" customFormat="false" ht="12.75" hidden="false" customHeight="false" outlineLevel="0" collapsed="false">
      <c r="A203" s="145" t="n">
        <f aca="false">EOMONTH(A202,0)+1</f>
        <v>51714</v>
      </c>
      <c r="B203" s="135" t="n">
        <f aca="false">'Gas Curves'!C207</f>
        <v>0.0655550181210254</v>
      </c>
      <c r="C203" s="135"/>
      <c r="D203" s="173" t="n">
        <v>41760</v>
      </c>
      <c r="E203" s="174" t="n">
        <v>41.7350028991699</v>
      </c>
      <c r="F203" s="174" t="n">
        <v>44.0850028991699</v>
      </c>
      <c r="G203" s="174" t="n">
        <v>46.4350028991699</v>
      </c>
      <c r="H203" s="159"/>
      <c r="I203" s="174" t="n">
        <v>23.5400009155273</v>
      </c>
      <c r="J203" s="174" t="n">
        <v>23.5400009155273</v>
      </c>
      <c r="K203" s="174" t="n">
        <v>23.5400009155273</v>
      </c>
      <c r="L203" s="141"/>
      <c r="M203" s="142" t="n">
        <v>42644</v>
      </c>
      <c r="N203" s="175" t="n">
        <v>20.2860012054443</v>
      </c>
      <c r="O203" s="175" t="n">
        <v>20.2860012054443</v>
      </c>
      <c r="P203" s="175" t="n">
        <v>20.2860012054443</v>
      </c>
      <c r="Q203" s="62"/>
      <c r="R203" s="175" t="n">
        <v>14.7865009307861</v>
      </c>
      <c r="S203" s="175" t="n">
        <v>14.7865009307861</v>
      </c>
      <c r="T203" s="175" t="n">
        <v>14.7865009307861</v>
      </c>
      <c r="U203" s="62"/>
      <c r="V203" s="175" t="n">
        <v>0</v>
      </c>
      <c r="W203" s="175" t="n">
        <v>0</v>
      </c>
      <c r="X203" s="175" t="n">
        <v>0</v>
      </c>
      <c r="Y203" s="62"/>
      <c r="Z203" s="175" t="n">
        <v>0.16</v>
      </c>
      <c r="AA203" s="175" t="n">
        <v>0.2</v>
      </c>
      <c r="AB203" s="175" t="n">
        <v>0.24</v>
      </c>
      <c r="AC203" s="62"/>
      <c r="AD203" s="175" t="n">
        <v>0.08</v>
      </c>
      <c r="AE203" s="175" t="n">
        <v>0.1</v>
      </c>
      <c r="AF203" s="175" t="n">
        <v>0.12</v>
      </c>
      <c r="AG203" s="62"/>
      <c r="AH203" s="175" t="n">
        <v>0.2</v>
      </c>
      <c r="AI203" s="175" t="n">
        <v>0.25</v>
      </c>
      <c r="AJ203" s="175" t="n">
        <v>0.3</v>
      </c>
      <c r="AK203" s="62"/>
      <c r="AL203" s="175" t="n">
        <v>0.12</v>
      </c>
      <c r="AM203" s="175" t="n">
        <v>0.15</v>
      </c>
      <c r="AN203" s="175" t="n">
        <v>0.18</v>
      </c>
      <c r="AO203" s="62"/>
      <c r="AP203" s="141" t="n">
        <v>62</v>
      </c>
      <c r="AQ203" s="176" t="n">
        <v>0.4</v>
      </c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142" t="n">
        <v>42644</v>
      </c>
      <c r="BI203" s="178" t="n">
        <v>0.75</v>
      </c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0"/>
      <c r="CP203" s="0"/>
      <c r="CQ203" s="0"/>
      <c r="CR203" s="0"/>
      <c r="CS203" s="0"/>
      <c r="CT203" s="0"/>
      <c r="CY203" s="180" t="n">
        <f aca="false">M203</f>
        <v>42644</v>
      </c>
      <c r="CZ203" s="181" t="n">
        <f aca="false">AH203</f>
        <v>0.2</v>
      </c>
      <c r="DA203" s="181" t="n">
        <f aca="false">AI203</f>
        <v>0.25</v>
      </c>
      <c r="DB203" s="181" t="n">
        <f aca="false">AJ203</f>
        <v>0.3</v>
      </c>
      <c r="DD203" s="181" t="n">
        <f aca="false">Z203</f>
        <v>0.16</v>
      </c>
      <c r="DE203" s="181" t="n">
        <f aca="false">AA203</f>
        <v>0.2</v>
      </c>
      <c r="DF203" s="181" t="n">
        <f aca="false">AB203</f>
        <v>0.24</v>
      </c>
      <c r="DH203" s="180" t="n">
        <f aca="false">BH203</f>
        <v>42644</v>
      </c>
      <c r="DI203" s="135" t="n">
        <f aca="false">BI203</f>
        <v>0.75</v>
      </c>
      <c r="DL203" s="180" t="n">
        <f aca="false">M203</f>
        <v>42644</v>
      </c>
      <c r="DM203" s="181" t="n">
        <f aca="false">AL203</f>
        <v>0.12</v>
      </c>
      <c r="DN203" s="181" t="n">
        <f aca="false">AM203</f>
        <v>0.15</v>
      </c>
      <c r="DO203" s="181" t="n">
        <f aca="false">AN203</f>
        <v>0.18</v>
      </c>
      <c r="DQ203" s="181" t="n">
        <f aca="false">AD203</f>
        <v>0.08</v>
      </c>
      <c r="DR203" s="181" t="n">
        <f aca="false">AE203</f>
        <v>0.1</v>
      </c>
      <c r="DS203" s="181" t="n">
        <f aca="false">AF203</f>
        <v>0.12</v>
      </c>
    </row>
    <row r="204" customFormat="false" ht="12.75" hidden="false" customHeight="false" outlineLevel="0" collapsed="false">
      <c r="A204" s="145" t="n">
        <f aca="false">EOMONTH(A203,0)+1</f>
        <v>51745</v>
      </c>
      <c r="B204" s="135" t="n">
        <f aca="false">'Gas Curves'!C208</f>
        <v>0.0655932420116856</v>
      </c>
      <c r="C204" s="135"/>
      <c r="D204" s="173" t="n">
        <v>41791</v>
      </c>
      <c r="E204" s="174" t="n">
        <v>50.6250038146973</v>
      </c>
      <c r="F204" s="174" t="n">
        <v>55.6250038146973</v>
      </c>
      <c r="G204" s="174" t="n">
        <v>60.6250038146973</v>
      </c>
      <c r="H204" s="159"/>
      <c r="I204" s="174" t="n">
        <v>26.5400009155273</v>
      </c>
      <c r="J204" s="174" t="n">
        <v>26.5400009155273</v>
      </c>
      <c r="K204" s="174" t="n">
        <v>26.5400009155273</v>
      </c>
      <c r="L204" s="141"/>
      <c r="M204" s="142" t="n">
        <v>42675</v>
      </c>
      <c r="N204" s="175" t="n">
        <v>22.2900009155273</v>
      </c>
      <c r="O204" s="175" t="n">
        <v>22.2900009155273</v>
      </c>
      <c r="P204" s="175" t="n">
        <v>22.2900009155273</v>
      </c>
      <c r="Q204" s="62"/>
      <c r="R204" s="175" t="n">
        <v>14.7900009155273</v>
      </c>
      <c r="S204" s="175" t="n">
        <v>14.7900009155273</v>
      </c>
      <c r="T204" s="175" t="n">
        <v>14.7900009155273</v>
      </c>
      <c r="U204" s="62"/>
      <c r="V204" s="175" t="n">
        <v>0</v>
      </c>
      <c r="W204" s="175" t="n">
        <v>0</v>
      </c>
      <c r="X204" s="175" t="n">
        <v>0</v>
      </c>
      <c r="Y204" s="62"/>
      <c r="Z204" s="175" t="n">
        <v>0.16</v>
      </c>
      <c r="AA204" s="175" t="n">
        <v>0.2</v>
      </c>
      <c r="AB204" s="175" t="n">
        <v>0.24</v>
      </c>
      <c r="AC204" s="62"/>
      <c r="AD204" s="175" t="n">
        <v>0.08</v>
      </c>
      <c r="AE204" s="175" t="n">
        <v>0.1</v>
      </c>
      <c r="AF204" s="175" t="n">
        <v>0.12</v>
      </c>
      <c r="AG204" s="62"/>
      <c r="AH204" s="175" t="n">
        <v>0.2</v>
      </c>
      <c r="AI204" s="175" t="n">
        <v>0.25</v>
      </c>
      <c r="AJ204" s="175" t="n">
        <v>0.3</v>
      </c>
      <c r="AK204" s="62"/>
      <c r="AL204" s="175" t="n">
        <v>0.12</v>
      </c>
      <c r="AM204" s="175" t="n">
        <v>0.15</v>
      </c>
      <c r="AN204" s="175" t="n">
        <v>0.18</v>
      </c>
      <c r="AO204" s="62"/>
      <c r="AP204" s="141" t="n">
        <v>62</v>
      </c>
      <c r="AQ204" s="176" t="n">
        <v>0.4</v>
      </c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142" t="n">
        <v>42675</v>
      </c>
      <c r="BI204" s="178" t="n">
        <v>0.75</v>
      </c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0"/>
      <c r="CP204" s="0"/>
      <c r="CQ204" s="0"/>
      <c r="CR204" s="0"/>
      <c r="CS204" s="0"/>
      <c r="CT204" s="0"/>
      <c r="CY204" s="180" t="n">
        <f aca="false">M204</f>
        <v>42675</v>
      </c>
      <c r="CZ204" s="181" t="n">
        <f aca="false">AH204</f>
        <v>0.2</v>
      </c>
      <c r="DA204" s="181" t="n">
        <f aca="false">AI204</f>
        <v>0.25</v>
      </c>
      <c r="DB204" s="181" t="n">
        <f aca="false">AJ204</f>
        <v>0.3</v>
      </c>
      <c r="DD204" s="181" t="n">
        <f aca="false">Z204</f>
        <v>0.16</v>
      </c>
      <c r="DE204" s="181" t="n">
        <f aca="false">AA204</f>
        <v>0.2</v>
      </c>
      <c r="DF204" s="181" t="n">
        <f aca="false">AB204</f>
        <v>0.24</v>
      </c>
      <c r="DH204" s="180" t="n">
        <f aca="false">BH204</f>
        <v>42675</v>
      </c>
      <c r="DI204" s="135" t="n">
        <f aca="false">BI204</f>
        <v>0.75</v>
      </c>
      <c r="DL204" s="180" t="n">
        <f aca="false">M204</f>
        <v>42675</v>
      </c>
      <c r="DM204" s="181" t="n">
        <f aca="false">AL204</f>
        <v>0.12</v>
      </c>
      <c r="DN204" s="181" t="n">
        <f aca="false">AM204</f>
        <v>0.15</v>
      </c>
      <c r="DO204" s="181" t="n">
        <f aca="false">AN204</f>
        <v>0.18</v>
      </c>
      <c r="DQ204" s="181" t="n">
        <f aca="false">AD204</f>
        <v>0.08</v>
      </c>
      <c r="DR204" s="181" t="n">
        <f aca="false">AE204</f>
        <v>0.1</v>
      </c>
      <c r="DS204" s="181" t="n">
        <f aca="false">AF204</f>
        <v>0.12</v>
      </c>
    </row>
    <row r="205" customFormat="false" ht="12.75" hidden="false" customHeight="false" outlineLevel="0" collapsed="false">
      <c r="A205" s="145" t="n">
        <f aca="false">EOMONTH(A204,0)+1</f>
        <v>51775</v>
      </c>
      <c r="B205" s="135" t="n">
        <f aca="false">'Gas Curves'!C209</f>
        <v>0.0656302328740761</v>
      </c>
      <c r="C205" s="135"/>
      <c r="D205" s="173" t="n">
        <v>41821</v>
      </c>
      <c r="E205" s="174" t="n">
        <v>56.25</v>
      </c>
      <c r="F205" s="174" t="n">
        <v>66.25</v>
      </c>
      <c r="G205" s="174" t="n">
        <v>76.25</v>
      </c>
      <c r="H205" s="159"/>
      <c r="I205" s="174" t="n">
        <v>27.0400009155273</v>
      </c>
      <c r="J205" s="174" t="n">
        <v>27.0400009155273</v>
      </c>
      <c r="K205" s="174" t="n">
        <v>27.0400009155273</v>
      </c>
      <c r="L205" s="141"/>
      <c r="M205" s="142" t="n">
        <v>42705</v>
      </c>
      <c r="N205" s="175" t="n">
        <v>27.2900009155273</v>
      </c>
      <c r="O205" s="175" t="n">
        <v>27.2900009155273</v>
      </c>
      <c r="P205" s="175" t="n">
        <v>27.2900009155273</v>
      </c>
      <c r="Q205" s="62"/>
      <c r="R205" s="175" t="n">
        <v>21.7900009155273</v>
      </c>
      <c r="S205" s="175" t="n">
        <v>21.7900009155273</v>
      </c>
      <c r="T205" s="175" t="n">
        <v>21.7900009155273</v>
      </c>
      <c r="U205" s="62"/>
      <c r="V205" s="175" t="n">
        <v>0</v>
      </c>
      <c r="W205" s="175" t="n">
        <v>0</v>
      </c>
      <c r="X205" s="175" t="n">
        <v>0</v>
      </c>
      <c r="Y205" s="62"/>
      <c r="Z205" s="175" t="n">
        <v>0.16</v>
      </c>
      <c r="AA205" s="175" t="n">
        <v>0.2</v>
      </c>
      <c r="AB205" s="175" t="n">
        <v>0.24</v>
      </c>
      <c r="AC205" s="62"/>
      <c r="AD205" s="175" t="n">
        <v>0.08</v>
      </c>
      <c r="AE205" s="175" t="n">
        <v>0.1</v>
      </c>
      <c r="AF205" s="175" t="n">
        <v>0.12</v>
      </c>
      <c r="AG205" s="62"/>
      <c r="AH205" s="175" t="n">
        <v>0.2</v>
      </c>
      <c r="AI205" s="175" t="n">
        <v>0.25</v>
      </c>
      <c r="AJ205" s="175" t="n">
        <v>0.3</v>
      </c>
      <c r="AK205" s="62"/>
      <c r="AL205" s="175" t="n">
        <v>0.12</v>
      </c>
      <c r="AM205" s="175" t="n">
        <v>0.15</v>
      </c>
      <c r="AN205" s="175" t="n">
        <v>0.18</v>
      </c>
      <c r="AO205" s="62"/>
      <c r="AP205" s="141" t="n">
        <v>63</v>
      </c>
      <c r="AQ205" s="176" t="n">
        <v>0.4</v>
      </c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142" t="n">
        <v>42705</v>
      </c>
      <c r="BI205" s="178" t="n">
        <v>0.75</v>
      </c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0"/>
      <c r="CP205" s="0"/>
      <c r="CQ205" s="0"/>
      <c r="CR205" s="0"/>
      <c r="CS205" s="0"/>
      <c r="CT205" s="0"/>
      <c r="CY205" s="180" t="n">
        <f aca="false">M205</f>
        <v>42705</v>
      </c>
      <c r="CZ205" s="181" t="n">
        <f aca="false">AH205</f>
        <v>0.2</v>
      </c>
      <c r="DA205" s="181" t="n">
        <f aca="false">AI205</f>
        <v>0.25</v>
      </c>
      <c r="DB205" s="181" t="n">
        <f aca="false">AJ205</f>
        <v>0.3</v>
      </c>
      <c r="DD205" s="181" t="n">
        <f aca="false">Z205</f>
        <v>0.16</v>
      </c>
      <c r="DE205" s="181" t="n">
        <f aca="false">AA205</f>
        <v>0.2</v>
      </c>
      <c r="DF205" s="181" t="n">
        <f aca="false">AB205</f>
        <v>0.24</v>
      </c>
      <c r="DH205" s="180" t="n">
        <f aca="false">BH205</f>
        <v>42705</v>
      </c>
      <c r="DI205" s="135" t="n">
        <f aca="false">BI205</f>
        <v>0.75</v>
      </c>
      <c r="DL205" s="180" t="n">
        <f aca="false">M205</f>
        <v>42705</v>
      </c>
      <c r="DM205" s="181" t="n">
        <f aca="false">AL205</f>
        <v>0.12</v>
      </c>
      <c r="DN205" s="181" t="n">
        <f aca="false">AM205</f>
        <v>0.15</v>
      </c>
      <c r="DO205" s="181" t="n">
        <f aca="false">AN205</f>
        <v>0.18</v>
      </c>
      <c r="DQ205" s="181" t="n">
        <f aca="false">AD205</f>
        <v>0.08</v>
      </c>
      <c r="DR205" s="181" t="n">
        <f aca="false">AE205</f>
        <v>0.1</v>
      </c>
      <c r="DS205" s="181" t="n">
        <f aca="false">AF205</f>
        <v>0.12</v>
      </c>
    </row>
    <row r="206" customFormat="false" ht="12.75" hidden="false" customHeight="false" outlineLevel="0" collapsed="false">
      <c r="A206" s="145" t="n">
        <f aca="false">EOMONTH(A205,0)+1</f>
        <v>51806</v>
      </c>
      <c r="B206" s="135" t="n">
        <f aca="false">'Gas Curves'!C210</f>
        <v>0.0656684567656893</v>
      </c>
      <c r="C206" s="135"/>
      <c r="D206" s="173" t="n">
        <v>41852</v>
      </c>
      <c r="E206" s="174" t="n">
        <v>56.25</v>
      </c>
      <c r="F206" s="174" t="n">
        <v>66.25</v>
      </c>
      <c r="G206" s="174" t="n">
        <v>76.25</v>
      </c>
      <c r="H206" s="159"/>
      <c r="I206" s="174" t="n">
        <v>28.0400009155273</v>
      </c>
      <c r="J206" s="174" t="n">
        <v>28.0400009155273</v>
      </c>
      <c r="K206" s="174" t="n">
        <v>28.0400009155273</v>
      </c>
      <c r="L206" s="141"/>
      <c r="M206" s="142" t="n">
        <v>42736</v>
      </c>
      <c r="N206" s="175" t="n">
        <v>35.75</v>
      </c>
      <c r="O206" s="175" t="n">
        <v>35.75</v>
      </c>
      <c r="P206" s="175" t="n">
        <v>35.75</v>
      </c>
      <c r="Q206" s="62"/>
      <c r="R206" s="175" t="n">
        <v>25.25</v>
      </c>
      <c r="S206" s="175" t="n">
        <v>25.25</v>
      </c>
      <c r="T206" s="175" t="n">
        <v>25.25</v>
      </c>
      <c r="U206" s="62"/>
      <c r="V206" s="175" t="n">
        <v>0</v>
      </c>
      <c r="W206" s="175" t="n">
        <v>0</v>
      </c>
      <c r="X206" s="175" t="n">
        <v>0</v>
      </c>
      <c r="Y206" s="62"/>
      <c r="Z206" s="175" t="n">
        <v>0.16</v>
      </c>
      <c r="AA206" s="175" t="n">
        <v>0.2</v>
      </c>
      <c r="AB206" s="175" t="n">
        <v>0.24</v>
      </c>
      <c r="AC206" s="62"/>
      <c r="AD206" s="175" t="n">
        <v>0.08</v>
      </c>
      <c r="AE206" s="175" t="n">
        <v>0.1</v>
      </c>
      <c r="AF206" s="175" t="n">
        <v>0.12</v>
      </c>
      <c r="AG206" s="62"/>
      <c r="AH206" s="175" t="n">
        <v>0.2</v>
      </c>
      <c r="AI206" s="175" t="n">
        <v>0.25</v>
      </c>
      <c r="AJ206" s="175" t="n">
        <v>0.3</v>
      </c>
      <c r="AK206" s="62"/>
      <c r="AL206" s="175" t="n">
        <v>0.12</v>
      </c>
      <c r="AM206" s="175" t="n">
        <v>0.15</v>
      </c>
      <c r="AN206" s="175" t="n">
        <v>0.18</v>
      </c>
      <c r="AO206" s="62"/>
      <c r="AP206" s="141" t="n">
        <v>63</v>
      </c>
      <c r="AQ206" s="176" t="n">
        <v>0.4</v>
      </c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142" t="n">
        <v>42736</v>
      </c>
      <c r="BI206" s="178" t="n">
        <v>0.75</v>
      </c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0"/>
      <c r="CP206" s="0"/>
      <c r="CQ206" s="0"/>
      <c r="CR206" s="0"/>
      <c r="CS206" s="0"/>
      <c r="CT206" s="0"/>
      <c r="CY206" s="180" t="n">
        <f aca="false">M206</f>
        <v>42736</v>
      </c>
      <c r="CZ206" s="181" t="n">
        <f aca="false">AH206</f>
        <v>0.2</v>
      </c>
      <c r="DA206" s="181" t="n">
        <f aca="false">AI206</f>
        <v>0.25</v>
      </c>
      <c r="DB206" s="181" t="n">
        <f aca="false">AJ206</f>
        <v>0.3</v>
      </c>
      <c r="DD206" s="181" t="n">
        <f aca="false">Z206</f>
        <v>0.16</v>
      </c>
      <c r="DE206" s="181" t="n">
        <f aca="false">AA206</f>
        <v>0.2</v>
      </c>
      <c r="DF206" s="181" t="n">
        <f aca="false">AB206</f>
        <v>0.24</v>
      </c>
      <c r="DH206" s="180" t="n">
        <f aca="false">BH206</f>
        <v>42736</v>
      </c>
      <c r="DI206" s="135" t="n">
        <f aca="false">BI206</f>
        <v>0.75</v>
      </c>
      <c r="DL206" s="180" t="n">
        <f aca="false">M206</f>
        <v>42736</v>
      </c>
      <c r="DM206" s="181" t="n">
        <f aca="false">AL206</f>
        <v>0.12</v>
      </c>
      <c r="DN206" s="181" t="n">
        <f aca="false">AM206</f>
        <v>0.15</v>
      </c>
      <c r="DO206" s="181" t="n">
        <f aca="false">AN206</f>
        <v>0.18</v>
      </c>
      <c r="DQ206" s="181" t="n">
        <f aca="false">AD206</f>
        <v>0.08</v>
      </c>
      <c r="DR206" s="181" t="n">
        <f aca="false">AE206</f>
        <v>0.1</v>
      </c>
      <c r="DS206" s="181" t="n">
        <f aca="false">AF206</f>
        <v>0.12</v>
      </c>
    </row>
    <row r="207" customFormat="false" ht="12.75" hidden="false" customHeight="false" outlineLevel="0" collapsed="false">
      <c r="A207" s="145" t="n">
        <f aca="false">EOMONTH(A206,0)+1</f>
        <v>51836</v>
      </c>
      <c r="B207" s="135" t="n">
        <f aca="false">'Gas Curves'!C211</f>
        <v>0.0657054476290013</v>
      </c>
      <c r="C207" s="135"/>
      <c r="D207" s="173" t="n">
        <v>41883</v>
      </c>
      <c r="E207" s="174" t="n">
        <v>30.7100028991699</v>
      </c>
      <c r="F207" s="174" t="n">
        <v>32.2100028991699</v>
      </c>
      <c r="G207" s="174" t="n">
        <v>33.7100028991699</v>
      </c>
      <c r="H207" s="159"/>
      <c r="I207" s="174" t="n">
        <v>22.0400009155273</v>
      </c>
      <c r="J207" s="174" t="n">
        <v>22.0400009155273</v>
      </c>
      <c r="K207" s="174" t="n">
        <v>22.0400009155273</v>
      </c>
      <c r="L207" s="141"/>
      <c r="M207" s="142" t="n">
        <v>42767</v>
      </c>
      <c r="N207" s="175" t="n">
        <v>31.2460021972656</v>
      </c>
      <c r="O207" s="175" t="n">
        <v>31.2460021972656</v>
      </c>
      <c r="P207" s="175" t="n">
        <v>31.2460021972656</v>
      </c>
      <c r="Q207" s="62"/>
      <c r="R207" s="175" t="n">
        <v>22.7465019226074</v>
      </c>
      <c r="S207" s="175" t="n">
        <v>22.7465019226074</v>
      </c>
      <c r="T207" s="175" t="n">
        <v>22.7465019226074</v>
      </c>
      <c r="U207" s="62"/>
      <c r="V207" s="175" t="n">
        <v>0</v>
      </c>
      <c r="W207" s="175" t="n">
        <v>0</v>
      </c>
      <c r="X207" s="175" t="n">
        <v>0</v>
      </c>
      <c r="Y207" s="62"/>
      <c r="Z207" s="175" t="n">
        <v>0.16</v>
      </c>
      <c r="AA207" s="175" t="n">
        <v>0.2</v>
      </c>
      <c r="AB207" s="175" t="n">
        <v>0.24</v>
      </c>
      <c r="AC207" s="62"/>
      <c r="AD207" s="175" t="n">
        <v>0.08</v>
      </c>
      <c r="AE207" s="175" t="n">
        <v>0.1</v>
      </c>
      <c r="AF207" s="175" t="n">
        <v>0.12</v>
      </c>
      <c r="AG207" s="62"/>
      <c r="AH207" s="175" t="n">
        <v>0.2</v>
      </c>
      <c r="AI207" s="175" t="n">
        <v>0.25</v>
      </c>
      <c r="AJ207" s="175" t="n">
        <v>0.3</v>
      </c>
      <c r="AK207" s="62"/>
      <c r="AL207" s="175" t="n">
        <v>0.12</v>
      </c>
      <c r="AM207" s="175" t="n">
        <v>0.15</v>
      </c>
      <c r="AN207" s="175" t="n">
        <v>0.18</v>
      </c>
      <c r="AO207" s="62"/>
      <c r="AP207" s="141" t="n">
        <v>63</v>
      </c>
      <c r="AQ207" s="176" t="n">
        <v>0.4</v>
      </c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142" t="n">
        <v>42767</v>
      </c>
      <c r="BI207" s="178" t="n">
        <v>0.75</v>
      </c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0"/>
      <c r="CP207" s="0"/>
      <c r="CQ207" s="0"/>
      <c r="CR207" s="0"/>
      <c r="CS207" s="0"/>
      <c r="CT207" s="0"/>
      <c r="CY207" s="180" t="n">
        <f aca="false">M207</f>
        <v>42767</v>
      </c>
      <c r="CZ207" s="181" t="n">
        <f aca="false">AH207</f>
        <v>0.2</v>
      </c>
      <c r="DA207" s="181" t="n">
        <f aca="false">AI207</f>
        <v>0.25</v>
      </c>
      <c r="DB207" s="181" t="n">
        <f aca="false">AJ207</f>
        <v>0.3</v>
      </c>
      <c r="DD207" s="181" t="n">
        <f aca="false">Z207</f>
        <v>0.16</v>
      </c>
      <c r="DE207" s="181" t="n">
        <f aca="false">AA207</f>
        <v>0.2</v>
      </c>
      <c r="DF207" s="181" t="n">
        <f aca="false">AB207</f>
        <v>0.24</v>
      </c>
      <c r="DH207" s="180" t="n">
        <f aca="false">BH207</f>
        <v>42767</v>
      </c>
      <c r="DI207" s="135" t="n">
        <f aca="false">BI207</f>
        <v>0.75</v>
      </c>
      <c r="DL207" s="180" t="n">
        <f aca="false">M207</f>
        <v>42767</v>
      </c>
      <c r="DM207" s="181" t="n">
        <f aca="false">AL207</f>
        <v>0.12</v>
      </c>
      <c r="DN207" s="181" t="n">
        <f aca="false">AM207</f>
        <v>0.15</v>
      </c>
      <c r="DO207" s="181" t="n">
        <f aca="false">AN207</f>
        <v>0.18</v>
      </c>
      <c r="DQ207" s="181" t="n">
        <f aca="false">AD207</f>
        <v>0.08</v>
      </c>
      <c r="DR207" s="181" t="n">
        <f aca="false">AE207</f>
        <v>0.1</v>
      </c>
      <c r="DS207" s="181" t="n">
        <f aca="false">AF207</f>
        <v>0.12</v>
      </c>
    </row>
    <row r="208" customFormat="false" ht="12.75" hidden="false" customHeight="false" outlineLevel="0" collapsed="false">
      <c r="A208" s="145" t="n">
        <f aca="false">EOMONTH(A207,0)+1</f>
        <v>51867</v>
      </c>
      <c r="B208" s="135" t="n">
        <f aca="false">'Gas Curves'!C212</f>
        <v>0.0657436715215671</v>
      </c>
      <c r="C208" s="135"/>
      <c r="D208" s="173" t="n">
        <v>41913</v>
      </c>
      <c r="E208" s="174" t="n">
        <v>33.8615688085556</v>
      </c>
      <c r="F208" s="174" t="n">
        <v>35.3615688085556</v>
      </c>
      <c r="G208" s="174" t="n">
        <v>36.8615688085556</v>
      </c>
      <c r="H208" s="159"/>
      <c r="I208" s="174" t="n">
        <v>21.540002822876</v>
      </c>
      <c r="J208" s="174" t="n">
        <v>21.540002822876</v>
      </c>
      <c r="K208" s="174" t="n">
        <v>21.540002822876</v>
      </c>
      <c r="L208" s="141"/>
      <c r="M208" s="142" t="n">
        <v>42795</v>
      </c>
      <c r="N208" s="175" t="n">
        <v>25.5</v>
      </c>
      <c r="O208" s="175" t="n">
        <v>25.5</v>
      </c>
      <c r="P208" s="175" t="n">
        <v>25.5</v>
      </c>
      <c r="Q208" s="62"/>
      <c r="R208" s="175" t="n">
        <v>20</v>
      </c>
      <c r="S208" s="175" t="n">
        <v>20</v>
      </c>
      <c r="T208" s="175" t="n">
        <v>20</v>
      </c>
      <c r="U208" s="62"/>
      <c r="V208" s="175" t="n">
        <v>0</v>
      </c>
      <c r="W208" s="175" t="n">
        <v>0</v>
      </c>
      <c r="X208" s="175" t="n">
        <v>0</v>
      </c>
      <c r="Y208" s="62"/>
      <c r="Z208" s="175" t="n">
        <v>0.16</v>
      </c>
      <c r="AA208" s="175" t="n">
        <v>0.2</v>
      </c>
      <c r="AB208" s="175" t="n">
        <v>0.24</v>
      </c>
      <c r="AC208" s="62"/>
      <c r="AD208" s="175" t="n">
        <v>0.08</v>
      </c>
      <c r="AE208" s="175" t="n">
        <v>0.1</v>
      </c>
      <c r="AF208" s="175" t="n">
        <v>0.12</v>
      </c>
      <c r="AG208" s="62"/>
      <c r="AH208" s="175" t="n">
        <v>0.2</v>
      </c>
      <c r="AI208" s="175" t="n">
        <v>0.25</v>
      </c>
      <c r="AJ208" s="175" t="n">
        <v>0.3</v>
      </c>
      <c r="AK208" s="62"/>
      <c r="AL208" s="175" t="n">
        <v>0.12</v>
      </c>
      <c r="AM208" s="175" t="n">
        <v>0.15</v>
      </c>
      <c r="AN208" s="175" t="n">
        <v>0.18</v>
      </c>
      <c r="AO208" s="62"/>
      <c r="AP208" s="141" t="n">
        <v>64</v>
      </c>
      <c r="AQ208" s="176" t="n">
        <v>0.4</v>
      </c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142" t="n">
        <v>42795</v>
      </c>
      <c r="BI208" s="178" t="n">
        <v>0.75</v>
      </c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0"/>
      <c r="CP208" s="0"/>
      <c r="CQ208" s="0"/>
      <c r="CR208" s="0"/>
      <c r="CS208" s="0"/>
      <c r="CT208" s="0"/>
      <c r="CY208" s="180" t="n">
        <f aca="false">M208</f>
        <v>42795</v>
      </c>
      <c r="CZ208" s="181" t="n">
        <f aca="false">AH208</f>
        <v>0.2</v>
      </c>
      <c r="DA208" s="181" t="n">
        <f aca="false">AI208</f>
        <v>0.25</v>
      </c>
      <c r="DB208" s="181" t="n">
        <f aca="false">AJ208</f>
        <v>0.3</v>
      </c>
      <c r="DD208" s="181" t="n">
        <f aca="false">Z208</f>
        <v>0.16</v>
      </c>
      <c r="DE208" s="181" t="n">
        <f aca="false">AA208</f>
        <v>0.2</v>
      </c>
      <c r="DF208" s="181" t="n">
        <f aca="false">AB208</f>
        <v>0.24</v>
      </c>
      <c r="DH208" s="180" t="n">
        <f aca="false">BH208</f>
        <v>42795</v>
      </c>
      <c r="DI208" s="135" t="n">
        <f aca="false">BI208</f>
        <v>0.75</v>
      </c>
      <c r="DL208" s="180" t="n">
        <f aca="false">M208</f>
        <v>42795</v>
      </c>
      <c r="DM208" s="181" t="n">
        <f aca="false">AL208</f>
        <v>0.12</v>
      </c>
      <c r="DN208" s="181" t="n">
        <f aca="false">AM208</f>
        <v>0.15</v>
      </c>
      <c r="DO208" s="181" t="n">
        <f aca="false">AN208</f>
        <v>0.18</v>
      </c>
      <c r="DQ208" s="181" t="n">
        <f aca="false">AD208</f>
        <v>0.08</v>
      </c>
      <c r="DR208" s="181" t="n">
        <f aca="false">AE208</f>
        <v>0.1</v>
      </c>
      <c r="DS208" s="181" t="n">
        <f aca="false">AF208</f>
        <v>0.12</v>
      </c>
    </row>
    <row r="209" customFormat="false" ht="12.75" hidden="false" customHeight="false" outlineLevel="0" collapsed="false">
      <c r="A209" s="145" t="n">
        <f aca="false">EOMONTH(A208,0)+1</f>
        <v>51898</v>
      </c>
      <c r="B209" s="135" t="n">
        <f aca="false">'Gas Curves'!C213</f>
        <v>0.0657818954146165</v>
      </c>
      <c r="C209" s="135"/>
      <c r="D209" s="173" t="n">
        <v>41944</v>
      </c>
      <c r="E209" s="174" t="n">
        <v>33.9615672826767</v>
      </c>
      <c r="F209" s="174" t="n">
        <v>35.4615672826767</v>
      </c>
      <c r="G209" s="174" t="n">
        <v>36.9615672826767</v>
      </c>
      <c r="H209" s="159"/>
      <c r="I209" s="174" t="n">
        <v>22.5400009155273</v>
      </c>
      <c r="J209" s="174" t="n">
        <v>22.5400009155273</v>
      </c>
      <c r="K209" s="174" t="n">
        <v>22.5400009155273</v>
      </c>
      <c r="L209" s="141"/>
      <c r="M209" s="142" t="n">
        <v>42826</v>
      </c>
      <c r="N209" s="175" t="n">
        <v>22</v>
      </c>
      <c r="O209" s="175" t="n">
        <v>22</v>
      </c>
      <c r="P209" s="175" t="n">
        <v>22</v>
      </c>
      <c r="Q209" s="62"/>
      <c r="R209" s="175" t="n">
        <v>16.4950008392334</v>
      </c>
      <c r="S209" s="175" t="n">
        <v>16.4950008392334</v>
      </c>
      <c r="T209" s="175" t="n">
        <v>16.4950008392334</v>
      </c>
      <c r="U209" s="62"/>
      <c r="V209" s="175" t="n">
        <v>0</v>
      </c>
      <c r="W209" s="175" t="n">
        <v>0</v>
      </c>
      <c r="X209" s="175" t="n">
        <v>0</v>
      </c>
      <c r="Y209" s="62"/>
      <c r="Z209" s="175" t="n">
        <v>0.16</v>
      </c>
      <c r="AA209" s="175" t="n">
        <v>0.2</v>
      </c>
      <c r="AB209" s="175" t="n">
        <v>0.24</v>
      </c>
      <c r="AC209" s="62"/>
      <c r="AD209" s="175" t="n">
        <v>0.08</v>
      </c>
      <c r="AE209" s="175" t="n">
        <v>0.1</v>
      </c>
      <c r="AF209" s="175" t="n">
        <v>0.12</v>
      </c>
      <c r="AG209" s="62"/>
      <c r="AH209" s="175" t="n">
        <v>0.2</v>
      </c>
      <c r="AI209" s="175" t="n">
        <v>0.25</v>
      </c>
      <c r="AJ209" s="175" t="n">
        <v>0.3</v>
      </c>
      <c r="AK209" s="62"/>
      <c r="AL209" s="175" t="n">
        <v>0.12</v>
      </c>
      <c r="AM209" s="175" t="n">
        <v>0.15</v>
      </c>
      <c r="AN209" s="175" t="n">
        <v>0.18</v>
      </c>
      <c r="AO209" s="62"/>
      <c r="AP209" s="141" t="n">
        <v>64</v>
      </c>
      <c r="AQ209" s="176" t="n">
        <v>0.4</v>
      </c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142" t="n">
        <v>42826</v>
      </c>
      <c r="BI209" s="178" t="n">
        <v>0.75</v>
      </c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0"/>
      <c r="CP209" s="0"/>
      <c r="CQ209" s="0"/>
      <c r="CR209" s="0"/>
      <c r="CS209" s="0"/>
      <c r="CT209" s="0"/>
      <c r="CY209" s="180" t="n">
        <f aca="false">M209</f>
        <v>42826</v>
      </c>
      <c r="CZ209" s="181" t="n">
        <f aca="false">AH209</f>
        <v>0.2</v>
      </c>
      <c r="DA209" s="181" t="n">
        <f aca="false">AI209</f>
        <v>0.25</v>
      </c>
      <c r="DB209" s="181" t="n">
        <f aca="false">AJ209</f>
        <v>0.3</v>
      </c>
      <c r="DD209" s="181" t="n">
        <f aca="false">Z209</f>
        <v>0.16</v>
      </c>
      <c r="DE209" s="181" t="n">
        <f aca="false">AA209</f>
        <v>0.2</v>
      </c>
      <c r="DF209" s="181" t="n">
        <f aca="false">AB209</f>
        <v>0.24</v>
      </c>
      <c r="DH209" s="180" t="n">
        <f aca="false">BH209</f>
        <v>42826</v>
      </c>
      <c r="DI209" s="135" t="n">
        <f aca="false">BI209</f>
        <v>0.75</v>
      </c>
      <c r="DL209" s="180" t="n">
        <f aca="false">M209</f>
        <v>42826</v>
      </c>
      <c r="DM209" s="181" t="n">
        <f aca="false">AL209</f>
        <v>0.12</v>
      </c>
      <c r="DN209" s="181" t="n">
        <f aca="false">AM209</f>
        <v>0.15</v>
      </c>
      <c r="DO209" s="181" t="n">
        <f aca="false">AN209</f>
        <v>0.18</v>
      </c>
      <c r="DQ209" s="181" t="n">
        <f aca="false">AD209</f>
        <v>0.08</v>
      </c>
      <c r="DR209" s="181" t="n">
        <f aca="false">AE209</f>
        <v>0.1</v>
      </c>
      <c r="DS209" s="181" t="n">
        <f aca="false">AF209</f>
        <v>0.12</v>
      </c>
    </row>
    <row r="210" customFormat="false" ht="12.75" hidden="false" customHeight="false" outlineLevel="0" collapsed="false">
      <c r="A210" s="145" t="n">
        <f aca="false">EOMONTH(A209,0)+1</f>
        <v>51926</v>
      </c>
      <c r="B210" s="135" t="n">
        <f aca="false">'Gas Curves'!C214</f>
        <v>0.0658188862793194</v>
      </c>
      <c r="C210" s="135"/>
      <c r="D210" s="173" t="n">
        <v>41974</v>
      </c>
      <c r="E210" s="174" t="n">
        <v>34.0615657567978</v>
      </c>
      <c r="F210" s="174" t="n">
        <v>35.5615657567978</v>
      </c>
      <c r="G210" s="174" t="n">
        <v>37.0615657567978</v>
      </c>
      <c r="H210" s="159"/>
      <c r="I210" s="174" t="n">
        <v>24.7900009155273</v>
      </c>
      <c r="J210" s="174" t="n">
        <v>24.7900009155273</v>
      </c>
      <c r="K210" s="174" t="n">
        <v>24.7900009155273</v>
      </c>
      <c r="L210" s="141"/>
      <c r="M210" s="142" t="n">
        <v>42856</v>
      </c>
      <c r="N210" s="175" t="n">
        <v>22.2900009155273</v>
      </c>
      <c r="O210" s="175" t="n">
        <v>22.2900009155273</v>
      </c>
      <c r="P210" s="175" t="n">
        <v>22.2900009155273</v>
      </c>
      <c r="Q210" s="62"/>
      <c r="R210" s="175" t="n">
        <v>15.7950000762939</v>
      </c>
      <c r="S210" s="175" t="n">
        <v>15.7950000762939</v>
      </c>
      <c r="T210" s="175" t="n">
        <v>15.7950000762939</v>
      </c>
      <c r="U210" s="62"/>
      <c r="V210" s="175" t="n">
        <v>0</v>
      </c>
      <c r="W210" s="175" t="n">
        <v>0</v>
      </c>
      <c r="X210" s="175" t="n">
        <v>0</v>
      </c>
      <c r="Y210" s="62"/>
      <c r="Z210" s="175" t="n">
        <v>0.16</v>
      </c>
      <c r="AA210" s="175" t="n">
        <v>0.2</v>
      </c>
      <c r="AB210" s="175" t="n">
        <v>0.24</v>
      </c>
      <c r="AC210" s="62"/>
      <c r="AD210" s="175" t="n">
        <v>0.08</v>
      </c>
      <c r="AE210" s="175" t="n">
        <v>0.1</v>
      </c>
      <c r="AF210" s="175" t="n">
        <v>0.12</v>
      </c>
      <c r="AG210" s="62"/>
      <c r="AH210" s="175" t="n">
        <v>0.2</v>
      </c>
      <c r="AI210" s="175" t="n">
        <v>0.25</v>
      </c>
      <c r="AJ210" s="175" t="n">
        <v>0.3</v>
      </c>
      <c r="AK210" s="62"/>
      <c r="AL210" s="175" t="n">
        <v>0.12</v>
      </c>
      <c r="AM210" s="175" t="n">
        <v>0.15</v>
      </c>
      <c r="AN210" s="175" t="n">
        <v>0.18</v>
      </c>
      <c r="AO210" s="62"/>
      <c r="AP210" s="141" t="n">
        <v>64</v>
      </c>
      <c r="AQ210" s="176" t="n">
        <v>0.4</v>
      </c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142" t="n">
        <v>42856</v>
      </c>
      <c r="BI210" s="178" t="n">
        <v>0.75</v>
      </c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0"/>
      <c r="CP210" s="0"/>
      <c r="CQ210" s="0"/>
      <c r="CR210" s="0"/>
      <c r="CS210" s="0"/>
      <c r="CT210" s="0"/>
      <c r="CY210" s="180" t="n">
        <f aca="false">M210</f>
        <v>42856</v>
      </c>
      <c r="CZ210" s="181" t="n">
        <f aca="false">AH210</f>
        <v>0.2</v>
      </c>
      <c r="DA210" s="181" t="n">
        <f aca="false">AI210</f>
        <v>0.25</v>
      </c>
      <c r="DB210" s="181" t="n">
        <f aca="false">AJ210</f>
        <v>0.3</v>
      </c>
      <c r="DD210" s="181" t="n">
        <f aca="false">Z210</f>
        <v>0.16</v>
      </c>
      <c r="DE210" s="181" t="n">
        <f aca="false">AA210</f>
        <v>0.2</v>
      </c>
      <c r="DF210" s="181" t="n">
        <f aca="false">AB210</f>
        <v>0.24</v>
      </c>
      <c r="DH210" s="180" t="n">
        <f aca="false">BH210</f>
        <v>42856</v>
      </c>
      <c r="DI210" s="135" t="n">
        <f aca="false">BI210</f>
        <v>0.75</v>
      </c>
      <c r="DL210" s="180" t="n">
        <f aca="false">M210</f>
        <v>42856</v>
      </c>
      <c r="DM210" s="181" t="n">
        <f aca="false">AL210</f>
        <v>0.12</v>
      </c>
      <c r="DN210" s="181" t="n">
        <f aca="false">AM210</f>
        <v>0.15</v>
      </c>
      <c r="DO210" s="181" t="n">
        <f aca="false">AN210</f>
        <v>0.18</v>
      </c>
      <c r="DQ210" s="181" t="n">
        <f aca="false">AD210</f>
        <v>0.08</v>
      </c>
      <c r="DR210" s="181" t="n">
        <f aca="false">AE210</f>
        <v>0.1</v>
      </c>
      <c r="DS210" s="181" t="n">
        <f aca="false">AF210</f>
        <v>0.12</v>
      </c>
    </row>
    <row r="211" customFormat="false" ht="12.75" hidden="false" customHeight="false" outlineLevel="0" collapsed="false">
      <c r="A211" s="145" t="n">
        <f aca="false">EOMONTH(A210,0)+1</f>
        <v>51957</v>
      </c>
      <c r="B211" s="135" t="n">
        <f aca="false">'Gas Curves'!C215</f>
        <v>0.0658571101733218</v>
      </c>
      <c r="C211" s="135"/>
      <c r="D211" s="173" t="n">
        <v>42005</v>
      </c>
      <c r="E211" s="174" t="n">
        <v>37.4957144601004</v>
      </c>
      <c r="F211" s="174" t="n">
        <v>38.9957144601004</v>
      </c>
      <c r="G211" s="174" t="n">
        <v>40.4957144601004</v>
      </c>
      <c r="H211" s="159"/>
      <c r="I211" s="174" t="n">
        <v>27</v>
      </c>
      <c r="J211" s="174" t="n">
        <v>27</v>
      </c>
      <c r="K211" s="174" t="n">
        <v>27</v>
      </c>
      <c r="L211" s="141"/>
      <c r="M211" s="142" t="n">
        <v>42887</v>
      </c>
      <c r="N211" s="175" t="n">
        <v>29.2900009155273</v>
      </c>
      <c r="O211" s="175" t="n">
        <v>29.2900009155273</v>
      </c>
      <c r="P211" s="175" t="n">
        <v>29.2900009155273</v>
      </c>
      <c r="Q211" s="62"/>
      <c r="R211" s="175" t="n">
        <v>19.7900009155273</v>
      </c>
      <c r="S211" s="175" t="n">
        <v>19.7900009155273</v>
      </c>
      <c r="T211" s="175" t="n">
        <v>19.7900009155273</v>
      </c>
      <c r="U211" s="62"/>
      <c r="V211" s="175" t="n">
        <v>0</v>
      </c>
      <c r="W211" s="175" t="n">
        <v>0</v>
      </c>
      <c r="X211" s="175" t="n">
        <v>0</v>
      </c>
      <c r="Y211" s="62"/>
      <c r="Z211" s="175" t="n">
        <v>0.16</v>
      </c>
      <c r="AA211" s="175" t="n">
        <v>0.2</v>
      </c>
      <c r="AB211" s="175" t="n">
        <v>0.24</v>
      </c>
      <c r="AC211" s="62"/>
      <c r="AD211" s="175" t="n">
        <v>0.08</v>
      </c>
      <c r="AE211" s="175" t="n">
        <v>0.1</v>
      </c>
      <c r="AF211" s="175" t="n">
        <v>0.12</v>
      </c>
      <c r="AG211" s="62"/>
      <c r="AH211" s="175" t="n">
        <v>0.2</v>
      </c>
      <c r="AI211" s="175" t="n">
        <v>0.25</v>
      </c>
      <c r="AJ211" s="175" t="n">
        <v>0.3</v>
      </c>
      <c r="AK211" s="62"/>
      <c r="AL211" s="175" t="n">
        <v>0.12</v>
      </c>
      <c r="AM211" s="175" t="n">
        <v>0.15</v>
      </c>
      <c r="AN211" s="175" t="n">
        <v>0.18</v>
      </c>
      <c r="AO211" s="62"/>
      <c r="AP211" s="141" t="n">
        <v>65</v>
      </c>
      <c r="AQ211" s="176" t="n">
        <v>0.4</v>
      </c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142" t="n">
        <v>42887</v>
      </c>
      <c r="BI211" s="178" t="n">
        <v>0.75</v>
      </c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0"/>
      <c r="CP211" s="0"/>
      <c r="CQ211" s="0"/>
      <c r="CR211" s="0"/>
      <c r="CS211" s="0"/>
      <c r="CT211" s="0"/>
      <c r="CY211" s="180" t="n">
        <f aca="false">M211</f>
        <v>42887</v>
      </c>
      <c r="CZ211" s="181" t="n">
        <f aca="false">AH211</f>
        <v>0.2</v>
      </c>
      <c r="DA211" s="181" t="n">
        <f aca="false">AI211</f>
        <v>0.25</v>
      </c>
      <c r="DB211" s="181" t="n">
        <f aca="false">AJ211</f>
        <v>0.3</v>
      </c>
      <c r="DD211" s="181" t="n">
        <f aca="false">Z211</f>
        <v>0.16</v>
      </c>
      <c r="DE211" s="181" t="n">
        <f aca="false">AA211</f>
        <v>0.2</v>
      </c>
      <c r="DF211" s="181" t="n">
        <f aca="false">AB211</f>
        <v>0.24</v>
      </c>
      <c r="DH211" s="180" t="n">
        <f aca="false">BH211</f>
        <v>42887</v>
      </c>
      <c r="DI211" s="135" t="n">
        <f aca="false">BI211</f>
        <v>0.75</v>
      </c>
      <c r="DL211" s="180" t="n">
        <f aca="false">M211</f>
        <v>42887</v>
      </c>
      <c r="DM211" s="181" t="n">
        <f aca="false">AL211</f>
        <v>0.12</v>
      </c>
      <c r="DN211" s="181" t="n">
        <f aca="false">AM211</f>
        <v>0.15</v>
      </c>
      <c r="DO211" s="181" t="n">
        <f aca="false">AN211</f>
        <v>0.18</v>
      </c>
      <c r="DQ211" s="181" t="n">
        <f aca="false">AD211</f>
        <v>0.08</v>
      </c>
      <c r="DR211" s="181" t="n">
        <f aca="false">AE211</f>
        <v>0.1</v>
      </c>
      <c r="DS211" s="181" t="n">
        <f aca="false">AF211</f>
        <v>0.12</v>
      </c>
    </row>
    <row r="212" customFormat="false" ht="12.75" hidden="false" customHeight="false" outlineLevel="0" collapsed="false">
      <c r="A212" s="145" t="n">
        <f aca="false">EOMONTH(A211,0)+1</f>
        <v>51987</v>
      </c>
      <c r="B212" s="135" t="n">
        <f aca="false">'Gas Curves'!C216</f>
        <v>0.0658941010389462</v>
      </c>
      <c r="C212" s="135"/>
      <c r="D212" s="173" t="n">
        <v>42036</v>
      </c>
      <c r="E212" s="174" t="n">
        <v>36.8957121712821</v>
      </c>
      <c r="F212" s="174" t="n">
        <v>38.3957121712821</v>
      </c>
      <c r="G212" s="174" t="n">
        <v>39.8957121712821</v>
      </c>
      <c r="H212" s="159"/>
      <c r="I212" s="174" t="n">
        <v>25.5</v>
      </c>
      <c r="J212" s="174" t="n">
        <v>25.5</v>
      </c>
      <c r="K212" s="174" t="n">
        <v>25.5</v>
      </c>
      <c r="L212" s="141"/>
      <c r="M212" s="142" t="n">
        <v>42917</v>
      </c>
      <c r="N212" s="175" t="n">
        <v>35.2900009155273</v>
      </c>
      <c r="O212" s="175" t="n">
        <v>35.2900009155273</v>
      </c>
      <c r="P212" s="175" t="n">
        <v>35.2900009155273</v>
      </c>
      <c r="Q212" s="62"/>
      <c r="R212" s="175" t="n">
        <v>25.7900009155273</v>
      </c>
      <c r="S212" s="175" t="n">
        <v>25.7900009155273</v>
      </c>
      <c r="T212" s="175" t="n">
        <v>25.7900009155273</v>
      </c>
      <c r="U212" s="62"/>
      <c r="V212" s="175" t="n">
        <v>0</v>
      </c>
      <c r="W212" s="175" t="n">
        <v>0</v>
      </c>
      <c r="X212" s="175" t="n">
        <v>0</v>
      </c>
      <c r="Y212" s="62"/>
      <c r="Z212" s="175" t="n">
        <v>0.24</v>
      </c>
      <c r="AA212" s="175" t="n">
        <v>0.3</v>
      </c>
      <c r="AB212" s="175" t="n">
        <v>0.36</v>
      </c>
      <c r="AC212" s="62"/>
      <c r="AD212" s="175" t="n">
        <v>0.12</v>
      </c>
      <c r="AE212" s="175" t="n">
        <v>0.15</v>
      </c>
      <c r="AF212" s="175" t="n">
        <v>0.18</v>
      </c>
      <c r="AG212" s="62"/>
      <c r="AH212" s="175" t="n">
        <v>0.32</v>
      </c>
      <c r="AI212" s="175" t="n">
        <v>0.4</v>
      </c>
      <c r="AJ212" s="175" t="n">
        <v>0.48</v>
      </c>
      <c r="AK212" s="62"/>
      <c r="AL212" s="175" t="n">
        <v>0.192</v>
      </c>
      <c r="AM212" s="175" t="n">
        <v>0.24</v>
      </c>
      <c r="AN212" s="175" t="n">
        <v>0.288</v>
      </c>
      <c r="AO212" s="62"/>
      <c r="AP212" s="141" t="n">
        <v>65</v>
      </c>
      <c r="AQ212" s="176" t="n">
        <v>0.4</v>
      </c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142" t="n">
        <v>42917</v>
      </c>
      <c r="BI212" s="178" t="n">
        <v>0.75</v>
      </c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0"/>
      <c r="CP212" s="0"/>
      <c r="CQ212" s="0"/>
      <c r="CR212" s="0"/>
      <c r="CS212" s="0"/>
      <c r="CT212" s="0"/>
      <c r="CY212" s="180" t="n">
        <f aca="false">M212</f>
        <v>42917</v>
      </c>
      <c r="CZ212" s="181" t="n">
        <f aca="false">AH212</f>
        <v>0.32</v>
      </c>
      <c r="DA212" s="181" t="n">
        <f aca="false">AI212</f>
        <v>0.4</v>
      </c>
      <c r="DB212" s="181" t="n">
        <f aca="false">AJ212</f>
        <v>0.48</v>
      </c>
      <c r="DD212" s="181" t="n">
        <f aca="false">Z212</f>
        <v>0.24</v>
      </c>
      <c r="DE212" s="181" t="n">
        <f aca="false">AA212</f>
        <v>0.3</v>
      </c>
      <c r="DF212" s="181" t="n">
        <f aca="false">AB212</f>
        <v>0.36</v>
      </c>
      <c r="DH212" s="180" t="n">
        <f aca="false">BH212</f>
        <v>42917</v>
      </c>
      <c r="DI212" s="135" t="n">
        <f aca="false">BI212</f>
        <v>0.75</v>
      </c>
      <c r="DL212" s="180" t="n">
        <f aca="false">M212</f>
        <v>42917</v>
      </c>
      <c r="DM212" s="181" t="n">
        <f aca="false">AL212</f>
        <v>0.192</v>
      </c>
      <c r="DN212" s="181" t="n">
        <f aca="false">AM212</f>
        <v>0.24</v>
      </c>
      <c r="DO212" s="181" t="n">
        <f aca="false">AN212</f>
        <v>0.288</v>
      </c>
      <c r="DQ212" s="181" t="n">
        <f aca="false">AD212</f>
        <v>0.12</v>
      </c>
      <c r="DR212" s="181" t="n">
        <f aca="false">AE212</f>
        <v>0.15</v>
      </c>
      <c r="DS212" s="181" t="n">
        <f aca="false">AF212</f>
        <v>0.18</v>
      </c>
    </row>
    <row r="213" customFormat="false" ht="12.75" hidden="false" customHeight="false" outlineLevel="0" collapsed="false">
      <c r="A213" s="145" t="n">
        <f aca="false">EOMONTH(A212,0)+1</f>
        <v>52018</v>
      </c>
      <c r="B213" s="135" t="n">
        <f aca="false">'Gas Curves'!C217</f>
        <v>0.0659323249339012</v>
      </c>
      <c r="C213" s="135"/>
      <c r="D213" s="173" t="n">
        <v>42064</v>
      </c>
      <c r="E213" s="174" t="n">
        <v>35.6076808308446</v>
      </c>
      <c r="F213" s="174" t="n">
        <v>37.1076808308446</v>
      </c>
      <c r="G213" s="174" t="n">
        <v>38.6076808308446</v>
      </c>
      <c r="H213" s="159"/>
      <c r="I213" s="174" t="n">
        <v>26.5</v>
      </c>
      <c r="J213" s="174" t="n">
        <v>26.5</v>
      </c>
      <c r="K213" s="174" t="n">
        <v>26.5</v>
      </c>
      <c r="L213" s="141"/>
      <c r="M213" s="142" t="n">
        <v>42948</v>
      </c>
      <c r="N213" s="175" t="n">
        <v>33.2900047302246</v>
      </c>
      <c r="O213" s="175" t="n">
        <v>33.2900047302246</v>
      </c>
      <c r="P213" s="175" t="n">
        <v>33.2900047302246</v>
      </c>
      <c r="Q213" s="62"/>
      <c r="R213" s="175" t="n">
        <v>25.7900009155273</v>
      </c>
      <c r="S213" s="175" t="n">
        <v>25.7900009155273</v>
      </c>
      <c r="T213" s="175" t="n">
        <v>25.7900009155273</v>
      </c>
      <c r="U213" s="62"/>
      <c r="V213" s="175" t="n">
        <v>0</v>
      </c>
      <c r="W213" s="175" t="n">
        <v>0</v>
      </c>
      <c r="X213" s="175" t="n">
        <v>0</v>
      </c>
      <c r="Y213" s="62"/>
      <c r="Z213" s="175" t="n">
        <v>0.24</v>
      </c>
      <c r="AA213" s="175" t="n">
        <v>0.3</v>
      </c>
      <c r="AB213" s="175" t="n">
        <v>0.36</v>
      </c>
      <c r="AC213" s="62"/>
      <c r="AD213" s="175" t="n">
        <v>0.12</v>
      </c>
      <c r="AE213" s="175" t="n">
        <v>0.15</v>
      </c>
      <c r="AF213" s="175" t="n">
        <v>0.18</v>
      </c>
      <c r="AG213" s="62"/>
      <c r="AH213" s="175" t="n">
        <v>0.32</v>
      </c>
      <c r="AI213" s="175" t="n">
        <v>0.4</v>
      </c>
      <c r="AJ213" s="175" t="n">
        <v>0.48</v>
      </c>
      <c r="AK213" s="62"/>
      <c r="AL213" s="175" t="n">
        <v>0.192</v>
      </c>
      <c r="AM213" s="175" t="n">
        <v>0.24</v>
      </c>
      <c r="AN213" s="175" t="n">
        <v>0.288</v>
      </c>
      <c r="AO213" s="62"/>
      <c r="AP213" s="141" t="n">
        <v>65</v>
      </c>
      <c r="AQ213" s="176" t="n">
        <v>0.4</v>
      </c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142" t="n">
        <v>42948</v>
      </c>
      <c r="BI213" s="178" t="n">
        <v>0.75</v>
      </c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0"/>
      <c r="CP213" s="0"/>
      <c r="CQ213" s="0"/>
      <c r="CR213" s="0"/>
      <c r="CS213" s="0"/>
      <c r="CT213" s="0"/>
      <c r="CY213" s="180" t="n">
        <f aca="false">M213</f>
        <v>42948</v>
      </c>
      <c r="CZ213" s="181" t="n">
        <f aca="false">AH213</f>
        <v>0.32</v>
      </c>
      <c r="DA213" s="181" t="n">
        <f aca="false">AI213</f>
        <v>0.4</v>
      </c>
      <c r="DB213" s="181" t="n">
        <f aca="false">AJ213</f>
        <v>0.48</v>
      </c>
      <c r="DD213" s="181" t="n">
        <f aca="false">Z213</f>
        <v>0.24</v>
      </c>
      <c r="DE213" s="181" t="n">
        <f aca="false">AA213</f>
        <v>0.3</v>
      </c>
      <c r="DF213" s="181" t="n">
        <f aca="false">AB213</f>
        <v>0.36</v>
      </c>
      <c r="DH213" s="180" t="n">
        <f aca="false">BH213</f>
        <v>42948</v>
      </c>
      <c r="DI213" s="135" t="n">
        <f aca="false">BI213</f>
        <v>0.75</v>
      </c>
      <c r="DL213" s="180" t="n">
        <f aca="false">M213</f>
        <v>42948</v>
      </c>
      <c r="DM213" s="181" t="n">
        <f aca="false">AL213</f>
        <v>0.192</v>
      </c>
      <c r="DN213" s="181" t="n">
        <f aca="false">AM213</f>
        <v>0.24</v>
      </c>
      <c r="DO213" s="181" t="n">
        <f aca="false">AN213</f>
        <v>0.288</v>
      </c>
      <c r="DQ213" s="181" t="n">
        <f aca="false">AD213</f>
        <v>0.12</v>
      </c>
      <c r="DR213" s="181" t="n">
        <f aca="false">AE213</f>
        <v>0.15</v>
      </c>
      <c r="DS213" s="181" t="n">
        <f aca="false">AF213</f>
        <v>0.18</v>
      </c>
    </row>
    <row r="214" customFormat="false" ht="12.75" hidden="false" customHeight="false" outlineLevel="0" collapsed="false">
      <c r="A214" s="145" t="n">
        <f aca="false">EOMONTH(A213,0)+1</f>
        <v>52048</v>
      </c>
      <c r="B214" s="135" t="n">
        <f aca="false">'Gas Curves'!C218</f>
        <v>0.0659705488293398</v>
      </c>
      <c r="C214" s="135"/>
      <c r="D214" s="173" t="n">
        <v>42095</v>
      </c>
      <c r="E214" s="174" t="n">
        <v>35.8076815937841</v>
      </c>
      <c r="F214" s="174" t="n">
        <v>37.3076815937841</v>
      </c>
      <c r="G214" s="174" t="n">
        <v>38.8076815937841</v>
      </c>
      <c r="H214" s="159"/>
      <c r="I214" s="174" t="n">
        <v>23.5</v>
      </c>
      <c r="J214" s="174" t="n">
        <v>23.5</v>
      </c>
      <c r="K214" s="174" t="n">
        <v>23.5</v>
      </c>
      <c r="L214" s="141"/>
      <c r="M214" s="142" t="n">
        <v>42979</v>
      </c>
      <c r="N214" s="175" t="n">
        <v>25.2900009155273</v>
      </c>
      <c r="O214" s="175" t="n">
        <v>25.2900009155273</v>
      </c>
      <c r="P214" s="175" t="n">
        <v>25.2900009155273</v>
      </c>
      <c r="Q214" s="62"/>
      <c r="R214" s="175" t="n">
        <v>19.7900009155273</v>
      </c>
      <c r="S214" s="175" t="n">
        <v>19.7900009155273</v>
      </c>
      <c r="T214" s="175" t="n">
        <v>19.7900009155273</v>
      </c>
      <c r="U214" s="62"/>
      <c r="V214" s="175" t="n">
        <v>0</v>
      </c>
      <c r="W214" s="175" t="n">
        <v>0</v>
      </c>
      <c r="X214" s="175" t="n">
        <v>0</v>
      </c>
      <c r="Y214" s="62"/>
      <c r="Z214" s="175" t="n">
        <v>0.16</v>
      </c>
      <c r="AA214" s="175" t="n">
        <v>0.2</v>
      </c>
      <c r="AB214" s="175" t="n">
        <v>0.24</v>
      </c>
      <c r="AC214" s="62"/>
      <c r="AD214" s="175" t="n">
        <v>0.08</v>
      </c>
      <c r="AE214" s="175" t="n">
        <v>0.1</v>
      </c>
      <c r="AF214" s="175" t="n">
        <v>0.12</v>
      </c>
      <c r="AG214" s="62"/>
      <c r="AH214" s="175" t="n">
        <v>0.2</v>
      </c>
      <c r="AI214" s="175" t="n">
        <v>0.25</v>
      </c>
      <c r="AJ214" s="175" t="n">
        <v>0.3</v>
      </c>
      <c r="AK214" s="62"/>
      <c r="AL214" s="175" t="n">
        <v>0.12</v>
      </c>
      <c r="AM214" s="175" t="n">
        <v>0.15</v>
      </c>
      <c r="AN214" s="175" t="n">
        <v>0.18</v>
      </c>
      <c r="AO214" s="62"/>
      <c r="AP214" s="141" t="n">
        <v>66</v>
      </c>
      <c r="AQ214" s="176" t="n">
        <v>0.4</v>
      </c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142" t="n">
        <v>42979</v>
      </c>
      <c r="BI214" s="178" t="n">
        <v>0.75</v>
      </c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0"/>
      <c r="CP214" s="0"/>
      <c r="CQ214" s="0"/>
      <c r="CR214" s="0"/>
      <c r="CS214" s="0"/>
      <c r="CT214" s="0"/>
      <c r="CY214" s="180" t="n">
        <f aca="false">M214</f>
        <v>42979</v>
      </c>
      <c r="CZ214" s="181" t="n">
        <f aca="false">AH214</f>
        <v>0.2</v>
      </c>
      <c r="DA214" s="181" t="n">
        <f aca="false">AI214</f>
        <v>0.25</v>
      </c>
      <c r="DB214" s="181" t="n">
        <f aca="false">AJ214</f>
        <v>0.3</v>
      </c>
      <c r="DD214" s="181" t="n">
        <f aca="false">Z214</f>
        <v>0.16</v>
      </c>
      <c r="DE214" s="181" t="n">
        <f aca="false">AA214</f>
        <v>0.2</v>
      </c>
      <c r="DF214" s="181" t="n">
        <f aca="false">AB214</f>
        <v>0.24</v>
      </c>
      <c r="DH214" s="180" t="n">
        <f aca="false">BH214</f>
        <v>42979</v>
      </c>
      <c r="DI214" s="135" t="n">
        <f aca="false">BI214</f>
        <v>0.75</v>
      </c>
      <c r="DL214" s="180" t="n">
        <f aca="false">M214</f>
        <v>42979</v>
      </c>
      <c r="DM214" s="181" t="n">
        <f aca="false">AL214</f>
        <v>0.12</v>
      </c>
      <c r="DN214" s="181" t="n">
        <f aca="false">AM214</f>
        <v>0.15</v>
      </c>
      <c r="DO214" s="181" t="n">
        <f aca="false">AN214</f>
        <v>0.18</v>
      </c>
      <c r="DQ214" s="181" t="n">
        <f aca="false">AD214</f>
        <v>0.08</v>
      </c>
      <c r="DR214" s="181" t="n">
        <f aca="false">AE214</f>
        <v>0.1</v>
      </c>
      <c r="DS214" s="181" t="n">
        <f aca="false">AF214</f>
        <v>0.12</v>
      </c>
    </row>
    <row r="215" customFormat="false" ht="12.75" hidden="false" customHeight="false" outlineLevel="0" collapsed="false">
      <c r="A215" s="145" t="n">
        <f aca="false">EOMONTH(A214,0)+1</f>
        <v>52079</v>
      </c>
      <c r="B215" s="135" t="n">
        <f aca="false">'Gas Curves'!C219</f>
        <v>0.0660050736385394</v>
      </c>
      <c r="C215" s="135"/>
      <c r="D215" s="173" t="n">
        <v>42125</v>
      </c>
      <c r="E215" s="174" t="n">
        <v>42.6850028991699</v>
      </c>
      <c r="F215" s="174" t="n">
        <v>45.0850028991699</v>
      </c>
      <c r="G215" s="174" t="n">
        <v>47.4850028991699</v>
      </c>
      <c r="H215" s="159"/>
      <c r="I215" s="174" t="n">
        <v>24.0400009155273</v>
      </c>
      <c r="J215" s="174" t="n">
        <v>24.0400009155273</v>
      </c>
      <c r="K215" s="174" t="n">
        <v>24.0400009155273</v>
      </c>
      <c r="L215" s="141"/>
      <c r="M215" s="142" t="n">
        <v>43009</v>
      </c>
      <c r="N215" s="175" t="n">
        <v>20.2860012054443</v>
      </c>
      <c r="O215" s="175" t="n">
        <v>20.2860012054443</v>
      </c>
      <c r="P215" s="175" t="n">
        <v>20.2860012054443</v>
      </c>
      <c r="Q215" s="62"/>
      <c r="R215" s="175" t="n">
        <v>14.7865009307861</v>
      </c>
      <c r="S215" s="175" t="n">
        <v>14.7865009307861</v>
      </c>
      <c r="T215" s="175" t="n">
        <v>14.7865009307861</v>
      </c>
      <c r="U215" s="62"/>
      <c r="V215" s="175" t="n">
        <v>0</v>
      </c>
      <c r="W215" s="175" t="n">
        <v>0</v>
      </c>
      <c r="X215" s="175" t="n">
        <v>0</v>
      </c>
      <c r="Y215" s="62"/>
      <c r="Z215" s="175" t="n">
        <v>0.16</v>
      </c>
      <c r="AA215" s="175" t="n">
        <v>0.2</v>
      </c>
      <c r="AB215" s="175" t="n">
        <v>0.24</v>
      </c>
      <c r="AC215" s="62"/>
      <c r="AD215" s="175" t="n">
        <v>0.08</v>
      </c>
      <c r="AE215" s="175" t="n">
        <v>0.1</v>
      </c>
      <c r="AF215" s="175" t="n">
        <v>0.12</v>
      </c>
      <c r="AG215" s="62"/>
      <c r="AH215" s="175" t="n">
        <v>0.2</v>
      </c>
      <c r="AI215" s="175" t="n">
        <v>0.25</v>
      </c>
      <c r="AJ215" s="175" t="n">
        <v>0.3</v>
      </c>
      <c r="AK215" s="62"/>
      <c r="AL215" s="175" t="n">
        <v>0.12</v>
      </c>
      <c r="AM215" s="175" t="n">
        <v>0.15</v>
      </c>
      <c r="AN215" s="175" t="n">
        <v>0.18</v>
      </c>
      <c r="AO215" s="62"/>
      <c r="AP215" s="141" t="n">
        <v>66</v>
      </c>
      <c r="AQ215" s="176" t="n">
        <v>0.4</v>
      </c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142" t="n">
        <v>43009</v>
      </c>
      <c r="BI215" s="178" t="n">
        <v>0.75</v>
      </c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0"/>
      <c r="CP215" s="0"/>
      <c r="CQ215" s="0"/>
      <c r="CR215" s="0"/>
      <c r="CS215" s="0"/>
      <c r="CT215" s="0"/>
      <c r="CY215" s="180" t="n">
        <f aca="false">M215</f>
        <v>43009</v>
      </c>
      <c r="CZ215" s="181" t="n">
        <f aca="false">AH215</f>
        <v>0.2</v>
      </c>
      <c r="DA215" s="181" t="n">
        <f aca="false">AI215</f>
        <v>0.25</v>
      </c>
      <c r="DB215" s="181" t="n">
        <f aca="false">AJ215</f>
        <v>0.3</v>
      </c>
      <c r="DD215" s="181" t="n">
        <f aca="false">Z215</f>
        <v>0.16</v>
      </c>
      <c r="DE215" s="181" t="n">
        <f aca="false">AA215</f>
        <v>0.2</v>
      </c>
      <c r="DF215" s="181" t="n">
        <f aca="false">AB215</f>
        <v>0.24</v>
      </c>
      <c r="DH215" s="180" t="n">
        <f aca="false">BH215</f>
        <v>43009</v>
      </c>
      <c r="DI215" s="135" t="n">
        <f aca="false">BI215</f>
        <v>0.75</v>
      </c>
      <c r="DL215" s="180" t="n">
        <f aca="false">M215</f>
        <v>43009</v>
      </c>
      <c r="DM215" s="181" t="n">
        <f aca="false">AL215</f>
        <v>0.12</v>
      </c>
      <c r="DN215" s="181" t="n">
        <f aca="false">AM215</f>
        <v>0.15</v>
      </c>
      <c r="DO215" s="181" t="n">
        <f aca="false">AN215</f>
        <v>0.18</v>
      </c>
      <c r="DQ215" s="181" t="n">
        <f aca="false">AD215</f>
        <v>0.08</v>
      </c>
      <c r="DR215" s="181" t="n">
        <f aca="false">AE215</f>
        <v>0.1</v>
      </c>
      <c r="DS215" s="181" t="n">
        <f aca="false">AF215</f>
        <v>0.12</v>
      </c>
    </row>
    <row r="216" customFormat="false" ht="12.75" hidden="false" customHeight="false" outlineLevel="0" collapsed="false">
      <c r="A216" s="145" t="n">
        <f aca="false">EOMONTH(A215,0)+1</f>
        <v>52110</v>
      </c>
      <c r="B216" s="135" t="n">
        <f aca="false">'Gas Curves'!C220</f>
        <v>0.0660432975348999</v>
      </c>
      <c r="C216" s="135"/>
      <c r="D216" s="173" t="n">
        <v>42156</v>
      </c>
      <c r="E216" s="174" t="n">
        <v>52.6250038146973</v>
      </c>
      <c r="F216" s="174" t="n">
        <v>57.6250038146973</v>
      </c>
      <c r="G216" s="174" t="n">
        <v>62.6250038146973</v>
      </c>
      <c r="H216" s="159"/>
      <c r="I216" s="174" t="n">
        <v>27.0400009155273</v>
      </c>
      <c r="J216" s="174" t="n">
        <v>27.0400009155273</v>
      </c>
      <c r="K216" s="174" t="n">
        <v>27.0400009155273</v>
      </c>
      <c r="L216" s="141"/>
      <c r="M216" s="142" t="n">
        <v>43040</v>
      </c>
      <c r="N216" s="175" t="n">
        <v>22.2900009155273</v>
      </c>
      <c r="O216" s="175" t="n">
        <v>22.2900009155273</v>
      </c>
      <c r="P216" s="175" t="n">
        <v>22.2900009155273</v>
      </c>
      <c r="Q216" s="62"/>
      <c r="R216" s="175" t="n">
        <v>14.7900009155273</v>
      </c>
      <c r="S216" s="175" t="n">
        <v>14.7900009155273</v>
      </c>
      <c r="T216" s="175" t="n">
        <v>14.7900009155273</v>
      </c>
      <c r="U216" s="62"/>
      <c r="V216" s="175" t="n">
        <v>0</v>
      </c>
      <c r="W216" s="175" t="n">
        <v>0</v>
      </c>
      <c r="X216" s="175" t="n">
        <v>0</v>
      </c>
      <c r="Y216" s="62"/>
      <c r="Z216" s="175" t="n">
        <v>0.16</v>
      </c>
      <c r="AA216" s="175" t="n">
        <v>0.2</v>
      </c>
      <c r="AB216" s="175" t="n">
        <v>0.24</v>
      </c>
      <c r="AC216" s="62"/>
      <c r="AD216" s="175" t="n">
        <v>0.08</v>
      </c>
      <c r="AE216" s="175" t="n">
        <v>0.1</v>
      </c>
      <c r="AF216" s="175" t="n">
        <v>0.12</v>
      </c>
      <c r="AG216" s="62"/>
      <c r="AH216" s="175" t="n">
        <v>0.2</v>
      </c>
      <c r="AI216" s="175" t="n">
        <v>0.25</v>
      </c>
      <c r="AJ216" s="175" t="n">
        <v>0.3</v>
      </c>
      <c r="AK216" s="62"/>
      <c r="AL216" s="175" t="n">
        <v>0.12</v>
      </c>
      <c r="AM216" s="175" t="n">
        <v>0.15</v>
      </c>
      <c r="AN216" s="175" t="n">
        <v>0.18</v>
      </c>
      <c r="AO216" s="62"/>
      <c r="AP216" s="141" t="n">
        <v>66</v>
      </c>
      <c r="AQ216" s="176" t="n">
        <v>0.4</v>
      </c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142" t="n">
        <v>43040</v>
      </c>
      <c r="BI216" s="178" t="n">
        <v>0.75</v>
      </c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0"/>
      <c r="CP216" s="0"/>
      <c r="CQ216" s="0"/>
      <c r="CR216" s="0"/>
      <c r="CS216" s="0"/>
      <c r="CT216" s="0"/>
      <c r="CY216" s="180" t="n">
        <f aca="false">M216</f>
        <v>43040</v>
      </c>
      <c r="CZ216" s="181" t="n">
        <f aca="false">AH216</f>
        <v>0.2</v>
      </c>
      <c r="DA216" s="181" t="n">
        <f aca="false">AI216</f>
        <v>0.25</v>
      </c>
      <c r="DB216" s="181" t="n">
        <f aca="false">AJ216</f>
        <v>0.3</v>
      </c>
      <c r="DD216" s="181" t="n">
        <f aca="false">Z216</f>
        <v>0.16</v>
      </c>
      <c r="DE216" s="181" t="n">
        <f aca="false">AA216</f>
        <v>0.2</v>
      </c>
      <c r="DF216" s="181" t="n">
        <f aca="false">AB216</f>
        <v>0.24</v>
      </c>
      <c r="DH216" s="180" t="n">
        <f aca="false">BH216</f>
        <v>43040</v>
      </c>
      <c r="DI216" s="135" t="n">
        <f aca="false">BI216</f>
        <v>0.75</v>
      </c>
      <c r="DL216" s="180" t="n">
        <f aca="false">M216</f>
        <v>43040</v>
      </c>
      <c r="DM216" s="181" t="n">
        <f aca="false">AL216</f>
        <v>0.12</v>
      </c>
      <c r="DN216" s="181" t="n">
        <f aca="false">AM216</f>
        <v>0.15</v>
      </c>
      <c r="DO216" s="181" t="n">
        <f aca="false">AN216</f>
        <v>0.18</v>
      </c>
      <c r="DQ216" s="181" t="n">
        <f aca="false">AD216</f>
        <v>0.08</v>
      </c>
      <c r="DR216" s="181" t="n">
        <f aca="false">AE216</f>
        <v>0.1</v>
      </c>
      <c r="DS216" s="181" t="n">
        <f aca="false">AF216</f>
        <v>0.12</v>
      </c>
    </row>
    <row r="217" customFormat="false" ht="12.75" hidden="false" customHeight="false" outlineLevel="0" collapsed="false">
      <c r="A217" s="145" t="n">
        <f aca="false">EOMONTH(A216,0)+1</f>
        <v>52140</v>
      </c>
      <c r="B217" s="135" t="n">
        <f aca="false">'Gas Curves'!C221</f>
        <v>0.066080288402806</v>
      </c>
      <c r="C217" s="135"/>
      <c r="D217" s="173" t="n">
        <v>42186</v>
      </c>
      <c r="E217" s="174" t="n">
        <v>58.25</v>
      </c>
      <c r="F217" s="174" t="n">
        <v>68.25</v>
      </c>
      <c r="G217" s="174" t="n">
        <v>78.25</v>
      </c>
      <c r="H217" s="159"/>
      <c r="I217" s="174" t="n">
        <v>27.5400009155273</v>
      </c>
      <c r="J217" s="174" t="n">
        <v>27.5400009155273</v>
      </c>
      <c r="K217" s="174" t="n">
        <v>27.5400009155273</v>
      </c>
      <c r="L217" s="141"/>
      <c r="M217" s="142" t="n">
        <v>43070</v>
      </c>
      <c r="N217" s="175" t="n">
        <v>27.2900009155273</v>
      </c>
      <c r="O217" s="175" t="n">
        <v>27.2900009155273</v>
      </c>
      <c r="P217" s="175" t="n">
        <v>27.2900009155273</v>
      </c>
      <c r="Q217" s="62"/>
      <c r="R217" s="175" t="n">
        <v>21.7900009155273</v>
      </c>
      <c r="S217" s="175" t="n">
        <v>21.7900009155273</v>
      </c>
      <c r="T217" s="175" t="n">
        <v>21.7900009155273</v>
      </c>
      <c r="U217" s="62"/>
      <c r="V217" s="175" t="n">
        <v>0</v>
      </c>
      <c r="W217" s="175" t="n">
        <v>0</v>
      </c>
      <c r="X217" s="175" t="n">
        <v>0</v>
      </c>
      <c r="Y217" s="62"/>
      <c r="Z217" s="175" t="n">
        <v>0.16</v>
      </c>
      <c r="AA217" s="175" t="n">
        <v>0.2</v>
      </c>
      <c r="AB217" s="175" t="n">
        <v>0.24</v>
      </c>
      <c r="AC217" s="62"/>
      <c r="AD217" s="175" t="n">
        <v>0.08</v>
      </c>
      <c r="AE217" s="175" t="n">
        <v>0.1</v>
      </c>
      <c r="AF217" s="175" t="n">
        <v>0.12</v>
      </c>
      <c r="AG217" s="62"/>
      <c r="AH217" s="175" t="n">
        <v>0.2</v>
      </c>
      <c r="AI217" s="175" t="n">
        <v>0.25</v>
      </c>
      <c r="AJ217" s="175" t="n">
        <v>0.3</v>
      </c>
      <c r="AK217" s="62"/>
      <c r="AL217" s="175" t="n">
        <v>0.12</v>
      </c>
      <c r="AM217" s="175" t="n">
        <v>0.15</v>
      </c>
      <c r="AN217" s="175" t="n">
        <v>0.18</v>
      </c>
      <c r="AO217" s="62"/>
      <c r="AP217" s="141" t="n">
        <v>67</v>
      </c>
      <c r="AQ217" s="176" t="n">
        <v>0.4</v>
      </c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142" t="n">
        <v>43070</v>
      </c>
      <c r="BI217" s="178" t="n">
        <v>0.75</v>
      </c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0"/>
      <c r="CP217" s="0"/>
      <c r="CQ217" s="0"/>
      <c r="CR217" s="0"/>
      <c r="CS217" s="0"/>
      <c r="CT217" s="0"/>
      <c r="CY217" s="180" t="n">
        <f aca="false">M217</f>
        <v>43070</v>
      </c>
      <c r="CZ217" s="181" t="n">
        <f aca="false">AH217</f>
        <v>0.2</v>
      </c>
      <c r="DA217" s="181" t="n">
        <f aca="false">AI217</f>
        <v>0.25</v>
      </c>
      <c r="DB217" s="181" t="n">
        <f aca="false">AJ217</f>
        <v>0.3</v>
      </c>
      <c r="DD217" s="181" t="n">
        <f aca="false">Z217</f>
        <v>0.16</v>
      </c>
      <c r="DE217" s="181" t="n">
        <f aca="false">AA217</f>
        <v>0.2</v>
      </c>
      <c r="DF217" s="181" t="n">
        <f aca="false">AB217</f>
        <v>0.24</v>
      </c>
      <c r="DH217" s="180" t="n">
        <f aca="false">BH217</f>
        <v>43070</v>
      </c>
      <c r="DI217" s="135" t="n">
        <f aca="false">BI217</f>
        <v>0.75</v>
      </c>
      <c r="DL217" s="180" t="n">
        <f aca="false">M217</f>
        <v>43070</v>
      </c>
      <c r="DM217" s="181" t="n">
        <f aca="false">AL217</f>
        <v>0.12</v>
      </c>
      <c r="DN217" s="181" t="n">
        <f aca="false">AM217</f>
        <v>0.15</v>
      </c>
      <c r="DO217" s="181" t="n">
        <f aca="false">AN217</f>
        <v>0.18</v>
      </c>
      <c r="DQ217" s="181" t="n">
        <f aca="false">AD217</f>
        <v>0.08</v>
      </c>
      <c r="DR217" s="181" t="n">
        <f aca="false">AE217</f>
        <v>0.1</v>
      </c>
      <c r="DS217" s="181" t="n">
        <f aca="false">AF217</f>
        <v>0.12</v>
      </c>
    </row>
    <row r="218" customFormat="false" ht="12.75" hidden="false" customHeight="false" outlineLevel="0" collapsed="false">
      <c r="A218" s="145" t="n">
        <f aca="false">EOMONTH(A217,0)+1</f>
        <v>52171</v>
      </c>
      <c r="B218" s="135" t="n">
        <f aca="false">'Gas Curves'!C222</f>
        <v>0.0661185123001187</v>
      </c>
      <c r="C218" s="135"/>
      <c r="D218" s="173" t="n">
        <v>42217</v>
      </c>
      <c r="E218" s="174" t="n">
        <v>58.25</v>
      </c>
      <c r="F218" s="174" t="n">
        <v>68.25</v>
      </c>
      <c r="G218" s="174" t="n">
        <v>78.25</v>
      </c>
      <c r="H218" s="159"/>
      <c r="I218" s="174" t="n">
        <v>28.5400009155273</v>
      </c>
      <c r="J218" s="174" t="n">
        <v>28.5400009155273</v>
      </c>
      <c r="K218" s="174" t="n">
        <v>28.5400009155273</v>
      </c>
      <c r="L218" s="141"/>
      <c r="M218" s="142" t="n">
        <v>43101</v>
      </c>
      <c r="N218" s="175" t="n">
        <v>35.75</v>
      </c>
      <c r="O218" s="175" t="n">
        <v>35.75</v>
      </c>
      <c r="P218" s="175" t="n">
        <v>35.75</v>
      </c>
      <c r="Q218" s="62"/>
      <c r="R218" s="175" t="n">
        <v>25.25</v>
      </c>
      <c r="S218" s="175" t="n">
        <v>25.25</v>
      </c>
      <c r="T218" s="175" t="n">
        <v>25.25</v>
      </c>
      <c r="U218" s="62"/>
      <c r="V218" s="175" t="n">
        <v>0</v>
      </c>
      <c r="W218" s="175" t="n">
        <v>0</v>
      </c>
      <c r="X218" s="175" t="n">
        <v>0</v>
      </c>
      <c r="Y218" s="62"/>
      <c r="Z218" s="175" t="n">
        <v>0.16</v>
      </c>
      <c r="AA218" s="175" t="n">
        <v>0.2</v>
      </c>
      <c r="AB218" s="175" t="n">
        <v>0.24</v>
      </c>
      <c r="AC218" s="62"/>
      <c r="AD218" s="175" t="n">
        <v>0.08</v>
      </c>
      <c r="AE218" s="175" t="n">
        <v>0.1</v>
      </c>
      <c r="AF218" s="175" t="n">
        <v>0.12</v>
      </c>
      <c r="AG218" s="62"/>
      <c r="AH218" s="175" t="n">
        <v>0.2</v>
      </c>
      <c r="AI218" s="175" t="n">
        <v>0.25</v>
      </c>
      <c r="AJ218" s="175" t="n">
        <v>0.3</v>
      </c>
      <c r="AK218" s="62"/>
      <c r="AL218" s="175" t="n">
        <v>0.12</v>
      </c>
      <c r="AM218" s="175" t="n">
        <v>0.15</v>
      </c>
      <c r="AN218" s="175" t="n">
        <v>0.18</v>
      </c>
      <c r="AO218" s="62"/>
      <c r="AP218" s="141" t="n">
        <v>67</v>
      </c>
      <c r="AQ218" s="176" t="n">
        <v>0.4</v>
      </c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142" t="n">
        <v>43101</v>
      </c>
      <c r="BI218" s="178" t="n">
        <v>0.75</v>
      </c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0"/>
      <c r="CP218" s="0"/>
      <c r="CQ218" s="0"/>
      <c r="CR218" s="0"/>
      <c r="CS218" s="0"/>
      <c r="CT218" s="0"/>
      <c r="CY218" s="180" t="n">
        <f aca="false">M218</f>
        <v>43101</v>
      </c>
      <c r="CZ218" s="181" t="n">
        <f aca="false">AH218</f>
        <v>0.2</v>
      </c>
      <c r="DA218" s="181" t="n">
        <f aca="false">AI218</f>
        <v>0.25</v>
      </c>
      <c r="DB218" s="181" t="n">
        <f aca="false">AJ218</f>
        <v>0.3</v>
      </c>
      <c r="DD218" s="181" t="n">
        <f aca="false">Z218</f>
        <v>0.16</v>
      </c>
      <c r="DE218" s="181" t="n">
        <f aca="false">AA218</f>
        <v>0.2</v>
      </c>
      <c r="DF218" s="181" t="n">
        <f aca="false">AB218</f>
        <v>0.24</v>
      </c>
      <c r="DH218" s="180" t="n">
        <f aca="false">BH218</f>
        <v>43101</v>
      </c>
      <c r="DI218" s="135" t="n">
        <f aca="false">BI218</f>
        <v>0.75</v>
      </c>
      <c r="DL218" s="180" t="n">
        <f aca="false">M218</f>
        <v>43101</v>
      </c>
      <c r="DM218" s="181" t="n">
        <f aca="false">AL218</f>
        <v>0.12</v>
      </c>
      <c r="DN218" s="181" t="n">
        <f aca="false">AM218</f>
        <v>0.15</v>
      </c>
      <c r="DO218" s="181" t="n">
        <f aca="false">AN218</f>
        <v>0.18</v>
      </c>
      <c r="DQ218" s="181" t="n">
        <f aca="false">AD218</f>
        <v>0.08</v>
      </c>
      <c r="DR218" s="181" t="n">
        <f aca="false">AE218</f>
        <v>0.1</v>
      </c>
      <c r="DS218" s="181" t="n">
        <f aca="false">AF218</f>
        <v>0.12</v>
      </c>
    </row>
    <row r="219" customFormat="false" ht="12.75" hidden="false" customHeight="false" outlineLevel="0" collapsed="false">
      <c r="A219" s="145" t="n">
        <f aca="false">EOMONTH(A218,0)+1</f>
        <v>52201</v>
      </c>
      <c r="B219" s="135" t="n">
        <f aca="false">'Gas Curves'!C223</f>
        <v>0.0661555031689467</v>
      </c>
      <c r="C219" s="135"/>
      <c r="D219" s="173" t="n">
        <v>42248</v>
      </c>
      <c r="E219" s="174" t="n">
        <v>30.9600028991699</v>
      </c>
      <c r="F219" s="174" t="n">
        <v>32.4600028991699</v>
      </c>
      <c r="G219" s="174" t="n">
        <v>33.9600028991699</v>
      </c>
      <c r="H219" s="159"/>
      <c r="I219" s="174" t="n">
        <v>22.5400009155273</v>
      </c>
      <c r="J219" s="174" t="n">
        <v>22.5400009155273</v>
      </c>
      <c r="K219" s="174" t="n">
        <v>22.5400009155273</v>
      </c>
      <c r="L219" s="141"/>
      <c r="M219" s="142" t="n">
        <v>43132</v>
      </c>
      <c r="N219" s="175" t="n">
        <v>31.2460021972656</v>
      </c>
      <c r="O219" s="175" t="n">
        <v>31.2460021972656</v>
      </c>
      <c r="P219" s="175" t="n">
        <v>31.2460021972656</v>
      </c>
      <c r="Q219" s="62"/>
      <c r="R219" s="175" t="n">
        <v>22.7465019226074</v>
      </c>
      <c r="S219" s="175" t="n">
        <v>22.7465019226074</v>
      </c>
      <c r="T219" s="175" t="n">
        <v>22.7465019226074</v>
      </c>
      <c r="U219" s="62"/>
      <c r="V219" s="175" t="n">
        <v>0</v>
      </c>
      <c r="W219" s="175" t="n">
        <v>0</v>
      </c>
      <c r="X219" s="175" t="n">
        <v>0</v>
      </c>
      <c r="Y219" s="62"/>
      <c r="Z219" s="175" t="n">
        <v>0.16</v>
      </c>
      <c r="AA219" s="175" t="n">
        <v>0.2</v>
      </c>
      <c r="AB219" s="175" t="n">
        <v>0.24</v>
      </c>
      <c r="AC219" s="62"/>
      <c r="AD219" s="175" t="n">
        <v>0.08</v>
      </c>
      <c r="AE219" s="175" t="n">
        <v>0.1</v>
      </c>
      <c r="AF219" s="175" t="n">
        <v>0.12</v>
      </c>
      <c r="AG219" s="62"/>
      <c r="AH219" s="175" t="n">
        <v>0.2</v>
      </c>
      <c r="AI219" s="175" t="n">
        <v>0.25</v>
      </c>
      <c r="AJ219" s="175" t="n">
        <v>0.3</v>
      </c>
      <c r="AK219" s="62"/>
      <c r="AL219" s="175" t="n">
        <v>0.12</v>
      </c>
      <c r="AM219" s="175" t="n">
        <v>0.15</v>
      </c>
      <c r="AN219" s="175" t="n">
        <v>0.18</v>
      </c>
      <c r="AO219" s="62"/>
      <c r="AP219" s="141" t="n">
        <v>67</v>
      </c>
      <c r="AQ219" s="176" t="n">
        <v>0.4</v>
      </c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142" t="n">
        <v>43132</v>
      </c>
      <c r="BI219" s="178" t="n">
        <v>0.75</v>
      </c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0"/>
      <c r="CP219" s="0"/>
      <c r="CQ219" s="0"/>
      <c r="CR219" s="0"/>
      <c r="CS219" s="0"/>
      <c r="CT219" s="0"/>
      <c r="CY219" s="180" t="n">
        <f aca="false">M219</f>
        <v>43132</v>
      </c>
      <c r="CZ219" s="181" t="n">
        <f aca="false">AH219</f>
        <v>0.2</v>
      </c>
      <c r="DA219" s="181" t="n">
        <f aca="false">AI219</f>
        <v>0.25</v>
      </c>
      <c r="DB219" s="181" t="n">
        <f aca="false">AJ219</f>
        <v>0.3</v>
      </c>
      <c r="DD219" s="181" t="n">
        <f aca="false">Z219</f>
        <v>0.16</v>
      </c>
      <c r="DE219" s="181" t="n">
        <f aca="false">AA219</f>
        <v>0.2</v>
      </c>
      <c r="DF219" s="181" t="n">
        <f aca="false">AB219</f>
        <v>0.24</v>
      </c>
      <c r="DH219" s="180" t="n">
        <f aca="false">BH219</f>
        <v>43132</v>
      </c>
      <c r="DI219" s="135" t="n">
        <f aca="false">BI219</f>
        <v>0.75</v>
      </c>
      <c r="DL219" s="180" t="n">
        <f aca="false">M219</f>
        <v>43132</v>
      </c>
      <c r="DM219" s="181" t="n">
        <f aca="false">AL219</f>
        <v>0.12</v>
      </c>
      <c r="DN219" s="181" t="n">
        <f aca="false">AM219</f>
        <v>0.15</v>
      </c>
      <c r="DO219" s="181" t="n">
        <f aca="false">AN219</f>
        <v>0.18</v>
      </c>
      <c r="DQ219" s="181" t="n">
        <f aca="false">AD219</f>
        <v>0.08</v>
      </c>
      <c r="DR219" s="181" t="n">
        <f aca="false">AE219</f>
        <v>0.1</v>
      </c>
      <c r="DS219" s="181" t="n">
        <f aca="false">AF219</f>
        <v>0.12</v>
      </c>
    </row>
    <row r="220" customFormat="false" ht="12.75" hidden="false" customHeight="false" outlineLevel="0" collapsed="false">
      <c r="A220" s="145" t="n">
        <f aca="false">EOMONTH(A219,0)+1</f>
        <v>52232</v>
      </c>
      <c r="B220" s="135" t="n">
        <f aca="false">'Gas Curves'!C224</f>
        <v>0.0661937270672119</v>
      </c>
      <c r="C220" s="135"/>
      <c r="D220" s="173" t="n">
        <v>42278</v>
      </c>
      <c r="E220" s="174" t="n">
        <v>34.3615688085556</v>
      </c>
      <c r="F220" s="174" t="n">
        <v>35.8615688085556</v>
      </c>
      <c r="G220" s="174" t="n">
        <v>37.3615688085556</v>
      </c>
      <c r="H220" s="159"/>
      <c r="I220" s="174" t="n">
        <v>22.040002822876</v>
      </c>
      <c r="J220" s="174" t="n">
        <v>22.040002822876</v>
      </c>
      <c r="K220" s="174" t="n">
        <v>22.040002822876</v>
      </c>
      <c r="L220" s="141"/>
      <c r="M220" s="142" t="n">
        <v>43160</v>
      </c>
      <c r="N220" s="175" t="n">
        <v>25.5</v>
      </c>
      <c r="O220" s="175" t="n">
        <v>25.5</v>
      </c>
      <c r="P220" s="175" t="n">
        <v>25.5</v>
      </c>
      <c r="Q220" s="62"/>
      <c r="R220" s="175" t="n">
        <v>20</v>
      </c>
      <c r="S220" s="175" t="n">
        <v>20</v>
      </c>
      <c r="T220" s="175" t="n">
        <v>20</v>
      </c>
      <c r="U220" s="62"/>
      <c r="V220" s="175" t="n">
        <v>0</v>
      </c>
      <c r="W220" s="175" t="n">
        <v>0</v>
      </c>
      <c r="X220" s="175" t="n">
        <v>0</v>
      </c>
      <c r="Y220" s="62"/>
      <c r="Z220" s="175" t="n">
        <v>0.16</v>
      </c>
      <c r="AA220" s="175" t="n">
        <v>0.2</v>
      </c>
      <c r="AB220" s="175" t="n">
        <v>0.24</v>
      </c>
      <c r="AC220" s="62"/>
      <c r="AD220" s="175" t="n">
        <v>0.08</v>
      </c>
      <c r="AE220" s="175" t="n">
        <v>0.1</v>
      </c>
      <c r="AF220" s="175" t="n">
        <v>0.12</v>
      </c>
      <c r="AG220" s="62"/>
      <c r="AH220" s="175" t="n">
        <v>0.2</v>
      </c>
      <c r="AI220" s="175" t="n">
        <v>0.25</v>
      </c>
      <c r="AJ220" s="175" t="n">
        <v>0.3</v>
      </c>
      <c r="AK220" s="62"/>
      <c r="AL220" s="175" t="n">
        <v>0.12</v>
      </c>
      <c r="AM220" s="175" t="n">
        <v>0.15</v>
      </c>
      <c r="AN220" s="175" t="n">
        <v>0.18</v>
      </c>
      <c r="AO220" s="62"/>
      <c r="AP220" s="141" t="n">
        <v>68</v>
      </c>
      <c r="AQ220" s="176" t="n">
        <v>0.4</v>
      </c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142" t="n">
        <v>43160</v>
      </c>
      <c r="BI220" s="178" t="n">
        <v>0.75</v>
      </c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0"/>
      <c r="CP220" s="0"/>
      <c r="CQ220" s="0"/>
      <c r="CR220" s="0"/>
      <c r="CS220" s="0"/>
      <c r="CT220" s="0"/>
      <c r="CY220" s="180" t="n">
        <f aca="false">M220</f>
        <v>43160</v>
      </c>
      <c r="CZ220" s="181" t="n">
        <f aca="false">AH220</f>
        <v>0.2</v>
      </c>
      <c r="DA220" s="181" t="n">
        <f aca="false">AI220</f>
        <v>0.25</v>
      </c>
      <c r="DB220" s="181" t="n">
        <f aca="false">AJ220</f>
        <v>0.3</v>
      </c>
      <c r="DD220" s="181" t="n">
        <f aca="false">Z220</f>
        <v>0.16</v>
      </c>
      <c r="DE220" s="181" t="n">
        <f aca="false">AA220</f>
        <v>0.2</v>
      </c>
      <c r="DF220" s="181" t="n">
        <f aca="false">AB220</f>
        <v>0.24</v>
      </c>
      <c r="DH220" s="180" t="n">
        <f aca="false">BH220</f>
        <v>43160</v>
      </c>
      <c r="DI220" s="135" t="n">
        <f aca="false">BI220</f>
        <v>0.75</v>
      </c>
      <c r="DL220" s="180" t="n">
        <f aca="false">M220</f>
        <v>43160</v>
      </c>
      <c r="DM220" s="181" t="n">
        <f aca="false">AL220</f>
        <v>0.12</v>
      </c>
      <c r="DN220" s="181" t="n">
        <f aca="false">AM220</f>
        <v>0.15</v>
      </c>
      <c r="DO220" s="181" t="n">
        <f aca="false">AN220</f>
        <v>0.18</v>
      </c>
      <c r="DQ220" s="181" t="n">
        <f aca="false">AD220</f>
        <v>0.08</v>
      </c>
      <c r="DR220" s="181" t="n">
        <f aca="false">AE220</f>
        <v>0.1</v>
      </c>
      <c r="DS220" s="181" t="n">
        <f aca="false">AF220</f>
        <v>0.12</v>
      </c>
    </row>
    <row r="221" customFormat="false" ht="12.75" hidden="false" customHeight="false" outlineLevel="0" collapsed="false">
      <c r="A221" s="145" t="n">
        <f aca="false">EOMONTH(A220,0)+1</f>
        <v>52263</v>
      </c>
      <c r="B221" s="135" t="n">
        <f aca="false">'Gas Curves'!C225</f>
        <v>0.0662319509659608</v>
      </c>
      <c r="C221" s="135"/>
      <c r="D221" s="173" t="n">
        <v>42309</v>
      </c>
      <c r="E221" s="174" t="n">
        <v>34.4615672826767</v>
      </c>
      <c r="F221" s="174" t="n">
        <v>35.9615672826767</v>
      </c>
      <c r="G221" s="174" t="n">
        <v>37.4615672826767</v>
      </c>
      <c r="H221" s="159"/>
      <c r="I221" s="174" t="n">
        <v>23.0400009155273</v>
      </c>
      <c r="J221" s="174" t="n">
        <v>23.0400009155273</v>
      </c>
      <c r="K221" s="174" t="n">
        <v>23.0400009155273</v>
      </c>
      <c r="L221" s="141"/>
      <c r="M221" s="142" t="n">
        <v>43191</v>
      </c>
      <c r="N221" s="175" t="n">
        <v>22</v>
      </c>
      <c r="O221" s="175" t="n">
        <v>22</v>
      </c>
      <c r="P221" s="175" t="n">
        <v>22</v>
      </c>
      <c r="Q221" s="62"/>
      <c r="R221" s="175" t="n">
        <v>16.4950008392334</v>
      </c>
      <c r="S221" s="175" t="n">
        <v>16.4950008392334</v>
      </c>
      <c r="T221" s="175" t="n">
        <v>16.4950008392334</v>
      </c>
      <c r="U221" s="62"/>
      <c r="V221" s="175" t="n">
        <v>0</v>
      </c>
      <c r="W221" s="175" t="n">
        <v>0</v>
      </c>
      <c r="X221" s="175" t="n">
        <v>0</v>
      </c>
      <c r="Y221" s="62"/>
      <c r="Z221" s="175" t="n">
        <v>0.16</v>
      </c>
      <c r="AA221" s="175" t="n">
        <v>0.2</v>
      </c>
      <c r="AB221" s="175" t="n">
        <v>0.24</v>
      </c>
      <c r="AC221" s="62"/>
      <c r="AD221" s="175" t="n">
        <v>0.08</v>
      </c>
      <c r="AE221" s="175" t="n">
        <v>0.1</v>
      </c>
      <c r="AF221" s="175" t="n">
        <v>0.12</v>
      </c>
      <c r="AG221" s="62"/>
      <c r="AH221" s="175" t="n">
        <v>0.2</v>
      </c>
      <c r="AI221" s="175" t="n">
        <v>0.25</v>
      </c>
      <c r="AJ221" s="175" t="n">
        <v>0.3</v>
      </c>
      <c r="AK221" s="62"/>
      <c r="AL221" s="175" t="n">
        <v>0.12</v>
      </c>
      <c r="AM221" s="175" t="n">
        <v>0.15</v>
      </c>
      <c r="AN221" s="175" t="n">
        <v>0.18</v>
      </c>
      <c r="AO221" s="62"/>
      <c r="AP221" s="141" t="n">
        <v>68</v>
      </c>
      <c r="AQ221" s="176" t="n">
        <v>0.4</v>
      </c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142" t="n">
        <v>43191</v>
      </c>
      <c r="BI221" s="178" t="n">
        <v>0.75</v>
      </c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0"/>
      <c r="CP221" s="0"/>
      <c r="CQ221" s="0"/>
      <c r="CR221" s="0"/>
      <c r="CS221" s="0"/>
      <c r="CT221" s="0"/>
      <c r="CY221" s="180" t="n">
        <f aca="false">M221</f>
        <v>43191</v>
      </c>
      <c r="CZ221" s="181" t="n">
        <f aca="false">AH221</f>
        <v>0.2</v>
      </c>
      <c r="DA221" s="181" t="n">
        <f aca="false">AI221</f>
        <v>0.25</v>
      </c>
      <c r="DB221" s="181" t="n">
        <f aca="false">AJ221</f>
        <v>0.3</v>
      </c>
      <c r="DD221" s="181" t="n">
        <f aca="false">Z221</f>
        <v>0.16</v>
      </c>
      <c r="DE221" s="181" t="n">
        <f aca="false">AA221</f>
        <v>0.2</v>
      </c>
      <c r="DF221" s="181" t="n">
        <f aca="false">AB221</f>
        <v>0.24</v>
      </c>
      <c r="DH221" s="180" t="n">
        <f aca="false">BH221</f>
        <v>43191</v>
      </c>
      <c r="DI221" s="135" t="n">
        <f aca="false">BI221</f>
        <v>0.75</v>
      </c>
      <c r="DL221" s="180" t="n">
        <f aca="false">M221</f>
        <v>43191</v>
      </c>
      <c r="DM221" s="181" t="n">
        <f aca="false">AL221</f>
        <v>0.12</v>
      </c>
      <c r="DN221" s="181" t="n">
        <f aca="false">AM221</f>
        <v>0.15</v>
      </c>
      <c r="DO221" s="181" t="n">
        <f aca="false">AN221</f>
        <v>0.18</v>
      </c>
      <c r="DQ221" s="181" t="n">
        <f aca="false">AD221</f>
        <v>0.08</v>
      </c>
      <c r="DR221" s="181" t="n">
        <f aca="false">AE221</f>
        <v>0.1</v>
      </c>
      <c r="DS221" s="181" t="n">
        <f aca="false">AF221</f>
        <v>0.12</v>
      </c>
    </row>
    <row r="222" customFormat="false" ht="12.75" hidden="false" customHeight="false" outlineLevel="0" collapsed="false">
      <c r="A222" s="145" t="n">
        <f aca="false">EOMONTH(A221,0)+1</f>
        <v>52291</v>
      </c>
      <c r="B222" s="135" t="n">
        <f aca="false">'Gas Curves'!C226</f>
        <v>0.0662689418361784</v>
      </c>
      <c r="C222" s="135"/>
      <c r="D222" s="173" t="n">
        <v>42339</v>
      </c>
      <c r="E222" s="174" t="n">
        <v>34.5615657567978</v>
      </c>
      <c r="F222" s="174" t="n">
        <v>36.0615657567978</v>
      </c>
      <c r="G222" s="174" t="n">
        <v>37.5615657567978</v>
      </c>
      <c r="H222" s="159"/>
      <c r="I222" s="174" t="n">
        <v>25.2900009155273</v>
      </c>
      <c r="J222" s="174" t="n">
        <v>25.2900009155273</v>
      </c>
      <c r="K222" s="174" t="n">
        <v>25.2900009155273</v>
      </c>
      <c r="L222" s="141"/>
      <c r="M222" s="142" t="n">
        <v>43221</v>
      </c>
      <c r="N222" s="175" t="n">
        <v>22.2900009155273</v>
      </c>
      <c r="O222" s="175" t="n">
        <v>22.2900009155273</v>
      </c>
      <c r="P222" s="175" t="n">
        <v>22.2900009155273</v>
      </c>
      <c r="Q222" s="62"/>
      <c r="R222" s="175" t="n">
        <v>15.7950000762939</v>
      </c>
      <c r="S222" s="175" t="n">
        <v>15.7950000762939</v>
      </c>
      <c r="T222" s="175" t="n">
        <v>15.7950000762939</v>
      </c>
      <c r="U222" s="62"/>
      <c r="V222" s="175" t="n">
        <v>0</v>
      </c>
      <c r="W222" s="175" t="n">
        <v>0</v>
      </c>
      <c r="X222" s="175" t="n">
        <v>0</v>
      </c>
      <c r="Y222" s="62"/>
      <c r="Z222" s="175" t="n">
        <v>0.16</v>
      </c>
      <c r="AA222" s="175" t="n">
        <v>0.2</v>
      </c>
      <c r="AB222" s="175" t="n">
        <v>0.24</v>
      </c>
      <c r="AC222" s="62"/>
      <c r="AD222" s="175" t="n">
        <v>0.08</v>
      </c>
      <c r="AE222" s="175" t="n">
        <v>0.1</v>
      </c>
      <c r="AF222" s="175" t="n">
        <v>0.12</v>
      </c>
      <c r="AG222" s="62"/>
      <c r="AH222" s="175" t="n">
        <v>0.2</v>
      </c>
      <c r="AI222" s="175" t="n">
        <v>0.25</v>
      </c>
      <c r="AJ222" s="175" t="n">
        <v>0.3</v>
      </c>
      <c r="AK222" s="62"/>
      <c r="AL222" s="175" t="n">
        <v>0.12</v>
      </c>
      <c r="AM222" s="175" t="n">
        <v>0.15</v>
      </c>
      <c r="AN222" s="175" t="n">
        <v>0.18</v>
      </c>
      <c r="AO222" s="62"/>
      <c r="AP222" s="141" t="n">
        <v>68</v>
      </c>
      <c r="AQ222" s="176" t="n">
        <v>0.4</v>
      </c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142" t="n">
        <v>43221</v>
      </c>
      <c r="BI222" s="178" t="n">
        <v>0.75</v>
      </c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0"/>
      <c r="CP222" s="0"/>
      <c r="CQ222" s="0"/>
      <c r="CR222" s="0"/>
      <c r="CS222" s="0"/>
      <c r="CT222" s="0"/>
      <c r="CY222" s="180" t="n">
        <f aca="false">M222</f>
        <v>43221</v>
      </c>
      <c r="CZ222" s="181" t="n">
        <f aca="false">AH222</f>
        <v>0.2</v>
      </c>
      <c r="DA222" s="181" t="n">
        <f aca="false">AI222</f>
        <v>0.25</v>
      </c>
      <c r="DB222" s="181" t="n">
        <f aca="false">AJ222</f>
        <v>0.3</v>
      </c>
      <c r="DD222" s="181" t="n">
        <f aca="false">Z222</f>
        <v>0.16</v>
      </c>
      <c r="DE222" s="181" t="n">
        <f aca="false">AA222</f>
        <v>0.2</v>
      </c>
      <c r="DF222" s="181" t="n">
        <f aca="false">AB222</f>
        <v>0.24</v>
      </c>
      <c r="DH222" s="180" t="n">
        <f aca="false">BH222</f>
        <v>43221</v>
      </c>
      <c r="DI222" s="135" t="n">
        <f aca="false">BI222</f>
        <v>0.75</v>
      </c>
      <c r="DL222" s="180" t="n">
        <f aca="false">M222</f>
        <v>43221</v>
      </c>
      <c r="DM222" s="181" t="n">
        <f aca="false">AL222</f>
        <v>0.12</v>
      </c>
      <c r="DN222" s="181" t="n">
        <f aca="false">AM222</f>
        <v>0.15</v>
      </c>
      <c r="DO222" s="181" t="n">
        <f aca="false">AN222</f>
        <v>0.18</v>
      </c>
      <c r="DQ222" s="181" t="n">
        <f aca="false">AD222</f>
        <v>0.08</v>
      </c>
      <c r="DR222" s="181" t="n">
        <f aca="false">AE222</f>
        <v>0.1</v>
      </c>
      <c r="DS222" s="181" t="n">
        <f aca="false">AF222</f>
        <v>0.12</v>
      </c>
    </row>
    <row r="223" customFormat="false" ht="12.75" hidden="false" customHeight="false" outlineLevel="0" collapsed="false">
      <c r="A223" s="145" t="n">
        <f aca="false">EOMONTH(A222,0)+1</f>
        <v>52322</v>
      </c>
      <c r="B223" s="135" t="n">
        <f aca="false">'Gas Curves'!C227</f>
        <v>0.0663071657358802</v>
      </c>
      <c r="C223" s="135"/>
      <c r="D223" s="173" t="n">
        <v>42370</v>
      </c>
      <c r="E223" s="174" t="n">
        <v>37.9957144601004</v>
      </c>
      <c r="F223" s="174" t="n">
        <v>39.4957144601004</v>
      </c>
      <c r="G223" s="174" t="n">
        <v>40.9957144601004</v>
      </c>
      <c r="H223" s="159"/>
      <c r="I223" s="174" t="n">
        <v>27.5</v>
      </c>
      <c r="J223" s="174" t="n">
        <v>27.5</v>
      </c>
      <c r="K223" s="174" t="n">
        <v>27.5</v>
      </c>
      <c r="L223" s="141"/>
      <c r="M223" s="142" t="n">
        <v>43252</v>
      </c>
      <c r="N223" s="175" t="n">
        <v>29.2900009155273</v>
      </c>
      <c r="O223" s="175" t="n">
        <v>29.2900009155273</v>
      </c>
      <c r="P223" s="175" t="n">
        <v>29.2900009155273</v>
      </c>
      <c r="Q223" s="62"/>
      <c r="R223" s="175" t="n">
        <v>19.7900009155273</v>
      </c>
      <c r="S223" s="175" t="n">
        <v>19.7900009155273</v>
      </c>
      <c r="T223" s="175" t="n">
        <v>19.7900009155273</v>
      </c>
      <c r="U223" s="62"/>
      <c r="V223" s="175" t="n">
        <v>0</v>
      </c>
      <c r="W223" s="175" t="n">
        <v>0</v>
      </c>
      <c r="X223" s="175" t="n">
        <v>0</v>
      </c>
      <c r="Y223" s="62"/>
      <c r="Z223" s="175" t="n">
        <v>0.16</v>
      </c>
      <c r="AA223" s="175" t="n">
        <v>0.2</v>
      </c>
      <c r="AB223" s="175" t="n">
        <v>0.24</v>
      </c>
      <c r="AC223" s="62"/>
      <c r="AD223" s="175" t="n">
        <v>0.08</v>
      </c>
      <c r="AE223" s="175" t="n">
        <v>0.1</v>
      </c>
      <c r="AF223" s="175" t="n">
        <v>0.12</v>
      </c>
      <c r="AG223" s="62"/>
      <c r="AH223" s="175" t="n">
        <v>0.2</v>
      </c>
      <c r="AI223" s="175" t="n">
        <v>0.25</v>
      </c>
      <c r="AJ223" s="175" t="n">
        <v>0.3</v>
      </c>
      <c r="AK223" s="62"/>
      <c r="AL223" s="175" t="n">
        <v>0.12</v>
      </c>
      <c r="AM223" s="175" t="n">
        <v>0.15</v>
      </c>
      <c r="AN223" s="175" t="n">
        <v>0.18</v>
      </c>
      <c r="AO223" s="62"/>
      <c r="AP223" s="141" t="n">
        <v>69</v>
      </c>
      <c r="AQ223" s="176" t="n">
        <v>0.4</v>
      </c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142" t="n">
        <v>43252</v>
      </c>
      <c r="BI223" s="178" t="n">
        <v>0.75</v>
      </c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0"/>
      <c r="CP223" s="0"/>
      <c r="CQ223" s="0"/>
      <c r="CR223" s="0"/>
      <c r="CS223" s="0"/>
      <c r="CT223" s="0"/>
      <c r="CY223" s="180" t="n">
        <f aca="false">M223</f>
        <v>43252</v>
      </c>
      <c r="CZ223" s="181" t="n">
        <f aca="false">AH223</f>
        <v>0.2</v>
      </c>
      <c r="DA223" s="181" t="n">
        <f aca="false">AI223</f>
        <v>0.25</v>
      </c>
      <c r="DB223" s="181" t="n">
        <f aca="false">AJ223</f>
        <v>0.3</v>
      </c>
      <c r="DD223" s="181" t="n">
        <f aca="false">Z223</f>
        <v>0.16</v>
      </c>
      <c r="DE223" s="181" t="n">
        <f aca="false">AA223</f>
        <v>0.2</v>
      </c>
      <c r="DF223" s="181" t="n">
        <f aca="false">AB223</f>
        <v>0.24</v>
      </c>
      <c r="DH223" s="180" t="n">
        <f aca="false">BH223</f>
        <v>43252</v>
      </c>
      <c r="DI223" s="135" t="n">
        <f aca="false">BI223</f>
        <v>0.75</v>
      </c>
      <c r="DL223" s="180" t="n">
        <f aca="false">M223</f>
        <v>43252</v>
      </c>
      <c r="DM223" s="181" t="n">
        <f aca="false">AL223</f>
        <v>0.12</v>
      </c>
      <c r="DN223" s="181" t="n">
        <f aca="false">AM223</f>
        <v>0.15</v>
      </c>
      <c r="DO223" s="181" t="n">
        <f aca="false">AN223</f>
        <v>0.18</v>
      </c>
      <c r="DQ223" s="181" t="n">
        <f aca="false">AD223</f>
        <v>0.08</v>
      </c>
      <c r="DR223" s="181" t="n">
        <f aca="false">AE223</f>
        <v>0.1</v>
      </c>
      <c r="DS223" s="181" t="n">
        <f aca="false">AF223</f>
        <v>0.12</v>
      </c>
    </row>
    <row r="224" customFormat="false" ht="12.75" hidden="false" customHeight="false" outlineLevel="0" collapsed="false">
      <c r="A224" s="145" t="n">
        <f aca="false">EOMONTH(A223,0)+1</f>
        <v>52352</v>
      </c>
      <c r="B224" s="135" t="n">
        <f aca="false">'Gas Curves'!C228</f>
        <v>0.0663441566070198</v>
      </c>
      <c r="C224" s="135"/>
      <c r="D224" s="173" t="n">
        <v>42401</v>
      </c>
      <c r="E224" s="174" t="n">
        <v>37.3957121712821</v>
      </c>
      <c r="F224" s="174" t="n">
        <v>38.8957121712821</v>
      </c>
      <c r="G224" s="174" t="n">
        <v>40.3957121712821</v>
      </c>
      <c r="H224" s="159"/>
      <c r="I224" s="174" t="n">
        <v>26</v>
      </c>
      <c r="J224" s="174" t="n">
        <v>26</v>
      </c>
      <c r="K224" s="174" t="n">
        <v>26</v>
      </c>
      <c r="L224" s="141"/>
      <c r="M224" s="142" t="n">
        <v>43282</v>
      </c>
      <c r="N224" s="175" t="n">
        <v>35.2900009155273</v>
      </c>
      <c r="O224" s="175" t="n">
        <v>35.2900009155273</v>
      </c>
      <c r="P224" s="175" t="n">
        <v>35.2900009155273</v>
      </c>
      <c r="Q224" s="62"/>
      <c r="R224" s="175" t="n">
        <v>25.7900009155273</v>
      </c>
      <c r="S224" s="175" t="n">
        <v>25.7900009155273</v>
      </c>
      <c r="T224" s="175" t="n">
        <v>25.7900009155273</v>
      </c>
      <c r="U224" s="62"/>
      <c r="V224" s="175" t="n">
        <v>0</v>
      </c>
      <c r="W224" s="175" t="n">
        <v>0</v>
      </c>
      <c r="X224" s="175" t="n">
        <v>0</v>
      </c>
      <c r="Y224" s="62"/>
      <c r="Z224" s="175" t="n">
        <v>0.24</v>
      </c>
      <c r="AA224" s="175" t="n">
        <v>0.3</v>
      </c>
      <c r="AB224" s="175" t="n">
        <v>0.36</v>
      </c>
      <c r="AC224" s="62"/>
      <c r="AD224" s="175" t="n">
        <v>0.12</v>
      </c>
      <c r="AE224" s="175" t="n">
        <v>0.15</v>
      </c>
      <c r="AF224" s="175" t="n">
        <v>0.18</v>
      </c>
      <c r="AG224" s="62"/>
      <c r="AH224" s="175" t="n">
        <v>0.32</v>
      </c>
      <c r="AI224" s="175" t="n">
        <v>0.4</v>
      </c>
      <c r="AJ224" s="175" t="n">
        <v>0.48</v>
      </c>
      <c r="AK224" s="62"/>
      <c r="AL224" s="175" t="n">
        <v>0.192</v>
      </c>
      <c r="AM224" s="175" t="n">
        <v>0.24</v>
      </c>
      <c r="AN224" s="175" t="n">
        <v>0.288</v>
      </c>
      <c r="AO224" s="62"/>
      <c r="AP224" s="141" t="n">
        <v>69</v>
      </c>
      <c r="AQ224" s="176" t="n">
        <v>0.4</v>
      </c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142" t="n">
        <v>43282</v>
      </c>
      <c r="BI224" s="178" t="n">
        <v>0.75</v>
      </c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0"/>
      <c r="CP224" s="0"/>
      <c r="CQ224" s="0"/>
      <c r="CR224" s="0"/>
      <c r="CS224" s="0"/>
      <c r="CT224" s="0"/>
      <c r="CY224" s="180" t="n">
        <f aca="false">M224</f>
        <v>43282</v>
      </c>
      <c r="CZ224" s="181" t="n">
        <f aca="false">AH224</f>
        <v>0.32</v>
      </c>
      <c r="DA224" s="181" t="n">
        <f aca="false">AI224</f>
        <v>0.4</v>
      </c>
      <c r="DB224" s="181" t="n">
        <f aca="false">AJ224</f>
        <v>0.48</v>
      </c>
      <c r="DD224" s="181" t="n">
        <f aca="false">Z224</f>
        <v>0.24</v>
      </c>
      <c r="DE224" s="181" t="n">
        <f aca="false">AA224</f>
        <v>0.3</v>
      </c>
      <c r="DF224" s="181" t="n">
        <f aca="false">AB224</f>
        <v>0.36</v>
      </c>
      <c r="DH224" s="180" t="n">
        <f aca="false">BH224</f>
        <v>43282</v>
      </c>
      <c r="DI224" s="135" t="n">
        <f aca="false">BI224</f>
        <v>0.75</v>
      </c>
      <c r="DL224" s="180" t="n">
        <f aca="false">M224</f>
        <v>43282</v>
      </c>
      <c r="DM224" s="181" t="n">
        <f aca="false">AL224</f>
        <v>0.192</v>
      </c>
      <c r="DN224" s="181" t="n">
        <f aca="false">AM224</f>
        <v>0.24</v>
      </c>
      <c r="DO224" s="181" t="n">
        <f aca="false">AN224</f>
        <v>0.288</v>
      </c>
      <c r="DQ224" s="181" t="n">
        <f aca="false">AD224</f>
        <v>0.12</v>
      </c>
      <c r="DR224" s="181" t="n">
        <f aca="false">AE224</f>
        <v>0.15</v>
      </c>
      <c r="DS224" s="181" t="n">
        <f aca="false">AF224</f>
        <v>0.18</v>
      </c>
    </row>
    <row r="225" customFormat="false" ht="12.75" hidden="false" customHeight="false" outlineLevel="0" collapsed="false">
      <c r="A225" s="145" t="n">
        <f aca="false">EOMONTH(A224,0)+1</f>
        <v>52383</v>
      </c>
      <c r="B225" s="135" t="n">
        <f aca="false">'Gas Curves'!C229</f>
        <v>0.0663823805076738</v>
      </c>
      <c r="C225" s="135"/>
      <c r="D225" s="173" t="n">
        <v>42430</v>
      </c>
      <c r="E225" s="174" t="n">
        <v>36.1076808308446</v>
      </c>
      <c r="F225" s="174" t="n">
        <v>37.6076808308446</v>
      </c>
      <c r="G225" s="174" t="n">
        <v>39.1076808308446</v>
      </c>
      <c r="H225" s="159"/>
      <c r="I225" s="174" t="n">
        <v>27</v>
      </c>
      <c r="J225" s="174" t="n">
        <v>27</v>
      </c>
      <c r="K225" s="174" t="n">
        <v>27</v>
      </c>
      <c r="L225" s="141"/>
      <c r="M225" s="142" t="n">
        <v>43313</v>
      </c>
      <c r="N225" s="175" t="n">
        <v>33.2900047302246</v>
      </c>
      <c r="O225" s="175" t="n">
        <v>33.2900047302246</v>
      </c>
      <c r="P225" s="175" t="n">
        <v>33.2900047302246</v>
      </c>
      <c r="Q225" s="62"/>
      <c r="R225" s="175" t="n">
        <v>25.7900009155273</v>
      </c>
      <c r="S225" s="175" t="n">
        <v>25.7900009155273</v>
      </c>
      <c r="T225" s="175" t="n">
        <v>25.7900009155273</v>
      </c>
      <c r="U225" s="62"/>
      <c r="V225" s="175" t="n">
        <v>0</v>
      </c>
      <c r="W225" s="175" t="n">
        <v>0</v>
      </c>
      <c r="X225" s="175" t="n">
        <v>0</v>
      </c>
      <c r="Y225" s="62"/>
      <c r="Z225" s="175" t="n">
        <v>0.24</v>
      </c>
      <c r="AA225" s="175" t="n">
        <v>0.3</v>
      </c>
      <c r="AB225" s="175" t="n">
        <v>0.36</v>
      </c>
      <c r="AC225" s="62"/>
      <c r="AD225" s="175" t="n">
        <v>0.12</v>
      </c>
      <c r="AE225" s="175" t="n">
        <v>0.15</v>
      </c>
      <c r="AF225" s="175" t="n">
        <v>0.18</v>
      </c>
      <c r="AG225" s="62"/>
      <c r="AH225" s="175" t="n">
        <v>0.32</v>
      </c>
      <c r="AI225" s="175" t="n">
        <v>0.4</v>
      </c>
      <c r="AJ225" s="175" t="n">
        <v>0.48</v>
      </c>
      <c r="AK225" s="62"/>
      <c r="AL225" s="175" t="n">
        <v>0.192</v>
      </c>
      <c r="AM225" s="175" t="n">
        <v>0.24</v>
      </c>
      <c r="AN225" s="175" t="n">
        <v>0.288</v>
      </c>
      <c r="AO225" s="62"/>
      <c r="AP225" s="141" t="n">
        <v>69</v>
      </c>
      <c r="AQ225" s="176" t="n">
        <v>0.4</v>
      </c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142" t="n">
        <v>43313</v>
      </c>
      <c r="BI225" s="178" t="n">
        <v>0.75</v>
      </c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0"/>
      <c r="CP225" s="0"/>
      <c r="CQ225" s="0"/>
      <c r="CR225" s="0"/>
      <c r="CS225" s="0"/>
      <c r="CT225" s="0"/>
      <c r="CY225" s="180" t="n">
        <f aca="false">M225</f>
        <v>43313</v>
      </c>
      <c r="CZ225" s="181" t="n">
        <f aca="false">AH225</f>
        <v>0.32</v>
      </c>
      <c r="DA225" s="181" t="n">
        <f aca="false">AI225</f>
        <v>0.4</v>
      </c>
      <c r="DB225" s="181" t="n">
        <f aca="false">AJ225</f>
        <v>0.48</v>
      </c>
      <c r="DD225" s="181" t="n">
        <f aca="false">Z225</f>
        <v>0.24</v>
      </c>
      <c r="DE225" s="181" t="n">
        <f aca="false">AA225</f>
        <v>0.3</v>
      </c>
      <c r="DF225" s="181" t="n">
        <f aca="false">AB225</f>
        <v>0.36</v>
      </c>
      <c r="DH225" s="180" t="n">
        <f aca="false">BH225</f>
        <v>43313</v>
      </c>
      <c r="DI225" s="135" t="n">
        <f aca="false">BI225</f>
        <v>0.75</v>
      </c>
      <c r="DL225" s="180" t="n">
        <f aca="false">M225</f>
        <v>43313</v>
      </c>
      <c r="DM225" s="181" t="n">
        <f aca="false">AL225</f>
        <v>0.192</v>
      </c>
      <c r="DN225" s="181" t="n">
        <f aca="false">AM225</f>
        <v>0.24</v>
      </c>
      <c r="DO225" s="181" t="n">
        <f aca="false">AN225</f>
        <v>0.288</v>
      </c>
      <c r="DQ225" s="181" t="n">
        <f aca="false">AD225</f>
        <v>0.12</v>
      </c>
      <c r="DR225" s="181" t="n">
        <f aca="false">AE225</f>
        <v>0.15</v>
      </c>
      <c r="DS225" s="181" t="n">
        <f aca="false">AF225</f>
        <v>0.18</v>
      </c>
    </row>
    <row r="226" customFormat="false" ht="12.75" hidden="false" customHeight="false" outlineLevel="0" collapsed="false">
      <c r="A226" s="145" t="n">
        <f aca="false">EOMONTH(A225,0)+1</f>
        <v>52413</v>
      </c>
      <c r="B226" s="135" t="n">
        <f aca="false">'Gas Curves'!C230</f>
        <v>0.0664206044088109</v>
      </c>
      <c r="C226" s="135"/>
      <c r="D226" s="173" t="n">
        <v>42461</v>
      </c>
      <c r="E226" s="174" t="n">
        <v>36.3076815937841</v>
      </c>
      <c r="F226" s="174" t="n">
        <v>37.8076815937841</v>
      </c>
      <c r="G226" s="174" t="n">
        <v>39.3076815937841</v>
      </c>
      <c r="H226" s="159"/>
      <c r="I226" s="174" t="n">
        <v>24</v>
      </c>
      <c r="J226" s="174" t="n">
        <v>24</v>
      </c>
      <c r="K226" s="174" t="n">
        <v>24</v>
      </c>
      <c r="L226" s="141"/>
      <c r="M226" s="142" t="n">
        <v>43344</v>
      </c>
      <c r="N226" s="175" t="n">
        <v>25.2900009155273</v>
      </c>
      <c r="O226" s="175" t="n">
        <v>25.2900009155273</v>
      </c>
      <c r="P226" s="175" t="n">
        <v>25.2900009155273</v>
      </c>
      <c r="Q226" s="62"/>
      <c r="R226" s="175" t="n">
        <v>19.7900009155273</v>
      </c>
      <c r="S226" s="175" t="n">
        <v>19.7900009155273</v>
      </c>
      <c r="T226" s="175" t="n">
        <v>19.7900009155273</v>
      </c>
      <c r="U226" s="62"/>
      <c r="V226" s="175" t="n">
        <v>0</v>
      </c>
      <c r="W226" s="175" t="n">
        <v>0</v>
      </c>
      <c r="X226" s="175" t="n">
        <v>0</v>
      </c>
      <c r="Y226" s="62"/>
      <c r="Z226" s="175" t="n">
        <v>0.16</v>
      </c>
      <c r="AA226" s="175" t="n">
        <v>0.2</v>
      </c>
      <c r="AB226" s="175" t="n">
        <v>0.24</v>
      </c>
      <c r="AC226" s="62"/>
      <c r="AD226" s="175" t="n">
        <v>0.08</v>
      </c>
      <c r="AE226" s="175" t="n">
        <v>0.1</v>
      </c>
      <c r="AF226" s="175" t="n">
        <v>0.12</v>
      </c>
      <c r="AG226" s="62"/>
      <c r="AH226" s="175" t="n">
        <v>0.2</v>
      </c>
      <c r="AI226" s="175" t="n">
        <v>0.25</v>
      </c>
      <c r="AJ226" s="175" t="n">
        <v>0.3</v>
      </c>
      <c r="AK226" s="62"/>
      <c r="AL226" s="175" t="n">
        <v>0.12</v>
      </c>
      <c r="AM226" s="175" t="n">
        <v>0.15</v>
      </c>
      <c r="AN226" s="175" t="n">
        <v>0.18</v>
      </c>
      <c r="AO226" s="62"/>
      <c r="AP226" s="141" t="n">
        <v>70</v>
      </c>
      <c r="AQ226" s="176" t="n">
        <v>0.4</v>
      </c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142" t="n">
        <v>43344</v>
      </c>
      <c r="BI226" s="178" t="n">
        <v>0.75</v>
      </c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0"/>
      <c r="CP226" s="0"/>
      <c r="CQ226" s="0"/>
      <c r="CR226" s="0"/>
      <c r="CS226" s="0"/>
      <c r="CT226" s="0"/>
      <c r="CY226" s="180" t="n">
        <f aca="false">M226</f>
        <v>43344</v>
      </c>
      <c r="CZ226" s="181" t="n">
        <f aca="false">AH226</f>
        <v>0.2</v>
      </c>
      <c r="DA226" s="181" t="n">
        <f aca="false">AI226</f>
        <v>0.25</v>
      </c>
      <c r="DB226" s="181" t="n">
        <f aca="false">AJ226</f>
        <v>0.3</v>
      </c>
      <c r="DD226" s="181" t="n">
        <f aca="false">Z226</f>
        <v>0.16</v>
      </c>
      <c r="DE226" s="181" t="n">
        <f aca="false">AA226</f>
        <v>0.2</v>
      </c>
      <c r="DF226" s="181" t="n">
        <f aca="false">AB226</f>
        <v>0.24</v>
      </c>
      <c r="DH226" s="180" t="n">
        <f aca="false">BH226</f>
        <v>43344</v>
      </c>
      <c r="DI226" s="135" t="n">
        <f aca="false">BI226</f>
        <v>0.75</v>
      </c>
      <c r="DL226" s="180" t="n">
        <f aca="false">M226</f>
        <v>43344</v>
      </c>
      <c r="DM226" s="181" t="n">
        <f aca="false">AL226</f>
        <v>0.12</v>
      </c>
      <c r="DN226" s="181" t="n">
        <f aca="false">AM226</f>
        <v>0.15</v>
      </c>
      <c r="DO226" s="181" t="n">
        <f aca="false">AN226</f>
        <v>0.18</v>
      </c>
      <c r="DQ226" s="181" t="n">
        <f aca="false">AD226</f>
        <v>0.08</v>
      </c>
      <c r="DR226" s="181" t="n">
        <f aca="false">AE226</f>
        <v>0.1</v>
      </c>
      <c r="DS226" s="181" t="n">
        <f aca="false">AF226</f>
        <v>0.12</v>
      </c>
    </row>
    <row r="227" customFormat="false" ht="12.75" hidden="false" customHeight="false" outlineLevel="0" collapsed="false">
      <c r="A227" s="145" t="n">
        <f aca="false">EOMONTH(A226,0)+1</f>
        <v>52444</v>
      </c>
      <c r="B227" s="135" t="n">
        <f aca="false">'Gas Curves'!C231</f>
        <v>0.0664551292231583</v>
      </c>
      <c r="C227" s="135"/>
      <c r="D227" s="173" t="n">
        <v>42491</v>
      </c>
      <c r="E227" s="174" t="n">
        <v>43.6350028991699</v>
      </c>
      <c r="F227" s="174" t="n">
        <v>46.0850028991699</v>
      </c>
      <c r="G227" s="174" t="n">
        <v>48.5350028991699</v>
      </c>
      <c r="H227" s="159"/>
      <c r="I227" s="174" t="n">
        <v>24.5400009155273</v>
      </c>
      <c r="J227" s="174" t="n">
        <v>24.5400009155273</v>
      </c>
      <c r="K227" s="174" t="n">
        <v>24.5400009155273</v>
      </c>
      <c r="L227" s="141"/>
      <c r="M227" s="142" t="n">
        <v>43374</v>
      </c>
      <c r="N227" s="175" t="n">
        <v>20.2860012054443</v>
      </c>
      <c r="O227" s="175" t="n">
        <v>20.2860012054443</v>
      </c>
      <c r="P227" s="175" t="n">
        <v>20.2860012054443</v>
      </c>
      <c r="Q227" s="62"/>
      <c r="R227" s="175" t="n">
        <v>14.7865009307861</v>
      </c>
      <c r="S227" s="175" t="n">
        <v>14.7865009307861</v>
      </c>
      <c r="T227" s="175" t="n">
        <v>14.7865009307861</v>
      </c>
      <c r="U227" s="62"/>
      <c r="V227" s="175" t="n">
        <v>0</v>
      </c>
      <c r="W227" s="175" t="n">
        <v>0</v>
      </c>
      <c r="X227" s="175" t="n">
        <v>0</v>
      </c>
      <c r="Y227" s="62"/>
      <c r="Z227" s="175" t="n">
        <v>0.16</v>
      </c>
      <c r="AA227" s="175" t="n">
        <v>0.2</v>
      </c>
      <c r="AB227" s="175" t="n">
        <v>0.24</v>
      </c>
      <c r="AC227" s="62"/>
      <c r="AD227" s="175" t="n">
        <v>0.08</v>
      </c>
      <c r="AE227" s="175" t="n">
        <v>0.1</v>
      </c>
      <c r="AF227" s="175" t="n">
        <v>0.12</v>
      </c>
      <c r="AG227" s="62"/>
      <c r="AH227" s="175" t="n">
        <v>0.2</v>
      </c>
      <c r="AI227" s="175" t="n">
        <v>0.25</v>
      </c>
      <c r="AJ227" s="175" t="n">
        <v>0.3</v>
      </c>
      <c r="AK227" s="62"/>
      <c r="AL227" s="175" t="n">
        <v>0.12</v>
      </c>
      <c r="AM227" s="175" t="n">
        <v>0.15</v>
      </c>
      <c r="AN227" s="175" t="n">
        <v>0.18</v>
      </c>
      <c r="AO227" s="62"/>
      <c r="AP227" s="141" t="n">
        <v>70</v>
      </c>
      <c r="AQ227" s="176" t="n">
        <v>0.4</v>
      </c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142" t="n">
        <v>43374</v>
      </c>
      <c r="BI227" s="178" t="n">
        <v>0.75</v>
      </c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0"/>
      <c r="CP227" s="0"/>
      <c r="CQ227" s="0"/>
      <c r="CR227" s="0"/>
      <c r="CS227" s="0"/>
      <c r="CT227" s="0"/>
      <c r="CY227" s="180" t="n">
        <f aca="false">M227</f>
        <v>43374</v>
      </c>
      <c r="CZ227" s="181" t="n">
        <f aca="false">AH227</f>
        <v>0.2</v>
      </c>
      <c r="DA227" s="181" t="n">
        <f aca="false">AI227</f>
        <v>0.25</v>
      </c>
      <c r="DB227" s="181" t="n">
        <f aca="false">AJ227</f>
        <v>0.3</v>
      </c>
      <c r="DD227" s="181" t="n">
        <f aca="false">Z227</f>
        <v>0.16</v>
      </c>
      <c r="DE227" s="181" t="n">
        <f aca="false">AA227</f>
        <v>0.2</v>
      </c>
      <c r="DF227" s="181" t="n">
        <f aca="false">AB227</f>
        <v>0.24</v>
      </c>
      <c r="DH227" s="180" t="n">
        <f aca="false">BH227</f>
        <v>43374</v>
      </c>
      <c r="DI227" s="135" t="n">
        <f aca="false">BI227</f>
        <v>0.75</v>
      </c>
      <c r="DL227" s="180" t="n">
        <f aca="false">M227</f>
        <v>43374</v>
      </c>
      <c r="DM227" s="181" t="n">
        <f aca="false">AL227</f>
        <v>0.12</v>
      </c>
      <c r="DN227" s="181" t="n">
        <f aca="false">AM227</f>
        <v>0.15</v>
      </c>
      <c r="DO227" s="181" t="n">
        <f aca="false">AN227</f>
        <v>0.18</v>
      </c>
      <c r="DQ227" s="181" t="n">
        <f aca="false">AD227</f>
        <v>0.08</v>
      </c>
      <c r="DR227" s="181" t="n">
        <f aca="false">AE227</f>
        <v>0.1</v>
      </c>
      <c r="DS227" s="181" t="n">
        <f aca="false">AF227</f>
        <v>0.12</v>
      </c>
    </row>
    <row r="228" customFormat="false" ht="12.75" hidden="false" customHeight="false" outlineLevel="0" collapsed="false">
      <c r="A228" s="145" t="n">
        <f aca="false">EOMONTH(A227,0)+1</f>
        <v>52475</v>
      </c>
      <c r="B228" s="135" t="n">
        <f aca="false">'Gas Curves'!C232</f>
        <v>0.066493353125217</v>
      </c>
      <c r="C228" s="135"/>
      <c r="D228" s="173" t="n">
        <v>42522</v>
      </c>
      <c r="E228" s="174" t="n">
        <v>54.625</v>
      </c>
      <c r="F228" s="174" t="n">
        <v>59.625</v>
      </c>
      <c r="G228" s="174" t="n">
        <v>64.625</v>
      </c>
      <c r="H228" s="159"/>
      <c r="I228" s="174" t="n">
        <v>27.5400009155273</v>
      </c>
      <c r="J228" s="174" t="n">
        <v>27.5400009155273</v>
      </c>
      <c r="K228" s="174" t="n">
        <v>27.5400009155273</v>
      </c>
      <c r="L228" s="141"/>
      <c r="M228" s="142" t="n">
        <v>43405</v>
      </c>
      <c r="N228" s="175" t="n">
        <v>22.2900009155273</v>
      </c>
      <c r="O228" s="175" t="n">
        <v>22.2900009155273</v>
      </c>
      <c r="P228" s="175" t="n">
        <v>22.2900009155273</v>
      </c>
      <c r="Q228" s="62"/>
      <c r="R228" s="175" t="n">
        <v>14.7900009155273</v>
      </c>
      <c r="S228" s="175" t="n">
        <v>14.7900009155273</v>
      </c>
      <c r="T228" s="175" t="n">
        <v>14.7900009155273</v>
      </c>
      <c r="U228" s="62"/>
      <c r="V228" s="175" t="n">
        <v>0</v>
      </c>
      <c r="W228" s="175" t="n">
        <v>0</v>
      </c>
      <c r="X228" s="175" t="n">
        <v>0</v>
      </c>
      <c r="Y228" s="62"/>
      <c r="Z228" s="175" t="n">
        <v>0.16</v>
      </c>
      <c r="AA228" s="175" t="n">
        <v>0.2</v>
      </c>
      <c r="AB228" s="175" t="n">
        <v>0.24</v>
      </c>
      <c r="AC228" s="62"/>
      <c r="AD228" s="175" t="n">
        <v>0.08</v>
      </c>
      <c r="AE228" s="175" t="n">
        <v>0.1</v>
      </c>
      <c r="AF228" s="175" t="n">
        <v>0.12</v>
      </c>
      <c r="AG228" s="62"/>
      <c r="AH228" s="175" t="n">
        <v>0.2</v>
      </c>
      <c r="AI228" s="175" t="n">
        <v>0.25</v>
      </c>
      <c r="AJ228" s="175" t="n">
        <v>0.3</v>
      </c>
      <c r="AK228" s="62"/>
      <c r="AL228" s="175" t="n">
        <v>0.12</v>
      </c>
      <c r="AM228" s="175" t="n">
        <v>0.15</v>
      </c>
      <c r="AN228" s="175" t="n">
        <v>0.18</v>
      </c>
      <c r="AO228" s="62"/>
      <c r="AP228" s="141" t="n">
        <v>70</v>
      </c>
      <c r="AQ228" s="176" t="n">
        <v>0.4</v>
      </c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142" t="n">
        <v>43405</v>
      </c>
      <c r="BI228" s="178" t="n">
        <v>0.75</v>
      </c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0"/>
      <c r="CP228" s="0"/>
      <c r="CQ228" s="0"/>
      <c r="CR228" s="0"/>
      <c r="CS228" s="0"/>
      <c r="CT228" s="0"/>
      <c r="CY228" s="180" t="n">
        <f aca="false">M228</f>
        <v>43405</v>
      </c>
      <c r="CZ228" s="181" t="n">
        <f aca="false">AH228</f>
        <v>0.2</v>
      </c>
      <c r="DA228" s="181" t="n">
        <f aca="false">AI228</f>
        <v>0.25</v>
      </c>
      <c r="DB228" s="181" t="n">
        <f aca="false">AJ228</f>
        <v>0.3</v>
      </c>
      <c r="DD228" s="181" t="n">
        <f aca="false">Z228</f>
        <v>0.16</v>
      </c>
      <c r="DE228" s="181" t="n">
        <f aca="false">AA228</f>
        <v>0.2</v>
      </c>
      <c r="DF228" s="181" t="n">
        <f aca="false">AB228</f>
        <v>0.24</v>
      </c>
      <c r="DH228" s="180" t="n">
        <f aca="false">BH228</f>
        <v>43405</v>
      </c>
      <c r="DI228" s="135" t="n">
        <f aca="false">BI228</f>
        <v>0.75</v>
      </c>
      <c r="DL228" s="180" t="n">
        <f aca="false">M228</f>
        <v>43405</v>
      </c>
      <c r="DM228" s="181" t="n">
        <f aca="false">AL228</f>
        <v>0.12</v>
      </c>
      <c r="DN228" s="181" t="n">
        <f aca="false">AM228</f>
        <v>0.15</v>
      </c>
      <c r="DO228" s="181" t="n">
        <f aca="false">AN228</f>
        <v>0.18</v>
      </c>
      <c r="DQ228" s="181" t="n">
        <f aca="false">AD228</f>
        <v>0.08</v>
      </c>
      <c r="DR228" s="181" t="n">
        <f aca="false">AE228</f>
        <v>0.1</v>
      </c>
      <c r="DS228" s="181" t="n">
        <f aca="false">AF228</f>
        <v>0.12</v>
      </c>
    </row>
    <row r="229" customFormat="false" ht="12.75" hidden="false" customHeight="false" outlineLevel="0" collapsed="false">
      <c r="A229" s="145" t="n">
        <f aca="false">EOMONTH(A228,0)+1</f>
        <v>52505</v>
      </c>
      <c r="B229" s="135" t="n">
        <f aca="false">'Gas Curves'!C233</f>
        <v>0.0665303439986378</v>
      </c>
      <c r="C229" s="135"/>
      <c r="D229" s="173" t="n">
        <v>42552</v>
      </c>
      <c r="E229" s="174" t="n">
        <v>60.25</v>
      </c>
      <c r="F229" s="174" t="n">
        <v>70.25</v>
      </c>
      <c r="G229" s="174" t="n">
        <v>80.25</v>
      </c>
      <c r="H229" s="159"/>
      <c r="I229" s="174" t="n">
        <v>28.0400009155273</v>
      </c>
      <c r="J229" s="174" t="n">
        <v>28.0400009155273</v>
      </c>
      <c r="K229" s="174" t="n">
        <v>28.0400009155273</v>
      </c>
      <c r="L229" s="141"/>
      <c r="M229" s="142" t="n">
        <v>43435</v>
      </c>
      <c r="N229" s="175" t="n">
        <v>27.2900009155273</v>
      </c>
      <c r="O229" s="175" t="n">
        <v>27.2900009155273</v>
      </c>
      <c r="P229" s="175" t="n">
        <v>27.2900009155273</v>
      </c>
      <c r="Q229" s="62"/>
      <c r="R229" s="175" t="n">
        <v>21.7900009155273</v>
      </c>
      <c r="S229" s="175" t="n">
        <v>21.7900009155273</v>
      </c>
      <c r="T229" s="175" t="n">
        <v>21.7900009155273</v>
      </c>
      <c r="U229" s="62"/>
      <c r="V229" s="175" t="n">
        <v>0</v>
      </c>
      <c r="W229" s="175" t="n">
        <v>0</v>
      </c>
      <c r="X229" s="175" t="n">
        <v>0</v>
      </c>
      <c r="Y229" s="62"/>
      <c r="Z229" s="175" t="n">
        <v>0.16</v>
      </c>
      <c r="AA229" s="175" t="n">
        <v>0.2</v>
      </c>
      <c r="AB229" s="175" t="n">
        <v>0.24</v>
      </c>
      <c r="AC229" s="62"/>
      <c r="AD229" s="175" t="n">
        <v>0.08</v>
      </c>
      <c r="AE229" s="175" t="n">
        <v>0.1</v>
      </c>
      <c r="AF229" s="175" t="n">
        <v>0.12</v>
      </c>
      <c r="AG229" s="62"/>
      <c r="AH229" s="175" t="n">
        <v>0.2</v>
      </c>
      <c r="AI229" s="175" t="n">
        <v>0.25</v>
      </c>
      <c r="AJ229" s="175" t="n">
        <v>0.3</v>
      </c>
      <c r="AK229" s="62"/>
      <c r="AL229" s="175" t="n">
        <v>0.12</v>
      </c>
      <c r="AM229" s="175" t="n">
        <v>0.15</v>
      </c>
      <c r="AN229" s="175" t="n">
        <v>0.18</v>
      </c>
      <c r="AO229" s="62"/>
      <c r="AP229" s="141" t="n">
        <v>71</v>
      </c>
      <c r="AQ229" s="176" t="n">
        <v>0.4</v>
      </c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142" t="n">
        <v>43435</v>
      </c>
      <c r="BI229" s="178" t="n">
        <v>0.75</v>
      </c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0"/>
      <c r="CP229" s="0"/>
      <c r="CQ229" s="0"/>
      <c r="CR229" s="0"/>
      <c r="CS229" s="0"/>
      <c r="CT229" s="0"/>
      <c r="CY229" s="180" t="n">
        <f aca="false">M229</f>
        <v>43435</v>
      </c>
      <c r="CZ229" s="181" t="n">
        <f aca="false">AH229</f>
        <v>0.2</v>
      </c>
      <c r="DA229" s="181" t="n">
        <f aca="false">AI229</f>
        <v>0.25</v>
      </c>
      <c r="DB229" s="181" t="n">
        <f aca="false">AJ229</f>
        <v>0.3</v>
      </c>
      <c r="DD229" s="181" t="n">
        <f aca="false">Z229</f>
        <v>0.16</v>
      </c>
      <c r="DE229" s="181" t="n">
        <f aca="false">AA229</f>
        <v>0.2</v>
      </c>
      <c r="DF229" s="181" t="n">
        <f aca="false">AB229</f>
        <v>0.24</v>
      </c>
      <c r="DH229" s="180" t="n">
        <f aca="false">BH229</f>
        <v>43435</v>
      </c>
      <c r="DI229" s="135" t="n">
        <f aca="false">BI229</f>
        <v>0.75</v>
      </c>
      <c r="DL229" s="180" t="n">
        <f aca="false">M229</f>
        <v>43435</v>
      </c>
      <c r="DM229" s="181" t="n">
        <f aca="false">AL229</f>
        <v>0.12</v>
      </c>
      <c r="DN229" s="181" t="n">
        <f aca="false">AM229</f>
        <v>0.15</v>
      </c>
      <c r="DO229" s="181" t="n">
        <f aca="false">AN229</f>
        <v>0.18</v>
      </c>
      <c r="DQ229" s="181" t="n">
        <f aca="false">AD229</f>
        <v>0.08</v>
      </c>
      <c r="DR229" s="181" t="n">
        <f aca="false">AE229</f>
        <v>0.1</v>
      </c>
      <c r="DS229" s="181" t="n">
        <f aca="false">AF229</f>
        <v>0.12</v>
      </c>
    </row>
    <row r="230" customFormat="false" ht="12.75" hidden="false" customHeight="false" outlineLevel="0" collapsed="false">
      <c r="A230" s="145" t="n">
        <f aca="false">EOMONTH(A229,0)+1</f>
        <v>52536</v>
      </c>
      <c r="B230" s="135" t="n">
        <f aca="false">'Gas Curves'!C234</f>
        <v>0.066568567901649</v>
      </c>
      <c r="C230" s="135"/>
      <c r="D230" s="173" t="n">
        <v>42583</v>
      </c>
      <c r="E230" s="174" t="n">
        <v>60.25</v>
      </c>
      <c r="F230" s="174" t="n">
        <v>70.25</v>
      </c>
      <c r="G230" s="174" t="n">
        <v>80.25</v>
      </c>
      <c r="H230" s="159"/>
      <c r="I230" s="174" t="n">
        <v>29.0400009155273</v>
      </c>
      <c r="J230" s="174" t="n">
        <v>29.0400009155273</v>
      </c>
      <c r="K230" s="174" t="n">
        <v>29.0400009155273</v>
      </c>
      <c r="L230" s="141"/>
      <c r="M230" s="142" t="n">
        <v>43466</v>
      </c>
      <c r="N230" s="175" t="n">
        <v>35.75</v>
      </c>
      <c r="O230" s="175" t="n">
        <v>35.75</v>
      </c>
      <c r="P230" s="175" t="n">
        <v>35.75</v>
      </c>
      <c r="Q230" s="62"/>
      <c r="R230" s="175" t="n">
        <v>25.25</v>
      </c>
      <c r="S230" s="175" t="n">
        <v>25.25</v>
      </c>
      <c r="T230" s="175" t="n">
        <v>25.25</v>
      </c>
      <c r="U230" s="62"/>
      <c r="V230" s="175" t="n">
        <v>0</v>
      </c>
      <c r="W230" s="175" t="n">
        <v>0</v>
      </c>
      <c r="X230" s="175" t="n">
        <v>0</v>
      </c>
      <c r="Y230" s="62"/>
      <c r="Z230" s="175" t="n">
        <v>0.16</v>
      </c>
      <c r="AA230" s="175" t="n">
        <v>0.2</v>
      </c>
      <c r="AB230" s="175" t="n">
        <v>0.24</v>
      </c>
      <c r="AC230" s="62"/>
      <c r="AD230" s="175" t="n">
        <v>0.08</v>
      </c>
      <c r="AE230" s="175" t="n">
        <v>0.1</v>
      </c>
      <c r="AF230" s="175" t="n">
        <v>0.12</v>
      </c>
      <c r="AG230" s="62"/>
      <c r="AH230" s="175" t="n">
        <v>0.2</v>
      </c>
      <c r="AI230" s="175" t="n">
        <v>0.25</v>
      </c>
      <c r="AJ230" s="175" t="n">
        <v>0.3</v>
      </c>
      <c r="AK230" s="62"/>
      <c r="AL230" s="175" t="n">
        <v>0.12</v>
      </c>
      <c r="AM230" s="175" t="n">
        <v>0.15</v>
      </c>
      <c r="AN230" s="175" t="n">
        <v>0.18</v>
      </c>
      <c r="AO230" s="62"/>
      <c r="AP230" s="141" t="n">
        <v>71</v>
      </c>
      <c r="AQ230" s="176" t="n">
        <v>0.4</v>
      </c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142" t="n">
        <v>43466</v>
      </c>
      <c r="BI230" s="178" t="n">
        <v>0.75</v>
      </c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0"/>
      <c r="CP230" s="0"/>
      <c r="CQ230" s="0"/>
      <c r="CR230" s="0"/>
      <c r="CS230" s="0"/>
      <c r="CT230" s="0"/>
      <c r="CY230" s="180" t="n">
        <f aca="false">M230</f>
        <v>43466</v>
      </c>
      <c r="CZ230" s="181" t="n">
        <f aca="false">AH230</f>
        <v>0.2</v>
      </c>
      <c r="DA230" s="181" t="n">
        <f aca="false">AI230</f>
        <v>0.25</v>
      </c>
      <c r="DB230" s="181" t="n">
        <f aca="false">AJ230</f>
        <v>0.3</v>
      </c>
      <c r="DD230" s="181" t="n">
        <f aca="false">Z230</f>
        <v>0.16</v>
      </c>
      <c r="DE230" s="181" t="n">
        <f aca="false">AA230</f>
        <v>0.2</v>
      </c>
      <c r="DF230" s="181" t="n">
        <f aca="false">AB230</f>
        <v>0.24</v>
      </c>
      <c r="DH230" s="180" t="n">
        <f aca="false">BH230</f>
        <v>43466</v>
      </c>
      <c r="DI230" s="135" t="n">
        <f aca="false">BI230</f>
        <v>0.75</v>
      </c>
      <c r="DL230" s="180" t="n">
        <f aca="false">M230</f>
        <v>43466</v>
      </c>
      <c r="DM230" s="181" t="n">
        <f aca="false">AL230</f>
        <v>0.12</v>
      </c>
      <c r="DN230" s="181" t="n">
        <f aca="false">AM230</f>
        <v>0.15</v>
      </c>
      <c r="DO230" s="181" t="n">
        <f aca="false">AN230</f>
        <v>0.18</v>
      </c>
      <c r="DQ230" s="181" t="n">
        <f aca="false">AD230</f>
        <v>0.08</v>
      </c>
      <c r="DR230" s="181" t="n">
        <f aca="false">AE230</f>
        <v>0.1</v>
      </c>
      <c r="DS230" s="181" t="n">
        <f aca="false">AF230</f>
        <v>0.12</v>
      </c>
    </row>
    <row r="231" customFormat="false" ht="12.75" hidden="false" customHeight="false" outlineLevel="0" collapsed="false">
      <c r="A231" s="145" t="n">
        <f aca="false">EOMONTH(A230,0)+1</f>
        <v>52566</v>
      </c>
      <c r="B231" s="135" t="n">
        <f aca="false">'Gas Curves'!C235</f>
        <v>0.0666055587759913</v>
      </c>
      <c r="C231" s="135"/>
      <c r="D231" s="173" t="n">
        <v>42614</v>
      </c>
      <c r="E231" s="174" t="n">
        <v>31.2099990844727</v>
      </c>
      <c r="F231" s="174" t="n">
        <v>32.7099990844727</v>
      </c>
      <c r="G231" s="174" t="n">
        <v>34.2099990844727</v>
      </c>
      <c r="H231" s="159"/>
      <c r="I231" s="174" t="n">
        <v>23.0400009155273</v>
      </c>
      <c r="J231" s="174" t="n">
        <v>23.0400009155273</v>
      </c>
      <c r="K231" s="174" t="n">
        <v>23.0400009155273</v>
      </c>
      <c r="L231" s="141"/>
      <c r="M231" s="142" t="n">
        <v>43497</v>
      </c>
      <c r="N231" s="175" t="n">
        <v>31.2460021972656</v>
      </c>
      <c r="O231" s="175" t="n">
        <v>31.2460021972656</v>
      </c>
      <c r="P231" s="175" t="n">
        <v>31.2460021972656</v>
      </c>
      <c r="Q231" s="62"/>
      <c r="R231" s="175" t="n">
        <v>22.7465019226074</v>
      </c>
      <c r="S231" s="175" t="n">
        <v>22.7465019226074</v>
      </c>
      <c r="T231" s="175" t="n">
        <v>22.7465019226074</v>
      </c>
      <c r="U231" s="62"/>
      <c r="V231" s="175" t="n">
        <v>0</v>
      </c>
      <c r="W231" s="175" t="n">
        <v>0</v>
      </c>
      <c r="X231" s="175" t="n">
        <v>0</v>
      </c>
      <c r="Y231" s="62"/>
      <c r="Z231" s="175" t="n">
        <v>0.16</v>
      </c>
      <c r="AA231" s="175" t="n">
        <v>0.2</v>
      </c>
      <c r="AB231" s="175" t="n">
        <v>0.24</v>
      </c>
      <c r="AC231" s="62"/>
      <c r="AD231" s="175" t="n">
        <v>0.08</v>
      </c>
      <c r="AE231" s="175" t="n">
        <v>0.1</v>
      </c>
      <c r="AF231" s="175" t="n">
        <v>0.12</v>
      </c>
      <c r="AG231" s="62"/>
      <c r="AH231" s="175" t="n">
        <v>0.2</v>
      </c>
      <c r="AI231" s="175" t="n">
        <v>0.25</v>
      </c>
      <c r="AJ231" s="175" t="n">
        <v>0.3</v>
      </c>
      <c r="AK231" s="62"/>
      <c r="AL231" s="175" t="n">
        <v>0.12</v>
      </c>
      <c r="AM231" s="175" t="n">
        <v>0.15</v>
      </c>
      <c r="AN231" s="175" t="n">
        <v>0.18</v>
      </c>
      <c r="AO231" s="62"/>
      <c r="AP231" s="141" t="n">
        <v>71</v>
      </c>
      <c r="AQ231" s="176" t="n">
        <v>0.4</v>
      </c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142" t="n">
        <v>43497</v>
      </c>
      <c r="BI231" s="178" t="n">
        <v>0.75</v>
      </c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0"/>
      <c r="CP231" s="0"/>
      <c r="CQ231" s="0"/>
      <c r="CR231" s="0"/>
      <c r="CS231" s="0"/>
      <c r="CT231" s="0"/>
      <c r="CY231" s="180" t="n">
        <f aca="false">M231</f>
        <v>43497</v>
      </c>
      <c r="CZ231" s="181" t="n">
        <f aca="false">AH231</f>
        <v>0.2</v>
      </c>
      <c r="DA231" s="181" t="n">
        <f aca="false">AI231</f>
        <v>0.25</v>
      </c>
      <c r="DB231" s="181" t="n">
        <f aca="false">AJ231</f>
        <v>0.3</v>
      </c>
      <c r="DD231" s="181" t="n">
        <f aca="false">Z231</f>
        <v>0.16</v>
      </c>
      <c r="DE231" s="181" t="n">
        <f aca="false">AA231</f>
        <v>0.2</v>
      </c>
      <c r="DF231" s="181" t="n">
        <f aca="false">AB231</f>
        <v>0.24</v>
      </c>
      <c r="DH231" s="180" t="n">
        <f aca="false">BH231</f>
        <v>43497</v>
      </c>
      <c r="DI231" s="135" t="n">
        <f aca="false">BI231</f>
        <v>0.75</v>
      </c>
      <c r="DL231" s="180" t="n">
        <f aca="false">M231</f>
        <v>43497</v>
      </c>
      <c r="DM231" s="181" t="n">
        <f aca="false">AL231</f>
        <v>0.12</v>
      </c>
      <c r="DN231" s="181" t="n">
        <f aca="false">AM231</f>
        <v>0.15</v>
      </c>
      <c r="DO231" s="181" t="n">
        <f aca="false">AN231</f>
        <v>0.18</v>
      </c>
      <c r="DQ231" s="181" t="n">
        <f aca="false">AD231</f>
        <v>0.08</v>
      </c>
      <c r="DR231" s="181" t="n">
        <f aca="false">AE231</f>
        <v>0.1</v>
      </c>
      <c r="DS231" s="181" t="n">
        <f aca="false">AF231</f>
        <v>0.12</v>
      </c>
    </row>
    <row r="232" customFormat="false" ht="12.75" hidden="false" customHeight="false" outlineLevel="0" collapsed="false">
      <c r="A232" s="145" t="n">
        <f aca="false">EOMONTH(A231,0)+1</f>
        <v>52597</v>
      </c>
      <c r="B232" s="135" t="n">
        <f aca="false">'Gas Curves'!C236</f>
        <v>0.0666437826799546</v>
      </c>
      <c r="C232" s="135"/>
      <c r="D232" s="173" t="n">
        <v>42644</v>
      </c>
      <c r="E232" s="174" t="n">
        <v>34.8615688085556</v>
      </c>
      <c r="F232" s="174" t="n">
        <v>36.3615688085556</v>
      </c>
      <c r="G232" s="174" t="n">
        <v>37.8615688085556</v>
      </c>
      <c r="H232" s="159"/>
      <c r="I232" s="174" t="n">
        <v>22.540002822876</v>
      </c>
      <c r="J232" s="174" t="n">
        <v>22.540002822876</v>
      </c>
      <c r="K232" s="174" t="n">
        <v>22.540002822876</v>
      </c>
      <c r="L232" s="141"/>
      <c r="M232" s="142" t="n">
        <v>43525</v>
      </c>
      <c r="N232" s="175" t="n">
        <v>25.5</v>
      </c>
      <c r="O232" s="175" t="n">
        <v>25.5</v>
      </c>
      <c r="P232" s="175" t="n">
        <v>25.5</v>
      </c>
      <c r="Q232" s="62"/>
      <c r="R232" s="175" t="n">
        <v>20</v>
      </c>
      <c r="S232" s="175" t="n">
        <v>20</v>
      </c>
      <c r="T232" s="175" t="n">
        <v>20</v>
      </c>
      <c r="U232" s="62"/>
      <c r="V232" s="175" t="n">
        <v>0</v>
      </c>
      <c r="W232" s="175" t="n">
        <v>0</v>
      </c>
      <c r="X232" s="175" t="n">
        <v>0</v>
      </c>
      <c r="Y232" s="62"/>
      <c r="Z232" s="175" t="n">
        <v>0.16</v>
      </c>
      <c r="AA232" s="175" t="n">
        <v>0.2</v>
      </c>
      <c r="AB232" s="175" t="n">
        <v>0.24</v>
      </c>
      <c r="AC232" s="62"/>
      <c r="AD232" s="175" t="n">
        <v>0.08</v>
      </c>
      <c r="AE232" s="175" t="n">
        <v>0.1</v>
      </c>
      <c r="AF232" s="175" t="n">
        <v>0.12</v>
      </c>
      <c r="AG232" s="62"/>
      <c r="AH232" s="175" t="n">
        <v>0.2</v>
      </c>
      <c r="AI232" s="175" t="n">
        <v>0.25</v>
      </c>
      <c r="AJ232" s="175" t="n">
        <v>0.3</v>
      </c>
      <c r="AK232" s="62"/>
      <c r="AL232" s="175" t="n">
        <v>0.12</v>
      </c>
      <c r="AM232" s="175" t="n">
        <v>0.15</v>
      </c>
      <c r="AN232" s="175" t="n">
        <v>0.18</v>
      </c>
      <c r="AO232" s="62"/>
      <c r="AP232" s="141" t="n">
        <v>72</v>
      </c>
      <c r="AQ232" s="176" t="n">
        <v>0.4</v>
      </c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142" t="n">
        <v>43525</v>
      </c>
      <c r="BI232" s="178" t="n">
        <v>0.75</v>
      </c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0"/>
      <c r="CP232" s="0"/>
      <c r="CQ232" s="0"/>
      <c r="CR232" s="0"/>
      <c r="CS232" s="0"/>
      <c r="CT232" s="0"/>
      <c r="CY232" s="180" t="n">
        <f aca="false">M232</f>
        <v>43525</v>
      </c>
      <c r="CZ232" s="181" t="n">
        <f aca="false">AH232</f>
        <v>0.2</v>
      </c>
      <c r="DA232" s="181" t="n">
        <f aca="false">AI232</f>
        <v>0.25</v>
      </c>
      <c r="DB232" s="181" t="n">
        <f aca="false">AJ232</f>
        <v>0.3</v>
      </c>
      <c r="DD232" s="181" t="n">
        <f aca="false">Z232</f>
        <v>0.16</v>
      </c>
      <c r="DE232" s="181" t="n">
        <f aca="false">AA232</f>
        <v>0.2</v>
      </c>
      <c r="DF232" s="181" t="n">
        <f aca="false">AB232</f>
        <v>0.24</v>
      </c>
      <c r="DH232" s="180" t="n">
        <f aca="false">BH232</f>
        <v>43525</v>
      </c>
      <c r="DI232" s="135" t="n">
        <f aca="false">BI232</f>
        <v>0.75</v>
      </c>
      <c r="DL232" s="180" t="n">
        <f aca="false">M232</f>
        <v>43525</v>
      </c>
      <c r="DM232" s="181" t="n">
        <f aca="false">AL232</f>
        <v>0.12</v>
      </c>
      <c r="DN232" s="181" t="n">
        <f aca="false">AM232</f>
        <v>0.15</v>
      </c>
      <c r="DO232" s="181" t="n">
        <f aca="false">AN232</f>
        <v>0.18</v>
      </c>
      <c r="DQ232" s="181" t="n">
        <f aca="false">AD232</f>
        <v>0.08</v>
      </c>
      <c r="DR232" s="181" t="n">
        <f aca="false">AE232</f>
        <v>0.1</v>
      </c>
      <c r="DS232" s="181" t="n">
        <f aca="false">AF232</f>
        <v>0.12</v>
      </c>
    </row>
    <row r="233" customFormat="false" ht="12.75" hidden="false" customHeight="false" outlineLevel="0" collapsed="false">
      <c r="A233" s="145" t="n">
        <f aca="false">EOMONTH(A232,0)+1</f>
        <v>52628</v>
      </c>
      <c r="B233" s="135" t="n">
        <f aca="false">'Gas Curves'!C237</f>
        <v>0.0666820065844016</v>
      </c>
      <c r="C233" s="135"/>
      <c r="D233" s="173" t="n">
        <v>42675</v>
      </c>
      <c r="E233" s="174" t="n">
        <v>34.9615672826767</v>
      </c>
      <c r="F233" s="174" t="n">
        <v>36.4615672826767</v>
      </c>
      <c r="G233" s="174" t="n">
        <v>37.9615672826767</v>
      </c>
      <c r="H233" s="159"/>
      <c r="I233" s="174" t="n">
        <v>23.5400009155273</v>
      </c>
      <c r="J233" s="174" t="n">
        <v>23.5400009155273</v>
      </c>
      <c r="K233" s="174" t="n">
        <v>23.5400009155273</v>
      </c>
      <c r="L233" s="141"/>
      <c r="M233" s="142" t="n">
        <v>43556</v>
      </c>
      <c r="N233" s="175" t="n">
        <v>22</v>
      </c>
      <c r="O233" s="175" t="n">
        <v>22</v>
      </c>
      <c r="P233" s="175" t="n">
        <v>22</v>
      </c>
      <c r="Q233" s="62"/>
      <c r="R233" s="175" t="n">
        <v>16.4950008392334</v>
      </c>
      <c r="S233" s="175" t="n">
        <v>16.4950008392334</v>
      </c>
      <c r="T233" s="175" t="n">
        <v>16.4950008392334</v>
      </c>
      <c r="U233" s="62"/>
      <c r="V233" s="175" t="n">
        <v>0</v>
      </c>
      <c r="W233" s="175" t="n">
        <v>0</v>
      </c>
      <c r="X233" s="175" t="n">
        <v>0</v>
      </c>
      <c r="Y233" s="62"/>
      <c r="Z233" s="175" t="n">
        <v>0.16</v>
      </c>
      <c r="AA233" s="175" t="n">
        <v>0.2</v>
      </c>
      <c r="AB233" s="175" t="n">
        <v>0.24</v>
      </c>
      <c r="AC233" s="62"/>
      <c r="AD233" s="175" t="n">
        <v>0.08</v>
      </c>
      <c r="AE233" s="175" t="n">
        <v>0.1</v>
      </c>
      <c r="AF233" s="175" t="n">
        <v>0.12</v>
      </c>
      <c r="AG233" s="62"/>
      <c r="AH233" s="175" t="n">
        <v>0.2</v>
      </c>
      <c r="AI233" s="175" t="n">
        <v>0.25</v>
      </c>
      <c r="AJ233" s="175" t="n">
        <v>0.3</v>
      </c>
      <c r="AK233" s="62"/>
      <c r="AL233" s="175" t="n">
        <v>0.12</v>
      </c>
      <c r="AM233" s="175" t="n">
        <v>0.15</v>
      </c>
      <c r="AN233" s="175" t="n">
        <v>0.18</v>
      </c>
      <c r="AO233" s="62"/>
      <c r="AP233" s="141" t="n">
        <v>72</v>
      </c>
      <c r="AQ233" s="176" t="n">
        <v>0.4</v>
      </c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142" t="n">
        <v>43556</v>
      </c>
      <c r="BI233" s="178" t="n">
        <v>0.75</v>
      </c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0"/>
      <c r="CP233" s="0"/>
      <c r="CQ233" s="0"/>
      <c r="CR233" s="0"/>
      <c r="CS233" s="0"/>
      <c r="CT233" s="0"/>
      <c r="CY233" s="180" t="n">
        <f aca="false">M233</f>
        <v>43556</v>
      </c>
      <c r="CZ233" s="181" t="n">
        <f aca="false">AH233</f>
        <v>0.2</v>
      </c>
      <c r="DA233" s="181" t="n">
        <f aca="false">AI233</f>
        <v>0.25</v>
      </c>
      <c r="DB233" s="181" t="n">
        <f aca="false">AJ233</f>
        <v>0.3</v>
      </c>
      <c r="DD233" s="181" t="n">
        <f aca="false">Z233</f>
        <v>0.16</v>
      </c>
      <c r="DE233" s="181" t="n">
        <f aca="false">AA233</f>
        <v>0.2</v>
      </c>
      <c r="DF233" s="181" t="n">
        <f aca="false">AB233</f>
        <v>0.24</v>
      </c>
      <c r="DH233" s="180" t="n">
        <f aca="false">BH233</f>
        <v>43556</v>
      </c>
      <c r="DI233" s="135" t="n">
        <f aca="false">BI233</f>
        <v>0.75</v>
      </c>
      <c r="DL233" s="180" t="n">
        <f aca="false">M233</f>
        <v>43556</v>
      </c>
      <c r="DM233" s="181" t="n">
        <f aca="false">AL233</f>
        <v>0.12</v>
      </c>
      <c r="DN233" s="181" t="n">
        <f aca="false">AM233</f>
        <v>0.15</v>
      </c>
      <c r="DO233" s="181" t="n">
        <f aca="false">AN233</f>
        <v>0.18</v>
      </c>
      <c r="DQ233" s="181" t="n">
        <f aca="false">AD233</f>
        <v>0.08</v>
      </c>
      <c r="DR233" s="181" t="n">
        <f aca="false">AE233</f>
        <v>0.1</v>
      </c>
      <c r="DS233" s="181" t="n">
        <f aca="false">AF233</f>
        <v>0.12</v>
      </c>
    </row>
    <row r="234" customFormat="false" ht="12.75" hidden="false" customHeight="false" outlineLevel="0" collapsed="false">
      <c r="A234" s="145" t="n">
        <f aca="false">EOMONTH(A233,0)+1</f>
        <v>52657</v>
      </c>
      <c r="B234" s="135" t="n">
        <f aca="false">'Gas Curves'!C238</f>
        <v>0.0667189974601339</v>
      </c>
      <c r="C234" s="135"/>
      <c r="D234" s="173" t="n">
        <v>42705</v>
      </c>
      <c r="E234" s="174" t="n">
        <v>35.0615657567978</v>
      </c>
      <c r="F234" s="174" t="n">
        <v>36.5615657567978</v>
      </c>
      <c r="G234" s="174" t="n">
        <v>38.0615657567978</v>
      </c>
      <c r="H234" s="159"/>
      <c r="I234" s="174" t="n">
        <v>25.7900009155273</v>
      </c>
      <c r="J234" s="174" t="n">
        <v>25.7900009155273</v>
      </c>
      <c r="K234" s="174" t="n">
        <v>25.7900009155273</v>
      </c>
      <c r="L234" s="141"/>
      <c r="M234" s="142" t="n">
        <v>43586</v>
      </c>
      <c r="N234" s="175" t="n">
        <v>22.2900009155273</v>
      </c>
      <c r="O234" s="175" t="n">
        <v>22.2900009155273</v>
      </c>
      <c r="P234" s="175" t="n">
        <v>22.2900009155273</v>
      </c>
      <c r="Q234" s="62"/>
      <c r="R234" s="175" t="n">
        <v>15.7950000762939</v>
      </c>
      <c r="S234" s="175" t="n">
        <v>15.7950000762939</v>
      </c>
      <c r="T234" s="175" t="n">
        <v>15.7950000762939</v>
      </c>
      <c r="U234" s="62"/>
      <c r="V234" s="175" t="n">
        <v>0</v>
      </c>
      <c r="W234" s="175" t="n">
        <v>0</v>
      </c>
      <c r="X234" s="175" t="n">
        <v>0</v>
      </c>
      <c r="Y234" s="62"/>
      <c r="Z234" s="175" t="n">
        <v>0.16</v>
      </c>
      <c r="AA234" s="175" t="n">
        <v>0.2</v>
      </c>
      <c r="AB234" s="175" t="n">
        <v>0.24</v>
      </c>
      <c r="AC234" s="62"/>
      <c r="AD234" s="175" t="n">
        <v>0.08</v>
      </c>
      <c r="AE234" s="175" t="n">
        <v>0.1</v>
      </c>
      <c r="AF234" s="175" t="n">
        <v>0.12</v>
      </c>
      <c r="AG234" s="62"/>
      <c r="AH234" s="175" t="n">
        <v>0.2</v>
      </c>
      <c r="AI234" s="175" t="n">
        <v>0.25</v>
      </c>
      <c r="AJ234" s="175" t="n">
        <v>0.3</v>
      </c>
      <c r="AK234" s="62"/>
      <c r="AL234" s="175" t="n">
        <v>0.12</v>
      </c>
      <c r="AM234" s="175" t="n">
        <v>0.15</v>
      </c>
      <c r="AN234" s="175" t="n">
        <v>0.18</v>
      </c>
      <c r="AO234" s="62"/>
      <c r="AP234" s="141" t="n">
        <v>72</v>
      </c>
      <c r="AQ234" s="176" t="n">
        <v>0.4</v>
      </c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142" t="n">
        <v>43586</v>
      </c>
      <c r="BI234" s="178" t="n">
        <v>0.75</v>
      </c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0"/>
      <c r="CP234" s="0"/>
      <c r="CQ234" s="0"/>
      <c r="CR234" s="0"/>
      <c r="CS234" s="0"/>
      <c r="CT234" s="0"/>
      <c r="CY234" s="180" t="n">
        <f aca="false">M234</f>
        <v>43586</v>
      </c>
      <c r="CZ234" s="181" t="n">
        <f aca="false">AH234</f>
        <v>0.2</v>
      </c>
      <c r="DA234" s="181" t="n">
        <f aca="false">AI234</f>
        <v>0.25</v>
      </c>
      <c r="DB234" s="181" t="n">
        <f aca="false">AJ234</f>
        <v>0.3</v>
      </c>
      <c r="DD234" s="181" t="n">
        <f aca="false">Z234</f>
        <v>0.16</v>
      </c>
      <c r="DE234" s="181" t="n">
        <f aca="false">AA234</f>
        <v>0.2</v>
      </c>
      <c r="DF234" s="181" t="n">
        <f aca="false">AB234</f>
        <v>0.24</v>
      </c>
      <c r="DH234" s="180" t="n">
        <f aca="false">BH234</f>
        <v>43586</v>
      </c>
      <c r="DI234" s="135" t="n">
        <f aca="false">BI234</f>
        <v>0.75</v>
      </c>
      <c r="DL234" s="180" t="n">
        <f aca="false">M234</f>
        <v>43586</v>
      </c>
      <c r="DM234" s="181" t="n">
        <f aca="false">AL234</f>
        <v>0.12</v>
      </c>
      <c r="DN234" s="181" t="n">
        <f aca="false">AM234</f>
        <v>0.15</v>
      </c>
      <c r="DO234" s="181" t="n">
        <f aca="false">AN234</f>
        <v>0.18</v>
      </c>
      <c r="DQ234" s="181" t="n">
        <f aca="false">AD234</f>
        <v>0.08</v>
      </c>
      <c r="DR234" s="181" t="n">
        <f aca="false">AE234</f>
        <v>0.1</v>
      </c>
      <c r="DS234" s="181" t="n">
        <f aca="false">AF234</f>
        <v>0.12</v>
      </c>
    </row>
    <row r="235" customFormat="false" ht="12.75" hidden="false" customHeight="false" outlineLevel="0" collapsed="false">
      <c r="A235" s="145" t="n">
        <f aca="false">EOMONTH(A234,0)+1</f>
        <v>52688</v>
      </c>
      <c r="B235" s="135" t="n">
        <f aca="false">'Gas Curves'!C239</f>
        <v>0.066757221365533</v>
      </c>
      <c r="C235" s="135"/>
      <c r="D235" s="173" t="n">
        <v>42736</v>
      </c>
      <c r="E235" s="174" t="n">
        <v>38.4957144601004</v>
      </c>
      <c r="F235" s="174" t="n">
        <v>39.9957144601004</v>
      </c>
      <c r="G235" s="174" t="n">
        <v>41.4957144601004</v>
      </c>
      <c r="H235" s="159"/>
      <c r="I235" s="174" t="n">
        <v>28</v>
      </c>
      <c r="J235" s="174" t="n">
        <v>28</v>
      </c>
      <c r="K235" s="174" t="n">
        <v>28</v>
      </c>
      <c r="L235" s="141"/>
      <c r="M235" s="142" t="n">
        <v>43617</v>
      </c>
      <c r="N235" s="175" t="n">
        <v>29.2900009155273</v>
      </c>
      <c r="O235" s="175" t="n">
        <v>29.2900009155273</v>
      </c>
      <c r="P235" s="175" t="n">
        <v>29.2900009155273</v>
      </c>
      <c r="Q235" s="62"/>
      <c r="R235" s="175" t="n">
        <v>19.7900009155273</v>
      </c>
      <c r="S235" s="175" t="n">
        <v>19.7900009155273</v>
      </c>
      <c r="T235" s="175" t="n">
        <v>19.7900009155273</v>
      </c>
      <c r="U235" s="62"/>
      <c r="V235" s="175" t="n">
        <v>0</v>
      </c>
      <c r="W235" s="175" t="n">
        <v>0</v>
      </c>
      <c r="X235" s="175" t="n">
        <v>0</v>
      </c>
      <c r="Y235" s="62"/>
      <c r="Z235" s="175" t="n">
        <v>0.16</v>
      </c>
      <c r="AA235" s="175" t="n">
        <v>0.2</v>
      </c>
      <c r="AB235" s="175" t="n">
        <v>0.24</v>
      </c>
      <c r="AC235" s="62"/>
      <c r="AD235" s="175" t="n">
        <v>0.08</v>
      </c>
      <c r="AE235" s="175" t="n">
        <v>0.1</v>
      </c>
      <c r="AF235" s="175" t="n">
        <v>0.12</v>
      </c>
      <c r="AG235" s="62"/>
      <c r="AH235" s="175" t="n">
        <v>0.2</v>
      </c>
      <c r="AI235" s="175" t="n">
        <v>0.25</v>
      </c>
      <c r="AJ235" s="175" t="n">
        <v>0.3</v>
      </c>
      <c r="AK235" s="62"/>
      <c r="AL235" s="175" t="n">
        <v>0.12</v>
      </c>
      <c r="AM235" s="175" t="n">
        <v>0.15</v>
      </c>
      <c r="AN235" s="175" t="n">
        <v>0.18</v>
      </c>
      <c r="AO235" s="62"/>
      <c r="AP235" s="141" t="n">
        <v>73</v>
      </c>
      <c r="AQ235" s="176" t="n">
        <v>0.4</v>
      </c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142" t="n">
        <v>43617</v>
      </c>
      <c r="BI235" s="178" t="n">
        <v>0.75</v>
      </c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0"/>
      <c r="CP235" s="0"/>
      <c r="CQ235" s="0"/>
      <c r="CR235" s="0"/>
      <c r="CS235" s="0"/>
      <c r="CT235" s="0"/>
      <c r="CY235" s="180" t="n">
        <f aca="false">M235</f>
        <v>43617</v>
      </c>
      <c r="CZ235" s="181" t="n">
        <f aca="false">AH235</f>
        <v>0.2</v>
      </c>
      <c r="DA235" s="181" t="n">
        <f aca="false">AI235</f>
        <v>0.25</v>
      </c>
      <c r="DB235" s="181" t="n">
        <f aca="false">AJ235</f>
        <v>0.3</v>
      </c>
      <c r="DD235" s="181" t="n">
        <f aca="false">Z235</f>
        <v>0.16</v>
      </c>
      <c r="DE235" s="181" t="n">
        <f aca="false">AA235</f>
        <v>0.2</v>
      </c>
      <c r="DF235" s="181" t="n">
        <f aca="false">AB235</f>
        <v>0.24</v>
      </c>
      <c r="DH235" s="180" t="n">
        <f aca="false">BH235</f>
        <v>43617</v>
      </c>
      <c r="DI235" s="135" t="n">
        <f aca="false">BI235</f>
        <v>0.75</v>
      </c>
      <c r="DL235" s="180" t="n">
        <f aca="false">M235</f>
        <v>43617</v>
      </c>
      <c r="DM235" s="181" t="n">
        <f aca="false">AL235</f>
        <v>0.12</v>
      </c>
      <c r="DN235" s="181" t="n">
        <f aca="false">AM235</f>
        <v>0.15</v>
      </c>
      <c r="DO235" s="181" t="n">
        <f aca="false">AN235</f>
        <v>0.18</v>
      </c>
      <c r="DQ235" s="181" t="n">
        <f aca="false">AD235</f>
        <v>0.08</v>
      </c>
      <c r="DR235" s="181" t="n">
        <f aca="false">AE235</f>
        <v>0.1</v>
      </c>
      <c r="DS235" s="181" t="n">
        <f aca="false">AF235</f>
        <v>0.12</v>
      </c>
    </row>
    <row r="236" customFormat="false" ht="12.75" hidden="false" customHeight="false" outlineLevel="0" collapsed="false">
      <c r="A236" s="145" t="n">
        <f aca="false">EOMONTH(A235,0)+1</f>
        <v>52718</v>
      </c>
      <c r="B236" s="135" t="n">
        <f aca="false">'Gas Curves'!C240</f>
        <v>0.0667942122421867</v>
      </c>
      <c r="C236" s="135"/>
      <c r="D236" s="173" t="n">
        <v>42767</v>
      </c>
      <c r="E236" s="174" t="n">
        <v>37.8957121712821</v>
      </c>
      <c r="F236" s="174" t="n">
        <v>39.3957121712821</v>
      </c>
      <c r="G236" s="174" t="n">
        <v>40.8957121712821</v>
      </c>
      <c r="H236" s="159"/>
      <c r="I236" s="174" t="n">
        <v>26.5</v>
      </c>
      <c r="J236" s="174" t="n">
        <v>26.5</v>
      </c>
      <c r="K236" s="174" t="n">
        <v>26.5</v>
      </c>
      <c r="L236" s="141"/>
      <c r="M236" s="142" t="n">
        <v>43647</v>
      </c>
      <c r="N236" s="175" t="n">
        <v>35.2900009155273</v>
      </c>
      <c r="O236" s="175" t="n">
        <v>35.2900009155273</v>
      </c>
      <c r="P236" s="175" t="n">
        <v>35.2900009155273</v>
      </c>
      <c r="Q236" s="62"/>
      <c r="R236" s="175" t="n">
        <v>25.7900009155273</v>
      </c>
      <c r="S236" s="175" t="n">
        <v>25.7900009155273</v>
      </c>
      <c r="T236" s="175" t="n">
        <v>25.7900009155273</v>
      </c>
      <c r="U236" s="62"/>
      <c r="V236" s="175" t="n">
        <v>0</v>
      </c>
      <c r="W236" s="175" t="n">
        <v>0</v>
      </c>
      <c r="X236" s="175" t="n">
        <v>0</v>
      </c>
      <c r="Y236" s="62"/>
      <c r="Z236" s="175" t="n">
        <v>0.24</v>
      </c>
      <c r="AA236" s="175" t="n">
        <v>0.3</v>
      </c>
      <c r="AB236" s="175" t="n">
        <v>0.36</v>
      </c>
      <c r="AC236" s="62"/>
      <c r="AD236" s="175" t="n">
        <v>0.12</v>
      </c>
      <c r="AE236" s="175" t="n">
        <v>0.15</v>
      </c>
      <c r="AF236" s="175" t="n">
        <v>0.18</v>
      </c>
      <c r="AG236" s="62"/>
      <c r="AH236" s="175" t="n">
        <v>0.32</v>
      </c>
      <c r="AI236" s="175" t="n">
        <v>0.4</v>
      </c>
      <c r="AJ236" s="175" t="n">
        <v>0.48</v>
      </c>
      <c r="AK236" s="62"/>
      <c r="AL236" s="175" t="n">
        <v>0.192</v>
      </c>
      <c r="AM236" s="175" t="n">
        <v>0.24</v>
      </c>
      <c r="AN236" s="175" t="n">
        <v>0.288</v>
      </c>
      <c r="AO236" s="62"/>
      <c r="AP236" s="141" t="n">
        <v>73</v>
      </c>
      <c r="AQ236" s="176" t="n">
        <v>0.4</v>
      </c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142" t="n">
        <v>43647</v>
      </c>
      <c r="BI236" s="178" t="n">
        <v>0.75</v>
      </c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0"/>
      <c r="CP236" s="0"/>
      <c r="CQ236" s="0"/>
      <c r="CR236" s="0"/>
      <c r="CS236" s="0"/>
      <c r="CT236" s="0"/>
      <c r="CY236" s="180" t="n">
        <f aca="false">M236</f>
        <v>43647</v>
      </c>
      <c r="CZ236" s="181" t="n">
        <f aca="false">AH236</f>
        <v>0.32</v>
      </c>
      <c r="DA236" s="181" t="n">
        <f aca="false">AI236</f>
        <v>0.4</v>
      </c>
      <c r="DB236" s="181" t="n">
        <f aca="false">AJ236</f>
        <v>0.48</v>
      </c>
      <c r="DD236" s="181" t="n">
        <f aca="false">Z236</f>
        <v>0.24</v>
      </c>
      <c r="DE236" s="181" t="n">
        <f aca="false">AA236</f>
        <v>0.3</v>
      </c>
      <c r="DF236" s="181" t="n">
        <f aca="false">AB236</f>
        <v>0.36</v>
      </c>
      <c r="DH236" s="180" t="n">
        <f aca="false">BH236</f>
        <v>43647</v>
      </c>
      <c r="DI236" s="135" t="n">
        <f aca="false">BI236</f>
        <v>0.75</v>
      </c>
      <c r="DL236" s="180" t="n">
        <f aca="false">M236</f>
        <v>43647</v>
      </c>
      <c r="DM236" s="181" t="n">
        <f aca="false">AL236</f>
        <v>0.192</v>
      </c>
      <c r="DN236" s="181" t="n">
        <f aca="false">AM236</f>
        <v>0.24</v>
      </c>
      <c r="DO236" s="181" t="n">
        <f aca="false">AN236</f>
        <v>0.288</v>
      </c>
      <c r="DQ236" s="181" t="n">
        <f aca="false">AD236</f>
        <v>0.12</v>
      </c>
      <c r="DR236" s="181" t="n">
        <f aca="false">AE236</f>
        <v>0.15</v>
      </c>
      <c r="DS236" s="181" t="n">
        <f aca="false">AF236</f>
        <v>0.18</v>
      </c>
    </row>
    <row r="237" customFormat="false" ht="12.75" hidden="false" customHeight="false" outlineLevel="0" collapsed="false">
      <c r="A237" s="145" t="n">
        <f aca="false">EOMONTH(A236,0)+1</f>
        <v>52749</v>
      </c>
      <c r="B237" s="135" t="n">
        <f aca="false">'Gas Curves'!C241</f>
        <v>0.0668324361485384</v>
      </c>
      <c r="C237" s="135"/>
      <c r="D237" s="173" t="n">
        <v>42795</v>
      </c>
      <c r="E237" s="174" t="n">
        <v>36.6076808308446</v>
      </c>
      <c r="F237" s="174" t="n">
        <v>38.1076808308446</v>
      </c>
      <c r="G237" s="174" t="n">
        <v>39.6076808308446</v>
      </c>
      <c r="H237" s="159"/>
      <c r="I237" s="174" t="n">
        <v>27.5</v>
      </c>
      <c r="J237" s="174" t="n">
        <v>27.5</v>
      </c>
      <c r="K237" s="174" t="n">
        <v>27.5</v>
      </c>
      <c r="L237" s="141"/>
      <c r="M237" s="142" t="n">
        <v>43678</v>
      </c>
      <c r="N237" s="175" t="n">
        <v>33.2900047302246</v>
      </c>
      <c r="O237" s="175" t="n">
        <v>33.2900047302246</v>
      </c>
      <c r="P237" s="175" t="n">
        <v>33.2900047302246</v>
      </c>
      <c r="Q237" s="62"/>
      <c r="R237" s="175" t="n">
        <v>25.7900009155273</v>
      </c>
      <c r="S237" s="175" t="n">
        <v>25.7900009155273</v>
      </c>
      <c r="T237" s="175" t="n">
        <v>25.7900009155273</v>
      </c>
      <c r="U237" s="62"/>
      <c r="V237" s="175" t="n">
        <v>0</v>
      </c>
      <c r="W237" s="175" t="n">
        <v>0</v>
      </c>
      <c r="X237" s="175" t="n">
        <v>0</v>
      </c>
      <c r="Y237" s="62"/>
      <c r="Z237" s="175" t="n">
        <v>0.24</v>
      </c>
      <c r="AA237" s="175" t="n">
        <v>0.3</v>
      </c>
      <c r="AB237" s="175" t="n">
        <v>0.36</v>
      </c>
      <c r="AC237" s="62"/>
      <c r="AD237" s="175" t="n">
        <v>0.12</v>
      </c>
      <c r="AE237" s="175" t="n">
        <v>0.15</v>
      </c>
      <c r="AF237" s="175" t="n">
        <v>0.18</v>
      </c>
      <c r="AG237" s="62"/>
      <c r="AH237" s="175" t="n">
        <v>0.32</v>
      </c>
      <c r="AI237" s="175" t="n">
        <v>0.4</v>
      </c>
      <c r="AJ237" s="175" t="n">
        <v>0.48</v>
      </c>
      <c r="AK237" s="62"/>
      <c r="AL237" s="175" t="n">
        <v>0.192</v>
      </c>
      <c r="AM237" s="175" t="n">
        <v>0.24</v>
      </c>
      <c r="AN237" s="175" t="n">
        <v>0.288</v>
      </c>
      <c r="AO237" s="62"/>
      <c r="AP237" s="141" t="n">
        <v>73</v>
      </c>
      <c r="AQ237" s="176" t="n">
        <v>0.4</v>
      </c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142" t="n">
        <v>43678</v>
      </c>
      <c r="BI237" s="178" t="n">
        <v>0.75</v>
      </c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0"/>
      <c r="CP237" s="0"/>
      <c r="CQ237" s="0"/>
      <c r="CR237" s="0"/>
      <c r="CS237" s="0"/>
      <c r="CT237" s="0"/>
      <c r="CY237" s="180" t="n">
        <f aca="false">M237</f>
        <v>43678</v>
      </c>
      <c r="CZ237" s="181" t="n">
        <f aca="false">AH237</f>
        <v>0.32</v>
      </c>
      <c r="DA237" s="181" t="n">
        <f aca="false">AI237</f>
        <v>0.4</v>
      </c>
      <c r="DB237" s="181" t="n">
        <f aca="false">AJ237</f>
        <v>0.48</v>
      </c>
      <c r="DD237" s="181" t="n">
        <f aca="false">Z237</f>
        <v>0.24</v>
      </c>
      <c r="DE237" s="181" t="n">
        <f aca="false">AA237</f>
        <v>0.3</v>
      </c>
      <c r="DF237" s="181" t="n">
        <f aca="false">AB237</f>
        <v>0.36</v>
      </c>
      <c r="DH237" s="180" t="n">
        <f aca="false">BH237</f>
        <v>43678</v>
      </c>
      <c r="DI237" s="135" t="n">
        <f aca="false">BI237</f>
        <v>0.75</v>
      </c>
      <c r="DL237" s="180" t="n">
        <f aca="false">M237</f>
        <v>43678</v>
      </c>
      <c r="DM237" s="181" t="n">
        <f aca="false">AL237</f>
        <v>0.192</v>
      </c>
      <c r="DN237" s="181" t="n">
        <f aca="false">AM237</f>
        <v>0.24</v>
      </c>
      <c r="DO237" s="181" t="n">
        <f aca="false">AN237</f>
        <v>0.288</v>
      </c>
      <c r="DQ237" s="181" t="n">
        <f aca="false">AD237</f>
        <v>0.12</v>
      </c>
      <c r="DR237" s="181" t="n">
        <f aca="false">AE237</f>
        <v>0.15</v>
      </c>
      <c r="DS237" s="181" t="n">
        <f aca="false">AF237</f>
        <v>0.18</v>
      </c>
    </row>
    <row r="238" customFormat="false" ht="12.75" hidden="false" customHeight="false" outlineLevel="0" collapsed="false">
      <c r="A238" s="145" t="n">
        <f aca="false">EOMONTH(A237,0)+1</f>
        <v>52779</v>
      </c>
      <c r="B238" s="135" t="n">
        <f aca="false">'Gas Curves'!C242</f>
        <v>0.0668706600553737</v>
      </c>
      <c r="C238" s="135"/>
      <c r="D238" s="173" t="n">
        <v>42826</v>
      </c>
      <c r="E238" s="174" t="n">
        <v>36.8076815937841</v>
      </c>
      <c r="F238" s="174" t="n">
        <v>38.3076815937841</v>
      </c>
      <c r="G238" s="174" t="n">
        <v>39.8076815937841</v>
      </c>
      <c r="H238" s="159"/>
      <c r="I238" s="174" t="n">
        <v>24.5</v>
      </c>
      <c r="J238" s="174" t="n">
        <v>24.5</v>
      </c>
      <c r="K238" s="174" t="n">
        <v>24.5</v>
      </c>
      <c r="L238" s="141"/>
      <c r="M238" s="142" t="n">
        <v>43709</v>
      </c>
      <c r="N238" s="175" t="n">
        <v>25.2900009155273</v>
      </c>
      <c r="O238" s="175" t="n">
        <v>25.2900009155273</v>
      </c>
      <c r="P238" s="175" t="n">
        <v>25.2900009155273</v>
      </c>
      <c r="Q238" s="62"/>
      <c r="R238" s="175" t="n">
        <v>19.7900009155273</v>
      </c>
      <c r="S238" s="175" t="n">
        <v>19.7900009155273</v>
      </c>
      <c r="T238" s="175" t="n">
        <v>19.7900009155273</v>
      </c>
      <c r="U238" s="62"/>
      <c r="V238" s="175" t="n">
        <v>0</v>
      </c>
      <c r="W238" s="175" t="n">
        <v>0</v>
      </c>
      <c r="X238" s="175" t="n">
        <v>0</v>
      </c>
      <c r="Y238" s="62"/>
      <c r="Z238" s="175" t="n">
        <v>0.16</v>
      </c>
      <c r="AA238" s="175" t="n">
        <v>0.2</v>
      </c>
      <c r="AB238" s="175" t="n">
        <v>0.24</v>
      </c>
      <c r="AC238" s="62"/>
      <c r="AD238" s="175" t="n">
        <v>0.08</v>
      </c>
      <c r="AE238" s="175" t="n">
        <v>0.1</v>
      </c>
      <c r="AF238" s="175" t="n">
        <v>0.12</v>
      </c>
      <c r="AG238" s="62"/>
      <c r="AH238" s="175" t="n">
        <v>0.2</v>
      </c>
      <c r="AI238" s="175" t="n">
        <v>0.25</v>
      </c>
      <c r="AJ238" s="175" t="n">
        <v>0.3</v>
      </c>
      <c r="AK238" s="62"/>
      <c r="AL238" s="175" t="n">
        <v>0.12</v>
      </c>
      <c r="AM238" s="175" t="n">
        <v>0.15</v>
      </c>
      <c r="AN238" s="175" t="n">
        <v>0.18</v>
      </c>
      <c r="AO238" s="62"/>
      <c r="AP238" s="141" t="n">
        <v>74</v>
      </c>
      <c r="AQ238" s="176" t="n">
        <v>0.4</v>
      </c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142" t="n">
        <v>43709</v>
      </c>
      <c r="BI238" s="178" t="n">
        <v>0.75</v>
      </c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0"/>
      <c r="CP238" s="0"/>
      <c r="CQ238" s="0"/>
      <c r="CR238" s="0"/>
      <c r="CS238" s="0"/>
      <c r="CT238" s="0"/>
      <c r="CY238" s="180" t="n">
        <f aca="false">M238</f>
        <v>43709</v>
      </c>
      <c r="CZ238" s="181" t="n">
        <f aca="false">AH238</f>
        <v>0.2</v>
      </c>
      <c r="DA238" s="181" t="n">
        <f aca="false">AI238</f>
        <v>0.25</v>
      </c>
      <c r="DB238" s="181" t="n">
        <f aca="false">AJ238</f>
        <v>0.3</v>
      </c>
      <c r="DD238" s="181" t="n">
        <f aca="false">Z238</f>
        <v>0.16</v>
      </c>
      <c r="DE238" s="181" t="n">
        <f aca="false">AA238</f>
        <v>0.2</v>
      </c>
      <c r="DF238" s="181" t="n">
        <f aca="false">AB238</f>
        <v>0.24</v>
      </c>
      <c r="DH238" s="180" t="n">
        <f aca="false">BH238</f>
        <v>43709</v>
      </c>
      <c r="DI238" s="135" t="n">
        <f aca="false">BI238</f>
        <v>0.75</v>
      </c>
      <c r="DL238" s="180" t="n">
        <f aca="false">M238</f>
        <v>43709</v>
      </c>
      <c r="DM238" s="181" t="n">
        <f aca="false">AL238</f>
        <v>0.12</v>
      </c>
      <c r="DN238" s="181" t="n">
        <f aca="false">AM238</f>
        <v>0.15</v>
      </c>
      <c r="DO238" s="181" t="n">
        <f aca="false">AN238</f>
        <v>0.18</v>
      </c>
      <c r="DQ238" s="181" t="n">
        <f aca="false">AD238</f>
        <v>0.08</v>
      </c>
      <c r="DR238" s="181" t="n">
        <f aca="false">AE238</f>
        <v>0.1</v>
      </c>
      <c r="DS238" s="181" t="n">
        <f aca="false">AF238</f>
        <v>0.12</v>
      </c>
    </row>
    <row r="239" customFormat="false" ht="12.75" hidden="false" customHeight="false" outlineLevel="0" collapsed="false">
      <c r="A239" s="145" t="n">
        <f aca="false">EOMONTH(A238,0)+1</f>
        <v>52810</v>
      </c>
      <c r="B239" s="135" t="n">
        <f aca="false">'Gas Curves'!C243</f>
        <v>0.066906417904141</v>
      </c>
      <c r="C239" s="135"/>
      <c r="D239" s="173" t="n">
        <v>42856</v>
      </c>
      <c r="E239" s="174" t="n">
        <v>44.5850028991699</v>
      </c>
      <c r="F239" s="174" t="n">
        <v>47.0850028991699</v>
      </c>
      <c r="G239" s="174" t="n">
        <v>49.5850028991699</v>
      </c>
      <c r="H239" s="159"/>
      <c r="I239" s="174" t="n">
        <v>25.0400009155273</v>
      </c>
      <c r="J239" s="174" t="n">
        <v>25.0400009155273</v>
      </c>
      <c r="K239" s="174" t="n">
        <v>25.0400009155273</v>
      </c>
      <c r="L239" s="141"/>
      <c r="M239" s="142" t="n">
        <v>43739</v>
      </c>
      <c r="N239" s="175" t="n">
        <v>20.2860012054443</v>
      </c>
      <c r="O239" s="175" t="n">
        <v>20.2860012054443</v>
      </c>
      <c r="P239" s="175" t="n">
        <v>20.2860012054443</v>
      </c>
      <c r="Q239" s="62"/>
      <c r="R239" s="175" t="n">
        <v>14.7865009307861</v>
      </c>
      <c r="S239" s="175" t="n">
        <v>14.7865009307861</v>
      </c>
      <c r="T239" s="175" t="n">
        <v>14.7865009307861</v>
      </c>
      <c r="U239" s="62"/>
      <c r="V239" s="175" t="n">
        <v>0</v>
      </c>
      <c r="W239" s="175" t="n">
        <v>0</v>
      </c>
      <c r="X239" s="175" t="n">
        <v>0</v>
      </c>
      <c r="Y239" s="62"/>
      <c r="Z239" s="175" t="n">
        <v>0.16</v>
      </c>
      <c r="AA239" s="175" t="n">
        <v>0.2</v>
      </c>
      <c r="AB239" s="175" t="n">
        <v>0.24</v>
      </c>
      <c r="AC239" s="62"/>
      <c r="AD239" s="175" t="n">
        <v>0.08</v>
      </c>
      <c r="AE239" s="175" t="n">
        <v>0.1</v>
      </c>
      <c r="AF239" s="175" t="n">
        <v>0.12</v>
      </c>
      <c r="AG239" s="62"/>
      <c r="AH239" s="175" t="n">
        <v>0.2</v>
      </c>
      <c r="AI239" s="175" t="n">
        <v>0.25</v>
      </c>
      <c r="AJ239" s="175" t="n">
        <v>0.3</v>
      </c>
      <c r="AK239" s="62"/>
      <c r="AL239" s="175" t="n">
        <v>0.12</v>
      </c>
      <c r="AM239" s="175" t="n">
        <v>0.15</v>
      </c>
      <c r="AN239" s="175" t="n">
        <v>0.18</v>
      </c>
      <c r="AO239" s="62"/>
      <c r="AP239" s="141" t="n">
        <v>74</v>
      </c>
      <c r="AQ239" s="176" t="n">
        <v>0.4</v>
      </c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142" t="n">
        <v>43739</v>
      </c>
      <c r="BI239" s="178" t="n">
        <v>0.75</v>
      </c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0"/>
      <c r="CP239" s="0"/>
      <c r="CQ239" s="0"/>
      <c r="CR239" s="0"/>
      <c r="CS239" s="0"/>
      <c r="CT239" s="0"/>
      <c r="CY239" s="180" t="n">
        <f aca="false">M239</f>
        <v>43739</v>
      </c>
      <c r="CZ239" s="181" t="n">
        <f aca="false">AH239</f>
        <v>0.2</v>
      </c>
      <c r="DA239" s="181" t="n">
        <f aca="false">AI239</f>
        <v>0.25</v>
      </c>
      <c r="DB239" s="181" t="n">
        <f aca="false">AJ239</f>
        <v>0.3</v>
      </c>
      <c r="DD239" s="181" t="n">
        <f aca="false">Z239</f>
        <v>0.16</v>
      </c>
      <c r="DE239" s="181" t="n">
        <f aca="false">AA239</f>
        <v>0.2</v>
      </c>
      <c r="DF239" s="181" t="n">
        <f aca="false">AB239</f>
        <v>0.24</v>
      </c>
      <c r="DH239" s="180" t="n">
        <f aca="false">BH239</f>
        <v>43739</v>
      </c>
      <c r="DI239" s="135" t="n">
        <f aca="false">BI239</f>
        <v>0.75</v>
      </c>
      <c r="DL239" s="180" t="n">
        <f aca="false">M239</f>
        <v>43739</v>
      </c>
      <c r="DM239" s="181" t="n">
        <f aca="false">AL239</f>
        <v>0.12</v>
      </c>
      <c r="DN239" s="181" t="n">
        <f aca="false">AM239</f>
        <v>0.15</v>
      </c>
      <c r="DO239" s="181" t="n">
        <f aca="false">AN239</f>
        <v>0.18</v>
      </c>
      <c r="DQ239" s="181" t="n">
        <f aca="false">AD239</f>
        <v>0.08</v>
      </c>
      <c r="DR239" s="181" t="n">
        <f aca="false">AE239</f>
        <v>0.1</v>
      </c>
      <c r="DS239" s="181" t="n">
        <f aca="false">AF239</f>
        <v>0.12</v>
      </c>
    </row>
    <row r="240" customFormat="false" ht="12.75" hidden="false" customHeight="false" outlineLevel="0" collapsed="false">
      <c r="A240" s="145" t="n">
        <f aca="false">EOMONTH(A239,0)+1</f>
        <v>52841</v>
      </c>
      <c r="B240" s="135" t="n">
        <f aca="false">'Gas Curves'!C244</f>
        <v>0.0669446418119133</v>
      </c>
      <c r="C240" s="135"/>
      <c r="D240" s="173" t="n">
        <v>42887</v>
      </c>
      <c r="E240" s="174" t="n">
        <v>56.6250076293945</v>
      </c>
      <c r="F240" s="174" t="n">
        <v>61.6250076293945</v>
      </c>
      <c r="G240" s="174" t="n">
        <v>66.6250076293945</v>
      </c>
      <c r="H240" s="159"/>
      <c r="I240" s="174" t="n">
        <v>28.0400009155273</v>
      </c>
      <c r="J240" s="174" t="n">
        <v>28.0400009155273</v>
      </c>
      <c r="K240" s="174" t="n">
        <v>28.0400009155273</v>
      </c>
      <c r="L240" s="141"/>
      <c r="M240" s="142" t="n">
        <v>43770</v>
      </c>
      <c r="N240" s="175" t="n">
        <v>22.2900009155273</v>
      </c>
      <c r="O240" s="175" t="n">
        <v>22.2900009155273</v>
      </c>
      <c r="P240" s="175" t="n">
        <v>22.2900009155273</v>
      </c>
      <c r="Q240" s="62"/>
      <c r="R240" s="175" t="n">
        <v>14.7900009155273</v>
      </c>
      <c r="S240" s="175" t="n">
        <v>14.7900009155273</v>
      </c>
      <c r="T240" s="175" t="n">
        <v>14.7900009155273</v>
      </c>
      <c r="U240" s="62"/>
      <c r="V240" s="175" t="n">
        <v>0</v>
      </c>
      <c r="W240" s="175" t="n">
        <v>0</v>
      </c>
      <c r="X240" s="175" t="n">
        <v>0</v>
      </c>
      <c r="Y240" s="62"/>
      <c r="Z240" s="175" t="n">
        <v>0.16</v>
      </c>
      <c r="AA240" s="175" t="n">
        <v>0.2</v>
      </c>
      <c r="AB240" s="175" t="n">
        <v>0.24</v>
      </c>
      <c r="AC240" s="62"/>
      <c r="AD240" s="175" t="n">
        <v>0.08</v>
      </c>
      <c r="AE240" s="175" t="n">
        <v>0.1</v>
      </c>
      <c r="AF240" s="175" t="n">
        <v>0.12</v>
      </c>
      <c r="AG240" s="62"/>
      <c r="AH240" s="175" t="n">
        <v>0.2</v>
      </c>
      <c r="AI240" s="175" t="n">
        <v>0.25</v>
      </c>
      <c r="AJ240" s="175" t="n">
        <v>0.3</v>
      </c>
      <c r="AK240" s="62"/>
      <c r="AL240" s="175" t="n">
        <v>0.12</v>
      </c>
      <c r="AM240" s="175" t="n">
        <v>0.15</v>
      </c>
      <c r="AN240" s="175" t="n">
        <v>0.18</v>
      </c>
      <c r="AO240" s="62"/>
      <c r="AP240" s="141" t="n">
        <v>74</v>
      </c>
      <c r="AQ240" s="176" t="n">
        <v>0.4</v>
      </c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142" t="n">
        <v>43770</v>
      </c>
      <c r="BI240" s="178" t="n">
        <v>0.75</v>
      </c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0"/>
      <c r="CP240" s="0"/>
      <c r="CQ240" s="0"/>
      <c r="CR240" s="0"/>
      <c r="CS240" s="0"/>
      <c r="CT240" s="0"/>
      <c r="CY240" s="180" t="n">
        <f aca="false">M240</f>
        <v>43770</v>
      </c>
      <c r="CZ240" s="181" t="n">
        <f aca="false">AH240</f>
        <v>0.2</v>
      </c>
      <c r="DA240" s="181" t="n">
        <f aca="false">AI240</f>
        <v>0.25</v>
      </c>
      <c r="DB240" s="181" t="n">
        <f aca="false">AJ240</f>
        <v>0.3</v>
      </c>
      <c r="DD240" s="181" t="n">
        <f aca="false">Z240</f>
        <v>0.16</v>
      </c>
      <c r="DE240" s="181" t="n">
        <f aca="false">AA240</f>
        <v>0.2</v>
      </c>
      <c r="DF240" s="181" t="n">
        <f aca="false">AB240</f>
        <v>0.24</v>
      </c>
      <c r="DH240" s="180" t="n">
        <f aca="false">BH240</f>
        <v>43770</v>
      </c>
      <c r="DI240" s="135" t="n">
        <f aca="false">BI240</f>
        <v>0.75</v>
      </c>
      <c r="DL240" s="180" t="n">
        <f aca="false">M240</f>
        <v>43770</v>
      </c>
      <c r="DM240" s="181" t="n">
        <f aca="false">AL240</f>
        <v>0.12</v>
      </c>
      <c r="DN240" s="181" t="n">
        <f aca="false">AM240</f>
        <v>0.15</v>
      </c>
      <c r="DO240" s="181" t="n">
        <f aca="false">AN240</f>
        <v>0.18</v>
      </c>
      <c r="DQ240" s="181" t="n">
        <f aca="false">AD240</f>
        <v>0.08</v>
      </c>
      <c r="DR240" s="181" t="n">
        <f aca="false">AE240</f>
        <v>0.1</v>
      </c>
      <c r="DS240" s="181" t="n">
        <f aca="false">AF240</f>
        <v>0.12</v>
      </c>
    </row>
    <row r="241" customFormat="false" ht="12.75" hidden="false" customHeight="false" outlineLevel="0" collapsed="false">
      <c r="A241" s="145" t="n">
        <f aca="false">EOMONTH(A240,0)+1</f>
        <v>52871</v>
      </c>
      <c r="B241" s="135" t="n">
        <f aca="false">'Gas Curves'!C245</f>
        <v>0.0669816326908626</v>
      </c>
      <c r="C241" s="135"/>
      <c r="D241" s="173" t="n">
        <v>42917</v>
      </c>
      <c r="E241" s="174" t="n">
        <v>62.25</v>
      </c>
      <c r="F241" s="174" t="n">
        <v>72.25</v>
      </c>
      <c r="G241" s="174" t="n">
        <v>82.25</v>
      </c>
      <c r="H241" s="159"/>
      <c r="I241" s="174" t="n">
        <v>28.5400009155273</v>
      </c>
      <c r="J241" s="174" t="n">
        <v>28.5400009155273</v>
      </c>
      <c r="K241" s="174" t="n">
        <v>28.5400009155273</v>
      </c>
      <c r="L241" s="141"/>
      <c r="M241" s="142" t="n">
        <v>43800</v>
      </c>
      <c r="N241" s="175" t="n">
        <v>27.2900009155273</v>
      </c>
      <c r="O241" s="175" t="n">
        <v>27.2900009155273</v>
      </c>
      <c r="P241" s="175" t="n">
        <v>27.2900009155273</v>
      </c>
      <c r="Q241" s="62"/>
      <c r="R241" s="175" t="n">
        <v>21.7900009155273</v>
      </c>
      <c r="S241" s="175" t="n">
        <v>21.7900009155273</v>
      </c>
      <c r="T241" s="175" t="n">
        <v>21.7900009155273</v>
      </c>
      <c r="U241" s="62"/>
      <c r="V241" s="175" t="n">
        <v>0</v>
      </c>
      <c r="W241" s="175" t="n">
        <v>0</v>
      </c>
      <c r="X241" s="175" t="n">
        <v>0</v>
      </c>
      <c r="Y241" s="62"/>
      <c r="Z241" s="175" t="n">
        <v>0.16</v>
      </c>
      <c r="AA241" s="175" t="n">
        <v>0.2</v>
      </c>
      <c r="AB241" s="175" t="n">
        <v>0.24</v>
      </c>
      <c r="AC241" s="62"/>
      <c r="AD241" s="175" t="n">
        <v>0.08</v>
      </c>
      <c r="AE241" s="175" t="n">
        <v>0.1</v>
      </c>
      <c r="AF241" s="175" t="n">
        <v>0.12</v>
      </c>
      <c r="AG241" s="62"/>
      <c r="AH241" s="175" t="n">
        <v>0.2</v>
      </c>
      <c r="AI241" s="175" t="n">
        <v>0.25</v>
      </c>
      <c r="AJ241" s="175" t="n">
        <v>0.3</v>
      </c>
      <c r="AK241" s="62"/>
      <c r="AL241" s="175" t="n">
        <v>0.12</v>
      </c>
      <c r="AM241" s="175" t="n">
        <v>0.15</v>
      </c>
      <c r="AN241" s="175" t="n">
        <v>0.18</v>
      </c>
      <c r="AO241" s="62"/>
      <c r="AP241" s="141" t="n">
        <v>74</v>
      </c>
      <c r="AQ241" s="176" t="n">
        <v>0.4</v>
      </c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142" t="n">
        <v>43800</v>
      </c>
      <c r="BI241" s="178" t="n">
        <v>0.75</v>
      </c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0"/>
      <c r="CP241" s="0"/>
      <c r="CQ241" s="0"/>
      <c r="CR241" s="0"/>
      <c r="CS241" s="0"/>
      <c r="CT241" s="0"/>
      <c r="CY241" s="180" t="n">
        <f aca="false">M241</f>
        <v>43800</v>
      </c>
      <c r="CZ241" s="181" t="n">
        <f aca="false">AH241</f>
        <v>0.2</v>
      </c>
      <c r="DA241" s="181" t="n">
        <f aca="false">AI241</f>
        <v>0.25</v>
      </c>
      <c r="DB241" s="181" t="n">
        <f aca="false">AJ241</f>
        <v>0.3</v>
      </c>
      <c r="DD241" s="181" t="n">
        <f aca="false">Z241</f>
        <v>0.16</v>
      </c>
      <c r="DE241" s="181" t="n">
        <f aca="false">AA241</f>
        <v>0.2</v>
      </c>
      <c r="DF241" s="181" t="n">
        <f aca="false">AB241</f>
        <v>0.24</v>
      </c>
      <c r="DH241" s="180" t="n">
        <f aca="false">BH241</f>
        <v>43800</v>
      </c>
      <c r="DI241" s="135" t="n">
        <f aca="false">BI241</f>
        <v>0.75</v>
      </c>
      <c r="DL241" s="180" t="n">
        <f aca="false">M241</f>
        <v>43800</v>
      </c>
      <c r="DM241" s="181" t="n">
        <f aca="false">AL241</f>
        <v>0.12</v>
      </c>
      <c r="DN241" s="181" t="n">
        <f aca="false">AM241</f>
        <v>0.15</v>
      </c>
      <c r="DO241" s="181" t="n">
        <f aca="false">AN241</f>
        <v>0.18</v>
      </c>
      <c r="DQ241" s="181" t="n">
        <f aca="false">AD241</f>
        <v>0.08</v>
      </c>
      <c r="DR241" s="181" t="n">
        <f aca="false">AE241</f>
        <v>0.1</v>
      </c>
      <c r="DS241" s="181" t="n">
        <f aca="false">AF241</f>
        <v>0.12</v>
      </c>
    </row>
    <row r="242" customFormat="false" ht="12.75" hidden="false" customHeight="false" outlineLevel="0" collapsed="false">
      <c r="A242" s="145" t="n">
        <f aca="false">EOMONTH(A241,0)+1</f>
        <v>52902</v>
      </c>
      <c r="B242" s="135" t="n">
        <f aca="false">'Gas Curves'!C246</f>
        <v>0.0670198565995865</v>
      </c>
      <c r="C242" s="135"/>
      <c r="D242" s="173" t="n">
        <v>42948</v>
      </c>
      <c r="E242" s="174" t="n">
        <v>62.25</v>
      </c>
      <c r="F242" s="174" t="n">
        <v>72.25</v>
      </c>
      <c r="G242" s="174" t="n">
        <v>82.25</v>
      </c>
      <c r="H242" s="159"/>
      <c r="I242" s="174" t="n">
        <v>29.5400009155273</v>
      </c>
      <c r="J242" s="174" t="n">
        <v>29.5400009155273</v>
      </c>
      <c r="K242" s="174" t="n">
        <v>29.5400009155273</v>
      </c>
      <c r="L242" s="141"/>
      <c r="M242" s="142" t="n">
        <v>43831</v>
      </c>
      <c r="N242" s="175" t="n">
        <v>27.2900009155273</v>
      </c>
      <c r="O242" s="175" t="n">
        <v>27.2900009155273</v>
      </c>
      <c r="P242" s="175" t="n">
        <v>27.2900009155273</v>
      </c>
      <c r="Q242" s="62"/>
      <c r="R242" s="175" t="n">
        <v>21.7900009155273</v>
      </c>
      <c r="S242" s="175" t="n">
        <v>21.7900009155273</v>
      </c>
      <c r="T242" s="175" t="n">
        <v>21.7900009155273</v>
      </c>
      <c r="U242" s="62"/>
      <c r="V242" s="175" t="n">
        <v>0</v>
      </c>
      <c r="W242" s="175" t="n">
        <v>0</v>
      </c>
      <c r="X242" s="175" t="n">
        <v>0</v>
      </c>
      <c r="Y242" s="62"/>
      <c r="Z242" s="175" t="n">
        <v>0</v>
      </c>
      <c r="AA242" s="175" t="n">
        <v>0</v>
      </c>
      <c r="AB242" s="175" t="n">
        <v>0</v>
      </c>
      <c r="AC242" s="62"/>
      <c r="AD242" s="175" t="n">
        <v>0</v>
      </c>
      <c r="AE242" s="175" t="n">
        <v>0</v>
      </c>
      <c r="AF242" s="175" t="n">
        <v>0</v>
      </c>
      <c r="AG242" s="62"/>
      <c r="AH242" s="175" t="n">
        <v>0</v>
      </c>
      <c r="AI242" s="175" t="n">
        <v>0</v>
      </c>
      <c r="AJ242" s="175" t="n">
        <v>0</v>
      </c>
      <c r="AK242" s="62"/>
      <c r="AL242" s="175" t="n">
        <v>0</v>
      </c>
      <c r="AM242" s="175" t="n">
        <v>0</v>
      </c>
      <c r="AN242" s="175" t="n">
        <v>0</v>
      </c>
      <c r="AO242" s="62"/>
      <c r="AP242" s="141" t="n">
        <v>74</v>
      </c>
      <c r="AQ242" s="176" t="n">
        <v>0.4</v>
      </c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142" t="n">
        <v>43831</v>
      </c>
      <c r="BI242" s="178" t="n">
        <v>0</v>
      </c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0"/>
      <c r="CP242" s="0"/>
      <c r="CQ242" s="0"/>
      <c r="CR242" s="0"/>
      <c r="CS242" s="0"/>
      <c r="CT242" s="0"/>
      <c r="CY242" s="180" t="n">
        <f aca="false">M242</f>
        <v>43831</v>
      </c>
      <c r="CZ242" s="181" t="n">
        <f aca="false">AH242</f>
        <v>0</v>
      </c>
      <c r="DA242" s="181" t="n">
        <f aca="false">AI242</f>
        <v>0</v>
      </c>
      <c r="DB242" s="181" t="n">
        <f aca="false">AJ242</f>
        <v>0</v>
      </c>
      <c r="DD242" s="181" t="n">
        <f aca="false">Z242</f>
        <v>0</v>
      </c>
      <c r="DE242" s="181" t="n">
        <f aca="false">AA242</f>
        <v>0</v>
      </c>
      <c r="DF242" s="181" t="n">
        <f aca="false">AB242</f>
        <v>0</v>
      </c>
      <c r="DH242" s="180" t="n">
        <f aca="false">BH242</f>
        <v>43831</v>
      </c>
      <c r="DI242" s="135" t="n">
        <f aca="false">BI242</f>
        <v>0</v>
      </c>
      <c r="DL242" s="180" t="n">
        <f aca="false">M242</f>
        <v>43831</v>
      </c>
      <c r="DM242" s="181" t="n">
        <f aca="false">AL242</f>
        <v>0</v>
      </c>
      <c r="DN242" s="181" t="n">
        <f aca="false">AM242</f>
        <v>0</v>
      </c>
      <c r="DO242" s="181" t="n">
        <f aca="false">AN242</f>
        <v>0</v>
      </c>
      <c r="DQ242" s="181" t="n">
        <f aca="false">AD242</f>
        <v>0</v>
      </c>
      <c r="DR242" s="181" t="n">
        <f aca="false">AE242</f>
        <v>0</v>
      </c>
      <c r="DS242" s="181" t="n">
        <f aca="false">AF242</f>
        <v>0</v>
      </c>
    </row>
    <row r="243" customFormat="false" ht="12.75" hidden="false" customHeight="false" outlineLevel="0" collapsed="false">
      <c r="A243" s="145" t="n">
        <f aca="false">EOMONTH(A242,0)+1</f>
        <v>52932</v>
      </c>
      <c r="B243" s="135" t="n">
        <f aca="false">'Gas Curves'!C247</f>
        <v>0.0670568474794573</v>
      </c>
      <c r="C243" s="135"/>
      <c r="D243" s="173" t="n">
        <v>42979</v>
      </c>
      <c r="E243" s="174" t="n">
        <v>31.4599990844727</v>
      </c>
      <c r="F243" s="174" t="n">
        <v>32.9599990844727</v>
      </c>
      <c r="G243" s="174" t="n">
        <v>34.4599990844727</v>
      </c>
      <c r="H243" s="159"/>
      <c r="I243" s="174" t="n">
        <v>23.5400009155273</v>
      </c>
      <c r="J243" s="174" t="n">
        <v>23.5400009155273</v>
      </c>
      <c r="K243" s="174" t="n">
        <v>23.5400009155273</v>
      </c>
      <c r="L243" s="141"/>
      <c r="M243" s="14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14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0"/>
      <c r="CP243" s="0"/>
      <c r="CQ243" s="0"/>
      <c r="CR243" s="0"/>
      <c r="CS243" s="0"/>
      <c r="CT243" s="0"/>
      <c r="CY243" s="180" t="n">
        <f aca="false">IF($M243=0,EOMONTH(CY242,0)+1,$M243)</f>
        <v>43862</v>
      </c>
      <c r="CZ243" s="181" t="n">
        <f aca="false">IF(AI243=0,CZ231,AH243+AI243)</f>
        <v>0.2</v>
      </c>
      <c r="DA243" s="181" t="n">
        <f aca="false">IF(AI243=0,DA231,AI243)</f>
        <v>0.25</v>
      </c>
      <c r="DB243" s="181" t="n">
        <f aca="false">IF(AI243=0,DB231,AI243+AJ243)</f>
        <v>0.3</v>
      </c>
      <c r="DD243" s="161" t="n">
        <f aca="false">IF(Z243=0,DD231,Z243)</f>
        <v>0.16</v>
      </c>
      <c r="DE243" s="161" t="n">
        <f aca="false">IF(AA243=0,DE231,AA243)</f>
        <v>0.2</v>
      </c>
      <c r="DF243" s="161" t="n">
        <f aca="false">IF(AB243=0,DF231,AB243)</f>
        <v>0.24</v>
      </c>
      <c r="DH243" s="180" t="n">
        <f aca="false">IF(BH243=0,EOMONTH(DH242,0)+1,BH243)</f>
        <v>43862</v>
      </c>
      <c r="DI243" s="231" t="n">
        <f aca="false">IF(BI243=0,DI231,BI243)</f>
        <v>0.75</v>
      </c>
      <c r="DL243" s="180" t="n">
        <f aca="false">IF($M243=0,EOMONTH(DL242,0)+1,$M243)</f>
        <v>43862</v>
      </c>
      <c r="DM243" s="181" t="n">
        <f aca="false">IF(AV243=0,DM231,AU243+AV243)</f>
        <v>0.12</v>
      </c>
      <c r="DN243" s="181" t="n">
        <f aca="false">IF(AM243=0,DN231,AM243)</f>
        <v>0.15</v>
      </c>
      <c r="DO243" s="181" t="n">
        <f aca="false">IF(AV243=0,DO231,AV243+AW243)</f>
        <v>0.18</v>
      </c>
      <c r="DQ243" s="181" t="n">
        <f aca="false">AD243</f>
        <v>0</v>
      </c>
      <c r="DR243" s="181" t="n">
        <f aca="false">AE243</f>
        <v>0</v>
      </c>
      <c r="DS243" s="181" t="n">
        <f aca="false">AF243</f>
        <v>0</v>
      </c>
    </row>
    <row r="244" customFormat="false" ht="12.75" hidden="false" customHeight="false" outlineLevel="0" collapsed="false">
      <c r="A244" s="145" t="n">
        <f aca="false">EOMONTH(A243,0)+1</f>
        <v>52963</v>
      </c>
      <c r="B244" s="135" t="n">
        <f aca="false">'Gas Curves'!C248</f>
        <v>0.067095071389133</v>
      </c>
      <c r="C244" s="135"/>
      <c r="D244" s="173" t="n">
        <v>43009</v>
      </c>
      <c r="E244" s="174" t="n">
        <v>35.3615688085556</v>
      </c>
      <c r="F244" s="174" t="n">
        <v>36.8615688085556</v>
      </c>
      <c r="G244" s="174" t="n">
        <v>38.3615688085556</v>
      </c>
      <c r="H244" s="159"/>
      <c r="I244" s="174" t="n">
        <v>23.040002822876</v>
      </c>
      <c r="J244" s="174" t="n">
        <v>23.040002822876</v>
      </c>
      <c r="K244" s="174" t="n">
        <v>23.040002822876</v>
      </c>
      <c r="L244" s="141"/>
      <c r="M244" s="14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14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0"/>
      <c r="CP244" s="0"/>
      <c r="CQ244" s="0"/>
      <c r="CR244" s="0"/>
      <c r="CS244" s="0"/>
      <c r="CT244" s="0"/>
      <c r="CY244" s="180" t="n">
        <f aca="false">EOMONTH(CY243,0)+1</f>
        <v>43891</v>
      </c>
      <c r="CZ244" s="181" t="n">
        <f aca="false">IF(AI244=0,CZ232,AH244+AI244)</f>
        <v>0.2</v>
      </c>
      <c r="DA244" s="181" t="n">
        <f aca="false">IF(AI244=0,DA232,AI244)</f>
        <v>0.25</v>
      </c>
      <c r="DB244" s="181" t="n">
        <f aca="false">IF(AI244=0,DB232,AI244+AJ244)</f>
        <v>0.3</v>
      </c>
      <c r="DD244" s="161" t="n">
        <f aca="false">IF(Z244=0,DD232,Z244)</f>
        <v>0.16</v>
      </c>
      <c r="DE244" s="161" t="n">
        <f aca="false">IF(AA244=0,DE232,AA244)</f>
        <v>0.2</v>
      </c>
      <c r="DF244" s="161" t="n">
        <f aca="false">IF(AB244=0,DF232,AB244)</f>
        <v>0.24</v>
      </c>
      <c r="DH244" s="180" t="n">
        <f aca="false">IF(BH244=0,EOMONTH(DH243,0)+1,BH244)</f>
        <v>43891</v>
      </c>
      <c r="DI244" s="231" t="n">
        <f aca="false">IF(BI244=0,DI232,BI244)</f>
        <v>0.75</v>
      </c>
      <c r="DL244" s="180" t="n">
        <f aca="false">IF($M244=0,EOMONTH(DL243,0)+1,$M244)</f>
        <v>43891</v>
      </c>
      <c r="DM244" s="181" t="n">
        <f aca="false">IF(AV244=0,DM232,AU244+AV244)</f>
        <v>0.12</v>
      </c>
      <c r="DN244" s="181" t="n">
        <f aca="false">IF(AM244=0,DN232,AM244)</f>
        <v>0.15</v>
      </c>
      <c r="DO244" s="181" t="n">
        <f aca="false">IF(AV244=0,DO232,AV244+AW244)</f>
        <v>0.18</v>
      </c>
      <c r="DQ244" s="181" t="n">
        <f aca="false">AD244</f>
        <v>0</v>
      </c>
      <c r="DR244" s="181" t="n">
        <f aca="false">AE244</f>
        <v>0</v>
      </c>
      <c r="DS244" s="181" t="n">
        <f aca="false">AF244</f>
        <v>0</v>
      </c>
    </row>
    <row r="245" customFormat="false" ht="12.75" hidden="false" customHeight="false" outlineLevel="0" collapsed="false">
      <c r="A245" s="145" t="n">
        <f aca="false">EOMONTH(A244,0)+1</f>
        <v>52994</v>
      </c>
      <c r="B245" s="135" t="n">
        <f aca="false">'Gas Curves'!C249</f>
        <v>0.0671332952992927</v>
      </c>
      <c r="C245" s="135"/>
      <c r="D245" s="173" t="n">
        <v>43040</v>
      </c>
      <c r="E245" s="174" t="n">
        <v>35.4615672826767</v>
      </c>
      <c r="F245" s="174" t="n">
        <v>36.9615672826767</v>
      </c>
      <c r="G245" s="174" t="n">
        <v>38.4615672826767</v>
      </c>
      <c r="H245" s="159"/>
      <c r="I245" s="174" t="n">
        <v>24.0400009155273</v>
      </c>
      <c r="J245" s="174" t="n">
        <v>24.0400009155273</v>
      </c>
      <c r="K245" s="174" t="n">
        <v>24.0400009155273</v>
      </c>
      <c r="L245" s="141"/>
      <c r="M245" s="14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14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0"/>
      <c r="CP245" s="0"/>
      <c r="CQ245" s="0"/>
      <c r="CR245" s="0"/>
      <c r="CS245" s="0"/>
      <c r="CT245" s="0"/>
      <c r="CY245" s="180" t="n">
        <f aca="false">EOMONTH(CY244,0)+1</f>
        <v>43922</v>
      </c>
      <c r="CZ245" s="181" t="n">
        <f aca="false">IF(AI245=0,CZ233,AH245+AI245)</f>
        <v>0.2</v>
      </c>
      <c r="DA245" s="181" t="n">
        <f aca="false">IF(AI245=0,DA233,AI245)</f>
        <v>0.25</v>
      </c>
      <c r="DB245" s="181" t="n">
        <f aca="false">IF(AI245=0,DB233,AI245+AJ245)</f>
        <v>0.3</v>
      </c>
      <c r="DD245" s="161" t="n">
        <f aca="false">IF(Z245=0,DD233,Z245)</f>
        <v>0.16</v>
      </c>
      <c r="DE245" s="161" t="n">
        <f aca="false">IF(AA245=0,DE233,AA245)</f>
        <v>0.2</v>
      </c>
      <c r="DF245" s="161" t="n">
        <f aca="false">IF(AB245=0,DF233,AB245)</f>
        <v>0.24</v>
      </c>
      <c r="DH245" s="180" t="n">
        <f aca="false">IF(BH245=0,EOMONTH(DH244,0)+1,BH245)</f>
        <v>43922</v>
      </c>
      <c r="DI245" s="231" t="n">
        <f aca="false">IF(BI245=0,DI233,BI245)</f>
        <v>0.75</v>
      </c>
      <c r="DL245" s="180" t="n">
        <f aca="false">IF($M245=0,EOMONTH(DL244,0)+1,$M245)</f>
        <v>43922</v>
      </c>
      <c r="DM245" s="181" t="n">
        <f aca="false">IF(AV245=0,DM233,AU245+AV245)</f>
        <v>0.12</v>
      </c>
      <c r="DN245" s="181" t="n">
        <f aca="false">IF(AM245=0,DN233,AM245)</f>
        <v>0.15</v>
      </c>
      <c r="DO245" s="181" t="n">
        <f aca="false">IF(AV245=0,DO233,AV245+AW245)</f>
        <v>0.18</v>
      </c>
      <c r="DQ245" s="181" t="n">
        <f aca="false">AD245</f>
        <v>0</v>
      </c>
      <c r="DR245" s="181" t="n">
        <f aca="false">AE245</f>
        <v>0</v>
      </c>
      <c r="DS245" s="181" t="n">
        <f aca="false">AF245</f>
        <v>0</v>
      </c>
    </row>
    <row r="246" customFormat="false" ht="12.75" hidden="false" customHeight="false" outlineLevel="0" collapsed="false">
      <c r="A246" s="145" t="n">
        <f aca="false">EOMONTH(A245,0)+1</f>
        <v>53022</v>
      </c>
      <c r="B246" s="135" t="n">
        <f aca="false">'Gas Curves'!C250</f>
        <v>0.0671702861805525</v>
      </c>
      <c r="C246" s="135"/>
      <c r="D246" s="173" t="n">
        <v>43070</v>
      </c>
      <c r="E246" s="174" t="n">
        <v>35.5615657567978</v>
      </c>
      <c r="F246" s="174" t="n">
        <v>37.0615657567978</v>
      </c>
      <c r="G246" s="174" t="n">
        <v>38.5615657567978</v>
      </c>
      <c r="H246" s="159"/>
      <c r="I246" s="174" t="n">
        <v>26.2900009155273</v>
      </c>
      <c r="J246" s="174" t="n">
        <v>26.2900009155273</v>
      </c>
      <c r="K246" s="174" t="n">
        <v>26.2900009155273</v>
      </c>
      <c r="L246" s="141"/>
      <c r="M246" s="14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14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0"/>
      <c r="CP246" s="0"/>
      <c r="CQ246" s="0"/>
      <c r="CR246" s="0"/>
      <c r="CS246" s="0"/>
      <c r="CT246" s="0"/>
      <c r="CY246" s="180" t="n">
        <f aca="false">EOMONTH(CY245,0)+1</f>
        <v>43952</v>
      </c>
      <c r="CZ246" s="181" t="n">
        <f aca="false">IF(AI246=0,CZ234,AH246+AI246)</f>
        <v>0.2</v>
      </c>
      <c r="DA246" s="181" t="n">
        <f aca="false">IF(AI246=0,DA234,AI246)</f>
        <v>0.25</v>
      </c>
      <c r="DB246" s="181" t="n">
        <f aca="false">IF(AI246=0,DB234,AI246+AJ246)</f>
        <v>0.3</v>
      </c>
      <c r="DD246" s="161" t="n">
        <f aca="false">IF(Z246=0,DD234,Z246)</f>
        <v>0.16</v>
      </c>
      <c r="DE246" s="161" t="n">
        <f aca="false">IF(AA246=0,DE234,AA246)</f>
        <v>0.2</v>
      </c>
      <c r="DF246" s="161" t="n">
        <f aca="false">IF(AB246=0,DF234,AB246)</f>
        <v>0.24</v>
      </c>
      <c r="DH246" s="180" t="n">
        <f aca="false">IF(BH246=0,EOMONTH(DH245,0)+1,BH246)</f>
        <v>43952</v>
      </c>
      <c r="DI246" s="231" t="n">
        <f aca="false">IF(BI246=0,DI234,BI246)</f>
        <v>0.75</v>
      </c>
      <c r="DL246" s="180" t="n">
        <f aca="false">IF($M246=0,EOMONTH(DL245,0)+1,$M246)</f>
        <v>43952</v>
      </c>
      <c r="DM246" s="181" t="n">
        <f aca="false">IF(AV246=0,DM234,AU246+AV246)</f>
        <v>0.12</v>
      </c>
      <c r="DN246" s="181" t="n">
        <f aca="false">IF(AM246=0,DN234,AM246)</f>
        <v>0.15</v>
      </c>
      <c r="DO246" s="181" t="n">
        <f aca="false">IF(AV246=0,DO234,AV246+AW246)</f>
        <v>0.18</v>
      </c>
      <c r="DQ246" s="181" t="n">
        <f aca="false">AD246</f>
        <v>0</v>
      </c>
      <c r="DR246" s="181" t="n">
        <f aca="false">AE246</f>
        <v>0</v>
      </c>
      <c r="DS246" s="181" t="n">
        <f aca="false">AF246</f>
        <v>0</v>
      </c>
    </row>
    <row r="247" customFormat="false" ht="12.75" hidden="false" customHeight="false" outlineLevel="0" collapsed="false">
      <c r="A247" s="145" t="n">
        <f aca="false">EOMONTH(A246,0)+1</f>
        <v>53053</v>
      </c>
      <c r="B247" s="135" t="n">
        <f aca="false">'Gas Curves'!C251</f>
        <v>0.0672085100916644</v>
      </c>
      <c r="C247" s="135"/>
      <c r="D247" s="173" t="n">
        <v>43101</v>
      </c>
      <c r="E247" s="174" t="n">
        <v>38.9957144601004</v>
      </c>
      <c r="F247" s="174" t="n">
        <v>40.4957144601004</v>
      </c>
      <c r="G247" s="174" t="n">
        <v>41.9957144601004</v>
      </c>
      <c r="H247" s="159"/>
      <c r="I247" s="174" t="n">
        <v>28.5</v>
      </c>
      <c r="J247" s="174" t="n">
        <v>28.5</v>
      </c>
      <c r="K247" s="174" t="n">
        <v>28.5</v>
      </c>
      <c r="L247" s="141"/>
      <c r="M247" s="14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14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0"/>
      <c r="CP247" s="0"/>
      <c r="CQ247" s="0"/>
      <c r="CR247" s="0"/>
      <c r="CS247" s="0"/>
      <c r="CT247" s="0"/>
      <c r="CY247" s="180" t="n">
        <f aca="false">EOMONTH(CY246,0)+1</f>
        <v>43983</v>
      </c>
      <c r="CZ247" s="181" t="n">
        <f aca="false">IF(AI247=0,CZ235,AH247+AI247)</f>
        <v>0.2</v>
      </c>
      <c r="DA247" s="181" t="n">
        <f aca="false">IF(AI247=0,DA235,AI247)</f>
        <v>0.25</v>
      </c>
      <c r="DB247" s="181" t="n">
        <f aca="false">IF(AI247=0,DB235,AI247+AJ247)</f>
        <v>0.3</v>
      </c>
      <c r="DD247" s="161" t="n">
        <f aca="false">IF(Z247=0,DD235,Z247)</f>
        <v>0.16</v>
      </c>
      <c r="DE247" s="161" t="n">
        <f aca="false">IF(AA247=0,DE235,AA247)</f>
        <v>0.2</v>
      </c>
      <c r="DF247" s="161" t="n">
        <f aca="false">IF(AB247=0,DF235,AB247)</f>
        <v>0.24</v>
      </c>
      <c r="DH247" s="180" t="n">
        <f aca="false">IF(BH247=0,EOMONTH(DH246,0)+1,BH247)</f>
        <v>43983</v>
      </c>
      <c r="DI247" s="231" t="n">
        <f aca="false">IF(BI247=0,DI235,BI247)</f>
        <v>0.75</v>
      </c>
      <c r="DL247" s="180" t="n">
        <f aca="false">IF($M247=0,EOMONTH(DL246,0)+1,$M247)</f>
        <v>43983</v>
      </c>
      <c r="DM247" s="181" t="n">
        <f aca="false">IF(AV247=0,DM235,AU247+AV247)</f>
        <v>0.12</v>
      </c>
      <c r="DN247" s="181" t="n">
        <f aca="false">IF(AM247=0,DN235,AM247)</f>
        <v>0.15</v>
      </c>
      <c r="DO247" s="181" t="n">
        <f aca="false">IF(AV247=0,DO235,AV247+AW247)</f>
        <v>0.18</v>
      </c>
      <c r="DQ247" s="181" t="n">
        <f aca="false">AD247</f>
        <v>0</v>
      </c>
      <c r="DR247" s="181" t="n">
        <f aca="false">AE247</f>
        <v>0</v>
      </c>
      <c r="DS247" s="181" t="n">
        <f aca="false">AF247</f>
        <v>0</v>
      </c>
    </row>
    <row r="248" customFormat="false" ht="12.75" hidden="false" customHeight="false" outlineLevel="0" collapsed="false">
      <c r="A248" s="145" t="n">
        <f aca="false">EOMONTH(A247,0)+1</f>
        <v>53083</v>
      </c>
      <c r="B248" s="135" t="n">
        <f aca="false">'Gas Curves'!C252</f>
        <v>0.0672455009738457</v>
      </c>
      <c r="C248" s="135"/>
      <c r="D248" s="173" t="n">
        <v>43132</v>
      </c>
      <c r="E248" s="174" t="n">
        <v>38.3957121712821</v>
      </c>
      <c r="F248" s="174" t="n">
        <v>39.8957121712821</v>
      </c>
      <c r="G248" s="174" t="n">
        <v>41.3957121712821</v>
      </c>
      <c r="H248" s="159"/>
      <c r="I248" s="174" t="n">
        <v>27</v>
      </c>
      <c r="J248" s="174" t="n">
        <v>27</v>
      </c>
      <c r="K248" s="174" t="n">
        <v>27</v>
      </c>
      <c r="L248" s="141"/>
      <c r="M248" s="14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14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0"/>
      <c r="CP248" s="0"/>
      <c r="CQ248" s="0"/>
      <c r="CR248" s="0"/>
      <c r="CS248" s="0"/>
      <c r="CT248" s="0"/>
      <c r="CY248" s="180" t="n">
        <f aca="false">EOMONTH(CY247,0)+1</f>
        <v>44013</v>
      </c>
      <c r="CZ248" s="181" t="n">
        <f aca="false">IF(AI248=0,CZ236,AH248+AI248)</f>
        <v>0.32</v>
      </c>
      <c r="DA248" s="181" t="n">
        <f aca="false">IF(AI248=0,DA236,AI248)</f>
        <v>0.4</v>
      </c>
      <c r="DB248" s="181" t="n">
        <f aca="false">IF(AI248=0,DB236,AI248+AJ248)</f>
        <v>0.48</v>
      </c>
      <c r="DD248" s="161" t="n">
        <f aca="false">IF(Z248=0,DD236,Z248)</f>
        <v>0.24</v>
      </c>
      <c r="DE248" s="161" t="n">
        <f aca="false">IF(AA248=0,DE236,AA248)</f>
        <v>0.3</v>
      </c>
      <c r="DF248" s="161" t="n">
        <f aca="false">IF(AB248=0,DF236,AB248)</f>
        <v>0.36</v>
      </c>
      <c r="DH248" s="180" t="n">
        <f aca="false">IF(BH248=0,EOMONTH(DH247,0)+1,BH248)</f>
        <v>44013</v>
      </c>
      <c r="DI248" s="231" t="n">
        <f aca="false">IF(BI248=0,DI236,BI248)</f>
        <v>0.75</v>
      </c>
      <c r="DL248" s="180" t="n">
        <f aca="false">IF($M248=0,EOMONTH(DL247,0)+1,$M248)</f>
        <v>44013</v>
      </c>
      <c r="DM248" s="181" t="n">
        <f aca="false">IF(AV248=0,DM236,AU248+AV248)</f>
        <v>0.192</v>
      </c>
      <c r="DN248" s="181" t="n">
        <f aca="false">IF(AM248=0,DN236,AM248)</f>
        <v>0.24</v>
      </c>
      <c r="DO248" s="181" t="n">
        <f aca="false">IF(AV248=0,DO236,AV248+AW248)</f>
        <v>0.288</v>
      </c>
      <c r="DQ248" s="181" t="n">
        <f aca="false">AD248</f>
        <v>0</v>
      </c>
      <c r="DR248" s="181" t="n">
        <f aca="false">AE248</f>
        <v>0</v>
      </c>
      <c r="DS248" s="181" t="n">
        <f aca="false">AF248</f>
        <v>0</v>
      </c>
    </row>
    <row r="249" customFormat="false" ht="12.75" hidden="false" customHeight="false" outlineLevel="0" collapsed="false">
      <c r="A249" s="145" t="n">
        <f aca="false">EOMONTH(A248,0)+1</f>
        <v>53114</v>
      </c>
      <c r="B249" s="135" t="n">
        <f aca="false">'Gas Curves'!C253</f>
        <v>0.0672837248859093</v>
      </c>
      <c r="C249" s="135"/>
      <c r="D249" s="173" t="n">
        <v>43160</v>
      </c>
      <c r="E249" s="174" t="n">
        <v>37.1076808308446</v>
      </c>
      <c r="F249" s="174" t="n">
        <v>38.6076808308446</v>
      </c>
      <c r="G249" s="174" t="n">
        <v>40.1076808308446</v>
      </c>
      <c r="H249" s="159"/>
      <c r="I249" s="174" t="n">
        <v>28</v>
      </c>
      <c r="J249" s="174" t="n">
        <v>28</v>
      </c>
      <c r="K249" s="174" t="n">
        <v>28</v>
      </c>
      <c r="L249" s="141"/>
      <c r="M249" s="14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14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0"/>
      <c r="CP249" s="0"/>
      <c r="CQ249" s="0"/>
      <c r="CR249" s="0"/>
      <c r="CS249" s="0"/>
      <c r="CT249" s="0"/>
      <c r="CY249" s="180" t="n">
        <f aca="false">EOMONTH(CY248,0)+1</f>
        <v>44044</v>
      </c>
      <c r="CZ249" s="181" t="n">
        <f aca="false">IF(AI249=0,CZ237,AH249+AI249)</f>
        <v>0.32</v>
      </c>
      <c r="DA249" s="181" t="n">
        <f aca="false">IF(AI249=0,DA237,AI249)</f>
        <v>0.4</v>
      </c>
      <c r="DB249" s="181" t="n">
        <f aca="false">IF(AI249=0,DB237,AI249+AJ249)</f>
        <v>0.48</v>
      </c>
      <c r="DD249" s="161" t="n">
        <f aca="false">IF(Z249=0,DD237,Z249)</f>
        <v>0.24</v>
      </c>
      <c r="DE249" s="161" t="n">
        <f aca="false">IF(AA249=0,DE237,AA249)</f>
        <v>0.3</v>
      </c>
      <c r="DF249" s="161" t="n">
        <f aca="false">IF(AB249=0,DF237,AB249)</f>
        <v>0.36</v>
      </c>
      <c r="DH249" s="180" t="n">
        <f aca="false">IF(BH249=0,EOMONTH(DH248,0)+1,BH249)</f>
        <v>44044</v>
      </c>
      <c r="DI249" s="231" t="n">
        <f aca="false">IF(BI249=0,DI237,BI249)</f>
        <v>0.75</v>
      </c>
      <c r="DL249" s="180" t="n">
        <f aca="false">IF($M249=0,EOMONTH(DL248,0)+1,$M249)</f>
        <v>44044</v>
      </c>
      <c r="DM249" s="181" t="n">
        <f aca="false">IF(AV249=0,DM237,AU249+AV249)</f>
        <v>0.192</v>
      </c>
      <c r="DN249" s="181" t="n">
        <f aca="false">IF(AM249=0,DN237,AM249)</f>
        <v>0.24</v>
      </c>
      <c r="DO249" s="181" t="n">
        <f aca="false">IF(AV249=0,DO237,AV249+AW249)</f>
        <v>0.288</v>
      </c>
      <c r="DQ249" s="181" t="n">
        <f aca="false">AD249</f>
        <v>0</v>
      </c>
      <c r="DR249" s="181" t="n">
        <f aca="false">AE249</f>
        <v>0</v>
      </c>
      <c r="DS249" s="181" t="n">
        <f aca="false">AF249</f>
        <v>0</v>
      </c>
    </row>
    <row r="250" customFormat="false" ht="12.75" hidden="false" customHeight="false" outlineLevel="0" collapsed="false">
      <c r="A250" s="145" t="n">
        <f aca="false">EOMONTH(A249,0)+1</f>
        <v>53144</v>
      </c>
      <c r="B250" s="135" t="n">
        <f aca="false">'Gas Curves'!C254</f>
        <v>0.0673219487984564</v>
      </c>
      <c r="C250" s="135"/>
      <c r="D250" s="173" t="n">
        <v>43191</v>
      </c>
      <c r="E250" s="174" t="n">
        <v>37.3076815937841</v>
      </c>
      <c r="F250" s="174" t="n">
        <v>38.8076815937841</v>
      </c>
      <c r="G250" s="174" t="n">
        <v>40.3076815937841</v>
      </c>
      <c r="H250" s="159"/>
      <c r="I250" s="174" t="n">
        <v>25</v>
      </c>
      <c r="J250" s="174" t="n">
        <v>25</v>
      </c>
      <c r="K250" s="174" t="n">
        <v>25</v>
      </c>
      <c r="L250" s="141"/>
      <c r="M250" s="14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14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0"/>
      <c r="CP250" s="0"/>
      <c r="CQ250" s="0"/>
      <c r="CR250" s="0"/>
      <c r="CS250" s="0"/>
      <c r="CT250" s="0"/>
      <c r="CY250" s="180" t="n">
        <f aca="false">EOMONTH(CY249,0)+1</f>
        <v>44075</v>
      </c>
      <c r="CZ250" s="181" t="n">
        <f aca="false">IF(AI250=0,CZ238,AH250+AI250)</f>
        <v>0.2</v>
      </c>
      <c r="DA250" s="181" t="n">
        <f aca="false">IF(AI250=0,DA238,AI250)</f>
        <v>0.25</v>
      </c>
      <c r="DB250" s="181" t="n">
        <f aca="false">IF(AI250=0,DB238,AI250+AJ250)</f>
        <v>0.3</v>
      </c>
      <c r="DD250" s="161" t="n">
        <f aca="false">IF(Z250=0,DD238,Z250)</f>
        <v>0.16</v>
      </c>
      <c r="DE250" s="161" t="n">
        <f aca="false">IF(AA250=0,DE238,AA250)</f>
        <v>0.2</v>
      </c>
      <c r="DF250" s="161" t="n">
        <f aca="false">IF(AB250=0,DF238,AB250)</f>
        <v>0.24</v>
      </c>
      <c r="DH250" s="180" t="n">
        <f aca="false">IF(BH250=0,EOMONTH(DH249,0)+1,BH250)</f>
        <v>44075</v>
      </c>
      <c r="DI250" s="231" t="n">
        <f aca="false">IF(BI250=0,DI238,BI250)</f>
        <v>0.75</v>
      </c>
      <c r="DL250" s="180" t="n">
        <f aca="false">IF($M250=0,EOMONTH(DL249,0)+1,$M250)</f>
        <v>44075</v>
      </c>
      <c r="DM250" s="181" t="n">
        <f aca="false">IF(AV250=0,DM238,AU250+AV250)</f>
        <v>0.12</v>
      </c>
      <c r="DN250" s="181" t="n">
        <f aca="false">IF(AM250=0,DN238,AM250)</f>
        <v>0.15</v>
      </c>
      <c r="DO250" s="181" t="n">
        <f aca="false">IF(AV250=0,DO238,AV250+AW250)</f>
        <v>0.18</v>
      </c>
      <c r="DQ250" s="181" t="n">
        <f aca="false">AD250</f>
        <v>0</v>
      </c>
      <c r="DR250" s="181" t="n">
        <f aca="false">AE250</f>
        <v>0</v>
      </c>
      <c r="DS250" s="181" t="n">
        <f aca="false">AF250</f>
        <v>0</v>
      </c>
    </row>
    <row r="251" customFormat="false" ht="12.75" hidden="false" customHeight="false" outlineLevel="0" collapsed="false">
      <c r="A251" s="145" t="n">
        <f aca="false">EOMONTH(A250,0)+1</f>
        <v>53175</v>
      </c>
      <c r="B251" s="135" t="n">
        <f aca="false">'Gas Curves'!C255</f>
        <v>0.0673564736231085</v>
      </c>
      <c r="C251" s="135"/>
      <c r="D251" s="173" t="n">
        <v>43221</v>
      </c>
      <c r="E251" s="174" t="n">
        <v>45.5850028991699</v>
      </c>
      <c r="F251" s="174" t="n">
        <v>48.0850028991699</v>
      </c>
      <c r="G251" s="174" t="n">
        <v>50.5850028991699</v>
      </c>
      <c r="H251" s="159"/>
      <c r="I251" s="174" t="n">
        <v>25.5400009155273</v>
      </c>
      <c r="J251" s="174" t="n">
        <v>25.5400009155273</v>
      </c>
      <c r="K251" s="174" t="n">
        <v>25.5400009155273</v>
      </c>
      <c r="L251" s="141"/>
      <c r="M251" s="14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14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0"/>
      <c r="CP251" s="0"/>
      <c r="CQ251" s="0"/>
      <c r="CR251" s="0"/>
      <c r="CS251" s="0"/>
      <c r="CT251" s="0"/>
      <c r="CY251" s="180" t="n">
        <f aca="false">EOMONTH(CY250,0)+1</f>
        <v>44105</v>
      </c>
      <c r="CZ251" s="181" t="n">
        <f aca="false">IF(AI251=0,CZ239,AH251+AI251)</f>
        <v>0.2</v>
      </c>
      <c r="DA251" s="181" t="n">
        <f aca="false">IF(AI251=0,DA239,AI251)</f>
        <v>0.25</v>
      </c>
      <c r="DB251" s="181" t="n">
        <f aca="false">IF(AI251=0,DB239,AI251+AJ251)</f>
        <v>0.3</v>
      </c>
      <c r="DD251" s="161" t="n">
        <f aca="false">IF(Z251=0,DD239,Z251)</f>
        <v>0.16</v>
      </c>
      <c r="DE251" s="161" t="n">
        <f aca="false">IF(AA251=0,DE239,AA251)</f>
        <v>0.2</v>
      </c>
      <c r="DF251" s="161" t="n">
        <f aca="false">IF(AB251=0,DF239,AB251)</f>
        <v>0.24</v>
      </c>
      <c r="DH251" s="180" t="n">
        <f aca="false">IF(BH251=0,EOMONTH(DH250,0)+1,BH251)</f>
        <v>44105</v>
      </c>
      <c r="DI251" s="231" t="n">
        <f aca="false">IF(BI251=0,DI239,BI251)</f>
        <v>0.75</v>
      </c>
      <c r="DL251" s="180" t="n">
        <f aca="false">IF($M251=0,EOMONTH(DL250,0)+1,$M251)</f>
        <v>44105</v>
      </c>
      <c r="DM251" s="181" t="n">
        <f aca="false">IF(AV251=0,DM239,AU251+AV251)</f>
        <v>0.12</v>
      </c>
      <c r="DN251" s="181" t="n">
        <f aca="false">IF(AM251=0,DN239,AM251)</f>
        <v>0.15</v>
      </c>
      <c r="DO251" s="181" t="n">
        <f aca="false">IF(AV251=0,DO239,AV251+AW251)</f>
        <v>0.18</v>
      </c>
      <c r="DQ251" s="181" t="n">
        <f aca="false">AD251</f>
        <v>0</v>
      </c>
      <c r="DR251" s="181" t="n">
        <f aca="false">AE251</f>
        <v>0</v>
      </c>
      <c r="DS251" s="181" t="n">
        <f aca="false">AF251</f>
        <v>0</v>
      </c>
    </row>
    <row r="252" customFormat="false" ht="12.75" hidden="false" customHeight="false" outlineLevel="0" collapsed="false">
      <c r="A252" s="145" t="n">
        <f aca="false">EOMONTH(A251,0)+1</f>
        <v>53206</v>
      </c>
      <c r="B252" s="135" t="n">
        <f aca="false">'Gas Curves'!C256</f>
        <v>0.0673946975365762</v>
      </c>
      <c r="C252" s="135"/>
      <c r="D252" s="173" t="n">
        <v>43252</v>
      </c>
      <c r="E252" s="174" t="n">
        <v>58.625</v>
      </c>
      <c r="F252" s="174" t="n">
        <v>63.625</v>
      </c>
      <c r="G252" s="174" t="n">
        <v>68.625</v>
      </c>
      <c r="H252" s="159"/>
      <c r="I252" s="174" t="n">
        <v>28.5400009155273</v>
      </c>
      <c r="J252" s="174" t="n">
        <v>28.5400009155273</v>
      </c>
      <c r="K252" s="174" t="n">
        <v>28.5400009155273</v>
      </c>
      <c r="L252" s="141"/>
      <c r="M252" s="14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14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0"/>
      <c r="CP252" s="0"/>
      <c r="CQ252" s="0"/>
      <c r="CR252" s="0"/>
      <c r="CS252" s="0"/>
      <c r="CT252" s="0"/>
      <c r="CY252" s="180" t="n">
        <f aca="false">EOMONTH(CY251,0)+1</f>
        <v>44136</v>
      </c>
      <c r="CZ252" s="181" t="n">
        <f aca="false">IF(AI252=0,CZ240,AH252+AI252)</f>
        <v>0.2</v>
      </c>
      <c r="DA252" s="181" t="n">
        <f aca="false">IF(AI252=0,DA240,AI252)</f>
        <v>0.25</v>
      </c>
      <c r="DB252" s="181" t="n">
        <f aca="false">IF(AI252=0,DB240,AI252+AJ252)</f>
        <v>0.3</v>
      </c>
      <c r="DD252" s="161" t="n">
        <f aca="false">IF(Z252=0,DD240,Z252)</f>
        <v>0.16</v>
      </c>
      <c r="DE252" s="161" t="n">
        <f aca="false">IF(AA252=0,DE240,AA252)</f>
        <v>0.2</v>
      </c>
      <c r="DF252" s="161" t="n">
        <f aca="false">IF(AB252=0,DF240,AB252)</f>
        <v>0.24</v>
      </c>
      <c r="DH252" s="180" t="n">
        <f aca="false">IF(BH252=0,EOMONTH(DH251,0)+1,BH252)</f>
        <v>44136</v>
      </c>
      <c r="DI252" s="231" t="n">
        <f aca="false">IF(BI252=0,DI240,BI252)</f>
        <v>0.75</v>
      </c>
      <c r="DL252" s="180" t="n">
        <f aca="false">IF($M252=0,EOMONTH(DL251,0)+1,$M252)</f>
        <v>44136</v>
      </c>
      <c r="DM252" s="181" t="n">
        <f aca="false">IF(AV252=0,DM240,AU252+AV252)</f>
        <v>0.12</v>
      </c>
      <c r="DN252" s="181" t="n">
        <f aca="false">IF(AM252=0,DN240,AM252)</f>
        <v>0.15</v>
      </c>
      <c r="DO252" s="181" t="n">
        <f aca="false">IF(AV252=0,DO240,AV252+AW252)</f>
        <v>0.18</v>
      </c>
      <c r="DQ252" s="181" t="n">
        <f aca="false">AD252</f>
        <v>0</v>
      </c>
      <c r="DR252" s="181" t="n">
        <f aca="false">AE252</f>
        <v>0</v>
      </c>
      <c r="DS252" s="181" t="n">
        <f aca="false">AF252</f>
        <v>0</v>
      </c>
    </row>
    <row r="253" customFormat="false" ht="12.75" hidden="false" customHeight="false" outlineLevel="0" collapsed="false">
      <c r="A253" s="145" t="n">
        <f aca="false">EOMONTH(A252,0)+1</f>
        <v>53236</v>
      </c>
      <c r="B253" s="135" t="n">
        <f aca="false">'Gas Curves'!C257</f>
        <v>0.0674156521446507</v>
      </c>
      <c r="C253" s="135"/>
      <c r="D253" s="173" t="n">
        <v>43282</v>
      </c>
      <c r="E253" s="174" t="n">
        <v>64.25</v>
      </c>
      <c r="F253" s="174" t="n">
        <v>74.25</v>
      </c>
      <c r="G253" s="174" t="n">
        <v>84.25</v>
      </c>
      <c r="H253" s="159"/>
      <c r="I253" s="174" t="n">
        <v>29.0400009155273</v>
      </c>
      <c r="J253" s="174" t="n">
        <v>29.0400009155273</v>
      </c>
      <c r="K253" s="174" t="n">
        <v>29.0400009155273</v>
      </c>
      <c r="L253" s="141"/>
      <c r="M253" s="14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14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0"/>
      <c r="CP253" s="0"/>
      <c r="CQ253" s="0"/>
      <c r="CR253" s="0"/>
      <c r="CS253" s="0"/>
      <c r="CT253" s="0"/>
      <c r="CY253" s="180" t="n">
        <f aca="false">EOMONTH(CY252,0)+1</f>
        <v>44166</v>
      </c>
      <c r="CZ253" s="181" t="n">
        <f aca="false">IF(AI253=0,CZ241,AH253+AI253)</f>
        <v>0.2</v>
      </c>
      <c r="DA253" s="181" t="n">
        <f aca="false">IF(AI253=0,DA241,AI253)</f>
        <v>0.25</v>
      </c>
      <c r="DB253" s="181" t="n">
        <f aca="false">IF(AI253=0,DB241,AI253+AJ253)</f>
        <v>0.3</v>
      </c>
      <c r="DD253" s="161" t="n">
        <f aca="false">IF(Z253=0,DD241,Z253)</f>
        <v>0.16</v>
      </c>
      <c r="DE253" s="161" t="n">
        <f aca="false">IF(AA253=0,DE241,AA253)</f>
        <v>0.2</v>
      </c>
      <c r="DF253" s="161" t="n">
        <f aca="false">IF(AB253=0,DF241,AB253)</f>
        <v>0.24</v>
      </c>
      <c r="DH253" s="180" t="n">
        <f aca="false">IF(BH253=0,EOMONTH(DH252,0)+1,BH253)</f>
        <v>44166</v>
      </c>
      <c r="DI253" s="231" t="n">
        <f aca="false">IF(BI253=0,DI241,BI253)</f>
        <v>0.75</v>
      </c>
      <c r="DL253" s="180" t="n">
        <f aca="false">IF($M253=0,EOMONTH(DL252,0)+1,$M253)</f>
        <v>44166</v>
      </c>
      <c r="DM253" s="181" t="n">
        <f aca="false">IF(AV253=0,DM241,AU253+AV253)</f>
        <v>0.12</v>
      </c>
      <c r="DN253" s="181" t="n">
        <f aca="false">IF(AM253=0,DN241,AM253)</f>
        <v>0.15</v>
      </c>
      <c r="DO253" s="181" t="n">
        <f aca="false">IF(AV253=0,DO241,AV253+AW253)</f>
        <v>0.18</v>
      </c>
      <c r="DQ253" s="181" t="n">
        <f aca="false">AD253</f>
        <v>0</v>
      </c>
      <c r="DR253" s="181" t="n">
        <f aca="false">AE253</f>
        <v>0</v>
      </c>
      <c r="DS253" s="181" t="n">
        <f aca="false">AF253</f>
        <v>0</v>
      </c>
    </row>
    <row r="254" customFormat="false" ht="12.75" hidden="false" customHeight="false" outlineLevel="0" collapsed="false">
      <c r="A254" s="145" t="n">
        <f aca="false">EOMONTH(A253,0)+1</f>
        <v>53267</v>
      </c>
      <c r="B254" s="135" t="n">
        <f aca="false">'Gas Curves'!C258</f>
        <v>0.0674124490114036</v>
      </c>
      <c r="C254" s="135"/>
      <c r="D254" s="173" t="n">
        <v>43313</v>
      </c>
      <c r="E254" s="174" t="n">
        <v>64.25</v>
      </c>
      <c r="F254" s="174" t="n">
        <v>74.25</v>
      </c>
      <c r="G254" s="174" t="n">
        <v>84.25</v>
      </c>
      <c r="H254" s="159"/>
      <c r="I254" s="174" t="n">
        <v>30.0400009155273</v>
      </c>
      <c r="J254" s="174" t="n">
        <v>30.0400009155273</v>
      </c>
      <c r="K254" s="174" t="n">
        <v>30.0400009155273</v>
      </c>
      <c r="L254" s="141"/>
      <c r="M254" s="14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14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0"/>
      <c r="CP254" s="0"/>
      <c r="CQ254" s="0"/>
      <c r="CR254" s="0"/>
      <c r="CS254" s="0"/>
      <c r="CT254" s="0"/>
      <c r="CY254" s="180" t="n">
        <f aca="false">EOMONTH(CY253,0)+1</f>
        <v>44197</v>
      </c>
      <c r="CZ254" s="181" t="n">
        <f aca="false">IF(AI254=0,CZ242,AH254+AI254)</f>
        <v>0</v>
      </c>
      <c r="DA254" s="181" t="n">
        <f aca="false">IF(AI254=0,DA242,AI254)</f>
        <v>0</v>
      </c>
      <c r="DB254" s="181" t="n">
        <f aca="false">IF(AI254=0,DB242,AI254+AJ254)</f>
        <v>0</v>
      </c>
      <c r="DD254" s="161" t="n">
        <f aca="false">IF(Z254=0,DD242,Z254)</f>
        <v>0</v>
      </c>
      <c r="DE254" s="161" t="n">
        <f aca="false">IF(AA254=0,DE242,AA254)</f>
        <v>0</v>
      </c>
      <c r="DF254" s="161" t="n">
        <f aca="false">IF(AB254=0,DF242,AB254)</f>
        <v>0</v>
      </c>
      <c r="DH254" s="180" t="n">
        <f aca="false">IF(BH254=0,EOMONTH(DH253,0)+1,BH254)</f>
        <v>44197</v>
      </c>
      <c r="DI254" s="231" t="n">
        <f aca="false">IF(BI254=0,DI242,BI254)</f>
        <v>0</v>
      </c>
      <c r="DL254" s="180" t="n">
        <f aca="false">IF($M254=0,EOMONTH(DL253,0)+1,$M254)</f>
        <v>44197</v>
      </c>
      <c r="DM254" s="181" t="n">
        <f aca="false">IF(AV254=0,DM242,AU254+AV254)</f>
        <v>0</v>
      </c>
      <c r="DN254" s="181" t="n">
        <f aca="false">IF(AM254=0,DN242,AM254)</f>
        <v>0</v>
      </c>
      <c r="DO254" s="181" t="n">
        <f aca="false">IF(AV254=0,DO242,AV254+AW254)</f>
        <v>0</v>
      </c>
      <c r="DQ254" s="181" t="n">
        <f aca="false">AD254</f>
        <v>0</v>
      </c>
      <c r="DR254" s="181" t="n">
        <f aca="false">AE254</f>
        <v>0</v>
      </c>
      <c r="DS254" s="181" t="n">
        <f aca="false">AF254</f>
        <v>0</v>
      </c>
    </row>
    <row r="255" customFormat="false" ht="12.75" hidden="false" customHeight="false" outlineLevel="0" collapsed="false">
      <c r="A255" s="145" t="n">
        <f aca="false">EOMONTH(A254,0)+1</f>
        <v>53297</v>
      </c>
      <c r="B255" s="135" t="n">
        <f aca="false">'Gas Curves'!C259</f>
        <v>0.0674093492050392</v>
      </c>
      <c r="C255" s="135"/>
      <c r="D255" s="173" t="n">
        <v>43344</v>
      </c>
      <c r="E255" s="174" t="n">
        <v>31.7099990844727</v>
      </c>
      <c r="F255" s="174" t="n">
        <v>33.2099990844727</v>
      </c>
      <c r="G255" s="174" t="n">
        <v>34.7099990844727</v>
      </c>
      <c r="H255" s="159"/>
      <c r="I255" s="174" t="n">
        <v>24.0400009155273</v>
      </c>
      <c r="J255" s="174" t="n">
        <v>24.0400009155273</v>
      </c>
      <c r="K255" s="174" t="n">
        <v>24.0400009155273</v>
      </c>
      <c r="L255" s="141"/>
      <c r="M255" s="14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14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0"/>
      <c r="CP255" s="0"/>
      <c r="CQ255" s="0"/>
      <c r="CR255" s="0"/>
      <c r="CS255" s="0"/>
      <c r="CT255" s="0"/>
      <c r="CY255" s="180" t="n">
        <f aca="false">EOMONTH(CY254,0)+1</f>
        <v>44228</v>
      </c>
      <c r="CZ255" s="181" t="n">
        <f aca="false">IF(AI255=0,CZ243,AH255+AI255)</f>
        <v>0.2</v>
      </c>
      <c r="DA255" s="181" t="n">
        <f aca="false">IF(AI255=0,DA243,AI255)</f>
        <v>0.25</v>
      </c>
      <c r="DB255" s="181" t="n">
        <f aca="false">IF(AI255=0,DB243,AI255+AJ255)</f>
        <v>0.3</v>
      </c>
      <c r="DD255" s="161" t="n">
        <f aca="false">IF(Z255=0,DD243,Z255)</f>
        <v>0.16</v>
      </c>
      <c r="DE255" s="161" t="n">
        <f aca="false">IF(AA255=0,DE243,AA255)</f>
        <v>0.2</v>
      </c>
      <c r="DF255" s="161" t="n">
        <f aca="false">IF(AB255=0,DF243,AB255)</f>
        <v>0.24</v>
      </c>
      <c r="DH255" s="180" t="n">
        <f aca="false">IF(BH255=0,EOMONTH(DH254,0)+1,BH255)</f>
        <v>44228</v>
      </c>
      <c r="DI255" s="231" t="n">
        <f aca="false">IF(BI255=0,DI243,BI255)</f>
        <v>0.75</v>
      </c>
      <c r="DL255" s="180" t="n">
        <f aca="false">IF($M255=0,EOMONTH(DL254,0)+1,$M255)</f>
        <v>44228</v>
      </c>
      <c r="DM255" s="181" t="n">
        <f aca="false">IF(AV255=0,DM243,AU255+AV255)</f>
        <v>0.12</v>
      </c>
      <c r="DN255" s="181" t="n">
        <f aca="false">IF(AM255=0,DN243,AM255)</f>
        <v>0.15</v>
      </c>
      <c r="DO255" s="181" t="n">
        <f aca="false">IF(AV255=0,DO243,AV255+AW255)</f>
        <v>0.18</v>
      </c>
      <c r="DQ255" s="181" t="n">
        <f aca="false">AD255</f>
        <v>0</v>
      </c>
      <c r="DR255" s="181" t="n">
        <f aca="false">AE255</f>
        <v>0</v>
      </c>
      <c r="DS255" s="181" t="n">
        <f aca="false">AF255</f>
        <v>0</v>
      </c>
    </row>
    <row r="256" customFormat="false" ht="12.75" hidden="false" customHeight="false" outlineLevel="0" collapsed="false">
      <c r="A256" s="145" t="n">
        <f aca="false">EOMONTH(A255,0)+1</f>
        <v>53328</v>
      </c>
      <c r="B256" s="135" t="n">
        <f aca="false">'Gas Curves'!C260</f>
        <v>0.0674061460717987</v>
      </c>
      <c r="C256" s="135"/>
      <c r="D256" s="173" t="n">
        <v>43374</v>
      </c>
      <c r="E256" s="174" t="n">
        <v>35.8615688085556</v>
      </c>
      <c r="F256" s="174" t="n">
        <v>37.3615688085556</v>
      </c>
      <c r="G256" s="174" t="n">
        <v>38.8615688085556</v>
      </c>
      <c r="H256" s="159"/>
      <c r="I256" s="174" t="n">
        <v>23.540002822876</v>
      </c>
      <c r="J256" s="174" t="n">
        <v>23.540002822876</v>
      </c>
      <c r="K256" s="174" t="n">
        <v>23.540002822876</v>
      </c>
      <c r="L256" s="141"/>
      <c r="M256" s="14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14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0"/>
      <c r="CP256" s="0"/>
      <c r="CQ256" s="0"/>
      <c r="CR256" s="0"/>
      <c r="CS256" s="0"/>
      <c r="CT256" s="0"/>
      <c r="CY256" s="180" t="n">
        <f aca="false">EOMONTH(CY255,0)+1</f>
        <v>44256</v>
      </c>
      <c r="CZ256" s="181" t="n">
        <f aca="false">IF(AI256=0,CZ244,AH256+AI256)</f>
        <v>0.2</v>
      </c>
      <c r="DA256" s="181" t="n">
        <f aca="false">IF(AI256=0,DA244,AI256)</f>
        <v>0.25</v>
      </c>
      <c r="DB256" s="181" t="n">
        <f aca="false">IF(AI256=0,DB244,AI256+AJ256)</f>
        <v>0.3</v>
      </c>
      <c r="DD256" s="161" t="n">
        <f aca="false">IF(Z256=0,DD244,Z256)</f>
        <v>0.16</v>
      </c>
      <c r="DE256" s="161" t="n">
        <f aca="false">IF(AA256=0,DE244,AA256)</f>
        <v>0.2</v>
      </c>
      <c r="DF256" s="161" t="n">
        <f aca="false">IF(AB256=0,DF244,AB256)</f>
        <v>0.24</v>
      </c>
      <c r="DH256" s="180" t="n">
        <f aca="false">IF(BH256=0,EOMONTH(DH255,0)+1,BH256)</f>
        <v>44256</v>
      </c>
      <c r="DI256" s="231" t="n">
        <f aca="false">IF(BI256=0,DI244,BI256)</f>
        <v>0.75</v>
      </c>
      <c r="DL256" s="180" t="n">
        <f aca="false">IF($M256=0,EOMONTH(DL255,0)+1,$M256)</f>
        <v>44256</v>
      </c>
      <c r="DM256" s="181" t="n">
        <f aca="false">IF(AV256=0,DM244,AU256+AV256)</f>
        <v>0.12</v>
      </c>
      <c r="DN256" s="181" t="n">
        <f aca="false">IF(AM256=0,DN244,AM256)</f>
        <v>0.15</v>
      </c>
      <c r="DO256" s="181" t="n">
        <f aca="false">IF(AV256=0,DO244,AV256+AW256)</f>
        <v>0.18</v>
      </c>
      <c r="DQ256" s="181" t="n">
        <f aca="false">AD256</f>
        <v>0</v>
      </c>
      <c r="DR256" s="181" t="n">
        <f aca="false">AE256</f>
        <v>0</v>
      </c>
      <c r="DS256" s="181" t="n">
        <f aca="false">AF256</f>
        <v>0</v>
      </c>
    </row>
    <row r="257" customFormat="false" ht="12.75" hidden="false" customHeight="false" outlineLevel="0" collapsed="false">
      <c r="A257" s="145" t="n">
        <f aca="false">EOMONTH(A256,0)+1</f>
        <v>53359</v>
      </c>
      <c r="B257" s="135" t="n">
        <f aca="false">'Gas Curves'!C261</f>
        <v>0.0674029429385619</v>
      </c>
      <c r="C257" s="135"/>
      <c r="D257" s="173" t="n">
        <v>43405</v>
      </c>
      <c r="E257" s="174" t="n">
        <v>35.9615672826767</v>
      </c>
      <c r="F257" s="174" t="n">
        <v>37.4615672826767</v>
      </c>
      <c r="G257" s="174" t="n">
        <v>38.9615672826767</v>
      </c>
      <c r="H257" s="159"/>
      <c r="I257" s="174" t="n">
        <v>24.5400009155273</v>
      </c>
      <c r="J257" s="174" t="n">
        <v>24.5400009155273</v>
      </c>
      <c r="K257" s="174" t="n">
        <v>24.5400009155273</v>
      </c>
      <c r="L257" s="141"/>
      <c r="M257" s="14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14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0"/>
      <c r="CI257" s="0"/>
      <c r="CJ257" s="0"/>
      <c r="CK257" s="0"/>
      <c r="CP257" s="0"/>
      <c r="CQ257" s="0"/>
      <c r="CR257" s="0"/>
      <c r="CS257" s="0"/>
      <c r="CT257" s="0"/>
      <c r="CY257" s="180" t="n">
        <f aca="false">EOMONTH(CY256,0)+1</f>
        <v>44287</v>
      </c>
      <c r="CZ257" s="181" t="n">
        <f aca="false">IF(AI257=0,CZ245,AH257+AI257)</f>
        <v>0.2</v>
      </c>
      <c r="DA257" s="181" t="n">
        <f aca="false">IF(AI257=0,DA245,AI257)</f>
        <v>0.25</v>
      </c>
      <c r="DB257" s="181" t="n">
        <f aca="false">IF(AI257=0,DB245,AI257+AJ257)</f>
        <v>0.3</v>
      </c>
      <c r="DD257" s="161" t="n">
        <f aca="false">IF(Z257=0,DD245,Z257)</f>
        <v>0.16</v>
      </c>
      <c r="DE257" s="161" t="n">
        <f aca="false">IF(AA257=0,DE245,AA257)</f>
        <v>0.2</v>
      </c>
      <c r="DF257" s="161" t="n">
        <f aca="false">IF(AB257=0,DF245,AB257)</f>
        <v>0.24</v>
      </c>
      <c r="DH257" s="180" t="n">
        <f aca="false">IF(BH257=0,EOMONTH(DH256,0)+1,BH257)</f>
        <v>44287</v>
      </c>
      <c r="DI257" s="231" t="n">
        <f aca="false">IF(BI257=0,DI245,BI257)</f>
        <v>0.75</v>
      </c>
      <c r="DL257" s="180" t="n">
        <f aca="false">IF($M257=0,EOMONTH(DL256,0)+1,$M257)</f>
        <v>44287</v>
      </c>
      <c r="DM257" s="181" t="n">
        <f aca="false">IF(AV257=0,DM245,AU257+AV257)</f>
        <v>0.12</v>
      </c>
      <c r="DN257" s="181" t="n">
        <f aca="false">IF(AM257=0,DN245,AM257)</f>
        <v>0.15</v>
      </c>
      <c r="DO257" s="181" t="n">
        <f aca="false">IF(AV257=0,DO245,AV257+AW257)</f>
        <v>0.18</v>
      </c>
      <c r="DQ257" s="181" t="n">
        <f aca="false">AD257</f>
        <v>0</v>
      </c>
      <c r="DR257" s="181" t="n">
        <f aca="false">AE257</f>
        <v>0</v>
      </c>
      <c r="DS257" s="181" t="n">
        <f aca="false">AF257</f>
        <v>0</v>
      </c>
    </row>
    <row r="258" customFormat="false" ht="12.75" hidden="false" customHeight="false" outlineLevel="0" collapsed="false">
      <c r="A258" s="145" t="n">
        <f aca="false">EOMONTH(A257,0)+1</f>
        <v>53387</v>
      </c>
      <c r="B258" s="135" t="n">
        <f aca="false">'Gas Curves'!C262</f>
        <v>0.0673998431322067</v>
      </c>
      <c r="C258" s="135"/>
      <c r="D258" s="173" t="n">
        <v>43435</v>
      </c>
      <c r="E258" s="174" t="n">
        <v>36.0615657567978</v>
      </c>
      <c r="F258" s="174" t="n">
        <v>37.5615657567978</v>
      </c>
      <c r="G258" s="174" t="n">
        <v>39.0615657567978</v>
      </c>
      <c r="H258" s="232"/>
      <c r="I258" s="174" t="n">
        <v>26.7900009155273</v>
      </c>
      <c r="J258" s="174" t="n">
        <v>26.7900009155273</v>
      </c>
      <c r="K258" s="174" t="n">
        <v>26.7900009155273</v>
      </c>
      <c r="L258" s="141"/>
      <c r="M258" s="14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14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0"/>
      <c r="CI258" s="0"/>
      <c r="CJ258" s="0"/>
      <c r="CK258" s="0"/>
      <c r="CP258" s="0"/>
      <c r="CQ258" s="0"/>
      <c r="CR258" s="0"/>
      <c r="CS258" s="0"/>
      <c r="CT258" s="0"/>
      <c r="CY258" s="180" t="n">
        <f aca="false">EOMONTH(CY257,0)+1</f>
        <v>44317</v>
      </c>
      <c r="CZ258" s="181" t="n">
        <f aca="false">IF(AI258=0,CZ246,AH258+AI258)</f>
        <v>0.2</v>
      </c>
      <c r="DA258" s="181" t="n">
        <f aca="false">IF(AI258=0,DA246,AI258)</f>
        <v>0.25</v>
      </c>
      <c r="DB258" s="181" t="n">
        <f aca="false">IF(AI258=0,DB246,AI258+AJ258)</f>
        <v>0.3</v>
      </c>
      <c r="DD258" s="161" t="n">
        <f aca="false">IF(Z258=0,DD246,Z258)</f>
        <v>0.16</v>
      </c>
      <c r="DE258" s="161" t="n">
        <f aca="false">IF(AA258=0,DE246,AA258)</f>
        <v>0.2</v>
      </c>
      <c r="DF258" s="161" t="n">
        <f aca="false">IF(AB258=0,DF246,AB258)</f>
        <v>0.24</v>
      </c>
      <c r="DH258" s="180" t="n">
        <f aca="false">IF(BH258=0,EOMONTH(DH257,0)+1,BH258)</f>
        <v>44317</v>
      </c>
      <c r="DI258" s="231" t="n">
        <f aca="false">IF(BI258=0,DI246,BI258)</f>
        <v>0.75</v>
      </c>
      <c r="DL258" s="180" t="n">
        <f aca="false">IF($M258=0,EOMONTH(DL257,0)+1,$M258)</f>
        <v>44317</v>
      </c>
      <c r="DM258" s="181" t="n">
        <f aca="false">IF(AV258=0,DM246,AU258+AV258)</f>
        <v>0.12</v>
      </c>
      <c r="DN258" s="181" t="n">
        <f aca="false">IF(AM258=0,DN246,AM258)</f>
        <v>0.15</v>
      </c>
      <c r="DO258" s="181" t="n">
        <f aca="false">IF(AV258=0,DO246,AV258+AW258)</f>
        <v>0.18</v>
      </c>
      <c r="DQ258" s="181" t="n">
        <f aca="false">AD258</f>
        <v>0</v>
      </c>
      <c r="DR258" s="181" t="n">
        <f aca="false">AE258</f>
        <v>0</v>
      </c>
      <c r="DS258" s="181" t="n">
        <f aca="false">AF258</f>
        <v>0</v>
      </c>
    </row>
    <row r="259" customFormat="false" ht="12.75" hidden="false" customHeight="false" outlineLevel="0" collapsed="false">
      <c r="A259" s="145" t="n">
        <f aca="false">EOMONTH(A258,0)+1</f>
        <v>53418</v>
      </c>
      <c r="B259" s="135" t="n">
        <f aca="false">'Gas Curves'!C263</f>
        <v>0.067396639998976</v>
      </c>
      <c r="C259" s="135"/>
      <c r="D259" s="173" t="n">
        <v>43466</v>
      </c>
      <c r="E259" s="174" t="n">
        <v>39.4957144601004</v>
      </c>
      <c r="F259" s="174" t="n">
        <v>40.9957144601004</v>
      </c>
      <c r="G259" s="174" t="n">
        <v>42.4957144601004</v>
      </c>
      <c r="H259" s="232"/>
      <c r="I259" s="174" t="n">
        <v>29</v>
      </c>
      <c r="J259" s="174" t="n">
        <v>29</v>
      </c>
      <c r="K259" s="174" t="n">
        <v>29</v>
      </c>
      <c r="L259" s="141"/>
      <c r="M259" s="14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14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0"/>
      <c r="CI259" s="0"/>
      <c r="CJ259" s="0"/>
      <c r="CK259" s="0"/>
      <c r="CP259" s="0"/>
      <c r="CQ259" s="0"/>
      <c r="CR259" s="0"/>
      <c r="CS259" s="0"/>
      <c r="CT259" s="0"/>
      <c r="CY259" s="180" t="n">
        <f aca="false">EOMONTH(CY258,0)+1</f>
        <v>44348</v>
      </c>
      <c r="CZ259" s="181" t="n">
        <f aca="false">IF(AI259=0,CZ247,AH259+AI259)</f>
        <v>0.2</v>
      </c>
      <c r="DA259" s="181" t="n">
        <f aca="false">IF(AI259=0,DA247,AI259)</f>
        <v>0.25</v>
      </c>
      <c r="DB259" s="181" t="n">
        <f aca="false">IF(AI259=0,DB247,AI259+AJ259)</f>
        <v>0.3</v>
      </c>
      <c r="DD259" s="161" t="n">
        <f aca="false">IF(Z259=0,DD247,Z259)</f>
        <v>0.16</v>
      </c>
      <c r="DE259" s="161" t="n">
        <f aca="false">IF(AA259=0,DE247,AA259)</f>
        <v>0.2</v>
      </c>
      <c r="DF259" s="161" t="n">
        <f aca="false">IF(AB259=0,DF247,AB259)</f>
        <v>0.24</v>
      </c>
      <c r="DH259" s="180" t="n">
        <f aca="false">IF(BH259=0,EOMONTH(DH258,0)+1,BH259)</f>
        <v>44348</v>
      </c>
      <c r="DI259" s="231" t="n">
        <f aca="false">IF(BI259=0,DI247,BI259)</f>
        <v>0.75</v>
      </c>
      <c r="DL259" s="180" t="n">
        <f aca="false">IF($M259=0,EOMONTH(DL258,0)+1,$M259)</f>
        <v>44348</v>
      </c>
      <c r="DM259" s="181" t="n">
        <f aca="false">IF(AV259=0,DM247,AU259+AV259)</f>
        <v>0.12</v>
      </c>
      <c r="DN259" s="181" t="n">
        <f aca="false">IF(AM259=0,DN247,AM259)</f>
        <v>0.15</v>
      </c>
      <c r="DO259" s="181" t="n">
        <f aca="false">IF(AV259=0,DO247,AV259+AW259)</f>
        <v>0.18</v>
      </c>
      <c r="DQ259" s="181" t="n">
        <f aca="false">AD259</f>
        <v>0</v>
      </c>
      <c r="DR259" s="181" t="n">
        <f aca="false">AE259</f>
        <v>0</v>
      </c>
      <c r="DS259" s="181" t="n">
        <f aca="false">AF259</f>
        <v>0</v>
      </c>
    </row>
    <row r="260" customFormat="false" ht="12.75" hidden="false" customHeight="false" outlineLevel="0" collapsed="false">
      <c r="A260" s="145" t="n">
        <f aca="false">EOMONTH(A259,0)+1</f>
        <v>53448</v>
      </c>
      <c r="B260" s="135" t="n">
        <f aca="false">'Gas Curves'!C264</f>
        <v>0.0673935401926276</v>
      </c>
      <c r="C260" s="135"/>
      <c r="D260" s="173" t="n">
        <v>43497</v>
      </c>
      <c r="E260" s="174" t="n">
        <v>38.8957121712821</v>
      </c>
      <c r="F260" s="174" t="n">
        <v>40.3957121712821</v>
      </c>
      <c r="G260" s="174" t="n">
        <v>41.8957121712821</v>
      </c>
      <c r="H260" s="232"/>
      <c r="I260" s="174" t="n">
        <v>27.5</v>
      </c>
      <c r="J260" s="174" t="n">
        <v>27.5</v>
      </c>
      <c r="K260" s="174" t="n">
        <v>27.5</v>
      </c>
      <c r="L260" s="141"/>
      <c r="M260" s="14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14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0"/>
      <c r="CI260" s="0"/>
      <c r="CJ260" s="0"/>
      <c r="CK260" s="0"/>
      <c r="CP260" s="0"/>
      <c r="CQ260" s="0"/>
      <c r="CR260" s="0"/>
      <c r="CS260" s="0"/>
      <c r="CT260" s="0"/>
      <c r="CY260" s="180" t="n">
        <f aca="false">EOMONTH(CY259,0)+1</f>
        <v>44378</v>
      </c>
      <c r="CZ260" s="181" t="n">
        <f aca="false">IF(AI260=0,CZ248,AH260+AI260)</f>
        <v>0.32</v>
      </c>
      <c r="DA260" s="181" t="n">
        <f aca="false">IF(AI260=0,DA248,AI260)</f>
        <v>0.4</v>
      </c>
      <c r="DB260" s="181" t="n">
        <f aca="false">IF(AI260=0,DB248,AI260+AJ260)</f>
        <v>0.48</v>
      </c>
      <c r="DD260" s="161" t="n">
        <f aca="false">IF(Z260=0,DD248,Z260)</f>
        <v>0.24</v>
      </c>
      <c r="DE260" s="161" t="n">
        <f aca="false">IF(AA260=0,DE248,AA260)</f>
        <v>0.3</v>
      </c>
      <c r="DF260" s="161" t="n">
        <f aca="false">IF(AB260=0,DF248,AB260)</f>
        <v>0.36</v>
      </c>
      <c r="DH260" s="180" t="n">
        <f aca="false">IF(BH260=0,EOMONTH(DH259,0)+1,BH260)</f>
        <v>44378</v>
      </c>
      <c r="DI260" s="231" t="n">
        <f aca="false">IF(BI260=0,DI248,BI260)</f>
        <v>0.75</v>
      </c>
      <c r="DL260" s="180" t="n">
        <f aca="false">IF($M260=0,EOMONTH(DL259,0)+1,$M260)</f>
        <v>44378</v>
      </c>
      <c r="DM260" s="181" t="n">
        <f aca="false">IF(AV260=0,DM248,AU260+AV260)</f>
        <v>0.192</v>
      </c>
      <c r="DN260" s="181" t="n">
        <f aca="false">IF(AM260=0,DN248,AM260)</f>
        <v>0.24</v>
      </c>
      <c r="DO260" s="181" t="n">
        <f aca="false">IF(AV260=0,DO248,AV260+AW260)</f>
        <v>0.288</v>
      </c>
      <c r="DQ260" s="181" t="n">
        <f aca="false">AD260</f>
        <v>0</v>
      </c>
      <c r="DR260" s="181" t="n">
        <f aca="false">AE260</f>
        <v>0</v>
      </c>
      <c r="DS260" s="181" t="n">
        <f aca="false">AF260</f>
        <v>0</v>
      </c>
    </row>
    <row r="261" customFormat="false" ht="12.75" hidden="false" customHeight="false" outlineLevel="0" collapsed="false">
      <c r="A261" s="145" t="n">
        <f aca="false">EOMONTH(A260,0)+1</f>
        <v>53479</v>
      </c>
      <c r="B261" s="135" t="n">
        <f aca="false">'Gas Curves'!C265</f>
        <v>0.067390337059404</v>
      </c>
      <c r="C261" s="135"/>
      <c r="D261" s="173" t="n">
        <v>43525</v>
      </c>
      <c r="E261" s="174" t="n">
        <v>37.6076808308446</v>
      </c>
      <c r="F261" s="174" t="n">
        <v>39.1076808308446</v>
      </c>
      <c r="G261" s="174" t="n">
        <v>40.6076808308446</v>
      </c>
      <c r="H261" s="232"/>
      <c r="I261" s="174" t="n">
        <v>28.5</v>
      </c>
      <c r="J261" s="174" t="n">
        <v>28.5</v>
      </c>
      <c r="K261" s="174" t="n">
        <v>28.5</v>
      </c>
      <c r="L261" s="141"/>
      <c r="M261" s="14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14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0"/>
      <c r="CI261" s="0"/>
      <c r="CJ261" s="0"/>
      <c r="CK261" s="0"/>
      <c r="CP261" s="0"/>
      <c r="CQ261" s="0"/>
      <c r="CR261" s="0"/>
      <c r="CS261" s="0"/>
      <c r="CT261" s="0"/>
      <c r="CY261" s="180" t="n">
        <f aca="false">EOMONTH(CY260,0)+1</f>
        <v>44409</v>
      </c>
      <c r="CZ261" s="181" t="n">
        <f aca="false">IF(AI261=0,CZ249,AH261+AI261)</f>
        <v>0.32</v>
      </c>
      <c r="DA261" s="181" t="n">
        <f aca="false">IF(AI261=0,DA249,AI261)</f>
        <v>0.4</v>
      </c>
      <c r="DB261" s="181" t="n">
        <f aca="false">IF(AI261=0,DB249,AI261+AJ261)</f>
        <v>0.48</v>
      </c>
      <c r="DD261" s="161" t="n">
        <f aca="false">IF(Z261=0,DD249,Z261)</f>
        <v>0.24</v>
      </c>
      <c r="DE261" s="161" t="n">
        <f aca="false">IF(AA261=0,DE249,AA261)</f>
        <v>0.3</v>
      </c>
      <c r="DF261" s="161" t="n">
        <f aca="false">IF(AB261=0,DF249,AB261)</f>
        <v>0.36</v>
      </c>
      <c r="DH261" s="180" t="n">
        <f aca="false">IF(BH261=0,EOMONTH(DH260,0)+1,BH261)</f>
        <v>44409</v>
      </c>
      <c r="DI261" s="231" t="n">
        <f aca="false">IF(BI261=0,DI249,BI261)</f>
        <v>0.75</v>
      </c>
      <c r="DL261" s="180" t="n">
        <f aca="false">IF($M261=0,EOMONTH(DL260,0)+1,$M261)</f>
        <v>44409</v>
      </c>
      <c r="DM261" s="181" t="n">
        <f aca="false">IF(AV261=0,DM249,AU261+AV261)</f>
        <v>0.192</v>
      </c>
      <c r="DN261" s="181" t="n">
        <f aca="false">IF(AM261=0,DN249,AM261)</f>
        <v>0.24</v>
      </c>
      <c r="DO261" s="181" t="n">
        <f aca="false">IF(AV261=0,DO249,AV261+AW261)</f>
        <v>0.288</v>
      </c>
      <c r="DQ261" s="181" t="n">
        <f aca="false">AD261</f>
        <v>0</v>
      </c>
      <c r="DR261" s="181" t="n">
        <f aca="false">AE261</f>
        <v>0</v>
      </c>
      <c r="DS261" s="181" t="n">
        <f aca="false">AF261</f>
        <v>0</v>
      </c>
    </row>
    <row r="262" customFormat="false" ht="12.75" hidden="false" customHeight="false" outlineLevel="0" collapsed="false">
      <c r="A262" s="145" t="n">
        <f aca="false">EOMONTH(A261,0)+1</f>
        <v>53509</v>
      </c>
      <c r="B262" s="135" t="n">
        <f aca="false">'Gas Curves'!C266</f>
        <v>0.0673871339261836</v>
      </c>
      <c r="C262" s="135"/>
      <c r="D262" s="173" t="n">
        <v>43556</v>
      </c>
      <c r="E262" s="174" t="n">
        <v>37.8076815937841</v>
      </c>
      <c r="F262" s="174" t="n">
        <v>39.3076815937841</v>
      </c>
      <c r="G262" s="174" t="n">
        <v>40.8076815937841</v>
      </c>
      <c r="H262" s="232"/>
      <c r="I262" s="174" t="n">
        <v>25.5</v>
      </c>
      <c r="J262" s="174" t="n">
        <v>25.5</v>
      </c>
      <c r="K262" s="174" t="n">
        <v>25.5</v>
      </c>
      <c r="L262" s="141"/>
      <c r="M262" s="14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14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0"/>
      <c r="CI262" s="0"/>
      <c r="CJ262" s="0"/>
      <c r="CK262" s="0"/>
      <c r="CP262" s="0"/>
      <c r="CQ262" s="0"/>
      <c r="CR262" s="0"/>
      <c r="CS262" s="0"/>
      <c r="CT262" s="0"/>
      <c r="CY262" s="180" t="n">
        <f aca="false">EOMONTH(CY261,0)+1</f>
        <v>44440</v>
      </c>
      <c r="CZ262" s="181" t="n">
        <f aca="false">IF(AI262=0,CZ250,AH262+AI262)</f>
        <v>0.2</v>
      </c>
      <c r="DA262" s="181" t="n">
        <f aca="false">IF(AI262=0,DA250,AI262)</f>
        <v>0.25</v>
      </c>
      <c r="DB262" s="181" t="n">
        <f aca="false">IF(AI262=0,DB250,AI262+AJ262)</f>
        <v>0.3</v>
      </c>
      <c r="DD262" s="161" t="n">
        <f aca="false">IF(Z262=0,DD250,Z262)</f>
        <v>0.16</v>
      </c>
      <c r="DE262" s="161" t="n">
        <f aca="false">IF(AA262=0,DE250,AA262)</f>
        <v>0.2</v>
      </c>
      <c r="DF262" s="161" t="n">
        <f aca="false">IF(AB262=0,DF250,AB262)</f>
        <v>0.24</v>
      </c>
      <c r="DH262" s="180" t="n">
        <f aca="false">IF(BH262=0,EOMONTH(DH261,0)+1,BH262)</f>
        <v>44440</v>
      </c>
      <c r="DI262" s="231" t="n">
        <f aca="false">IF(BI262=0,DI250,BI262)</f>
        <v>0.75</v>
      </c>
      <c r="DL262" s="180" t="n">
        <f aca="false">IF($M262=0,EOMONTH(DL261,0)+1,$M262)</f>
        <v>44440</v>
      </c>
      <c r="DM262" s="181" t="n">
        <f aca="false">IF(AV262=0,DM250,AU262+AV262)</f>
        <v>0.12</v>
      </c>
      <c r="DN262" s="181" t="n">
        <f aca="false">IF(AM262=0,DN250,AM262)</f>
        <v>0.15</v>
      </c>
      <c r="DO262" s="181" t="n">
        <f aca="false">IF(AV262=0,DO250,AV262+AW262)</f>
        <v>0.18</v>
      </c>
      <c r="DQ262" s="181" t="n">
        <f aca="false">AD262</f>
        <v>0</v>
      </c>
      <c r="DR262" s="181" t="n">
        <f aca="false">AE262</f>
        <v>0</v>
      </c>
      <c r="DS262" s="181" t="n">
        <f aca="false">AF262</f>
        <v>0</v>
      </c>
    </row>
    <row r="263" customFormat="false" ht="12.75" hidden="false" customHeight="false" outlineLevel="0" collapsed="false">
      <c r="A263" s="145" t="n">
        <f aca="false">EOMONTH(A262,0)+1</f>
        <v>53540</v>
      </c>
      <c r="B263" s="135" t="n">
        <f aca="false">'Gas Curves'!C267</f>
        <v>0.0673842407736003</v>
      </c>
      <c r="C263" s="135"/>
      <c r="D263" s="173" t="n">
        <v>43586</v>
      </c>
      <c r="E263" s="174" t="n">
        <v>46.5850028991699</v>
      </c>
      <c r="F263" s="174" t="n">
        <v>49.0850028991699</v>
      </c>
      <c r="G263" s="174" t="n">
        <v>51.5850028991699</v>
      </c>
      <c r="H263" s="232"/>
      <c r="I263" s="174" t="n">
        <v>26.0400009155273</v>
      </c>
      <c r="J263" s="174" t="n">
        <v>26.0400009155273</v>
      </c>
      <c r="K263" s="174" t="n">
        <v>26.0400009155273</v>
      </c>
      <c r="L263" s="141"/>
      <c r="M263" s="14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14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0"/>
      <c r="CI263" s="0"/>
      <c r="CJ263" s="0"/>
      <c r="CK263" s="0"/>
      <c r="CP263" s="0"/>
      <c r="CQ263" s="0"/>
      <c r="CR263" s="0"/>
      <c r="CS263" s="0"/>
      <c r="CT263" s="0"/>
      <c r="CY263" s="180" t="n">
        <f aca="false">EOMONTH(CY262,0)+1</f>
        <v>44470</v>
      </c>
      <c r="CZ263" s="181" t="n">
        <f aca="false">IF(AI263=0,CZ251,AH263+AI263)</f>
        <v>0.2</v>
      </c>
      <c r="DA263" s="181" t="n">
        <f aca="false">IF(AI263=0,DA251,AI263)</f>
        <v>0.25</v>
      </c>
      <c r="DB263" s="181" t="n">
        <f aca="false">IF(AI263=0,DB251,AI263+AJ263)</f>
        <v>0.3</v>
      </c>
      <c r="DD263" s="161" t="n">
        <f aca="false">IF(Z263=0,DD251,Z263)</f>
        <v>0.16</v>
      </c>
      <c r="DE263" s="161" t="n">
        <f aca="false">IF(AA263=0,DE251,AA263)</f>
        <v>0.2</v>
      </c>
      <c r="DF263" s="161" t="n">
        <f aca="false">IF(AB263=0,DF251,AB263)</f>
        <v>0.24</v>
      </c>
      <c r="DH263" s="180" t="n">
        <f aca="false">IF(BH263=0,EOMONTH(DH262,0)+1,BH263)</f>
        <v>44470</v>
      </c>
      <c r="DI263" s="231" t="n">
        <f aca="false">IF(BI263=0,DI251,BI263)</f>
        <v>0.75</v>
      </c>
      <c r="DL263" s="180" t="n">
        <f aca="false">IF($M263=0,EOMONTH(DL262,0)+1,$M263)</f>
        <v>44470</v>
      </c>
      <c r="DM263" s="181" t="n">
        <f aca="false">IF(AV263=0,DM251,AU263+AV263)</f>
        <v>0.12</v>
      </c>
      <c r="DN263" s="181" t="n">
        <f aca="false">IF(AM263=0,DN251,AM263)</f>
        <v>0.15</v>
      </c>
      <c r="DO263" s="181" t="n">
        <f aca="false">IF(AV263=0,DO251,AV263+AW263)</f>
        <v>0.18</v>
      </c>
      <c r="DQ263" s="181" t="n">
        <f aca="false">AD263</f>
        <v>0</v>
      </c>
      <c r="DR263" s="181" t="n">
        <f aca="false">AE263</f>
        <v>0</v>
      </c>
      <c r="DS263" s="181" t="n">
        <f aca="false">AF263</f>
        <v>0</v>
      </c>
    </row>
    <row r="264" customFormat="false" ht="12.75" hidden="false" customHeight="false" outlineLevel="0" collapsed="false">
      <c r="A264" s="145" t="n">
        <f aca="false">EOMONTH(A263,0)+1</f>
        <v>53571</v>
      </c>
      <c r="B264" s="135" t="n">
        <f aca="false">'Gas Curves'!C268</f>
        <v>0.0673810376403865</v>
      </c>
      <c r="C264" s="135"/>
      <c r="D264" s="173" t="n">
        <v>43617</v>
      </c>
      <c r="E264" s="174" t="n">
        <v>60.625</v>
      </c>
      <c r="F264" s="174" t="n">
        <v>65.625</v>
      </c>
      <c r="G264" s="174" t="n">
        <v>70.625</v>
      </c>
      <c r="H264" s="232"/>
      <c r="I264" s="174" t="n">
        <v>29.0400009155273</v>
      </c>
      <c r="J264" s="174" t="n">
        <v>29.0400009155273</v>
      </c>
      <c r="K264" s="174" t="n">
        <v>29.0400009155273</v>
      </c>
      <c r="L264" s="141"/>
      <c r="M264" s="14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14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0"/>
      <c r="CI264" s="0"/>
      <c r="CJ264" s="0"/>
      <c r="CK264" s="0"/>
      <c r="CP264" s="0"/>
      <c r="CQ264" s="0"/>
      <c r="CR264" s="0"/>
      <c r="CS264" s="0"/>
      <c r="CT264" s="0"/>
      <c r="CY264" s="180" t="n">
        <f aca="false">EOMONTH(CY263,0)+1</f>
        <v>44501</v>
      </c>
      <c r="CZ264" s="181" t="n">
        <f aca="false">IF(AI264=0,CZ252,AH264+AI264)</f>
        <v>0.2</v>
      </c>
      <c r="DA264" s="181" t="n">
        <f aca="false">IF(AI264=0,DA252,AI264)</f>
        <v>0.25</v>
      </c>
      <c r="DB264" s="181" t="n">
        <f aca="false">IF(AI264=0,DB252,AI264+AJ264)</f>
        <v>0.3</v>
      </c>
      <c r="DD264" s="161" t="n">
        <f aca="false">IF(Z264=0,DD252,Z264)</f>
        <v>0.16</v>
      </c>
      <c r="DE264" s="161" t="n">
        <f aca="false">IF(AA264=0,DE252,AA264)</f>
        <v>0.2</v>
      </c>
      <c r="DF264" s="161" t="n">
        <f aca="false">IF(AB264=0,DF252,AB264)</f>
        <v>0.24</v>
      </c>
      <c r="DH264" s="180" t="n">
        <f aca="false">IF(BH264=0,EOMONTH(DH263,0)+1,BH264)</f>
        <v>44501</v>
      </c>
      <c r="DI264" s="231" t="n">
        <f aca="false">IF(BI264=0,DI252,BI264)</f>
        <v>0.75</v>
      </c>
      <c r="DL264" s="180" t="n">
        <f aca="false">IF($M264=0,EOMONTH(DL263,0)+1,$M264)</f>
        <v>44501</v>
      </c>
      <c r="DM264" s="181" t="n">
        <f aca="false">IF(AV264=0,DM252,AU264+AV264)</f>
        <v>0.12</v>
      </c>
      <c r="DN264" s="181" t="n">
        <f aca="false">IF(AM264=0,DN252,AM264)</f>
        <v>0.15</v>
      </c>
      <c r="DO264" s="181" t="n">
        <f aca="false">IF(AV264=0,DO252,AV264+AW264)</f>
        <v>0.18</v>
      </c>
      <c r="DQ264" s="181" t="n">
        <f aca="false">AD264</f>
        <v>0</v>
      </c>
      <c r="DR264" s="181" t="n">
        <f aca="false">AE264</f>
        <v>0</v>
      </c>
      <c r="DS264" s="181" t="n">
        <f aca="false">AF264</f>
        <v>0</v>
      </c>
    </row>
    <row r="265" customFormat="false" ht="12.75" hidden="false" customHeight="false" outlineLevel="0" collapsed="false">
      <c r="A265" s="145" t="n">
        <f aca="false">EOMONTH(A264,0)+1</f>
        <v>53601</v>
      </c>
      <c r="B265" s="135" t="n">
        <f aca="false">'Gas Curves'!C269</f>
        <v>0.067377937834054</v>
      </c>
      <c r="C265" s="135"/>
      <c r="D265" s="173" t="n">
        <v>43647</v>
      </c>
      <c r="E265" s="174" t="n">
        <v>66.25</v>
      </c>
      <c r="F265" s="174" t="n">
        <v>76.25</v>
      </c>
      <c r="G265" s="174" t="n">
        <v>86.25</v>
      </c>
      <c r="H265" s="232"/>
      <c r="I265" s="174" t="n">
        <v>29.5400009155273</v>
      </c>
      <c r="J265" s="174" t="n">
        <v>29.5400009155273</v>
      </c>
      <c r="K265" s="174" t="n">
        <v>29.5400009155273</v>
      </c>
      <c r="L265" s="141"/>
      <c r="M265" s="14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14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0"/>
      <c r="CI265" s="0"/>
      <c r="CJ265" s="0"/>
      <c r="CK265" s="0"/>
      <c r="CP265" s="0"/>
      <c r="CQ265" s="0"/>
      <c r="CR265" s="0"/>
      <c r="CS265" s="0"/>
      <c r="CT265" s="0"/>
      <c r="CY265" s="180" t="n">
        <f aca="false">EOMONTH(CY264,0)+1</f>
        <v>44531</v>
      </c>
      <c r="CZ265" s="181" t="n">
        <f aca="false">IF(AI265=0,CZ253,AH265+AI265)</f>
        <v>0.2</v>
      </c>
      <c r="DA265" s="181" t="n">
        <f aca="false">IF(AI265=0,DA253,AI265)</f>
        <v>0.25</v>
      </c>
      <c r="DB265" s="181" t="n">
        <f aca="false">IF(AI265=0,DB253,AI265+AJ265)</f>
        <v>0.3</v>
      </c>
      <c r="DD265" s="161" t="n">
        <f aca="false">IF(Z265=0,DD253,Z265)</f>
        <v>0.16</v>
      </c>
      <c r="DE265" s="161" t="n">
        <f aca="false">IF(AA265=0,DE253,AA265)</f>
        <v>0.2</v>
      </c>
      <c r="DF265" s="161" t="n">
        <f aca="false">IF(AB265=0,DF253,AB265)</f>
        <v>0.24</v>
      </c>
      <c r="DH265" s="180" t="n">
        <f aca="false">IF(BH265=0,EOMONTH(DH264,0)+1,BH265)</f>
        <v>44531</v>
      </c>
      <c r="DI265" s="231" t="n">
        <f aca="false">IF(BI265=0,DI253,BI265)</f>
        <v>0.75</v>
      </c>
      <c r="DL265" s="180" t="n">
        <f aca="false">IF($M265=0,EOMONTH(DL264,0)+1,$M265)</f>
        <v>44531</v>
      </c>
      <c r="DM265" s="181" t="n">
        <f aca="false">IF(AV265=0,DM253,AU265+AV265)</f>
        <v>0.12</v>
      </c>
      <c r="DN265" s="181" t="n">
        <f aca="false">IF(AM265=0,DN253,AM265)</f>
        <v>0.15</v>
      </c>
      <c r="DO265" s="181" t="n">
        <f aca="false">IF(AV265=0,DO253,AV265+AW265)</f>
        <v>0.18</v>
      </c>
      <c r="DQ265" s="181" t="n">
        <f aca="false">AD265</f>
        <v>0</v>
      </c>
      <c r="DR265" s="181" t="n">
        <f aca="false">AE265</f>
        <v>0</v>
      </c>
      <c r="DS265" s="181" t="n">
        <f aca="false">AF265</f>
        <v>0</v>
      </c>
    </row>
    <row r="266" customFormat="false" ht="12.75" hidden="false" customHeight="false" outlineLevel="0" collapsed="false">
      <c r="A266" s="145" t="n">
        <f aca="false">EOMONTH(A265,0)+1</f>
        <v>53632</v>
      </c>
      <c r="B266" s="135" t="n">
        <f aca="false">'Gas Curves'!C270</f>
        <v>0.0673747347008469</v>
      </c>
      <c r="C266" s="135"/>
      <c r="D266" s="173" t="n">
        <v>43678</v>
      </c>
      <c r="E266" s="174" t="n">
        <v>66.25</v>
      </c>
      <c r="F266" s="174" t="n">
        <v>76.25</v>
      </c>
      <c r="G266" s="174" t="n">
        <v>86.25</v>
      </c>
      <c r="H266" s="232"/>
      <c r="I266" s="174" t="n">
        <v>30.5400009155273</v>
      </c>
      <c r="J266" s="174" t="n">
        <v>30.5400009155273</v>
      </c>
      <c r="K266" s="174" t="n">
        <v>30.5400009155273</v>
      </c>
      <c r="L266" s="141"/>
      <c r="M266" s="14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14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0"/>
      <c r="CI266" s="0"/>
      <c r="CJ266" s="0"/>
      <c r="CK266" s="0"/>
      <c r="CP266" s="0"/>
      <c r="CQ266" s="0"/>
      <c r="CR266" s="0"/>
      <c r="CS266" s="0"/>
      <c r="CT266" s="0"/>
      <c r="CY266" s="180" t="n">
        <f aca="false">EOMONTH(CY265,0)+1</f>
        <v>44562</v>
      </c>
      <c r="CZ266" s="181" t="n">
        <f aca="false">IF(AI266=0,CZ254,AH266+AI266)</f>
        <v>0</v>
      </c>
      <c r="DA266" s="181" t="n">
        <f aca="false">IF(AI266=0,DA254,AI266)</f>
        <v>0</v>
      </c>
      <c r="DB266" s="181" t="n">
        <f aca="false">IF(AI266=0,DB254,AI266+AJ266)</f>
        <v>0</v>
      </c>
      <c r="DD266" s="161" t="n">
        <f aca="false">IF(Z266=0,DD254,Z266)</f>
        <v>0</v>
      </c>
      <c r="DE266" s="161" t="n">
        <f aca="false">IF(AA266=0,DE254,AA266)</f>
        <v>0</v>
      </c>
      <c r="DF266" s="161" t="n">
        <f aca="false">IF(AB266=0,DF254,AB266)</f>
        <v>0</v>
      </c>
      <c r="DH266" s="180" t="n">
        <f aca="false">IF(BH266=0,EOMONTH(DH265,0)+1,BH266)</f>
        <v>44562</v>
      </c>
      <c r="DI266" s="231" t="n">
        <f aca="false">IF(BI266=0,DI254,BI266)</f>
        <v>0</v>
      </c>
      <c r="DL266" s="180" t="n">
        <f aca="false">IF($M266=0,EOMONTH(DL265,0)+1,$M266)</f>
        <v>44562</v>
      </c>
      <c r="DM266" s="181" t="n">
        <f aca="false">IF(AV266=0,DM254,AU266+AV266)</f>
        <v>0</v>
      </c>
      <c r="DN266" s="181" t="n">
        <f aca="false">IF(AM266=0,DN254,AM266)</f>
        <v>0</v>
      </c>
      <c r="DO266" s="181" t="n">
        <f aca="false">IF(AV266=0,DO254,AV266+AW266)</f>
        <v>0</v>
      </c>
      <c r="DQ266" s="181" t="n">
        <f aca="false">AD266</f>
        <v>0</v>
      </c>
      <c r="DR266" s="181" t="n">
        <f aca="false">AE266</f>
        <v>0</v>
      </c>
      <c r="DS266" s="181" t="n">
        <f aca="false">AF266</f>
        <v>0</v>
      </c>
    </row>
    <row r="267" customFormat="false" ht="12.75" hidden="false" customHeight="false" outlineLevel="0" collapsed="false">
      <c r="A267" s="145" t="n">
        <f aca="false">EOMONTH(A266,0)+1</f>
        <v>53662</v>
      </c>
      <c r="B267" s="135" t="n">
        <f aca="false">'Gas Curves'!C271</f>
        <v>0.0673716348945206</v>
      </c>
      <c r="C267" s="135"/>
      <c r="D267" s="173" t="n">
        <v>43709</v>
      </c>
      <c r="E267" s="174" t="n">
        <v>31.9599990844727</v>
      </c>
      <c r="F267" s="174" t="n">
        <v>33.4599990844727</v>
      </c>
      <c r="G267" s="174" t="n">
        <v>34.9599990844727</v>
      </c>
      <c r="H267" s="232"/>
      <c r="I267" s="174" t="n">
        <v>24.5400009155273</v>
      </c>
      <c r="J267" s="174" t="n">
        <v>24.5400009155273</v>
      </c>
      <c r="K267" s="174" t="n">
        <v>24.5400009155273</v>
      </c>
      <c r="L267" s="141"/>
      <c r="M267" s="14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14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0"/>
      <c r="CI267" s="0"/>
      <c r="CJ267" s="0"/>
      <c r="CK267" s="0"/>
      <c r="CP267" s="0"/>
      <c r="CQ267" s="0"/>
      <c r="CR267" s="0"/>
      <c r="CS267" s="0"/>
      <c r="CT267" s="0"/>
      <c r="CY267" s="180" t="n">
        <f aca="false">EOMONTH(CY266,0)+1</f>
        <v>44593</v>
      </c>
      <c r="CZ267" s="181" t="n">
        <f aca="false">IF(AI267=0,CZ255,AH267+AI267)</f>
        <v>0.2</v>
      </c>
      <c r="DA267" s="181" t="n">
        <f aca="false">IF(AI267=0,DA255,AI267)</f>
        <v>0.25</v>
      </c>
      <c r="DB267" s="181" t="n">
        <f aca="false">IF(AI267=0,DB255,AI267+AJ267)</f>
        <v>0.3</v>
      </c>
      <c r="DD267" s="161" t="n">
        <f aca="false">IF(Z267=0,DD255,Z267)</f>
        <v>0.16</v>
      </c>
      <c r="DE267" s="161" t="n">
        <f aca="false">IF(AA267=0,DE255,AA267)</f>
        <v>0.2</v>
      </c>
      <c r="DF267" s="161" t="n">
        <f aca="false">IF(AB267=0,DF255,AB267)</f>
        <v>0.24</v>
      </c>
      <c r="DH267" s="180" t="n">
        <f aca="false">IF(BH267=0,EOMONTH(DH266,0)+1,BH267)</f>
        <v>44593</v>
      </c>
      <c r="DI267" s="231" t="n">
        <f aca="false">IF(BI267=0,DI255,BI267)</f>
        <v>0.75</v>
      </c>
      <c r="DL267" s="180" t="n">
        <f aca="false">IF($M267=0,EOMONTH(DL266,0)+1,$M267)</f>
        <v>44593</v>
      </c>
      <c r="DM267" s="181" t="n">
        <f aca="false">IF(AV267=0,DM255,AU267+AV267)</f>
        <v>0.12</v>
      </c>
      <c r="DN267" s="181" t="n">
        <f aca="false">IF(AM267=0,DN255,AM267)</f>
        <v>0.15</v>
      </c>
      <c r="DO267" s="181" t="n">
        <f aca="false">IF(AV267=0,DO255,AV267+AW267)</f>
        <v>0.18</v>
      </c>
      <c r="DQ267" s="181" t="n">
        <f aca="false">AD267</f>
        <v>0</v>
      </c>
      <c r="DR267" s="181" t="n">
        <f aca="false">AE267</f>
        <v>0</v>
      </c>
      <c r="DS267" s="181" t="n">
        <f aca="false">AF267</f>
        <v>0</v>
      </c>
    </row>
    <row r="268" customFormat="false" ht="12.75" hidden="false" customHeight="false" outlineLevel="0" collapsed="false">
      <c r="A268" s="145" t="n">
        <f aca="false">EOMONTH(A267,0)+1</f>
        <v>53693</v>
      </c>
      <c r="B268" s="135" t="n">
        <f aca="false">'Gas Curves'!C272</f>
        <v>0.0673684317613201</v>
      </c>
      <c r="C268" s="135"/>
      <c r="D268" s="173" t="n">
        <v>43739</v>
      </c>
      <c r="E268" s="174" t="n">
        <v>36.3615688085556</v>
      </c>
      <c r="F268" s="174" t="n">
        <v>37.8615688085556</v>
      </c>
      <c r="G268" s="174" t="n">
        <v>39.3615688085556</v>
      </c>
      <c r="H268" s="232"/>
      <c r="I268" s="174" t="n">
        <v>24.040002822876</v>
      </c>
      <c r="J268" s="174" t="n">
        <v>24.040002822876</v>
      </c>
      <c r="K268" s="174" t="n">
        <v>24.040002822876</v>
      </c>
      <c r="L268" s="141"/>
      <c r="M268" s="14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14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0"/>
      <c r="CI268" s="0"/>
      <c r="CJ268" s="0"/>
      <c r="CK268" s="0"/>
      <c r="CP268" s="0"/>
      <c r="CQ268" s="0"/>
      <c r="CR268" s="0"/>
      <c r="CS268" s="0"/>
      <c r="CT268" s="0"/>
      <c r="CY268" s="180" t="n">
        <f aca="false">EOMONTH(CY267,0)+1</f>
        <v>44621</v>
      </c>
      <c r="CZ268" s="181" t="n">
        <f aca="false">IF(AI268=0,CZ256,AH268+AI268)</f>
        <v>0.2</v>
      </c>
      <c r="DA268" s="181" t="n">
        <f aca="false">IF(AI268=0,DA256,AI268)</f>
        <v>0.25</v>
      </c>
      <c r="DB268" s="181" t="n">
        <f aca="false">IF(AI268=0,DB256,AI268+AJ268)</f>
        <v>0.3</v>
      </c>
      <c r="DD268" s="161" t="n">
        <f aca="false">IF(Z268=0,DD256,Z268)</f>
        <v>0.16</v>
      </c>
      <c r="DE268" s="161" t="n">
        <f aca="false">IF(AA268=0,DE256,AA268)</f>
        <v>0.2</v>
      </c>
      <c r="DF268" s="161" t="n">
        <f aca="false">IF(AB268=0,DF256,AB268)</f>
        <v>0.24</v>
      </c>
      <c r="DH268" s="180" t="n">
        <f aca="false">IF(BH268=0,EOMONTH(DH267,0)+1,BH268)</f>
        <v>44621</v>
      </c>
      <c r="DI268" s="231" t="n">
        <f aca="false">IF(BI268=0,DI256,BI268)</f>
        <v>0.75</v>
      </c>
      <c r="DL268" s="180" t="n">
        <f aca="false">IF($M268=0,EOMONTH(DL267,0)+1,$M268)</f>
        <v>44621</v>
      </c>
      <c r="DM268" s="181" t="n">
        <f aca="false">IF(AV268=0,DM256,AU268+AV268)</f>
        <v>0.12</v>
      </c>
      <c r="DN268" s="181" t="n">
        <f aca="false">IF(AM268=0,DN256,AM268)</f>
        <v>0.15</v>
      </c>
      <c r="DO268" s="181" t="n">
        <f aca="false">IF(AV268=0,DO256,AV268+AW268)</f>
        <v>0.18</v>
      </c>
      <c r="DQ268" s="181" t="n">
        <f aca="false">AD268</f>
        <v>0</v>
      </c>
      <c r="DR268" s="181" t="n">
        <f aca="false">AE268</f>
        <v>0</v>
      </c>
      <c r="DS268" s="181" t="n">
        <f aca="false">AF268</f>
        <v>0</v>
      </c>
    </row>
    <row r="269" customFormat="false" ht="12.75" hidden="false" customHeight="false" outlineLevel="0" collapsed="false">
      <c r="A269" s="145" t="n">
        <f aca="false">EOMONTH(A268,0)+1</f>
        <v>53724</v>
      </c>
      <c r="B269" s="135" t="n">
        <f aca="false">'Gas Curves'!C273</f>
        <v>0.065871136180702</v>
      </c>
      <c r="C269" s="135"/>
      <c r="D269" s="173" t="n">
        <v>43770</v>
      </c>
      <c r="E269" s="174" t="n">
        <v>36.4615672826767</v>
      </c>
      <c r="F269" s="174" t="n">
        <v>37.9615672826767</v>
      </c>
      <c r="G269" s="174" t="n">
        <v>39.4615672826767</v>
      </c>
      <c r="H269" s="232"/>
      <c r="I269" s="174" t="n">
        <v>25.0400009155273</v>
      </c>
      <c r="J269" s="174" t="n">
        <v>25.0400009155273</v>
      </c>
      <c r="K269" s="174" t="n">
        <v>25.0400009155273</v>
      </c>
      <c r="L269" s="141"/>
      <c r="M269" s="14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14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0"/>
      <c r="CI269" s="0"/>
      <c r="CJ269" s="0"/>
      <c r="CK269" s="0"/>
      <c r="CP269" s="0"/>
      <c r="CQ269" s="0"/>
      <c r="CR269" s="0"/>
      <c r="CS269" s="0"/>
      <c r="CT269" s="0"/>
      <c r="CY269" s="180" t="n">
        <f aca="false">EOMONTH(CY268,0)+1</f>
        <v>44652</v>
      </c>
      <c r="CZ269" s="181" t="n">
        <f aca="false">IF(AI269=0,CZ257,AH269+AI269)</f>
        <v>0.2</v>
      </c>
      <c r="DA269" s="181" t="n">
        <f aca="false">IF(AI269=0,DA257,AI269)</f>
        <v>0.25</v>
      </c>
      <c r="DB269" s="181" t="n">
        <f aca="false">IF(AI269=0,DB257,AI269+AJ269)</f>
        <v>0.3</v>
      </c>
      <c r="DD269" s="161" t="n">
        <f aca="false">IF(Z269=0,DD257,Z269)</f>
        <v>0.16</v>
      </c>
      <c r="DE269" s="161" t="n">
        <f aca="false">IF(AA269=0,DE257,AA269)</f>
        <v>0.2</v>
      </c>
      <c r="DF269" s="161" t="n">
        <f aca="false">IF(AB269=0,DF257,AB269)</f>
        <v>0.24</v>
      </c>
      <c r="DH269" s="180" t="n">
        <f aca="false">IF(BH269=0,EOMONTH(DH268,0)+1,BH269)</f>
        <v>44652</v>
      </c>
      <c r="DI269" s="231" t="n">
        <f aca="false">IF(BI269=0,DI257,BI269)</f>
        <v>0.75</v>
      </c>
      <c r="DL269" s="180" t="n">
        <f aca="false">IF($M269=0,EOMONTH(DL268,0)+1,$M269)</f>
        <v>44652</v>
      </c>
      <c r="DM269" s="181" t="n">
        <f aca="false">IF(AV269=0,DM257,AU269+AV269)</f>
        <v>0.12</v>
      </c>
      <c r="DN269" s="181" t="n">
        <f aca="false">IF(AM269=0,DN257,AM269)</f>
        <v>0.15</v>
      </c>
      <c r="DO269" s="181" t="n">
        <f aca="false">IF(AV269=0,DO257,AV269+AW269)</f>
        <v>0.18</v>
      </c>
      <c r="DQ269" s="181" t="n">
        <f aca="false">AD269</f>
        <v>0</v>
      </c>
      <c r="DR269" s="181" t="n">
        <f aca="false">AE269</f>
        <v>0</v>
      </c>
      <c r="DS269" s="181" t="n">
        <f aca="false">AF269</f>
        <v>0</v>
      </c>
    </row>
    <row r="270" customFormat="false" ht="12.75" hidden="false" customHeight="false" outlineLevel="0" collapsed="false">
      <c r="A270" s="145" t="n">
        <f aca="false">EOMONTH(A269,0)+1</f>
        <v>53752</v>
      </c>
      <c r="B270" s="135" t="n">
        <f aca="false">'Gas Curves'!C274</f>
        <v>0.065865230601659</v>
      </c>
      <c r="C270" s="135"/>
      <c r="D270" s="173" t="n">
        <v>43800</v>
      </c>
      <c r="E270" s="174" t="n">
        <v>36.5615657567978</v>
      </c>
      <c r="F270" s="174" t="n">
        <v>38.0615657567978</v>
      </c>
      <c r="G270" s="174" t="n">
        <v>39.5615657567978</v>
      </c>
      <c r="H270" s="232"/>
      <c r="I270" s="174" t="n">
        <v>27.2900009155273</v>
      </c>
      <c r="J270" s="174" t="n">
        <v>27.2900009155273</v>
      </c>
      <c r="K270" s="174" t="n">
        <v>27.2900009155273</v>
      </c>
      <c r="L270" s="141"/>
      <c r="M270" s="14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14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0"/>
      <c r="CI270" s="0"/>
      <c r="CJ270" s="0"/>
      <c r="CK270" s="0"/>
      <c r="CP270" s="0"/>
      <c r="CQ270" s="0"/>
      <c r="CR270" s="0"/>
      <c r="CS270" s="0"/>
      <c r="CT270" s="0"/>
      <c r="CY270" s="180" t="n">
        <f aca="false">EOMONTH(CY269,0)+1</f>
        <v>44682</v>
      </c>
      <c r="CZ270" s="181" t="n">
        <f aca="false">IF(AI270=0,CZ258,AH270+AI270)</f>
        <v>0.2</v>
      </c>
      <c r="DA270" s="181" t="n">
        <f aca="false">IF(AI270=0,DA258,AI270)</f>
        <v>0.25</v>
      </c>
      <c r="DB270" s="181" t="n">
        <f aca="false">IF(AI270=0,DB258,AI270+AJ270)</f>
        <v>0.3</v>
      </c>
      <c r="DD270" s="161" t="n">
        <f aca="false">IF(Z270=0,DD258,Z270)</f>
        <v>0.16</v>
      </c>
      <c r="DE270" s="161" t="n">
        <f aca="false">IF(AA270=0,DE258,AA270)</f>
        <v>0.2</v>
      </c>
      <c r="DF270" s="161" t="n">
        <f aca="false">IF(AB270=0,DF258,AB270)</f>
        <v>0.24</v>
      </c>
      <c r="DH270" s="180" t="n">
        <f aca="false">IF(BH270=0,EOMONTH(DH269,0)+1,BH270)</f>
        <v>44682</v>
      </c>
      <c r="DI270" s="231" t="n">
        <f aca="false">IF(BI270=0,DI258,BI270)</f>
        <v>0.75</v>
      </c>
      <c r="DL270" s="180" t="n">
        <f aca="false">IF($M270=0,EOMONTH(DL269,0)+1,$M270)</f>
        <v>44682</v>
      </c>
      <c r="DM270" s="181" t="n">
        <f aca="false">IF(AV270=0,DM258,AU270+AV270)</f>
        <v>0.12</v>
      </c>
      <c r="DN270" s="181" t="n">
        <f aca="false">IF(AM270=0,DN258,AM270)</f>
        <v>0.15</v>
      </c>
      <c r="DO270" s="181" t="n">
        <f aca="false">IF(AV270=0,DO258,AV270+AW270)</f>
        <v>0.18</v>
      </c>
      <c r="DQ270" s="181" t="n">
        <f aca="false">AD270</f>
        <v>0</v>
      </c>
      <c r="DR270" s="181" t="n">
        <f aca="false">AE270</f>
        <v>0</v>
      </c>
      <c r="DS270" s="181" t="n">
        <f aca="false">AF270</f>
        <v>0</v>
      </c>
    </row>
    <row r="271" customFormat="false" ht="12.75" hidden="false" customHeight="false" outlineLevel="0" collapsed="false">
      <c r="A271" s="145" t="n">
        <f aca="false">EOMONTH(A270,0)+1</f>
        <v>53783</v>
      </c>
      <c r="B271" s="135" t="n">
        <f aca="false">'Gas Curves'!C275</f>
        <v>0.065859515525175</v>
      </c>
      <c r="C271" s="135"/>
      <c r="D271" s="173" t="n">
        <v>43831</v>
      </c>
      <c r="E271" s="174" t="n">
        <v>36.8185065133231</v>
      </c>
      <c r="F271" s="174" t="n">
        <v>38.3185065133231</v>
      </c>
      <c r="G271" s="174" t="n">
        <v>39.8185065133231</v>
      </c>
      <c r="H271" s="232"/>
      <c r="I271" s="174" t="n">
        <v>27.2900009155273</v>
      </c>
      <c r="J271" s="174" t="n">
        <v>27.2900009155273</v>
      </c>
      <c r="K271" s="174" t="n">
        <v>27.2900009155273</v>
      </c>
      <c r="L271" s="141"/>
      <c r="M271" s="14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14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0"/>
      <c r="CI271" s="0"/>
      <c r="CJ271" s="0"/>
      <c r="CK271" s="0"/>
      <c r="CP271" s="0"/>
      <c r="CQ271" s="0"/>
      <c r="CR271" s="0"/>
      <c r="CS271" s="0"/>
      <c r="CT271" s="0"/>
      <c r="CY271" s="180" t="n">
        <f aca="false">EOMONTH(CY270,0)+1</f>
        <v>44713</v>
      </c>
      <c r="CZ271" s="181" t="n">
        <f aca="false">IF(AI271=0,CZ259,AH271+AI271)</f>
        <v>0.2</v>
      </c>
      <c r="DA271" s="181" t="n">
        <f aca="false">IF(AI271=0,DA259,AI271)</f>
        <v>0.25</v>
      </c>
      <c r="DB271" s="181" t="n">
        <f aca="false">IF(AI271=0,DB259,AI271+AJ271)</f>
        <v>0.3</v>
      </c>
      <c r="DD271" s="161" t="n">
        <f aca="false">IF(Z271=0,DD259,Z271)</f>
        <v>0.16</v>
      </c>
      <c r="DE271" s="161" t="n">
        <f aca="false">IF(AA271=0,DE259,AA271)</f>
        <v>0.2</v>
      </c>
      <c r="DF271" s="161" t="n">
        <f aca="false">IF(AB271=0,DF259,AB271)</f>
        <v>0.24</v>
      </c>
      <c r="DH271" s="180" t="n">
        <f aca="false">IF(BH271=0,EOMONTH(DH270,0)+1,BH271)</f>
        <v>44713</v>
      </c>
      <c r="DI271" s="231" t="n">
        <f aca="false">IF(BI271=0,DI259,BI271)</f>
        <v>0.75</v>
      </c>
      <c r="DL271" s="180" t="n">
        <f aca="false">IF($M271=0,EOMONTH(DL270,0)+1,$M271)</f>
        <v>44713</v>
      </c>
      <c r="DM271" s="181" t="n">
        <f aca="false">IF(AV271=0,DM259,AU271+AV271)</f>
        <v>0.12</v>
      </c>
      <c r="DN271" s="181" t="n">
        <f aca="false">IF(AM271=0,DN259,AM271)</f>
        <v>0.15</v>
      </c>
      <c r="DO271" s="181" t="n">
        <f aca="false">IF(AV271=0,DO259,AV271+AW271)</f>
        <v>0.18</v>
      </c>
      <c r="DQ271" s="181" t="n">
        <f aca="false">AD271</f>
        <v>0</v>
      </c>
      <c r="DR271" s="181" t="n">
        <f aca="false">AE271</f>
        <v>0</v>
      </c>
      <c r="DS271" s="181" t="n">
        <f aca="false">AF271</f>
        <v>0</v>
      </c>
    </row>
    <row r="272" customFormat="false" ht="12.75" hidden="false" customHeight="false" outlineLevel="0" collapsed="false">
      <c r="A272" s="145" t="n">
        <f aca="false">EOMONTH(A271,0)+1</f>
        <v>53813</v>
      </c>
      <c r="B272" s="135" t="n">
        <f aca="false">'Gas Curves'!C276</f>
        <v>0.065853609946154</v>
      </c>
      <c r="C272" s="135"/>
      <c r="D272" s="62"/>
      <c r="E272" s="62"/>
      <c r="F272" s="62"/>
      <c r="G272" s="62"/>
      <c r="H272" s="62"/>
      <c r="I272" s="62"/>
      <c r="J272" s="62"/>
      <c r="K272" s="62"/>
      <c r="L272" s="62"/>
      <c r="M272" s="14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14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0"/>
      <c r="CI272" s="0"/>
      <c r="CJ272" s="0"/>
      <c r="CK272" s="0"/>
      <c r="CP272" s="0"/>
      <c r="CQ272" s="0"/>
      <c r="CR272" s="0"/>
      <c r="CS272" s="0"/>
      <c r="CT272" s="0"/>
      <c r="CY272" s="180" t="n">
        <f aca="false">EOMONTH(CY271,0)+1</f>
        <v>44743</v>
      </c>
      <c r="CZ272" s="181" t="n">
        <f aca="false">IF(AI272=0,CZ260,AH272+AI272)</f>
        <v>0.32</v>
      </c>
      <c r="DA272" s="181" t="n">
        <f aca="false">IF(AI272=0,DA260,AI272)</f>
        <v>0.4</v>
      </c>
      <c r="DB272" s="181" t="n">
        <f aca="false">IF(AI272=0,DB260,AI272+AJ272)</f>
        <v>0.48</v>
      </c>
      <c r="DD272" s="161" t="n">
        <f aca="false">IF(Z272=0,DD260,Z272)</f>
        <v>0.24</v>
      </c>
      <c r="DE272" s="161" t="n">
        <f aca="false">IF(AA272=0,DE260,AA272)</f>
        <v>0.3</v>
      </c>
      <c r="DF272" s="161" t="n">
        <f aca="false">IF(AB272=0,DF260,AB272)</f>
        <v>0.36</v>
      </c>
      <c r="DH272" s="180" t="n">
        <f aca="false">IF(BH272=0,EOMONTH(DH271,0)+1,BH272)</f>
        <v>44743</v>
      </c>
      <c r="DI272" s="231" t="n">
        <f aca="false">IF(BI272=0,DI260,BI272)</f>
        <v>0.75</v>
      </c>
      <c r="DL272" s="180" t="n">
        <f aca="false">IF($M272=0,EOMONTH(DL271,0)+1,$M272)</f>
        <v>44743</v>
      </c>
      <c r="DM272" s="181" t="n">
        <f aca="false">IF(AV272=0,DM260,AU272+AV272)</f>
        <v>0.192</v>
      </c>
      <c r="DN272" s="181" t="n">
        <f aca="false">IF(AM272=0,DN260,AM272)</f>
        <v>0.24</v>
      </c>
      <c r="DO272" s="181" t="n">
        <f aca="false">IF(AV272=0,DO260,AV272+AW272)</f>
        <v>0.288</v>
      </c>
      <c r="DQ272" s="181" t="n">
        <f aca="false">AD272</f>
        <v>0</v>
      </c>
      <c r="DR272" s="181" t="n">
        <f aca="false">AE272</f>
        <v>0</v>
      </c>
      <c r="DS272" s="181" t="n">
        <f aca="false">AF272</f>
        <v>0</v>
      </c>
    </row>
    <row r="273" customFormat="false" ht="12.75" hidden="false" customHeight="false" outlineLevel="0" collapsed="false">
      <c r="A273" s="145" t="n">
        <f aca="false">EOMONTH(A272,0)+1</f>
        <v>53844</v>
      </c>
      <c r="B273" s="135" t="n">
        <f aca="false">'Gas Curves'!C277</f>
        <v>0.065847704367145</v>
      </c>
      <c r="C273" s="135"/>
      <c r="D273" s="62"/>
      <c r="E273" s="62"/>
      <c r="F273" s="62"/>
      <c r="G273" s="62"/>
      <c r="H273" s="62"/>
      <c r="I273" s="62"/>
      <c r="J273" s="62"/>
      <c r="K273" s="62"/>
      <c r="L273" s="62"/>
      <c r="M273" s="14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14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0"/>
      <c r="CI273" s="0"/>
      <c r="CJ273" s="0"/>
      <c r="CK273" s="0"/>
      <c r="CP273" s="0"/>
      <c r="CQ273" s="0"/>
      <c r="CR273" s="0"/>
      <c r="CS273" s="0"/>
      <c r="CT273" s="0"/>
      <c r="CY273" s="180" t="n">
        <f aca="false">EOMONTH(CY272,0)+1</f>
        <v>44774</v>
      </c>
      <c r="CZ273" s="181" t="n">
        <f aca="false">IF(AI273=0,CZ261,AH273+AI273)</f>
        <v>0.32</v>
      </c>
      <c r="DA273" s="181" t="n">
        <f aca="false">IF(AI273=0,DA261,AI273)</f>
        <v>0.4</v>
      </c>
      <c r="DB273" s="181" t="n">
        <f aca="false">IF(AI273=0,DB261,AI273+AJ273)</f>
        <v>0.48</v>
      </c>
      <c r="DD273" s="161" t="n">
        <f aca="false">IF(Z273=0,DD261,Z273)</f>
        <v>0.24</v>
      </c>
      <c r="DE273" s="161" t="n">
        <f aca="false">IF(AA273=0,DE261,AA273)</f>
        <v>0.3</v>
      </c>
      <c r="DF273" s="161" t="n">
        <f aca="false">IF(AB273=0,DF261,AB273)</f>
        <v>0.36</v>
      </c>
      <c r="DH273" s="180" t="n">
        <f aca="false">IF(BH273=0,EOMONTH(DH272,0)+1,BH273)</f>
        <v>44774</v>
      </c>
      <c r="DI273" s="231" t="n">
        <f aca="false">IF(BI273=0,DI261,BI273)</f>
        <v>0.75</v>
      </c>
      <c r="DL273" s="180" t="n">
        <f aca="false">IF($M273=0,EOMONTH(DL272,0)+1,$M273)</f>
        <v>44774</v>
      </c>
      <c r="DM273" s="181" t="n">
        <f aca="false">IF(AV273=0,DM261,AU273+AV273)</f>
        <v>0.192</v>
      </c>
      <c r="DN273" s="181" t="n">
        <f aca="false">IF(AM273=0,DN261,AM273)</f>
        <v>0.24</v>
      </c>
      <c r="DO273" s="181" t="n">
        <f aca="false">IF(AV273=0,DO261,AV273+AW273)</f>
        <v>0.288</v>
      </c>
      <c r="DQ273" s="181" t="n">
        <f aca="false">AD273</f>
        <v>0</v>
      </c>
      <c r="DR273" s="181" t="n">
        <f aca="false">AE273</f>
        <v>0</v>
      </c>
      <c r="DS273" s="181" t="n">
        <f aca="false">AF273</f>
        <v>0</v>
      </c>
    </row>
    <row r="274" customFormat="false" ht="12.75" hidden="false" customHeight="false" outlineLevel="0" collapsed="false">
      <c r="A274" s="145" t="n">
        <f aca="false">EOMONTH(A273,0)+1</f>
        <v>53874</v>
      </c>
      <c r="B274" s="135" t="n">
        <f aca="false">'Gas Curves'!C278</f>
        <v>0.065841989290695</v>
      </c>
      <c r="C274" s="135"/>
      <c r="D274" s="62"/>
      <c r="E274" s="62"/>
      <c r="F274" s="62"/>
      <c r="G274" s="62"/>
      <c r="H274" s="62"/>
      <c r="I274" s="62"/>
      <c r="J274" s="62"/>
      <c r="K274" s="62"/>
      <c r="L274" s="62"/>
      <c r="M274" s="14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14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0"/>
      <c r="CI274" s="0"/>
      <c r="CJ274" s="0"/>
      <c r="CK274" s="0"/>
      <c r="CP274" s="0"/>
      <c r="CQ274" s="0"/>
      <c r="CR274" s="0"/>
      <c r="CS274" s="0"/>
      <c r="CT274" s="0"/>
      <c r="CY274" s="180" t="n">
        <f aca="false">EOMONTH(CY273,0)+1</f>
        <v>44805</v>
      </c>
      <c r="CZ274" s="181" t="n">
        <f aca="false">IF(AI274=0,CZ262,AH274+AI274)</f>
        <v>0.2</v>
      </c>
      <c r="DA274" s="181" t="n">
        <f aca="false">IF(AI274=0,DA262,AI274)</f>
        <v>0.25</v>
      </c>
      <c r="DB274" s="181" t="n">
        <f aca="false">IF(AI274=0,DB262,AI274+AJ274)</f>
        <v>0.3</v>
      </c>
      <c r="DD274" s="161" t="n">
        <f aca="false">IF(Z274=0,DD262,Z274)</f>
        <v>0.16</v>
      </c>
      <c r="DE274" s="161" t="n">
        <f aca="false">IF(AA274=0,DE262,AA274)</f>
        <v>0.2</v>
      </c>
      <c r="DF274" s="161" t="n">
        <f aca="false">IF(AB274=0,DF262,AB274)</f>
        <v>0.24</v>
      </c>
      <c r="DH274" s="180" t="n">
        <f aca="false">IF(BH274=0,EOMONTH(DH273,0)+1,BH274)</f>
        <v>44805</v>
      </c>
      <c r="DI274" s="231" t="n">
        <f aca="false">IF(BI274=0,DI262,BI274)</f>
        <v>0.75</v>
      </c>
      <c r="DL274" s="180" t="n">
        <f aca="false">IF($M274=0,EOMONTH(DL273,0)+1,$M274)</f>
        <v>44805</v>
      </c>
      <c r="DM274" s="181" t="n">
        <f aca="false">IF(AV274=0,DM262,AU274+AV274)</f>
        <v>0.12</v>
      </c>
      <c r="DN274" s="181" t="n">
        <f aca="false">IF(AM274=0,DN262,AM274)</f>
        <v>0.15</v>
      </c>
      <c r="DO274" s="181" t="n">
        <f aca="false">IF(AV274=0,DO262,AV274+AW274)</f>
        <v>0.18</v>
      </c>
      <c r="DQ274" s="181" t="n">
        <f aca="false">AD274</f>
        <v>0</v>
      </c>
      <c r="DR274" s="181" t="n">
        <f aca="false">AE274</f>
        <v>0</v>
      </c>
      <c r="DS274" s="181" t="n">
        <f aca="false">AF274</f>
        <v>0</v>
      </c>
    </row>
    <row r="275" customFormat="false" ht="12.75" hidden="false" customHeight="false" outlineLevel="0" collapsed="false">
      <c r="A275" s="145" t="n">
        <f aca="false">EOMONTH(A274,0)+1</f>
        <v>53905</v>
      </c>
      <c r="B275" s="135" t="n">
        <f aca="false">'Gas Curves'!C279</f>
        <v>0.065836083711708</v>
      </c>
      <c r="C275" s="135"/>
      <c r="D275" s="62"/>
      <c r="E275" s="62"/>
      <c r="F275" s="62"/>
      <c r="G275" s="62"/>
      <c r="H275" s="62"/>
      <c r="I275" s="62"/>
      <c r="J275" s="62"/>
      <c r="K275" s="62"/>
      <c r="L275" s="62"/>
      <c r="M275" s="14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14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0"/>
      <c r="CI275" s="0"/>
      <c r="CJ275" s="0"/>
      <c r="CK275" s="0"/>
      <c r="CP275" s="0"/>
      <c r="CQ275" s="0"/>
      <c r="CR275" s="0"/>
      <c r="CS275" s="0"/>
      <c r="CT275" s="0"/>
      <c r="CY275" s="180" t="n">
        <f aca="false">EOMONTH(CY274,0)+1</f>
        <v>44835</v>
      </c>
      <c r="CZ275" s="181" t="n">
        <f aca="false">IF(AI275=0,CZ263,AH275+AI275)</f>
        <v>0.2</v>
      </c>
      <c r="DA275" s="181" t="n">
        <f aca="false">IF(AI275=0,DA263,AI275)</f>
        <v>0.25</v>
      </c>
      <c r="DB275" s="181" t="n">
        <f aca="false">IF(AI275=0,DB263,AI275+AJ275)</f>
        <v>0.3</v>
      </c>
      <c r="DD275" s="161" t="n">
        <f aca="false">IF(Z275=0,DD263,Z275)</f>
        <v>0.16</v>
      </c>
      <c r="DE275" s="161" t="n">
        <f aca="false">IF(AA275=0,DE263,AA275)</f>
        <v>0.2</v>
      </c>
      <c r="DF275" s="161" t="n">
        <f aca="false">IF(AB275=0,DF263,AB275)</f>
        <v>0.24</v>
      </c>
      <c r="DH275" s="180" t="n">
        <f aca="false">IF(BH275=0,EOMONTH(DH274,0)+1,BH275)</f>
        <v>44835</v>
      </c>
      <c r="DI275" s="231" t="n">
        <f aca="false">IF(BI275=0,DI263,BI275)</f>
        <v>0.75</v>
      </c>
      <c r="DL275" s="180" t="n">
        <f aca="false">IF($M275=0,EOMONTH(DL274,0)+1,$M275)</f>
        <v>44835</v>
      </c>
      <c r="DM275" s="181" t="n">
        <f aca="false">IF(AV275=0,DM263,AU275+AV275)</f>
        <v>0.12</v>
      </c>
      <c r="DN275" s="181" t="n">
        <f aca="false">IF(AM275=0,DN263,AM275)</f>
        <v>0.15</v>
      </c>
      <c r="DO275" s="181" t="n">
        <f aca="false">IF(AV275=0,DO263,AV275+AW275)</f>
        <v>0.18</v>
      </c>
      <c r="DQ275" s="181" t="n">
        <f aca="false">AD275</f>
        <v>0</v>
      </c>
      <c r="DR275" s="181" t="n">
        <f aca="false">AE275</f>
        <v>0</v>
      </c>
      <c r="DS275" s="181" t="n">
        <f aca="false">AF275</f>
        <v>0</v>
      </c>
    </row>
    <row r="276" customFormat="false" ht="12.75" hidden="false" customHeight="false" outlineLevel="0" collapsed="false">
      <c r="A276" s="145" t="n">
        <f aca="false">EOMONTH(A275,0)+1</f>
        <v>53936</v>
      </c>
      <c r="B276" s="135" t="n">
        <f aca="false">'Gas Curves'!C280</f>
        <v>0.06583036863528</v>
      </c>
      <c r="C276" s="135"/>
      <c r="D276" s="62"/>
      <c r="E276" s="62"/>
      <c r="F276" s="62"/>
      <c r="G276" s="62"/>
      <c r="H276" s="62"/>
      <c r="I276" s="62"/>
      <c r="J276" s="62"/>
      <c r="K276" s="62"/>
      <c r="L276" s="62"/>
      <c r="M276" s="14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14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0"/>
      <c r="CI276" s="0"/>
      <c r="CJ276" s="0"/>
      <c r="CK276" s="0"/>
      <c r="CP276" s="0"/>
      <c r="CQ276" s="0"/>
      <c r="CR276" s="0"/>
      <c r="CS276" s="0"/>
      <c r="CT276" s="0"/>
      <c r="CY276" s="180" t="n">
        <f aca="false">EOMONTH(CY275,0)+1</f>
        <v>44866</v>
      </c>
      <c r="CZ276" s="181" t="n">
        <f aca="false">IF(AI276=0,CZ264,AH276+AI276)</f>
        <v>0.2</v>
      </c>
      <c r="DA276" s="181" t="n">
        <f aca="false">IF(AI276=0,DA264,AI276)</f>
        <v>0.25</v>
      </c>
      <c r="DB276" s="181" t="n">
        <f aca="false">IF(AI276=0,DB264,AI276+AJ276)</f>
        <v>0.3</v>
      </c>
      <c r="DD276" s="161" t="n">
        <f aca="false">IF(Z276=0,DD264,Z276)</f>
        <v>0.16</v>
      </c>
      <c r="DE276" s="161" t="n">
        <f aca="false">IF(AA276=0,DE264,AA276)</f>
        <v>0.2</v>
      </c>
      <c r="DF276" s="161" t="n">
        <f aca="false">IF(AB276=0,DF264,AB276)</f>
        <v>0.24</v>
      </c>
      <c r="DH276" s="180" t="n">
        <f aca="false">IF(BH276=0,EOMONTH(DH275,0)+1,BH276)</f>
        <v>44866</v>
      </c>
      <c r="DI276" s="231" t="n">
        <f aca="false">IF(BI276=0,DI264,BI276)</f>
        <v>0.75</v>
      </c>
      <c r="DL276" s="180" t="n">
        <f aca="false">IF($M276=0,EOMONTH(DL275,0)+1,$M276)</f>
        <v>44866</v>
      </c>
      <c r="DM276" s="181" t="n">
        <f aca="false">IF(AV276=0,DM264,AU276+AV276)</f>
        <v>0.12</v>
      </c>
      <c r="DN276" s="181" t="n">
        <f aca="false">IF(AM276=0,DN264,AM276)</f>
        <v>0.15</v>
      </c>
      <c r="DO276" s="181" t="n">
        <f aca="false">IF(AV276=0,DO264,AV276+AW276)</f>
        <v>0.18</v>
      </c>
      <c r="DQ276" s="181" t="n">
        <f aca="false">AD276</f>
        <v>0</v>
      </c>
      <c r="DR276" s="181" t="n">
        <f aca="false">AE276</f>
        <v>0</v>
      </c>
      <c r="DS276" s="181" t="n">
        <f aca="false">AF276</f>
        <v>0</v>
      </c>
    </row>
    <row r="277" customFormat="false" ht="12.75" hidden="false" customHeight="false" outlineLevel="0" collapsed="false">
      <c r="A277" s="145" t="n">
        <f aca="false">EOMONTH(A276,0)+1</f>
        <v>53966</v>
      </c>
      <c r="B277" s="135" t="n">
        <f aca="false">'Gas Curves'!C281</f>
        <v>0.065824463056316</v>
      </c>
      <c r="C277" s="135"/>
      <c r="D277" s="62"/>
      <c r="E277" s="62"/>
      <c r="F277" s="62"/>
      <c r="G277" s="62"/>
      <c r="H277" s="62"/>
      <c r="I277" s="62"/>
      <c r="J277" s="62"/>
      <c r="K277" s="62"/>
      <c r="L277" s="62"/>
      <c r="M277" s="14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14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0"/>
      <c r="CI277" s="0"/>
      <c r="CJ277" s="0"/>
      <c r="CK277" s="0"/>
      <c r="CP277" s="0"/>
      <c r="CQ277" s="0"/>
      <c r="CR277" s="0"/>
      <c r="CS277" s="0"/>
      <c r="CT277" s="0"/>
      <c r="CY277" s="180" t="n">
        <f aca="false">EOMONTH(CY276,0)+1</f>
        <v>44896</v>
      </c>
      <c r="CZ277" s="181" t="n">
        <f aca="false">IF(AI277=0,CZ265,AH277+AI277)</f>
        <v>0.2</v>
      </c>
      <c r="DA277" s="181" t="n">
        <f aca="false">IF(AI277=0,DA265,AI277)</f>
        <v>0.25</v>
      </c>
      <c r="DB277" s="181" t="n">
        <f aca="false">IF(AI277=0,DB265,AI277+AJ277)</f>
        <v>0.3</v>
      </c>
      <c r="DD277" s="161" t="n">
        <f aca="false">IF(Z277=0,DD265,Z277)</f>
        <v>0.16</v>
      </c>
      <c r="DE277" s="161" t="n">
        <f aca="false">IF(AA277=0,DE265,AA277)</f>
        <v>0.2</v>
      </c>
      <c r="DF277" s="161" t="n">
        <f aca="false">IF(AB277=0,DF265,AB277)</f>
        <v>0.24</v>
      </c>
      <c r="DH277" s="180" t="n">
        <f aca="false">IF(BH277=0,EOMONTH(DH276,0)+1,BH277)</f>
        <v>44896</v>
      </c>
      <c r="DI277" s="231" t="n">
        <f aca="false">IF(BI277=0,DI265,BI277)</f>
        <v>0.75</v>
      </c>
      <c r="DL277" s="180" t="n">
        <f aca="false">IF($M277=0,EOMONTH(DL276,0)+1,$M277)</f>
        <v>44896</v>
      </c>
      <c r="DM277" s="181" t="n">
        <f aca="false">IF(AV277=0,DM265,AU277+AV277)</f>
        <v>0.12</v>
      </c>
      <c r="DN277" s="181" t="n">
        <f aca="false">IF(AM277=0,DN265,AM277)</f>
        <v>0.15</v>
      </c>
      <c r="DO277" s="181" t="n">
        <f aca="false">IF(AV277=0,DO265,AV277+AW277)</f>
        <v>0.18</v>
      </c>
      <c r="DQ277" s="181" t="n">
        <f aca="false">AD277</f>
        <v>0</v>
      </c>
      <c r="DR277" s="181" t="n">
        <f aca="false">AE277</f>
        <v>0</v>
      </c>
      <c r="DS277" s="181" t="n">
        <f aca="false">AF277</f>
        <v>0</v>
      </c>
    </row>
    <row r="278" customFormat="false" ht="12.75" hidden="false" customHeight="false" outlineLevel="0" collapsed="false">
      <c r="A278" s="145" t="n">
        <f aca="false">EOMONTH(A277,0)+1</f>
        <v>53997</v>
      </c>
      <c r="B278" s="135" t="n">
        <f aca="false">'Gas Curves'!C282</f>
        <v>0.065818557477363</v>
      </c>
      <c r="C278" s="135"/>
      <c r="D278" s="62"/>
      <c r="E278" s="62"/>
      <c r="F278" s="62"/>
      <c r="G278" s="62"/>
      <c r="H278" s="62"/>
      <c r="I278" s="62"/>
      <c r="J278" s="62"/>
      <c r="K278" s="62"/>
      <c r="L278" s="62"/>
      <c r="M278" s="14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14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0"/>
      <c r="CI278" s="0"/>
      <c r="CJ278" s="0"/>
      <c r="CK278" s="0"/>
      <c r="CP278" s="0"/>
      <c r="CQ278" s="0"/>
      <c r="CR278" s="0"/>
      <c r="CS278" s="0"/>
      <c r="CT278" s="0"/>
      <c r="CY278" s="180" t="n">
        <f aca="false">EOMONTH(CY277,0)+1</f>
        <v>44927</v>
      </c>
      <c r="CZ278" s="181" t="n">
        <f aca="false">IF(AI278=0,CZ266,AH278+AI278)</f>
        <v>0</v>
      </c>
      <c r="DA278" s="181" t="n">
        <f aca="false">IF(AI278=0,DA266,AI278)</f>
        <v>0</v>
      </c>
      <c r="DB278" s="181" t="n">
        <f aca="false">IF(AI278=0,DB266,AI278+AJ278)</f>
        <v>0</v>
      </c>
      <c r="DD278" s="161" t="n">
        <f aca="false">IF(Z278=0,DD266,Z278)</f>
        <v>0</v>
      </c>
      <c r="DE278" s="161" t="n">
        <f aca="false">IF(AA278=0,DE266,AA278)</f>
        <v>0</v>
      </c>
      <c r="DF278" s="161" t="n">
        <f aca="false">IF(AB278=0,DF266,AB278)</f>
        <v>0</v>
      </c>
      <c r="DH278" s="180" t="n">
        <f aca="false">IF(BH278=0,EOMONTH(DH277,0)+1,BH278)</f>
        <v>44927</v>
      </c>
      <c r="DI278" s="231" t="n">
        <f aca="false">IF(BI278=0,DI266,BI278)</f>
        <v>0</v>
      </c>
      <c r="DL278" s="180" t="n">
        <f aca="false">IF($M278=0,EOMONTH(DL277,0)+1,$M278)</f>
        <v>44927</v>
      </c>
      <c r="DM278" s="181" t="n">
        <f aca="false">IF(AV278=0,DM266,AU278+AV278)</f>
        <v>0</v>
      </c>
      <c r="DN278" s="181" t="n">
        <f aca="false">IF(AM278=0,DN266,AM278)</f>
        <v>0</v>
      </c>
      <c r="DO278" s="181" t="n">
        <f aca="false">IF(AV278=0,DO266,AV278+AW278)</f>
        <v>0</v>
      </c>
      <c r="DQ278" s="181" t="n">
        <f aca="false">AD278</f>
        <v>0</v>
      </c>
      <c r="DR278" s="181" t="n">
        <f aca="false">AE278</f>
        <v>0</v>
      </c>
      <c r="DS278" s="181" t="n">
        <f aca="false">AF278</f>
        <v>0</v>
      </c>
    </row>
    <row r="279" customFormat="false" ht="12.75" hidden="false" customHeight="false" outlineLevel="0" collapsed="false">
      <c r="A279" s="145" t="n">
        <f aca="false">EOMONTH(A278,0)+1</f>
        <v>54027</v>
      </c>
      <c r="B279" s="135" t="n">
        <f aca="false">'Gas Curves'!C283</f>
        <v>0.065813223406061</v>
      </c>
      <c r="C279" s="135"/>
      <c r="D279" s="62"/>
      <c r="E279" s="62"/>
      <c r="F279" s="62"/>
      <c r="G279" s="62"/>
      <c r="H279" s="62"/>
      <c r="I279" s="62"/>
      <c r="J279" s="62"/>
      <c r="K279" s="62"/>
      <c r="L279" s="62"/>
      <c r="M279" s="14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14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0"/>
      <c r="CI279" s="0"/>
      <c r="CJ279" s="0"/>
      <c r="CK279" s="0"/>
      <c r="CP279" s="0"/>
      <c r="CQ279" s="0"/>
      <c r="CR279" s="0"/>
      <c r="CS279" s="0"/>
      <c r="CT279" s="0"/>
      <c r="CY279" s="180" t="n">
        <f aca="false">EOMONTH(CY278,0)+1</f>
        <v>44958</v>
      </c>
      <c r="CZ279" s="181" t="n">
        <f aca="false">IF(AI279=0,CZ267,AH279+AI279)</f>
        <v>0.2</v>
      </c>
      <c r="DA279" s="181" t="n">
        <f aca="false">IF(AI279=0,DA267,AI279)</f>
        <v>0.25</v>
      </c>
      <c r="DB279" s="181" t="n">
        <f aca="false">IF(AI279=0,DB267,AI279+AJ279)</f>
        <v>0.3</v>
      </c>
      <c r="DD279" s="161" t="n">
        <f aca="false">IF(Z279=0,DD267,Z279)</f>
        <v>0.16</v>
      </c>
      <c r="DE279" s="161" t="n">
        <f aca="false">IF(AA279=0,DE267,AA279)</f>
        <v>0.2</v>
      </c>
      <c r="DF279" s="161" t="n">
        <f aca="false">IF(AB279=0,DF267,AB279)</f>
        <v>0.24</v>
      </c>
      <c r="DH279" s="180" t="n">
        <f aca="false">IF(BH279=0,EOMONTH(DH278,0)+1,BH279)</f>
        <v>44958</v>
      </c>
      <c r="DI279" s="231" t="n">
        <f aca="false">IF(BI279=0,DI267,BI279)</f>
        <v>0.75</v>
      </c>
      <c r="DL279" s="180" t="n">
        <f aca="false">IF($M279=0,EOMONTH(DL278,0)+1,$M279)</f>
        <v>44958</v>
      </c>
      <c r="DM279" s="181" t="n">
        <f aca="false">IF(AV279=0,DM267,AU279+AV279)</f>
        <v>0.12</v>
      </c>
      <c r="DN279" s="181" t="n">
        <f aca="false">IF(AM279=0,DN267,AM279)</f>
        <v>0.15</v>
      </c>
      <c r="DO279" s="181" t="n">
        <f aca="false">IF(AV279=0,DO267,AV279+AW279)</f>
        <v>0.18</v>
      </c>
      <c r="DQ279" s="181" t="n">
        <f aca="false">AD279</f>
        <v>0</v>
      </c>
      <c r="DR279" s="181" t="n">
        <f aca="false">AE279</f>
        <v>0</v>
      </c>
      <c r="DS279" s="181" t="n">
        <f aca="false">AF279</f>
        <v>0</v>
      </c>
    </row>
    <row r="280" customFormat="false" ht="12.75" hidden="false" customHeight="false" outlineLevel="0" collapsed="false">
      <c r="A280" s="145" t="n">
        <f aca="false">EOMONTH(A279,0)+1</f>
        <v>54058</v>
      </c>
      <c r="B280" s="135" t="n">
        <f aca="false">'Gas Curves'!C284</f>
        <v>0.065807317827131</v>
      </c>
      <c r="C280" s="135"/>
      <c r="D280" s="62"/>
      <c r="E280" s="62"/>
      <c r="F280" s="62"/>
      <c r="G280" s="62"/>
      <c r="H280" s="62"/>
      <c r="I280" s="62"/>
      <c r="J280" s="62"/>
      <c r="K280" s="62"/>
      <c r="L280" s="62"/>
      <c r="M280" s="14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14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0"/>
      <c r="CI280" s="0"/>
      <c r="CJ280" s="0"/>
      <c r="CK280" s="0"/>
      <c r="CP280" s="0"/>
      <c r="CQ280" s="0"/>
      <c r="CR280" s="0"/>
      <c r="CS280" s="0"/>
      <c r="CT280" s="0"/>
      <c r="CY280" s="180" t="n">
        <f aca="false">EOMONTH(CY279,0)+1</f>
        <v>44986</v>
      </c>
      <c r="CZ280" s="181" t="n">
        <f aca="false">IF(AI280=0,CZ268,AH280+AI280)</f>
        <v>0.2</v>
      </c>
      <c r="DA280" s="181" t="n">
        <f aca="false">IF(AI280=0,DA268,AI280)</f>
        <v>0.25</v>
      </c>
      <c r="DB280" s="181" t="n">
        <f aca="false">IF(AI280=0,DB268,AI280+AJ280)</f>
        <v>0.3</v>
      </c>
      <c r="DD280" s="161" t="n">
        <f aca="false">IF(Z280=0,DD268,Z280)</f>
        <v>0.16</v>
      </c>
      <c r="DE280" s="161" t="n">
        <f aca="false">IF(AA280=0,DE268,AA280)</f>
        <v>0.2</v>
      </c>
      <c r="DF280" s="161" t="n">
        <f aca="false">IF(AB280=0,DF268,AB280)</f>
        <v>0.24</v>
      </c>
      <c r="DH280" s="180" t="n">
        <f aca="false">IF(BH280=0,EOMONTH(DH279,0)+1,BH280)</f>
        <v>44986</v>
      </c>
      <c r="DI280" s="231" t="n">
        <f aca="false">IF(BI280=0,DI268,BI280)</f>
        <v>0.75</v>
      </c>
      <c r="DL280" s="180" t="n">
        <f aca="false">IF($M280=0,EOMONTH(DL279,0)+1,$M280)</f>
        <v>44986</v>
      </c>
      <c r="DM280" s="181" t="n">
        <f aca="false">IF(AV280=0,DM268,AU280+AV280)</f>
        <v>0.12</v>
      </c>
      <c r="DN280" s="181" t="n">
        <f aca="false">IF(AM280=0,DN268,AM280)</f>
        <v>0.15</v>
      </c>
      <c r="DO280" s="181" t="n">
        <f aca="false">IF(AV280=0,DO268,AV280+AW280)</f>
        <v>0.18</v>
      </c>
      <c r="DQ280" s="181" t="n">
        <f aca="false">AD280</f>
        <v>0</v>
      </c>
      <c r="DR280" s="181" t="n">
        <f aca="false">AE280</f>
        <v>0</v>
      </c>
      <c r="DS280" s="181" t="n">
        <f aca="false">AF280</f>
        <v>0</v>
      </c>
    </row>
    <row r="281" customFormat="false" ht="12.75" hidden="false" customHeight="false" outlineLevel="0" collapsed="false">
      <c r="A281" s="145" t="n">
        <f aca="false">EOMONTH(A280,0)+1</f>
        <v>54089</v>
      </c>
      <c r="B281" s="135" t="n">
        <f aca="false">'Gas Curves'!C285</f>
        <v>0.065801602750757</v>
      </c>
      <c r="C281" s="135"/>
      <c r="D281" s="62"/>
      <c r="E281" s="62"/>
      <c r="F281" s="62"/>
      <c r="G281" s="62"/>
      <c r="H281" s="62"/>
      <c r="I281" s="62"/>
      <c r="J281" s="62"/>
      <c r="K281" s="62"/>
      <c r="L281" s="62"/>
      <c r="M281" s="14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14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0"/>
      <c r="CI281" s="0"/>
      <c r="CJ281" s="0"/>
      <c r="CK281" s="0"/>
      <c r="CP281" s="0"/>
      <c r="CQ281" s="0"/>
      <c r="CR281" s="0"/>
      <c r="CS281" s="0"/>
      <c r="CT281" s="0"/>
      <c r="CY281" s="180" t="n">
        <f aca="false">EOMONTH(CY280,0)+1</f>
        <v>45017</v>
      </c>
      <c r="CZ281" s="181" t="n">
        <f aca="false">IF(AI281=0,CZ269,AH281+AI281)</f>
        <v>0.2</v>
      </c>
      <c r="DA281" s="181" t="n">
        <f aca="false">IF(AI281=0,DA269,AI281)</f>
        <v>0.25</v>
      </c>
      <c r="DB281" s="181" t="n">
        <f aca="false">IF(AI281=0,DB269,AI281+AJ281)</f>
        <v>0.3</v>
      </c>
      <c r="DD281" s="161" t="n">
        <f aca="false">IF(Z281=0,DD269,Z281)</f>
        <v>0.16</v>
      </c>
      <c r="DE281" s="161" t="n">
        <f aca="false">IF(AA281=0,DE269,AA281)</f>
        <v>0.2</v>
      </c>
      <c r="DF281" s="161" t="n">
        <f aca="false">IF(AB281=0,DF269,AB281)</f>
        <v>0.24</v>
      </c>
      <c r="DH281" s="180" t="n">
        <f aca="false">IF(BH281=0,EOMONTH(DH280,0)+1,BH281)</f>
        <v>45017</v>
      </c>
      <c r="DI281" s="231" t="n">
        <f aca="false">IF(BI281=0,DI269,BI281)</f>
        <v>0.75</v>
      </c>
      <c r="DL281" s="180" t="n">
        <f aca="false">IF($M281=0,EOMONTH(DL280,0)+1,$M281)</f>
        <v>45017</v>
      </c>
      <c r="DM281" s="181" t="n">
        <f aca="false">IF(AV281=0,DM269,AU281+AV281)</f>
        <v>0.12</v>
      </c>
      <c r="DN281" s="181" t="n">
        <f aca="false">IF(AM281=0,DN269,AM281)</f>
        <v>0.15</v>
      </c>
      <c r="DO281" s="181" t="n">
        <f aca="false">IF(AV281=0,DO269,AV281+AW281)</f>
        <v>0.18</v>
      </c>
      <c r="DQ281" s="181" t="n">
        <f aca="false">AD281</f>
        <v>0</v>
      </c>
      <c r="DR281" s="181" t="n">
        <f aca="false">AE281</f>
        <v>0</v>
      </c>
      <c r="DS281" s="181" t="n">
        <f aca="false">AF281</f>
        <v>0</v>
      </c>
    </row>
    <row r="282" customFormat="false" ht="12.75" hidden="false" customHeight="false" outlineLevel="0" collapsed="false">
      <c r="A282" s="145" t="n">
        <f aca="false">EOMONTH(A281,0)+1</f>
        <v>54118</v>
      </c>
      <c r="B282" s="135" t="n">
        <f aca="false">'Gas Curves'!C286</f>
        <v>0.065795697171849</v>
      </c>
      <c r="C282" s="135"/>
      <c r="D282" s="62"/>
      <c r="E282" s="62"/>
      <c r="F282" s="62"/>
      <c r="G282" s="62"/>
      <c r="H282" s="62"/>
      <c r="I282" s="62"/>
      <c r="J282" s="62"/>
      <c r="K282" s="62"/>
      <c r="L282" s="62"/>
      <c r="M282" s="14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14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0"/>
      <c r="CI282" s="0"/>
      <c r="CJ282" s="0"/>
      <c r="CK282" s="0"/>
      <c r="CP282" s="0"/>
      <c r="CQ282" s="0"/>
      <c r="CR282" s="0"/>
      <c r="CS282" s="0"/>
      <c r="CT282" s="0"/>
      <c r="CY282" s="180" t="n">
        <f aca="false">EOMONTH(CY281,0)+1</f>
        <v>45047</v>
      </c>
      <c r="CZ282" s="181" t="n">
        <f aca="false">IF(AI282=0,CZ270,AH282+AI282)</f>
        <v>0.2</v>
      </c>
      <c r="DA282" s="181" t="n">
        <f aca="false">IF(AI282=0,DA270,AI282)</f>
        <v>0.25</v>
      </c>
      <c r="DB282" s="181" t="n">
        <f aca="false">IF(AI282=0,DB270,AI282+AJ282)</f>
        <v>0.3</v>
      </c>
      <c r="DD282" s="161" t="n">
        <f aca="false">IF(Z282=0,DD270,Z282)</f>
        <v>0.16</v>
      </c>
      <c r="DE282" s="161" t="n">
        <f aca="false">IF(AA282=0,DE270,AA282)</f>
        <v>0.2</v>
      </c>
      <c r="DF282" s="161" t="n">
        <f aca="false">IF(AB282=0,DF270,AB282)</f>
        <v>0.24</v>
      </c>
      <c r="DH282" s="180" t="n">
        <f aca="false">IF(BH282=0,EOMONTH(DH281,0)+1,BH282)</f>
        <v>45047</v>
      </c>
      <c r="DI282" s="231" t="n">
        <f aca="false">IF(BI282=0,DI270,BI282)</f>
        <v>0.75</v>
      </c>
      <c r="DL282" s="180" t="n">
        <f aca="false">IF($M282=0,EOMONTH(DL281,0)+1,$M282)</f>
        <v>45047</v>
      </c>
      <c r="DM282" s="181" t="n">
        <f aca="false">IF(AV282=0,DM270,AU282+AV282)</f>
        <v>0.12</v>
      </c>
      <c r="DN282" s="181" t="n">
        <f aca="false">IF(AM282=0,DN270,AM282)</f>
        <v>0.15</v>
      </c>
      <c r="DO282" s="181" t="n">
        <f aca="false">IF(AV282=0,DO270,AV282+AW282)</f>
        <v>0.18</v>
      </c>
      <c r="DQ282" s="181" t="n">
        <f aca="false">AD282</f>
        <v>0</v>
      </c>
      <c r="DR282" s="181" t="n">
        <f aca="false">AE282</f>
        <v>0</v>
      </c>
      <c r="DS282" s="181" t="n">
        <f aca="false">AF282</f>
        <v>0</v>
      </c>
    </row>
    <row r="283" customFormat="false" ht="12.75" hidden="false" customHeight="false" outlineLevel="0" collapsed="false">
      <c r="A283" s="145" t="n">
        <f aca="false">EOMONTH(A282,0)+1</f>
        <v>54149</v>
      </c>
      <c r="B283" s="135" t="n">
        <f aca="false">'Gas Curves'!C287</f>
        <v>0.065789982095498</v>
      </c>
      <c r="C283" s="135"/>
      <c r="D283" s="62"/>
      <c r="E283" s="62"/>
      <c r="F283" s="62"/>
      <c r="G283" s="62"/>
      <c r="H283" s="62"/>
      <c r="I283" s="62"/>
      <c r="J283" s="62"/>
      <c r="K283" s="62"/>
      <c r="L283" s="62"/>
      <c r="M283" s="14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14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0"/>
      <c r="CI283" s="0"/>
      <c r="CJ283" s="0"/>
      <c r="CK283" s="0"/>
      <c r="CP283" s="0"/>
      <c r="CQ283" s="0"/>
      <c r="CR283" s="0"/>
      <c r="CS283" s="0"/>
      <c r="CT283" s="0"/>
      <c r="CY283" s="180" t="n">
        <f aca="false">EOMONTH(CY282,0)+1</f>
        <v>45078</v>
      </c>
      <c r="CZ283" s="181" t="n">
        <f aca="false">IF(AI283=0,CZ271,AH283+AI283)</f>
        <v>0.2</v>
      </c>
      <c r="DA283" s="181" t="n">
        <f aca="false">IF(AI283=0,DA271,AI283)</f>
        <v>0.25</v>
      </c>
      <c r="DB283" s="181" t="n">
        <f aca="false">IF(AI283=0,DB271,AI283+AJ283)</f>
        <v>0.3</v>
      </c>
      <c r="DD283" s="161" t="n">
        <f aca="false">IF(Z283=0,DD271,Z283)</f>
        <v>0.16</v>
      </c>
      <c r="DE283" s="161" t="n">
        <f aca="false">IF(AA283=0,DE271,AA283)</f>
        <v>0.2</v>
      </c>
      <c r="DF283" s="161" t="n">
        <f aca="false">IF(AB283=0,DF271,AB283)</f>
        <v>0.24</v>
      </c>
      <c r="DH283" s="180" t="n">
        <f aca="false">IF(BH283=0,EOMONTH(DH282,0)+1,BH283)</f>
        <v>45078</v>
      </c>
      <c r="DI283" s="231" t="n">
        <f aca="false">IF(BI283=0,DI271,BI283)</f>
        <v>0.75</v>
      </c>
      <c r="DL283" s="180" t="n">
        <f aca="false">IF($M283=0,EOMONTH(DL282,0)+1,$M283)</f>
        <v>45078</v>
      </c>
      <c r="DM283" s="181" t="n">
        <f aca="false">IF(AV283=0,DM271,AU283+AV283)</f>
        <v>0.12</v>
      </c>
      <c r="DN283" s="181" t="n">
        <f aca="false">IF(AM283=0,DN271,AM283)</f>
        <v>0.15</v>
      </c>
      <c r="DO283" s="181" t="n">
        <f aca="false">IF(AV283=0,DO271,AV283+AW283)</f>
        <v>0.18</v>
      </c>
      <c r="DQ283" s="181" t="n">
        <f aca="false">AD283</f>
        <v>0</v>
      </c>
      <c r="DR283" s="181" t="n">
        <f aca="false">AE283</f>
        <v>0</v>
      </c>
      <c r="DS283" s="181" t="n">
        <f aca="false">AF283</f>
        <v>0</v>
      </c>
    </row>
    <row r="284" customFormat="false" ht="12.75" hidden="false" customHeight="false" outlineLevel="0" collapsed="false">
      <c r="A284" s="145" t="n">
        <f aca="false">EOMONTH(A283,0)+1</f>
        <v>54179</v>
      </c>
      <c r="B284" s="135" t="n">
        <f aca="false">'Gas Curves'!C288</f>
        <v>0.065784076516612</v>
      </c>
      <c r="C284" s="135"/>
      <c r="D284" s="62"/>
      <c r="E284" s="62"/>
      <c r="F284" s="62"/>
      <c r="G284" s="62"/>
      <c r="H284" s="62"/>
      <c r="I284" s="62"/>
      <c r="J284" s="62"/>
      <c r="K284" s="62"/>
      <c r="L284" s="62"/>
      <c r="M284" s="14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14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0"/>
      <c r="CI284" s="0"/>
      <c r="CJ284" s="0"/>
      <c r="CK284" s="0"/>
      <c r="CP284" s="0"/>
      <c r="CQ284" s="0"/>
      <c r="CR284" s="0"/>
      <c r="CS284" s="0"/>
      <c r="CT284" s="0"/>
      <c r="CY284" s="180" t="n">
        <f aca="false">EOMONTH(CY283,0)+1</f>
        <v>45108</v>
      </c>
      <c r="CZ284" s="181" t="n">
        <f aca="false">IF(AI284=0,CZ272,AH284+AI284)</f>
        <v>0.32</v>
      </c>
      <c r="DA284" s="181" t="n">
        <f aca="false">IF(AI284=0,DA272,AI284)</f>
        <v>0.4</v>
      </c>
      <c r="DB284" s="181" t="n">
        <f aca="false">IF(AI284=0,DB272,AI284+AJ284)</f>
        <v>0.48</v>
      </c>
      <c r="DD284" s="161" t="n">
        <f aca="false">IF(Z284=0,DD272,Z284)</f>
        <v>0.24</v>
      </c>
      <c r="DE284" s="161" t="n">
        <f aca="false">IF(AA284=0,DE272,AA284)</f>
        <v>0.3</v>
      </c>
      <c r="DF284" s="161" t="n">
        <f aca="false">IF(AB284=0,DF272,AB284)</f>
        <v>0.36</v>
      </c>
      <c r="DH284" s="180" t="n">
        <f aca="false">IF(BH284=0,EOMONTH(DH283,0)+1,BH284)</f>
        <v>45108</v>
      </c>
      <c r="DI284" s="231" t="n">
        <f aca="false">IF(BI284=0,DI272,BI284)</f>
        <v>0.75</v>
      </c>
      <c r="DL284" s="180" t="n">
        <f aca="false">IF($M284=0,EOMONTH(DL283,0)+1,$M284)</f>
        <v>45108</v>
      </c>
      <c r="DM284" s="181" t="n">
        <f aca="false">IF(AV284=0,DM272,AU284+AV284)</f>
        <v>0.192</v>
      </c>
      <c r="DN284" s="181" t="n">
        <f aca="false">IF(AM284=0,DN272,AM284)</f>
        <v>0.24</v>
      </c>
      <c r="DO284" s="181" t="n">
        <f aca="false">IF(AV284=0,DO272,AV284+AW284)</f>
        <v>0.288</v>
      </c>
      <c r="DQ284" s="181" t="n">
        <f aca="false">AD284</f>
        <v>0</v>
      </c>
      <c r="DR284" s="181" t="n">
        <f aca="false">AE284</f>
        <v>0</v>
      </c>
      <c r="DS284" s="181" t="n">
        <f aca="false">AF284</f>
        <v>0</v>
      </c>
    </row>
    <row r="285" customFormat="false" ht="12.75" hidden="false" customHeight="false" outlineLevel="0" collapsed="false">
      <c r="A285" s="145" t="n">
        <f aca="false">EOMONTH(A284,0)+1</f>
        <v>54210</v>
      </c>
      <c r="B285" s="135" t="n">
        <f aca="false">'Gas Curves'!C289</f>
        <v>0.065778170937739</v>
      </c>
      <c r="C285" s="135"/>
      <c r="D285" s="62"/>
      <c r="E285" s="62"/>
      <c r="F285" s="62"/>
      <c r="G285" s="62"/>
      <c r="H285" s="62"/>
      <c r="I285" s="62"/>
      <c r="J285" s="62"/>
      <c r="K285" s="62"/>
      <c r="L285" s="62"/>
      <c r="M285" s="14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14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0"/>
      <c r="CI285" s="0"/>
      <c r="CJ285" s="0"/>
      <c r="CK285" s="0"/>
      <c r="CP285" s="0"/>
      <c r="CQ285" s="0"/>
      <c r="CR285" s="0"/>
      <c r="CS285" s="0"/>
      <c r="CT285" s="0"/>
      <c r="CY285" s="180" t="n">
        <f aca="false">EOMONTH(CY284,0)+1</f>
        <v>45139</v>
      </c>
      <c r="CZ285" s="181" t="n">
        <f aca="false">IF(AI285=0,CZ273,AH285+AI285)</f>
        <v>0.32</v>
      </c>
      <c r="DA285" s="181" t="n">
        <f aca="false">IF(AI285=0,DA273,AI285)</f>
        <v>0.4</v>
      </c>
      <c r="DB285" s="181" t="n">
        <f aca="false">IF(AI285=0,DB273,AI285+AJ285)</f>
        <v>0.48</v>
      </c>
      <c r="DD285" s="161" t="n">
        <f aca="false">IF(Z285=0,DD273,Z285)</f>
        <v>0.24</v>
      </c>
      <c r="DE285" s="161" t="n">
        <f aca="false">IF(AA285=0,DE273,AA285)</f>
        <v>0.3</v>
      </c>
      <c r="DF285" s="161" t="n">
        <f aca="false">IF(AB285=0,DF273,AB285)</f>
        <v>0.36</v>
      </c>
      <c r="DH285" s="180" t="n">
        <f aca="false">IF(BH285=0,EOMONTH(DH284,0)+1,BH285)</f>
        <v>45139</v>
      </c>
      <c r="DI285" s="231" t="n">
        <f aca="false">IF(BI285=0,DI273,BI285)</f>
        <v>0.75</v>
      </c>
      <c r="DL285" s="180" t="n">
        <f aca="false">IF($M285=0,EOMONTH(DL284,0)+1,$M285)</f>
        <v>45139</v>
      </c>
      <c r="DM285" s="181" t="n">
        <f aca="false">IF(AV285=0,DM273,AU285+AV285)</f>
        <v>0.192</v>
      </c>
      <c r="DN285" s="181" t="n">
        <f aca="false">IF(AM285=0,DN273,AM285)</f>
        <v>0.24</v>
      </c>
      <c r="DO285" s="181" t="n">
        <f aca="false">IF(AV285=0,DO273,AV285+AW285)</f>
        <v>0.288</v>
      </c>
      <c r="DQ285" s="181" t="n">
        <f aca="false">AD285</f>
        <v>0</v>
      </c>
      <c r="DR285" s="181" t="n">
        <f aca="false">AE285</f>
        <v>0</v>
      </c>
      <c r="DS285" s="181" t="n">
        <f aca="false">AF285</f>
        <v>0</v>
      </c>
    </row>
    <row r="286" customFormat="false" ht="12.75" hidden="false" customHeight="false" outlineLevel="0" collapsed="false">
      <c r="A286" s="145" t="n">
        <f aca="false">EOMONTH(A285,0)+1</f>
        <v>54240</v>
      </c>
      <c r="B286" s="135" t="n">
        <f aca="false">'Gas Curves'!C290</f>
        <v>0.065772455861421</v>
      </c>
      <c r="C286" s="135"/>
      <c r="D286" s="62"/>
      <c r="E286" s="62"/>
      <c r="F286" s="62"/>
      <c r="G286" s="62"/>
      <c r="H286" s="62"/>
      <c r="I286" s="62"/>
      <c r="J286" s="62"/>
      <c r="K286" s="62"/>
      <c r="L286" s="62"/>
      <c r="M286" s="14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14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0"/>
      <c r="CI286" s="0"/>
      <c r="CJ286" s="0"/>
      <c r="CK286" s="0"/>
      <c r="CP286" s="0"/>
      <c r="CQ286" s="0"/>
      <c r="CR286" s="0"/>
      <c r="CS286" s="0"/>
      <c r="CT286" s="0"/>
      <c r="CY286" s="180" t="n">
        <f aca="false">EOMONTH(CY285,0)+1</f>
        <v>45170</v>
      </c>
      <c r="CZ286" s="181" t="n">
        <f aca="false">IF(AI286=0,CZ274,AH286+AI286)</f>
        <v>0.2</v>
      </c>
      <c r="DA286" s="181" t="n">
        <f aca="false">IF(AI286=0,DA274,AI286)</f>
        <v>0.25</v>
      </c>
      <c r="DB286" s="181" t="n">
        <f aca="false">IF(AI286=0,DB274,AI286+AJ286)</f>
        <v>0.3</v>
      </c>
      <c r="DD286" s="161" t="n">
        <f aca="false">IF(Z286=0,DD274,Z286)</f>
        <v>0.16</v>
      </c>
      <c r="DE286" s="161" t="n">
        <f aca="false">IF(AA286=0,DE274,AA286)</f>
        <v>0.2</v>
      </c>
      <c r="DF286" s="161" t="n">
        <f aca="false">IF(AB286=0,DF274,AB286)</f>
        <v>0.24</v>
      </c>
      <c r="DH286" s="180" t="n">
        <f aca="false">IF(BH286=0,EOMONTH(DH285,0)+1,BH286)</f>
        <v>45170</v>
      </c>
      <c r="DI286" s="231" t="n">
        <f aca="false">IF(BI286=0,DI274,BI286)</f>
        <v>0.75</v>
      </c>
      <c r="DL286" s="180" t="n">
        <f aca="false">IF($M286=0,EOMONTH(DL285,0)+1,$M286)</f>
        <v>45170</v>
      </c>
      <c r="DM286" s="181" t="n">
        <f aca="false">IF(AV286=0,DM274,AU286+AV286)</f>
        <v>0.12</v>
      </c>
      <c r="DN286" s="181" t="n">
        <f aca="false">IF(AM286=0,DN274,AM286)</f>
        <v>0.15</v>
      </c>
      <c r="DO286" s="181" t="n">
        <f aca="false">IF(AV286=0,DO274,AV286+AW286)</f>
        <v>0.18</v>
      </c>
      <c r="DQ286" s="181" t="n">
        <f aca="false">AD286</f>
        <v>0</v>
      </c>
      <c r="DR286" s="181" t="n">
        <f aca="false">AE286</f>
        <v>0</v>
      </c>
      <c r="DS286" s="181" t="n">
        <f aca="false">AF286</f>
        <v>0</v>
      </c>
    </row>
    <row r="287" customFormat="false" ht="12.75" hidden="false" customHeight="false" outlineLevel="0" collapsed="false">
      <c r="A287" s="145" t="n">
        <f aca="false">EOMONTH(A286,0)+1</f>
        <v>54271</v>
      </c>
      <c r="B287" s="135" t="n">
        <f aca="false">'Gas Curves'!C291</f>
        <v>0.06576655028257</v>
      </c>
      <c r="C287" s="135"/>
      <c r="D287" s="62"/>
      <c r="E287" s="62"/>
      <c r="F287" s="62"/>
      <c r="G287" s="62"/>
      <c r="H287" s="62"/>
      <c r="I287" s="62"/>
      <c r="J287" s="62"/>
      <c r="K287" s="62"/>
      <c r="L287" s="62"/>
      <c r="M287" s="14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14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0"/>
      <c r="CI287" s="0"/>
      <c r="CJ287" s="0"/>
      <c r="CK287" s="0"/>
      <c r="CP287" s="0"/>
      <c r="CQ287" s="0"/>
      <c r="CR287" s="0"/>
      <c r="CS287" s="0"/>
      <c r="CT287" s="0"/>
      <c r="CY287" s="180" t="n">
        <f aca="false">EOMONTH(CY286,0)+1</f>
        <v>45200</v>
      </c>
      <c r="CZ287" s="181" t="n">
        <f aca="false">IF(AI287=0,CZ275,AH287+AI287)</f>
        <v>0.2</v>
      </c>
      <c r="DA287" s="181" t="n">
        <f aca="false">IF(AI287=0,DA275,AI287)</f>
        <v>0.25</v>
      </c>
      <c r="DB287" s="181" t="n">
        <f aca="false">IF(AI287=0,DB275,AI287+AJ287)</f>
        <v>0.3</v>
      </c>
      <c r="DD287" s="161" t="n">
        <f aca="false">IF(Z287=0,DD275,Z287)</f>
        <v>0.16</v>
      </c>
      <c r="DE287" s="161" t="n">
        <f aca="false">IF(AA287=0,DE275,AA287)</f>
        <v>0.2</v>
      </c>
      <c r="DF287" s="161" t="n">
        <f aca="false">IF(AB287=0,DF275,AB287)</f>
        <v>0.24</v>
      </c>
      <c r="DH287" s="180" t="n">
        <f aca="false">IF(BH287=0,EOMONTH(DH286,0)+1,BH287)</f>
        <v>45200</v>
      </c>
      <c r="DI287" s="231" t="n">
        <f aca="false">IF(BI287=0,DI275,BI287)</f>
        <v>0.75</v>
      </c>
      <c r="DL287" s="180" t="n">
        <f aca="false">IF($M287=0,EOMONTH(DL286,0)+1,$M287)</f>
        <v>45200</v>
      </c>
      <c r="DM287" s="181" t="n">
        <f aca="false">IF(AV287=0,DM275,AU287+AV287)</f>
        <v>0.12</v>
      </c>
      <c r="DN287" s="181" t="n">
        <f aca="false">IF(AM287=0,DN275,AM287)</f>
        <v>0.15</v>
      </c>
      <c r="DO287" s="181" t="n">
        <f aca="false">IF(AV287=0,DO275,AV287+AW287)</f>
        <v>0.18</v>
      </c>
      <c r="DQ287" s="181" t="n">
        <f aca="false">AD287</f>
        <v>0</v>
      </c>
      <c r="DR287" s="181" t="n">
        <f aca="false">AE287</f>
        <v>0</v>
      </c>
      <c r="DS287" s="181" t="n">
        <f aca="false">AF287</f>
        <v>0</v>
      </c>
    </row>
    <row r="288" customFormat="false" ht="12.75" hidden="false" customHeight="false" outlineLevel="0" collapsed="false">
      <c r="A288" s="145" t="n">
        <f aca="false">EOMONTH(A287,0)+1</f>
        <v>54302</v>
      </c>
      <c r="B288" s="135" t="n">
        <f aca="false">'Gas Curves'!C292</f>
        <v>0.065760835206274</v>
      </c>
      <c r="C288" s="135"/>
      <c r="D288" s="62"/>
      <c r="E288" s="62"/>
      <c r="F288" s="62"/>
      <c r="G288" s="62"/>
      <c r="H288" s="62"/>
      <c r="I288" s="62"/>
      <c r="J288" s="62"/>
      <c r="K288" s="62"/>
      <c r="L288" s="62"/>
      <c r="M288" s="14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14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0"/>
      <c r="CI288" s="0"/>
      <c r="CJ288" s="0"/>
      <c r="CK288" s="0"/>
      <c r="CP288" s="0"/>
      <c r="CQ288" s="0"/>
      <c r="CR288" s="0"/>
      <c r="CS288" s="0"/>
      <c r="CT288" s="0"/>
      <c r="CY288" s="180" t="n">
        <f aca="false">EOMONTH(CY287,0)+1</f>
        <v>45231</v>
      </c>
      <c r="CZ288" s="181" t="n">
        <f aca="false">IF(AI288=0,CZ276,AH288+AI288)</f>
        <v>0.2</v>
      </c>
      <c r="DA288" s="181" t="n">
        <f aca="false">IF(AI288=0,DA276,AI288)</f>
        <v>0.25</v>
      </c>
      <c r="DB288" s="181" t="n">
        <f aca="false">IF(AI288=0,DB276,AI288+AJ288)</f>
        <v>0.3</v>
      </c>
      <c r="DD288" s="161" t="n">
        <f aca="false">IF(Z288=0,DD276,Z288)</f>
        <v>0.16</v>
      </c>
      <c r="DE288" s="161" t="n">
        <f aca="false">IF(AA288=0,DE276,AA288)</f>
        <v>0.2</v>
      </c>
      <c r="DF288" s="161" t="n">
        <f aca="false">IF(AB288=0,DF276,AB288)</f>
        <v>0.24</v>
      </c>
      <c r="DH288" s="180" t="n">
        <f aca="false">IF(BH288=0,EOMONTH(DH287,0)+1,BH288)</f>
        <v>45231</v>
      </c>
      <c r="DI288" s="231" t="n">
        <f aca="false">IF(BI288=0,DI276,BI288)</f>
        <v>0.75</v>
      </c>
      <c r="DL288" s="180" t="n">
        <f aca="false">IF($M288=0,EOMONTH(DL287,0)+1,$M288)</f>
        <v>45231</v>
      </c>
      <c r="DM288" s="181" t="n">
        <f aca="false">IF(AV288=0,DM276,AU288+AV288)</f>
        <v>0.12</v>
      </c>
      <c r="DN288" s="181" t="n">
        <f aca="false">IF(AM288=0,DN276,AM288)</f>
        <v>0.15</v>
      </c>
      <c r="DO288" s="181" t="n">
        <f aca="false">IF(AV288=0,DO276,AV288+AW288)</f>
        <v>0.18</v>
      </c>
      <c r="DQ288" s="181" t="n">
        <f aca="false">AD288</f>
        <v>0</v>
      </c>
      <c r="DR288" s="181" t="n">
        <f aca="false">AE288</f>
        <v>0</v>
      </c>
      <c r="DS288" s="181" t="n">
        <f aca="false">AF288</f>
        <v>0</v>
      </c>
    </row>
    <row r="289" customFormat="false" ht="12.75" hidden="false" customHeight="false" outlineLevel="0" collapsed="false">
      <c r="A289" s="145" t="n">
        <f aca="false">EOMONTH(A288,0)+1</f>
        <v>54332</v>
      </c>
      <c r="B289" s="135" t="n">
        <f aca="false">'Gas Curves'!C293</f>
        <v>0.065754929627446</v>
      </c>
      <c r="C289" s="135"/>
      <c r="D289" s="62"/>
      <c r="E289" s="62"/>
      <c r="F289" s="62"/>
      <c r="G289" s="62"/>
      <c r="H289" s="62"/>
      <c r="I289" s="62"/>
      <c r="J289" s="62"/>
      <c r="K289" s="62"/>
      <c r="L289" s="62"/>
      <c r="M289" s="14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14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0"/>
      <c r="CI289" s="0"/>
      <c r="CJ289" s="0"/>
      <c r="CK289" s="0"/>
      <c r="CP289" s="0"/>
      <c r="CQ289" s="0"/>
      <c r="CR289" s="0"/>
      <c r="CS289" s="0"/>
      <c r="CT289" s="0"/>
      <c r="CY289" s="180" t="n">
        <f aca="false">EOMONTH(CY288,0)+1</f>
        <v>45261</v>
      </c>
      <c r="CZ289" s="181" t="n">
        <f aca="false">IF(AI289=0,CZ277,AH289+AI289)</f>
        <v>0.2</v>
      </c>
      <c r="DA289" s="181" t="n">
        <f aca="false">IF(AI289=0,DA277,AI289)</f>
        <v>0.25</v>
      </c>
      <c r="DB289" s="181" t="n">
        <f aca="false">IF(AI289=0,DB277,AI289+AJ289)</f>
        <v>0.3</v>
      </c>
      <c r="DD289" s="161" t="n">
        <f aca="false">IF(Z289=0,DD277,Z289)</f>
        <v>0.16</v>
      </c>
      <c r="DE289" s="161" t="n">
        <f aca="false">IF(AA289=0,DE277,AA289)</f>
        <v>0.2</v>
      </c>
      <c r="DF289" s="161" t="n">
        <f aca="false">IF(AB289=0,DF277,AB289)</f>
        <v>0.24</v>
      </c>
      <c r="DH289" s="180" t="n">
        <f aca="false">IF(BH289=0,EOMONTH(DH288,0)+1,BH289)</f>
        <v>45261</v>
      </c>
      <c r="DI289" s="231" t="n">
        <f aca="false">IF(BI289=0,DI277,BI289)</f>
        <v>0.75</v>
      </c>
      <c r="DL289" s="180" t="n">
        <f aca="false">IF($M289=0,EOMONTH(DL288,0)+1,$M289)</f>
        <v>45261</v>
      </c>
      <c r="DM289" s="181" t="n">
        <f aca="false">IF(AV289=0,DM277,AU289+AV289)</f>
        <v>0.12</v>
      </c>
      <c r="DN289" s="181" t="n">
        <f aca="false">IF(AM289=0,DN277,AM289)</f>
        <v>0.15</v>
      </c>
      <c r="DO289" s="181" t="n">
        <f aca="false">IF(AV289=0,DO277,AV289+AW289)</f>
        <v>0.18</v>
      </c>
      <c r="DQ289" s="181" t="n">
        <f aca="false">AD289</f>
        <v>0</v>
      </c>
      <c r="DR289" s="181" t="n">
        <f aca="false">AE289</f>
        <v>0</v>
      </c>
      <c r="DS289" s="181" t="n">
        <f aca="false">AF289</f>
        <v>0</v>
      </c>
    </row>
    <row r="290" customFormat="false" ht="14.25" hidden="false" customHeight="false" outlineLevel="0" collapsed="false">
      <c r="A290" s="233" t="n">
        <f aca="false">EDATE(A289,1)</f>
        <v>54363</v>
      </c>
      <c r="B290" s="135" t="n">
        <f aca="false">'Gas Curves'!C294</f>
        <v>0.065749024048629</v>
      </c>
      <c r="C290" s="135"/>
      <c r="D290" s="62"/>
      <c r="E290" s="62"/>
      <c r="F290" s="62"/>
      <c r="G290" s="62"/>
      <c r="H290" s="62"/>
      <c r="I290" s="62"/>
      <c r="J290" s="62"/>
      <c r="K290" s="62"/>
      <c r="L290" s="62"/>
      <c r="M290" s="14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14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0"/>
      <c r="CI290" s="0"/>
      <c r="CJ290" s="0"/>
      <c r="CK290" s="0"/>
      <c r="CP290" s="0"/>
      <c r="CQ290" s="0"/>
      <c r="CR290" s="0"/>
      <c r="CS290" s="0"/>
      <c r="CT290" s="0"/>
      <c r="CY290" s="180" t="n">
        <f aca="false">EOMONTH(CY289,0)+1</f>
        <v>45292</v>
      </c>
      <c r="CZ290" s="181" t="n">
        <f aca="false">IF(AI290=0,CZ278,AH290+AI290)</f>
        <v>0</v>
      </c>
      <c r="DA290" s="181" t="n">
        <f aca="false">IF(AI290=0,DA278,AI290)</f>
        <v>0</v>
      </c>
      <c r="DB290" s="181" t="n">
        <f aca="false">IF(AI290=0,DB278,AI290+AJ290)</f>
        <v>0</v>
      </c>
      <c r="DD290" s="161" t="n">
        <f aca="false">IF(Z290=0,DD278,Z290)</f>
        <v>0</v>
      </c>
      <c r="DE290" s="161" t="n">
        <f aca="false">IF(AA290=0,DE278,AA290)</f>
        <v>0</v>
      </c>
      <c r="DF290" s="161" t="n">
        <f aca="false">IF(AB290=0,DF278,AB290)</f>
        <v>0</v>
      </c>
      <c r="DH290" s="180" t="n">
        <f aca="false">IF(BH290=0,EOMONTH(DH289,0)+1,BH290)</f>
        <v>45292</v>
      </c>
      <c r="DI290" s="231" t="n">
        <f aca="false">IF(BI290=0,DI278,BI290)</f>
        <v>0</v>
      </c>
      <c r="DL290" s="180" t="n">
        <f aca="false">IF($M290=0,EOMONTH(DL289,0)+1,$M290)</f>
        <v>45292</v>
      </c>
      <c r="DM290" s="181" t="n">
        <f aca="false">IF(AV290=0,DM278,AU290+AV290)</f>
        <v>0</v>
      </c>
      <c r="DN290" s="181" t="n">
        <f aca="false">IF(AM290=0,DN278,AM290)</f>
        <v>0</v>
      </c>
      <c r="DO290" s="181" t="n">
        <f aca="false">IF(AV290=0,DO278,AV290+AW290)</f>
        <v>0</v>
      </c>
      <c r="DQ290" s="181" t="n">
        <f aca="false">AD290</f>
        <v>0</v>
      </c>
      <c r="DR290" s="181" t="n">
        <f aca="false">AE290</f>
        <v>0</v>
      </c>
      <c r="DS290" s="181" t="n">
        <f aca="false">AF290</f>
        <v>0</v>
      </c>
    </row>
    <row r="291" customFormat="false" ht="14.25" hidden="false" customHeight="false" outlineLevel="0" collapsed="false">
      <c r="A291" s="233" t="n">
        <f aca="false">EDATE(A290,1)</f>
        <v>54393</v>
      </c>
      <c r="B291" s="135" t="n">
        <f aca="false">'Gas Curves'!C295</f>
        <v>0.065743499474908</v>
      </c>
      <c r="C291" s="135"/>
      <c r="D291" s="62"/>
      <c r="E291" s="62"/>
      <c r="F291" s="62"/>
      <c r="G291" s="62"/>
      <c r="H291" s="62"/>
      <c r="I291" s="62"/>
      <c r="J291" s="62"/>
      <c r="K291" s="62"/>
      <c r="L291" s="62"/>
      <c r="M291" s="14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14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0"/>
      <c r="CI291" s="0"/>
      <c r="CJ291" s="0"/>
      <c r="CK291" s="0"/>
      <c r="CP291" s="0"/>
      <c r="CQ291" s="0"/>
      <c r="CR291" s="0"/>
      <c r="CS291" s="0"/>
      <c r="CT291" s="0"/>
      <c r="CY291" s="180" t="n">
        <f aca="false">EOMONTH(CY290,0)+1</f>
        <v>45323</v>
      </c>
      <c r="CZ291" s="181" t="n">
        <f aca="false">IF(AI291=0,CZ279,AH291+AI291)</f>
        <v>0.2</v>
      </c>
      <c r="DA291" s="181" t="n">
        <f aca="false">IF(AI291=0,DA279,AI291)</f>
        <v>0.25</v>
      </c>
      <c r="DB291" s="181" t="n">
        <f aca="false">IF(AI291=0,DB279,AI291+AJ291)</f>
        <v>0.3</v>
      </c>
      <c r="DD291" s="161" t="n">
        <f aca="false">IF(Z291=0,DD279,Z291)</f>
        <v>0.16</v>
      </c>
      <c r="DE291" s="161" t="n">
        <f aca="false">IF(AA291=0,DE279,AA291)</f>
        <v>0.2</v>
      </c>
      <c r="DF291" s="161" t="n">
        <f aca="false">IF(AB291=0,DF279,AB291)</f>
        <v>0.24</v>
      </c>
      <c r="DH291" s="180" t="n">
        <f aca="false">IF(BH291=0,EOMONTH(DH290,0)+1,BH291)</f>
        <v>45323</v>
      </c>
      <c r="DI291" s="231" t="n">
        <f aca="false">IF(BI291=0,DI279,BI291)</f>
        <v>0.75</v>
      </c>
      <c r="DL291" s="180" t="n">
        <f aca="false">IF($M291=0,EOMONTH(DL290,0)+1,$M291)</f>
        <v>45323</v>
      </c>
      <c r="DM291" s="181" t="n">
        <f aca="false">IF(AV291=0,DM279,AU291+AV291)</f>
        <v>0.12</v>
      </c>
      <c r="DN291" s="181" t="n">
        <f aca="false">IF(AM291=0,DN279,AM291)</f>
        <v>0.15</v>
      </c>
      <c r="DO291" s="181" t="n">
        <f aca="false">IF(AV291=0,DO279,AV291+AW291)</f>
        <v>0.18</v>
      </c>
      <c r="DQ291" s="181" t="n">
        <f aca="false">AD291</f>
        <v>0</v>
      </c>
      <c r="DR291" s="181" t="n">
        <f aca="false">AE291</f>
        <v>0</v>
      </c>
      <c r="DS291" s="181" t="n">
        <f aca="false">AF291</f>
        <v>0</v>
      </c>
    </row>
    <row r="292" customFormat="false" ht="14.25" hidden="false" customHeight="false" outlineLevel="0" collapsed="false">
      <c r="A292" s="233" t="n">
        <f aca="false">EDATE(A291,1)</f>
        <v>54424</v>
      </c>
      <c r="B292" s="135" t="n">
        <f aca="false">'Gas Curves'!C296</f>
        <v>0.065737593896114</v>
      </c>
      <c r="C292" s="135"/>
      <c r="D292" s="62"/>
      <c r="E292" s="62"/>
      <c r="F292" s="62"/>
      <c r="G292" s="62"/>
      <c r="H292" s="62"/>
      <c r="I292" s="62"/>
      <c r="J292" s="62"/>
      <c r="K292" s="62"/>
      <c r="L292" s="62"/>
      <c r="M292" s="14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14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0"/>
      <c r="CI292" s="0"/>
      <c r="CJ292" s="0"/>
      <c r="CK292" s="0"/>
      <c r="CP292" s="0"/>
      <c r="CQ292" s="0"/>
      <c r="CR292" s="0"/>
      <c r="CS292" s="0"/>
      <c r="CT292" s="0"/>
      <c r="CY292" s="180" t="n">
        <f aca="false">EOMONTH(CY291,0)+1</f>
        <v>45352</v>
      </c>
      <c r="CZ292" s="181" t="n">
        <f aca="false">IF(AI292=0,CZ280,AH292+AI292)</f>
        <v>0.2</v>
      </c>
      <c r="DA292" s="181" t="n">
        <f aca="false">IF(AI292=0,DA280,AI292)</f>
        <v>0.25</v>
      </c>
      <c r="DB292" s="181" t="n">
        <f aca="false">IF(AI292=0,DB280,AI292+AJ292)</f>
        <v>0.3</v>
      </c>
      <c r="DD292" s="161" t="n">
        <f aca="false">IF(Z292=0,DD280,Z292)</f>
        <v>0.16</v>
      </c>
      <c r="DE292" s="161" t="n">
        <f aca="false">IF(AA292=0,DE280,AA292)</f>
        <v>0.2</v>
      </c>
      <c r="DF292" s="161" t="n">
        <f aca="false">IF(AB292=0,DF280,AB292)</f>
        <v>0.24</v>
      </c>
      <c r="DH292" s="180" t="n">
        <f aca="false">IF(BH292=0,EOMONTH(DH291,0)+1,BH292)</f>
        <v>45352</v>
      </c>
      <c r="DI292" s="231" t="n">
        <f aca="false">IF(BI292=0,DI280,BI292)</f>
        <v>0.75</v>
      </c>
      <c r="DL292" s="180" t="n">
        <f aca="false">IF($M292=0,EOMONTH(DL291,0)+1,$M292)</f>
        <v>45352</v>
      </c>
      <c r="DM292" s="181" t="n">
        <f aca="false">IF(AV292=0,DM280,AU292+AV292)</f>
        <v>0.12</v>
      </c>
      <c r="DN292" s="181" t="n">
        <f aca="false">IF(AM292=0,DN280,AM292)</f>
        <v>0.15</v>
      </c>
      <c r="DO292" s="181" t="n">
        <f aca="false">IF(AV292=0,DO280,AV292+AW292)</f>
        <v>0.18</v>
      </c>
      <c r="DQ292" s="181" t="n">
        <f aca="false">AD292</f>
        <v>0</v>
      </c>
      <c r="DR292" s="181" t="n">
        <f aca="false">AE292</f>
        <v>0</v>
      </c>
      <c r="DS292" s="181" t="n">
        <f aca="false">AF292</f>
        <v>0</v>
      </c>
    </row>
    <row r="293" customFormat="false" ht="14.25" hidden="false" customHeight="false" outlineLevel="0" collapsed="false">
      <c r="A293" s="233" t="n">
        <f aca="false">EDATE(A292,1)</f>
        <v>54455</v>
      </c>
      <c r="B293" s="135" t="n">
        <f aca="false">'Gas Curves'!C297</f>
        <v>0.065731878819872</v>
      </c>
      <c r="C293" s="135"/>
      <c r="D293" s="62"/>
      <c r="E293" s="62"/>
      <c r="F293" s="62"/>
      <c r="G293" s="62"/>
      <c r="H293" s="62"/>
      <c r="I293" s="62"/>
      <c r="J293" s="62"/>
      <c r="K293" s="62"/>
      <c r="L293" s="62"/>
      <c r="M293" s="14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14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0"/>
      <c r="CI293" s="0"/>
      <c r="CJ293" s="0"/>
      <c r="CK293" s="0"/>
      <c r="CP293" s="0"/>
      <c r="CQ293" s="0"/>
      <c r="CR293" s="0"/>
      <c r="CS293" s="0"/>
      <c r="CT293" s="0"/>
      <c r="CY293" s="180" t="n">
        <f aca="false">EOMONTH(CY292,0)+1</f>
        <v>45383</v>
      </c>
      <c r="CZ293" s="181" t="n">
        <f aca="false">IF(AI293=0,CZ281,AH293+AI293)</f>
        <v>0.2</v>
      </c>
      <c r="DA293" s="181" t="n">
        <f aca="false">IF(AI293=0,DA281,AI293)</f>
        <v>0.25</v>
      </c>
      <c r="DB293" s="181" t="n">
        <f aca="false">IF(AI293=0,DB281,AI293+AJ293)</f>
        <v>0.3</v>
      </c>
      <c r="DD293" s="161" t="n">
        <f aca="false">IF(Z293=0,DD281,Z293)</f>
        <v>0.16</v>
      </c>
      <c r="DE293" s="161" t="n">
        <f aca="false">IF(AA293=0,DE281,AA293)</f>
        <v>0.2</v>
      </c>
      <c r="DF293" s="161" t="n">
        <f aca="false">IF(AB293=0,DF281,AB293)</f>
        <v>0.24</v>
      </c>
      <c r="DH293" s="180" t="n">
        <f aca="false">IF(BH293=0,EOMONTH(DH292,0)+1,BH293)</f>
        <v>45383</v>
      </c>
      <c r="DI293" s="231" t="n">
        <f aca="false">IF(BI293=0,DI281,BI293)</f>
        <v>0.75</v>
      </c>
      <c r="DL293" s="180" t="n">
        <f aca="false">IF($M293=0,EOMONTH(DL292,0)+1,$M293)</f>
        <v>45383</v>
      </c>
      <c r="DM293" s="181" t="n">
        <f aca="false">IF(AV293=0,DM281,AU293+AV293)</f>
        <v>0.12</v>
      </c>
      <c r="DN293" s="181" t="n">
        <f aca="false">IF(AM293=0,DN281,AM293)</f>
        <v>0.15</v>
      </c>
      <c r="DO293" s="181" t="n">
        <f aca="false">IF(AV293=0,DO281,AV293+AW293)</f>
        <v>0.18</v>
      </c>
      <c r="DQ293" s="181" t="n">
        <f aca="false">AD293</f>
        <v>0</v>
      </c>
      <c r="DR293" s="181" t="n">
        <f aca="false">AE293</f>
        <v>0</v>
      </c>
      <c r="DS293" s="181" t="n">
        <f aca="false">AF293</f>
        <v>0</v>
      </c>
    </row>
    <row r="294" customFormat="false" ht="14.25" hidden="false" customHeight="false" outlineLevel="0" collapsed="false">
      <c r="A294" s="233" t="n">
        <f aca="false">EDATE(A293,1)</f>
        <v>54483</v>
      </c>
      <c r="B294" s="135" t="n">
        <f aca="false">'Gas Curves'!C298</f>
        <v>0.065725973241101</v>
      </c>
      <c r="C294" s="135"/>
      <c r="D294" s="62"/>
      <c r="E294" s="62"/>
      <c r="F294" s="62"/>
      <c r="G294" s="62"/>
      <c r="H294" s="62"/>
      <c r="I294" s="62"/>
      <c r="J294" s="62"/>
      <c r="K294" s="62"/>
      <c r="L294" s="62"/>
      <c r="M294" s="14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14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0"/>
      <c r="CI294" s="0"/>
      <c r="CJ294" s="0"/>
      <c r="CK294" s="0"/>
      <c r="CP294" s="0"/>
      <c r="CQ294" s="0"/>
      <c r="CR294" s="0"/>
      <c r="CS294" s="0"/>
      <c r="CT294" s="0"/>
      <c r="CY294" s="180" t="n">
        <f aca="false">EOMONTH(CY293,0)+1</f>
        <v>45413</v>
      </c>
      <c r="CZ294" s="181" t="n">
        <f aca="false">IF(AI294=0,CZ282,AH294+AI294)</f>
        <v>0.2</v>
      </c>
      <c r="DA294" s="181" t="n">
        <f aca="false">IF(AI294=0,DA282,AI294)</f>
        <v>0.25</v>
      </c>
      <c r="DB294" s="181" t="n">
        <f aca="false">IF(AI294=0,DB282,AI294+AJ294)</f>
        <v>0.3</v>
      </c>
      <c r="DD294" s="161" t="n">
        <f aca="false">IF(Z294=0,DD282,Z294)</f>
        <v>0.16</v>
      </c>
      <c r="DE294" s="161" t="n">
        <f aca="false">IF(AA294=0,DE282,AA294)</f>
        <v>0.2</v>
      </c>
      <c r="DF294" s="161" t="n">
        <f aca="false">IF(AB294=0,DF282,AB294)</f>
        <v>0.24</v>
      </c>
      <c r="DH294" s="180" t="n">
        <f aca="false">IF(BH294=0,EOMONTH(DH293,0)+1,BH294)</f>
        <v>45413</v>
      </c>
      <c r="DI294" s="231" t="n">
        <f aca="false">IF(BI294=0,DI282,BI294)</f>
        <v>0.75</v>
      </c>
      <c r="DL294" s="180" t="n">
        <f aca="false">IF($M294=0,EOMONTH(DL293,0)+1,$M294)</f>
        <v>45413</v>
      </c>
      <c r="DM294" s="181" t="n">
        <f aca="false">IF(AV294=0,DM282,AU294+AV294)</f>
        <v>0.12</v>
      </c>
      <c r="DN294" s="181" t="n">
        <f aca="false">IF(AM294=0,DN282,AM294)</f>
        <v>0.15</v>
      </c>
      <c r="DO294" s="181" t="n">
        <f aca="false">IF(AV294=0,DO282,AV294+AW294)</f>
        <v>0.18</v>
      </c>
      <c r="DQ294" s="181" t="n">
        <f aca="false">AD294</f>
        <v>0</v>
      </c>
      <c r="DR294" s="181" t="n">
        <f aca="false">AE294</f>
        <v>0</v>
      </c>
      <c r="DS294" s="181" t="n">
        <f aca="false">AF294</f>
        <v>0</v>
      </c>
    </row>
    <row r="295" customFormat="false" ht="14.25" hidden="false" customHeight="false" outlineLevel="0" collapsed="false">
      <c r="A295" s="233" t="n">
        <f aca="false">EDATE(A294,1)</f>
        <v>54514</v>
      </c>
      <c r="B295" s="135" t="n">
        <f aca="false">'Gas Curves'!C299</f>
        <v>0.065720258164882</v>
      </c>
      <c r="C295" s="135"/>
      <c r="D295" s="62"/>
      <c r="E295" s="62"/>
      <c r="F295" s="62"/>
      <c r="G295" s="62"/>
      <c r="H295" s="62"/>
      <c r="I295" s="62"/>
      <c r="J295" s="62"/>
      <c r="K295" s="62"/>
      <c r="L295" s="62"/>
      <c r="M295" s="14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14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0"/>
      <c r="CI295" s="0"/>
      <c r="CJ295" s="0"/>
      <c r="CK295" s="0"/>
      <c r="CP295" s="0"/>
      <c r="CQ295" s="0"/>
      <c r="CR295" s="0"/>
      <c r="CS295" s="0"/>
      <c r="CT295" s="0"/>
      <c r="CY295" s="180" t="n">
        <f aca="false">EOMONTH(CY294,0)+1</f>
        <v>45444</v>
      </c>
      <c r="CZ295" s="181" t="n">
        <f aca="false">IF(AI295=0,CZ283,AH295+AI295)</f>
        <v>0.2</v>
      </c>
      <c r="DA295" s="181" t="n">
        <f aca="false">IF(AI295=0,DA283,AI295)</f>
        <v>0.25</v>
      </c>
      <c r="DB295" s="181" t="n">
        <f aca="false">IF(AI295=0,DB283,AI295+AJ295)</f>
        <v>0.3</v>
      </c>
      <c r="DD295" s="161" t="n">
        <f aca="false">IF(Z295=0,DD283,Z295)</f>
        <v>0.16</v>
      </c>
      <c r="DE295" s="161" t="n">
        <f aca="false">IF(AA295=0,DE283,AA295)</f>
        <v>0.2</v>
      </c>
      <c r="DF295" s="161" t="n">
        <f aca="false">IF(AB295=0,DF283,AB295)</f>
        <v>0.24</v>
      </c>
      <c r="DH295" s="180" t="n">
        <f aca="false">IF(BH295=0,EOMONTH(DH294,0)+1,BH295)</f>
        <v>45444</v>
      </c>
      <c r="DI295" s="231" t="n">
        <f aca="false">IF(BI295=0,DI283,BI295)</f>
        <v>0.75</v>
      </c>
      <c r="DL295" s="180" t="n">
        <f aca="false">IF($M295=0,EOMONTH(DL294,0)+1,$M295)</f>
        <v>45444</v>
      </c>
      <c r="DM295" s="181" t="n">
        <f aca="false">IF(AV295=0,DM283,AU295+AV295)</f>
        <v>0.12</v>
      </c>
      <c r="DN295" s="181" t="n">
        <f aca="false">IF(AM295=0,DN283,AM295)</f>
        <v>0.15</v>
      </c>
      <c r="DO295" s="181" t="n">
        <f aca="false">IF(AV295=0,DO283,AV295+AW295)</f>
        <v>0.18</v>
      </c>
      <c r="DQ295" s="181" t="n">
        <f aca="false">AD295</f>
        <v>0</v>
      </c>
      <c r="DR295" s="181" t="n">
        <f aca="false">AE295</f>
        <v>0</v>
      </c>
      <c r="DS295" s="181" t="n">
        <f aca="false">AF295</f>
        <v>0</v>
      </c>
    </row>
    <row r="296" customFormat="false" ht="14.25" hidden="false" customHeight="false" outlineLevel="0" collapsed="false">
      <c r="A296" s="233" t="n">
        <f aca="false">EDATE(A295,1)</f>
        <v>54544</v>
      </c>
      <c r="B296" s="135" t="n">
        <f aca="false">'Gas Curves'!C300</f>
        <v>0.065714352586133</v>
      </c>
      <c r="C296" s="135"/>
      <c r="D296" s="62"/>
      <c r="E296" s="62"/>
      <c r="F296" s="62"/>
      <c r="G296" s="62"/>
      <c r="H296" s="62"/>
      <c r="I296" s="62"/>
      <c r="J296" s="62"/>
      <c r="K296" s="62"/>
      <c r="L296" s="62"/>
      <c r="M296" s="14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14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0"/>
      <c r="CI296" s="0"/>
      <c r="CJ296" s="0"/>
      <c r="CK296" s="0"/>
      <c r="CP296" s="0"/>
      <c r="CQ296" s="0"/>
      <c r="CR296" s="0"/>
      <c r="CS296" s="0"/>
      <c r="CT296" s="0"/>
      <c r="CY296" s="180" t="n">
        <f aca="false">EOMONTH(CY295,0)+1</f>
        <v>45474</v>
      </c>
      <c r="CZ296" s="181" t="n">
        <f aca="false">IF(AI296=0,CZ284,AH296+AI296)</f>
        <v>0.32</v>
      </c>
      <c r="DA296" s="181" t="n">
        <f aca="false">IF(AI296=0,DA284,AI296)</f>
        <v>0.4</v>
      </c>
      <c r="DB296" s="181" t="n">
        <f aca="false">IF(AI296=0,DB284,AI296+AJ296)</f>
        <v>0.48</v>
      </c>
      <c r="DD296" s="161" t="n">
        <f aca="false">IF(Z296=0,DD284,Z296)</f>
        <v>0.24</v>
      </c>
      <c r="DE296" s="161" t="n">
        <f aca="false">IF(AA296=0,DE284,AA296)</f>
        <v>0.3</v>
      </c>
      <c r="DF296" s="161" t="n">
        <f aca="false">IF(AB296=0,DF284,AB296)</f>
        <v>0.36</v>
      </c>
      <c r="DH296" s="180" t="n">
        <f aca="false">IF(BH296=0,EOMONTH(DH295,0)+1,BH296)</f>
        <v>45474</v>
      </c>
      <c r="DI296" s="231" t="n">
        <f aca="false">IF(BI296=0,DI284,BI296)</f>
        <v>0.75</v>
      </c>
      <c r="DL296" s="180" t="n">
        <f aca="false">IF($M296=0,EOMONTH(DL295,0)+1,$M296)</f>
        <v>45474</v>
      </c>
      <c r="DM296" s="181" t="n">
        <f aca="false">IF(AV296=0,DM284,AU296+AV296)</f>
        <v>0.192</v>
      </c>
      <c r="DN296" s="181" t="n">
        <f aca="false">IF(AM296=0,DN284,AM296)</f>
        <v>0.24</v>
      </c>
      <c r="DO296" s="181" t="n">
        <f aca="false">IF(AV296=0,DO284,AV296+AW296)</f>
        <v>0.288</v>
      </c>
      <c r="DQ296" s="181" t="n">
        <f aca="false">AD296</f>
        <v>0</v>
      </c>
      <c r="DR296" s="181" t="n">
        <f aca="false">AE296</f>
        <v>0</v>
      </c>
      <c r="DS296" s="181" t="n">
        <f aca="false">AF296</f>
        <v>0</v>
      </c>
    </row>
    <row r="297" customFormat="false" ht="14.25" hidden="false" customHeight="false" outlineLevel="0" collapsed="false">
      <c r="A297" s="233" t="n">
        <f aca="false">EDATE(A296,1)</f>
        <v>54575</v>
      </c>
      <c r="B297" s="135" t="n">
        <f aca="false">'Gas Curves'!C301</f>
        <v>0.065708447007396</v>
      </c>
      <c r="C297" s="135"/>
      <c r="D297" s="62"/>
      <c r="E297" s="62"/>
      <c r="F297" s="62"/>
      <c r="G297" s="62"/>
      <c r="H297" s="62"/>
      <c r="I297" s="62"/>
      <c r="J297" s="62"/>
      <c r="K297" s="62"/>
      <c r="L297" s="62"/>
      <c r="M297" s="14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14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0"/>
      <c r="CI297" s="0"/>
      <c r="CJ297" s="0"/>
      <c r="CK297" s="0"/>
      <c r="CP297" s="0"/>
      <c r="CQ297" s="0"/>
      <c r="CR297" s="0"/>
      <c r="CS297" s="0"/>
      <c r="CT297" s="0"/>
      <c r="CY297" s="180" t="n">
        <f aca="false">EOMONTH(CY296,0)+1</f>
        <v>45505</v>
      </c>
      <c r="CZ297" s="181" t="n">
        <f aca="false">IF(AI297=0,CZ285,AH297+AI297)</f>
        <v>0.32</v>
      </c>
      <c r="DA297" s="181" t="n">
        <f aca="false">IF(AI297=0,DA285,AI297)</f>
        <v>0.4</v>
      </c>
      <c r="DB297" s="181" t="n">
        <f aca="false">IF(AI297=0,DB285,AI297+AJ297)</f>
        <v>0.48</v>
      </c>
      <c r="DD297" s="161" t="n">
        <f aca="false">IF(Z297=0,DD285,Z297)</f>
        <v>0.24</v>
      </c>
      <c r="DE297" s="161" t="n">
        <f aca="false">IF(AA297=0,DE285,AA297)</f>
        <v>0.3</v>
      </c>
      <c r="DF297" s="161" t="n">
        <f aca="false">IF(AB297=0,DF285,AB297)</f>
        <v>0.36</v>
      </c>
      <c r="DH297" s="180" t="n">
        <f aca="false">IF(BH297=0,EOMONTH(DH296,0)+1,BH297)</f>
        <v>45505</v>
      </c>
      <c r="DI297" s="231" t="n">
        <f aca="false">IF(BI297=0,DI285,BI297)</f>
        <v>0.75</v>
      </c>
      <c r="DL297" s="180" t="n">
        <f aca="false">IF($M297=0,EOMONTH(DL296,0)+1,$M297)</f>
        <v>45505</v>
      </c>
      <c r="DM297" s="181" t="n">
        <f aca="false">IF(AV297=0,DM285,AU297+AV297)</f>
        <v>0.192</v>
      </c>
      <c r="DN297" s="181" t="n">
        <f aca="false">IF(AM297=0,DN285,AM297)</f>
        <v>0.24</v>
      </c>
      <c r="DO297" s="181" t="n">
        <f aca="false">IF(AV297=0,DO285,AV297+AW297)</f>
        <v>0.288</v>
      </c>
      <c r="DQ297" s="181" t="n">
        <f aca="false">AD297</f>
        <v>0</v>
      </c>
      <c r="DR297" s="181" t="n">
        <f aca="false">AE297</f>
        <v>0</v>
      </c>
      <c r="DS297" s="181" t="n">
        <f aca="false">AF297</f>
        <v>0</v>
      </c>
    </row>
    <row r="298" customFormat="false" ht="14.25" hidden="false" customHeight="false" outlineLevel="0" collapsed="false">
      <c r="A298" s="233" t="n">
        <f aca="false">EDATE(A297,1)</f>
        <v>54605</v>
      </c>
      <c r="B298" s="135" t="n">
        <f aca="false">'Gas Curves'!C302</f>
        <v>0.06570273193121</v>
      </c>
      <c r="C298" s="135"/>
      <c r="D298" s="62"/>
      <c r="E298" s="62"/>
      <c r="F298" s="62"/>
      <c r="G298" s="62"/>
      <c r="H298" s="62"/>
      <c r="I298" s="62"/>
      <c r="J298" s="62"/>
      <c r="K298" s="62"/>
      <c r="L298" s="62"/>
      <c r="M298" s="14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14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0"/>
      <c r="CI298" s="0"/>
      <c r="CJ298" s="0"/>
      <c r="CK298" s="0"/>
      <c r="CP298" s="0"/>
      <c r="CQ298" s="0"/>
      <c r="CR298" s="0"/>
      <c r="CS298" s="0"/>
      <c r="CT298" s="0"/>
      <c r="CY298" s="180" t="n">
        <f aca="false">EOMONTH(CY297,0)+1</f>
        <v>45536</v>
      </c>
      <c r="CZ298" s="181" t="n">
        <f aca="false">IF(AI298=0,CZ286,AH298+AI298)</f>
        <v>0.2</v>
      </c>
      <c r="DA298" s="181" t="n">
        <f aca="false">IF(AI298=0,DA286,AI298)</f>
        <v>0.25</v>
      </c>
      <c r="DB298" s="181" t="n">
        <f aca="false">IF(AI298=0,DB286,AI298+AJ298)</f>
        <v>0.3</v>
      </c>
      <c r="DD298" s="161" t="n">
        <f aca="false">IF(Z298=0,DD286,Z298)</f>
        <v>0.16</v>
      </c>
      <c r="DE298" s="161" t="n">
        <f aca="false">IF(AA298=0,DE286,AA298)</f>
        <v>0.2</v>
      </c>
      <c r="DF298" s="161" t="n">
        <f aca="false">IF(AB298=0,DF286,AB298)</f>
        <v>0.24</v>
      </c>
      <c r="DH298" s="180" t="n">
        <f aca="false">IF(BH298=0,EOMONTH(DH297,0)+1,BH298)</f>
        <v>45536</v>
      </c>
      <c r="DI298" s="231" t="n">
        <f aca="false">IF(BI298=0,DI286,BI298)</f>
        <v>0.75</v>
      </c>
      <c r="DL298" s="180" t="n">
        <f aca="false">IF($M298=0,EOMONTH(DL297,0)+1,$M298)</f>
        <v>45536</v>
      </c>
      <c r="DM298" s="181" t="n">
        <f aca="false">IF(AV298=0,DM286,AU298+AV298)</f>
        <v>0.12</v>
      </c>
      <c r="DN298" s="181" t="n">
        <f aca="false">IF(AM298=0,DN286,AM298)</f>
        <v>0.15</v>
      </c>
      <c r="DO298" s="181" t="n">
        <f aca="false">IF(AV298=0,DO286,AV298+AW298)</f>
        <v>0.18</v>
      </c>
      <c r="DQ298" s="181" t="n">
        <f aca="false">AD298</f>
        <v>0</v>
      </c>
      <c r="DR298" s="181" t="n">
        <f aca="false">AE298</f>
        <v>0</v>
      </c>
      <c r="DS298" s="181" t="n">
        <f aca="false">AF298</f>
        <v>0</v>
      </c>
    </row>
    <row r="299" customFormat="false" ht="14.25" hidden="false" customHeight="false" outlineLevel="0" collapsed="false">
      <c r="A299" s="233" t="n">
        <f aca="false">EDATE(A298,1)</f>
        <v>54636</v>
      </c>
      <c r="B299" s="135" t="n">
        <f aca="false">'Gas Curves'!C303</f>
        <v>0.065696826352495</v>
      </c>
      <c r="C299" s="135"/>
      <c r="D299" s="62"/>
      <c r="E299" s="62"/>
      <c r="F299" s="62"/>
      <c r="G299" s="62"/>
      <c r="H299" s="62"/>
      <c r="I299" s="62"/>
      <c r="J299" s="62"/>
      <c r="K299" s="62"/>
      <c r="L299" s="62"/>
      <c r="M299" s="14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14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0"/>
      <c r="CI299" s="0"/>
      <c r="CJ299" s="0"/>
      <c r="CK299" s="0"/>
      <c r="CP299" s="0"/>
      <c r="CQ299" s="0"/>
      <c r="CR299" s="0"/>
      <c r="CS299" s="0"/>
      <c r="CT299" s="0"/>
      <c r="CY299" s="180" t="n">
        <f aca="false">EOMONTH(CY298,0)+1</f>
        <v>45566</v>
      </c>
      <c r="CZ299" s="181" t="n">
        <f aca="false">IF(AI299=0,CZ287,AH299+AI299)</f>
        <v>0.2</v>
      </c>
      <c r="DA299" s="181" t="n">
        <f aca="false">IF(AI299=0,DA287,AI299)</f>
        <v>0.25</v>
      </c>
      <c r="DB299" s="181" t="n">
        <f aca="false">IF(AI299=0,DB287,AI299+AJ299)</f>
        <v>0.3</v>
      </c>
      <c r="DD299" s="161" t="n">
        <f aca="false">IF(Z299=0,DD287,Z299)</f>
        <v>0.16</v>
      </c>
      <c r="DE299" s="161" t="n">
        <f aca="false">IF(AA299=0,DE287,AA299)</f>
        <v>0.2</v>
      </c>
      <c r="DF299" s="161" t="n">
        <f aca="false">IF(AB299=0,DF287,AB299)</f>
        <v>0.24</v>
      </c>
      <c r="DH299" s="180" t="n">
        <f aca="false">IF(BH299=0,EOMONTH(DH298,0)+1,BH299)</f>
        <v>45566</v>
      </c>
      <c r="DI299" s="231" t="n">
        <f aca="false">IF(BI299=0,DI287,BI299)</f>
        <v>0.75</v>
      </c>
      <c r="DL299" s="180" t="n">
        <f aca="false">IF($M299=0,EOMONTH(DL298,0)+1,$M299)</f>
        <v>45566</v>
      </c>
      <c r="DM299" s="181" t="n">
        <f aca="false">IF(AV299=0,DM287,AU299+AV299)</f>
        <v>0.12</v>
      </c>
      <c r="DN299" s="181" t="n">
        <f aca="false">IF(AM299=0,DN287,AM299)</f>
        <v>0.15</v>
      </c>
      <c r="DO299" s="181" t="n">
        <f aca="false">IF(AV299=0,DO287,AV299+AW299)</f>
        <v>0.18</v>
      </c>
      <c r="DQ299" s="181" t="n">
        <f aca="false">AD299</f>
        <v>0</v>
      </c>
      <c r="DR299" s="181" t="n">
        <f aca="false">AE299</f>
        <v>0</v>
      </c>
      <c r="DS299" s="181" t="n">
        <f aca="false">AF299</f>
        <v>0</v>
      </c>
    </row>
    <row r="300" customFormat="false" ht="14.25" hidden="false" customHeight="false" outlineLevel="0" collapsed="false">
      <c r="A300" s="233" t="n">
        <f aca="false">EDATE(A299,1)</f>
        <v>54667</v>
      </c>
      <c r="B300" s="135" t="n">
        <f aca="false">'Gas Curves'!C304</f>
        <v>0.065691111276331</v>
      </c>
      <c r="C300" s="135"/>
      <c r="D300" s="62"/>
      <c r="E300" s="62"/>
      <c r="F300" s="62"/>
      <c r="G300" s="62"/>
      <c r="H300" s="62"/>
      <c r="I300" s="62"/>
      <c r="J300" s="62"/>
      <c r="K300" s="62"/>
      <c r="L300" s="62"/>
      <c r="M300" s="14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14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0"/>
      <c r="CI300" s="0"/>
      <c r="CJ300" s="0"/>
      <c r="CK300" s="0"/>
      <c r="CP300" s="0"/>
      <c r="CQ300" s="0"/>
      <c r="CR300" s="0"/>
      <c r="CS300" s="0"/>
      <c r="CT300" s="0"/>
      <c r="CU300" s="0"/>
      <c r="CV300" s="145"/>
      <c r="CW300" s="234"/>
      <c r="CX300" s="234"/>
      <c r="CY300" s="180" t="n">
        <f aca="false">EOMONTH(CY299,0)+1</f>
        <v>45597</v>
      </c>
      <c r="CZ300" s="181" t="n">
        <f aca="false">IF(AI300=0,CZ288,AH300+AI300)</f>
        <v>0.2</v>
      </c>
      <c r="DA300" s="181" t="n">
        <f aca="false">IF(AI300=0,DA288,AI300)</f>
        <v>0.25</v>
      </c>
      <c r="DB300" s="181" t="n">
        <f aca="false">IF(AI300=0,DB288,AI300+AJ300)</f>
        <v>0.3</v>
      </c>
      <c r="DD300" s="161" t="n">
        <f aca="false">IF(Z300=0,DD288,Z300)</f>
        <v>0.16</v>
      </c>
      <c r="DE300" s="161" t="n">
        <f aca="false">IF(AA300=0,DE288,AA300)</f>
        <v>0.2</v>
      </c>
      <c r="DF300" s="161" t="n">
        <f aca="false">IF(AB300=0,DF288,AB300)</f>
        <v>0.24</v>
      </c>
      <c r="DG300" s="235"/>
      <c r="DH300" s="180" t="n">
        <f aca="false">IF(BH300=0,EOMONTH(DH299,0)+1,BH300)</f>
        <v>45597</v>
      </c>
      <c r="DI300" s="231" t="n">
        <f aca="false">IF(BI300=0,DI288,BI300)</f>
        <v>0.75</v>
      </c>
      <c r="DL300" s="180" t="n">
        <f aca="false">IF($M300=0,EOMONTH(DL299,0)+1,$M300)</f>
        <v>45597</v>
      </c>
      <c r="DM300" s="181" t="n">
        <f aca="false">IF(AV300=0,DM288,AU300+AV300)</f>
        <v>0.12</v>
      </c>
      <c r="DN300" s="181" t="n">
        <f aca="false">IF(AM300=0,DN288,AM300)</f>
        <v>0.15</v>
      </c>
      <c r="DO300" s="181" t="n">
        <f aca="false">IF(AV300=0,DO288,AV300+AW300)</f>
        <v>0.18</v>
      </c>
      <c r="DQ300" s="181" t="n">
        <f aca="false">AD300</f>
        <v>0</v>
      </c>
      <c r="DR300" s="181" t="n">
        <f aca="false">AE300</f>
        <v>0</v>
      </c>
      <c r="DS300" s="181" t="n">
        <f aca="false">AF300</f>
        <v>0</v>
      </c>
    </row>
    <row r="301" customFormat="false" ht="14.25" hidden="false" customHeight="false" outlineLevel="0" collapsed="false">
      <c r="A301" s="233" t="n">
        <f aca="false">EDATE(A300,1)</f>
        <v>54697</v>
      </c>
      <c r="B301" s="135" t="n">
        <f aca="false">'Gas Curves'!C305</f>
        <v>0.065685205697639</v>
      </c>
      <c r="C301" s="135"/>
      <c r="D301" s="62"/>
      <c r="E301" s="62"/>
      <c r="F301" s="62"/>
      <c r="G301" s="62"/>
      <c r="H301" s="62"/>
      <c r="I301" s="62"/>
      <c r="J301" s="62"/>
      <c r="K301" s="62"/>
      <c r="L301" s="62"/>
      <c r="M301" s="14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14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0"/>
      <c r="CI301" s="0"/>
      <c r="CJ301" s="0"/>
      <c r="CK301" s="0"/>
      <c r="CP301" s="0"/>
      <c r="CQ301" s="0"/>
      <c r="CR301" s="0"/>
      <c r="CS301" s="0"/>
      <c r="CT301" s="0"/>
      <c r="CU301" s="0"/>
      <c r="CV301" s="145"/>
      <c r="CW301" s="234"/>
      <c r="CX301" s="234"/>
      <c r="CY301" s="180" t="n">
        <f aca="false">EOMONTH(CY300,0)+1</f>
        <v>45627</v>
      </c>
      <c r="CZ301" s="181" t="n">
        <f aca="false">IF(AI301=0,CZ289,AH301+AI301)</f>
        <v>0.2</v>
      </c>
      <c r="DA301" s="181" t="n">
        <f aca="false">IF(AI301=0,DA289,AI301)</f>
        <v>0.25</v>
      </c>
      <c r="DB301" s="181" t="n">
        <f aca="false">IF(AI301=0,DB289,AI301+AJ301)</f>
        <v>0.3</v>
      </c>
      <c r="DD301" s="161" t="n">
        <f aca="false">IF(Z301=0,DD289,Z301)</f>
        <v>0.16</v>
      </c>
      <c r="DE301" s="161" t="n">
        <f aca="false">IF(AA301=0,DE289,AA301)</f>
        <v>0.2</v>
      </c>
      <c r="DF301" s="161" t="n">
        <f aca="false">IF(AB301=0,DF289,AB301)</f>
        <v>0.24</v>
      </c>
      <c r="DG301" s="235"/>
      <c r="DH301" s="180" t="n">
        <f aca="false">IF(BH301=0,EOMONTH(DH300,0)+1,BH301)</f>
        <v>45627</v>
      </c>
      <c r="DI301" s="231" t="n">
        <f aca="false">IF(BI301=0,DI289,BI301)</f>
        <v>0.75</v>
      </c>
      <c r="DL301" s="180" t="n">
        <f aca="false">IF($M301=0,EOMONTH(DL300,0)+1,$M301)</f>
        <v>45627</v>
      </c>
      <c r="DM301" s="181" t="n">
        <f aca="false">IF(AV301=0,DM289,AU301+AV301)</f>
        <v>0.12</v>
      </c>
      <c r="DN301" s="181" t="n">
        <f aca="false">IF(AM301=0,DN289,AM301)</f>
        <v>0.15</v>
      </c>
      <c r="DO301" s="181" t="n">
        <f aca="false">IF(AV301=0,DO289,AV301+AW301)</f>
        <v>0.18</v>
      </c>
      <c r="DQ301" s="181" t="n">
        <f aca="false">AD301</f>
        <v>0</v>
      </c>
      <c r="DR301" s="181" t="n">
        <f aca="false">AE301</f>
        <v>0</v>
      </c>
      <c r="DS301" s="181" t="n">
        <f aca="false">AF301</f>
        <v>0</v>
      </c>
    </row>
    <row r="302" customFormat="false" ht="14.25" hidden="false" customHeight="false" outlineLevel="0" collapsed="false">
      <c r="A302" s="233" t="n">
        <f aca="false">EDATE(A301,1)</f>
        <v>54728</v>
      </c>
      <c r="B302" s="135" t="n">
        <f aca="false">'Gas Curves'!C306</f>
        <v>0.065679300118959</v>
      </c>
      <c r="C302" s="135"/>
      <c r="D302" s="62"/>
      <c r="E302" s="62"/>
      <c r="F302" s="62"/>
      <c r="G302" s="62"/>
      <c r="H302" s="62"/>
      <c r="I302" s="62"/>
      <c r="J302" s="62"/>
      <c r="K302" s="62"/>
      <c r="L302" s="62"/>
      <c r="M302" s="14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14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0"/>
      <c r="CI302" s="0"/>
      <c r="CJ302" s="0"/>
      <c r="CK302" s="0"/>
      <c r="CP302" s="0"/>
      <c r="CQ302" s="0"/>
      <c r="CR302" s="0"/>
      <c r="CS302" s="0"/>
      <c r="CT302" s="0"/>
      <c r="CU302" s="0"/>
      <c r="CV302" s="145"/>
      <c r="CW302" s="234"/>
      <c r="CX302" s="234"/>
      <c r="CY302" s="180" t="n">
        <f aca="false">EOMONTH(CY301,0)+1</f>
        <v>45658</v>
      </c>
      <c r="CZ302" s="181" t="n">
        <f aca="false">IF(AI302=0,CZ290,AH302+AI302)</f>
        <v>0</v>
      </c>
      <c r="DA302" s="181" t="n">
        <f aca="false">IF(AI302=0,DA290,AI302)</f>
        <v>0</v>
      </c>
      <c r="DB302" s="181" t="n">
        <f aca="false">IF(AI302=0,DB290,AI302+AJ302)</f>
        <v>0</v>
      </c>
      <c r="DD302" s="161" t="n">
        <f aca="false">IF(Z302=0,DD290,Z302)</f>
        <v>0</v>
      </c>
      <c r="DE302" s="161" t="n">
        <f aca="false">IF(AA302=0,DE290,AA302)</f>
        <v>0</v>
      </c>
      <c r="DF302" s="161" t="n">
        <f aca="false">IF(AB302=0,DF290,AB302)</f>
        <v>0</v>
      </c>
      <c r="DG302" s="235"/>
      <c r="DH302" s="180" t="n">
        <f aca="false">IF(BH302=0,EOMONTH(DH301,0)+1,BH302)</f>
        <v>45658</v>
      </c>
      <c r="DI302" s="231" t="n">
        <f aca="false">IF(BI302=0,DI290,BI302)</f>
        <v>0</v>
      </c>
      <c r="DL302" s="180" t="n">
        <f aca="false">IF($M302=0,EOMONTH(DL301,0)+1,$M302)</f>
        <v>45658</v>
      </c>
      <c r="DM302" s="181" t="n">
        <f aca="false">IF(AV302=0,DM290,AU302+AV302)</f>
        <v>0</v>
      </c>
      <c r="DN302" s="181" t="n">
        <f aca="false">IF(AM302=0,DN290,AM302)</f>
        <v>0</v>
      </c>
      <c r="DO302" s="181" t="n">
        <f aca="false">IF(AV302=0,DO290,AV302+AW302)</f>
        <v>0</v>
      </c>
      <c r="DQ302" s="181" t="n">
        <f aca="false">AD302</f>
        <v>0</v>
      </c>
      <c r="DR302" s="181" t="n">
        <f aca="false">AE302</f>
        <v>0</v>
      </c>
      <c r="DS302" s="181" t="n">
        <f aca="false">AF302</f>
        <v>0</v>
      </c>
    </row>
    <row r="303" customFormat="false" ht="14.25" hidden="false" customHeight="false" outlineLevel="0" collapsed="false">
      <c r="A303" s="233" t="n">
        <f aca="false">EDATE(A302,1)</f>
        <v>54758</v>
      </c>
      <c r="B303" s="135" t="n">
        <f aca="false">'Gas Curves'!C307</f>
        <v>0.065673966047903</v>
      </c>
      <c r="C303" s="135"/>
      <c r="D303" s="62"/>
      <c r="E303" s="62"/>
      <c r="F303" s="62"/>
      <c r="G303" s="62"/>
      <c r="H303" s="62"/>
      <c r="I303" s="62"/>
      <c r="J303" s="62"/>
      <c r="K303" s="62"/>
      <c r="L303" s="62"/>
      <c r="M303" s="14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14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0"/>
      <c r="CI303" s="0"/>
      <c r="CJ303" s="0"/>
      <c r="CK303" s="0"/>
      <c r="CP303" s="0"/>
      <c r="CQ303" s="0"/>
      <c r="CR303" s="0"/>
      <c r="CS303" s="0"/>
      <c r="CT303" s="0"/>
      <c r="CU303" s="0"/>
      <c r="CV303" s="145"/>
      <c r="CW303" s="234"/>
      <c r="CX303" s="234"/>
      <c r="CY303" s="180" t="n">
        <f aca="false">EOMONTH(CY302,0)+1</f>
        <v>45689</v>
      </c>
      <c r="CZ303" s="181" t="n">
        <f aca="false">IF(AI303=0,CZ291,AH303+AI303)</f>
        <v>0.2</v>
      </c>
      <c r="DA303" s="181" t="n">
        <f aca="false">IF(AI303=0,DA291,AI303)</f>
        <v>0.25</v>
      </c>
      <c r="DB303" s="181" t="n">
        <f aca="false">IF(AI303=0,DB291,AI303+AJ303)</f>
        <v>0.3</v>
      </c>
      <c r="DD303" s="161" t="n">
        <f aca="false">IF(Z303=0,DD291,Z303)</f>
        <v>0.16</v>
      </c>
      <c r="DE303" s="161" t="n">
        <f aca="false">IF(AA303=0,DE291,AA303)</f>
        <v>0.2</v>
      </c>
      <c r="DF303" s="161" t="n">
        <f aca="false">IF(AB303=0,DF291,AB303)</f>
        <v>0.24</v>
      </c>
      <c r="DG303" s="235"/>
      <c r="DH303" s="180" t="n">
        <f aca="false">IF(BH303=0,EOMONTH(DH302,0)+1,BH303)</f>
        <v>45689</v>
      </c>
      <c r="DI303" s="231" t="n">
        <f aca="false">IF(BI303=0,DI291,BI303)</f>
        <v>0.75</v>
      </c>
      <c r="DL303" s="180" t="n">
        <f aca="false">IF($M303=0,EOMONTH(DL302,0)+1,$M303)</f>
        <v>45689</v>
      </c>
      <c r="DM303" s="181" t="n">
        <f aca="false">IF(AV303=0,DM291,AU303+AV303)</f>
        <v>0.12</v>
      </c>
      <c r="DN303" s="181" t="n">
        <f aca="false">IF(AM303=0,DN291,AM303)</f>
        <v>0.15</v>
      </c>
      <c r="DO303" s="181" t="n">
        <f aca="false">IF(AV303=0,DO291,AV303+AW303)</f>
        <v>0.18</v>
      </c>
      <c r="DQ303" s="181" t="n">
        <f aca="false">AD303</f>
        <v>0</v>
      </c>
      <c r="DR303" s="181" t="n">
        <f aca="false">AE303</f>
        <v>0</v>
      </c>
      <c r="DS303" s="181" t="n">
        <f aca="false">AF303</f>
        <v>0</v>
      </c>
    </row>
    <row r="304" customFormat="false" ht="14.25" hidden="false" customHeight="false" outlineLevel="0" collapsed="false">
      <c r="A304" s="233" t="n">
        <f aca="false">EDATE(A303,1)</f>
        <v>54789</v>
      </c>
      <c r="B304" s="135" t="n">
        <f aca="false">'Gas Curves'!C308</f>
        <v>0.065668060469245</v>
      </c>
      <c r="C304" s="135"/>
      <c r="D304" s="62"/>
      <c r="E304" s="62"/>
      <c r="F304" s="62"/>
      <c r="G304" s="62"/>
      <c r="H304" s="62"/>
      <c r="I304" s="62"/>
      <c r="J304" s="62"/>
      <c r="K304" s="62"/>
      <c r="L304" s="62"/>
      <c r="M304" s="14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14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0"/>
      <c r="CI304" s="0"/>
      <c r="CJ304" s="0"/>
      <c r="CK304" s="0"/>
      <c r="CP304" s="0"/>
      <c r="CQ304" s="0"/>
      <c r="CR304" s="0"/>
      <c r="CS304" s="0"/>
      <c r="CT304" s="0"/>
      <c r="CU304" s="0"/>
      <c r="CV304" s="145"/>
      <c r="CW304" s="234"/>
      <c r="CX304" s="234"/>
      <c r="CY304" s="180" t="n">
        <f aca="false">EOMONTH(CY303,0)+1</f>
        <v>45717</v>
      </c>
      <c r="CZ304" s="181" t="n">
        <f aca="false">IF(AI304=0,CZ292,AH304+AI304)</f>
        <v>0.2</v>
      </c>
      <c r="DA304" s="181" t="n">
        <f aca="false">IF(AI304=0,DA292,AI304)</f>
        <v>0.25</v>
      </c>
      <c r="DB304" s="181" t="n">
        <f aca="false">IF(AI304=0,DB292,AI304+AJ304)</f>
        <v>0.3</v>
      </c>
      <c r="DD304" s="161" t="n">
        <f aca="false">IF(Z304=0,DD292,Z304)</f>
        <v>0.16</v>
      </c>
      <c r="DE304" s="161" t="n">
        <f aca="false">IF(AA304=0,DE292,AA304)</f>
        <v>0.2</v>
      </c>
      <c r="DF304" s="161" t="n">
        <f aca="false">IF(AB304=0,DF292,AB304)</f>
        <v>0.24</v>
      </c>
      <c r="DG304" s="235"/>
      <c r="DH304" s="180" t="n">
        <f aca="false">IF(BH304=0,EOMONTH(DH303,0)+1,BH304)</f>
        <v>45717</v>
      </c>
      <c r="DI304" s="231" t="n">
        <f aca="false">IF(BI304=0,DI292,BI304)</f>
        <v>0.75</v>
      </c>
      <c r="DL304" s="180" t="n">
        <f aca="false">IF($M304=0,EOMONTH(DL303,0)+1,$M304)</f>
        <v>45717</v>
      </c>
      <c r="DM304" s="181" t="n">
        <f aca="false">IF(AV304=0,DM292,AU304+AV304)</f>
        <v>0.12</v>
      </c>
      <c r="DN304" s="181" t="n">
        <f aca="false">IF(AM304=0,DN292,AM304)</f>
        <v>0.15</v>
      </c>
      <c r="DO304" s="181" t="n">
        <f aca="false">IF(AV304=0,DO292,AV304+AW304)</f>
        <v>0.18</v>
      </c>
      <c r="DQ304" s="181" t="n">
        <f aca="false">AD304</f>
        <v>0</v>
      </c>
      <c r="DR304" s="181" t="n">
        <f aca="false">AE304</f>
        <v>0</v>
      </c>
      <c r="DS304" s="181" t="n">
        <f aca="false">AF304</f>
        <v>0</v>
      </c>
    </row>
    <row r="305" customFormat="false" ht="14.25" hidden="false" customHeight="false" outlineLevel="0" collapsed="false">
      <c r="A305" s="233" t="n">
        <f aca="false">EDATE(A304,1)</f>
        <v>54820</v>
      </c>
      <c r="B305" s="135" t="n">
        <f aca="false">'Gas Curves'!C309</f>
        <v>0.065662345393136</v>
      </c>
      <c r="C305" s="135"/>
      <c r="D305" s="62"/>
      <c r="E305" s="62"/>
      <c r="F305" s="62"/>
      <c r="G305" s="62"/>
      <c r="H305" s="62"/>
      <c r="I305" s="62"/>
      <c r="J305" s="62"/>
      <c r="K305" s="62"/>
      <c r="L305" s="62"/>
      <c r="M305" s="14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14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0"/>
      <c r="CI305" s="0"/>
      <c r="CJ305" s="0"/>
      <c r="CK305" s="0"/>
      <c r="CP305" s="0"/>
      <c r="CQ305" s="0"/>
      <c r="CR305" s="0"/>
      <c r="CS305" s="0"/>
      <c r="CT305" s="0"/>
      <c r="CU305" s="0"/>
      <c r="CV305" s="145"/>
      <c r="CW305" s="234"/>
      <c r="CX305" s="234"/>
      <c r="CY305" s="180" t="n">
        <f aca="false">EOMONTH(CY304,0)+1</f>
        <v>45748</v>
      </c>
      <c r="CZ305" s="181" t="n">
        <f aca="false">IF(AI305=0,CZ293,AH305+AI305)</f>
        <v>0.2</v>
      </c>
      <c r="DA305" s="181" t="n">
        <f aca="false">IF(AI305=0,DA293,AI305)</f>
        <v>0.25</v>
      </c>
      <c r="DB305" s="181" t="n">
        <f aca="false">IF(AI305=0,DB293,AI305+AJ305)</f>
        <v>0.3</v>
      </c>
      <c r="DD305" s="161" t="n">
        <f aca="false">IF(Z305=0,DD293,Z305)</f>
        <v>0.16</v>
      </c>
      <c r="DE305" s="161" t="n">
        <f aca="false">IF(AA305=0,DE293,AA305)</f>
        <v>0.2</v>
      </c>
      <c r="DF305" s="161" t="n">
        <f aca="false">IF(AB305=0,DF293,AB305)</f>
        <v>0.24</v>
      </c>
      <c r="DG305" s="235"/>
      <c r="DH305" s="180" t="n">
        <f aca="false">IF(BH305=0,EOMONTH(DH304,0)+1,BH305)</f>
        <v>45748</v>
      </c>
      <c r="DI305" s="231" t="n">
        <f aca="false">IF(BI305=0,DI293,BI305)</f>
        <v>0.75</v>
      </c>
      <c r="DL305" s="180" t="n">
        <f aca="false">IF($M305=0,EOMONTH(DL304,0)+1,$M305)</f>
        <v>45748</v>
      </c>
      <c r="DM305" s="181" t="n">
        <f aca="false">IF(AV305=0,DM293,AU305+AV305)</f>
        <v>0.12</v>
      </c>
      <c r="DN305" s="181" t="n">
        <f aca="false">IF(AM305=0,DN293,AM305)</f>
        <v>0.15</v>
      </c>
      <c r="DO305" s="181" t="n">
        <f aca="false">IF(AV305=0,DO293,AV305+AW305)</f>
        <v>0.18</v>
      </c>
      <c r="DQ305" s="181" t="n">
        <f aca="false">AD305</f>
        <v>0</v>
      </c>
      <c r="DR305" s="181" t="n">
        <f aca="false">AE305</f>
        <v>0</v>
      </c>
      <c r="DS305" s="181" t="n">
        <f aca="false">AF305</f>
        <v>0</v>
      </c>
    </row>
    <row r="306" customFormat="false" ht="14.25" hidden="false" customHeight="false" outlineLevel="0" collapsed="false">
      <c r="A306" s="233" t="n">
        <f aca="false">EDATE(A305,1)</f>
        <v>54848</v>
      </c>
      <c r="B306" s="135" t="n">
        <f aca="false">'Gas Curves'!C310</f>
        <v>0.0656564398145</v>
      </c>
      <c r="C306" s="135"/>
      <c r="D306" s="62"/>
      <c r="E306" s="62"/>
      <c r="F306" s="62"/>
      <c r="G306" s="62"/>
      <c r="H306" s="62"/>
      <c r="I306" s="62"/>
      <c r="J306" s="62"/>
      <c r="K306" s="62"/>
      <c r="L306" s="62"/>
      <c r="M306" s="14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14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0"/>
      <c r="CI306" s="0"/>
      <c r="CJ306" s="0"/>
      <c r="CK306" s="0"/>
      <c r="CP306" s="0"/>
      <c r="CQ306" s="0"/>
      <c r="CR306" s="0"/>
      <c r="CS306" s="0"/>
      <c r="CT306" s="0"/>
      <c r="CU306" s="0"/>
      <c r="CV306" s="145"/>
      <c r="CW306" s="234"/>
      <c r="CX306" s="234"/>
      <c r="CY306" s="180" t="n">
        <f aca="false">EOMONTH(CY305,0)+1</f>
        <v>45778</v>
      </c>
      <c r="CZ306" s="181" t="n">
        <f aca="false">IF(AI306=0,CZ294,AH306+AI306)</f>
        <v>0.2</v>
      </c>
      <c r="DA306" s="181" t="n">
        <f aca="false">IF(AI306=0,DA294,AI306)</f>
        <v>0.25</v>
      </c>
      <c r="DB306" s="181" t="n">
        <f aca="false">IF(AI306=0,DB294,AI306+AJ306)</f>
        <v>0.3</v>
      </c>
      <c r="DD306" s="161" t="n">
        <f aca="false">IF(Z306=0,DD294,Z306)</f>
        <v>0.16</v>
      </c>
      <c r="DE306" s="161" t="n">
        <f aca="false">IF(AA306=0,DE294,AA306)</f>
        <v>0.2</v>
      </c>
      <c r="DF306" s="161" t="n">
        <f aca="false">IF(AB306=0,DF294,AB306)</f>
        <v>0.24</v>
      </c>
      <c r="DG306" s="235"/>
      <c r="DH306" s="180" t="n">
        <f aca="false">IF(BH306=0,EOMONTH(DH305,0)+1,BH306)</f>
        <v>45778</v>
      </c>
      <c r="DI306" s="231" t="n">
        <f aca="false">IF(BI306=0,DI294,BI306)</f>
        <v>0.75</v>
      </c>
      <c r="DL306" s="180" t="n">
        <f aca="false">IF($M306=0,EOMONTH(DL305,0)+1,$M306)</f>
        <v>45778</v>
      </c>
      <c r="DM306" s="181" t="n">
        <f aca="false">IF(AV306=0,DM294,AU306+AV306)</f>
        <v>0.12</v>
      </c>
      <c r="DN306" s="181" t="n">
        <f aca="false">IF(AM306=0,DN294,AM306)</f>
        <v>0.15</v>
      </c>
      <c r="DO306" s="181" t="n">
        <f aca="false">IF(AV306=0,DO294,AV306+AW306)</f>
        <v>0.18</v>
      </c>
      <c r="DQ306" s="181" t="n">
        <f aca="false">AD306</f>
        <v>0</v>
      </c>
      <c r="DR306" s="181" t="n">
        <f aca="false">AE306</f>
        <v>0</v>
      </c>
      <c r="DS306" s="181" t="n">
        <f aca="false">AF306</f>
        <v>0</v>
      </c>
    </row>
    <row r="307" customFormat="false" ht="14.25" hidden="false" customHeight="false" outlineLevel="0" collapsed="false">
      <c r="A307" s="233" t="n">
        <f aca="false">EDATE(A306,1)</f>
        <v>54879</v>
      </c>
      <c r="B307" s="135" t="n">
        <f aca="false">'Gas Curves'!C311</f>
        <v>0.065650724738412</v>
      </c>
      <c r="C307" s="135"/>
      <c r="D307" s="62"/>
      <c r="E307" s="62"/>
      <c r="F307" s="62"/>
      <c r="G307" s="62"/>
      <c r="H307" s="62"/>
      <c r="I307" s="62"/>
      <c r="J307" s="62"/>
      <c r="K307" s="62"/>
      <c r="L307" s="62"/>
      <c r="M307" s="14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14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0"/>
      <c r="CI307" s="0"/>
      <c r="CJ307" s="0"/>
      <c r="CK307" s="0"/>
      <c r="CP307" s="0"/>
      <c r="CQ307" s="0"/>
      <c r="CR307" s="0"/>
      <c r="CS307" s="0"/>
      <c r="CT307" s="0"/>
      <c r="CU307" s="0"/>
      <c r="CV307" s="145"/>
      <c r="CW307" s="234"/>
      <c r="CX307" s="234"/>
      <c r="CY307" s="180" t="n">
        <f aca="false">EOMONTH(CY306,0)+1</f>
        <v>45809</v>
      </c>
      <c r="CZ307" s="181" t="n">
        <f aca="false">IF(AI307=0,CZ295,AH307+AI307)</f>
        <v>0.2</v>
      </c>
      <c r="DA307" s="181" t="n">
        <f aca="false">IF(AI307=0,DA295,AI307)</f>
        <v>0.25</v>
      </c>
      <c r="DB307" s="181" t="n">
        <f aca="false">IF(AI307=0,DB295,AI307+AJ307)</f>
        <v>0.3</v>
      </c>
      <c r="DD307" s="161" t="n">
        <f aca="false">IF(Z307=0,DD295,Z307)</f>
        <v>0.16</v>
      </c>
      <c r="DE307" s="161" t="n">
        <f aca="false">IF(AA307=0,DE295,AA307)</f>
        <v>0.2</v>
      </c>
      <c r="DF307" s="161" t="n">
        <f aca="false">IF(AB307=0,DF295,AB307)</f>
        <v>0.24</v>
      </c>
      <c r="DG307" s="235"/>
      <c r="DH307" s="180" t="n">
        <f aca="false">IF(BH307=0,EOMONTH(DH306,0)+1,BH307)</f>
        <v>45809</v>
      </c>
      <c r="DI307" s="231" t="n">
        <f aca="false">IF(BI307=0,DI295,BI307)</f>
        <v>0.75</v>
      </c>
      <c r="DL307" s="180" t="n">
        <f aca="false">IF($M307=0,EOMONTH(DL306,0)+1,$M307)</f>
        <v>45809</v>
      </c>
      <c r="DM307" s="181" t="n">
        <f aca="false">IF(AV307=0,DM295,AU307+AV307)</f>
        <v>0.12</v>
      </c>
      <c r="DN307" s="181" t="n">
        <f aca="false">IF(AM307=0,DN295,AM307)</f>
        <v>0.15</v>
      </c>
      <c r="DO307" s="181" t="n">
        <f aca="false">IF(AV307=0,DO295,AV307+AW307)</f>
        <v>0.18</v>
      </c>
      <c r="DQ307" s="181" t="n">
        <f aca="false">AD307</f>
        <v>0</v>
      </c>
      <c r="DR307" s="181" t="n">
        <f aca="false">AE307</f>
        <v>0</v>
      </c>
      <c r="DS307" s="181" t="n">
        <f aca="false">AF307</f>
        <v>0</v>
      </c>
    </row>
    <row r="308" customFormat="false" ht="14.25" hidden="false" customHeight="false" outlineLevel="0" collapsed="false">
      <c r="A308" s="233" t="n">
        <f aca="false">EDATE(A307,1)</f>
        <v>54909</v>
      </c>
      <c r="B308" s="135" t="n">
        <f aca="false">'Gas Curves'!C312</f>
        <v>0.0656448191598</v>
      </c>
      <c r="C308" s="135"/>
      <c r="D308" s="62"/>
      <c r="E308" s="62"/>
      <c r="F308" s="62"/>
      <c r="G308" s="62"/>
      <c r="H308" s="62"/>
      <c r="I308" s="62"/>
      <c r="J308" s="62"/>
      <c r="K308" s="62"/>
      <c r="L308" s="62"/>
      <c r="M308" s="14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14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0"/>
      <c r="CI308" s="0"/>
      <c r="CJ308" s="0"/>
      <c r="CK308" s="0"/>
      <c r="CP308" s="0"/>
      <c r="CQ308" s="0"/>
      <c r="CR308" s="0"/>
      <c r="CS308" s="0"/>
      <c r="CT308" s="0"/>
      <c r="CU308" s="0"/>
      <c r="CV308" s="145"/>
      <c r="CW308" s="234"/>
      <c r="CX308" s="234"/>
      <c r="CY308" s="180" t="n">
        <f aca="false">EOMONTH(CY307,0)+1</f>
        <v>45839</v>
      </c>
      <c r="CZ308" s="181" t="n">
        <f aca="false">IF(AI308=0,CZ296,AH308+AI308)</f>
        <v>0.32</v>
      </c>
      <c r="DA308" s="181" t="n">
        <f aca="false">IF(AI308=0,DA296,AI308)</f>
        <v>0.4</v>
      </c>
      <c r="DB308" s="181" t="n">
        <f aca="false">IF(AI308=0,DB296,AI308+AJ308)</f>
        <v>0.48</v>
      </c>
      <c r="DD308" s="161" t="n">
        <f aca="false">IF(Z308=0,DD296,Z308)</f>
        <v>0.24</v>
      </c>
      <c r="DE308" s="161" t="n">
        <f aca="false">IF(AA308=0,DE296,AA308)</f>
        <v>0.3</v>
      </c>
      <c r="DF308" s="161" t="n">
        <f aca="false">IF(AB308=0,DF296,AB308)</f>
        <v>0.36</v>
      </c>
      <c r="DG308" s="235"/>
      <c r="DH308" s="180" t="n">
        <f aca="false">IF(BH308=0,EOMONTH(DH307,0)+1,BH308)</f>
        <v>45839</v>
      </c>
      <c r="DI308" s="231" t="n">
        <f aca="false">IF(BI308=0,DI296,BI308)</f>
        <v>0.75</v>
      </c>
      <c r="DL308" s="180" t="n">
        <f aca="false">IF($M308=0,EOMONTH(DL307,0)+1,$M308)</f>
        <v>45839</v>
      </c>
      <c r="DM308" s="181" t="n">
        <f aca="false">IF(AV308=0,DM296,AU308+AV308)</f>
        <v>0.192</v>
      </c>
      <c r="DN308" s="181" t="n">
        <f aca="false">IF(AM308=0,DN296,AM308)</f>
        <v>0.24</v>
      </c>
      <c r="DO308" s="181" t="n">
        <f aca="false">IF(AV308=0,DO296,AV308+AW308)</f>
        <v>0.288</v>
      </c>
      <c r="DQ308" s="181" t="n">
        <f aca="false">AD308</f>
        <v>0</v>
      </c>
      <c r="DR308" s="181" t="n">
        <f aca="false">AE308</f>
        <v>0</v>
      </c>
      <c r="DS308" s="181" t="n">
        <f aca="false">AF308</f>
        <v>0</v>
      </c>
    </row>
    <row r="309" customFormat="false" ht="14.25" hidden="false" customHeight="false" outlineLevel="0" collapsed="false">
      <c r="A309" s="233" t="n">
        <f aca="false">EDATE(A308,1)</f>
        <v>54940</v>
      </c>
      <c r="B309" s="135" t="n">
        <f aca="false">'Gas Curves'!C313</f>
        <v>0.065638913581198</v>
      </c>
      <c r="C309" s="135"/>
      <c r="D309" s="62"/>
      <c r="E309" s="62"/>
      <c r="F309" s="62"/>
      <c r="G309" s="62"/>
      <c r="H309" s="62"/>
      <c r="I309" s="62"/>
      <c r="J309" s="62"/>
      <c r="K309" s="62"/>
      <c r="L309" s="62"/>
      <c r="M309" s="14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14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0"/>
      <c r="CI309" s="0"/>
      <c r="CJ309" s="0"/>
      <c r="CK309" s="0"/>
      <c r="CP309" s="0"/>
      <c r="CQ309" s="0"/>
      <c r="CR309" s="0"/>
      <c r="CS309" s="0"/>
      <c r="CT309" s="0"/>
      <c r="CU309" s="0"/>
      <c r="CV309" s="145"/>
      <c r="CW309" s="234"/>
      <c r="CX309" s="234"/>
      <c r="CY309" s="180" t="n">
        <f aca="false">EOMONTH(CY308,0)+1</f>
        <v>45870</v>
      </c>
      <c r="CZ309" s="181" t="n">
        <f aca="false">IF(AI309=0,CZ297,AH309+AI309)</f>
        <v>0.32</v>
      </c>
      <c r="DA309" s="181" t="n">
        <f aca="false">IF(AI309=0,DA297,AI309)</f>
        <v>0.4</v>
      </c>
      <c r="DB309" s="181" t="n">
        <f aca="false">IF(AI309=0,DB297,AI309+AJ309)</f>
        <v>0.48</v>
      </c>
      <c r="DD309" s="161" t="n">
        <f aca="false">IF(Z309=0,DD297,Z309)</f>
        <v>0.24</v>
      </c>
      <c r="DE309" s="161" t="n">
        <f aca="false">IF(AA309=0,DE297,AA309)</f>
        <v>0.3</v>
      </c>
      <c r="DF309" s="161" t="n">
        <f aca="false">IF(AB309=0,DF297,AB309)</f>
        <v>0.36</v>
      </c>
      <c r="DG309" s="235"/>
      <c r="DH309" s="180" t="n">
        <f aca="false">IF(BH309=0,EOMONTH(DH308,0)+1,BH309)</f>
        <v>45870</v>
      </c>
      <c r="DI309" s="231" t="n">
        <f aca="false">IF(BI309=0,DI297,BI309)</f>
        <v>0.75</v>
      </c>
      <c r="DL309" s="180" t="n">
        <f aca="false">IF($M309=0,EOMONTH(DL308,0)+1,$M309)</f>
        <v>45870</v>
      </c>
      <c r="DM309" s="181" t="n">
        <f aca="false">IF(AV309=0,DM297,AU309+AV309)</f>
        <v>0.192</v>
      </c>
      <c r="DN309" s="181" t="n">
        <f aca="false">IF(AM309=0,DN297,AM309)</f>
        <v>0.24</v>
      </c>
      <c r="DO309" s="181" t="n">
        <f aca="false">IF(AV309=0,DO297,AV309+AW309)</f>
        <v>0.288</v>
      </c>
      <c r="DQ309" s="181" t="n">
        <f aca="false">AD309</f>
        <v>0</v>
      </c>
      <c r="DR309" s="181" t="n">
        <f aca="false">AE309</f>
        <v>0</v>
      </c>
      <c r="DS309" s="181" t="n">
        <f aca="false">AF309</f>
        <v>0</v>
      </c>
    </row>
    <row r="310" customFormat="false" ht="14.25" hidden="false" customHeight="false" outlineLevel="0" collapsed="false">
      <c r="A310" s="233" t="n">
        <f aca="false">EDATE(A309,1)</f>
        <v>54970</v>
      </c>
      <c r="B310" s="135" t="n">
        <f aca="false">'Gas Curves'!C314</f>
        <v>0.065633198505144</v>
      </c>
      <c r="C310" s="135"/>
      <c r="D310" s="62"/>
      <c r="E310" s="62"/>
      <c r="F310" s="62"/>
      <c r="G310" s="62"/>
      <c r="H310" s="62"/>
      <c r="I310" s="62"/>
      <c r="J310" s="62"/>
      <c r="K310" s="62"/>
      <c r="L310" s="62"/>
      <c r="M310" s="14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14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0"/>
      <c r="CI310" s="0"/>
      <c r="CJ310" s="0"/>
      <c r="CK310" s="0"/>
      <c r="CP310" s="0"/>
      <c r="CQ310" s="0"/>
      <c r="CR310" s="0"/>
      <c r="CS310" s="0"/>
      <c r="CT310" s="0"/>
      <c r="CU310" s="0"/>
      <c r="CV310" s="145"/>
      <c r="CW310" s="234"/>
      <c r="CX310" s="234"/>
      <c r="CY310" s="180" t="n">
        <f aca="false">EOMONTH(CY309,0)+1</f>
        <v>45901</v>
      </c>
      <c r="CZ310" s="181" t="n">
        <f aca="false">IF(AI310=0,CZ298,AH310+AI310)</f>
        <v>0.2</v>
      </c>
      <c r="DA310" s="181" t="n">
        <f aca="false">IF(AI310=0,DA298,AI310)</f>
        <v>0.25</v>
      </c>
      <c r="DB310" s="181" t="n">
        <f aca="false">IF(AI310=0,DB298,AI310+AJ310)</f>
        <v>0.3</v>
      </c>
      <c r="DD310" s="161" t="n">
        <f aca="false">IF(Z310=0,DD298,Z310)</f>
        <v>0.16</v>
      </c>
      <c r="DE310" s="161" t="n">
        <f aca="false">IF(AA310=0,DE298,AA310)</f>
        <v>0.2</v>
      </c>
      <c r="DF310" s="161" t="n">
        <f aca="false">IF(AB310=0,DF298,AB310)</f>
        <v>0.24</v>
      </c>
      <c r="DG310" s="234"/>
      <c r="DH310" s="180" t="n">
        <f aca="false">IF(BH310=0,EOMONTH(DH309,0)+1,BH310)</f>
        <v>45901</v>
      </c>
      <c r="DI310" s="231" t="n">
        <f aca="false">IF(BI310=0,DI298,BI310)</f>
        <v>0.75</v>
      </c>
      <c r="DL310" s="180" t="n">
        <f aca="false">IF($M310=0,EOMONTH(DL309,0)+1,$M310)</f>
        <v>45901</v>
      </c>
      <c r="DM310" s="181" t="n">
        <f aca="false">IF(AV310=0,DM298,AU310+AV310)</f>
        <v>0.12</v>
      </c>
      <c r="DN310" s="181" t="n">
        <f aca="false">IF(AM310=0,DN298,AM310)</f>
        <v>0.15</v>
      </c>
      <c r="DO310" s="181" t="n">
        <f aca="false">IF(AV310=0,DO298,AV310+AW310)</f>
        <v>0.18</v>
      </c>
      <c r="DQ310" s="181" t="n">
        <f aca="false">AD310</f>
        <v>0</v>
      </c>
      <c r="DR310" s="181" t="n">
        <f aca="false">AE310</f>
        <v>0</v>
      </c>
      <c r="DS310" s="181" t="n">
        <f aca="false">AF310</f>
        <v>0</v>
      </c>
    </row>
    <row r="311" customFormat="false" ht="14.25" hidden="false" customHeight="false" outlineLevel="0" collapsed="false">
      <c r="A311" s="233" t="n">
        <f aca="false">EDATE(A310,1)</f>
        <v>55001</v>
      </c>
      <c r="B311" s="135" t="n">
        <f aca="false">'Gas Curves'!C315</f>
        <v>0.065627292926565</v>
      </c>
      <c r="C311" s="135"/>
      <c r="D311" s="62"/>
      <c r="E311" s="62"/>
      <c r="F311" s="62"/>
      <c r="G311" s="62"/>
      <c r="H311" s="62"/>
      <c r="I311" s="62"/>
      <c r="J311" s="62"/>
      <c r="K311" s="62"/>
      <c r="L311" s="62"/>
      <c r="M311" s="14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14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0"/>
      <c r="CI311" s="0"/>
      <c r="CJ311" s="0"/>
      <c r="CK311" s="0"/>
      <c r="CP311" s="0"/>
      <c r="CQ311" s="0"/>
      <c r="CR311" s="0"/>
      <c r="CS311" s="0"/>
      <c r="CT311" s="0"/>
      <c r="CU311" s="0"/>
      <c r="CV311" s="145"/>
      <c r="CW311" s="234"/>
      <c r="CX311" s="234"/>
      <c r="CY311" s="180" t="n">
        <f aca="false">EOMONTH(CY310,0)+1</f>
        <v>45931</v>
      </c>
      <c r="CZ311" s="181" t="n">
        <f aca="false">IF(AI311=0,CZ299,AH311+AI311)</f>
        <v>0.2</v>
      </c>
      <c r="DA311" s="181" t="n">
        <f aca="false">IF(AI311=0,DA299,AI311)</f>
        <v>0.25</v>
      </c>
      <c r="DB311" s="181" t="n">
        <f aca="false">IF(AI311=0,DB299,AI311+AJ311)</f>
        <v>0.3</v>
      </c>
      <c r="DD311" s="161" t="n">
        <f aca="false">IF(Z311=0,DD299,Z311)</f>
        <v>0.16</v>
      </c>
      <c r="DE311" s="161" t="n">
        <f aca="false">IF(AA311=0,DE299,AA311)</f>
        <v>0.2</v>
      </c>
      <c r="DF311" s="161" t="n">
        <f aca="false">IF(AB311=0,DF299,AB311)</f>
        <v>0.24</v>
      </c>
      <c r="DG311" s="234"/>
      <c r="DH311" s="180" t="n">
        <f aca="false">IF(BH311=0,EOMONTH(DH310,0)+1,BH311)</f>
        <v>45931</v>
      </c>
      <c r="DI311" s="231" t="n">
        <f aca="false">IF(BI311=0,DI299,BI311)</f>
        <v>0.75</v>
      </c>
      <c r="DL311" s="180" t="n">
        <f aca="false">IF($M311=0,EOMONTH(DL310,0)+1,$M311)</f>
        <v>45931</v>
      </c>
      <c r="DM311" s="181" t="n">
        <f aca="false">IF(AV311=0,DM299,AU311+AV311)</f>
        <v>0.12</v>
      </c>
      <c r="DN311" s="181" t="n">
        <f aca="false">IF(AM311=0,DN299,AM311)</f>
        <v>0.15</v>
      </c>
      <c r="DO311" s="181" t="n">
        <f aca="false">IF(AV311=0,DO299,AV311+AW311)</f>
        <v>0.18</v>
      </c>
      <c r="DQ311" s="181" t="n">
        <f aca="false">AD311</f>
        <v>0</v>
      </c>
      <c r="DR311" s="181" t="n">
        <f aca="false">AE311</f>
        <v>0</v>
      </c>
      <c r="DS311" s="181" t="n">
        <f aca="false">AF311</f>
        <v>0</v>
      </c>
    </row>
    <row r="312" customFormat="false" ht="14.25" hidden="false" customHeight="false" outlineLevel="0" collapsed="false">
      <c r="A312" s="233" t="n">
        <f aca="false">EDATE(A311,1)</f>
        <v>55032</v>
      </c>
      <c r="B312" s="135" t="n">
        <f aca="false">'Gas Curves'!C316</f>
        <v>0.065621577850533</v>
      </c>
      <c r="C312" s="135"/>
      <c r="D312" s="62"/>
      <c r="E312" s="62"/>
      <c r="F312" s="62"/>
      <c r="G312" s="62"/>
      <c r="H312" s="62"/>
      <c r="I312" s="62"/>
      <c r="J312" s="62"/>
      <c r="K312" s="62"/>
      <c r="L312" s="62"/>
      <c r="M312" s="14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14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0"/>
      <c r="CI312" s="0"/>
      <c r="CJ312" s="0"/>
      <c r="CK312" s="0"/>
      <c r="CP312" s="0"/>
      <c r="CQ312" s="0"/>
      <c r="CR312" s="0"/>
      <c r="CS312" s="0"/>
      <c r="CT312" s="0"/>
      <c r="CU312" s="0"/>
      <c r="CV312" s="145"/>
      <c r="CW312" s="234"/>
      <c r="CX312" s="234"/>
      <c r="CY312" s="180" t="n">
        <f aca="false">EOMONTH(CY311,0)+1</f>
        <v>45962</v>
      </c>
      <c r="CZ312" s="181" t="n">
        <f aca="false">IF(AI312=0,CZ300,AH312+AI312)</f>
        <v>0.2</v>
      </c>
      <c r="DA312" s="181" t="n">
        <f aca="false">IF(AI312=0,DA300,AI312)</f>
        <v>0.25</v>
      </c>
      <c r="DB312" s="181" t="n">
        <f aca="false">IF(AI312=0,DB300,AI312+AJ312)</f>
        <v>0.3</v>
      </c>
      <c r="DD312" s="161" t="n">
        <f aca="false">IF(Z312=0,DD300,Z312)</f>
        <v>0.16</v>
      </c>
      <c r="DE312" s="161" t="n">
        <f aca="false">IF(AA312=0,DE300,AA312)</f>
        <v>0.2</v>
      </c>
      <c r="DF312" s="161" t="n">
        <f aca="false">IF(AB312=0,DF300,AB312)</f>
        <v>0.24</v>
      </c>
      <c r="DG312" s="234"/>
      <c r="DH312" s="180" t="n">
        <f aca="false">IF(BH312=0,EOMONTH(DH311,0)+1,BH312)</f>
        <v>45962</v>
      </c>
      <c r="DI312" s="231" t="n">
        <f aca="false">IF(BI312=0,DI300,BI312)</f>
        <v>0.75</v>
      </c>
      <c r="DL312" s="180" t="n">
        <f aca="false">IF($M312=0,EOMONTH(DL311,0)+1,$M312)</f>
        <v>45962</v>
      </c>
      <c r="DM312" s="181" t="n">
        <f aca="false">IF(AV312=0,DM300,AU312+AV312)</f>
        <v>0.12</v>
      </c>
      <c r="DN312" s="181" t="n">
        <f aca="false">IF(AM312=0,DN300,AM312)</f>
        <v>0.15</v>
      </c>
      <c r="DO312" s="181" t="n">
        <f aca="false">IF(AV312=0,DO300,AV312+AW312)</f>
        <v>0.18</v>
      </c>
      <c r="DQ312" s="181" t="n">
        <f aca="false">AD312</f>
        <v>0</v>
      </c>
      <c r="DR312" s="181" t="n">
        <f aca="false">AE312</f>
        <v>0</v>
      </c>
      <c r="DS312" s="181" t="n">
        <f aca="false">AF312</f>
        <v>0</v>
      </c>
    </row>
    <row r="313" customFormat="false" ht="14.25" hidden="false" customHeight="false" outlineLevel="0" collapsed="false">
      <c r="A313" s="233" t="n">
        <f aca="false">EDATE(A312,1)</f>
        <v>55062</v>
      </c>
      <c r="B313" s="135" t="n">
        <f aca="false">'Gas Curves'!C317</f>
        <v>0.065615672271977</v>
      </c>
      <c r="C313" s="135"/>
      <c r="D313" s="62"/>
      <c r="E313" s="62"/>
      <c r="F313" s="62"/>
      <c r="G313" s="62"/>
      <c r="H313" s="62"/>
      <c r="I313" s="62"/>
      <c r="J313" s="62"/>
      <c r="K313" s="62"/>
      <c r="L313" s="62"/>
      <c r="M313" s="14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14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0"/>
      <c r="CI313" s="0"/>
      <c r="CJ313" s="0"/>
      <c r="CK313" s="0"/>
      <c r="CP313" s="0"/>
      <c r="CQ313" s="0"/>
      <c r="CR313" s="0"/>
      <c r="CS313" s="0"/>
      <c r="CT313" s="0"/>
      <c r="CU313" s="0"/>
      <c r="CV313" s="145"/>
      <c r="CW313" s="234"/>
      <c r="CX313" s="234"/>
      <c r="CY313" s="180" t="n">
        <f aca="false">EOMONTH(CY312,0)+1</f>
        <v>45992</v>
      </c>
      <c r="CZ313" s="181" t="n">
        <f aca="false">IF(AI313=0,CZ301,AH313+AI313)</f>
        <v>0.2</v>
      </c>
      <c r="DA313" s="181" t="n">
        <f aca="false">IF(AI313=0,DA301,AI313)</f>
        <v>0.25</v>
      </c>
      <c r="DB313" s="181" t="n">
        <f aca="false">IF(AI313=0,DB301,AI313+AJ313)</f>
        <v>0.3</v>
      </c>
      <c r="DD313" s="161" t="n">
        <f aca="false">IF(Z313=0,DD301,Z313)</f>
        <v>0.16</v>
      </c>
      <c r="DE313" s="161" t="n">
        <f aca="false">IF(AA313=0,DE301,AA313)</f>
        <v>0.2</v>
      </c>
      <c r="DF313" s="161" t="n">
        <f aca="false">IF(AB313=0,DF301,AB313)</f>
        <v>0.24</v>
      </c>
      <c r="DG313" s="234"/>
      <c r="DH313" s="180" t="n">
        <f aca="false">IF(BH313=0,EOMONTH(DH312,0)+1,BH313)</f>
        <v>45992</v>
      </c>
      <c r="DI313" s="231" t="n">
        <f aca="false">IF(BI313=0,DI301,BI313)</f>
        <v>0.75</v>
      </c>
      <c r="DL313" s="180" t="n">
        <f aca="false">IF($M313=0,EOMONTH(DL312,0)+1,$M313)</f>
        <v>45992</v>
      </c>
      <c r="DM313" s="181" t="n">
        <f aca="false">IF(AV313=0,DM301,AU313+AV313)</f>
        <v>0.12</v>
      </c>
      <c r="DN313" s="181" t="n">
        <f aca="false">IF(AM313=0,DN301,AM313)</f>
        <v>0.15</v>
      </c>
      <c r="DO313" s="181" t="n">
        <f aca="false">IF(AV313=0,DO301,AV313+AW313)</f>
        <v>0.18</v>
      </c>
      <c r="DQ313" s="181" t="n">
        <f aca="false">AD313</f>
        <v>0</v>
      </c>
      <c r="DR313" s="181" t="n">
        <f aca="false">AE313</f>
        <v>0</v>
      </c>
      <c r="DS313" s="181" t="n">
        <f aca="false">AF313</f>
        <v>0</v>
      </c>
    </row>
    <row r="314" customFormat="false" ht="14.25" hidden="false" customHeight="false" outlineLevel="0" collapsed="false">
      <c r="A314" s="233" t="n">
        <f aca="false">EDATE(A313,1)</f>
        <v>55093</v>
      </c>
      <c r="B314" s="135" t="n">
        <f aca="false">'Gas Curves'!C318</f>
        <v>0.065609766693433</v>
      </c>
      <c r="C314" s="135"/>
      <c r="D314" s="62"/>
      <c r="E314" s="62"/>
      <c r="F314" s="62"/>
      <c r="G314" s="62"/>
      <c r="H314" s="62"/>
      <c r="I314" s="62"/>
      <c r="J314" s="62"/>
      <c r="K314" s="62"/>
      <c r="L314" s="62"/>
      <c r="M314" s="14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14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0"/>
      <c r="CI314" s="0"/>
      <c r="CJ314" s="0"/>
      <c r="CK314" s="0"/>
      <c r="CP314" s="0"/>
      <c r="CQ314" s="0"/>
      <c r="CR314" s="0"/>
      <c r="CS314" s="0"/>
      <c r="CT314" s="0"/>
      <c r="CU314" s="116"/>
      <c r="CV314" s="145"/>
      <c r="CW314" s="234"/>
      <c r="CX314" s="234"/>
      <c r="CY314" s="180" t="n">
        <f aca="false">EOMONTH(CY313,0)+1</f>
        <v>46023</v>
      </c>
      <c r="CZ314" s="181" t="n">
        <f aca="false">IF(AI314=0,CZ302,AH314+AI314)</f>
        <v>0</v>
      </c>
      <c r="DA314" s="181" t="n">
        <f aca="false">IF(AI314=0,DA302,AI314)</f>
        <v>0</v>
      </c>
      <c r="DB314" s="181" t="n">
        <f aca="false">IF(AI314=0,DB302,AI314+AJ314)</f>
        <v>0</v>
      </c>
      <c r="DD314" s="161" t="n">
        <f aca="false">IF(Z314=0,DD302,Z314)</f>
        <v>0</v>
      </c>
      <c r="DE314" s="161" t="n">
        <f aca="false">IF(AA314=0,DE302,AA314)</f>
        <v>0</v>
      </c>
      <c r="DF314" s="161" t="n">
        <f aca="false">IF(AB314=0,DF302,AB314)</f>
        <v>0</v>
      </c>
      <c r="DG314" s="234"/>
      <c r="DH314" s="180" t="n">
        <f aca="false">IF(BH314=0,EOMONTH(DH313,0)+1,BH314)</f>
        <v>46023</v>
      </c>
      <c r="DI314" s="231" t="n">
        <f aca="false">IF(BI314=0,DI302,BI314)</f>
        <v>0</v>
      </c>
      <c r="DL314" s="180" t="n">
        <f aca="false">IF($M314=0,EOMONTH(DL313,0)+1,$M314)</f>
        <v>46023</v>
      </c>
      <c r="DM314" s="181" t="n">
        <f aca="false">IF(AV314=0,DM302,AU314+AV314)</f>
        <v>0</v>
      </c>
      <c r="DN314" s="181" t="n">
        <f aca="false">IF(AM314=0,DN302,AM314)</f>
        <v>0</v>
      </c>
      <c r="DO314" s="181" t="n">
        <f aca="false">IF(AV314=0,DO302,AV314+AW314)</f>
        <v>0</v>
      </c>
      <c r="DQ314" s="181" t="n">
        <f aca="false">AD314</f>
        <v>0</v>
      </c>
      <c r="DR314" s="181" t="n">
        <f aca="false">AE314</f>
        <v>0</v>
      </c>
      <c r="DS314" s="181" t="n">
        <f aca="false">AF314</f>
        <v>0</v>
      </c>
    </row>
    <row r="315" customFormat="false" ht="14.25" hidden="false" customHeight="false" outlineLevel="0" collapsed="false">
      <c r="A315" s="233" t="n">
        <f aca="false">EDATE(A314,1)</f>
        <v>55123</v>
      </c>
      <c r="B315" s="135" t="n">
        <f aca="false">'Gas Curves'!C319</f>
        <v>0.0656044326225</v>
      </c>
      <c r="C315" s="135"/>
      <c r="D315" s="62"/>
      <c r="E315" s="62"/>
      <c r="F315" s="62"/>
      <c r="G315" s="62"/>
      <c r="H315" s="62"/>
      <c r="I315" s="62"/>
      <c r="J315" s="62"/>
      <c r="K315" s="62"/>
      <c r="L315" s="62"/>
      <c r="M315" s="14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14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0"/>
      <c r="CI315" s="0"/>
      <c r="CJ315" s="0"/>
      <c r="CK315" s="0"/>
      <c r="CP315" s="0"/>
      <c r="CQ315" s="0"/>
      <c r="CR315" s="0"/>
      <c r="CS315" s="0"/>
      <c r="CT315" s="0"/>
      <c r="CU315" s="116"/>
      <c r="CV315" s="145"/>
      <c r="CW315" s="234"/>
      <c r="CX315" s="234"/>
      <c r="CY315" s="180" t="n">
        <f aca="false">EOMONTH(CY314,0)+1</f>
        <v>46054</v>
      </c>
      <c r="CZ315" s="181" t="n">
        <f aca="false">IF(AI315=0,CZ303,AH315+AI315)</f>
        <v>0.2</v>
      </c>
      <c r="DA315" s="181" t="n">
        <f aca="false">IF(AI315=0,DA303,AI315)</f>
        <v>0.25</v>
      </c>
      <c r="DB315" s="181" t="n">
        <f aca="false">IF(AI315=0,DB303,AI315+AJ315)</f>
        <v>0.3</v>
      </c>
      <c r="DD315" s="161" t="n">
        <f aca="false">IF(Z315=0,DD303,Z315)</f>
        <v>0.16</v>
      </c>
      <c r="DE315" s="161" t="n">
        <f aca="false">IF(AA315=0,DE303,AA315)</f>
        <v>0.2</v>
      </c>
      <c r="DF315" s="161" t="n">
        <f aca="false">IF(AB315=0,DF303,AB315)</f>
        <v>0.24</v>
      </c>
      <c r="DG315" s="234"/>
      <c r="DH315" s="180" t="n">
        <f aca="false">IF(BH315=0,EOMONTH(DH314,0)+1,BH315)</f>
        <v>46054</v>
      </c>
      <c r="DI315" s="231" t="n">
        <f aca="false">IF(BI315=0,DI303,BI315)</f>
        <v>0.75</v>
      </c>
      <c r="DL315" s="180" t="n">
        <f aca="false">IF($M315=0,EOMONTH(DL314,0)+1,$M315)</f>
        <v>46054</v>
      </c>
      <c r="DM315" s="181" t="n">
        <f aca="false">IF(AV315=0,DM303,AU315+AV315)</f>
        <v>0.12</v>
      </c>
      <c r="DN315" s="181" t="n">
        <f aca="false">IF(AM315=0,DN303,AM315)</f>
        <v>0.15</v>
      </c>
      <c r="DO315" s="181" t="n">
        <f aca="false">IF(AV315=0,DO303,AV315+AW315)</f>
        <v>0.18</v>
      </c>
      <c r="DQ315" s="181" t="n">
        <f aca="false">AD315</f>
        <v>0</v>
      </c>
      <c r="DR315" s="181" t="n">
        <f aca="false">AE315</f>
        <v>0</v>
      </c>
      <c r="DS315" s="181" t="n">
        <f aca="false">AF315</f>
        <v>0</v>
      </c>
    </row>
    <row r="316" customFormat="false" ht="14.25" hidden="false" customHeight="false" outlineLevel="0" collapsed="false">
      <c r="A316" s="233" t="n">
        <f aca="false">EDATE(A315,1)</f>
        <v>55154</v>
      </c>
      <c r="B316" s="135" t="n">
        <f aca="false">'Gas Curves'!C320</f>
        <v>0.065598527043978</v>
      </c>
      <c r="C316" s="135"/>
      <c r="D316" s="62"/>
      <c r="E316" s="62"/>
      <c r="F316" s="62"/>
      <c r="G316" s="62"/>
      <c r="H316" s="62"/>
      <c r="I316" s="62"/>
      <c r="J316" s="62"/>
      <c r="K316" s="62"/>
      <c r="L316" s="62"/>
      <c r="M316" s="14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14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0"/>
      <c r="CP316" s="0"/>
      <c r="CQ316" s="0"/>
      <c r="CR316" s="0"/>
      <c r="CS316" s="0"/>
      <c r="CT316" s="0"/>
      <c r="CU316" s="116"/>
      <c r="CV316" s="145"/>
      <c r="CW316" s="234"/>
      <c r="CX316" s="234"/>
      <c r="CY316" s="180" t="n">
        <f aca="false">EOMONTH(CY315,0)+1</f>
        <v>46082</v>
      </c>
      <c r="CZ316" s="181" t="n">
        <f aca="false">IF(AI316=0,CZ304,AH316+AI316)</f>
        <v>0.2</v>
      </c>
      <c r="DA316" s="181" t="n">
        <f aca="false">IF(AI316=0,DA304,AI316)</f>
        <v>0.25</v>
      </c>
      <c r="DB316" s="181" t="n">
        <f aca="false">IF(AI316=0,DB304,AI316+AJ316)</f>
        <v>0.3</v>
      </c>
      <c r="DD316" s="161" t="n">
        <f aca="false">IF(Z316=0,DD304,Z316)</f>
        <v>0.16</v>
      </c>
      <c r="DE316" s="161" t="n">
        <f aca="false">IF(AA316=0,DE304,AA316)</f>
        <v>0.2</v>
      </c>
      <c r="DF316" s="161" t="n">
        <f aca="false">IF(AB316=0,DF304,AB316)</f>
        <v>0.24</v>
      </c>
      <c r="DG316" s="234"/>
      <c r="DH316" s="180" t="n">
        <f aca="false">IF(BH316=0,EOMONTH(DH315,0)+1,BH316)</f>
        <v>46082</v>
      </c>
      <c r="DI316" s="231" t="n">
        <f aca="false">IF(BI316=0,DI304,BI316)</f>
        <v>0.75</v>
      </c>
      <c r="DL316" s="180" t="n">
        <f aca="false">IF($M316=0,EOMONTH(DL315,0)+1,$M316)</f>
        <v>46082</v>
      </c>
      <c r="DM316" s="181" t="n">
        <f aca="false">IF(AV316=0,DM304,AU316+AV316)</f>
        <v>0.12</v>
      </c>
      <c r="DN316" s="181" t="n">
        <f aca="false">IF(AM316=0,DN304,AM316)</f>
        <v>0.15</v>
      </c>
      <c r="DO316" s="181" t="n">
        <f aca="false">IF(AV316=0,DO304,AV316+AW316)</f>
        <v>0.18</v>
      </c>
      <c r="DQ316" s="181" t="n">
        <f aca="false">AD316</f>
        <v>0</v>
      </c>
      <c r="DR316" s="181" t="n">
        <f aca="false">AE316</f>
        <v>0</v>
      </c>
      <c r="DS316" s="181" t="n">
        <f aca="false">AF316</f>
        <v>0</v>
      </c>
    </row>
    <row r="317" customFormat="false" ht="14.25" hidden="false" customHeight="false" outlineLevel="0" collapsed="false">
      <c r="A317" s="233" t="n">
        <f aca="false">EDATE(A316,1)</f>
        <v>55185</v>
      </c>
      <c r="B317" s="135" t="n">
        <f aca="false">'Gas Curves'!C321</f>
        <v>0.065592811968</v>
      </c>
      <c r="C317" s="135"/>
      <c r="D317" s="62"/>
      <c r="E317" s="62"/>
      <c r="F317" s="62"/>
      <c r="G317" s="62"/>
      <c r="H317" s="62"/>
      <c r="I317" s="62"/>
      <c r="J317" s="62"/>
      <c r="K317" s="62"/>
      <c r="L317" s="62"/>
      <c r="M317" s="14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14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0"/>
      <c r="CP317" s="0"/>
      <c r="CQ317" s="0"/>
      <c r="CR317" s="0"/>
      <c r="CS317" s="0"/>
      <c r="CT317" s="0"/>
      <c r="CU317" s="116"/>
      <c r="CV317" s="145"/>
      <c r="CW317" s="234"/>
      <c r="CX317" s="234"/>
      <c r="CY317" s="180" t="n">
        <f aca="false">EOMONTH(CY316,0)+1</f>
        <v>46113</v>
      </c>
      <c r="CZ317" s="181" t="n">
        <f aca="false">IF(AI317=0,CZ305,AH317+AI317)</f>
        <v>0.2</v>
      </c>
      <c r="DA317" s="181" t="n">
        <f aca="false">IF(AI317=0,DA305,AI317)</f>
        <v>0.25</v>
      </c>
      <c r="DB317" s="181" t="n">
        <f aca="false">IF(AI317=0,DB305,AI317+AJ317)</f>
        <v>0.3</v>
      </c>
      <c r="DD317" s="161" t="n">
        <f aca="false">IF(Z317=0,DD305,Z317)</f>
        <v>0.16</v>
      </c>
      <c r="DE317" s="161" t="n">
        <f aca="false">IF(AA317=0,DE305,AA317)</f>
        <v>0.2</v>
      </c>
      <c r="DF317" s="161" t="n">
        <f aca="false">IF(AB317=0,DF305,AB317)</f>
        <v>0.24</v>
      </c>
      <c r="DG317" s="234"/>
      <c r="DH317" s="180" t="n">
        <f aca="false">IF(BH317=0,EOMONTH(DH316,0)+1,BH317)</f>
        <v>46113</v>
      </c>
      <c r="DI317" s="231" t="n">
        <f aca="false">IF(BI317=0,DI305,BI317)</f>
        <v>0.75</v>
      </c>
      <c r="DL317" s="180" t="n">
        <f aca="false">IF($M317=0,EOMONTH(DL316,0)+1,$M317)</f>
        <v>46113</v>
      </c>
      <c r="DM317" s="181" t="n">
        <f aca="false">IF(AV317=0,DM305,AU317+AV317)</f>
        <v>0.12</v>
      </c>
      <c r="DN317" s="181" t="n">
        <f aca="false">IF(AM317=0,DN305,AM317)</f>
        <v>0.15</v>
      </c>
      <c r="DO317" s="181" t="n">
        <f aca="false">IF(AV317=0,DO305,AV317+AW317)</f>
        <v>0.18</v>
      </c>
      <c r="DQ317" s="181" t="n">
        <f aca="false">AD317</f>
        <v>0</v>
      </c>
      <c r="DR317" s="181" t="n">
        <f aca="false">AE317</f>
        <v>0</v>
      </c>
      <c r="DS317" s="181" t="n">
        <f aca="false">AF317</f>
        <v>0</v>
      </c>
    </row>
    <row r="318" customFormat="false" ht="14.25" hidden="false" customHeight="false" outlineLevel="0" collapsed="false">
      <c r="A318" s="233" t="n">
        <f aca="false">EDATE(A317,1)</f>
        <v>55213</v>
      </c>
      <c r="B318" s="135" t="n">
        <f aca="false">'Gas Curves'!C322</f>
        <v>0.0655869063895</v>
      </c>
      <c r="C318" s="135"/>
      <c r="D318" s="62"/>
      <c r="E318" s="62"/>
      <c r="F318" s="62"/>
      <c r="G318" s="62"/>
      <c r="H318" s="62"/>
      <c r="I318" s="62"/>
      <c r="J318" s="62"/>
      <c r="K318" s="62"/>
      <c r="L318" s="62"/>
      <c r="M318" s="14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14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0"/>
      <c r="CP318" s="0"/>
      <c r="CQ318" s="0"/>
      <c r="CR318" s="0"/>
      <c r="CS318" s="0"/>
      <c r="CT318" s="0"/>
      <c r="CU318" s="116"/>
      <c r="CV318" s="145"/>
      <c r="CW318" s="234"/>
      <c r="CX318" s="234"/>
      <c r="CY318" s="180" t="n">
        <f aca="false">EOMONTH(CY317,0)+1</f>
        <v>46143</v>
      </c>
      <c r="CZ318" s="181" t="n">
        <f aca="false">IF(AI318=0,CZ306,AH318+AI318)</f>
        <v>0.2</v>
      </c>
      <c r="DA318" s="181" t="n">
        <f aca="false">IF(AI318=0,DA306,AI318)</f>
        <v>0.25</v>
      </c>
      <c r="DB318" s="181" t="n">
        <f aca="false">IF(AI318=0,DB306,AI318+AJ318)</f>
        <v>0.3</v>
      </c>
      <c r="DD318" s="161" t="n">
        <f aca="false">IF(Z318=0,DD306,Z318)</f>
        <v>0.16</v>
      </c>
      <c r="DE318" s="161" t="n">
        <f aca="false">IF(AA318=0,DE306,AA318)</f>
        <v>0.2</v>
      </c>
      <c r="DF318" s="161" t="n">
        <f aca="false">IF(AB318=0,DF306,AB318)</f>
        <v>0.24</v>
      </c>
      <c r="DG318" s="234"/>
      <c r="DH318" s="180" t="n">
        <f aca="false">IF(BH318=0,EOMONTH(DH317,0)+1,BH318)</f>
        <v>46143</v>
      </c>
      <c r="DI318" s="231" t="n">
        <f aca="false">IF(BI318=0,DI306,BI318)</f>
        <v>0.75</v>
      </c>
      <c r="DL318" s="180" t="n">
        <f aca="false">IF($M318=0,EOMONTH(DL317,0)+1,$M318)</f>
        <v>46143</v>
      </c>
      <c r="DM318" s="181" t="n">
        <f aca="false">IF(AV318=0,DM306,AU318+AV318)</f>
        <v>0.12</v>
      </c>
      <c r="DN318" s="181" t="n">
        <f aca="false">IF(AM318=0,DN306,AM318)</f>
        <v>0.15</v>
      </c>
      <c r="DO318" s="181" t="n">
        <f aca="false">IF(AV318=0,DO306,AV318+AW318)</f>
        <v>0.18</v>
      </c>
      <c r="DQ318" s="181" t="n">
        <f aca="false">AD318</f>
        <v>0</v>
      </c>
      <c r="DR318" s="181" t="n">
        <f aca="false">AE318</f>
        <v>0</v>
      </c>
      <c r="DS318" s="181" t="n">
        <f aca="false">AF318</f>
        <v>0</v>
      </c>
    </row>
    <row r="319" customFormat="false" ht="14.25" hidden="false" customHeight="false" outlineLevel="0" collapsed="false">
      <c r="A319" s="233" t="n">
        <f aca="false">EDATE(A318,1)</f>
        <v>55244</v>
      </c>
      <c r="B319" s="135" t="n">
        <f aca="false">'Gas Curves'!C323</f>
        <v>0.065581191313545</v>
      </c>
      <c r="C319" s="135"/>
      <c r="D319" s="62"/>
      <c r="E319" s="62"/>
      <c r="F319" s="62"/>
      <c r="G319" s="62"/>
      <c r="H319" s="62"/>
      <c r="I319" s="62"/>
      <c r="J319" s="62"/>
      <c r="K319" s="62"/>
      <c r="L319" s="62"/>
      <c r="M319" s="14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14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0"/>
      <c r="CP319" s="0"/>
      <c r="CQ319" s="0"/>
      <c r="CR319" s="0"/>
      <c r="CS319" s="0"/>
      <c r="CT319" s="0"/>
      <c r="CU319" s="116"/>
      <c r="CV319" s="145"/>
      <c r="CW319" s="234"/>
      <c r="CX319" s="234"/>
      <c r="CY319" s="180" t="n">
        <f aca="false">EOMONTH(CY318,0)+1</f>
        <v>46174</v>
      </c>
      <c r="CZ319" s="181" t="n">
        <f aca="false">IF(AI319=0,CZ307,AH319+AI319)</f>
        <v>0.2</v>
      </c>
      <c r="DA319" s="181" t="n">
        <f aca="false">IF(AI319=0,DA307,AI319)</f>
        <v>0.25</v>
      </c>
      <c r="DB319" s="181" t="n">
        <f aca="false">IF(AI319=0,DB307,AI319+AJ319)</f>
        <v>0.3</v>
      </c>
      <c r="DD319" s="161" t="n">
        <f aca="false">IF(Z319=0,DD307,Z319)</f>
        <v>0.16</v>
      </c>
      <c r="DE319" s="161" t="n">
        <f aca="false">IF(AA319=0,DE307,AA319)</f>
        <v>0.2</v>
      </c>
      <c r="DF319" s="161" t="n">
        <f aca="false">IF(AB319=0,DF307,AB319)</f>
        <v>0.24</v>
      </c>
      <c r="DG319" s="234"/>
      <c r="DH319" s="180" t="n">
        <f aca="false">IF(BH319=0,EOMONTH(DH318,0)+1,BH319)</f>
        <v>46174</v>
      </c>
      <c r="DI319" s="231" t="n">
        <f aca="false">IF(BI319=0,DI307,BI319)</f>
        <v>0.75</v>
      </c>
      <c r="DL319" s="180" t="n">
        <f aca="false">IF($M319=0,EOMONTH(DL318,0)+1,$M319)</f>
        <v>46174</v>
      </c>
      <c r="DM319" s="181" t="n">
        <f aca="false">IF(AV319=0,DM307,AU319+AV319)</f>
        <v>0.12</v>
      </c>
      <c r="DN319" s="181" t="n">
        <f aca="false">IF(AM319=0,DN307,AM319)</f>
        <v>0.15</v>
      </c>
      <c r="DO319" s="181" t="n">
        <f aca="false">IF(AV319=0,DO307,AV319+AW319)</f>
        <v>0.18</v>
      </c>
      <c r="DQ319" s="181" t="n">
        <f aca="false">AD319</f>
        <v>0</v>
      </c>
      <c r="DR319" s="181" t="n">
        <f aca="false">AE319</f>
        <v>0</v>
      </c>
      <c r="DS319" s="181" t="n">
        <f aca="false">AF319</f>
        <v>0</v>
      </c>
    </row>
    <row r="320" customFormat="false" ht="14.25" hidden="false" customHeight="false" outlineLevel="0" collapsed="false">
      <c r="A320" s="233" t="n">
        <f aca="false">EDATE(A319,1)</f>
        <v>55274</v>
      </c>
      <c r="B320" s="135" t="n">
        <f aca="false">'Gas Curves'!C324</f>
        <v>0.065575285735068</v>
      </c>
      <c r="C320" s="135"/>
      <c r="D320" s="62"/>
      <c r="E320" s="62"/>
      <c r="F320" s="62"/>
      <c r="G320" s="62"/>
      <c r="H320" s="62"/>
      <c r="I320" s="62"/>
      <c r="J320" s="62"/>
      <c r="K320" s="62"/>
      <c r="L320" s="62"/>
      <c r="M320" s="14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14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0"/>
      <c r="CP320" s="0"/>
      <c r="CQ320" s="0"/>
      <c r="CR320" s="0"/>
      <c r="CS320" s="0"/>
      <c r="CT320" s="0"/>
      <c r="CU320" s="116"/>
      <c r="CV320" s="145"/>
      <c r="CW320" s="234"/>
      <c r="CX320" s="234"/>
      <c r="CY320" s="180" t="n">
        <f aca="false">EOMONTH(CY319,0)+1</f>
        <v>46204</v>
      </c>
      <c r="CZ320" s="181" t="n">
        <f aca="false">IF(AI320=0,CZ308,AH320+AI320)</f>
        <v>0.32</v>
      </c>
      <c r="DA320" s="181" t="n">
        <f aca="false">IF(AI320=0,DA308,AI320)</f>
        <v>0.4</v>
      </c>
      <c r="DB320" s="181" t="n">
        <f aca="false">IF(AI320=0,DB308,AI320+AJ320)</f>
        <v>0.48</v>
      </c>
      <c r="DD320" s="161" t="n">
        <f aca="false">IF(Z320=0,DD308,Z320)</f>
        <v>0.24</v>
      </c>
      <c r="DE320" s="161" t="n">
        <f aca="false">IF(AA320=0,DE308,AA320)</f>
        <v>0.3</v>
      </c>
      <c r="DF320" s="161" t="n">
        <f aca="false">IF(AB320=0,DF308,AB320)</f>
        <v>0.36</v>
      </c>
      <c r="DG320" s="234"/>
      <c r="DH320" s="180" t="n">
        <f aca="false">IF(BH320=0,EOMONTH(DH319,0)+1,BH320)</f>
        <v>46204</v>
      </c>
      <c r="DI320" s="231" t="n">
        <f aca="false">IF(BI320=0,DI308,BI320)</f>
        <v>0.75</v>
      </c>
      <c r="DL320" s="180" t="n">
        <f aca="false">IF($M320=0,EOMONTH(DL319,0)+1,$M320)</f>
        <v>46204</v>
      </c>
      <c r="DM320" s="181" t="n">
        <f aca="false">IF(AV320=0,DM308,AU320+AV320)</f>
        <v>0.192</v>
      </c>
      <c r="DN320" s="181" t="n">
        <f aca="false">IF(AM320=0,DN308,AM320)</f>
        <v>0.24</v>
      </c>
      <c r="DO320" s="181" t="n">
        <f aca="false">IF(AV320=0,DO308,AV320+AW320)</f>
        <v>0.288</v>
      </c>
      <c r="DQ320" s="181" t="n">
        <f aca="false">AD320</f>
        <v>0</v>
      </c>
      <c r="DR320" s="181" t="n">
        <f aca="false">AE320</f>
        <v>0</v>
      </c>
      <c r="DS320" s="181" t="n">
        <f aca="false">AF320</f>
        <v>0</v>
      </c>
    </row>
    <row r="321" customFormat="false" ht="14.25" hidden="false" customHeight="false" outlineLevel="0" collapsed="false">
      <c r="A321" s="233" t="n">
        <f aca="false">EDATE(A320,1)</f>
        <v>55305</v>
      </c>
      <c r="B321" s="135" t="n">
        <f aca="false">'Gas Curves'!C325</f>
        <v>0.065569380156603</v>
      </c>
      <c r="C321" s="135"/>
      <c r="D321" s="62"/>
      <c r="E321" s="62"/>
      <c r="F321" s="62"/>
      <c r="G321" s="62"/>
      <c r="H321" s="62"/>
      <c r="I321" s="62"/>
      <c r="J321" s="62"/>
      <c r="K321" s="62"/>
      <c r="L321" s="62"/>
      <c r="M321" s="14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14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0"/>
      <c r="CP321" s="0"/>
      <c r="CQ321" s="0"/>
      <c r="CR321" s="0"/>
      <c r="CS321" s="0"/>
      <c r="CT321" s="0"/>
      <c r="CU321" s="116"/>
      <c r="CV321" s="145"/>
      <c r="CW321" s="234"/>
      <c r="CX321" s="234"/>
      <c r="CY321" s="180" t="n">
        <f aca="false">EOMONTH(CY320,0)+1</f>
        <v>46235</v>
      </c>
      <c r="CZ321" s="181" t="n">
        <f aca="false">IF(AI321=0,CZ309,AH321+AI321)</f>
        <v>0.32</v>
      </c>
      <c r="DA321" s="181" t="n">
        <f aca="false">IF(AI321=0,DA309,AI321)</f>
        <v>0.4</v>
      </c>
      <c r="DB321" s="181" t="n">
        <f aca="false">IF(AI321=0,DB309,AI321+AJ321)</f>
        <v>0.48</v>
      </c>
      <c r="DD321" s="161" t="n">
        <f aca="false">IF(Z321=0,DD309,Z321)</f>
        <v>0.24</v>
      </c>
      <c r="DE321" s="161" t="n">
        <f aca="false">IF(AA321=0,DE309,AA321)</f>
        <v>0.3</v>
      </c>
      <c r="DF321" s="161" t="n">
        <f aca="false">IF(AB321=0,DF309,AB321)</f>
        <v>0.36</v>
      </c>
      <c r="DG321" s="234"/>
      <c r="DH321" s="180" t="n">
        <f aca="false">IF(BH321=0,EOMONTH(DH320,0)+1,BH321)</f>
        <v>46235</v>
      </c>
      <c r="DI321" s="231" t="n">
        <f aca="false">IF(BI321=0,DI309,BI321)</f>
        <v>0.75</v>
      </c>
      <c r="DL321" s="180" t="n">
        <f aca="false">IF($M321=0,EOMONTH(DL320,0)+1,$M321)</f>
        <v>46235</v>
      </c>
      <c r="DM321" s="181" t="n">
        <f aca="false">IF(AV321=0,DM309,AU321+AV321)</f>
        <v>0.192</v>
      </c>
      <c r="DN321" s="181" t="n">
        <f aca="false">IF(AM321=0,DN309,AM321)</f>
        <v>0.24</v>
      </c>
      <c r="DO321" s="181" t="n">
        <f aca="false">IF(AV321=0,DO309,AV321+AW321)</f>
        <v>0.288</v>
      </c>
      <c r="DQ321" s="181" t="n">
        <f aca="false">AD321</f>
        <v>0</v>
      </c>
      <c r="DR321" s="181" t="n">
        <f aca="false">AE321</f>
        <v>0</v>
      </c>
      <c r="DS321" s="181" t="n">
        <f aca="false">AF321</f>
        <v>0</v>
      </c>
    </row>
    <row r="322" customFormat="false" ht="14.25" hidden="false" customHeight="false" outlineLevel="0" collapsed="false">
      <c r="A322" s="233" t="n">
        <f aca="false">EDATE(A321,1)</f>
        <v>55335</v>
      </c>
      <c r="B322" s="135" t="n">
        <f aca="false">'Gas Curves'!C326</f>
        <v>0.06556366508068</v>
      </c>
      <c r="C322" s="135"/>
      <c r="D322" s="62"/>
      <c r="E322" s="62"/>
      <c r="F322" s="62"/>
      <c r="G322" s="62"/>
      <c r="H322" s="62"/>
      <c r="I322" s="62"/>
      <c r="J322" s="62"/>
      <c r="K322" s="62"/>
      <c r="L322" s="62"/>
      <c r="M322" s="14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14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0"/>
      <c r="CP322" s="0"/>
      <c r="CQ322" s="0"/>
      <c r="CR322" s="0"/>
      <c r="CS322" s="0"/>
      <c r="CT322" s="0"/>
      <c r="CU322" s="116"/>
      <c r="CV322" s="145"/>
      <c r="CW322" s="234"/>
      <c r="CX322" s="234"/>
      <c r="CY322" s="180" t="n">
        <f aca="false">EOMONTH(CY321,0)+1</f>
        <v>46266</v>
      </c>
      <c r="CZ322" s="181" t="n">
        <f aca="false">IF(AI322=0,CZ310,AH322+AI322)</f>
        <v>0.2</v>
      </c>
      <c r="DA322" s="181" t="n">
        <f aca="false">IF(AI322=0,DA310,AI322)</f>
        <v>0.25</v>
      </c>
      <c r="DB322" s="181" t="n">
        <f aca="false">IF(AI322=0,DB310,AI322+AJ322)</f>
        <v>0.3</v>
      </c>
      <c r="DD322" s="161" t="n">
        <f aca="false">IF(Z322=0,DD310,Z322)</f>
        <v>0.16</v>
      </c>
      <c r="DE322" s="161" t="n">
        <f aca="false">IF(AA322=0,DE310,AA322)</f>
        <v>0.2</v>
      </c>
      <c r="DF322" s="161" t="n">
        <f aca="false">IF(AB322=0,DF310,AB322)</f>
        <v>0.24</v>
      </c>
      <c r="DG322" s="234"/>
      <c r="DH322" s="180" t="n">
        <f aca="false">IF(BH322=0,EOMONTH(DH321,0)+1,BH322)</f>
        <v>46266</v>
      </c>
      <c r="DI322" s="231" t="n">
        <f aca="false">IF(BI322=0,DI310,BI322)</f>
        <v>0.75</v>
      </c>
      <c r="DL322" s="180" t="n">
        <f aca="false">IF($M322=0,EOMONTH(DL321,0)+1,$M322)</f>
        <v>46266</v>
      </c>
      <c r="DM322" s="181" t="n">
        <f aca="false">IF(AV322=0,DM310,AU322+AV322)</f>
        <v>0.12</v>
      </c>
      <c r="DN322" s="181" t="n">
        <f aca="false">IF(AM322=0,DN310,AM322)</f>
        <v>0.15</v>
      </c>
      <c r="DO322" s="181" t="n">
        <f aca="false">IF(AV322=0,DO310,AV322+AW322)</f>
        <v>0.18</v>
      </c>
      <c r="DQ322" s="181" t="n">
        <f aca="false">AD322</f>
        <v>0</v>
      </c>
      <c r="DR322" s="181" t="n">
        <f aca="false">AE322</f>
        <v>0</v>
      </c>
      <c r="DS322" s="181" t="n">
        <f aca="false">AF322</f>
        <v>0</v>
      </c>
    </row>
    <row r="323" customFormat="false" ht="14.25" hidden="false" customHeight="false" outlineLevel="0" collapsed="false">
      <c r="A323" s="233" t="n">
        <f aca="false">EDATE(A322,1)</f>
        <v>55366</v>
      </c>
      <c r="B323" s="135" t="n">
        <f aca="false">'Gas Curves'!C327</f>
        <v>0.065557759502238</v>
      </c>
      <c r="C323" s="135"/>
      <c r="D323" s="62"/>
      <c r="E323" s="62"/>
      <c r="F323" s="62"/>
      <c r="G323" s="62"/>
      <c r="H323" s="62"/>
      <c r="I323" s="62"/>
      <c r="J323" s="62"/>
      <c r="K323" s="62"/>
      <c r="L323" s="62"/>
      <c r="M323" s="14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14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0"/>
      <c r="CP323" s="0"/>
      <c r="CQ323" s="0"/>
      <c r="CR323" s="0"/>
      <c r="CS323" s="0"/>
      <c r="CT323" s="0"/>
      <c r="CU323" s="116"/>
      <c r="CV323" s="145"/>
      <c r="CW323" s="234"/>
      <c r="CX323" s="234"/>
      <c r="CY323" s="180" t="n">
        <f aca="false">EOMONTH(CY322,0)+1</f>
        <v>46296</v>
      </c>
      <c r="CZ323" s="181" t="n">
        <f aca="false">IF(AI323=0,CZ311,AH323+AI323)</f>
        <v>0.2</v>
      </c>
      <c r="DA323" s="181" t="n">
        <f aca="false">IF(AI323=0,DA311,AI323)</f>
        <v>0.25</v>
      </c>
      <c r="DB323" s="181" t="n">
        <f aca="false">IF(AI323=0,DB311,AI323+AJ323)</f>
        <v>0.3</v>
      </c>
      <c r="DD323" s="161" t="n">
        <f aca="false">IF(Z323=0,DD311,Z323)</f>
        <v>0.16</v>
      </c>
      <c r="DE323" s="161" t="n">
        <f aca="false">IF(AA323=0,DE311,AA323)</f>
        <v>0.2</v>
      </c>
      <c r="DF323" s="161" t="n">
        <f aca="false">IF(AB323=0,DF311,AB323)</f>
        <v>0.24</v>
      </c>
      <c r="DG323" s="234"/>
      <c r="DH323" s="180" t="n">
        <f aca="false">IF(BH323=0,EOMONTH(DH322,0)+1,BH323)</f>
        <v>46296</v>
      </c>
      <c r="DI323" s="231" t="n">
        <f aca="false">IF(BI323=0,DI311,BI323)</f>
        <v>0.75</v>
      </c>
      <c r="DL323" s="180" t="n">
        <f aca="false">IF($M323=0,EOMONTH(DL322,0)+1,$M323)</f>
        <v>46296</v>
      </c>
      <c r="DM323" s="181" t="n">
        <f aca="false">IF(AV323=0,DM311,AU323+AV323)</f>
        <v>0.12</v>
      </c>
      <c r="DN323" s="181" t="n">
        <f aca="false">IF(AM323=0,DN311,AM323)</f>
        <v>0.15</v>
      </c>
      <c r="DO323" s="181" t="n">
        <f aca="false">IF(AV323=0,DO311,AV323+AW323)</f>
        <v>0.18</v>
      </c>
      <c r="DQ323" s="181" t="n">
        <f aca="false">AD323</f>
        <v>0</v>
      </c>
      <c r="DR323" s="181" t="n">
        <f aca="false">AE323</f>
        <v>0</v>
      </c>
      <c r="DS323" s="181" t="n">
        <f aca="false">AF323</f>
        <v>0</v>
      </c>
    </row>
    <row r="324" customFormat="false" ht="14.25" hidden="false" customHeight="false" outlineLevel="0" collapsed="false">
      <c r="A324" s="233" t="n">
        <f aca="false">EDATE(A323,1)</f>
        <v>55397</v>
      </c>
      <c r="B324" s="135" t="n">
        <f aca="false">'Gas Curves'!C328</f>
        <v>0.065552044426337</v>
      </c>
      <c r="C324" s="135"/>
      <c r="D324" s="62"/>
      <c r="E324" s="62"/>
      <c r="F324" s="62"/>
      <c r="G324" s="62"/>
      <c r="H324" s="62"/>
      <c r="I324" s="62"/>
      <c r="J324" s="62"/>
      <c r="K324" s="62"/>
      <c r="L324" s="62"/>
      <c r="M324" s="14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14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0"/>
      <c r="CP324" s="0"/>
      <c r="CQ324" s="0"/>
      <c r="CR324" s="0"/>
      <c r="CS324" s="0"/>
      <c r="CT324" s="0"/>
      <c r="CU324" s="116"/>
      <c r="CV324" s="145"/>
      <c r="CW324" s="234"/>
      <c r="CX324" s="234"/>
      <c r="CY324" s="180" t="n">
        <f aca="false">EOMONTH(CY323,0)+1</f>
        <v>46327</v>
      </c>
      <c r="CZ324" s="181" t="n">
        <f aca="false">IF(AI324=0,CZ312,AH324+AI324)</f>
        <v>0.2</v>
      </c>
      <c r="DA324" s="181" t="n">
        <f aca="false">IF(AI324=0,DA312,AI324)</f>
        <v>0.25</v>
      </c>
      <c r="DB324" s="181" t="n">
        <f aca="false">IF(AI324=0,DB312,AI324+AJ324)</f>
        <v>0.3</v>
      </c>
      <c r="DD324" s="161" t="n">
        <f aca="false">IF(Z324=0,DD312,Z324)</f>
        <v>0.16</v>
      </c>
      <c r="DE324" s="161" t="n">
        <f aca="false">IF(AA324=0,DE312,AA324)</f>
        <v>0.2</v>
      </c>
      <c r="DF324" s="161" t="n">
        <f aca="false">IF(AB324=0,DF312,AB324)</f>
        <v>0.24</v>
      </c>
      <c r="DG324" s="234"/>
      <c r="DH324" s="180" t="n">
        <f aca="false">IF(BH324=0,EOMONTH(DH323,0)+1,BH324)</f>
        <v>46327</v>
      </c>
      <c r="DI324" s="231" t="n">
        <f aca="false">IF(BI324=0,DI312,BI324)</f>
        <v>0.75</v>
      </c>
      <c r="DL324" s="180" t="n">
        <f aca="false">IF($M324=0,EOMONTH(DL323,0)+1,$M324)</f>
        <v>46327</v>
      </c>
      <c r="DM324" s="181" t="n">
        <f aca="false">IF(AV324=0,DM312,AU324+AV324)</f>
        <v>0.12</v>
      </c>
      <c r="DN324" s="181" t="n">
        <f aca="false">IF(AM324=0,DN312,AM324)</f>
        <v>0.15</v>
      </c>
      <c r="DO324" s="181" t="n">
        <f aca="false">IF(AV324=0,DO312,AV324+AW324)</f>
        <v>0.18</v>
      </c>
      <c r="DQ324" s="181" t="n">
        <f aca="false">AD324</f>
        <v>0</v>
      </c>
      <c r="DR324" s="181" t="n">
        <f aca="false">AE324</f>
        <v>0</v>
      </c>
      <c r="DS324" s="181" t="n">
        <f aca="false">AF324</f>
        <v>0</v>
      </c>
    </row>
    <row r="325" customFormat="false" ht="14.25" hidden="false" customHeight="false" outlineLevel="0" collapsed="false">
      <c r="A325" s="233" t="n">
        <f aca="false">EDATE(A324,1)</f>
        <v>55427</v>
      </c>
      <c r="B325" s="135" t="n">
        <f aca="false">'Gas Curves'!C329</f>
        <v>0.065546138847917</v>
      </c>
      <c r="C325" s="135"/>
      <c r="D325" s="62"/>
      <c r="E325" s="62"/>
      <c r="F325" s="62"/>
      <c r="G325" s="62"/>
      <c r="H325" s="62"/>
      <c r="I325" s="62"/>
      <c r="J325" s="62"/>
      <c r="K325" s="62"/>
      <c r="L325" s="62"/>
      <c r="M325" s="14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14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0"/>
      <c r="CP325" s="0"/>
      <c r="CQ325" s="0"/>
      <c r="CR325" s="0"/>
      <c r="CS325" s="0"/>
      <c r="CT325" s="0"/>
      <c r="CU325" s="116"/>
      <c r="CV325" s="145"/>
      <c r="CW325" s="234"/>
      <c r="CX325" s="234"/>
      <c r="CY325" s="180" t="n">
        <f aca="false">EOMONTH(CY324,0)+1</f>
        <v>46357</v>
      </c>
      <c r="CZ325" s="181" t="n">
        <f aca="false">IF(AI325=0,CZ313,AH325+AI325)</f>
        <v>0.2</v>
      </c>
      <c r="DA325" s="181" t="n">
        <f aca="false">IF(AI325=0,DA313,AI325)</f>
        <v>0.25</v>
      </c>
      <c r="DB325" s="181" t="n">
        <f aca="false">IF(AI325=0,DB313,AI325+AJ325)</f>
        <v>0.3</v>
      </c>
      <c r="DD325" s="161" t="n">
        <f aca="false">IF(Z325=0,DD313,Z325)</f>
        <v>0.16</v>
      </c>
      <c r="DE325" s="161" t="n">
        <f aca="false">IF(AA325=0,DE313,AA325)</f>
        <v>0.2</v>
      </c>
      <c r="DF325" s="161" t="n">
        <f aca="false">IF(AB325=0,DF313,AB325)</f>
        <v>0.24</v>
      </c>
      <c r="DG325" s="234"/>
      <c r="DH325" s="180" t="n">
        <f aca="false">IF(BH325=0,EOMONTH(DH324,0)+1,BH325)</f>
        <v>46357</v>
      </c>
      <c r="DI325" s="231" t="n">
        <f aca="false">IF(BI325=0,DI313,BI325)</f>
        <v>0.75</v>
      </c>
      <c r="DL325" s="180" t="n">
        <f aca="false">IF($M325=0,EOMONTH(DL324,0)+1,$M325)</f>
        <v>46357</v>
      </c>
      <c r="DM325" s="181" t="n">
        <f aca="false">IF(AV325=0,DM313,AU325+AV325)</f>
        <v>0.12</v>
      </c>
      <c r="DN325" s="181" t="n">
        <f aca="false">IF(AM325=0,DN313,AM325)</f>
        <v>0.15</v>
      </c>
      <c r="DO325" s="181" t="n">
        <f aca="false">IF(AV325=0,DO313,AV325+AW325)</f>
        <v>0.18</v>
      </c>
      <c r="DQ325" s="181" t="n">
        <f aca="false">AD325</f>
        <v>0</v>
      </c>
      <c r="DR325" s="181" t="n">
        <f aca="false">AE325</f>
        <v>0</v>
      </c>
      <c r="DS325" s="181" t="n">
        <f aca="false">AF325</f>
        <v>0</v>
      </c>
    </row>
    <row r="326" customFormat="false" ht="14.25" hidden="false" customHeight="false" outlineLevel="0" collapsed="false">
      <c r="A326" s="233" t="n">
        <f aca="false">EDATE(A325,1)</f>
        <v>55458</v>
      </c>
      <c r="B326" s="135" t="n">
        <f aca="false">'Gas Curves'!C330</f>
        <v>0.06554023326951</v>
      </c>
      <c r="C326" s="135"/>
      <c r="D326" s="62"/>
      <c r="E326" s="62"/>
      <c r="F326" s="62"/>
      <c r="G326" s="62"/>
      <c r="H326" s="62"/>
      <c r="I326" s="62"/>
      <c r="J326" s="62"/>
      <c r="K326" s="62"/>
      <c r="L326" s="62"/>
      <c r="M326" s="14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14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0"/>
      <c r="CP326" s="0"/>
      <c r="CQ326" s="0"/>
      <c r="CR326" s="0"/>
      <c r="CS326" s="0"/>
      <c r="CT326" s="0"/>
      <c r="CU326" s="116"/>
      <c r="CV326" s="145"/>
      <c r="CW326" s="234"/>
      <c r="CX326" s="234"/>
      <c r="CY326" s="180" t="n">
        <f aca="false">EOMONTH(CY325,0)+1</f>
        <v>46388</v>
      </c>
      <c r="CZ326" s="181" t="n">
        <f aca="false">IF(AI326=0,CZ314,AH326+AI326)</f>
        <v>0</v>
      </c>
      <c r="DA326" s="181" t="n">
        <f aca="false">IF(AI326=0,DA314,AI326)</f>
        <v>0</v>
      </c>
      <c r="DB326" s="181" t="n">
        <f aca="false">IF(AI326=0,DB314,AI326+AJ326)</f>
        <v>0</v>
      </c>
      <c r="DD326" s="161" t="n">
        <f aca="false">IF(Z326=0,DD314,Z326)</f>
        <v>0</v>
      </c>
      <c r="DE326" s="161" t="n">
        <f aca="false">IF(AA326=0,DE314,AA326)</f>
        <v>0</v>
      </c>
      <c r="DF326" s="161" t="n">
        <f aca="false">IF(AB326=0,DF314,AB326)</f>
        <v>0</v>
      </c>
      <c r="DG326" s="234"/>
      <c r="DH326" s="180" t="n">
        <f aca="false">IF(BH326=0,EOMONTH(DH325,0)+1,BH326)</f>
        <v>46388</v>
      </c>
      <c r="DI326" s="231" t="n">
        <f aca="false">IF(BI326=0,DI314,BI326)</f>
        <v>0</v>
      </c>
      <c r="DL326" s="180" t="n">
        <f aca="false">IF($M326=0,EOMONTH(DL325,0)+1,$M326)</f>
        <v>46388</v>
      </c>
      <c r="DM326" s="181" t="n">
        <f aca="false">IF(AV326=0,DM314,AU326+AV326)</f>
        <v>0</v>
      </c>
      <c r="DN326" s="181" t="n">
        <f aca="false">IF(AM326=0,DN314,AM326)</f>
        <v>0</v>
      </c>
      <c r="DO326" s="181" t="n">
        <f aca="false">IF(AV326=0,DO314,AV326+AW326)</f>
        <v>0</v>
      </c>
      <c r="DQ326" s="181" t="n">
        <f aca="false">AD326</f>
        <v>0</v>
      </c>
      <c r="DR326" s="181" t="n">
        <f aca="false">AE326</f>
        <v>0</v>
      </c>
      <c r="DS326" s="181" t="n">
        <f aca="false">AF326</f>
        <v>0</v>
      </c>
    </row>
    <row r="327" customFormat="false" ht="14.25" hidden="false" customHeight="false" outlineLevel="0" collapsed="false">
      <c r="A327" s="233" t="n">
        <f aca="false">EDATE(A326,1)</f>
        <v>55488</v>
      </c>
      <c r="B327" s="135" t="n">
        <f aca="false">'Gas Curves'!C331</f>
        <v>0.065534899198699</v>
      </c>
      <c r="C327" s="135"/>
      <c r="D327" s="62"/>
      <c r="E327" s="62"/>
      <c r="F327" s="62"/>
      <c r="G327" s="62"/>
      <c r="H327" s="62"/>
      <c r="I327" s="62"/>
      <c r="J327" s="62"/>
      <c r="K327" s="62"/>
      <c r="L327" s="62"/>
      <c r="M327" s="14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14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0"/>
      <c r="CP327" s="0"/>
      <c r="CQ327" s="0"/>
      <c r="CR327" s="0"/>
      <c r="CS327" s="0"/>
      <c r="CT327" s="0"/>
      <c r="CU327" s="116"/>
      <c r="CV327" s="145"/>
      <c r="CW327" s="234"/>
      <c r="CX327" s="234"/>
      <c r="CY327" s="180" t="n">
        <f aca="false">EOMONTH(CY326,0)+1</f>
        <v>46419</v>
      </c>
      <c r="CZ327" s="181" t="n">
        <f aca="false">IF(AI327=0,CZ315,AH327+AI327)</f>
        <v>0.2</v>
      </c>
      <c r="DA327" s="181" t="n">
        <f aca="false">IF(AI327=0,DA315,AI327)</f>
        <v>0.25</v>
      </c>
      <c r="DB327" s="181" t="n">
        <f aca="false">IF(AI327=0,DB315,AI327+AJ327)</f>
        <v>0.3</v>
      </c>
      <c r="DD327" s="161" t="n">
        <f aca="false">IF(Z327=0,DD315,Z327)</f>
        <v>0.16</v>
      </c>
      <c r="DE327" s="161" t="n">
        <f aca="false">IF(AA327=0,DE315,AA327)</f>
        <v>0.2</v>
      </c>
      <c r="DF327" s="161" t="n">
        <f aca="false">IF(AB327=0,DF315,AB327)</f>
        <v>0.24</v>
      </c>
      <c r="DG327" s="234"/>
      <c r="DH327" s="180" t="n">
        <f aca="false">IF(BH327=0,EOMONTH(DH326,0)+1,BH327)</f>
        <v>46419</v>
      </c>
      <c r="DI327" s="231" t="n">
        <f aca="false">IF(BI327=0,DI315,BI327)</f>
        <v>0.75</v>
      </c>
      <c r="DL327" s="180" t="n">
        <f aca="false">IF($M327=0,EOMONTH(DL326,0)+1,$M327)</f>
        <v>46419</v>
      </c>
      <c r="DM327" s="181" t="n">
        <f aca="false">IF(AV327=0,DM315,AU327+AV327)</f>
        <v>0.12</v>
      </c>
      <c r="DN327" s="181" t="n">
        <f aca="false">IF(AM327=0,DN315,AM327)</f>
        <v>0.15</v>
      </c>
      <c r="DO327" s="181" t="n">
        <f aca="false">IF(AV327=0,DO315,AV327+AW327)</f>
        <v>0.18</v>
      </c>
      <c r="DQ327" s="181" t="n">
        <f aca="false">AD327</f>
        <v>0</v>
      </c>
      <c r="DR327" s="181" t="n">
        <f aca="false">AE327</f>
        <v>0</v>
      </c>
      <c r="DS327" s="181" t="n">
        <f aca="false">AF327</f>
        <v>0</v>
      </c>
    </row>
    <row r="328" customFormat="false" ht="14.25" hidden="false" customHeight="false" outlineLevel="0" collapsed="false">
      <c r="A328" s="233" t="n">
        <f aca="false">EDATE(A327,1)</f>
        <v>55519</v>
      </c>
      <c r="B328" s="135" t="n">
        <f aca="false">'Gas Curves'!C332</f>
        <v>0.065528993620314</v>
      </c>
      <c r="C328" s="135"/>
      <c r="D328" s="62"/>
      <c r="E328" s="62"/>
      <c r="F328" s="62"/>
      <c r="G328" s="62"/>
      <c r="H328" s="62"/>
      <c r="I328" s="62"/>
      <c r="J328" s="62"/>
      <c r="K328" s="62"/>
      <c r="L328" s="62"/>
      <c r="M328" s="14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14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0"/>
      <c r="CP328" s="0"/>
      <c r="CQ328" s="0"/>
      <c r="CR328" s="0"/>
      <c r="CS328" s="0"/>
      <c r="CT328" s="0"/>
      <c r="CU328" s="116"/>
      <c r="CV328" s="145"/>
      <c r="CW328" s="234"/>
      <c r="CX328" s="234"/>
      <c r="CY328" s="180" t="n">
        <f aca="false">EOMONTH(CY327,0)+1</f>
        <v>46447</v>
      </c>
      <c r="CZ328" s="181" t="n">
        <f aca="false">IF(AI328=0,CZ316,AH328+AI328)</f>
        <v>0.2</v>
      </c>
      <c r="DA328" s="181" t="n">
        <f aca="false">IF(AI328=0,DA316,AI328)</f>
        <v>0.25</v>
      </c>
      <c r="DB328" s="181" t="n">
        <f aca="false">IF(AI328=0,DB316,AI328+AJ328)</f>
        <v>0.3</v>
      </c>
      <c r="DD328" s="161" t="n">
        <f aca="false">IF(Z328=0,DD316,Z328)</f>
        <v>0.16</v>
      </c>
      <c r="DE328" s="161" t="n">
        <f aca="false">IF(AA328=0,DE316,AA328)</f>
        <v>0.2</v>
      </c>
      <c r="DF328" s="161" t="n">
        <f aca="false">IF(AB328=0,DF316,AB328)</f>
        <v>0.24</v>
      </c>
      <c r="DG328" s="234"/>
      <c r="DH328" s="180" t="n">
        <f aca="false">IF(BH328=0,EOMONTH(DH327,0)+1,BH328)</f>
        <v>46447</v>
      </c>
      <c r="DI328" s="231" t="n">
        <f aca="false">IF(BI328=0,DI316,BI328)</f>
        <v>0.75</v>
      </c>
      <c r="DL328" s="180" t="n">
        <f aca="false">IF($M328=0,EOMONTH(DL327,0)+1,$M328)</f>
        <v>46447</v>
      </c>
      <c r="DM328" s="181" t="n">
        <f aca="false">IF(AV328=0,DM316,AU328+AV328)</f>
        <v>0.12</v>
      </c>
      <c r="DN328" s="181" t="n">
        <f aca="false">IF(AM328=0,DN316,AM328)</f>
        <v>0.15</v>
      </c>
      <c r="DO328" s="181" t="n">
        <f aca="false">IF(AV328=0,DO316,AV328+AW328)</f>
        <v>0.18</v>
      </c>
      <c r="DQ328" s="181" t="n">
        <f aca="false">AD328</f>
        <v>0</v>
      </c>
      <c r="DR328" s="181" t="n">
        <f aca="false">AE328</f>
        <v>0</v>
      </c>
      <c r="DS328" s="181" t="n">
        <f aca="false">AF328</f>
        <v>0</v>
      </c>
    </row>
    <row r="329" customFormat="false" ht="14.25" hidden="false" customHeight="false" outlineLevel="0" collapsed="false">
      <c r="A329" s="233" t="n">
        <f aca="false">EDATE(A328,1)</f>
        <v>55550</v>
      </c>
      <c r="B329" s="135" t="n">
        <f aca="false">'Gas Curves'!C333</f>
        <v>0.065523278544467</v>
      </c>
      <c r="C329" s="135"/>
      <c r="D329" s="62"/>
      <c r="E329" s="62"/>
      <c r="F329" s="62"/>
      <c r="G329" s="62"/>
      <c r="H329" s="62"/>
      <c r="I329" s="62"/>
      <c r="J329" s="62"/>
      <c r="K329" s="62"/>
      <c r="L329" s="62"/>
      <c r="M329" s="14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14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0"/>
      <c r="CP329" s="0"/>
      <c r="CQ329" s="0"/>
      <c r="CR329" s="0"/>
      <c r="CS329" s="0"/>
      <c r="CT329" s="0"/>
      <c r="CU329" s="116"/>
      <c r="CV329" s="145"/>
      <c r="CW329" s="234"/>
      <c r="CX329" s="234"/>
      <c r="CY329" s="180" t="n">
        <f aca="false">EOMONTH(CY328,0)+1</f>
        <v>46478</v>
      </c>
      <c r="CZ329" s="181" t="n">
        <f aca="false">IF(AI329=0,CZ317,AH329+AI329)</f>
        <v>0.2</v>
      </c>
      <c r="DA329" s="181" t="n">
        <f aca="false">IF(AI329=0,DA317,AI329)</f>
        <v>0.25</v>
      </c>
      <c r="DB329" s="181" t="n">
        <f aca="false">IF(AI329=0,DB317,AI329+AJ329)</f>
        <v>0.3</v>
      </c>
      <c r="DD329" s="161" t="n">
        <f aca="false">IF(Z329=0,DD317,Z329)</f>
        <v>0.16</v>
      </c>
      <c r="DE329" s="161" t="n">
        <f aca="false">IF(AA329=0,DE317,AA329)</f>
        <v>0.2</v>
      </c>
      <c r="DF329" s="161" t="n">
        <f aca="false">IF(AB329=0,DF317,AB329)</f>
        <v>0.24</v>
      </c>
      <c r="DG329" s="234"/>
      <c r="DH329" s="180" t="n">
        <f aca="false">IF(BH329=0,EOMONTH(DH328,0)+1,BH329)</f>
        <v>46478</v>
      </c>
      <c r="DI329" s="231" t="n">
        <f aca="false">IF(BI329=0,DI317,BI329)</f>
        <v>0.75</v>
      </c>
      <c r="DL329" s="180" t="n">
        <f aca="false">IF($M329=0,EOMONTH(DL328,0)+1,$M329)</f>
        <v>46478</v>
      </c>
      <c r="DM329" s="181" t="n">
        <f aca="false">IF(AV329=0,DM317,AU329+AV329)</f>
        <v>0.12</v>
      </c>
      <c r="DN329" s="181" t="n">
        <f aca="false">IF(AM329=0,DN317,AM329)</f>
        <v>0.15</v>
      </c>
      <c r="DO329" s="181" t="n">
        <f aca="false">IF(AV329=0,DO317,AV329+AW329)</f>
        <v>0.18</v>
      </c>
      <c r="DQ329" s="181" t="n">
        <f aca="false">AD329</f>
        <v>0</v>
      </c>
      <c r="DR329" s="181" t="n">
        <f aca="false">AE329</f>
        <v>0</v>
      </c>
      <c r="DS329" s="181" t="n">
        <f aca="false">AF329</f>
        <v>0</v>
      </c>
    </row>
    <row r="330" customFormat="false" ht="14.25" hidden="false" customHeight="false" outlineLevel="0" collapsed="false">
      <c r="A330" s="233" t="n">
        <f aca="false">EDATE(A329,1)</f>
        <v>55579</v>
      </c>
      <c r="B330" s="135" t="n">
        <f aca="false">'Gas Curves'!C334</f>
        <v>0.065517372966104</v>
      </c>
      <c r="C330" s="135"/>
      <c r="D330" s="62"/>
      <c r="E330" s="62"/>
      <c r="F330" s="62"/>
      <c r="G330" s="62"/>
      <c r="H330" s="62"/>
      <c r="I330" s="62"/>
      <c r="J330" s="62"/>
      <c r="K330" s="62"/>
      <c r="L330" s="62"/>
      <c r="M330" s="14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14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0"/>
      <c r="CP330" s="0"/>
      <c r="CQ330" s="0"/>
      <c r="CR330" s="0"/>
      <c r="CS330" s="0"/>
      <c r="CT330" s="0"/>
      <c r="CU330" s="116"/>
      <c r="CV330" s="145"/>
      <c r="CW330" s="234"/>
      <c r="CX330" s="234"/>
      <c r="CY330" s="180" t="n">
        <f aca="false">EOMONTH(CY329,0)+1</f>
        <v>46508</v>
      </c>
      <c r="CZ330" s="181" t="n">
        <f aca="false">IF(AI330=0,CZ318,AH330+AI330)</f>
        <v>0.2</v>
      </c>
      <c r="DA330" s="181" t="n">
        <f aca="false">IF(AI330=0,DA318,AI330)</f>
        <v>0.25</v>
      </c>
      <c r="DB330" s="181" t="n">
        <f aca="false">IF(AI330=0,DB318,AI330+AJ330)</f>
        <v>0.3</v>
      </c>
      <c r="DD330" s="161" t="n">
        <f aca="false">IF(Z330=0,DD318,Z330)</f>
        <v>0.16</v>
      </c>
      <c r="DE330" s="161" t="n">
        <f aca="false">IF(AA330=0,DE318,AA330)</f>
        <v>0.2</v>
      </c>
      <c r="DF330" s="161" t="n">
        <f aca="false">IF(AB330=0,DF318,AB330)</f>
        <v>0.24</v>
      </c>
      <c r="DG330" s="234"/>
      <c r="DH330" s="180" t="n">
        <f aca="false">IF(BH330=0,EOMONTH(DH329,0)+1,BH330)</f>
        <v>46508</v>
      </c>
      <c r="DI330" s="231" t="n">
        <f aca="false">IF(BI330=0,DI318,BI330)</f>
        <v>0.75</v>
      </c>
      <c r="DL330" s="180" t="n">
        <f aca="false">IF($M330=0,EOMONTH(DL329,0)+1,$M330)</f>
        <v>46508</v>
      </c>
      <c r="DM330" s="181" t="n">
        <f aca="false">IF(AV330=0,DM318,AU330+AV330)</f>
        <v>0.12</v>
      </c>
      <c r="DN330" s="181" t="n">
        <f aca="false">IF(AM330=0,DN318,AM330)</f>
        <v>0.15</v>
      </c>
      <c r="DO330" s="181" t="n">
        <f aca="false">IF(AV330=0,DO318,AV330+AW330)</f>
        <v>0.18</v>
      </c>
      <c r="DQ330" s="181" t="n">
        <f aca="false">AD330</f>
        <v>0</v>
      </c>
      <c r="DR330" s="181" t="n">
        <f aca="false">AE330</f>
        <v>0</v>
      </c>
      <c r="DS330" s="181" t="n">
        <f aca="false">AF330</f>
        <v>0</v>
      </c>
    </row>
    <row r="331" customFormat="false" ht="14.25" hidden="false" customHeight="false" outlineLevel="0" collapsed="false">
      <c r="A331" s="233" t="n">
        <f aca="false">EDATE(A330,1)</f>
        <v>55610</v>
      </c>
      <c r="B331" s="135" t="n">
        <f aca="false">'Gas Curves'!C335</f>
        <v>0.065511657890279</v>
      </c>
      <c r="C331" s="135"/>
      <c r="D331" s="62"/>
      <c r="E331" s="62"/>
      <c r="F331" s="62"/>
      <c r="G331" s="62"/>
      <c r="H331" s="62"/>
      <c r="I331" s="62"/>
      <c r="J331" s="62"/>
      <c r="K331" s="62"/>
      <c r="L331" s="62"/>
      <c r="M331" s="14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14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0"/>
      <c r="CP331" s="0"/>
      <c r="CQ331" s="0"/>
      <c r="CR331" s="0"/>
      <c r="CS331" s="0"/>
      <c r="CT331" s="0"/>
      <c r="CU331" s="116"/>
      <c r="CV331" s="145"/>
      <c r="CW331" s="234"/>
      <c r="CX331" s="234"/>
      <c r="CY331" s="180" t="n">
        <f aca="false">EOMONTH(CY330,0)+1</f>
        <v>46539</v>
      </c>
      <c r="CZ331" s="181" t="n">
        <f aca="false">IF(AI331=0,CZ319,AH331+AI331)</f>
        <v>0.2</v>
      </c>
      <c r="DA331" s="181" t="n">
        <f aca="false">IF(AI331=0,DA319,AI331)</f>
        <v>0.25</v>
      </c>
      <c r="DB331" s="181" t="n">
        <f aca="false">IF(AI331=0,DB319,AI331+AJ331)</f>
        <v>0.3</v>
      </c>
      <c r="DD331" s="161" t="n">
        <f aca="false">IF(Z331=0,DD319,Z331)</f>
        <v>0.16</v>
      </c>
      <c r="DE331" s="161" t="n">
        <f aca="false">IF(AA331=0,DE319,AA331)</f>
        <v>0.2</v>
      </c>
      <c r="DF331" s="161" t="n">
        <f aca="false">IF(AB331=0,DF319,AB331)</f>
        <v>0.24</v>
      </c>
      <c r="DG331" s="234"/>
      <c r="DH331" s="180" t="n">
        <f aca="false">IF(BH331=0,EOMONTH(DH330,0)+1,BH331)</f>
        <v>46539</v>
      </c>
      <c r="DI331" s="231" t="n">
        <f aca="false">IF(BI331=0,DI319,BI331)</f>
        <v>0.75</v>
      </c>
      <c r="DL331" s="180" t="n">
        <f aca="false">IF($M331=0,EOMONTH(DL330,0)+1,$M331)</f>
        <v>46539</v>
      </c>
      <c r="DM331" s="181" t="n">
        <f aca="false">IF(AV331=0,DM319,AU331+AV331)</f>
        <v>0.12</v>
      </c>
      <c r="DN331" s="181" t="n">
        <f aca="false">IF(AM331=0,DN319,AM331)</f>
        <v>0.15</v>
      </c>
      <c r="DO331" s="181" t="n">
        <f aca="false">IF(AV331=0,DO319,AV331+AW331)</f>
        <v>0.18</v>
      </c>
      <c r="DQ331" s="181" t="n">
        <f aca="false">AD331</f>
        <v>0</v>
      </c>
      <c r="DR331" s="181" t="n">
        <f aca="false">AE331</f>
        <v>0</v>
      </c>
      <c r="DS331" s="181" t="n">
        <f aca="false">AF331</f>
        <v>0</v>
      </c>
    </row>
    <row r="332" customFormat="false" ht="14.25" hidden="false" customHeight="false" outlineLevel="0" collapsed="false">
      <c r="A332" s="233" t="n">
        <f aca="false">EDATE(A331,1)</f>
        <v>55640</v>
      </c>
      <c r="B332" s="135" t="n">
        <f aca="false">'Gas Curves'!C336</f>
        <v>0.065505752311939</v>
      </c>
      <c r="C332" s="135"/>
      <c r="D332" s="62"/>
      <c r="E332" s="62"/>
      <c r="F332" s="62"/>
      <c r="G332" s="62"/>
      <c r="H332" s="62"/>
      <c r="I332" s="62"/>
      <c r="J332" s="62"/>
      <c r="K332" s="62"/>
      <c r="L332" s="62"/>
      <c r="M332" s="14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14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0"/>
      <c r="CP332" s="0"/>
      <c r="CQ332" s="0"/>
      <c r="CR332" s="0"/>
      <c r="CS332" s="0"/>
      <c r="CT332" s="0"/>
      <c r="CU332" s="116"/>
      <c r="CV332" s="145"/>
      <c r="CW332" s="234"/>
      <c r="CX332" s="234"/>
      <c r="CY332" s="180" t="n">
        <f aca="false">EOMONTH(CY331,0)+1</f>
        <v>46569</v>
      </c>
      <c r="CZ332" s="181" t="n">
        <f aca="false">IF(AI332=0,CZ320,AH332+AI332)</f>
        <v>0.32</v>
      </c>
      <c r="DA332" s="181" t="n">
        <f aca="false">IF(AI332=0,DA320,AI332)</f>
        <v>0.4</v>
      </c>
      <c r="DB332" s="181" t="n">
        <f aca="false">IF(AI332=0,DB320,AI332+AJ332)</f>
        <v>0.48</v>
      </c>
      <c r="DD332" s="161" t="n">
        <f aca="false">IF(Z332=0,DD320,Z332)</f>
        <v>0.24</v>
      </c>
      <c r="DE332" s="161" t="n">
        <f aca="false">IF(AA332=0,DE320,AA332)</f>
        <v>0.3</v>
      </c>
      <c r="DF332" s="161" t="n">
        <f aca="false">IF(AB332=0,DF320,AB332)</f>
        <v>0.36</v>
      </c>
      <c r="DG332" s="234"/>
      <c r="DH332" s="180" t="n">
        <f aca="false">IF(BH332=0,EOMONTH(DH331,0)+1,BH332)</f>
        <v>46569</v>
      </c>
      <c r="DI332" s="231" t="n">
        <f aca="false">IF(BI332=0,DI320,BI332)</f>
        <v>0.75</v>
      </c>
      <c r="DL332" s="180" t="n">
        <f aca="false">IF($M332=0,EOMONTH(DL331,0)+1,$M332)</f>
        <v>46569</v>
      </c>
      <c r="DM332" s="181" t="n">
        <f aca="false">IF(AV332=0,DM320,AU332+AV332)</f>
        <v>0.192</v>
      </c>
      <c r="DN332" s="181" t="n">
        <f aca="false">IF(AM332=0,DN320,AM332)</f>
        <v>0.24</v>
      </c>
      <c r="DO332" s="181" t="n">
        <f aca="false">IF(AV332=0,DO320,AV332+AW332)</f>
        <v>0.288</v>
      </c>
      <c r="DQ332" s="181" t="n">
        <f aca="false">AD332</f>
        <v>0</v>
      </c>
      <c r="DR332" s="181" t="n">
        <f aca="false">AE332</f>
        <v>0</v>
      </c>
      <c r="DS332" s="181" t="n">
        <f aca="false">AF332</f>
        <v>0</v>
      </c>
    </row>
    <row r="333" customFormat="false" ht="14.25" hidden="false" customHeight="false" outlineLevel="0" collapsed="false">
      <c r="A333" s="233" t="n">
        <f aca="false">EDATE(A332,1)</f>
        <v>55671</v>
      </c>
      <c r="B333" s="135" t="n">
        <f aca="false">'Gas Curves'!C337</f>
        <v>0.06549984673361</v>
      </c>
      <c r="C333" s="135"/>
      <c r="D333" s="62"/>
      <c r="E333" s="62"/>
      <c r="F333" s="62"/>
      <c r="G333" s="62"/>
      <c r="H333" s="62"/>
      <c r="I333" s="62"/>
      <c r="J333" s="62"/>
      <c r="K333" s="62"/>
      <c r="L333" s="62"/>
      <c r="M333" s="14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14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0"/>
      <c r="CP333" s="0"/>
      <c r="CQ333" s="0"/>
      <c r="CR333" s="0"/>
      <c r="CS333" s="0"/>
      <c r="CT333" s="0"/>
      <c r="CU333" s="116"/>
      <c r="CV333" s="145"/>
      <c r="CW333" s="234"/>
      <c r="CX333" s="234"/>
      <c r="CY333" s="180" t="n">
        <f aca="false">EOMONTH(CY332,0)+1</f>
        <v>46600</v>
      </c>
      <c r="CZ333" s="181" t="n">
        <f aca="false">IF(AI333=0,CZ321,AH333+AI333)</f>
        <v>0.32</v>
      </c>
      <c r="DA333" s="181" t="n">
        <f aca="false">IF(AI333=0,DA321,AI333)</f>
        <v>0.4</v>
      </c>
      <c r="DB333" s="181" t="n">
        <f aca="false">IF(AI333=0,DB321,AI333+AJ333)</f>
        <v>0.48</v>
      </c>
      <c r="DD333" s="161" t="n">
        <f aca="false">IF(Z333=0,DD321,Z333)</f>
        <v>0.24</v>
      </c>
      <c r="DE333" s="161" t="n">
        <f aca="false">IF(AA333=0,DE321,AA333)</f>
        <v>0.3</v>
      </c>
      <c r="DF333" s="161" t="n">
        <f aca="false">IF(AB333=0,DF321,AB333)</f>
        <v>0.36</v>
      </c>
      <c r="DG333" s="234"/>
      <c r="DH333" s="180" t="n">
        <f aca="false">IF(BH333=0,EOMONTH(DH332,0)+1,BH333)</f>
        <v>46600</v>
      </c>
      <c r="DI333" s="231" t="n">
        <f aca="false">IF(BI333=0,DI321,BI333)</f>
        <v>0.75</v>
      </c>
      <c r="DL333" s="180" t="n">
        <f aca="false">IF($M333=0,EOMONTH(DL332,0)+1,$M333)</f>
        <v>46600</v>
      </c>
      <c r="DM333" s="181" t="n">
        <f aca="false">IF(AV333=0,DM321,AU333+AV333)</f>
        <v>0.192</v>
      </c>
      <c r="DN333" s="181" t="n">
        <f aca="false">IF(AM333=0,DN321,AM333)</f>
        <v>0.24</v>
      </c>
      <c r="DO333" s="181" t="n">
        <f aca="false">IF(AV333=0,DO321,AV333+AW333)</f>
        <v>0.288</v>
      </c>
      <c r="DQ333" s="181" t="n">
        <f aca="false">AD333</f>
        <v>0</v>
      </c>
      <c r="DR333" s="181" t="n">
        <f aca="false">AE333</f>
        <v>0</v>
      </c>
      <c r="DS333" s="181" t="n">
        <f aca="false">AF333</f>
        <v>0</v>
      </c>
    </row>
    <row r="334" customFormat="false" ht="14.25" hidden="false" customHeight="false" outlineLevel="0" collapsed="false">
      <c r="A334" s="233" t="n">
        <f aca="false">EDATE(A333,1)</f>
        <v>55701</v>
      </c>
      <c r="B334" s="135" t="n">
        <f aca="false">'Gas Curves'!C338</f>
        <v>0.065494131657819</v>
      </c>
      <c r="C334" s="135"/>
      <c r="D334" s="62"/>
      <c r="E334" s="62"/>
      <c r="F334" s="62"/>
      <c r="G334" s="62"/>
      <c r="H334" s="62"/>
      <c r="I334" s="62"/>
      <c r="J334" s="62"/>
      <c r="K334" s="62"/>
      <c r="L334" s="62"/>
      <c r="M334" s="14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14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0"/>
      <c r="CP334" s="0"/>
      <c r="CQ334" s="0"/>
      <c r="CR334" s="0"/>
      <c r="CS334" s="0"/>
      <c r="CT334" s="0"/>
      <c r="CU334" s="116"/>
      <c r="CV334" s="145"/>
      <c r="CW334" s="234"/>
      <c r="CX334" s="234"/>
      <c r="CY334" s="180" t="n">
        <f aca="false">EOMONTH(CY333,0)+1</f>
        <v>46631</v>
      </c>
      <c r="CZ334" s="181" t="n">
        <f aca="false">IF(AI334=0,CZ322,AH334+AI334)</f>
        <v>0.2</v>
      </c>
      <c r="DA334" s="181" t="n">
        <f aca="false">IF(AI334=0,DA322,AI334)</f>
        <v>0.25</v>
      </c>
      <c r="DB334" s="181" t="n">
        <f aca="false">IF(AI334=0,DB322,AI334+AJ334)</f>
        <v>0.3</v>
      </c>
      <c r="DD334" s="161" t="n">
        <f aca="false">IF(Z334=0,DD322,Z334)</f>
        <v>0.16</v>
      </c>
      <c r="DE334" s="161" t="n">
        <f aca="false">IF(AA334=0,DE322,AA334)</f>
        <v>0.2</v>
      </c>
      <c r="DF334" s="161" t="n">
        <f aca="false">IF(AB334=0,DF322,AB334)</f>
        <v>0.24</v>
      </c>
      <c r="DG334" s="234"/>
      <c r="DH334" s="180" t="n">
        <f aca="false">IF(BH334=0,EOMONTH(DH333,0)+1,BH334)</f>
        <v>46631</v>
      </c>
      <c r="DI334" s="231" t="n">
        <f aca="false">IF(BI334=0,DI322,BI334)</f>
        <v>0.75</v>
      </c>
      <c r="DL334" s="180" t="n">
        <f aca="false">IF($M334=0,EOMONTH(DL333,0)+1,$M334)</f>
        <v>46631</v>
      </c>
      <c r="DM334" s="181" t="n">
        <f aca="false">IF(AV334=0,DM322,AU334+AV334)</f>
        <v>0.12</v>
      </c>
      <c r="DN334" s="181" t="n">
        <f aca="false">IF(AM334=0,DN322,AM334)</f>
        <v>0.15</v>
      </c>
      <c r="DO334" s="181" t="n">
        <f aca="false">IF(AV334=0,DO322,AV334+AW334)</f>
        <v>0.18</v>
      </c>
      <c r="DQ334" s="181" t="n">
        <f aca="false">AD334</f>
        <v>0</v>
      </c>
      <c r="DR334" s="181" t="n">
        <f aca="false">AE334</f>
        <v>0</v>
      </c>
      <c r="DS334" s="181" t="n">
        <f aca="false">AF334</f>
        <v>0</v>
      </c>
    </row>
    <row r="335" customFormat="false" ht="14.25" hidden="false" customHeight="false" outlineLevel="0" collapsed="false">
      <c r="A335" s="233" t="n">
        <f aca="false">EDATE(A334,1)</f>
        <v>55732</v>
      </c>
      <c r="B335" s="135" t="n">
        <f aca="false">'Gas Curves'!C339</f>
        <v>0.065488226079513</v>
      </c>
      <c r="C335" s="135"/>
      <c r="D335" s="62"/>
      <c r="E335" s="62"/>
      <c r="F335" s="62"/>
      <c r="G335" s="62"/>
      <c r="H335" s="62"/>
      <c r="I335" s="62"/>
      <c r="J335" s="62"/>
      <c r="K335" s="62"/>
      <c r="L335" s="62"/>
      <c r="M335" s="14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14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0"/>
      <c r="CP335" s="0"/>
      <c r="CQ335" s="0"/>
      <c r="CR335" s="0"/>
      <c r="CS335" s="0"/>
      <c r="CT335" s="0"/>
      <c r="CU335" s="116"/>
      <c r="CV335" s="145"/>
      <c r="CW335" s="234"/>
      <c r="CX335" s="234"/>
      <c r="CY335" s="180" t="n">
        <f aca="false">EOMONTH(CY334,0)+1</f>
        <v>46661</v>
      </c>
      <c r="CZ335" s="181" t="n">
        <f aca="false">IF(AI335=0,CZ323,AH335+AI335)</f>
        <v>0.2</v>
      </c>
      <c r="DA335" s="181" t="n">
        <f aca="false">IF(AI335=0,DA323,AI335)</f>
        <v>0.25</v>
      </c>
      <c r="DB335" s="181" t="n">
        <f aca="false">IF(AI335=0,DB323,AI335+AJ335)</f>
        <v>0.3</v>
      </c>
      <c r="DD335" s="161" t="n">
        <f aca="false">IF(Z335=0,DD323,Z335)</f>
        <v>0.16</v>
      </c>
      <c r="DE335" s="161" t="n">
        <f aca="false">IF(AA335=0,DE323,AA335)</f>
        <v>0.2</v>
      </c>
      <c r="DF335" s="161" t="n">
        <f aca="false">IF(AB335=0,DF323,AB335)</f>
        <v>0.24</v>
      </c>
      <c r="DG335" s="234"/>
      <c r="DH335" s="180" t="n">
        <f aca="false">IF(BH335=0,EOMONTH(DH334,0)+1,BH335)</f>
        <v>46661</v>
      </c>
      <c r="DI335" s="231" t="n">
        <f aca="false">IF(BI335=0,DI323,BI335)</f>
        <v>0.75</v>
      </c>
      <c r="DL335" s="180" t="n">
        <f aca="false">IF($M335=0,EOMONTH(DL334,0)+1,$M335)</f>
        <v>46661</v>
      </c>
      <c r="DM335" s="181" t="n">
        <f aca="false">IF(AV335=0,DM323,AU335+AV335)</f>
        <v>0.12</v>
      </c>
      <c r="DN335" s="181" t="n">
        <f aca="false">IF(AM335=0,DN323,AM335)</f>
        <v>0.15</v>
      </c>
      <c r="DO335" s="181" t="n">
        <f aca="false">IF(AV335=0,DO323,AV335+AW335)</f>
        <v>0.18</v>
      </c>
      <c r="DQ335" s="181" t="n">
        <f aca="false">AD335</f>
        <v>0</v>
      </c>
      <c r="DR335" s="181" t="n">
        <f aca="false">AE335</f>
        <v>0</v>
      </c>
      <c r="DS335" s="181" t="n">
        <f aca="false">AF335</f>
        <v>0</v>
      </c>
    </row>
    <row r="336" customFormat="false" ht="14.25" hidden="false" customHeight="false" outlineLevel="0" collapsed="false">
      <c r="A336" s="233" t="n">
        <f aca="false">EDATE(A335,1)</f>
        <v>55763</v>
      </c>
      <c r="B336" s="135" t="n">
        <f aca="false">'Gas Curves'!C340</f>
        <v>0.065482511003743</v>
      </c>
      <c r="C336" s="135"/>
      <c r="D336" s="62"/>
      <c r="E336" s="62"/>
      <c r="F336" s="62"/>
      <c r="G336" s="62"/>
      <c r="H336" s="62"/>
      <c r="I336" s="62"/>
      <c r="J336" s="62"/>
      <c r="K336" s="62"/>
      <c r="L336" s="62"/>
      <c r="M336" s="14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14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0"/>
      <c r="CP336" s="0"/>
      <c r="CQ336" s="0"/>
      <c r="CR336" s="0"/>
      <c r="CS336" s="0"/>
      <c r="CT336" s="0"/>
      <c r="CU336" s="116"/>
      <c r="CV336" s="145"/>
      <c r="CW336" s="234"/>
      <c r="CX336" s="234"/>
      <c r="CY336" s="180" t="n">
        <f aca="false">EOMONTH(CY335,0)+1</f>
        <v>46692</v>
      </c>
      <c r="CZ336" s="181" t="n">
        <f aca="false">IF(AI336=0,CZ324,AH336+AI336)</f>
        <v>0.2</v>
      </c>
      <c r="DA336" s="181" t="n">
        <f aca="false">IF(AI336=0,DA324,AI336)</f>
        <v>0.25</v>
      </c>
      <c r="DB336" s="181" t="n">
        <f aca="false">IF(AI336=0,DB324,AI336+AJ336)</f>
        <v>0.3</v>
      </c>
      <c r="DD336" s="161" t="n">
        <f aca="false">IF(Z336=0,DD324,Z336)</f>
        <v>0.16</v>
      </c>
      <c r="DE336" s="161" t="n">
        <f aca="false">IF(AA336=0,DE324,AA336)</f>
        <v>0.2</v>
      </c>
      <c r="DF336" s="161" t="n">
        <f aca="false">IF(AB336=0,DF324,AB336)</f>
        <v>0.24</v>
      </c>
      <c r="DG336" s="234"/>
      <c r="DH336" s="180" t="n">
        <f aca="false">IF(BH336=0,EOMONTH(DH335,0)+1,BH336)</f>
        <v>46692</v>
      </c>
      <c r="DI336" s="231" t="n">
        <f aca="false">IF(BI336=0,DI324,BI336)</f>
        <v>0.75</v>
      </c>
      <c r="DL336" s="180" t="n">
        <f aca="false">IF($M336=0,EOMONTH(DL335,0)+1,$M336)</f>
        <v>46692</v>
      </c>
      <c r="DM336" s="181" t="n">
        <f aca="false">IF(AV336=0,DM324,AU336+AV336)</f>
        <v>0.12</v>
      </c>
      <c r="DN336" s="181" t="n">
        <f aca="false">IF(AM336=0,DN324,AM336)</f>
        <v>0.15</v>
      </c>
      <c r="DO336" s="181" t="n">
        <f aca="false">IF(AV336=0,DO324,AV336+AW336)</f>
        <v>0.18</v>
      </c>
      <c r="DQ336" s="181" t="n">
        <f aca="false">AD336</f>
        <v>0</v>
      </c>
      <c r="DR336" s="181" t="n">
        <f aca="false">AE336</f>
        <v>0</v>
      </c>
      <c r="DS336" s="181" t="n">
        <f aca="false">AF336</f>
        <v>0</v>
      </c>
    </row>
    <row r="337" customFormat="false" ht="14.25" hidden="false" customHeight="false" outlineLevel="0" collapsed="false">
      <c r="A337" s="233" t="n">
        <f aca="false">EDATE(A336,1)</f>
        <v>55793</v>
      </c>
      <c r="B337" s="135" t="n">
        <f aca="false">'Gas Curves'!C341</f>
        <v>0.06547660542546</v>
      </c>
      <c r="C337" s="135"/>
      <c r="D337" s="62"/>
      <c r="E337" s="62"/>
      <c r="F337" s="62"/>
      <c r="G337" s="62"/>
      <c r="H337" s="62"/>
      <c r="I337" s="62"/>
      <c r="J337" s="62"/>
      <c r="K337" s="62"/>
      <c r="L337" s="62"/>
      <c r="M337" s="14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14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0"/>
      <c r="CP337" s="0"/>
      <c r="CQ337" s="0"/>
      <c r="CR337" s="0"/>
      <c r="CS337" s="0"/>
      <c r="CT337" s="0"/>
      <c r="CU337" s="116"/>
      <c r="CV337" s="145"/>
      <c r="CW337" s="234"/>
      <c r="CX337" s="234"/>
      <c r="CY337" s="180" t="n">
        <f aca="false">EOMONTH(CY336,0)+1</f>
        <v>46722</v>
      </c>
      <c r="CZ337" s="181" t="n">
        <f aca="false">IF(AI337=0,CZ325,AH337+AI337)</f>
        <v>0.2</v>
      </c>
      <c r="DA337" s="181" t="n">
        <f aca="false">IF(AI337=0,DA325,AI337)</f>
        <v>0.25</v>
      </c>
      <c r="DB337" s="181" t="n">
        <f aca="false">IF(AI337=0,DB325,AI337+AJ337)</f>
        <v>0.3</v>
      </c>
      <c r="DD337" s="161" t="n">
        <f aca="false">IF(Z337=0,DD325,Z337)</f>
        <v>0.16</v>
      </c>
      <c r="DE337" s="161" t="n">
        <f aca="false">IF(AA337=0,DE325,AA337)</f>
        <v>0.2</v>
      </c>
      <c r="DF337" s="161" t="n">
        <f aca="false">IF(AB337=0,DF325,AB337)</f>
        <v>0.24</v>
      </c>
      <c r="DG337" s="234"/>
      <c r="DH337" s="180" t="n">
        <f aca="false">IF(BH337=0,EOMONTH(DH336,0)+1,BH337)</f>
        <v>46722</v>
      </c>
      <c r="DI337" s="231" t="n">
        <f aca="false">IF(BI337=0,DI325,BI337)</f>
        <v>0.75</v>
      </c>
      <c r="DL337" s="180" t="n">
        <f aca="false">IF($M337=0,EOMONTH(DL336,0)+1,$M337)</f>
        <v>46722</v>
      </c>
      <c r="DM337" s="181" t="n">
        <f aca="false">IF(AV337=0,DM325,AU337+AV337)</f>
        <v>0.12</v>
      </c>
      <c r="DN337" s="181" t="n">
        <f aca="false">IF(AM337=0,DN325,AM337)</f>
        <v>0.15</v>
      </c>
      <c r="DO337" s="181" t="n">
        <f aca="false">IF(AV337=0,DO325,AV337+AW337)</f>
        <v>0.18</v>
      </c>
      <c r="DQ337" s="181" t="n">
        <f aca="false">AD337</f>
        <v>0</v>
      </c>
      <c r="DR337" s="181" t="n">
        <f aca="false">AE337</f>
        <v>0</v>
      </c>
      <c r="DS337" s="181" t="n">
        <f aca="false">AF337</f>
        <v>0</v>
      </c>
    </row>
    <row r="338" customFormat="false" ht="14.25" hidden="false" customHeight="false" outlineLevel="0" collapsed="false">
      <c r="A338" s="233" t="n">
        <f aca="false">EDATE(A337,1)</f>
        <v>55824</v>
      </c>
      <c r="B338" s="135" t="n">
        <f aca="false">'Gas Curves'!C342</f>
        <v>0.065470699847188</v>
      </c>
      <c r="C338" s="135"/>
      <c r="D338" s="62"/>
      <c r="E338" s="62"/>
      <c r="F338" s="62"/>
      <c r="G338" s="62"/>
      <c r="H338" s="62"/>
      <c r="I338" s="62"/>
      <c r="J338" s="62"/>
      <c r="K338" s="62"/>
      <c r="L338" s="62"/>
      <c r="M338" s="14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14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0"/>
      <c r="CP338" s="0"/>
      <c r="CQ338" s="0"/>
      <c r="CR338" s="0"/>
      <c r="CS338" s="0"/>
      <c r="CT338" s="0"/>
      <c r="CU338" s="116"/>
      <c r="CV338" s="145"/>
      <c r="CW338" s="234"/>
      <c r="CX338" s="234"/>
      <c r="CY338" s="180" t="n">
        <f aca="false">EOMONTH(CY337,0)+1</f>
        <v>46753</v>
      </c>
      <c r="CZ338" s="181" t="n">
        <f aca="false">IF(AI338=0,CZ326,AH338+AI338)</f>
        <v>0</v>
      </c>
      <c r="DA338" s="181" t="n">
        <f aca="false">IF(AI338=0,DA326,AI338)</f>
        <v>0</v>
      </c>
      <c r="DB338" s="181" t="n">
        <f aca="false">IF(AI338=0,DB326,AI338+AJ338)</f>
        <v>0</v>
      </c>
      <c r="DD338" s="161" t="n">
        <f aca="false">IF(Z338=0,DD326,Z338)</f>
        <v>0</v>
      </c>
      <c r="DE338" s="161" t="n">
        <f aca="false">IF(AA338=0,DE326,AA338)</f>
        <v>0</v>
      </c>
      <c r="DF338" s="161" t="n">
        <f aca="false">IF(AB338=0,DF326,AB338)</f>
        <v>0</v>
      </c>
      <c r="DG338" s="234"/>
      <c r="DH338" s="180" t="n">
        <f aca="false">IF(BH338=0,EOMONTH(DH337,0)+1,BH338)</f>
        <v>46753</v>
      </c>
      <c r="DI338" s="231" t="n">
        <f aca="false">IF(BI338=0,DI326,BI338)</f>
        <v>0</v>
      </c>
      <c r="DL338" s="180" t="n">
        <f aca="false">IF($M338=0,EOMONTH(DL337,0)+1,$M338)</f>
        <v>46753</v>
      </c>
      <c r="DM338" s="181" t="n">
        <f aca="false">IF(AV338=0,DM326,AU338+AV338)</f>
        <v>0</v>
      </c>
      <c r="DN338" s="181" t="n">
        <f aca="false">IF(AM338=0,DN326,AM338)</f>
        <v>0</v>
      </c>
      <c r="DO338" s="181" t="n">
        <f aca="false">IF(AV338=0,DO326,AV338+AW338)</f>
        <v>0</v>
      </c>
      <c r="DQ338" s="181" t="n">
        <f aca="false">AD338</f>
        <v>0</v>
      </c>
      <c r="DR338" s="181" t="n">
        <f aca="false">AE338</f>
        <v>0</v>
      </c>
      <c r="DS338" s="181" t="n">
        <f aca="false">AF338</f>
        <v>0</v>
      </c>
    </row>
    <row r="339" customFormat="false" ht="14.25" hidden="false" customHeight="false" outlineLevel="0" collapsed="false">
      <c r="A339" s="233" t="n">
        <f aca="false">EDATE(A338,1)</f>
        <v>55854</v>
      </c>
      <c r="B339" s="135" t="n">
        <f aca="false">'Gas Curves'!C343</f>
        <v>0.065465175273977</v>
      </c>
      <c r="C339" s="135"/>
      <c r="D339" s="62"/>
      <c r="E339" s="62"/>
      <c r="F339" s="62"/>
      <c r="G339" s="62"/>
      <c r="H339" s="62"/>
      <c r="I339" s="62"/>
      <c r="J339" s="62"/>
      <c r="K339" s="62"/>
      <c r="L339" s="62"/>
      <c r="M339" s="14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14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0"/>
      <c r="CP339" s="0"/>
      <c r="CQ339" s="0"/>
      <c r="CR339" s="0"/>
      <c r="CS339" s="0"/>
      <c r="CT339" s="0"/>
      <c r="CU339" s="116"/>
      <c r="CV339" s="145"/>
      <c r="CW339" s="234"/>
      <c r="CX339" s="234"/>
      <c r="CY339" s="180" t="n">
        <f aca="false">EOMONTH(CY338,0)+1</f>
        <v>46784</v>
      </c>
      <c r="CZ339" s="181" t="n">
        <f aca="false">IF(AI339=0,CZ327,AH339+AI339)</f>
        <v>0.2</v>
      </c>
      <c r="DA339" s="181" t="n">
        <f aca="false">IF(AI339=0,DA327,AI339)</f>
        <v>0.25</v>
      </c>
      <c r="DB339" s="181" t="n">
        <f aca="false">IF(AI339=0,DB327,AI339+AJ339)</f>
        <v>0.3</v>
      </c>
      <c r="DD339" s="161" t="n">
        <f aca="false">IF(Z339=0,DD327,Z339)</f>
        <v>0.16</v>
      </c>
      <c r="DE339" s="161" t="n">
        <f aca="false">IF(AA339=0,DE327,AA339)</f>
        <v>0.2</v>
      </c>
      <c r="DF339" s="161" t="n">
        <f aca="false">IF(AB339=0,DF327,AB339)</f>
        <v>0.24</v>
      </c>
      <c r="DG339" s="234"/>
      <c r="DH339" s="180" t="n">
        <f aca="false">IF(BH339=0,EOMONTH(DH338,0)+1,BH339)</f>
        <v>46784</v>
      </c>
      <c r="DI339" s="231" t="n">
        <f aca="false">IF(BI339=0,DI327,BI339)</f>
        <v>0.75</v>
      </c>
      <c r="DL339" s="180" t="n">
        <f aca="false">IF($M339=0,EOMONTH(DL338,0)+1,$M339)</f>
        <v>46784</v>
      </c>
      <c r="DM339" s="181" t="n">
        <f aca="false">IF(AV339=0,DM327,AU339+AV339)</f>
        <v>0.12</v>
      </c>
      <c r="DN339" s="181" t="n">
        <f aca="false">IF(AM339=0,DN327,AM339)</f>
        <v>0.15</v>
      </c>
      <c r="DO339" s="181" t="n">
        <f aca="false">IF(AV339=0,DO327,AV339+AW339)</f>
        <v>0.18</v>
      </c>
      <c r="DQ339" s="181" t="n">
        <f aca="false">AD339</f>
        <v>0</v>
      </c>
      <c r="DR339" s="181" t="n">
        <f aca="false">AE339</f>
        <v>0</v>
      </c>
      <c r="DS339" s="181" t="n">
        <f aca="false">AF339</f>
        <v>0</v>
      </c>
    </row>
    <row r="340" customFormat="false" ht="14.25" hidden="false" customHeight="false" outlineLevel="0" collapsed="false">
      <c r="A340" s="233" t="n">
        <f aca="false">EDATE(A339,1)</f>
        <v>55885</v>
      </c>
      <c r="B340" s="135" t="n">
        <f aca="false">'Gas Curves'!C344</f>
        <v>0.065459269695727</v>
      </c>
      <c r="C340" s="135"/>
      <c r="D340" s="62"/>
      <c r="E340" s="62"/>
      <c r="F340" s="62"/>
      <c r="G340" s="62"/>
      <c r="H340" s="62"/>
      <c r="I340" s="62"/>
      <c r="J340" s="62"/>
      <c r="K340" s="62"/>
      <c r="L340" s="62"/>
      <c r="M340" s="14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14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0"/>
      <c r="CP340" s="0"/>
      <c r="CQ340" s="0"/>
      <c r="CR340" s="0"/>
      <c r="CS340" s="0"/>
      <c r="CT340" s="0"/>
      <c r="CU340" s="116"/>
      <c r="CV340" s="145"/>
      <c r="CW340" s="234"/>
      <c r="CX340" s="234"/>
      <c r="CY340" s="180" t="n">
        <f aca="false">EOMONTH(CY339,0)+1</f>
        <v>46813</v>
      </c>
      <c r="CZ340" s="181" t="n">
        <f aca="false">IF(AI340=0,CZ328,AH340+AI340)</f>
        <v>0.2</v>
      </c>
      <c r="DA340" s="181" t="n">
        <f aca="false">IF(AI340=0,DA328,AI340)</f>
        <v>0.25</v>
      </c>
      <c r="DB340" s="181" t="n">
        <f aca="false">IF(AI340=0,DB328,AI340+AJ340)</f>
        <v>0.3</v>
      </c>
      <c r="DD340" s="161" t="n">
        <f aca="false">IF(Z340=0,DD328,Z340)</f>
        <v>0.16</v>
      </c>
      <c r="DE340" s="161" t="n">
        <f aca="false">IF(AA340=0,DE328,AA340)</f>
        <v>0.2</v>
      </c>
      <c r="DF340" s="161" t="n">
        <f aca="false">IF(AB340=0,DF328,AB340)</f>
        <v>0.24</v>
      </c>
      <c r="DG340" s="234"/>
      <c r="DH340" s="180" t="n">
        <f aca="false">IF(BH340=0,EOMONTH(DH339,0)+1,BH340)</f>
        <v>46813</v>
      </c>
      <c r="DI340" s="231" t="n">
        <f aca="false">IF(BI340=0,DI328,BI340)</f>
        <v>0.75</v>
      </c>
      <c r="DL340" s="180" t="n">
        <f aca="false">IF($M340=0,EOMONTH(DL339,0)+1,$M340)</f>
        <v>46813</v>
      </c>
      <c r="DM340" s="181" t="n">
        <f aca="false">IF(AV340=0,DM328,AU340+AV340)</f>
        <v>0.12</v>
      </c>
      <c r="DN340" s="181" t="n">
        <f aca="false">IF(AM340=0,DN328,AM340)</f>
        <v>0.15</v>
      </c>
      <c r="DO340" s="181" t="n">
        <f aca="false">IF(AV340=0,DO328,AV340+AW340)</f>
        <v>0.18</v>
      </c>
      <c r="DQ340" s="181" t="n">
        <f aca="false">AD340</f>
        <v>0</v>
      </c>
      <c r="DR340" s="181" t="n">
        <f aca="false">AE340</f>
        <v>0</v>
      </c>
      <c r="DS340" s="181" t="n">
        <f aca="false">AF340</f>
        <v>0</v>
      </c>
    </row>
    <row r="341" customFormat="false" ht="14.25" hidden="false" customHeight="false" outlineLevel="0" collapsed="false">
      <c r="A341" s="233" t="n">
        <f aca="false">EDATE(A340,1)</f>
        <v>55916</v>
      </c>
      <c r="B341" s="135" t="n">
        <f aca="false">'Gas Curves'!C345</f>
        <v>0.065453554620013</v>
      </c>
      <c r="C341" s="135"/>
      <c r="D341" s="62"/>
      <c r="E341" s="62"/>
      <c r="F341" s="62"/>
      <c r="G341" s="62"/>
      <c r="H341" s="62"/>
      <c r="I341" s="62"/>
      <c r="J341" s="62"/>
      <c r="K341" s="62"/>
      <c r="L341" s="62"/>
      <c r="M341" s="14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14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0"/>
      <c r="CP341" s="0"/>
      <c r="CQ341" s="0"/>
      <c r="CR341" s="0"/>
      <c r="CS341" s="0"/>
      <c r="CT341" s="0"/>
      <c r="CU341" s="116"/>
      <c r="CV341" s="145"/>
      <c r="CW341" s="234"/>
      <c r="CX341" s="234"/>
      <c r="CY341" s="180" t="n">
        <f aca="false">EOMONTH(CY340,0)+1</f>
        <v>46844</v>
      </c>
      <c r="CZ341" s="181" t="n">
        <f aca="false">IF(AI341=0,CZ329,AH341+AI341)</f>
        <v>0.2</v>
      </c>
      <c r="DA341" s="181" t="n">
        <f aca="false">IF(AI341=0,DA329,AI341)</f>
        <v>0.25</v>
      </c>
      <c r="DB341" s="181" t="n">
        <f aca="false">IF(AI341=0,DB329,AI341+AJ341)</f>
        <v>0.3</v>
      </c>
      <c r="DD341" s="161" t="n">
        <f aca="false">IF(Z341=0,DD329,Z341)</f>
        <v>0.16</v>
      </c>
      <c r="DE341" s="161" t="n">
        <f aca="false">IF(AA341=0,DE329,AA341)</f>
        <v>0.2</v>
      </c>
      <c r="DF341" s="161" t="n">
        <f aca="false">IF(AB341=0,DF329,AB341)</f>
        <v>0.24</v>
      </c>
      <c r="DG341" s="234"/>
      <c r="DH341" s="180" t="n">
        <f aca="false">IF(BH341=0,EOMONTH(DH340,0)+1,BH341)</f>
        <v>46844</v>
      </c>
      <c r="DI341" s="231" t="n">
        <f aca="false">IF(BI341=0,DI329,BI341)</f>
        <v>0.75</v>
      </c>
      <c r="DL341" s="180" t="n">
        <f aca="false">IF($M341=0,EOMONTH(DL340,0)+1,$M341)</f>
        <v>46844</v>
      </c>
      <c r="DM341" s="181" t="n">
        <f aca="false">IF(AV341=0,DM329,AU341+AV341)</f>
        <v>0.12</v>
      </c>
      <c r="DN341" s="181" t="n">
        <f aca="false">IF(AM341=0,DN329,AM341)</f>
        <v>0.15</v>
      </c>
      <c r="DO341" s="181" t="n">
        <f aca="false">IF(AV341=0,DO329,AV341+AW341)</f>
        <v>0.18</v>
      </c>
      <c r="DQ341" s="181" t="n">
        <f aca="false">AD341</f>
        <v>0</v>
      </c>
      <c r="DR341" s="181" t="n">
        <f aca="false">AE341</f>
        <v>0</v>
      </c>
      <c r="DS341" s="181" t="n">
        <f aca="false">AF341</f>
        <v>0</v>
      </c>
    </row>
    <row r="342" customFormat="false" ht="14.25" hidden="false" customHeight="false" outlineLevel="0" collapsed="false">
      <c r="A342" s="233" t="n">
        <f aca="false">EDATE(A341,1)</f>
        <v>55944</v>
      </c>
      <c r="B342" s="135" t="n">
        <f aca="false">'Gas Curves'!C346</f>
        <v>0.065447649041786</v>
      </c>
      <c r="C342" s="135"/>
      <c r="D342" s="62"/>
      <c r="E342" s="62"/>
      <c r="F342" s="62"/>
      <c r="G342" s="62"/>
      <c r="H342" s="62"/>
      <c r="I342" s="62"/>
      <c r="J342" s="62"/>
      <c r="K342" s="62"/>
      <c r="L342" s="62"/>
      <c r="M342" s="14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14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0"/>
      <c r="CP342" s="0"/>
      <c r="CQ342" s="0"/>
      <c r="CR342" s="0"/>
      <c r="CS342" s="0"/>
      <c r="CT342" s="0"/>
      <c r="CU342" s="116"/>
      <c r="CV342" s="145"/>
      <c r="CW342" s="234"/>
      <c r="CX342" s="234"/>
      <c r="CY342" s="180" t="n">
        <f aca="false">EOMONTH(CY341,0)+1</f>
        <v>46874</v>
      </c>
      <c r="CZ342" s="181" t="n">
        <f aca="false">IF(AI342=0,CZ330,AH342+AI342)</f>
        <v>0.2</v>
      </c>
      <c r="DA342" s="181" t="n">
        <f aca="false">IF(AI342=0,DA330,AI342)</f>
        <v>0.25</v>
      </c>
      <c r="DB342" s="181" t="n">
        <f aca="false">IF(AI342=0,DB330,AI342+AJ342)</f>
        <v>0.3</v>
      </c>
      <c r="DD342" s="161" t="n">
        <f aca="false">IF(Z342=0,DD330,Z342)</f>
        <v>0.16</v>
      </c>
      <c r="DE342" s="161" t="n">
        <f aca="false">IF(AA342=0,DE330,AA342)</f>
        <v>0.2</v>
      </c>
      <c r="DF342" s="161" t="n">
        <f aca="false">IF(AB342=0,DF330,AB342)</f>
        <v>0.24</v>
      </c>
      <c r="DG342" s="234"/>
      <c r="DH342" s="180" t="n">
        <f aca="false">IF(BH342=0,EOMONTH(DH341,0)+1,BH342)</f>
        <v>46874</v>
      </c>
      <c r="DI342" s="231" t="n">
        <f aca="false">IF(BI342=0,DI330,BI342)</f>
        <v>0.75</v>
      </c>
      <c r="DL342" s="180" t="n">
        <f aca="false">IF($M342=0,EOMONTH(DL341,0)+1,$M342)</f>
        <v>46874</v>
      </c>
      <c r="DM342" s="181" t="n">
        <f aca="false">IF(AV342=0,DM330,AU342+AV342)</f>
        <v>0.12</v>
      </c>
      <c r="DN342" s="181" t="n">
        <f aca="false">IF(AM342=0,DN330,AM342)</f>
        <v>0.15</v>
      </c>
      <c r="DO342" s="181" t="n">
        <f aca="false">IF(AV342=0,DO330,AV342+AW342)</f>
        <v>0.18</v>
      </c>
      <c r="DQ342" s="181" t="n">
        <f aca="false">AD342</f>
        <v>0</v>
      </c>
      <c r="DR342" s="181" t="n">
        <f aca="false">AE342</f>
        <v>0</v>
      </c>
      <c r="DS342" s="181" t="n">
        <f aca="false">AF342</f>
        <v>0</v>
      </c>
    </row>
    <row r="343" customFormat="false" ht="14.25" hidden="false" customHeight="false" outlineLevel="0" collapsed="false">
      <c r="A343" s="233" t="n">
        <f aca="false">EDATE(A342,1)</f>
        <v>55975</v>
      </c>
      <c r="B343" s="135" t="n">
        <f aca="false">'Gas Curves'!C347</f>
        <v>0.065441933966093</v>
      </c>
      <c r="C343" s="135"/>
      <c r="D343" s="62"/>
      <c r="E343" s="62"/>
      <c r="F343" s="62"/>
      <c r="G343" s="62"/>
      <c r="H343" s="62"/>
      <c r="I343" s="62"/>
      <c r="J343" s="62"/>
      <c r="K343" s="62"/>
      <c r="L343" s="62"/>
      <c r="M343" s="14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14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0"/>
      <c r="CP343" s="0"/>
      <c r="CQ343" s="0"/>
      <c r="CR343" s="0"/>
      <c r="CS343" s="0"/>
      <c r="CT343" s="0"/>
      <c r="CU343" s="116"/>
      <c r="CV343" s="145"/>
      <c r="CW343" s="234"/>
      <c r="CX343" s="234"/>
      <c r="CY343" s="180" t="n">
        <f aca="false">EOMONTH(CY342,0)+1</f>
        <v>46905</v>
      </c>
      <c r="CZ343" s="181" t="n">
        <f aca="false">IF(AI343=0,CZ331,AH343+AI343)</f>
        <v>0.2</v>
      </c>
      <c r="DA343" s="181" t="n">
        <f aca="false">IF(AI343=0,DA331,AI343)</f>
        <v>0.25</v>
      </c>
      <c r="DB343" s="181" t="n">
        <f aca="false">IF(AI343=0,DB331,AI343+AJ343)</f>
        <v>0.3</v>
      </c>
      <c r="DD343" s="161" t="n">
        <f aca="false">IF(Z343=0,DD331,Z343)</f>
        <v>0.16</v>
      </c>
      <c r="DE343" s="161" t="n">
        <f aca="false">IF(AA343=0,DE331,AA343)</f>
        <v>0.2</v>
      </c>
      <c r="DF343" s="161" t="n">
        <f aca="false">IF(AB343=0,DF331,AB343)</f>
        <v>0.24</v>
      </c>
      <c r="DG343" s="234"/>
      <c r="DH343" s="180" t="n">
        <f aca="false">IF(BH343=0,EOMONTH(DH342,0)+1,BH343)</f>
        <v>46905</v>
      </c>
      <c r="DI343" s="231" t="n">
        <f aca="false">IF(BI343=0,DI331,BI343)</f>
        <v>0.75</v>
      </c>
      <c r="DL343" s="180" t="n">
        <f aca="false">IF($M343=0,EOMONTH(DL342,0)+1,$M343)</f>
        <v>46905</v>
      </c>
      <c r="DM343" s="181" t="n">
        <f aca="false">IF(AV343=0,DM331,AU343+AV343)</f>
        <v>0.12</v>
      </c>
      <c r="DN343" s="181" t="n">
        <f aca="false">IF(AM343=0,DN331,AM343)</f>
        <v>0.15</v>
      </c>
      <c r="DO343" s="181" t="n">
        <f aca="false">IF(AV343=0,DO331,AV343+AW343)</f>
        <v>0.18</v>
      </c>
      <c r="DQ343" s="181" t="n">
        <f aca="false">AD343</f>
        <v>0</v>
      </c>
      <c r="DR343" s="181" t="n">
        <f aca="false">AE343</f>
        <v>0</v>
      </c>
      <c r="DS343" s="181" t="n">
        <f aca="false">AF343</f>
        <v>0</v>
      </c>
    </row>
    <row r="344" customFormat="false" ht="14.25" hidden="false" customHeight="false" outlineLevel="0" collapsed="false">
      <c r="A344" s="233" t="n">
        <f aca="false">EDATE(A343,1)</f>
        <v>56005</v>
      </c>
      <c r="B344" s="135" t="n">
        <f aca="false">'Gas Curves'!C348</f>
        <v>0.065436028387889</v>
      </c>
      <c r="C344" s="135"/>
      <c r="D344" s="62"/>
      <c r="E344" s="62"/>
      <c r="F344" s="62"/>
      <c r="G344" s="62"/>
      <c r="H344" s="62"/>
      <c r="I344" s="62"/>
      <c r="J344" s="62"/>
      <c r="K344" s="62"/>
      <c r="L344" s="62"/>
      <c r="M344" s="14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14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0"/>
      <c r="CP344" s="0"/>
      <c r="CQ344" s="0"/>
      <c r="CR344" s="0"/>
      <c r="CS344" s="0"/>
      <c r="CT344" s="0"/>
      <c r="CU344" s="116"/>
      <c r="CV344" s="145"/>
      <c r="CW344" s="234"/>
      <c r="CX344" s="234"/>
      <c r="CY344" s="180" t="n">
        <f aca="false">EOMONTH(CY343,0)+1</f>
        <v>46935</v>
      </c>
      <c r="CZ344" s="181" t="n">
        <f aca="false">IF(AI344=0,CZ332,AH344+AI344)</f>
        <v>0.32</v>
      </c>
      <c r="DA344" s="181" t="n">
        <f aca="false">IF(AI344=0,DA332,AI344)</f>
        <v>0.4</v>
      </c>
      <c r="DB344" s="181" t="n">
        <f aca="false">IF(AI344=0,DB332,AI344+AJ344)</f>
        <v>0.48</v>
      </c>
      <c r="DD344" s="161" t="n">
        <f aca="false">IF(Z344=0,DD332,Z344)</f>
        <v>0.24</v>
      </c>
      <c r="DE344" s="161" t="n">
        <f aca="false">IF(AA344=0,DE332,AA344)</f>
        <v>0.3</v>
      </c>
      <c r="DF344" s="161" t="n">
        <f aca="false">IF(AB344=0,DF332,AB344)</f>
        <v>0.36</v>
      </c>
      <c r="DG344" s="234"/>
      <c r="DH344" s="180" t="n">
        <f aca="false">IF(BH344=0,EOMONTH(DH343,0)+1,BH344)</f>
        <v>46935</v>
      </c>
      <c r="DI344" s="231" t="n">
        <f aca="false">IF(BI344=0,DI332,BI344)</f>
        <v>0.75</v>
      </c>
      <c r="DL344" s="180" t="n">
        <f aca="false">IF($M344=0,EOMONTH(DL343,0)+1,$M344)</f>
        <v>46935</v>
      </c>
      <c r="DM344" s="181" t="n">
        <f aca="false">IF(AV344=0,DM332,AU344+AV344)</f>
        <v>0.192</v>
      </c>
      <c r="DN344" s="181" t="n">
        <f aca="false">IF(AM344=0,DN332,AM344)</f>
        <v>0.24</v>
      </c>
      <c r="DO344" s="181" t="n">
        <f aca="false">IF(AV344=0,DO332,AV344+AW344)</f>
        <v>0.288</v>
      </c>
      <c r="DQ344" s="181" t="n">
        <f aca="false">AD344</f>
        <v>0</v>
      </c>
      <c r="DR344" s="181" t="n">
        <f aca="false">AE344</f>
        <v>0</v>
      </c>
      <c r="DS344" s="181" t="n">
        <f aca="false">AF344</f>
        <v>0</v>
      </c>
    </row>
    <row r="345" customFormat="false" ht="14.25" hidden="false" customHeight="false" outlineLevel="0" collapsed="false">
      <c r="A345" s="233" t="n">
        <f aca="false">EDATE(A344,1)</f>
        <v>56036</v>
      </c>
      <c r="B345" s="135" t="n">
        <f aca="false">'Gas Curves'!C349</f>
        <v>0.065430122809697</v>
      </c>
      <c r="C345" s="135"/>
      <c r="D345" s="62"/>
      <c r="E345" s="62"/>
      <c r="F345" s="62"/>
      <c r="G345" s="62"/>
      <c r="H345" s="62"/>
      <c r="I345" s="62"/>
      <c r="J345" s="62"/>
      <c r="K345" s="62"/>
      <c r="L345" s="62"/>
      <c r="M345" s="14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14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0"/>
      <c r="CP345" s="0"/>
      <c r="CQ345" s="0"/>
      <c r="CR345" s="0"/>
      <c r="CS345" s="0"/>
      <c r="CT345" s="0"/>
      <c r="CU345" s="116"/>
      <c r="CV345" s="145"/>
      <c r="CW345" s="234"/>
      <c r="CX345" s="234"/>
      <c r="CY345" s="180" t="n">
        <f aca="false">EOMONTH(CY344,0)+1</f>
        <v>46966</v>
      </c>
      <c r="CZ345" s="181" t="n">
        <f aca="false">IF(AI345=0,CZ333,AH345+AI345)</f>
        <v>0.32</v>
      </c>
      <c r="DA345" s="181" t="n">
        <f aca="false">IF(AI345=0,DA333,AI345)</f>
        <v>0.4</v>
      </c>
      <c r="DB345" s="181" t="n">
        <f aca="false">IF(AI345=0,DB333,AI345+AJ345)</f>
        <v>0.48</v>
      </c>
      <c r="DD345" s="161" t="n">
        <f aca="false">IF(Z345=0,DD333,Z345)</f>
        <v>0.24</v>
      </c>
      <c r="DE345" s="161" t="n">
        <f aca="false">IF(AA345=0,DE333,AA345)</f>
        <v>0.3</v>
      </c>
      <c r="DF345" s="161" t="n">
        <f aca="false">IF(AB345=0,DF333,AB345)</f>
        <v>0.36</v>
      </c>
      <c r="DG345" s="234"/>
      <c r="DH345" s="180" t="n">
        <f aca="false">IF(BH345=0,EOMONTH(DH344,0)+1,BH345)</f>
        <v>46966</v>
      </c>
      <c r="DI345" s="231" t="n">
        <f aca="false">IF(BI345=0,DI333,BI345)</f>
        <v>0.75</v>
      </c>
      <c r="DL345" s="180" t="n">
        <f aca="false">IF($M345=0,EOMONTH(DL344,0)+1,$M345)</f>
        <v>46966</v>
      </c>
      <c r="DM345" s="181" t="n">
        <f aca="false">IF(AV345=0,DM333,AU345+AV345)</f>
        <v>0.192</v>
      </c>
      <c r="DN345" s="181" t="n">
        <f aca="false">IF(AM345=0,DN333,AM345)</f>
        <v>0.24</v>
      </c>
      <c r="DO345" s="181" t="n">
        <f aca="false">IF(AV345=0,DO333,AV345+AW345)</f>
        <v>0.288</v>
      </c>
      <c r="DQ345" s="181" t="n">
        <f aca="false">AD345</f>
        <v>0</v>
      </c>
      <c r="DR345" s="181" t="n">
        <f aca="false">AE345</f>
        <v>0</v>
      </c>
      <c r="DS345" s="181" t="n">
        <f aca="false">AF345</f>
        <v>0</v>
      </c>
    </row>
    <row r="346" customFormat="false" ht="14.25" hidden="false" customHeight="false" outlineLevel="0" collapsed="false">
      <c r="A346" s="233" t="n">
        <f aca="false">EDATE(A345,1)</f>
        <v>56066</v>
      </c>
      <c r="B346" s="135" t="n">
        <f aca="false">'Gas Curves'!C350</f>
        <v>0.065424407734038</v>
      </c>
      <c r="C346" s="135"/>
      <c r="D346" s="62"/>
      <c r="E346" s="62"/>
      <c r="F346" s="62"/>
      <c r="G346" s="62"/>
      <c r="H346" s="62"/>
      <c r="I346" s="62"/>
      <c r="J346" s="62"/>
      <c r="K346" s="62"/>
      <c r="L346" s="62"/>
      <c r="M346" s="14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14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0"/>
      <c r="CP346" s="0"/>
      <c r="CQ346" s="0"/>
      <c r="CR346" s="0"/>
      <c r="CS346" s="0"/>
      <c r="CT346" s="0"/>
      <c r="CU346" s="116"/>
      <c r="CV346" s="145"/>
      <c r="CW346" s="234"/>
      <c r="CX346" s="234"/>
      <c r="CY346" s="180" t="n">
        <f aca="false">EOMONTH(CY345,0)+1</f>
        <v>46997</v>
      </c>
      <c r="CZ346" s="181" t="n">
        <f aca="false">IF(AI346=0,CZ334,AH346+AI346)</f>
        <v>0.2</v>
      </c>
      <c r="DA346" s="181" t="n">
        <f aca="false">IF(AI346=0,DA334,AI346)</f>
        <v>0.25</v>
      </c>
      <c r="DB346" s="181" t="n">
        <f aca="false">IF(AI346=0,DB334,AI346+AJ346)</f>
        <v>0.3</v>
      </c>
      <c r="DD346" s="161" t="n">
        <f aca="false">IF(Z346=0,DD334,Z346)</f>
        <v>0.16</v>
      </c>
      <c r="DE346" s="161" t="n">
        <f aca="false">IF(AA346=0,DE334,AA346)</f>
        <v>0.2</v>
      </c>
      <c r="DF346" s="161" t="n">
        <f aca="false">IF(AB346=0,DF334,AB346)</f>
        <v>0.24</v>
      </c>
      <c r="DG346" s="234"/>
      <c r="DH346" s="180" t="n">
        <f aca="false">IF(BH346=0,EOMONTH(DH345,0)+1,BH346)</f>
        <v>46997</v>
      </c>
      <c r="DI346" s="231" t="n">
        <f aca="false">IF(BI346=0,DI334,BI346)</f>
        <v>0.75</v>
      </c>
      <c r="DL346" s="180" t="n">
        <f aca="false">IF($M346=0,EOMONTH(DL345,0)+1,$M346)</f>
        <v>46997</v>
      </c>
      <c r="DM346" s="181" t="n">
        <f aca="false">IF(AV346=0,DM334,AU346+AV346)</f>
        <v>0.12</v>
      </c>
      <c r="DN346" s="181" t="n">
        <f aca="false">IF(AM346=0,DN334,AM346)</f>
        <v>0.15</v>
      </c>
      <c r="DO346" s="181" t="n">
        <f aca="false">IF(AV346=0,DO334,AV346+AW346)</f>
        <v>0.18</v>
      </c>
      <c r="DQ346" s="181" t="n">
        <f aca="false">AD346</f>
        <v>0</v>
      </c>
      <c r="DR346" s="181" t="n">
        <f aca="false">AE346</f>
        <v>0</v>
      </c>
      <c r="DS346" s="181" t="n">
        <f aca="false">AF346</f>
        <v>0</v>
      </c>
    </row>
    <row r="347" customFormat="false" ht="14.25" hidden="false" customHeight="false" outlineLevel="0" collapsed="false">
      <c r="A347" s="233" t="n">
        <f aca="false">EDATE(A346,1)</f>
        <v>56097</v>
      </c>
      <c r="B347" s="135" t="n">
        <f aca="false">'Gas Curves'!C351</f>
        <v>0.065418502155868</v>
      </c>
      <c r="C347" s="135"/>
      <c r="D347" s="62"/>
      <c r="E347" s="62"/>
      <c r="F347" s="62"/>
      <c r="G347" s="62"/>
      <c r="H347" s="62"/>
      <c r="I347" s="62"/>
      <c r="J347" s="62"/>
      <c r="K347" s="62"/>
      <c r="L347" s="62"/>
      <c r="M347" s="14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14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0"/>
      <c r="CP347" s="0"/>
      <c r="CQ347" s="0"/>
      <c r="CR347" s="0"/>
      <c r="CS347" s="0"/>
      <c r="CT347" s="0"/>
      <c r="CU347" s="116"/>
      <c r="CV347" s="145"/>
      <c r="CW347" s="234"/>
      <c r="CX347" s="234"/>
      <c r="CY347" s="180" t="n">
        <f aca="false">EOMONTH(CY346,0)+1</f>
        <v>47027</v>
      </c>
      <c r="CZ347" s="181" t="n">
        <f aca="false">IF(AI347=0,CZ335,AH347+AI347)</f>
        <v>0.2</v>
      </c>
      <c r="DA347" s="181" t="n">
        <f aca="false">IF(AI347=0,DA335,AI347)</f>
        <v>0.25</v>
      </c>
      <c r="DB347" s="181" t="n">
        <f aca="false">IF(AI347=0,DB335,AI347+AJ347)</f>
        <v>0.3</v>
      </c>
      <c r="DD347" s="161" t="n">
        <f aca="false">IF(Z347=0,DD335,Z347)</f>
        <v>0.16</v>
      </c>
      <c r="DE347" s="161" t="n">
        <f aca="false">IF(AA347=0,DE335,AA347)</f>
        <v>0.2</v>
      </c>
      <c r="DF347" s="161" t="n">
        <f aca="false">IF(AB347=0,DF335,AB347)</f>
        <v>0.24</v>
      </c>
      <c r="DG347" s="234"/>
      <c r="DH347" s="180" t="n">
        <f aca="false">IF(BH347=0,EOMONTH(DH346,0)+1,BH347)</f>
        <v>47027</v>
      </c>
      <c r="DI347" s="231" t="n">
        <f aca="false">IF(BI347=0,DI335,BI347)</f>
        <v>0.75</v>
      </c>
      <c r="DL347" s="180" t="n">
        <f aca="false">IF($M347=0,EOMONTH(DL346,0)+1,$M347)</f>
        <v>47027</v>
      </c>
      <c r="DM347" s="181" t="n">
        <f aca="false">IF(AV347=0,DM335,AU347+AV347)</f>
        <v>0.12</v>
      </c>
      <c r="DN347" s="181" t="n">
        <f aca="false">IF(AM347=0,DN335,AM347)</f>
        <v>0.15</v>
      </c>
      <c r="DO347" s="181" t="n">
        <f aca="false">IF(AV347=0,DO335,AV347+AW347)</f>
        <v>0.18</v>
      </c>
      <c r="DQ347" s="181" t="n">
        <f aca="false">AD347</f>
        <v>0</v>
      </c>
      <c r="DR347" s="181" t="n">
        <f aca="false">AE347</f>
        <v>0</v>
      </c>
      <c r="DS347" s="181" t="n">
        <f aca="false">AF347</f>
        <v>0</v>
      </c>
    </row>
    <row r="348" customFormat="false" ht="14.25" hidden="false" customHeight="false" outlineLevel="0" collapsed="false">
      <c r="A348" s="233" t="n">
        <f aca="false">EDATE(A347,1)</f>
        <v>56128</v>
      </c>
      <c r="B348" s="135" t="n">
        <f aca="false">'Gas Curves'!C352</f>
        <v>0.06541278708023</v>
      </c>
      <c r="C348" s="135"/>
      <c r="D348" s="62"/>
      <c r="E348" s="62"/>
      <c r="F348" s="62"/>
      <c r="G348" s="62"/>
      <c r="H348" s="62"/>
      <c r="I348" s="62"/>
      <c r="J348" s="62"/>
      <c r="K348" s="62"/>
      <c r="L348" s="62"/>
      <c r="M348" s="14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14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0"/>
      <c r="CP348" s="0"/>
      <c r="CQ348" s="0"/>
      <c r="CR348" s="0"/>
      <c r="CS348" s="0"/>
      <c r="CT348" s="0"/>
      <c r="CU348" s="116"/>
      <c r="CV348" s="145"/>
      <c r="CW348" s="234"/>
      <c r="CX348" s="234"/>
      <c r="CY348" s="180" t="n">
        <f aca="false">EOMONTH(CY347,0)+1</f>
        <v>47058</v>
      </c>
      <c r="CZ348" s="181" t="n">
        <f aca="false">IF(AI348=0,CZ336,AH348+AI348)</f>
        <v>0.2</v>
      </c>
      <c r="DA348" s="181" t="n">
        <f aca="false">IF(AI348=0,DA336,AI348)</f>
        <v>0.25</v>
      </c>
      <c r="DB348" s="181" t="n">
        <f aca="false">IF(AI348=0,DB336,AI348+AJ348)</f>
        <v>0.3</v>
      </c>
      <c r="DD348" s="161" t="n">
        <f aca="false">IF(Z348=0,DD336,Z348)</f>
        <v>0.16</v>
      </c>
      <c r="DE348" s="161" t="n">
        <f aca="false">IF(AA348=0,DE336,AA348)</f>
        <v>0.2</v>
      </c>
      <c r="DF348" s="161" t="n">
        <f aca="false">IF(AB348=0,DF336,AB348)</f>
        <v>0.24</v>
      </c>
      <c r="DG348" s="234"/>
      <c r="DH348" s="180" t="n">
        <f aca="false">IF(BH348=0,EOMONTH(DH347,0)+1,BH348)</f>
        <v>47058</v>
      </c>
      <c r="DI348" s="231" t="n">
        <f aca="false">IF(BI348=0,DI336,BI348)</f>
        <v>0.75</v>
      </c>
      <c r="DL348" s="180" t="n">
        <f aca="false">IF($M348=0,EOMONTH(DL347,0)+1,$M348)</f>
        <v>47058</v>
      </c>
      <c r="DM348" s="181" t="n">
        <f aca="false">IF(AV348=0,DM336,AU348+AV348)</f>
        <v>0.12</v>
      </c>
      <c r="DN348" s="181" t="n">
        <f aca="false">IF(AM348=0,DN336,AM348)</f>
        <v>0.15</v>
      </c>
      <c r="DO348" s="181" t="n">
        <f aca="false">IF(AV348=0,DO336,AV348+AW348)</f>
        <v>0.18</v>
      </c>
      <c r="DQ348" s="181" t="n">
        <f aca="false">AD348</f>
        <v>0</v>
      </c>
      <c r="DR348" s="181" t="n">
        <f aca="false">AE348</f>
        <v>0</v>
      </c>
      <c r="DS348" s="181" t="n">
        <f aca="false">AF348</f>
        <v>0</v>
      </c>
    </row>
    <row r="349" customFormat="false" ht="14.25" hidden="false" customHeight="false" outlineLevel="0" collapsed="false">
      <c r="A349" s="233" t="n">
        <f aca="false">EDATE(A348,1)</f>
        <v>56158</v>
      </c>
      <c r="B349" s="135" t="n">
        <f aca="false">'Gas Curves'!C353</f>
        <v>0.065406881502084</v>
      </c>
      <c r="C349" s="135"/>
      <c r="D349" s="62"/>
      <c r="E349" s="62"/>
      <c r="F349" s="62"/>
      <c r="G349" s="62"/>
      <c r="H349" s="62"/>
      <c r="I349" s="62"/>
      <c r="J349" s="62"/>
      <c r="K349" s="62"/>
      <c r="L349" s="62"/>
      <c r="M349" s="14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14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0"/>
      <c r="CP349" s="0"/>
      <c r="CQ349" s="0"/>
      <c r="CR349" s="0"/>
      <c r="CS349" s="0"/>
      <c r="CT349" s="0"/>
      <c r="CU349" s="116"/>
      <c r="CV349" s="145"/>
      <c r="CW349" s="234"/>
      <c r="CX349" s="234"/>
      <c r="CY349" s="180" t="n">
        <f aca="false">EOMONTH(CY348,0)+1</f>
        <v>47088</v>
      </c>
      <c r="CZ349" s="181" t="n">
        <f aca="false">IF(AI349=0,CZ337,AH349+AI349)</f>
        <v>0.2</v>
      </c>
      <c r="DA349" s="181" t="n">
        <f aca="false">IF(AI349=0,DA337,AI349)</f>
        <v>0.25</v>
      </c>
      <c r="DB349" s="181" t="n">
        <f aca="false">IF(AI349=0,DB337,AI349+AJ349)</f>
        <v>0.3</v>
      </c>
      <c r="DD349" s="161" t="n">
        <f aca="false">IF(Z349=0,DD337,Z349)</f>
        <v>0.16</v>
      </c>
      <c r="DE349" s="161" t="n">
        <f aca="false">IF(AA349=0,DE337,AA349)</f>
        <v>0.2</v>
      </c>
      <c r="DF349" s="161" t="n">
        <f aca="false">IF(AB349=0,DF337,AB349)</f>
        <v>0.24</v>
      </c>
      <c r="DG349" s="234"/>
      <c r="DH349" s="180" t="n">
        <f aca="false">IF(BH349=0,EOMONTH(DH348,0)+1,BH349)</f>
        <v>47088</v>
      </c>
      <c r="DI349" s="231" t="n">
        <f aca="false">IF(BI349=0,DI337,BI349)</f>
        <v>0.75</v>
      </c>
      <c r="DL349" s="180" t="n">
        <f aca="false">IF($M349=0,EOMONTH(DL348,0)+1,$M349)</f>
        <v>47088</v>
      </c>
      <c r="DM349" s="181" t="n">
        <f aca="false">IF(AV349=0,DM337,AU349+AV349)</f>
        <v>0.12</v>
      </c>
      <c r="DN349" s="181" t="n">
        <f aca="false">IF(AM349=0,DN337,AM349)</f>
        <v>0.15</v>
      </c>
      <c r="DO349" s="181" t="n">
        <f aca="false">IF(AV349=0,DO337,AV349+AW349)</f>
        <v>0.18</v>
      </c>
      <c r="DQ349" s="181" t="n">
        <f aca="false">AD349</f>
        <v>0</v>
      </c>
      <c r="DR349" s="181" t="n">
        <f aca="false">AE349</f>
        <v>0</v>
      </c>
      <c r="DS349" s="181" t="n">
        <f aca="false">AF349</f>
        <v>0</v>
      </c>
    </row>
    <row r="350" customFormat="false" ht="14.25" hidden="false" customHeight="false" outlineLevel="0" collapsed="false">
      <c r="A350" s="233" t="n">
        <f aca="false">EDATE(A349,1)</f>
        <v>56189</v>
      </c>
      <c r="B350" s="135" t="n">
        <f aca="false">'Gas Curves'!C354</f>
        <v>0.065400975923949</v>
      </c>
      <c r="C350" s="135"/>
      <c r="D350" s="62"/>
      <c r="E350" s="62"/>
      <c r="F350" s="62"/>
      <c r="G350" s="62"/>
      <c r="H350" s="62"/>
      <c r="I350" s="62"/>
      <c r="J350" s="62"/>
      <c r="K350" s="62"/>
      <c r="L350" s="62"/>
      <c r="M350" s="14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14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0"/>
      <c r="CP350" s="0"/>
      <c r="CQ350" s="0"/>
      <c r="CR350" s="0"/>
      <c r="CS350" s="0"/>
      <c r="CT350" s="0"/>
      <c r="CU350" s="116"/>
      <c r="CV350" s="145"/>
      <c r="CW350" s="234"/>
      <c r="CX350" s="234"/>
      <c r="CY350" s="180" t="n">
        <f aca="false">EOMONTH(CY349,0)+1</f>
        <v>47119</v>
      </c>
      <c r="CZ350" s="181" t="n">
        <f aca="false">IF(AI350=0,CZ338,AH350+AI350)</f>
        <v>0</v>
      </c>
      <c r="DA350" s="181" t="n">
        <f aca="false">IF(AI350=0,DA338,AI350)</f>
        <v>0</v>
      </c>
      <c r="DB350" s="181" t="n">
        <f aca="false">IF(AI350=0,DB338,AI350+AJ350)</f>
        <v>0</v>
      </c>
      <c r="DD350" s="161" t="n">
        <f aca="false">IF(Z350=0,DD338,Z350)</f>
        <v>0</v>
      </c>
      <c r="DE350" s="161" t="n">
        <f aca="false">IF(AA350=0,DE338,AA350)</f>
        <v>0</v>
      </c>
      <c r="DF350" s="161" t="n">
        <f aca="false">IF(AB350=0,DF338,AB350)</f>
        <v>0</v>
      </c>
      <c r="DG350" s="234"/>
      <c r="DH350" s="180" t="n">
        <f aca="false">IF(BH350=0,EOMONTH(DH349,0)+1,BH350)</f>
        <v>47119</v>
      </c>
      <c r="DI350" s="231" t="n">
        <f aca="false">IF(BI350=0,DI338,BI350)</f>
        <v>0</v>
      </c>
      <c r="DL350" s="180" t="n">
        <f aca="false">IF($M350=0,EOMONTH(DL349,0)+1,$M350)</f>
        <v>47119</v>
      </c>
      <c r="DM350" s="181" t="n">
        <f aca="false">IF(AV350=0,DM338,AU350+AV350)</f>
        <v>0</v>
      </c>
      <c r="DN350" s="181" t="n">
        <f aca="false">IF(AM350=0,DN338,AM350)</f>
        <v>0</v>
      </c>
      <c r="DO350" s="181" t="n">
        <f aca="false">IF(AV350=0,DO338,AV350+AW350)</f>
        <v>0</v>
      </c>
      <c r="DQ350" s="181" t="n">
        <f aca="false">AD350</f>
        <v>0</v>
      </c>
      <c r="DR350" s="181" t="n">
        <f aca="false">AE350</f>
        <v>0</v>
      </c>
      <c r="DS350" s="181" t="n">
        <f aca="false">AF350</f>
        <v>0</v>
      </c>
    </row>
    <row r="351" customFormat="false" ht="14.25" hidden="false" customHeight="false" outlineLevel="0" collapsed="false">
      <c r="A351" s="233" t="n">
        <f aca="false">EDATE(A350,1)</f>
        <v>56219</v>
      </c>
      <c r="B351" s="135" t="n">
        <f aca="false">'Gas Curves'!C355</f>
        <v>0.065395641853385</v>
      </c>
      <c r="C351" s="135"/>
      <c r="D351" s="62"/>
      <c r="E351" s="62"/>
      <c r="F351" s="62"/>
      <c r="G351" s="62"/>
      <c r="H351" s="62"/>
      <c r="I351" s="62"/>
      <c r="J351" s="62"/>
      <c r="K351" s="62"/>
      <c r="L351" s="62"/>
      <c r="M351" s="14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14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0"/>
      <c r="CP351" s="0"/>
      <c r="CQ351" s="0"/>
      <c r="CR351" s="0"/>
      <c r="CS351" s="0"/>
      <c r="CT351" s="0"/>
      <c r="CU351" s="116"/>
      <c r="CV351" s="145"/>
      <c r="CW351" s="234"/>
      <c r="CX351" s="234"/>
      <c r="CY351" s="180" t="n">
        <f aca="false">EOMONTH(CY350,0)+1</f>
        <v>47150</v>
      </c>
      <c r="CZ351" s="181" t="n">
        <f aca="false">IF(AI351=0,CZ339,AH351+AI351)</f>
        <v>0.2</v>
      </c>
      <c r="DA351" s="181" t="n">
        <f aca="false">IF(AI351=0,DA339,AI351)</f>
        <v>0.25</v>
      </c>
      <c r="DB351" s="181" t="n">
        <f aca="false">IF(AI351=0,DB339,AI351+AJ351)</f>
        <v>0.3</v>
      </c>
      <c r="DD351" s="161" t="n">
        <f aca="false">IF(Z351=0,DD339,Z351)</f>
        <v>0.16</v>
      </c>
      <c r="DE351" s="161" t="n">
        <f aca="false">IF(AA351=0,DE339,AA351)</f>
        <v>0.2</v>
      </c>
      <c r="DF351" s="161" t="n">
        <f aca="false">IF(AB351=0,DF339,AB351)</f>
        <v>0.24</v>
      </c>
      <c r="DG351" s="234"/>
      <c r="DH351" s="180" t="n">
        <f aca="false">IF(BH351=0,EOMONTH(DH350,0)+1,BH351)</f>
        <v>47150</v>
      </c>
      <c r="DI351" s="231" t="n">
        <f aca="false">IF(BI351=0,DI339,BI351)</f>
        <v>0.75</v>
      </c>
      <c r="DL351" s="180" t="n">
        <f aca="false">IF($M351=0,EOMONTH(DL350,0)+1,$M351)</f>
        <v>47150</v>
      </c>
      <c r="DM351" s="181" t="n">
        <f aca="false">IF(AV351=0,DM339,AU351+AV351)</f>
        <v>0.12</v>
      </c>
      <c r="DN351" s="181" t="n">
        <f aca="false">IF(AM351=0,DN339,AM351)</f>
        <v>0.15</v>
      </c>
      <c r="DO351" s="181" t="n">
        <f aca="false">IF(AV351=0,DO339,AV351+AW351)</f>
        <v>0.18</v>
      </c>
      <c r="DQ351" s="181" t="n">
        <f aca="false">AD351</f>
        <v>0</v>
      </c>
      <c r="DR351" s="181" t="n">
        <f aca="false">AE351</f>
        <v>0</v>
      </c>
      <c r="DS351" s="181" t="n">
        <f aca="false">AF351</f>
        <v>0</v>
      </c>
    </row>
    <row r="352" customFormat="false" ht="14.25" hidden="false" customHeight="false" outlineLevel="0" collapsed="false">
      <c r="A352" s="233" t="n">
        <f aca="false">EDATE(A351,1)</f>
        <v>56250</v>
      </c>
      <c r="B352" s="135" t="n">
        <f aca="false">'Gas Curves'!C356</f>
        <v>0.065389736275271</v>
      </c>
      <c r="C352" s="135"/>
      <c r="D352" s="62"/>
      <c r="E352" s="62"/>
      <c r="F352" s="62"/>
      <c r="G352" s="62"/>
      <c r="H352" s="62"/>
      <c r="I352" s="62"/>
      <c r="J352" s="62"/>
      <c r="K352" s="62"/>
      <c r="L352" s="62"/>
      <c r="M352" s="14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14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0"/>
      <c r="CP352" s="0"/>
      <c r="CQ352" s="0"/>
      <c r="CR352" s="0"/>
      <c r="CS352" s="0"/>
      <c r="CT352" s="0"/>
      <c r="CU352" s="116"/>
      <c r="CV352" s="145"/>
      <c r="CW352" s="234"/>
      <c r="CX352" s="234"/>
      <c r="CY352" s="180" t="n">
        <f aca="false">EOMONTH(CY351,0)+1</f>
        <v>47178</v>
      </c>
      <c r="CZ352" s="181" t="n">
        <f aca="false">IF(AI352=0,CZ340,AH352+AI352)</f>
        <v>0.2</v>
      </c>
      <c r="DA352" s="181" t="n">
        <f aca="false">IF(AI352=0,DA340,AI352)</f>
        <v>0.25</v>
      </c>
      <c r="DB352" s="181" t="n">
        <f aca="false">IF(AI352=0,DB340,AI352+AJ352)</f>
        <v>0.3</v>
      </c>
      <c r="DD352" s="161" t="n">
        <f aca="false">IF(Z352=0,DD340,Z352)</f>
        <v>0.16</v>
      </c>
      <c r="DE352" s="161" t="n">
        <f aca="false">IF(AA352=0,DE340,AA352)</f>
        <v>0.2</v>
      </c>
      <c r="DF352" s="161" t="n">
        <f aca="false">IF(AB352=0,DF340,AB352)</f>
        <v>0.24</v>
      </c>
      <c r="DG352" s="234"/>
      <c r="DH352" s="180" t="n">
        <f aca="false">IF(BH352=0,EOMONTH(DH351,0)+1,BH352)</f>
        <v>47178</v>
      </c>
      <c r="DI352" s="231" t="n">
        <f aca="false">IF(BI352=0,DI340,BI352)</f>
        <v>0.75</v>
      </c>
      <c r="DL352" s="180" t="n">
        <f aca="false">IF($M352=0,EOMONTH(DL351,0)+1,$M352)</f>
        <v>47178</v>
      </c>
      <c r="DM352" s="181" t="n">
        <f aca="false">IF(AV352=0,DM340,AU352+AV352)</f>
        <v>0.12</v>
      </c>
      <c r="DN352" s="181" t="n">
        <f aca="false">IF(AM352=0,DN340,AM352)</f>
        <v>0.15</v>
      </c>
      <c r="DO352" s="181" t="n">
        <f aca="false">IF(AV352=0,DO340,AV352+AW352)</f>
        <v>0.18</v>
      </c>
      <c r="DQ352" s="181" t="n">
        <f aca="false">AD352</f>
        <v>0</v>
      </c>
      <c r="DR352" s="181" t="n">
        <f aca="false">AE352</f>
        <v>0</v>
      </c>
      <c r="DS352" s="181" t="n">
        <f aca="false">AF352</f>
        <v>0</v>
      </c>
    </row>
    <row r="353" customFormat="false" ht="14.25" hidden="false" customHeight="false" outlineLevel="0" collapsed="false">
      <c r="A353" s="233" t="n">
        <f aca="false">EDATE(A352,1)</f>
        <v>56281</v>
      </c>
      <c r="B353" s="135" t="n">
        <f aca="false">'Gas Curves'!C357</f>
        <v>0.065384021199689</v>
      </c>
      <c r="C353" s="135"/>
      <c r="D353" s="62"/>
      <c r="E353" s="62"/>
      <c r="F353" s="62"/>
      <c r="G353" s="62"/>
      <c r="H353" s="62"/>
      <c r="I353" s="62"/>
      <c r="J353" s="62"/>
      <c r="K353" s="62"/>
      <c r="L353" s="62"/>
      <c r="M353" s="14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14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0"/>
      <c r="CP353" s="0"/>
      <c r="CQ353" s="0"/>
      <c r="CR353" s="0"/>
      <c r="CS353" s="0"/>
      <c r="CT353" s="0"/>
      <c r="CU353" s="116"/>
      <c r="CV353" s="145"/>
      <c r="CW353" s="234"/>
      <c r="CX353" s="234"/>
      <c r="CY353" s="180" t="n">
        <f aca="false">EOMONTH(CY352,0)+1</f>
        <v>47209</v>
      </c>
      <c r="CZ353" s="181" t="n">
        <f aca="false">IF(AI353=0,CZ341,AH353+AI353)</f>
        <v>0.2</v>
      </c>
      <c r="DA353" s="181" t="n">
        <f aca="false">IF(AI353=0,DA341,AI353)</f>
        <v>0.25</v>
      </c>
      <c r="DB353" s="181" t="n">
        <f aca="false">IF(AI353=0,DB341,AI353+AJ353)</f>
        <v>0.3</v>
      </c>
      <c r="DD353" s="161" t="n">
        <f aca="false">IF(Z353=0,DD341,Z353)</f>
        <v>0.16</v>
      </c>
      <c r="DE353" s="161" t="n">
        <f aca="false">IF(AA353=0,DE341,AA353)</f>
        <v>0.2</v>
      </c>
      <c r="DF353" s="161" t="n">
        <f aca="false">IF(AB353=0,DF341,AB353)</f>
        <v>0.24</v>
      </c>
      <c r="DG353" s="234"/>
      <c r="DH353" s="180" t="n">
        <f aca="false">IF(BH353=0,EOMONTH(DH352,0)+1,BH353)</f>
        <v>47209</v>
      </c>
      <c r="DI353" s="231" t="n">
        <f aca="false">IF(BI353=0,DI341,BI353)</f>
        <v>0.75</v>
      </c>
      <c r="DL353" s="180" t="n">
        <f aca="false">IF($M353=0,EOMONTH(DL352,0)+1,$M353)</f>
        <v>47209</v>
      </c>
      <c r="DM353" s="181" t="n">
        <f aca="false">IF(AV353=0,DM341,AU353+AV353)</f>
        <v>0.12</v>
      </c>
      <c r="DN353" s="181" t="n">
        <f aca="false">IF(AM353=0,DN341,AM353)</f>
        <v>0.15</v>
      </c>
      <c r="DO353" s="181" t="n">
        <f aca="false">IF(AV353=0,DO341,AV353+AW353)</f>
        <v>0.18</v>
      </c>
      <c r="DQ353" s="181" t="n">
        <f aca="false">AD353</f>
        <v>0</v>
      </c>
      <c r="DR353" s="181" t="n">
        <f aca="false">AE353</f>
        <v>0</v>
      </c>
      <c r="DS353" s="181" t="n">
        <f aca="false">AF353</f>
        <v>0</v>
      </c>
    </row>
    <row r="354" customFormat="false" ht="14.25" hidden="false" customHeight="false" outlineLevel="0" collapsed="false">
      <c r="A354" s="233" t="n">
        <f aca="false">EDATE(A353,1)</f>
        <v>56309</v>
      </c>
      <c r="B354" s="135" t="n">
        <f aca="false">'Gas Curves'!C358</f>
        <v>0.065378115621598</v>
      </c>
      <c r="C354" s="135"/>
      <c r="D354" s="62"/>
      <c r="E354" s="62"/>
      <c r="F354" s="62"/>
      <c r="G354" s="62"/>
      <c r="H354" s="62"/>
      <c r="I354" s="62"/>
      <c r="J354" s="62"/>
      <c r="K354" s="62"/>
      <c r="L354" s="62"/>
      <c r="M354" s="14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14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0"/>
      <c r="CP354" s="0"/>
      <c r="CQ354" s="0"/>
      <c r="CR354" s="0"/>
      <c r="CS354" s="0"/>
      <c r="CT354" s="0"/>
      <c r="CU354" s="116"/>
      <c r="CV354" s="145"/>
      <c r="CW354" s="234"/>
      <c r="CX354" s="234"/>
      <c r="CY354" s="180" t="n">
        <f aca="false">EOMONTH(CY353,0)+1</f>
        <v>47239</v>
      </c>
      <c r="CZ354" s="181" t="n">
        <f aca="false">IF(AI354=0,CZ342,AH354+AI354)</f>
        <v>0.2</v>
      </c>
      <c r="DA354" s="181" t="n">
        <f aca="false">IF(AI354=0,DA342,AI354)</f>
        <v>0.25</v>
      </c>
      <c r="DB354" s="181" t="n">
        <f aca="false">IF(AI354=0,DB342,AI354+AJ354)</f>
        <v>0.3</v>
      </c>
      <c r="DD354" s="161" t="n">
        <f aca="false">IF(Z354=0,DD342,Z354)</f>
        <v>0.16</v>
      </c>
      <c r="DE354" s="161" t="n">
        <f aca="false">IF(AA354=0,DE342,AA354)</f>
        <v>0.2</v>
      </c>
      <c r="DF354" s="161" t="n">
        <f aca="false">IF(AB354=0,DF342,AB354)</f>
        <v>0.24</v>
      </c>
      <c r="DG354" s="234"/>
      <c r="DH354" s="180" t="n">
        <f aca="false">IF(BH354=0,EOMONTH(DH353,0)+1,BH354)</f>
        <v>47239</v>
      </c>
      <c r="DI354" s="231" t="n">
        <f aca="false">IF(BI354=0,DI342,BI354)</f>
        <v>0.75</v>
      </c>
      <c r="DL354" s="180" t="n">
        <f aca="false">IF($M354=0,EOMONTH(DL353,0)+1,$M354)</f>
        <v>47239</v>
      </c>
      <c r="DM354" s="181" t="n">
        <f aca="false">IF(AV354=0,DM342,AU354+AV354)</f>
        <v>0.12</v>
      </c>
      <c r="DN354" s="181" t="n">
        <f aca="false">IF(AM354=0,DN342,AM354)</f>
        <v>0.15</v>
      </c>
      <c r="DO354" s="181" t="n">
        <f aca="false">IF(AV354=0,DO342,AV354+AW354)</f>
        <v>0.18</v>
      </c>
      <c r="DQ354" s="181" t="n">
        <f aca="false">AD354</f>
        <v>0</v>
      </c>
      <c r="DR354" s="181" t="n">
        <f aca="false">AE354</f>
        <v>0</v>
      </c>
      <c r="DS354" s="181" t="n">
        <f aca="false">AF354</f>
        <v>0</v>
      </c>
    </row>
    <row r="355" customFormat="false" ht="14.25" hidden="false" customHeight="false" outlineLevel="0" collapsed="false">
      <c r="A355" s="233" t="n">
        <f aca="false">EDATE(A354,1)</f>
        <v>56340</v>
      </c>
      <c r="B355" s="135" t="n">
        <f aca="false">'Gas Curves'!C359</f>
        <v>0.065372400546037</v>
      </c>
      <c r="C355" s="135"/>
      <c r="D355" s="62"/>
      <c r="E355" s="62"/>
      <c r="F355" s="62"/>
      <c r="G355" s="62"/>
      <c r="H355" s="62"/>
      <c r="I355" s="62"/>
      <c r="J355" s="62"/>
      <c r="K355" s="62"/>
      <c r="L355" s="62"/>
      <c r="M355" s="14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14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0"/>
      <c r="CP355" s="0"/>
      <c r="CQ355" s="0"/>
      <c r="CR355" s="0"/>
      <c r="CS355" s="0"/>
      <c r="CT355" s="0"/>
      <c r="CU355" s="116"/>
      <c r="CV355" s="145"/>
      <c r="CW355" s="234"/>
      <c r="CX355" s="234"/>
      <c r="CY355" s="180" t="n">
        <f aca="false">EOMONTH(CY354,0)+1</f>
        <v>47270</v>
      </c>
      <c r="CZ355" s="181" t="n">
        <f aca="false">IF(AI355=0,CZ343,AH355+AI355)</f>
        <v>0.2</v>
      </c>
      <c r="DA355" s="181" t="n">
        <f aca="false">IF(AI355=0,DA343,AI355)</f>
        <v>0.25</v>
      </c>
      <c r="DB355" s="181" t="n">
        <f aca="false">IF(AI355=0,DB343,AI355+AJ355)</f>
        <v>0.3</v>
      </c>
      <c r="DD355" s="161" t="n">
        <f aca="false">IF(Z355=0,DD343,Z355)</f>
        <v>0.16</v>
      </c>
      <c r="DE355" s="161" t="n">
        <f aca="false">IF(AA355=0,DE343,AA355)</f>
        <v>0.2</v>
      </c>
      <c r="DF355" s="161" t="n">
        <f aca="false">IF(AB355=0,DF343,AB355)</f>
        <v>0.24</v>
      </c>
      <c r="DG355" s="234"/>
      <c r="DH355" s="180" t="n">
        <f aca="false">IF(BH355=0,EOMONTH(DH354,0)+1,BH355)</f>
        <v>47270</v>
      </c>
      <c r="DI355" s="231" t="n">
        <f aca="false">IF(BI355=0,DI343,BI355)</f>
        <v>0.75</v>
      </c>
      <c r="DL355" s="180" t="n">
        <f aca="false">IF($M355=0,EOMONTH(DL354,0)+1,$M355)</f>
        <v>47270</v>
      </c>
      <c r="DM355" s="181" t="n">
        <f aca="false">IF(AV355=0,DM343,AU355+AV355)</f>
        <v>0.12</v>
      </c>
      <c r="DN355" s="181" t="n">
        <f aca="false">IF(AM355=0,DN343,AM355)</f>
        <v>0.15</v>
      </c>
      <c r="DO355" s="181" t="n">
        <f aca="false">IF(AV355=0,DO343,AV355+AW355)</f>
        <v>0.18</v>
      </c>
      <c r="DQ355" s="181" t="n">
        <f aca="false">AD355</f>
        <v>0</v>
      </c>
      <c r="DR355" s="181" t="n">
        <f aca="false">AE355</f>
        <v>0</v>
      </c>
      <c r="DS355" s="181" t="n">
        <f aca="false">AF355</f>
        <v>0</v>
      </c>
    </row>
    <row r="356" customFormat="false" ht="14.25" hidden="false" customHeight="false" outlineLevel="0" collapsed="false">
      <c r="A356" s="233" t="n">
        <f aca="false">EDATE(A355,1)</f>
        <v>56370</v>
      </c>
      <c r="B356" s="135" t="n">
        <f aca="false">'Gas Curves'!C360</f>
        <v>0.065366494967969</v>
      </c>
      <c r="C356" s="135"/>
      <c r="D356" s="62"/>
      <c r="E356" s="62"/>
      <c r="F356" s="62"/>
      <c r="G356" s="62"/>
      <c r="H356" s="62"/>
      <c r="I356" s="62"/>
      <c r="J356" s="62"/>
      <c r="K356" s="62"/>
      <c r="L356" s="62"/>
      <c r="M356" s="14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14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0"/>
      <c r="CP356" s="0"/>
      <c r="CQ356" s="0"/>
      <c r="CR356" s="0"/>
      <c r="CS356" s="0"/>
      <c r="CT356" s="0"/>
      <c r="CU356" s="116"/>
      <c r="CV356" s="145"/>
      <c r="CW356" s="234"/>
      <c r="CX356" s="234"/>
      <c r="CY356" s="180" t="n">
        <f aca="false">EOMONTH(CY355,0)+1</f>
        <v>47300</v>
      </c>
      <c r="CZ356" s="181" t="n">
        <f aca="false">IF(AI356=0,CZ344,AH356+AI356)</f>
        <v>0.32</v>
      </c>
      <c r="DA356" s="181" t="n">
        <f aca="false">IF(AI356=0,DA344,AI356)</f>
        <v>0.4</v>
      </c>
      <c r="DB356" s="181" t="n">
        <f aca="false">IF(AI356=0,DB344,AI356+AJ356)</f>
        <v>0.48</v>
      </c>
      <c r="DD356" s="161" t="n">
        <f aca="false">IF(Z356=0,DD344,Z356)</f>
        <v>0.24</v>
      </c>
      <c r="DE356" s="161" t="n">
        <f aca="false">IF(AA356=0,DE344,AA356)</f>
        <v>0.3</v>
      </c>
      <c r="DF356" s="161" t="n">
        <f aca="false">IF(AB356=0,DF344,AB356)</f>
        <v>0.36</v>
      </c>
      <c r="DG356" s="234"/>
      <c r="DH356" s="180" t="n">
        <f aca="false">IF(BH356=0,EOMONTH(DH355,0)+1,BH356)</f>
        <v>47300</v>
      </c>
      <c r="DI356" s="231" t="n">
        <f aca="false">IF(BI356=0,DI344,BI356)</f>
        <v>0.75</v>
      </c>
      <c r="DL356" s="180" t="n">
        <f aca="false">IF($M356=0,EOMONTH(DL355,0)+1,$M356)</f>
        <v>47300</v>
      </c>
      <c r="DM356" s="181" t="n">
        <f aca="false">IF(AV356=0,DM344,AU356+AV356)</f>
        <v>0.192</v>
      </c>
      <c r="DN356" s="181" t="n">
        <f aca="false">IF(AM356=0,DN344,AM356)</f>
        <v>0.24</v>
      </c>
      <c r="DO356" s="181" t="n">
        <f aca="false">IF(AV356=0,DO344,AV356+AW356)</f>
        <v>0.288</v>
      </c>
      <c r="DQ356" s="181" t="n">
        <f aca="false">AD356</f>
        <v>0</v>
      </c>
      <c r="DR356" s="181" t="n">
        <f aca="false">AE356</f>
        <v>0</v>
      </c>
      <c r="DS356" s="181" t="n">
        <f aca="false">AF356</f>
        <v>0</v>
      </c>
    </row>
    <row r="357" customFormat="false" ht="14.25" hidden="false" customHeight="false" outlineLevel="0" collapsed="false">
      <c r="A357" s="233" t="n">
        <f aca="false">EDATE(A356,1)</f>
        <v>56401</v>
      </c>
      <c r="B357" s="135" t="n">
        <f aca="false">'Gas Curves'!C361</f>
        <v>0.065360589389913</v>
      </c>
      <c r="C357" s="135"/>
      <c r="D357" s="62"/>
      <c r="E357" s="62"/>
      <c r="F357" s="62"/>
      <c r="G357" s="62"/>
      <c r="H357" s="62"/>
      <c r="I357" s="62"/>
      <c r="J357" s="62"/>
      <c r="K357" s="62"/>
      <c r="L357" s="62"/>
      <c r="M357" s="14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14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0"/>
      <c r="CP357" s="0"/>
      <c r="CQ357" s="0"/>
      <c r="CR357" s="0"/>
      <c r="CS357" s="0"/>
      <c r="CT357" s="0"/>
      <c r="CU357" s="116"/>
      <c r="CV357" s="145"/>
      <c r="CW357" s="234"/>
      <c r="CX357" s="234"/>
      <c r="CY357" s="180" t="n">
        <f aca="false">EOMONTH(CY356,0)+1</f>
        <v>47331</v>
      </c>
      <c r="CZ357" s="181" t="n">
        <f aca="false">IF(AI357=0,CZ345,AH357+AI357)</f>
        <v>0.32</v>
      </c>
      <c r="DA357" s="181" t="n">
        <f aca="false">IF(AI357=0,DA345,AI357)</f>
        <v>0.4</v>
      </c>
      <c r="DB357" s="181" t="n">
        <f aca="false">IF(AI357=0,DB345,AI357+AJ357)</f>
        <v>0.48</v>
      </c>
      <c r="DD357" s="161" t="n">
        <f aca="false">IF(Z357=0,DD345,Z357)</f>
        <v>0.24</v>
      </c>
      <c r="DE357" s="161" t="n">
        <f aca="false">IF(AA357=0,DE345,AA357)</f>
        <v>0.3</v>
      </c>
      <c r="DF357" s="161" t="n">
        <f aca="false">IF(AB357=0,DF345,AB357)</f>
        <v>0.36</v>
      </c>
      <c r="DG357" s="234"/>
      <c r="DH357" s="180" t="n">
        <f aca="false">IF(BH357=0,EOMONTH(DH356,0)+1,BH357)</f>
        <v>47331</v>
      </c>
      <c r="DI357" s="231" t="n">
        <f aca="false">IF(BI357=0,DI345,BI357)</f>
        <v>0.75</v>
      </c>
      <c r="DL357" s="180" t="n">
        <f aca="false">IF($M357=0,EOMONTH(DL356,0)+1,$M357)</f>
        <v>47331</v>
      </c>
      <c r="DM357" s="181" t="n">
        <f aca="false">IF(AV357=0,DM345,AU357+AV357)</f>
        <v>0.192</v>
      </c>
      <c r="DN357" s="181" t="n">
        <f aca="false">IF(AM357=0,DN345,AM357)</f>
        <v>0.24</v>
      </c>
      <c r="DO357" s="181" t="n">
        <f aca="false">IF(AV357=0,DO345,AV357+AW357)</f>
        <v>0.288</v>
      </c>
      <c r="DQ357" s="181" t="n">
        <f aca="false">AD357</f>
        <v>0</v>
      </c>
      <c r="DR357" s="181" t="n">
        <f aca="false">AE357</f>
        <v>0</v>
      </c>
      <c r="DS357" s="181" t="n">
        <f aca="false">AF357</f>
        <v>0</v>
      </c>
    </row>
    <row r="358" customFormat="false" ht="14.25" hidden="false" customHeight="false" outlineLevel="0" collapsed="false">
      <c r="A358" s="233" t="n">
        <f aca="false">EDATE(A357,1)</f>
        <v>56431</v>
      </c>
      <c r="B358" s="135" t="n">
        <f aca="false">'Gas Curves'!C362</f>
        <v>0.065354874314385</v>
      </c>
      <c r="C358" s="135"/>
      <c r="D358" s="62"/>
      <c r="E358" s="62"/>
      <c r="F358" s="62"/>
      <c r="G358" s="62"/>
      <c r="H358" s="62"/>
      <c r="I358" s="62"/>
      <c r="J358" s="62"/>
      <c r="K358" s="62"/>
      <c r="L358" s="62"/>
      <c r="M358" s="14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14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0"/>
      <c r="CP358" s="0"/>
      <c r="CQ358" s="0"/>
      <c r="CR358" s="0"/>
      <c r="CS358" s="0"/>
      <c r="CT358" s="0"/>
      <c r="CU358" s="116"/>
      <c r="CV358" s="145"/>
      <c r="CW358" s="234"/>
      <c r="CX358" s="234"/>
      <c r="CY358" s="180" t="n">
        <f aca="false">EOMONTH(CY357,0)+1</f>
        <v>47362</v>
      </c>
      <c r="CZ358" s="181" t="n">
        <f aca="false">IF(AI358=0,CZ346,AH358+AI358)</f>
        <v>0.2</v>
      </c>
      <c r="DA358" s="181" t="n">
        <f aca="false">IF(AI358=0,DA346,AI358)</f>
        <v>0.25</v>
      </c>
      <c r="DB358" s="181" t="n">
        <f aca="false">IF(AI358=0,DB346,AI358+AJ358)</f>
        <v>0.3</v>
      </c>
      <c r="DD358" s="161" t="n">
        <f aca="false">IF(Z358=0,DD346,Z358)</f>
        <v>0.16</v>
      </c>
      <c r="DE358" s="161" t="n">
        <f aca="false">IF(AA358=0,DE346,AA358)</f>
        <v>0.2</v>
      </c>
      <c r="DF358" s="161" t="n">
        <f aca="false">IF(AB358=0,DF346,AB358)</f>
        <v>0.24</v>
      </c>
      <c r="DG358" s="234"/>
      <c r="DH358" s="180" t="n">
        <f aca="false">IF(BH358=0,EOMONTH(DH357,0)+1,BH358)</f>
        <v>47362</v>
      </c>
      <c r="DI358" s="231" t="n">
        <f aca="false">IF(BI358=0,DI346,BI358)</f>
        <v>0.75</v>
      </c>
      <c r="DL358" s="180" t="n">
        <f aca="false">IF($M358=0,EOMONTH(DL357,0)+1,$M358)</f>
        <v>47362</v>
      </c>
      <c r="DM358" s="181" t="n">
        <f aca="false">IF(AV358=0,DM346,AU358+AV358)</f>
        <v>0.12</v>
      </c>
      <c r="DN358" s="181" t="n">
        <f aca="false">IF(AM358=0,DN346,AM358)</f>
        <v>0.15</v>
      </c>
      <c r="DO358" s="181" t="n">
        <f aca="false">IF(AV358=0,DO346,AV358+AW358)</f>
        <v>0.18</v>
      </c>
      <c r="DQ358" s="181" t="n">
        <f aca="false">AD358</f>
        <v>0</v>
      </c>
      <c r="DR358" s="181" t="n">
        <f aca="false">AE358</f>
        <v>0</v>
      </c>
      <c r="DS358" s="181" t="n">
        <f aca="false">AF358</f>
        <v>0</v>
      </c>
    </row>
    <row r="359" customFormat="false" ht="14.25" hidden="false" customHeight="false" outlineLevel="0" collapsed="false">
      <c r="A359" s="233" t="n">
        <f aca="false">EDATE(A358,1)</f>
        <v>56462</v>
      </c>
      <c r="B359" s="135" t="n">
        <f aca="false">'Gas Curves'!C363</f>
        <v>0.065348968736352</v>
      </c>
      <c r="C359" s="135"/>
      <c r="D359" s="62"/>
      <c r="E359" s="62"/>
      <c r="F359" s="62"/>
      <c r="G359" s="62"/>
      <c r="H359" s="62"/>
      <c r="I359" s="62"/>
      <c r="J359" s="62"/>
      <c r="K359" s="62"/>
      <c r="L359" s="62"/>
      <c r="M359" s="14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14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0"/>
      <c r="CP359" s="0"/>
      <c r="CQ359" s="0"/>
      <c r="CR359" s="0"/>
      <c r="CS359" s="0"/>
      <c r="CT359" s="0"/>
      <c r="CU359" s="116"/>
      <c r="CV359" s="145"/>
      <c r="CW359" s="234"/>
      <c r="CX359" s="234"/>
      <c r="CY359" s="180" t="n">
        <f aca="false">EOMONTH(CY358,0)+1</f>
        <v>47392</v>
      </c>
      <c r="CZ359" s="181" t="n">
        <f aca="false">IF(AI359=0,CZ347,AH359+AI359)</f>
        <v>0.2</v>
      </c>
      <c r="DA359" s="181" t="n">
        <f aca="false">IF(AI359=0,DA347,AI359)</f>
        <v>0.25</v>
      </c>
      <c r="DB359" s="181" t="n">
        <f aca="false">IF(AI359=0,DB347,AI359+AJ359)</f>
        <v>0.3</v>
      </c>
      <c r="DD359" s="161" t="n">
        <f aca="false">IF(Z359=0,DD347,Z359)</f>
        <v>0.16</v>
      </c>
      <c r="DE359" s="161" t="n">
        <f aca="false">IF(AA359=0,DE347,AA359)</f>
        <v>0.2</v>
      </c>
      <c r="DF359" s="161" t="n">
        <f aca="false">IF(AB359=0,DF347,AB359)</f>
        <v>0.24</v>
      </c>
      <c r="DG359" s="234"/>
      <c r="DH359" s="180" t="n">
        <f aca="false">IF(BH359=0,EOMONTH(DH358,0)+1,BH359)</f>
        <v>47392</v>
      </c>
      <c r="DI359" s="231" t="n">
        <f aca="false">IF(BI359=0,DI347,BI359)</f>
        <v>0.75</v>
      </c>
      <c r="DL359" s="180" t="n">
        <f aca="false">IF($M359=0,EOMONTH(DL358,0)+1,$M359)</f>
        <v>47392</v>
      </c>
      <c r="DM359" s="181" t="n">
        <f aca="false">IF(AV359=0,DM347,AU359+AV359)</f>
        <v>0.12</v>
      </c>
      <c r="DN359" s="181" t="n">
        <f aca="false">IF(AM359=0,DN347,AM359)</f>
        <v>0.15</v>
      </c>
      <c r="DO359" s="181" t="n">
        <f aca="false">IF(AV359=0,DO347,AV359+AW359)</f>
        <v>0.18</v>
      </c>
      <c r="DQ359" s="181" t="n">
        <f aca="false">AD359</f>
        <v>0</v>
      </c>
      <c r="DR359" s="181" t="n">
        <f aca="false">AE359</f>
        <v>0</v>
      </c>
      <c r="DS359" s="181" t="n">
        <f aca="false">AF359</f>
        <v>0</v>
      </c>
    </row>
    <row r="360" customFormat="false" ht="14.25" hidden="false" customHeight="false" outlineLevel="0" collapsed="false">
      <c r="A360" s="233" t="n">
        <f aca="false">EDATE(A359,1)</f>
        <v>56493</v>
      </c>
      <c r="B360" s="135" t="n">
        <f aca="false">'Gas Curves'!C364</f>
        <v>0.065343253660846</v>
      </c>
      <c r="C360" s="135"/>
      <c r="D360" s="62"/>
      <c r="E360" s="62"/>
      <c r="F360" s="62"/>
      <c r="G360" s="62"/>
      <c r="H360" s="62"/>
      <c r="I360" s="62"/>
      <c r="J360" s="62"/>
      <c r="K360" s="62"/>
      <c r="L360" s="62"/>
      <c r="M360" s="14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14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0"/>
      <c r="CP360" s="0"/>
      <c r="CQ360" s="0"/>
      <c r="CR360" s="0"/>
      <c r="CS360" s="0"/>
      <c r="CT360" s="0"/>
      <c r="CU360" s="116"/>
      <c r="CV360" s="145"/>
      <c r="CW360" s="234"/>
      <c r="CX360" s="234"/>
      <c r="CY360" s="180" t="n">
        <f aca="false">EOMONTH(CY359,0)+1</f>
        <v>47423</v>
      </c>
      <c r="CZ360" s="181" t="n">
        <f aca="false">IF(AI360=0,CZ348,AH360+AI360)</f>
        <v>0.2</v>
      </c>
      <c r="DA360" s="181" t="n">
        <f aca="false">IF(AI360=0,DA348,AI360)</f>
        <v>0.25</v>
      </c>
      <c r="DB360" s="181" t="n">
        <f aca="false">IF(AI360=0,DB348,AI360+AJ360)</f>
        <v>0.3</v>
      </c>
      <c r="DD360" s="161" t="n">
        <f aca="false">IF(Z360=0,DD348,Z360)</f>
        <v>0.16</v>
      </c>
      <c r="DE360" s="161" t="n">
        <f aca="false">IF(AA360=0,DE348,AA360)</f>
        <v>0.2</v>
      </c>
      <c r="DF360" s="161" t="n">
        <f aca="false">IF(AB360=0,DF348,AB360)</f>
        <v>0.24</v>
      </c>
      <c r="DG360" s="234"/>
      <c r="DH360" s="180" t="n">
        <f aca="false">IF(BH360=0,EOMONTH(DH359,0)+1,BH360)</f>
        <v>47423</v>
      </c>
      <c r="DI360" s="231" t="n">
        <f aca="false">IF(BI360=0,DI348,BI360)</f>
        <v>0.75</v>
      </c>
      <c r="DL360" s="180" t="n">
        <f aca="false">IF($M360=0,EOMONTH(DL359,0)+1,$M360)</f>
        <v>47423</v>
      </c>
      <c r="DM360" s="181" t="n">
        <f aca="false">IF(AV360=0,DM348,AU360+AV360)</f>
        <v>0.12</v>
      </c>
      <c r="DN360" s="181" t="n">
        <f aca="false">IF(AM360=0,DN348,AM360)</f>
        <v>0.15</v>
      </c>
      <c r="DO360" s="181" t="n">
        <f aca="false">IF(AV360=0,DO348,AV360+AW360)</f>
        <v>0.18</v>
      </c>
      <c r="DQ360" s="181" t="n">
        <f aca="false">AD360</f>
        <v>0</v>
      </c>
      <c r="DR360" s="181" t="n">
        <f aca="false">AE360</f>
        <v>0</v>
      </c>
      <c r="DS360" s="181" t="n">
        <f aca="false">AF360</f>
        <v>0</v>
      </c>
    </row>
    <row r="361" customFormat="false" ht="14.25" hidden="false" customHeight="false" outlineLevel="0" collapsed="false">
      <c r="A361" s="233" t="n">
        <f aca="false">EDATE(A360,1)</f>
        <v>56523</v>
      </c>
      <c r="B361" s="135" t="n">
        <f aca="false">'Gas Curves'!C365</f>
        <v>0.065337348082835</v>
      </c>
      <c r="C361" s="135"/>
      <c r="D361" s="62"/>
      <c r="E361" s="62"/>
      <c r="F361" s="62"/>
      <c r="G361" s="62"/>
      <c r="H361" s="62"/>
      <c r="I361" s="62"/>
      <c r="J361" s="62"/>
      <c r="K361" s="62"/>
      <c r="L361" s="62"/>
      <c r="M361" s="14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14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0"/>
      <c r="CP361" s="0"/>
      <c r="CQ361" s="0"/>
      <c r="CR361" s="0"/>
      <c r="CS361" s="0"/>
      <c r="CT361" s="0"/>
      <c r="CU361" s="116"/>
      <c r="CV361" s="145"/>
      <c r="CW361" s="234"/>
      <c r="CX361" s="234"/>
      <c r="CY361" s="180" t="n">
        <f aca="false">EOMONTH(CY360,0)+1</f>
        <v>47453</v>
      </c>
      <c r="CZ361" s="181" t="n">
        <f aca="false">IF(AI361=0,CZ349,AH361+AI361)</f>
        <v>0.2</v>
      </c>
      <c r="DA361" s="181" t="n">
        <f aca="false">IF(AI361=0,DA349,AI361)</f>
        <v>0.25</v>
      </c>
      <c r="DB361" s="181" t="n">
        <f aca="false">IF(AI361=0,DB349,AI361+AJ361)</f>
        <v>0.3</v>
      </c>
      <c r="DD361" s="161" t="n">
        <f aca="false">IF(Z361=0,DD349,Z361)</f>
        <v>0.16</v>
      </c>
      <c r="DE361" s="161" t="n">
        <f aca="false">IF(AA361=0,DE349,AA361)</f>
        <v>0.2</v>
      </c>
      <c r="DF361" s="161" t="n">
        <f aca="false">IF(AB361=0,DF349,AB361)</f>
        <v>0.24</v>
      </c>
      <c r="DG361" s="234"/>
      <c r="DH361" s="180" t="n">
        <f aca="false">IF(BH361=0,EOMONTH(DH360,0)+1,BH361)</f>
        <v>47453</v>
      </c>
      <c r="DI361" s="231" t="n">
        <f aca="false">IF(BI361=0,DI349,BI361)</f>
        <v>0.75</v>
      </c>
      <c r="DL361" s="180" t="n">
        <f aca="false">IF($M361=0,EOMONTH(DL360,0)+1,$M361)</f>
        <v>47453</v>
      </c>
      <c r="DM361" s="181" t="n">
        <f aca="false">IF(AV361=0,DM349,AU361+AV361)</f>
        <v>0.12</v>
      </c>
      <c r="DN361" s="181" t="n">
        <f aca="false">IF(AM361=0,DN349,AM361)</f>
        <v>0.15</v>
      </c>
      <c r="DO361" s="181" t="n">
        <f aca="false">IF(AV361=0,DO349,AV361+AW361)</f>
        <v>0.18</v>
      </c>
      <c r="DQ361" s="181" t="n">
        <f aca="false">AD361</f>
        <v>0</v>
      </c>
      <c r="DR361" s="181" t="n">
        <f aca="false">AE361</f>
        <v>0</v>
      </c>
      <c r="DS361" s="181" t="n">
        <f aca="false">AF361</f>
        <v>0</v>
      </c>
    </row>
    <row r="362" customFormat="false" ht="14.25" hidden="false" customHeight="false" outlineLevel="0" collapsed="false">
      <c r="A362" s="233" t="n">
        <f aca="false">EDATE(A361,1)</f>
        <v>56554</v>
      </c>
      <c r="B362" s="135" t="n">
        <f aca="false">'Gas Curves'!C366</f>
        <v>0.065331442504836</v>
      </c>
      <c r="C362" s="135"/>
      <c r="D362" s="62"/>
      <c r="E362" s="62"/>
      <c r="F362" s="62"/>
      <c r="G362" s="62"/>
      <c r="H362" s="62"/>
      <c r="I362" s="62"/>
      <c r="J362" s="62"/>
      <c r="K362" s="62"/>
      <c r="L362" s="62"/>
      <c r="M362" s="14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14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0"/>
      <c r="CP362" s="0"/>
      <c r="CQ362" s="0"/>
      <c r="CR362" s="0"/>
      <c r="CS362" s="0"/>
      <c r="CT362" s="0"/>
      <c r="CU362" s="116"/>
      <c r="CV362" s="145"/>
      <c r="CW362" s="234"/>
      <c r="CX362" s="234"/>
      <c r="CY362" s="180" t="n">
        <f aca="false">EOMONTH(CY361,0)+1</f>
        <v>47484</v>
      </c>
      <c r="CZ362" s="181" t="n">
        <f aca="false">IF(AI362=0,CZ350,AH362+AI362)</f>
        <v>0</v>
      </c>
      <c r="DA362" s="181" t="n">
        <f aca="false">IF(AI362=0,DA350,AI362)</f>
        <v>0</v>
      </c>
      <c r="DB362" s="181" t="n">
        <f aca="false">IF(AI362=0,DB350,AI362+AJ362)</f>
        <v>0</v>
      </c>
      <c r="DD362" s="161" t="n">
        <f aca="false">IF(Z362=0,DD350,Z362)</f>
        <v>0</v>
      </c>
      <c r="DE362" s="161" t="n">
        <f aca="false">IF(AA362=0,DE350,AA362)</f>
        <v>0</v>
      </c>
      <c r="DF362" s="161" t="n">
        <f aca="false">IF(AB362=0,DF350,AB362)</f>
        <v>0</v>
      </c>
      <c r="DG362" s="234"/>
      <c r="DH362" s="180" t="n">
        <f aca="false">IF(BH362=0,EOMONTH(DH361,0)+1,BH362)</f>
        <v>47484</v>
      </c>
      <c r="DI362" s="231" t="n">
        <f aca="false">IF(BI362=0,DI350,BI362)</f>
        <v>0</v>
      </c>
      <c r="DL362" s="180" t="n">
        <f aca="false">IF($M362=0,EOMONTH(DL361,0)+1,$M362)</f>
        <v>47484</v>
      </c>
      <c r="DM362" s="181" t="n">
        <f aca="false">IF(AV362=0,DM350,AU362+AV362)</f>
        <v>0</v>
      </c>
      <c r="DN362" s="181" t="n">
        <f aca="false">IF(AM362=0,DN350,AM362)</f>
        <v>0</v>
      </c>
      <c r="DO362" s="181" t="n">
        <f aca="false">IF(AV362=0,DO350,AV362+AW362)</f>
        <v>0</v>
      </c>
      <c r="DQ362" s="181" t="n">
        <f aca="false">AD362</f>
        <v>0</v>
      </c>
      <c r="DR362" s="181" t="n">
        <f aca="false">AE362</f>
        <v>0</v>
      </c>
      <c r="DS362" s="181" t="n">
        <f aca="false">AF362</f>
        <v>0</v>
      </c>
    </row>
    <row r="363" customFormat="false" ht="14.25" hidden="false" customHeight="false" outlineLevel="0" collapsed="false">
      <c r="A363" s="233" t="n">
        <f aca="false">EDATE(A362,1)</f>
        <v>56584</v>
      </c>
      <c r="B363" s="135" t="n">
        <f aca="false">'Gas Curves'!C367</f>
        <v>0.065326108434395</v>
      </c>
      <c r="C363" s="135"/>
      <c r="D363" s="62"/>
      <c r="E363" s="62"/>
      <c r="F363" s="62"/>
      <c r="G363" s="62"/>
      <c r="H363" s="62"/>
      <c r="I363" s="62"/>
      <c r="J363" s="62"/>
      <c r="K363" s="62"/>
      <c r="L363" s="62"/>
      <c r="M363" s="14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14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0"/>
      <c r="CP363" s="0"/>
      <c r="CQ363" s="0"/>
      <c r="CR363" s="0"/>
      <c r="CS363" s="0"/>
      <c r="CT363" s="0"/>
      <c r="CU363" s="116"/>
      <c r="CV363" s="145"/>
      <c r="CW363" s="234"/>
      <c r="CX363" s="234"/>
      <c r="CY363" s="180" t="n">
        <f aca="false">EOMONTH(CY362,0)+1</f>
        <v>47515</v>
      </c>
      <c r="CZ363" s="181" t="n">
        <f aca="false">IF(AI363=0,CZ351,AH363+AI363)</f>
        <v>0.2</v>
      </c>
      <c r="DA363" s="181" t="n">
        <f aca="false">IF(AI363=0,DA351,AI363)</f>
        <v>0.25</v>
      </c>
      <c r="DB363" s="181" t="n">
        <f aca="false">IF(AI363=0,DB351,AI363+AJ363)</f>
        <v>0.3</v>
      </c>
      <c r="DD363" s="161" t="n">
        <f aca="false">IF(Z363=0,DD351,Z363)</f>
        <v>0.16</v>
      </c>
      <c r="DE363" s="161" t="n">
        <f aca="false">IF(AA363=0,DE351,AA363)</f>
        <v>0.2</v>
      </c>
      <c r="DF363" s="161" t="n">
        <f aca="false">IF(AB363=0,DF351,AB363)</f>
        <v>0.24</v>
      </c>
      <c r="DG363" s="234"/>
      <c r="DH363" s="180" t="n">
        <f aca="false">IF(BH363=0,EOMONTH(DH362,0)+1,BH363)</f>
        <v>47515</v>
      </c>
      <c r="DI363" s="231" t="n">
        <f aca="false">IF(BI363=0,DI351,BI363)</f>
        <v>0.75</v>
      </c>
      <c r="DL363" s="180" t="n">
        <f aca="false">IF($M363=0,EOMONTH(DL362,0)+1,$M363)</f>
        <v>47515</v>
      </c>
      <c r="DM363" s="181" t="n">
        <f aca="false">IF(AV363=0,DM351,AU363+AV363)</f>
        <v>0.12</v>
      </c>
      <c r="DN363" s="181" t="n">
        <f aca="false">IF(AM363=0,DN351,AM363)</f>
        <v>0.15</v>
      </c>
      <c r="DO363" s="181" t="n">
        <f aca="false">IF(AV363=0,DO351,AV363+AW363)</f>
        <v>0.18</v>
      </c>
      <c r="DQ363" s="181" t="n">
        <f aca="false">AD363</f>
        <v>0</v>
      </c>
      <c r="DR363" s="181" t="n">
        <f aca="false">AE363</f>
        <v>0</v>
      </c>
      <c r="DS363" s="181" t="n">
        <f aca="false">AF363</f>
        <v>0</v>
      </c>
    </row>
    <row r="364" customFormat="false" ht="14.25" hidden="false" customHeight="false" outlineLevel="0" collapsed="false">
      <c r="A364" s="233" t="n">
        <f aca="false">EDATE(A363,1)</f>
        <v>56615</v>
      </c>
      <c r="B364" s="135" t="n">
        <f aca="false">'Gas Curves'!C368</f>
        <v>0.065320202856417</v>
      </c>
      <c r="C364" s="135"/>
      <c r="D364" s="62"/>
      <c r="E364" s="62"/>
      <c r="F364" s="62"/>
      <c r="G364" s="62"/>
      <c r="H364" s="62"/>
      <c r="I364" s="62"/>
      <c r="J364" s="62"/>
      <c r="K364" s="62"/>
      <c r="L364" s="62"/>
      <c r="M364" s="14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14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0"/>
      <c r="CP364" s="0"/>
      <c r="CQ364" s="0"/>
      <c r="CR364" s="0"/>
      <c r="CS364" s="0"/>
      <c r="CT364" s="0"/>
      <c r="CU364" s="116"/>
      <c r="CV364" s="145"/>
      <c r="CW364" s="234"/>
      <c r="CX364" s="234"/>
      <c r="CY364" s="180" t="n">
        <f aca="false">EOMONTH(CY363,0)+1</f>
        <v>47543</v>
      </c>
      <c r="CZ364" s="181" t="n">
        <f aca="false">IF(AI364=0,CZ352,AH364+AI364)</f>
        <v>0.2</v>
      </c>
      <c r="DA364" s="181" t="n">
        <f aca="false">IF(AI364=0,DA352,AI364)</f>
        <v>0.25</v>
      </c>
      <c r="DB364" s="181" t="n">
        <f aca="false">IF(AI364=0,DB352,AI364+AJ364)</f>
        <v>0.3</v>
      </c>
      <c r="DD364" s="161" t="n">
        <f aca="false">IF(Z364=0,DD352,Z364)</f>
        <v>0.16</v>
      </c>
      <c r="DE364" s="161" t="n">
        <f aca="false">IF(AA364=0,DE352,AA364)</f>
        <v>0.2</v>
      </c>
      <c r="DF364" s="161" t="n">
        <f aca="false">IF(AB364=0,DF352,AB364)</f>
        <v>0.24</v>
      </c>
      <c r="DG364" s="234"/>
      <c r="DH364" s="180" t="n">
        <f aca="false">IF(BH364=0,EOMONTH(DH363,0)+1,BH364)</f>
        <v>47543</v>
      </c>
      <c r="DI364" s="231" t="n">
        <f aca="false">IF(BI364=0,DI352,BI364)</f>
        <v>0.75</v>
      </c>
      <c r="DL364" s="180" t="n">
        <f aca="false">IF($M364=0,EOMONTH(DL363,0)+1,$M364)</f>
        <v>47543</v>
      </c>
      <c r="DM364" s="181" t="n">
        <f aca="false">IF(AV364=0,DM352,AU364+AV364)</f>
        <v>0.12</v>
      </c>
      <c r="DN364" s="181" t="n">
        <f aca="false">IF(AM364=0,DN352,AM364)</f>
        <v>0.15</v>
      </c>
      <c r="DO364" s="181" t="n">
        <f aca="false">IF(AV364=0,DO352,AV364+AW364)</f>
        <v>0.18</v>
      </c>
      <c r="DQ364" s="181" t="n">
        <f aca="false">AD364</f>
        <v>0</v>
      </c>
      <c r="DR364" s="181" t="n">
        <f aca="false">AE364</f>
        <v>0</v>
      </c>
      <c r="DS364" s="181" t="n">
        <f aca="false">AF364</f>
        <v>0</v>
      </c>
    </row>
    <row r="365" customFormat="false" ht="14.25" hidden="false" customHeight="false" outlineLevel="0" collapsed="false">
      <c r="A365" s="233" t="n">
        <f aca="false">EDATE(A364,1)</f>
        <v>56646</v>
      </c>
      <c r="B365" s="135" t="n">
        <f aca="false">'Gas Curves'!C369</f>
        <v>0.065314487780966</v>
      </c>
      <c r="C365" s="135"/>
      <c r="D365" s="62"/>
      <c r="E365" s="62"/>
      <c r="F365" s="62"/>
      <c r="G365" s="62"/>
      <c r="H365" s="62"/>
      <c r="I365" s="62"/>
      <c r="J365" s="62"/>
      <c r="K365" s="62"/>
      <c r="L365" s="62"/>
      <c r="M365" s="14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14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0"/>
      <c r="CP365" s="0"/>
      <c r="CQ365" s="0"/>
      <c r="CR365" s="0"/>
      <c r="CS365" s="0"/>
      <c r="CT365" s="0"/>
      <c r="CU365" s="116"/>
      <c r="CV365" s="145"/>
      <c r="CW365" s="234"/>
      <c r="CX365" s="234"/>
      <c r="CY365" s="180" t="n">
        <f aca="false">EOMONTH(CY364,0)+1</f>
        <v>47574</v>
      </c>
      <c r="CZ365" s="181" t="n">
        <f aca="false">IF(AI365=0,CZ353,AH365+AI365)</f>
        <v>0.2</v>
      </c>
      <c r="DA365" s="181" t="n">
        <f aca="false">IF(AI365=0,DA353,AI365)</f>
        <v>0.25</v>
      </c>
      <c r="DB365" s="181" t="n">
        <f aca="false">IF(AI365=0,DB353,AI365+AJ365)</f>
        <v>0.3</v>
      </c>
      <c r="DD365" s="161" t="n">
        <f aca="false">IF(Z365=0,DD353,Z365)</f>
        <v>0.16</v>
      </c>
      <c r="DE365" s="161" t="n">
        <f aca="false">IF(AA365=0,DE353,AA365)</f>
        <v>0.2</v>
      </c>
      <c r="DF365" s="161" t="n">
        <f aca="false">IF(AB365=0,DF353,AB365)</f>
        <v>0.24</v>
      </c>
      <c r="DG365" s="234"/>
      <c r="DH365" s="180" t="n">
        <f aca="false">IF(BH365=0,EOMONTH(DH364,0)+1,BH365)</f>
        <v>47574</v>
      </c>
      <c r="DI365" s="231" t="n">
        <f aca="false">IF(BI365=0,DI353,BI365)</f>
        <v>0.75</v>
      </c>
      <c r="DL365" s="180" t="n">
        <f aca="false">IF($M365=0,EOMONTH(DL364,0)+1,$M365)</f>
        <v>47574</v>
      </c>
      <c r="DM365" s="181" t="n">
        <f aca="false">IF(AV365=0,DM353,AU365+AV365)</f>
        <v>0.12</v>
      </c>
      <c r="DN365" s="181" t="n">
        <f aca="false">IF(AM365=0,DN353,AM365)</f>
        <v>0.15</v>
      </c>
      <c r="DO365" s="181" t="n">
        <f aca="false">IF(AV365=0,DO353,AV365+AW365)</f>
        <v>0.18</v>
      </c>
      <c r="DQ365" s="181" t="n">
        <f aca="false">AD365</f>
        <v>0</v>
      </c>
      <c r="DR365" s="181" t="n">
        <f aca="false">AE365</f>
        <v>0</v>
      </c>
      <c r="DS365" s="181" t="n">
        <f aca="false">AF365</f>
        <v>0</v>
      </c>
    </row>
    <row r="366" customFormat="false" ht="14.25" hidden="false" customHeight="false" outlineLevel="0" collapsed="false">
      <c r="A366" s="233" t="n">
        <f aca="false">EDATE(A365,1)</f>
        <v>56674</v>
      </c>
      <c r="B366" s="135" t="n">
        <f aca="false">'Gas Curves'!C370</f>
        <v>0.065308582203012</v>
      </c>
      <c r="C366" s="135"/>
      <c r="D366" s="62"/>
      <c r="E366" s="62"/>
      <c r="F366" s="62"/>
      <c r="G366" s="62"/>
      <c r="H366" s="62"/>
      <c r="I366" s="62"/>
      <c r="J366" s="62"/>
      <c r="K366" s="62"/>
      <c r="L366" s="62"/>
      <c r="M366" s="14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14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0"/>
      <c r="CP366" s="0"/>
      <c r="CQ366" s="0"/>
      <c r="CR366" s="0"/>
      <c r="CS366" s="0"/>
      <c r="CT366" s="0"/>
      <c r="CU366" s="116"/>
      <c r="CV366" s="145"/>
      <c r="CW366" s="234"/>
      <c r="CX366" s="234"/>
      <c r="CY366" s="180" t="n">
        <f aca="false">EOMONTH(CY365,0)+1</f>
        <v>47604</v>
      </c>
      <c r="CZ366" s="181" t="n">
        <f aca="false">IF(AI366=0,CZ354,AH366+AI366)</f>
        <v>0.2</v>
      </c>
      <c r="DA366" s="181" t="n">
        <f aca="false">IF(AI366=0,DA354,AI366)</f>
        <v>0.25</v>
      </c>
      <c r="DB366" s="181" t="n">
        <f aca="false">IF(AI366=0,DB354,AI366+AJ366)</f>
        <v>0.3</v>
      </c>
      <c r="DD366" s="161" t="n">
        <f aca="false">IF(Z366=0,DD354,Z366)</f>
        <v>0.16</v>
      </c>
      <c r="DE366" s="161" t="n">
        <f aca="false">IF(AA366=0,DE354,AA366)</f>
        <v>0.2</v>
      </c>
      <c r="DF366" s="161" t="n">
        <f aca="false">IF(AB366=0,DF354,AB366)</f>
        <v>0.24</v>
      </c>
      <c r="DG366" s="234"/>
      <c r="DH366" s="180" t="n">
        <f aca="false">IF(BH366=0,EOMONTH(DH365,0)+1,BH366)</f>
        <v>47604</v>
      </c>
      <c r="DI366" s="231" t="n">
        <f aca="false">IF(BI366=0,DI354,BI366)</f>
        <v>0.75</v>
      </c>
      <c r="DL366" s="180" t="n">
        <f aca="false">IF($M366=0,EOMONTH(DL365,0)+1,$M366)</f>
        <v>47604</v>
      </c>
      <c r="DM366" s="181" t="n">
        <f aca="false">IF(AV366=0,DM354,AU366+AV366)</f>
        <v>0.12</v>
      </c>
      <c r="DN366" s="181" t="n">
        <f aca="false">IF(AM366=0,DN354,AM366)</f>
        <v>0.15</v>
      </c>
      <c r="DO366" s="181" t="n">
        <f aca="false">IF(AV366=0,DO354,AV366+AW366)</f>
        <v>0.18</v>
      </c>
      <c r="DQ366" s="181" t="n">
        <f aca="false">AD366</f>
        <v>0</v>
      </c>
      <c r="DR366" s="181" t="n">
        <f aca="false">AE366</f>
        <v>0</v>
      </c>
      <c r="DS366" s="181" t="n">
        <f aca="false">AF366</f>
        <v>0</v>
      </c>
    </row>
    <row r="367" customFormat="false" ht="14.25" hidden="false" customHeight="false" outlineLevel="0" collapsed="false">
      <c r="A367" s="233" t="n">
        <f aca="false">EDATE(A366,1)</f>
        <v>56705</v>
      </c>
      <c r="B367" s="135" t="n">
        <f aca="false">'Gas Curves'!C371</f>
        <v>0.065302867127583</v>
      </c>
      <c r="C367" s="135"/>
      <c r="D367" s="62"/>
      <c r="E367" s="62"/>
      <c r="F367" s="62"/>
      <c r="G367" s="62"/>
      <c r="H367" s="62"/>
      <c r="I367" s="62"/>
      <c r="J367" s="62"/>
      <c r="K367" s="62"/>
      <c r="L367" s="62"/>
      <c r="M367" s="14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14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0"/>
      <c r="CP367" s="0"/>
      <c r="CQ367" s="0"/>
      <c r="CR367" s="0"/>
      <c r="CS367" s="0"/>
      <c r="CT367" s="0"/>
      <c r="CU367" s="116"/>
      <c r="CV367" s="145"/>
      <c r="CW367" s="234"/>
      <c r="CX367" s="234"/>
      <c r="CY367" s="180" t="n">
        <f aca="false">EOMONTH(CY366,0)+1</f>
        <v>47635</v>
      </c>
      <c r="CZ367" s="181" t="n">
        <f aca="false">IF(AI367=0,CZ355,AH367+AI367)</f>
        <v>0.2</v>
      </c>
      <c r="DA367" s="181" t="n">
        <f aca="false">IF(AI367=0,DA355,AI367)</f>
        <v>0.25</v>
      </c>
      <c r="DB367" s="181" t="n">
        <f aca="false">IF(AI367=0,DB355,AI367+AJ367)</f>
        <v>0.3</v>
      </c>
      <c r="DD367" s="161" t="n">
        <f aca="false">IF(Z367=0,DD355,Z367)</f>
        <v>0.16</v>
      </c>
      <c r="DE367" s="161" t="n">
        <f aca="false">IF(AA367=0,DE355,AA367)</f>
        <v>0.2</v>
      </c>
      <c r="DF367" s="161" t="n">
        <f aca="false">IF(AB367=0,DF355,AB367)</f>
        <v>0.24</v>
      </c>
      <c r="DG367" s="234"/>
      <c r="DH367" s="180" t="n">
        <f aca="false">IF(BH367=0,EOMONTH(DH366,0)+1,BH367)</f>
        <v>47635</v>
      </c>
      <c r="DI367" s="231" t="n">
        <f aca="false">IF(BI367=0,DI355,BI367)</f>
        <v>0.75</v>
      </c>
      <c r="DL367" s="180" t="n">
        <f aca="false">IF($M367=0,EOMONTH(DL366,0)+1,$M367)</f>
        <v>47635</v>
      </c>
      <c r="DM367" s="181" t="n">
        <f aca="false">IF(AV367=0,DM355,AU367+AV367)</f>
        <v>0.12</v>
      </c>
      <c r="DN367" s="181" t="n">
        <f aca="false">IF(AM367=0,DN355,AM367)</f>
        <v>0.15</v>
      </c>
      <c r="DO367" s="181" t="n">
        <f aca="false">IF(AV367=0,DO355,AV367+AW367)</f>
        <v>0.18</v>
      </c>
      <c r="DQ367" s="181" t="n">
        <f aca="false">AD367</f>
        <v>0</v>
      </c>
      <c r="DR367" s="181" t="n">
        <f aca="false">AE367</f>
        <v>0</v>
      </c>
      <c r="DS367" s="181" t="n">
        <f aca="false">AF367</f>
        <v>0</v>
      </c>
    </row>
    <row r="368" customFormat="false" ht="14.25" hidden="false" customHeight="false" outlineLevel="0" collapsed="false">
      <c r="A368" s="233" t="n">
        <f aca="false">EDATE(A367,1)</f>
        <v>56735</v>
      </c>
      <c r="B368" s="135" t="n">
        <f aca="false">'Gas Curves'!C372</f>
        <v>0.065296961549651</v>
      </c>
      <c r="C368" s="135"/>
      <c r="D368" s="62"/>
      <c r="E368" s="62"/>
      <c r="F368" s="62"/>
      <c r="G368" s="62"/>
      <c r="H368" s="62"/>
      <c r="I368" s="62"/>
      <c r="J368" s="62"/>
      <c r="K368" s="62"/>
      <c r="L368" s="62"/>
      <c r="M368" s="14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14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0"/>
      <c r="CP368" s="0"/>
      <c r="CQ368" s="0"/>
      <c r="CR368" s="0"/>
      <c r="CS368" s="0"/>
      <c r="CT368" s="0"/>
      <c r="CU368" s="116"/>
      <c r="CV368" s="145"/>
      <c r="CW368" s="234"/>
      <c r="CX368" s="234"/>
      <c r="CY368" s="180" t="n">
        <f aca="false">EOMONTH(CY367,0)+1</f>
        <v>47665</v>
      </c>
      <c r="CZ368" s="181" t="n">
        <f aca="false">IF(AI368=0,CZ356,AH368+AI368)</f>
        <v>0.32</v>
      </c>
      <c r="DA368" s="181" t="n">
        <f aca="false">IF(AI368=0,DA356,AI368)</f>
        <v>0.4</v>
      </c>
      <c r="DB368" s="181" t="n">
        <f aca="false">IF(AI368=0,DB356,AI368+AJ368)</f>
        <v>0.48</v>
      </c>
      <c r="DD368" s="161" t="n">
        <f aca="false">IF(Z368=0,DD356,Z368)</f>
        <v>0.24</v>
      </c>
      <c r="DE368" s="161" t="n">
        <f aca="false">IF(AA368=0,DE356,AA368)</f>
        <v>0.3</v>
      </c>
      <c r="DF368" s="161" t="n">
        <f aca="false">IF(AB368=0,DF356,AB368)</f>
        <v>0.36</v>
      </c>
      <c r="DG368" s="234"/>
      <c r="DH368" s="180" t="n">
        <f aca="false">IF(BH368=0,EOMONTH(DH367,0)+1,BH368)</f>
        <v>47665</v>
      </c>
      <c r="DI368" s="231" t="n">
        <f aca="false">IF(BI368=0,DI356,BI368)</f>
        <v>0.75</v>
      </c>
      <c r="DL368" s="180" t="n">
        <f aca="false">IF($M368=0,EOMONTH(DL367,0)+1,$M368)</f>
        <v>47665</v>
      </c>
      <c r="DM368" s="181" t="n">
        <f aca="false">IF(AV368=0,DM356,AU368+AV368)</f>
        <v>0.192</v>
      </c>
      <c r="DN368" s="181" t="n">
        <f aca="false">IF(AM368=0,DN356,AM368)</f>
        <v>0.24</v>
      </c>
      <c r="DO368" s="181" t="n">
        <f aca="false">IF(AV368=0,DO356,AV368+AW368)</f>
        <v>0.288</v>
      </c>
      <c r="DQ368" s="181" t="n">
        <f aca="false">AD368</f>
        <v>0</v>
      </c>
      <c r="DR368" s="181" t="n">
        <f aca="false">AE368</f>
        <v>0</v>
      </c>
      <c r="DS368" s="181" t="n">
        <f aca="false">AF368</f>
        <v>0</v>
      </c>
    </row>
    <row r="369" customFormat="false" ht="14.25" hidden="false" customHeight="false" outlineLevel="0" collapsed="false">
      <c r="A369" s="233" t="n">
        <f aca="false">EDATE(A368,1)</f>
        <v>56766</v>
      </c>
      <c r="B369" s="135" t="n">
        <f aca="false">'Gas Curves'!C373</f>
        <v>0.065291055971731</v>
      </c>
      <c r="C369" s="135"/>
      <c r="D369" s="62"/>
      <c r="E369" s="62"/>
      <c r="F369" s="62"/>
      <c r="G369" s="62"/>
      <c r="H369" s="62"/>
      <c r="I369" s="62"/>
      <c r="J369" s="62"/>
      <c r="K369" s="62"/>
      <c r="L369" s="62"/>
      <c r="M369" s="14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14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0"/>
      <c r="CP369" s="0"/>
      <c r="CQ369" s="0"/>
      <c r="CR369" s="0"/>
      <c r="CS369" s="0"/>
      <c r="CT369" s="0"/>
      <c r="CU369" s="116"/>
      <c r="CV369" s="145"/>
      <c r="CW369" s="234"/>
      <c r="CX369" s="234"/>
      <c r="CY369" s="180" t="n">
        <f aca="false">EOMONTH(CY368,0)+1</f>
        <v>47696</v>
      </c>
      <c r="CZ369" s="181" t="n">
        <f aca="false">IF(AI369=0,CZ357,AH369+AI369)</f>
        <v>0.32</v>
      </c>
      <c r="DA369" s="181" t="n">
        <f aca="false">IF(AI369=0,DA357,AI369)</f>
        <v>0.4</v>
      </c>
      <c r="DB369" s="181" t="n">
        <f aca="false">IF(AI369=0,DB357,AI369+AJ369)</f>
        <v>0.48</v>
      </c>
      <c r="DD369" s="161" t="n">
        <f aca="false">IF(Z369=0,DD357,Z369)</f>
        <v>0.24</v>
      </c>
      <c r="DE369" s="161" t="n">
        <f aca="false">IF(AA369=0,DE357,AA369)</f>
        <v>0.3</v>
      </c>
      <c r="DF369" s="161" t="n">
        <f aca="false">IF(AB369=0,DF357,AB369)</f>
        <v>0.36</v>
      </c>
      <c r="DG369" s="234"/>
      <c r="DH369" s="180" t="n">
        <f aca="false">IF(BH369=0,EOMONTH(DH368,0)+1,BH369)</f>
        <v>47696</v>
      </c>
      <c r="DI369" s="231" t="n">
        <f aca="false">IF(BI369=0,DI357,BI369)</f>
        <v>0.75</v>
      </c>
      <c r="DL369" s="180" t="n">
        <f aca="false">IF($M369=0,EOMONTH(DL368,0)+1,$M369)</f>
        <v>47696</v>
      </c>
      <c r="DM369" s="181" t="n">
        <f aca="false">IF(AV369=0,DM357,AU369+AV369)</f>
        <v>0.192</v>
      </c>
      <c r="DN369" s="181" t="n">
        <f aca="false">IF(AM369=0,DN357,AM369)</f>
        <v>0.24</v>
      </c>
      <c r="DO369" s="181" t="n">
        <f aca="false">IF(AV369=0,DO357,AV369+AW369)</f>
        <v>0.288</v>
      </c>
      <c r="DQ369" s="181" t="n">
        <f aca="false">AD369</f>
        <v>0</v>
      </c>
      <c r="DR369" s="181" t="n">
        <f aca="false">AE369</f>
        <v>0</v>
      </c>
      <c r="DS369" s="181" t="n">
        <f aca="false">AF369</f>
        <v>0</v>
      </c>
    </row>
    <row r="370" customFormat="false" ht="14.25" hidden="false" customHeight="false" outlineLevel="0" collapsed="false">
      <c r="A370" s="233" t="n">
        <f aca="false">EDATE(A369,1)</f>
        <v>56796</v>
      </c>
      <c r="B370" s="135" t="n">
        <f aca="false">'Gas Curves'!C374</f>
        <v>0.065285340896335</v>
      </c>
      <c r="C370" s="135"/>
      <c r="D370" s="62"/>
      <c r="E370" s="62"/>
      <c r="F370" s="62"/>
      <c r="G370" s="62"/>
      <c r="H370" s="62"/>
      <c r="I370" s="62"/>
      <c r="J370" s="62"/>
      <c r="K370" s="62"/>
      <c r="L370" s="62"/>
      <c r="M370" s="14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14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0"/>
      <c r="CP370" s="0"/>
      <c r="CQ370" s="0"/>
      <c r="CR370" s="0"/>
      <c r="CS370" s="0"/>
      <c r="CT370" s="0"/>
      <c r="CU370" s="116"/>
      <c r="CV370" s="145"/>
      <c r="CW370" s="234"/>
      <c r="CX370" s="234"/>
      <c r="CY370" s="180" t="n">
        <f aca="false">EOMONTH(CY369,0)+1</f>
        <v>47727</v>
      </c>
      <c r="CZ370" s="181" t="n">
        <f aca="false">IF(AI370=0,CZ358,AH370+AI370)</f>
        <v>0.2</v>
      </c>
      <c r="DA370" s="181" t="n">
        <f aca="false">IF(AI370=0,DA358,AI370)</f>
        <v>0.25</v>
      </c>
      <c r="DB370" s="181" t="n">
        <f aca="false">IF(AI370=0,DB358,AI370+AJ370)</f>
        <v>0.3</v>
      </c>
      <c r="DD370" s="161" t="n">
        <f aca="false">IF(Z370=0,DD358,Z370)</f>
        <v>0.16</v>
      </c>
      <c r="DE370" s="161" t="n">
        <f aca="false">IF(AA370=0,DE358,AA370)</f>
        <v>0.2</v>
      </c>
      <c r="DF370" s="161" t="n">
        <f aca="false">IF(AB370=0,DF358,AB370)</f>
        <v>0.24</v>
      </c>
      <c r="DG370" s="234"/>
      <c r="DH370" s="180" t="n">
        <f aca="false">IF(BH370=0,EOMONTH(DH369,0)+1,BH370)</f>
        <v>47727</v>
      </c>
      <c r="DI370" s="231" t="n">
        <f aca="false">IF(BI370=0,DI358,BI370)</f>
        <v>0.75</v>
      </c>
      <c r="DL370" s="180" t="n">
        <f aca="false">IF($M370=0,EOMONTH(DL369,0)+1,$M370)</f>
        <v>47727</v>
      </c>
      <c r="DM370" s="181" t="n">
        <f aca="false">IF(AV370=0,DM358,AU370+AV370)</f>
        <v>0.12</v>
      </c>
      <c r="DN370" s="181" t="n">
        <f aca="false">IF(AM370=0,DN358,AM370)</f>
        <v>0.15</v>
      </c>
      <c r="DO370" s="181" t="n">
        <f aca="false">IF(AV370=0,DO358,AV370+AW370)</f>
        <v>0.18</v>
      </c>
      <c r="DQ370" s="181" t="n">
        <f aca="false">AD370</f>
        <v>0</v>
      </c>
      <c r="DR370" s="181" t="n">
        <f aca="false">AE370</f>
        <v>0</v>
      </c>
      <c r="DS370" s="181" t="n">
        <f aca="false">AF370</f>
        <v>0</v>
      </c>
    </row>
    <row r="371" customFormat="false" ht="14.25" hidden="false" customHeight="false" outlineLevel="0" collapsed="false">
      <c r="A371" s="233" t="n">
        <f aca="false">EDATE(A370,1)</f>
        <v>56827</v>
      </c>
      <c r="B371" s="135" t="n">
        <f aca="false">'Gas Curves'!C375</f>
        <v>0.065279435318437</v>
      </c>
      <c r="C371" s="135"/>
      <c r="D371" s="62"/>
      <c r="E371" s="62"/>
      <c r="F371" s="62"/>
      <c r="G371" s="62"/>
      <c r="H371" s="62"/>
      <c r="I371" s="62"/>
      <c r="J371" s="62"/>
      <c r="K371" s="62"/>
      <c r="L371" s="62"/>
      <c r="M371" s="14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14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0"/>
      <c r="CP371" s="0"/>
      <c r="CQ371" s="0"/>
      <c r="CR371" s="0"/>
      <c r="CS371" s="0"/>
      <c r="CT371" s="0"/>
      <c r="CU371" s="116"/>
      <c r="CV371" s="145"/>
      <c r="CW371" s="234"/>
      <c r="CX371" s="234"/>
      <c r="CY371" s="180" t="n">
        <f aca="false">EOMONTH(CY370,0)+1</f>
        <v>47757</v>
      </c>
      <c r="CZ371" s="181" t="n">
        <f aca="false">IF(AI371=0,CZ359,AH371+AI371)</f>
        <v>0.2</v>
      </c>
      <c r="DA371" s="181" t="n">
        <f aca="false">IF(AI371=0,DA359,AI371)</f>
        <v>0.25</v>
      </c>
      <c r="DB371" s="181" t="n">
        <f aca="false">IF(AI371=0,DB359,AI371+AJ371)</f>
        <v>0.3</v>
      </c>
      <c r="DD371" s="161" t="n">
        <f aca="false">IF(Z371=0,DD359,Z371)</f>
        <v>0.16</v>
      </c>
      <c r="DE371" s="161" t="n">
        <f aca="false">IF(AA371=0,DE359,AA371)</f>
        <v>0.2</v>
      </c>
      <c r="DF371" s="161" t="n">
        <f aca="false">IF(AB371=0,DF359,AB371)</f>
        <v>0.24</v>
      </c>
      <c r="DG371" s="234"/>
      <c r="DH371" s="180" t="n">
        <f aca="false">IF(BH371=0,EOMONTH(DH370,0)+1,BH371)</f>
        <v>47757</v>
      </c>
      <c r="DI371" s="231" t="n">
        <f aca="false">IF(BI371=0,DI359,BI371)</f>
        <v>0.75</v>
      </c>
      <c r="DL371" s="180" t="n">
        <f aca="false">IF($M371=0,EOMONTH(DL370,0)+1,$M371)</f>
        <v>47757</v>
      </c>
      <c r="DM371" s="181" t="n">
        <f aca="false">IF(AV371=0,DM359,AU371+AV371)</f>
        <v>0.12</v>
      </c>
      <c r="DN371" s="181" t="n">
        <f aca="false">IF(AM371=0,DN359,AM371)</f>
        <v>0.15</v>
      </c>
      <c r="DO371" s="181" t="n">
        <f aca="false">IF(AV371=0,DO359,AV371+AW371)</f>
        <v>0.18</v>
      </c>
      <c r="DQ371" s="181" t="n">
        <f aca="false">AD371</f>
        <v>0</v>
      </c>
      <c r="DR371" s="181" t="n">
        <f aca="false">AE371</f>
        <v>0</v>
      </c>
      <c r="DS371" s="181" t="n">
        <f aca="false">AF371</f>
        <v>0</v>
      </c>
    </row>
    <row r="372" customFormat="false" ht="14.25" hidden="false" customHeight="false" outlineLevel="0" collapsed="false">
      <c r="A372" s="233" t="n">
        <f aca="false">EDATE(A371,1)</f>
        <v>56858</v>
      </c>
      <c r="B372" s="135" t="n">
        <f aca="false">'Gas Curves'!C376</f>
        <v>0.065273720243064</v>
      </c>
      <c r="C372" s="135"/>
      <c r="D372" s="62"/>
      <c r="E372" s="62"/>
      <c r="F372" s="62"/>
      <c r="G372" s="62"/>
      <c r="H372" s="62"/>
      <c r="I372" s="62"/>
      <c r="J372" s="62"/>
      <c r="K372" s="62"/>
      <c r="L372" s="62"/>
      <c r="M372" s="14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14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0"/>
      <c r="CP372" s="0"/>
      <c r="CQ372" s="0"/>
      <c r="CR372" s="0"/>
      <c r="CS372" s="0"/>
      <c r="CT372" s="0"/>
      <c r="CU372" s="116"/>
      <c r="CV372" s="145"/>
      <c r="CW372" s="234"/>
      <c r="CX372" s="234"/>
      <c r="CY372" s="180" t="n">
        <f aca="false">EOMONTH(CY371,0)+1</f>
        <v>47788</v>
      </c>
      <c r="CZ372" s="181" t="n">
        <f aca="false">IF(AI372=0,CZ360,AH372+AI372)</f>
        <v>0.2</v>
      </c>
      <c r="DA372" s="181" t="n">
        <f aca="false">IF(AI372=0,DA360,AI372)</f>
        <v>0.25</v>
      </c>
      <c r="DB372" s="181" t="n">
        <f aca="false">IF(AI372=0,DB360,AI372+AJ372)</f>
        <v>0.3</v>
      </c>
      <c r="DD372" s="161" t="n">
        <f aca="false">IF(Z372=0,DD360,Z372)</f>
        <v>0.16</v>
      </c>
      <c r="DE372" s="161" t="n">
        <f aca="false">IF(AA372=0,DE360,AA372)</f>
        <v>0.2</v>
      </c>
      <c r="DF372" s="161" t="n">
        <f aca="false">IF(AB372=0,DF360,AB372)</f>
        <v>0.24</v>
      </c>
      <c r="DG372" s="234"/>
      <c r="DH372" s="180" t="n">
        <f aca="false">IF(BH372=0,EOMONTH(DH371,0)+1,BH372)</f>
        <v>47788</v>
      </c>
      <c r="DI372" s="231" t="n">
        <f aca="false">IF(BI372=0,DI360,BI372)</f>
        <v>0.75</v>
      </c>
      <c r="DL372" s="180" t="n">
        <f aca="false">IF($M372=0,EOMONTH(DL371,0)+1,$M372)</f>
        <v>47788</v>
      </c>
      <c r="DM372" s="181" t="n">
        <f aca="false">IF(AV372=0,DM360,AU372+AV372)</f>
        <v>0.12</v>
      </c>
      <c r="DN372" s="181" t="n">
        <f aca="false">IF(AM372=0,DN360,AM372)</f>
        <v>0.15</v>
      </c>
      <c r="DO372" s="181" t="n">
        <f aca="false">IF(AV372=0,DO360,AV372+AW372)</f>
        <v>0.18</v>
      </c>
      <c r="DQ372" s="181" t="n">
        <f aca="false">AD372</f>
        <v>0</v>
      </c>
      <c r="DR372" s="181" t="n">
        <f aca="false">AE372</f>
        <v>0</v>
      </c>
      <c r="DS372" s="181" t="n">
        <f aca="false">AF372</f>
        <v>0</v>
      </c>
    </row>
    <row r="373" customFormat="false" ht="12.75" hidden="false" customHeight="false" outlineLevel="0" collapsed="false">
      <c r="B373" s="135"/>
      <c r="C373" s="131"/>
      <c r="D373" s="62"/>
      <c r="E373" s="62"/>
      <c r="F373" s="62"/>
      <c r="G373" s="62"/>
      <c r="H373" s="62"/>
      <c r="I373" s="62"/>
      <c r="J373" s="62"/>
      <c r="K373" s="62"/>
      <c r="L373" s="62"/>
      <c r="M373" s="14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14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0"/>
      <c r="CP373" s="0"/>
      <c r="CQ373" s="0"/>
      <c r="CR373" s="0"/>
      <c r="CS373" s="0"/>
      <c r="CT373" s="0"/>
      <c r="CU373" s="116"/>
      <c r="CV373" s="145"/>
      <c r="CW373" s="234"/>
      <c r="CX373" s="234"/>
      <c r="CY373" s="180" t="n">
        <f aca="false">EOMONTH(CY372,0)+1</f>
        <v>47818</v>
      </c>
      <c r="CZ373" s="181" t="n">
        <f aca="false">IF(AI373=0,CZ361,AH373+AI373)</f>
        <v>0.2</v>
      </c>
      <c r="DA373" s="181" t="n">
        <f aca="false">IF(AI373=0,DA361,AI373)</f>
        <v>0.25</v>
      </c>
      <c r="DB373" s="181" t="n">
        <f aca="false">IF(AI373=0,DB361,AI373+AJ373)</f>
        <v>0.3</v>
      </c>
      <c r="DD373" s="161" t="n">
        <f aca="false">IF(Z373=0,DD361,Z373)</f>
        <v>0.16</v>
      </c>
      <c r="DE373" s="161" t="n">
        <f aca="false">IF(AA373=0,DE361,AA373)</f>
        <v>0.2</v>
      </c>
      <c r="DF373" s="161" t="n">
        <f aca="false">IF(AB373=0,DF361,AB373)</f>
        <v>0.24</v>
      </c>
      <c r="DG373" s="234"/>
      <c r="DH373" s="180" t="n">
        <f aca="false">IF(BH373=0,EOMONTH(DH372,0)+1,BH373)</f>
        <v>47818</v>
      </c>
      <c r="DI373" s="231" t="n">
        <f aca="false">IF(BI373=0,DI361,BI373)</f>
        <v>0.75</v>
      </c>
      <c r="DL373" s="180" t="n">
        <f aca="false">IF($M373=0,EOMONTH(DL372,0)+1,$M373)</f>
        <v>47818</v>
      </c>
      <c r="DM373" s="181" t="n">
        <f aca="false">IF(AV373=0,DM361,AU373+AV373)</f>
        <v>0.12</v>
      </c>
      <c r="DN373" s="181" t="n">
        <f aca="false">IF(AM373=0,DN361,AM373)</f>
        <v>0.15</v>
      </c>
      <c r="DO373" s="181" t="n">
        <f aca="false">IF(AV373=0,DO361,AV373+AW373)</f>
        <v>0.18</v>
      </c>
      <c r="DQ373" s="181" t="n">
        <f aca="false">AD373</f>
        <v>0</v>
      </c>
      <c r="DR373" s="181" t="n">
        <f aca="false">AE373</f>
        <v>0</v>
      </c>
      <c r="DS373" s="181" t="n">
        <f aca="false">AF373</f>
        <v>0</v>
      </c>
    </row>
    <row r="374" customFormat="false" ht="12.75" hidden="false" customHeight="false" outlineLevel="0" collapsed="false">
      <c r="B374" s="135"/>
      <c r="C374" s="131"/>
      <c r="D374" s="62"/>
      <c r="E374" s="62"/>
      <c r="F374" s="62"/>
      <c r="G374" s="62"/>
      <c r="H374" s="62"/>
      <c r="I374" s="62"/>
      <c r="J374" s="62"/>
      <c r="K374" s="62"/>
      <c r="L374" s="62"/>
      <c r="M374" s="14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14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0"/>
      <c r="CP374" s="0"/>
      <c r="CQ374" s="0"/>
      <c r="CR374" s="0"/>
      <c r="CS374" s="0"/>
      <c r="CT374" s="0"/>
      <c r="CU374" s="116"/>
      <c r="CV374" s="145"/>
      <c r="CW374" s="234"/>
      <c r="CX374" s="234"/>
      <c r="CY374" s="180" t="n">
        <f aca="false">EOMONTH(CY373,0)+1</f>
        <v>47849</v>
      </c>
      <c r="CZ374" s="181" t="n">
        <f aca="false">IF(AI374=0,CZ362,AH374+AI374)</f>
        <v>0</v>
      </c>
      <c r="DA374" s="181" t="n">
        <f aca="false">IF(AI374=0,DA362,AI374)</f>
        <v>0</v>
      </c>
      <c r="DB374" s="181" t="n">
        <f aca="false">IF(AI374=0,DB362,AI374+AJ374)</f>
        <v>0</v>
      </c>
      <c r="DD374" s="161" t="n">
        <f aca="false">IF(Z374=0,DD362,Z374)</f>
        <v>0</v>
      </c>
      <c r="DE374" s="161" t="n">
        <f aca="false">IF(AA374=0,DE362,AA374)</f>
        <v>0</v>
      </c>
      <c r="DF374" s="161" t="n">
        <f aca="false">IF(AB374=0,DF362,AB374)</f>
        <v>0</v>
      </c>
      <c r="DG374" s="234"/>
      <c r="DH374" s="180" t="n">
        <f aca="false">IF(BH374=0,EOMONTH(DH373,0)+1,BH374)</f>
        <v>47849</v>
      </c>
      <c r="DI374" s="231" t="n">
        <f aca="false">IF(BI374=0,DI362,BI374)</f>
        <v>0</v>
      </c>
      <c r="DL374" s="180" t="n">
        <f aca="false">IF($M374=0,EOMONTH(DL373,0)+1,$M374)</f>
        <v>47849</v>
      </c>
      <c r="DM374" s="181" t="n">
        <f aca="false">IF(AV374=0,DM362,AU374+AV374)</f>
        <v>0</v>
      </c>
      <c r="DN374" s="181" t="n">
        <f aca="false">IF(AM374=0,DN362,AM374)</f>
        <v>0</v>
      </c>
      <c r="DO374" s="181" t="n">
        <f aca="false">IF(AV374=0,DO362,AV374+AW374)</f>
        <v>0</v>
      </c>
      <c r="DQ374" s="181" t="n">
        <f aca="false">AD374</f>
        <v>0</v>
      </c>
      <c r="DR374" s="181" t="n">
        <f aca="false">AE374</f>
        <v>0</v>
      </c>
      <c r="DS374" s="181" t="n">
        <f aca="false">AF374</f>
        <v>0</v>
      </c>
    </row>
    <row r="375" customFormat="false" ht="12.75" hidden="false" customHeight="false" outlineLevel="0" collapsed="false">
      <c r="B375" s="135"/>
      <c r="C375" s="131"/>
      <c r="D375" s="62"/>
      <c r="E375" s="62"/>
      <c r="F375" s="62"/>
      <c r="G375" s="62"/>
      <c r="H375" s="62"/>
      <c r="I375" s="62"/>
      <c r="J375" s="62"/>
      <c r="K375" s="62"/>
      <c r="L375" s="62"/>
      <c r="M375" s="14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14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0"/>
      <c r="CP375" s="0"/>
      <c r="CQ375" s="0"/>
      <c r="CR375" s="0"/>
      <c r="CS375" s="0"/>
      <c r="CT375" s="0"/>
      <c r="CU375" s="116"/>
      <c r="CV375" s="145"/>
      <c r="CW375" s="234"/>
      <c r="CX375" s="234"/>
      <c r="CY375" s="180" t="n">
        <f aca="false">EOMONTH(CY374,0)+1</f>
        <v>47880</v>
      </c>
      <c r="CZ375" s="181" t="n">
        <f aca="false">IF(AI375=0,CZ363,AH375+AI375)</f>
        <v>0.2</v>
      </c>
      <c r="DA375" s="181" t="n">
        <f aca="false">IF(AI375=0,DA363,AI375)</f>
        <v>0.25</v>
      </c>
      <c r="DB375" s="181" t="n">
        <f aca="false">IF(AI375=0,DB363,AI375+AJ375)</f>
        <v>0.3</v>
      </c>
      <c r="DD375" s="161" t="n">
        <f aca="false">IF(Z375=0,DD363,Z375)</f>
        <v>0.16</v>
      </c>
      <c r="DE375" s="161" t="n">
        <f aca="false">IF(AA375=0,DE363,AA375)</f>
        <v>0.2</v>
      </c>
      <c r="DF375" s="161" t="n">
        <f aca="false">IF(AB375=0,DF363,AB375)</f>
        <v>0.24</v>
      </c>
      <c r="DG375" s="234"/>
      <c r="DH375" s="180" t="n">
        <f aca="false">IF(BH375=0,EOMONTH(DH374,0)+1,BH375)</f>
        <v>47880</v>
      </c>
      <c r="DI375" s="231" t="n">
        <f aca="false">IF(BI375=0,DI363,BI375)</f>
        <v>0.75</v>
      </c>
      <c r="DL375" s="180" t="n">
        <f aca="false">IF($M375=0,EOMONTH(DL374,0)+1,$M375)</f>
        <v>47880</v>
      </c>
      <c r="DM375" s="181" t="n">
        <f aca="false">IF(AV375=0,DM363,AU375+AV375)</f>
        <v>0.12</v>
      </c>
      <c r="DN375" s="181" t="n">
        <f aca="false">IF(AM375=0,DN363,AM375)</f>
        <v>0.15</v>
      </c>
      <c r="DO375" s="181" t="n">
        <f aca="false">IF(AV375=0,DO363,AV375+AW375)</f>
        <v>0.18</v>
      </c>
      <c r="DQ375" s="181" t="n">
        <f aca="false">AD375</f>
        <v>0</v>
      </c>
      <c r="DR375" s="181" t="n">
        <f aca="false">AE375</f>
        <v>0</v>
      </c>
      <c r="DS375" s="181" t="n">
        <f aca="false">AF375</f>
        <v>0</v>
      </c>
    </row>
    <row r="376" customFormat="false" ht="12.75" hidden="false" customHeight="false" outlineLevel="0" collapsed="false">
      <c r="B376" s="135"/>
      <c r="C376" s="131"/>
      <c r="D376" s="62"/>
      <c r="E376" s="62"/>
      <c r="F376" s="62"/>
      <c r="G376" s="62"/>
      <c r="H376" s="62"/>
      <c r="I376" s="62"/>
      <c r="J376" s="62"/>
      <c r="K376" s="62"/>
      <c r="L376" s="62"/>
      <c r="M376" s="14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14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0"/>
      <c r="CP376" s="0"/>
      <c r="CQ376" s="0"/>
      <c r="CR376" s="0"/>
      <c r="CS376" s="0"/>
      <c r="CT376" s="0"/>
      <c r="CU376" s="116"/>
      <c r="CV376" s="145"/>
      <c r="CW376" s="234"/>
      <c r="CX376" s="234"/>
      <c r="CY376" s="180" t="n">
        <f aca="false">EOMONTH(CY375,0)+1</f>
        <v>47908</v>
      </c>
      <c r="CZ376" s="181" t="n">
        <f aca="false">IF(AI376=0,CZ364,AH376+AI376)</f>
        <v>0.2</v>
      </c>
      <c r="DA376" s="181" t="n">
        <f aca="false">IF(AI376=0,DA364,AI376)</f>
        <v>0.25</v>
      </c>
      <c r="DB376" s="181" t="n">
        <f aca="false">IF(AI376=0,DB364,AI376+AJ376)</f>
        <v>0.3</v>
      </c>
      <c r="DD376" s="161" t="n">
        <f aca="false">IF(Z376=0,DD364,Z376)</f>
        <v>0.16</v>
      </c>
      <c r="DE376" s="161" t="n">
        <f aca="false">IF(AA376=0,DE364,AA376)</f>
        <v>0.2</v>
      </c>
      <c r="DF376" s="161" t="n">
        <f aca="false">IF(AB376=0,DF364,AB376)</f>
        <v>0.24</v>
      </c>
      <c r="DG376" s="234"/>
      <c r="DH376" s="180" t="n">
        <f aca="false">IF(BH376=0,EOMONTH(DH375,0)+1,BH376)</f>
        <v>47908</v>
      </c>
      <c r="DI376" s="231" t="n">
        <f aca="false">IF(BI376=0,DI364,BI376)</f>
        <v>0.75</v>
      </c>
      <c r="DL376" s="180" t="n">
        <f aca="false">IF($M376=0,EOMONTH(DL375,0)+1,$M376)</f>
        <v>47908</v>
      </c>
      <c r="DM376" s="181" t="n">
        <f aca="false">IF(AV376=0,DM364,AU376+AV376)</f>
        <v>0.12</v>
      </c>
      <c r="DN376" s="181" t="n">
        <f aca="false">IF(AM376=0,DN364,AM376)</f>
        <v>0.15</v>
      </c>
      <c r="DO376" s="181" t="n">
        <f aca="false">IF(AV376=0,DO364,AV376+AW376)</f>
        <v>0.18</v>
      </c>
      <c r="DQ376" s="181" t="n">
        <f aca="false">AD376</f>
        <v>0</v>
      </c>
      <c r="DR376" s="181" t="n">
        <f aca="false">AE376</f>
        <v>0</v>
      </c>
      <c r="DS376" s="181" t="n">
        <f aca="false">AF376</f>
        <v>0</v>
      </c>
    </row>
    <row r="377" customFormat="false" ht="12.75" hidden="false" customHeight="false" outlineLevel="0" collapsed="false">
      <c r="B377" s="135"/>
      <c r="C377" s="131"/>
      <c r="D377" s="62"/>
      <c r="E377" s="62"/>
      <c r="F377" s="62"/>
      <c r="G377" s="62"/>
      <c r="H377" s="62"/>
      <c r="I377" s="62"/>
      <c r="J377" s="62"/>
      <c r="K377" s="62"/>
      <c r="L377" s="62"/>
      <c r="M377" s="14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14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0"/>
      <c r="CP377" s="0"/>
      <c r="CQ377" s="0"/>
      <c r="CR377" s="0"/>
      <c r="CS377" s="0"/>
      <c r="CT377" s="0"/>
      <c r="CU377" s="116"/>
      <c r="CV377" s="145"/>
      <c r="CW377" s="234"/>
      <c r="CX377" s="234"/>
      <c r="CY377" s="180" t="n">
        <f aca="false">EOMONTH(CY376,0)+1</f>
        <v>47939</v>
      </c>
      <c r="CZ377" s="181" t="n">
        <f aca="false">IF(AI377=0,CZ365,AH377+AI377)</f>
        <v>0.2</v>
      </c>
      <c r="DA377" s="181" t="n">
        <f aca="false">IF(AI377=0,DA365,AI377)</f>
        <v>0.25</v>
      </c>
      <c r="DB377" s="181" t="n">
        <f aca="false">IF(AI377=0,DB365,AI377+AJ377)</f>
        <v>0.3</v>
      </c>
      <c r="DD377" s="161" t="n">
        <f aca="false">IF(Z377=0,DD365,Z377)</f>
        <v>0.16</v>
      </c>
      <c r="DE377" s="161" t="n">
        <f aca="false">IF(AA377=0,DE365,AA377)</f>
        <v>0.2</v>
      </c>
      <c r="DF377" s="161" t="n">
        <f aca="false">IF(AB377=0,DF365,AB377)</f>
        <v>0.24</v>
      </c>
      <c r="DG377" s="234"/>
      <c r="DH377" s="180" t="n">
        <f aca="false">IF(BH377=0,EOMONTH(DH376,0)+1,BH377)</f>
        <v>47939</v>
      </c>
      <c r="DI377" s="231" t="n">
        <f aca="false">IF(BI377=0,DI365,BI377)</f>
        <v>0.75</v>
      </c>
      <c r="DL377" s="180" t="n">
        <f aca="false">IF($M377=0,EOMONTH(DL376,0)+1,$M377)</f>
        <v>47939</v>
      </c>
      <c r="DM377" s="181" t="n">
        <f aca="false">IF(AV377=0,DM365,AU377+AV377)</f>
        <v>0.12</v>
      </c>
      <c r="DN377" s="181" t="n">
        <f aca="false">IF(AM377=0,DN365,AM377)</f>
        <v>0.15</v>
      </c>
      <c r="DO377" s="181" t="n">
        <f aca="false">IF(AV377=0,DO365,AV377+AW377)</f>
        <v>0.18</v>
      </c>
      <c r="DQ377" s="181" t="n">
        <f aca="false">AD377</f>
        <v>0</v>
      </c>
      <c r="DR377" s="181" t="n">
        <f aca="false">AE377</f>
        <v>0</v>
      </c>
      <c r="DS377" s="181" t="n">
        <f aca="false">AF377</f>
        <v>0</v>
      </c>
    </row>
    <row r="378" customFormat="false" ht="12.75" hidden="false" customHeight="false" outlineLevel="0" collapsed="false">
      <c r="B378" s="135"/>
      <c r="C378" s="131"/>
      <c r="D378" s="62"/>
      <c r="E378" s="62"/>
      <c r="F378" s="62"/>
      <c r="G378" s="62"/>
      <c r="H378" s="62"/>
      <c r="I378" s="62"/>
      <c r="J378" s="62"/>
      <c r="K378" s="62"/>
      <c r="L378" s="62"/>
      <c r="M378" s="14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14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0"/>
      <c r="CP378" s="0"/>
      <c r="CQ378" s="0"/>
      <c r="CR378" s="0"/>
      <c r="CS378" s="0"/>
      <c r="CT378" s="0"/>
      <c r="CU378" s="116"/>
      <c r="CV378" s="145"/>
      <c r="CW378" s="234"/>
      <c r="CX378" s="234"/>
      <c r="CY378" s="180" t="n">
        <f aca="false">EOMONTH(CY377,0)+1</f>
        <v>47969</v>
      </c>
      <c r="CZ378" s="181" t="n">
        <f aca="false">IF(AI378=0,CZ366,AH378+AI378)</f>
        <v>0.2</v>
      </c>
      <c r="DA378" s="181" t="n">
        <f aca="false">IF(AI378=0,DA366,AI378)</f>
        <v>0.25</v>
      </c>
      <c r="DB378" s="181" t="n">
        <f aca="false">IF(AI378=0,DB366,AI378+AJ378)</f>
        <v>0.3</v>
      </c>
      <c r="DD378" s="161" t="n">
        <f aca="false">IF(Z378=0,DD366,Z378)</f>
        <v>0.16</v>
      </c>
      <c r="DE378" s="161" t="n">
        <f aca="false">IF(AA378=0,DE366,AA378)</f>
        <v>0.2</v>
      </c>
      <c r="DF378" s="161" t="n">
        <f aca="false">IF(AB378=0,DF366,AB378)</f>
        <v>0.24</v>
      </c>
      <c r="DG378" s="234"/>
      <c r="DH378" s="180" t="n">
        <f aca="false">IF(BH378=0,EOMONTH(DH377,0)+1,BH378)</f>
        <v>47969</v>
      </c>
      <c r="DI378" s="231" t="n">
        <f aca="false">IF(BI378=0,DI366,BI378)</f>
        <v>0.75</v>
      </c>
      <c r="DL378" s="180" t="n">
        <f aca="false">IF($M378=0,EOMONTH(DL377,0)+1,$M378)</f>
        <v>47969</v>
      </c>
      <c r="DM378" s="181" t="n">
        <f aca="false">IF(AV378=0,DM366,AU378+AV378)</f>
        <v>0.12</v>
      </c>
      <c r="DN378" s="181" t="n">
        <f aca="false">IF(AM378=0,DN366,AM378)</f>
        <v>0.15</v>
      </c>
      <c r="DO378" s="181" t="n">
        <f aca="false">IF(AV378=0,DO366,AV378+AW378)</f>
        <v>0.18</v>
      </c>
      <c r="DQ378" s="181" t="n">
        <f aca="false">AD378</f>
        <v>0</v>
      </c>
      <c r="DR378" s="181" t="n">
        <f aca="false">AE378</f>
        <v>0</v>
      </c>
      <c r="DS378" s="181" t="n">
        <f aca="false">AF378</f>
        <v>0</v>
      </c>
    </row>
    <row r="379" customFormat="false" ht="12.75" hidden="false" customHeight="false" outlineLevel="0" collapsed="false">
      <c r="B379" s="135"/>
      <c r="C379" s="131"/>
      <c r="D379" s="62"/>
      <c r="E379" s="62"/>
      <c r="F379" s="62"/>
      <c r="G379" s="62"/>
      <c r="H379" s="62"/>
      <c r="I379" s="62"/>
      <c r="J379" s="62"/>
      <c r="K379" s="62"/>
      <c r="L379" s="62"/>
      <c r="M379" s="14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14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0"/>
      <c r="CP379" s="0"/>
      <c r="CQ379" s="0"/>
      <c r="CR379" s="0"/>
      <c r="CS379" s="0"/>
      <c r="CT379" s="0"/>
      <c r="CU379" s="116"/>
      <c r="CV379" s="145"/>
      <c r="CW379" s="234"/>
      <c r="CX379" s="234"/>
      <c r="CY379" s="180" t="n">
        <f aca="false">EOMONTH(CY378,0)+1</f>
        <v>48000</v>
      </c>
      <c r="CZ379" s="181" t="n">
        <f aca="false">IF(AI379=0,CZ367,AH379+AI379)</f>
        <v>0.2</v>
      </c>
      <c r="DA379" s="181" t="n">
        <f aca="false">IF(AI379=0,DA367,AI379)</f>
        <v>0.25</v>
      </c>
      <c r="DB379" s="181" t="n">
        <f aca="false">IF(AI379=0,DB367,AI379+AJ379)</f>
        <v>0.3</v>
      </c>
      <c r="DD379" s="161" t="n">
        <f aca="false">IF(Z379=0,DD367,Z379)</f>
        <v>0.16</v>
      </c>
      <c r="DE379" s="161" t="n">
        <f aca="false">IF(AA379=0,DE367,AA379)</f>
        <v>0.2</v>
      </c>
      <c r="DF379" s="161" t="n">
        <f aca="false">IF(AB379=0,DF367,AB379)</f>
        <v>0.24</v>
      </c>
      <c r="DG379" s="234"/>
      <c r="DH379" s="180" t="n">
        <f aca="false">IF(BH379=0,EOMONTH(DH378,0)+1,BH379)</f>
        <v>48000</v>
      </c>
      <c r="DI379" s="231" t="n">
        <f aca="false">IF(BI379=0,DI367,BI379)</f>
        <v>0.75</v>
      </c>
      <c r="DL379" s="180" t="n">
        <f aca="false">IF($M379=0,EOMONTH(DL378,0)+1,$M379)</f>
        <v>48000</v>
      </c>
      <c r="DM379" s="181" t="n">
        <f aca="false">IF(AV379=0,DM367,AU379+AV379)</f>
        <v>0.12</v>
      </c>
      <c r="DN379" s="181" t="n">
        <f aca="false">IF(AM379=0,DN367,AM379)</f>
        <v>0.15</v>
      </c>
      <c r="DO379" s="181" t="n">
        <f aca="false">IF(AV379=0,DO367,AV379+AW379)</f>
        <v>0.18</v>
      </c>
      <c r="DQ379" s="181" t="n">
        <f aca="false">AD379</f>
        <v>0</v>
      </c>
      <c r="DR379" s="181" t="n">
        <f aca="false">AE379</f>
        <v>0</v>
      </c>
      <c r="DS379" s="181" t="n">
        <f aca="false">AF379</f>
        <v>0</v>
      </c>
    </row>
    <row r="380" customFormat="false" ht="12.75" hidden="false" customHeight="false" outlineLevel="0" collapsed="false">
      <c r="B380" s="135"/>
      <c r="C380" s="131"/>
      <c r="D380" s="62"/>
      <c r="E380" s="62"/>
      <c r="F380" s="62"/>
      <c r="G380" s="62"/>
      <c r="H380" s="62"/>
      <c r="I380" s="62"/>
      <c r="J380" s="62"/>
      <c r="K380" s="62"/>
      <c r="L380" s="62"/>
      <c r="M380" s="14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14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0"/>
      <c r="CP380" s="0"/>
      <c r="CQ380" s="0"/>
      <c r="CR380" s="0"/>
      <c r="CS380" s="0"/>
      <c r="CT380" s="0"/>
      <c r="CU380" s="116"/>
      <c r="CV380" s="145"/>
      <c r="CW380" s="234"/>
      <c r="CX380" s="234"/>
      <c r="CY380" s="180" t="n">
        <f aca="false">EOMONTH(CY379,0)+1</f>
        <v>48030</v>
      </c>
      <c r="CZ380" s="181" t="n">
        <f aca="false">IF(AI380=0,CZ368,AH380+AI380)</f>
        <v>0.32</v>
      </c>
      <c r="DA380" s="181" t="n">
        <f aca="false">IF(AI380=0,DA368,AI380)</f>
        <v>0.4</v>
      </c>
      <c r="DB380" s="181" t="n">
        <f aca="false">IF(AI380=0,DB368,AI380+AJ380)</f>
        <v>0.48</v>
      </c>
      <c r="DD380" s="161" t="n">
        <f aca="false">IF(Z380=0,DD368,Z380)</f>
        <v>0.24</v>
      </c>
      <c r="DE380" s="161" t="n">
        <f aca="false">IF(AA380=0,DE368,AA380)</f>
        <v>0.3</v>
      </c>
      <c r="DF380" s="161" t="n">
        <f aca="false">IF(AB380=0,DF368,AB380)</f>
        <v>0.36</v>
      </c>
      <c r="DG380" s="234"/>
      <c r="DH380" s="180" t="n">
        <f aca="false">IF(BH380=0,EOMONTH(DH379,0)+1,BH380)</f>
        <v>48030</v>
      </c>
      <c r="DI380" s="231" t="n">
        <f aca="false">IF(BI380=0,DI368,BI380)</f>
        <v>0.75</v>
      </c>
      <c r="DL380" s="180" t="n">
        <f aca="false">IF($M380=0,EOMONTH(DL379,0)+1,$M380)</f>
        <v>48030</v>
      </c>
      <c r="DM380" s="181" t="n">
        <f aca="false">IF(AV380=0,DM368,AU380+AV380)</f>
        <v>0.192</v>
      </c>
      <c r="DN380" s="181" t="n">
        <f aca="false">IF(AM380=0,DN368,AM380)</f>
        <v>0.24</v>
      </c>
      <c r="DO380" s="181" t="n">
        <f aca="false">IF(AV380=0,DO368,AV380+AW380)</f>
        <v>0.288</v>
      </c>
      <c r="DQ380" s="181" t="n">
        <f aca="false">AD380</f>
        <v>0</v>
      </c>
      <c r="DR380" s="181" t="n">
        <f aca="false">AE380</f>
        <v>0</v>
      </c>
      <c r="DS380" s="181" t="n">
        <f aca="false">AF380</f>
        <v>0</v>
      </c>
    </row>
    <row r="381" customFormat="false" ht="12.75" hidden="false" customHeight="false" outlineLevel="0" collapsed="false">
      <c r="B381" s="135"/>
      <c r="C381" s="131"/>
      <c r="D381" s="62"/>
      <c r="E381" s="62"/>
      <c r="F381" s="62"/>
      <c r="G381" s="62"/>
      <c r="H381" s="62"/>
      <c r="I381" s="62"/>
      <c r="J381" s="62"/>
      <c r="K381" s="62"/>
      <c r="L381" s="62"/>
      <c r="M381" s="14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14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0"/>
      <c r="CP381" s="0"/>
      <c r="CQ381" s="0"/>
      <c r="CR381" s="0"/>
      <c r="CS381" s="0"/>
      <c r="CT381" s="0"/>
      <c r="CU381" s="116"/>
      <c r="CV381" s="145"/>
      <c r="CW381" s="234"/>
      <c r="CX381" s="234"/>
      <c r="CY381" s="180" t="n">
        <f aca="false">EOMONTH(CY380,0)+1</f>
        <v>48061</v>
      </c>
      <c r="CZ381" s="181" t="n">
        <f aca="false">IF(AI381=0,CZ369,AH381+AI381)</f>
        <v>0.32</v>
      </c>
      <c r="DA381" s="181" t="n">
        <f aca="false">IF(AI381=0,DA369,AI381)</f>
        <v>0.4</v>
      </c>
      <c r="DB381" s="181" t="n">
        <f aca="false">IF(AI381=0,DB369,AI381+AJ381)</f>
        <v>0.48</v>
      </c>
      <c r="DD381" s="161" t="n">
        <f aca="false">IF(Z381=0,DD369,Z381)</f>
        <v>0.24</v>
      </c>
      <c r="DE381" s="161" t="n">
        <f aca="false">IF(AA381=0,DE369,AA381)</f>
        <v>0.3</v>
      </c>
      <c r="DF381" s="161" t="n">
        <f aca="false">IF(AB381=0,DF369,AB381)</f>
        <v>0.36</v>
      </c>
      <c r="DG381" s="234"/>
      <c r="DH381" s="180" t="n">
        <f aca="false">IF(BH381=0,EOMONTH(DH380,0)+1,BH381)</f>
        <v>48061</v>
      </c>
      <c r="DI381" s="231" t="n">
        <f aca="false">IF(BI381=0,DI369,BI381)</f>
        <v>0.75</v>
      </c>
      <c r="DL381" s="180" t="n">
        <f aca="false">IF($M381=0,EOMONTH(DL380,0)+1,$M381)</f>
        <v>48061</v>
      </c>
      <c r="DM381" s="181" t="n">
        <f aca="false">IF(AV381=0,DM369,AU381+AV381)</f>
        <v>0.192</v>
      </c>
      <c r="DN381" s="181" t="n">
        <f aca="false">IF(AM381=0,DN369,AM381)</f>
        <v>0.24</v>
      </c>
      <c r="DO381" s="181" t="n">
        <f aca="false">IF(AV381=0,DO369,AV381+AW381)</f>
        <v>0.288</v>
      </c>
      <c r="DQ381" s="181" t="n">
        <f aca="false">AD381</f>
        <v>0</v>
      </c>
      <c r="DR381" s="181" t="n">
        <f aca="false">AE381</f>
        <v>0</v>
      </c>
      <c r="DS381" s="181" t="n">
        <f aca="false">AF381</f>
        <v>0</v>
      </c>
    </row>
    <row r="382" customFormat="false" ht="12.75" hidden="false" customHeight="false" outlineLevel="0" collapsed="false">
      <c r="B382" s="135"/>
      <c r="C382" s="131"/>
      <c r="D382" s="62"/>
      <c r="E382" s="62"/>
      <c r="F382" s="62"/>
      <c r="G382" s="62"/>
      <c r="H382" s="62"/>
      <c r="I382" s="62"/>
      <c r="J382" s="62"/>
      <c r="K382" s="62"/>
      <c r="L382" s="62"/>
      <c r="M382" s="14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14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0"/>
      <c r="CP382" s="0"/>
      <c r="CQ382" s="0"/>
      <c r="CR382" s="0"/>
      <c r="CS382" s="0"/>
      <c r="CT382" s="0"/>
      <c r="CU382" s="116"/>
      <c r="CV382" s="145"/>
      <c r="CW382" s="234"/>
      <c r="CX382" s="234"/>
      <c r="CY382" s="180" t="n">
        <f aca="false">EOMONTH(CY381,0)+1</f>
        <v>48092</v>
      </c>
      <c r="CZ382" s="181" t="n">
        <f aca="false">IF(AI382=0,CZ370,AH382+AI382)</f>
        <v>0.2</v>
      </c>
      <c r="DA382" s="181" t="n">
        <f aca="false">IF(AI382=0,DA370,AI382)</f>
        <v>0.25</v>
      </c>
      <c r="DB382" s="181" t="n">
        <f aca="false">IF(AI382=0,DB370,AI382+AJ382)</f>
        <v>0.3</v>
      </c>
      <c r="DD382" s="161" t="n">
        <f aca="false">IF(Z382=0,DD370,Z382)</f>
        <v>0.16</v>
      </c>
      <c r="DE382" s="161" t="n">
        <f aca="false">IF(AA382=0,DE370,AA382)</f>
        <v>0.2</v>
      </c>
      <c r="DF382" s="161" t="n">
        <f aca="false">IF(AB382=0,DF370,AB382)</f>
        <v>0.24</v>
      </c>
      <c r="DG382" s="234"/>
      <c r="DH382" s="180" t="n">
        <f aca="false">IF(BH382=0,EOMONTH(DH381,0)+1,BH382)</f>
        <v>48092</v>
      </c>
      <c r="DI382" s="231" t="n">
        <f aca="false">IF(BI382=0,DI370,BI382)</f>
        <v>0.75</v>
      </c>
      <c r="DL382" s="180" t="n">
        <f aca="false">IF($M382=0,EOMONTH(DL381,0)+1,$M382)</f>
        <v>48092</v>
      </c>
      <c r="DM382" s="181" t="n">
        <f aca="false">IF(AV382=0,DM370,AU382+AV382)</f>
        <v>0.12</v>
      </c>
      <c r="DN382" s="181" t="n">
        <f aca="false">IF(AM382=0,DN370,AM382)</f>
        <v>0.15</v>
      </c>
      <c r="DO382" s="181" t="n">
        <f aca="false">IF(AV382=0,DO370,AV382+AW382)</f>
        <v>0.18</v>
      </c>
      <c r="DQ382" s="181" t="n">
        <f aca="false">AD382</f>
        <v>0</v>
      </c>
      <c r="DR382" s="181" t="n">
        <f aca="false">AE382</f>
        <v>0</v>
      </c>
      <c r="DS382" s="181" t="n">
        <f aca="false">AF382</f>
        <v>0</v>
      </c>
    </row>
    <row r="383" customFormat="false" ht="12.75" hidden="false" customHeight="false" outlineLevel="0" collapsed="false">
      <c r="B383" s="135"/>
      <c r="C383" s="131"/>
      <c r="D383" s="62"/>
      <c r="E383" s="62"/>
      <c r="F383" s="62"/>
      <c r="G383" s="62"/>
      <c r="H383" s="62"/>
      <c r="I383" s="62"/>
      <c r="J383" s="62"/>
      <c r="K383" s="62"/>
      <c r="L383" s="62"/>
      <c r="M383" s="14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14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0"/>
      <c r="CP383" s="0"/>
      <c r="CQ383" s="0"/>
      <c r="CR383" s="0"/>
      <c r="CS383" s="0"/>
      <c r="CT383" s="0"/>
      <c r="CU383" s="116"/>
      <c r="CV383" s="145"/>
      <c r="CW383" s="234"/>
      <c r="CX383" s="234"/>
      <c r="CY383" s="180" t="n">
        <f aca="false">EOMONTH(CY382,0)+1</f>
        <v>48122</v>
      </c>
      <c r="CZ383" s="181" t="n">
        <f aca="false">IF(AI383=0,CZ371,AH383+AI383)</f>
        <v>0.2</v>
      </c>
      <c r="DA383" s="181" t="n">
        <f aca="false">IF(AI383=0,DA371,AI383)</f>
        <v>0.25</v>
      </c>
      <c r="DB383" s="181" t="n">
        <f aca="false">IF(AI383=0,DB371,AI383+AJ383)</f>
        <v>0.3</v>
      </c>
      <c r="DD383" s="161" t="n">
        <f aca="false">IF(Z383=0,DD371,Z383)</f>
        <v>0.16</v>
      </c>
      <c r="DE383" s="161" t="n">
        <f aca="false">IF(AA383=0,DE371,AA383)</f>
        <v>0.2</v>
      </c>
      <c r="DF383" s="161" t="n">
        <f aca="false">IF(AB383=0,DF371,AB383)</f>
        <v>0.24</v>
      </c>
      <c r="DG383" s="234"/>
      <c r="DH383" s="180" t="n">
        <f aca="false">IF(BH383=0,EOMONTH(DH382,0)+1,BH383)</f>
        <v>48122</v>
      </c>
      <c r="DI383" s="231" t="n">
        <f aca="false">IF(BI383=0,DI371,BI383)</f>
        <v>0.75</v>
      </c>
      <c r="DL383" s="180" t="n">
        <f aca="false">IF($M383=0,EOMONTH(DL382,0)+1,$M383)</f>
        <v>48122</v>
      </c>
      <c r="DM383" s="181" t="n">
        <f aca="false">IF(AV383=0,DM371,AU383+AV383)</f>
        <v>0.12</v>
      </c>
      <c r="DN383" s="181" t="n">
        <f aca="false">IF(AM383=0,DN371,AM383)</f>
        <v>0.15</v>
      </c>
      <c r="DO383" s="181" t="n">
        <f aca="false">IF(AV383=0,DO371,AV383+AW383)</f>
        <v>0.18</v>
      </c>
      <c r="DQ383" s="181" t="n">
        <f aca="false">AD383</f>
        <v>0</v>
      </c>
      <c r="DR383" s="181" t="n">
        <f aca="false">AE383</f>
        <v>0</v>
      </c>
      <c r="DS383" s="181" t="n">
        <f aca="false">AF383</f>
        <v>0</v>
      </c>
    </row>
    <row r="384" customFormat="false" ht="12.75" hidden="false" customHeight="false" outlineLevel="0" collapsed="false">
      <c r="B384" s="135"/>
      <c r="C384" s="131"/>
      <c r="D384" s="62"/>
      <c r="E384" s="62"/>
      <c r="F384" s="62"/>
      <c r="G384" s="62"/>
      <c r="H384" s="62"/>
      <c r="I384" s="62"/>
      <c r="J384" s="62"/>
      <c r="K384" s="62"/>
      <c r="L384" s="62"/>
      <c r="M384" s="14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14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0"/>
      <c r="CP384" s="0"/>
      <c r="CQ384" s="0"/>
      <c r="CR384" s="0"/>
      <c r="CS384" s="0"/>
      <c r="CT384" s="0"/>
      <c r="CU384" s="116"/>
      <c r="CV384" s="145"/>
      <c r="CW384" s="234"/>
      <c r="CX384" s="234"/>
      <c r="CY384" s="180" t="n">
        <f aca="false">EOMONTH(CY383,0)+1</f>
        <v>48153</v>
      </c>
      <c r="CZ384" s="181" t="n">
        <f aca="false">IF(AI384=0,CZ372,AH384+AI384)</f>
        <v>0.2</v>
      </c>
      <c r="DA384" s="181" t="n">
        <f aca="false">IF(AI384=0,DA372,AI384)</f>
        <v>0.25</v>
      </c>
      <c r="DB384" s="181" t="n">
        <f aca="false">IF(AI384=0,DB372,AI384+AJ384)</f>
        <v>0.3</v>
      </c>
      <c r="DD384" s="161" t="n">
        <f aca="false">IF(Z384=0,DD372,Z384)</f>
        <v>0.16</v>
      </c>
      <c r="DE384" s="161" t="n">
        <f aca="false">IF(AA384=0,DE372,AA384)</f>
        <v>0.2</v>
      </c>
      <c r="DF384" s="161" t="n">
        <f aca="false">IF(AB384=0,DF372,AB384)</f>
        <v>0.24</v>
      </c>
      <c r="DG384" s="234"/>
      <c r="DH384" s="180" t="n">
        <f aca="false">IF(BH384=0,EOMONTH(DH383,0)+1,BH384)</f>
        <v>48153</v>
      </c>
      <c r="DI384" s="231" t="n">
        <f aca="false">IF(BI384=0,DI372,BI384)</f>
        <v>0.75</v>
      </c>
      <c r="DL384" s="180" t="n">
        <f aca="false">IF($M384=0,EOMONTH(DL383,0)+1,$M384)</f>
        <v>48153</v>
      </c>
      <c r="DM384" s="181" t="n">
        <f aca="false">IF(AV384=0,DM372,AU384+AV384)</f>
        <v>0.12</v>
      </c>
      <c r="DN384" s="181" t="n">
        <f aca="false">IF(AM384=0,DN372,AM384)</f>
        <v>0.15</v>
      </c>
      <c r="DO384" s="181" t="n">
        <f aca="false">IF(AV384=0,DO372,AV384+AW384)</f>
        <v>0.18</v>
      </c>
      <c r="DQ384" s="181" t="n">
        <f aca="false">AD384</f>
        <v>0</v>
      </c>
      <c r="DR384" s="181" t="n">
        <f aca="false">AE384</f>
        <v>0</v>
      </c>
      <c r="DS384" s="181" t="n">
        <f aca="false">AF384</f>
        <v>0</v>
      </c>
    </row>
    <row r="385" customFormat="false" ht="12.75" hidden="false" customHeight="false" outlineLevel="0" collapsed="false">
      <c r="B385" s="135"/>
      <c r="C385" s="131"/>
      <c r="D385" s="62"/>
      <c r="E385" s="62"/>
      <c r="F385" s="62"/>
      <c r="G385" s="62"/>
      <c r="H385" s="62"/>
      <c r="I385" s="62"/>
      <c r="J385" s="62"/>
      <c r="K385" s="62"/>
      <c r="L385" s="62"/>
      <c r="M385" s="14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14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0"/>
      <c r="CP385" s="0"/>
      <c r="CQ385" s="0"/>
      <c r="CR385" s="0"/>
      <c r="CS385" s="0"/>
      <c r="CT385" s="0"/>
      <c r="CU385" s="116"/>
      <c r="CV385" s="145"/>
      <c r="CW385" s="234"/>
      <c r="CX385" s="234"/>
      <c r="CY385" s="180" t="n">
        <f aca="false">EOMONTH(CY384,0)+1</f>
        <v>48183</v>
      </c>
      <c r="CZ385" s="181" t="n">
        <f aca="false">IF(AI385=0,CZ373,AH385+AI385)</f>
        <v>0.2</v>
      </c>
      <c r="DA385" s="181" t="n">
        <f aca="false">IF(AI385=0,DA373,AI385)</f>
        <v>0.25</v>
      </c>
      <c r="DB385" s="181" t="n">
        <f aca="false">IF(AI385=0,DB373,AI385+AJ385)</f>
        <v>0.3</v>
      </c>
      <c r="DD385" s="161" t="n">
        <f aca="false">IF(Z385=0,DD373,Z385)</f>
        <v>0.16</v>
      </c>
      <c r="DE385" s="161" t="n">
        <f aca="false">IF(AA385=0,DE373,AA385)</f>
        <v>0.2</v>
      </c>
      <c r="DF385" s="161" t="n">
        <f aca="false">IF(AB385=0,DF373,AB385)</f>
        <v>0.24</v>
      </c>
      <c r="DG385" s="234"/>
      <c r="DH385" s="180" t="n">
        <f aca="false">IF(BH385=0,EOMONTH(DH384,0)+1,BH385)</f>
        <v>48183</v>
      </c>
      <c r="DI385" s="231" t="n">
        <f aca="false">IF(BI385=0,DI373,BI385)</f>
        <v>0.75</v>
      </c>
      <c r="DL385" s="180" t="n">
        <f aca="false">IF($M385=0,EOMONTH(DL384,0)+1,$M385)</f>
        <v>48183</v>
      </c>
      <c r="DM385" s="181" t="n">
        <f aca="false">IF(AV385=0,DM373,AU385+AV385)</f>
        <v>0.12</v>
      </c>
      <c r="DN385" s="181" t="n">
        <f aca="false">IF(AM385=0,DN373,AM385)</f>
        <v>0.15</v>
      </c>
      <c r="DO385" s="181" t="n">
        <f aca="false">IF(AV385=0,DO373,AV385+AW385)</f>
        <v>0.18</v>
      </c>
      <c r="DQ385" s="181" t="n">
        <f aca="false">AD385</f>
        <v>0</v>
      </c>
      <c r="DR385" s="181" t="n">
        <f aca="false">AE385</f>
        <v>0</v>
      </c>
      <c r="DS385" s="181" t="n">
        <f aca="false">AF385</f>
        <v>0</v>
      </c>
    </row>
    <row r="386" customFormat="false" ht="12.75" hidden="false" customHeight="false" outlineLevel="0" collapsed="false">
      <c r="B386" s="135"/>
      <c r="C386" s="131"/>
      <c r="D386" s="62"/>
      <c r="E386" s="62"/>
      <c r="F386" s="62"/>
      <c r="G386" s="62"/>
      <c r="H386" s="62"/>
      <c r="I386" s="62"/>
      <c r="J386" s="62"/>
      <c r="K386" s="62"/>
      <c r="L386" s="62"/>
      <c r="M386" s="14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14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0"/>
      <c r="CP386" s="0"/>
      <c r="CQ386" s="0"/>
      <c r="CR386" s="0"/>
      <c r="CS386" s="0"/>
      <c r="CT386" s="0"/>
      <c r="CU386" s="116"/>
      <c r="CV386" s="145"/>
      <c r="CW386" s="234"/>
      <c r="CX386" s="234"/>
      <c r="CY386" s="180" t="n">
        <f aca="false">EOMONTH(CY385,0)+1</f>
        <v>48214</v>
      </c>
      <c r="CZ386" s="181" t="n">
        <f aca="false">IF(AI386=0,CZ374,AH386+AI386)</f>
        <v>0</v>
      </c>
      <c r="DA386" s="181" t="n">
        <f aca="false">IF(AI386=0,DA374,AI386)</f>
        <v>0</v>
      </c>
      <c r="DB386" s="181" t="n">
        <f aca="false">IF(AI386=0,DB374,AI386+AJ386)</f>
        <v>0</v>
      </c>
      <c r="DD386" s="161" t="n">
        <f aca="false">IF(Z386=0,DD374,Z386)</f>
        <v>0</v>
      </c>
      <c r="DE386" s="161" t="n">
        <f aca="false">IF(AA386=0,DE374,AA386)</f>
        <v>0</v>
      </c>
      <c r="DF386" s="161" t="n">
        <f aca="false">IF(AB386=0,DF374,AB386)</f>
        <v>0</v>
      </c>
      <c r="DG386" s="234"/>
      <c r="DH386" s="180" t="n">
        <f aca="false">IF(BH386=0,EOMONTH(DH385,0)+1,BH386)</f>
        <v>48214</v>
      </c>
      <c r="DI386" s="231" t="n">
        <f aca="false">IF(BI386=0,DI374,BI386)</f>
        <v>0</v>
      </c>
      <c r="DL386" s="180" t="n">
        <f aca="false">IF($M386=0,EOMONTH(DL385,0)+1,$M386)</f>
        <v>48214</v>
      </c>
      <c r="DM386" s="181" t="n">
        <f aca="false">IF(AV386=0,DM374,AU386+AV386)</f>
        <v>0</v>
      </c>
      <c r="DN386" s="181" t="n">
        <f aca="false">IF(AM386=0,DN374,AM386)</f>
        <v>0</v>
      </c>
      <c r="DO386" s="181" t="n">
        <f aca="false">IF(AV386=0,DO374,AV386+AW386)</f>
        <v>0</v>
      </c>
      <c r="DQ386" s="181" t="n">
        <f aca="false">AD386</f>
        <v>0</v>
      </c>
      <c r="DR386" s="181" t="n">
        <f aca="false">AE386</f>
        <v>0</v>
      </c>
      <c r="DS386" s="181" t="n">
        <f aca="false">AF386</f>
        <v>0</v>
      </c>
    </row>
    <row r="387" customFormat="false" ht="12.75" hidden="false" customHeight="false" outlineLevel="0" collapsed="false">
      <c r="B387" s="135"/>
      <c r="C387" s="131"/>
      <c r="D387" s="62"/>
      <c r="E387" s="62"/>
      <c r="F387" s="62"/>
      <c r="G387" s="62"/>
      <c r="H387" s="62"/>
      <c r="I387" s="62"/>
      <c r="J387" s="62"/>
      <c r="K387" s="62"/>
      <c r="L387" s="62"/>
      <c r="M387" s="14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14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0"/>
      <c r="CP387" s="0"/>
      <c r="CQ387" s="0"/>
      <c r="CR387" s="0"/>
      <c r="CS387" s="0"/>
      <c r="CT387" s="0"/>
      <c r="CU387" s="116"/>
      <c r="CV387" s="145"/>
      <c r="CW387" s="234"/>
      <c r="CX387" s="234"/>
      <c r="CY387" s="180" t="n">
        <f aca="false">EOMONTH(CY386,0)+1</f>
        <v>48245</v>
      </c>
      <c r="CZ387" s="181" t="n">
        <f aca="false">IF(AI387=0,CZ375,AH387+AI387)</f>
        <v>0.2</v>
      </c>
      <c r="DA387" s="181" t="n">
        <f aca="false">IF(AI387=0,DA375,AI387)</f>
        <v>0.25</v>
      </c>
      <c r="DB387" s="181" t="n">
        <f aca="false">IF(AI387=0,DB375,AI387+AJ387)</f>
        <v>0.3</v>
      </c>
      <c r="DD387" s="161" t="n">
        <f aca="false">IF(Z387=0,DD375,Z387)</f>
        <v>0.16</v>
      </c>
      <c r="DE387" s="161" t="n">
        <f aca="false">IF(AA387=0,DE375,AA387)</f>
        <v>0.2</v>
      </c>
      <c r="DF387" s="161" t="n">
        <f aca="false">IF(AB387=0,DF375,AB387)</f>
        <v>0.24</v>
      </c>
      <c r="DG387" s="234"/>
      <c r="DH387" s="180" t="n">
        <f aca="false">IF(BH387=0,EOMONTH(DH386,0)+1,BH387)</f>
        <v>48245</v>
      </c>
      <c r="DI387" s="231" t="n">
        <f aca="false">IF(BI387=0,DI375,BI387)</f>
        <v>0.75</v>
      </c>
      <c r="DL387" s="180" t="n">
        <f aca="false">IF($M387=0,EOMONTH(DL386,0)+1,$M387)</f>
        <v>48245</v>
      </c>
      <c r="DM387" s="181" t="n">
        <f aca="false">IF(AV387=0,DM375,AU387+AV387)</f>
        <v>0.12</v>
      </c>
      <c r="DN387" s="181" t="n">
        <f aca="false">IF(AM387=0,DN375,AM387)</f>
        <v>0.15</v>
      </c>
      <c r="DO387" s="181" t="n">
        <f aca="false">IF(AV387=0,DO375,AV387+AW387)</f>
        <v>0.18</v>
      </c>
      <c r="DQ387" s="181" t="n">
        <f aca="false">AD387</f>
        <v>0</v>
      </c>
      <c r="DR387" s="181" t="n">
        <f aca="false">AE387</f>
        <v>0</v>
      </c>
      <c r="DS387" s="181" t="n">
        <f aca="false">AF387</f>
        <v>0</v>
      </c>
    </row>
    <row r="388" customFormat="false" ht="12.75" hidden="false" customHeight="false" outlineLevel="0" collapsed="false">
      <c r="B388" s="135"/>
      <c r="C388" s="131"/>
      <c r="D388" s="62"/>
      <c r="E388" s="62"/>
      <c r="F388" s="62"/>
      <c r="G388" s="62"/>
      <c r="H388" s="62"/>
      <c r="I388" s="62"/>
      <c r="J388" s="62"/>
      <c r="K388" s="62"/>
      <c r="L388" s="62"/>
      <c r="M388" s="14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14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0"/>
      <c r="CP388" s="0"/>
      <c r="CQ388" s="0"/>
      <c r="CR388" s="0"/>
      <c r="CS388" s="0"/>
      <c r="CT388" s="0"/>
      <c r="CU388" s="116"/>
      <c r="CV388" s="145"/>
      <c r="CW388" s="234"/>
      <c r="CX388" s="234"/>
      <c r="CY388" s="180" t="n">
        <f aca="false">EOMONTH(CY387,0)+1</f>
        <v>48274</v>
      </c>
      <c r="CZ388" s="181" t="n">
        <f aca="false">IF(AI388=0,CZ376,AH388+AI388)</f>
        <v>0.2</v>
      </c>
      <c r="DA388" s="181" t="n">
        <f aca="false">IF(AI388=0,DA376,AI388)</f>
        <v>0.25</v>
      </c>
      <c r="DB388" s="181" t="n">
        <f aca="false">IF(AI388=0,DB376,AI388+AJ388)</f>
        <v>0.3</v>
      </c>
      <c r="DD388" s="161" t="n">
        <f aca="false">IF(Z388=0,DD376,Z388)</f>
        <v>0.16</v>
      </c>
      <c r="DE388" s="161" t="n">
        <f aca="false">IF(AA388=0,DE376,AA388)</f>
        <v>0.2</v>
      </c>
      <c r="DF388" s="161" t="n">
        <f aca="false">IF(AB388=0,DF376,AB388)</f>
        <v>0.24</v>
      </c>
      <c r="DG388" s="234"/>
      <c r="DH388" s="180" t="n">
        <f aca="false">IF(BH388=0,EOMONTH(DH387,0)+1,BH388)</f>
        <v>48274</v>
      </c>
      <c r="DI388" s="231" t="n">
        <f aca="false">IF(BI388=0,DI376,BI388)</f>
        <v>0.75</v>
      </c>
      <c r="DL388" s="180" t="n">
        <f aca="false">IF($M388=0,EOMONTH(DL387,0)+1,$M388)</f>
        <v>48274</v>
      </c>
      <c r="DM388" s="181" t="n">
        <f aca="false">IF(AV388=0,DM376,AU388+AV388)</f>
        <v>0.12</v>
      </c>
      <c r="DN388" s="181" t="n">
        <f aca="false">IF(AM388=0,DN376,AM388)</f>
        <v>0.15</v>
      </c>
      <c r="DO388" s="181" t="n">
        <f aca="false">IF(AV388=0,DO376,AV388+AW388)</f>
        <v>0.18</v>
      </c>
      <c r="DQ388" s="181" t="n">
        <f aca="false">AD388</f>
        <v>0</v>
      </c>
      <c r="DR388" s="181" t="n">
        <f aca="false">AE388</f>
        <v>0</v>
      </c>
      <c r="DS388" s="181" t="n">
        <f aca="false">AF388</f>
        <v>0</v>
      </c>
    </row>
    <row r="389" customFormat="false" ht="12.75" hidden="false" customHeight="false" outlineLevel="0" collapsed="false">
      <c r="B389" s="135"/>
      <c r="C389" s="131"/>
      <c r="D389" s="62"/>
      <c r="E389" s="62"/>
      <c r="F389" s="62"/>
      <c r="G389" s="62"/>
      <c r="H389" s="62"/>
      <c r="I389" s="62"/>
      <c r="J389" s="62"/>
      <c r="K389" s="62"/>
      <c r="L389" s="62"/>
      <c r="M389" s="14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14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0"/>
      <c r="CP389" s="0"/>
      <c r="CQ389" s="0"/>
      <c r="CR389" s="0"/>
      <c r="CS389" s="0"/>
      <c r="CT389" s="0"/>
      <c r="CU389" s="116"/>
      <c r="CV389" s="145"/>
      <c r="CW389" s="234"/>
      <c r="CX389" s="234"/>
      <c r="CY389" s="180" t="n">
        <f aca="false">EOMONTH(CY388,0)+1</f>
        <v>48305</v>
      </c>
      <c r="CZ389" s="181" t="n">
        <f aca="false">IF(AI389=0,CZ377,AH389+AI389)</f>
        <v>0.2</v>
      </c>
      <c r="DA389" s="181" t="n">
        <f aca="false">IF(AI389=0,DA377,AI389)</f>
        <v>0.25</v>
      </c>
      <c r="DB389" s="181" t="n">
        <f aca="false">IF(AI389=0,DB377,AI389+AJ389)</f>
        <v>0.3</v>
      </c>
      <c r="DD389" s="161" t="n">
        <f aca="false">IF(Z389=0,DD377,Z389)</f>
        <v>0.16</v>
      </c>
      <c r="DE389" s="161" t="n">
        <f aca="false">IF(AA389=0,DE377,AA389)</f>
        <v>0.2</v>
      </c>
      <c r="DF389" s="161" t="n">
        <f aca="false">IF(AB389=0,DF377,AB389)</f>
        <v>0.24</v>
      </c>
      <c r="DG389" s="234"/>
      <c r="DH389" s="180" t="n">
        <f aca="false">IF(BH389=0,EOMONTH(DH388,0)+1,BH389)</f>
        <v>48305</v>
      </c>
      <c r="DI389" s="231" t="n">
        <f aca="false">IF(BI389=0,DI377,BI389)</f>
        <v>0.75</v>
      </c>
      <c r="DL389" s="180" t="n">
        <f aca="false">IF($M389=0,EOMONTH(DL388,0)+1,$M389)</f>
        <v>48305</v>
      </c>
      <c r="DM389" s="181" t="n">
        <f aca="false">IF(AV389=0,DM377,AU389+AV389)</f>
        <v>0.12</v>
      </c>
      <c r="DN389" s="181" t="n">
        <f aca="false">IF(AM389=0,DN377,AM389)</f>
        <v>0.15</v>
      </c>
      <c r="DO389" s="181" t="n">
        <f aca="false">IF(AV389=0,DO377,AV389+AW389)</f>
        <v>0.18</v>
      </c>
      <c r="DQ389" s="181" t="n">
        <f aca="false">AD389</f>
        <v>0</v>
      </c>
      <c r="DR389" s="181" t="n">
        <f aca="false">AE389</f>
        <v>0</v>
      </c>
      <c r="DS389" s="181" t="n">
        <f aca="false">AF389</f>
        <v>0</v>
      </c>
    </row>
    <row r="390" customFormat="false" ht="12.75" hidden="false" customHeight="false" outlineLevel="0" collapsed="false">
      <c r="B390" s="135"/>
      <c r="C390" s="131"/>
      <c r="D390" s="62"/>
      <c r="E390" s="62"/>
      <c r="F390" s="62"/>
      <c r="G390" s="62"/>
      <c r="H390" s="62"/>
      <c r="I390" s="62"/>
      <c r="J390" s="62"/>
      <c r="K390" s="62"/>
      <c r="L390" s="62"/>
      <c r="M390" s="14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14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0"/>
      <c r="CP390" s="0"/>
      <c r="CQ390" s="0"/>
      <c r="CR390" s="0"/>
      <c r="CS390" s="0"/>
      <c r="CT390" s="0"/>
      <c r="CU390" s="116"/>
      <c r="CV390" s="145"/>
      <c r="CW390" s="234"/>
      <c r="CX390" s="234"/>
      <c r="CY390" s="180" t="n">
        <f aca="false">EOMONTH(CY389,0)+1</f>
        <v>48335</v>
      </c>
      <c r="CZ390" s="181" t="n">
        <f aca="false">IF(AI390=0,CZ378,AH390+AI390)</f>
        <v>0.2</v>
      </c>
      <c r="DA390" s="181" t="n">
        <f aca="false">IF(AI390=0,DA378,AI390)</f>
        <v>0.25</v>
      </c>
      <c r="DB390" s="181" t="n">
        <f aca="false">IF(AI390=0,DB378,AI390+AJ390)</f>
        <v>0.3</v>
      </c>
      <c r="DD390" s="161" t="n">
        <f aca="false">IF(Z390=0,DD378,Z390)</f>
        <v>0.16</v>
      </c>
      <c r="DE390" s="161" t="n">
        <f aca="false">IF(AA390=0,DE378,AA390)</f>
        <v>0.2</v>
      </c>
      <c r="DF390" s="161" t="n">
        <f aca="false">IF(AB390=0,DF378,AB390)</f>
        <v>0.24</v>
      </c>
      <c r="DG390" s="234"/>
      <c r="DH390" s="180" t="n">
        <f aca="false">IF(BH390=0,EOMONTH(DH389,0)+1,BH390)</f>
        <v>48335</v>
      </c>
      <c r="DI390" s="231" t="n">
        <f aca="false">IF(BI390=0,DI378,BI390)</f>
        <v>0.75</v>
      </c>
      <c r="DL390" s="180" t="n">
        <f aca="false">IF($M390=0,EOMONTH(DL389,0)+1,$M390)</f>
        <v>48335</v>
      </c>
      <c r="DM390" s="181" t="n">
        <f aca="false">IF(AV390=0,DM378,AU390+AV390)</f>
        <v>0.12</v>
      </c>
      <c r="DN390" s="181" t="n">
        <f aca="false">IF(AM390=0,DN378,AM390)</f>
        <v>0.15</v>
      </c>
      <c r="DO390" s="181" t="n">
        <f aca="false">IF(AV390=0,DO378,AV390+AW390)</f>
        <v>0.18</v>
      </c>
      <c r="DQ390" s="181" t="n">
        <f aca="false">AD390</f>
        <v>0</v>
      </c>
      <c r="DR390" s="181" t="n">
        <f aca="false">AE390</f>
        <v>0</v>
      </c>
      <c r="DS390" s="181" t="n">
        <f aca="false">AF390</f>
        <v>0</v>
      </c>
    </row>
    <row r="391" customFormat="false" ht="12.75" hidden="false" customHeight="false" outlineLevel="0" collapsed="false">
      <c r="B391" s="135"/>
      <c r="C391" s="131"/>
      <c r="D391" s="62"/>
      <c r="E391" s="62"/>
      <c r="F391" s="62"/>
      <c r="G391" s="62"/>
      <c r="H391" s="62"/>
      <c r="I391" s="62"/>
      <c r="J391" s="62"/>
      <c r="K391" s="62"/>
      <c r="L391" s="62"/>
      <c r="M391" s="14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14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0"/>
      <c r="CP391" s="0"/>
      <c r="CQ391" s="0"/>
      <c r="CR391" s="0"/>
      <c r="CS391" s="0"/>
      <c r="CT391" s="0"/>
      <c r="CU391" s="116"/>
      <c r="CV391" s="145"/>
      <c r="CW391" s="234"/>
      <c r="CX391" s="234"/>
      <c r="CY391" s="180" t="n">
        <f aca="false">EOMONTH(CY390,0)+1</f>
        <v>48366</v>
      </c>
      <c r="CZ391" s="181" t="n">
        <f aca="false">IF(AI391=0,CZ379,AH391+AI391)</f>
        <v>0.2</v>
      </c>
      <c r="DA391" s="181" t="n">
        <f aca="false">IF(AI391=0,DA379,AI391)</f>
        <v>0.25</v>
      </c>
      <c r="DB391" s="181" t="n">
        <f aca="false">IF(AI391=0,DB379,AI391+AJ391)</f>
        <v>0.3</v>
      </c>
      <c r="DD391" s="161" t="n">
        <f aca="false">IF(Z391=0,DD379,Z391)</f>
        <v>0.16</v>
      </c>
      <c r="DE391" s="161" t="n">
        <f aca="false">IF(AA391=0,DE379,AA391)</f>
        <v>0.2</v>
      </c>
      <c r="DF391" s="161" t="n">
        <f aca="false">IF(AB391=0,DF379,AB391)</f>
        <v>0.24</v>
      </c>
      <c r="DG391" s="234"/>
      <c r="DH391" s="180" t="n">
        <f aca="false">IF(BH391=0,EOMONTH(DH390,0)+1,BH391)</f>
        <v>48366</v>
      </c>
      <c r="DI391" s="231" t="n">
        <f aca="false">IF(BI391=0,DI379,BI391)</f>
        <v>0.75</v>
      </c>
      <c r="DL391" s="180" t="n">
        <f aca="false">IF($M391=0,EOMONTH(DL390,0)+1,$M391)</f>
        <v>48366</v>
      </c>
      <c r="DM391" s="181" t="n">
        <f aca="false">IF(AV391=0,DM379,AU391+AV391)</f>
        <v>0.12</v>
      </c>
      <c r="DN391" s="181" t="n">
        <f aca="false">IF(AM391=0,DN379,AM391)</f>
        <v>0.15</v>
      </c>
      <c r="DO391" s="181" t="n">
        <f aca="false">IF(AV391=0,DO379,AV391+AW391)</f>
        <v>0.18</v>
      </c>
      <c r="DQ391" s="181" t="n">
        <f aca="false">AD391</f>
        <v>0</v>
      </c>
      <c r="DR391" s="181" t="n">
        <f aca="false">AE391</f>
        <v>0</v>
      </c>
      <c r="DS391" s="181" t="n">
        <f aca="false">AF391</f>
        <v>0</v>
      </c>
    </row>
    <row r="392" customFormat="false" ht="12.75" hidden="false" customHeight="false" outlineLevel="0" collapsed="false">
      <c r="B392" s="135"/>
      <c r="C392" s="131"/>
      <c r="D392" s="62"/>
      <c r="E392" s="62"/>
      <c r="F392" s="62"/>
      <c r="G392" s="62"/>
      <c r="H392" s="62"/>
      <c r="I392" s="62"/>
      <c r="J392" s="62"/>
      <c r="K392" s="62"/>
      <c r="L392" s="62"/>
      <c r="M392" s="14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14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0"/>
      <c r="CP392" s="0"/>
      <c r="CQ392" s="0"/>
      <c r="CR392" s="0"/>
      <c r="CS392" s="0"/>
      <c r="CT392" s="0"/>
      <c r="CU392" s="116"/>
      <c r="CV392" s="145"/>
      <c r="CW392" s="234"/>
      <c r="CX392" s="234"/>
      <c r="CY392" s="180" t="n">
        <f aca="false">EOMONTH(CY391,0)+1</f>
        <v>48396</v>
      </c>
      <c r="CZ392" s="181" t="n">
        <f aca="false">IF(AI392=0,CZ380,AH392+AI392)</f>
        <v>0.32</v>
      </c>
      <c r="DA392" s="181" t="n">
        <f aca="false">IF(AI392=0,DA380,AI392)</f>
        <v>0.4</v>
      </c>
      <c r="DB392" s="181" t="n">
        <f aca="false">IF(AI392=0,DB380,AI392+AJ392)</f>
        <v>0.48</v>
      </c>
      <c r="DD392" s="161" t="n">
        <f aca="false">IF(Z392=0,DD380,Z392)</f>
        <v>0.24</v>
      </c>
      <c r="DE392" s="161" t="n">
        <f aca="false">IF(AA392=0,DE380,AA392)</f>
        <v>0.3</v>
      </c>
      <c r="DF392" s="161" t="n">
        <f aca="false">IF(AB392=0,DF380,AB392)</f>
        <v>0.36</v>
      </c>
      <c r="DG392" s="234"/>
      <c r="DH392" s="180" t="n">
        <f aca="false">IF(BH392=0,EOMONTH(DH391,0)+1,BH392)</f>
        <v>48396</v>
      </c>
      <c r="DI392" s="231" t="n">
        <f aca="false">IF(BI392=0,DI380,BI392)</f>
        <v>0.75</v>
      </c>
      <c r="DL392" s="180" t="n">
        <f aca="false">IF($M392=0,EOMONTH(DL391,0)+1,$M392)</f>
        <v>48396</v>
      </c>
      <c r="DM392" s="181" t="n">
        <f aca="false">IF(AV392=0,DM380,AU392+AV392)</f>
        <v>0.192</v>
      </c>
      <c r="DN392" s="181" t="n">
        <f aca="false">IF(AM392=0,DN380,AM392)</f>
        <v>0.24</v>
      </c>
      <c r="DO392" s="181" t="n">
        <f aca="false">IF(AV392=0,DO380,AV392+AW392)</f>
        <v>0.288</v>
      </c>
      <c r="DQ392" s="181" t="n">
        <f aca="false">AD392</f>
        <v>0</v>
      </c>
      <c r="DR392" s="181" t="n">
        <f aca="false">AE392</f>
        <v>0</v>
      </c>
      <c r="DS392" s="181" t="n">
        <f aca="false">AF392</f>
        <v>0</v>
      </c>
    </row>
    <row r="393" customFormat="false" ht="12.75" hidden="false" customHeight="false" outlineLevel="0" collapsed="false">
      <c r="B393" s="135"/>
      <c r="C393" s="131"/>
      <c r="D393" s="62"/>
      <c r="E393" s="62"/>
      <c r="F393" s="62"/>
      <c r="G393" s="62"/>
      <c r="H393" s="62"/>
      <c r="I393" s="62"/>
      <c r="J393" s="62"/>
      <c r="K393" s="62"/>
      <c r="L393" s="62"/>
      <c r="M393" s="14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14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0"/>
      <c r="CP393" s="0"/>
      <c r="CQ393" s="0"/>
      <c r="CR393" s="0"/>
      <c r="CS393" s="0"/>
      <c r="CT393" s="0"/>
      <c r="CU393" s="116"/>
      <c r="CV393" s="145"/>
      <c r="CW393" s="234"/>
      <c r="CX393" s="234"/>
      <c r="CY393" s="180" t="n">
        <f aca="false">EOMONTH(CY392,0)+1</f>
        <v>48427</v>
      </c>
      <c r="CZ393" s="181" t="n">
        <f aca="false">IF(AI393=0,CZ381,AH393+AI393)</f>
        <v>0.32</v>
      </c>
      <c r="DA393" s="181" t="n">
        <f aca="false">IF(AI393=0,DA381,AI393)</f>
        <v>0.4</v>
      </c>
      <c r="DB393" s="181" t="n">
        <f aca="false">IF(AI393=0,DB381,AI393+AJ393)</f>
        <v>0.48</v>
      </c>
      <c r="DD393" s="161" t="n">
        <f aca="false">IF(Z393=0,DD381,Z393)</f>
        <v>0.24</v>
      </c>
      <c r="DE393" s="161" t="n">
        <f aca="false">IF(AA393=0,DE381,AA393)</f>
        <v>0.3</v>
      </c>
      <c r="DF393" s="161" t="n">
        <f aca="false">IF(AB393=0,DF381,AB393)</f>
        <v>0.36</v>
      </c>
      <c r="DG393" s="234"/>
      <c r="DH393" s="180" t="n">
        <f aca="false">IF(BH393=0,EOMONTH(DH392,0)+1,BH393)</f>
        <v>48427</v>
      </c>
      <c r="DI393" s="231" t="n">
        <f aca="false">IF(BI393=0,DI381,BI393)</f>
        <v>0.75</v>
      </c>
      <c r="DL393" s="180" t="n">
        <f aca="false">IF($M393=0,EOMONTH(DL392,0)+1,$M393)</f>
        <v>48427</v>
      </c>
      <c r="DM393" s="181" t="n">
        <f aca="false">IF(AV393=0,DM381,AU393+AV393)</f>
        <v>0.192</v>
      </c>
      <c r="DN393" s="181" t="n">
        <f aca="false">IF(AM393=0,DN381,AM393)</f>
        <v>0.24</v>
      </c>
      <c r="DO393" s="181" t="n">
        <f aca="false">IF(AV393=0,DO381,AV393+AW393)</f>
        <v>0.288</v>
      </c>
      <c r="DQ393" s="181" t="n">
        <f aca="false">AD393</f>
        <v>0</v>
      </c>
      <c r="DR393" s="181" t="n">
        <f aca="false">AE393</f>
        <v>0</v>
      </c>
      <c r="DS393" s="181" t="n">
        <f aca="false">AF393</f>
        <v>0</v>
      </c>
    </row>
    <row r="394" customFormat="false" ht="12.75" hidden="false" customHeight="false" outlineLevel="0" collapsed="false">
      <c r="B394" s="135"/>
      <c r="C394" s="131"/>
      <c r="D394" s="62"/>
      <c r="E394" s="62"/>
      <c r="F394" s="62"/>
      <c r="G394" s="62"/>
      <c r="H394" s="62"/>
      <c r="I394" s="62"/>
      <c r="J394" s="62"/>
      <c r="K394" s="62"/>
      <c r="L394" s="62"/>
      <c r="M394" s="14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14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0"/>
      <c r="CP394" s="0"/>
      <c r="CQ394" s="0"/>
      <c r="CR394" s="0"/>
      <c r="CS394" s="0"/>
      <c r="CT394" s="0"/>
      <c r="CU394" s="116"/>
      <c r="CV394" s="145"/>
      <c r="CW394" s="234"/>
      <c r="CX394" s="234"/>
      <c r="CY394" s="180" t="n">
        <f aca="false">EOMONTH(CY393,0)+1</f>
        <v>48458</v>
      </c>
      <c r="CZ394" s="181" t="n">
        <f aca="false">IF(AI394=0,CZ382,AH394+AI394)</f>
        <v>0.2</v>
      </c>
      <c r="DA394" s="181" t="n">
        <f aca="false">IF(AI394=0,DA382,AI394)</f>
        <v>0.25</v>
      </c>
      <c r="DB394" s="181" t="n">
        <f aca="false">IF(AI394=0,DB382,AI394+AJ394)</f>
        <v>0.3</v>
      </c>
      <c r="DD394" s="161" t="n">
        <f aca="false">IF(Z394=0,DD382,Z394)</f>
        <v>0.16</v>
      </c>
      <c r="DE394" s="161" t="n">
        <f aca="false">IF(AA394=0,DE382,AA394)</f>
        <v>0.2</v>
      </c>
      <c r="DF394" s="161" t="n">
        <f aca="false">IF(AB394=0,DF382,AB394)</f>
        <v>0.24</v>
      </c>
      <c r="DG394" s="234"/>
      <c r="DH394" s="180" t="n">
        <f aca="false">IF(BH394=0,EOMONTH(DH393,0)+1,BH394)</f>
        <v>48458</v>
      </c>
      <c r="DI394" s="231" t="n">
        <f aca="false">IF(BI394=0,DI382,BI394)</f>
        <v>0.75</v>
      </c>
      <c r="DL394" s="180" t="n">
        <f aca="false">IF($M394=0,EOMONTH(DL393,0)+1,$M394)</f>
        <v>48458</v>
      </c>
      <c r="DM394" s="181" t="n">
        <f aca="false">IF(AV394=0,DM382,AU394+AV394)</f>
        <v>0.12</v>
      </c>
      <c r="DN394" s="181" t="n">
        <f aca="false">IF(AM394=0,DN382,AM394)</f>
        <v>0.15</v>
      </c>
      <c r="DO394" s="181" t="n">
        <f aca="false">IF(AV394=0,DO382,AV394+AW394)</f>
        <v>0.18</v>
      </c>
      <c r="DQ394" s="181" t="n">
        <f aca="false">AD394</f>
        <v>0</v>
      </c>
      <c r="DR394" s="181" t="n">
        <f aca="false">AE394</f>
        <v>0</v>
      </c>
      <c r="DS394" s="181" t="n">
        <f aca="false">AF394</f>
        <v>0</v>
      </c>
    </row>
    <row r="395" customFormat="false" ht="12.75" hidden="false" customHeight="false" outlineLevel="0" collapsed="false">
      <c r="B395" s="135"/>
      <c r="C395" s="131"/>
      <c r="D395" s="62"/>
      <c r="E395" s="62"/>
      <c r="F395" s="62"/>
      <c r="G395" s="62"/>
      <c r="H395" s="62"/>
      <c r="I395" s="62"/>
      <c r="J395" s="62"/>
      <c r="K395" s="62"/>
      <c r="L395" s="62"/>
      <c r="M395" s="14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14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0"/>
      <c r="CP395" s="0"/>
      <c r="CQ395" s="0"/>
      <c r="CR395" s="0"/>
      <c r="CS395" s="0"/>
      <c r="CT395" s="0"/>
      <c r="CU395" s="116"/>
      <c r="CV395" s="145"/>
      <c r="CW395" s="234"/>
      <c r="CX395" s="234"/>
      <c r="CY395" s="180" t="n">
        <f aca="false">EOMONTH(CY394,0)+1</f>
        <v>48488</v>
      </c>
      <c r="CZ395" s="181" t="n">
        <f aca="false">IF(AI395=0,CZ383,AH395+AI395)</f>
        <v>0.2</v>
      </c>
      <c r="DA395" s="181" t="n">
        <f aca="false">IF(AI395=0,DA383,AI395)</f>
        <v>0.25</v>
      </c>
      <c r="DB395" s="181" t="n">
        <f aca="false">IF(AI395=0,DB383,AI395+AJ395)</f>
        <v>0.3</v>
      </c>
      <c r="DD395" s="161" t="n">
        <f aca="false">IF(Z395=0,DD383,Z395)</f>
        <v>0.16</v>
      </c>
      <c r="DE395" s="161" t="n">
        <f aca="false">IF(AA395=0,DE383,AA395)</f>
        <v>0.2</v>
      </c>
      <c r="DF395" s="161" t="n">
        <f aca="false">IF(AB395=0,DF383,AB395)</f>
        <v>0.24</v>
      </c>
      <c r="DG395" s="234"/>
      <c r="DH395" s="180" t="n">
        <f aca="false">IF(BH395=0,EOMONTH(DH394,0)+1,BH395)</f>
        <v>48488</v>
      </c>
      <c r="DI395" s="231" t="n">
        <f aca="false">IF(BI395=0,DI383,BI395)</f>
        <v>0.75</v>
      </c>
      <c r="DL395" s="180" t="n">
        <f aca="false">IF($M395=0,EOMONTH(DL394,0)+1,$M395)</f>
        <v>48488</v>
      </c>
      <c r="DM395" s="181" t="n">
        <f aca="false">IF(AV395=0,DM383,AU395+AV395)</f>
        <v>0.12</v>
      </c>
      <c r="DN395" s="181" t="n">
        <f aca="false">IF(AM395=0,DN383,AM395)</f>
        <v>0.15</v>
      </c>
      <c r="DO395" s="181" t="n">
        <f aca="false">IF(AV395=0,DO383,AV395+AW395)</f>
        <v>0.18</v>
      </c>
      <c r="DQ395" s="181" t="n">
        <f aca="false">AD395</f>
        <v>0</v>
      </c>
      <c r="DR395" s="181" t="n">
        <f aca="false">AE395</f>
        <v>0</v>
      </c>
      <c r="DS395" s="181" t="n">
        <f aca="false">AF395</f>
        <v>0</v>
      </c>
    </row>
    <row r="396" customFormat="false" ht="12.75" hidden="false" customHeight="false" outlineLevel="0" collapsed="false">
      <c r="B396" s="135"/>
      <c r="C396" s="131"/>
      <c r="D396" s="62"/>
      <c r="E396" s="62"/>
      <c r="F396" s="62"/>
      <c r="G396" s="62"/>
      <c r="H396" s="62"/>
      <c r="I396" s="62"/>
      <c r="J396" s="62"/>
      <c r="K396" s="62"/>
      <c r="L396" s="62"/>
      <c r="M396" s="14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14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0"/>
      <c r="CP396" s="0"/>
      <c r="CQ396" s="0"/>
      <c r="CR396" s="0"/>
      <c r="CS396" s="0"/>
      <c r="CT396" s="0"/>
      <c r="CU396" s="116"/>
      <c r="CV396" s="145"/>
      <c r="CW396" s="234"/>
      <c r="CX396" s="234"/>
      <c r="CY396" s="180" t="n">
        <f aca="false">EOMONTH(CY395,0)+1</f>
        <v>48519</v>
      </c>
      <c r="CZ396" s="181" t="n">
        <f aca="false">IF(AI396=0,CZ384,AH396+AI396)</f>
        <v>0.2</v>
      </c>
      <c r="DA396" s="181" t="n">
        <f aca="false">IF(AI396=0,DA384,AI396)</f>
        <v>0.25</v>
      </c>
      <c r="DB396" s="181" t="n">
        <f aca="false">IF(AI396=0,DB384,AI396+AJ396)</f>
        <v>0.3</v>
      </c>
      <c r="DD396" s="161" t="n">
        <f aca="false">IF(Z396=0,DD384,Z396)</f>
        <v>0.16</v>
      </c>
      <c r="DE396" s="161" t="n">
        <f aca="false">IF(AA396=0,DE384,AA396)</f>
        <v>0.2</v>
      </c>
      <c r="DF396" s="161" t="n">
        <f aca="false">IF(AB396=0,DF384,AB396)</f>
        <v>0.24</v>
      </c>
      <c r="DG396" s="234"/>
      <c r="DH396" s="180" t="n">
        <f aca="false">IF(BH396=0,EOMONTH(DH395,0)+1,BH396)</f>
        <v>48519</v>
      </c>
      <c r="DI396" s="231" t="n">
        <f aca="false">IF(BI396=0,DI384,BI396)</f>
        <v>0.75</v>
      </c>
      <c r="DL396" s="180" t="n">
        <f aca="false">IF($M396=0,EOMONTH(DL395,0)+1,$M396)</f>
        <v>48519</v>
      </c>
      <c r="DM396" s="181" t="n">
        <f aca="false">IF(AV396=0,DM384,AU396+AV396)</f>
        <v>0.12</v>
      </c>
      <c r="DN396" s="181" t="n">
        <f aca="false">IF(AM396=0,DN384,AM396)</f>
        <v>0.15</v>
      </c>
      <c r="DO396" s="181" t="n">
        <f aca="false">IF(AV396=0,DO384,AV396+AW396)</f>
        <v>0.18</v>
      </c>
      <c r="DQ396" s="181" t="n">
        <f aca="false">AD396</f>
        <v>0</v>
      </c>
      <c r="DR396" s="181" t="n">
        <f aca="false">AE396</f>
        <v>0</v>
      </c>
      <c r="DS396" s="181" t="n">
        <f aca="false">AF396</f>
        <v>0</v>
      </c>
    </row>
    <row r="397" customFormat="false" ht="12.75" hidden="false" customHeight="false" outlineLevel="0" collapsed="false">
      <c r="B397" s="135"/>
      <c r="C397" s="131"/>
      <c r="D397" s="62"/>
      <c r="E397" s="62"/>
      <c r="F397" s="62"/>
      <c r="G397" s="62"/>
      <c r="H397" s="62"/>
      <c r="I397" s="62"/>
      <c r="J397" s="62"/>
      <c r="K397" s="62"/>
      <c r="L397" s="62"/>
      <c r="M397" s="14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14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0"/>
      <c r="CP397" s="0"/>
      <c r="CQ397" s="0"/>
      <c r="CR397" s="0"/>
      <c r="CS397" s="0"/>
      <c r="CT397" s="0"/>
      <c r="CU397" s="116"/>
      <c r="CV397" s="145"/>
      <c r="CW397" s="234"/>
      <c r="CX397" s="234"/>
      <c r="CY397" s="180" t="n">
        <f aca="false">EOMONTH(CY396,0)+1</f>
        <v>48549</v>
      </c>
      <c r="CZ397" s="181" t="n">
        <f aca="false">IF(AI397=0,CZ385,AH397+AI397)</f>
        <v>0.2</v>
      </c>
      <c r="DA397" s="181" t="n">
        <f aca="false">IF(AI397=0,DA385,AI397)</f>
        <v>0.25</v>
      </c>
      <c r="DB397" s="181" t="n">
        <f aca="false">IF(AI397=0,DB385,AI397+AJ397)</f>
        <v>0.3</v>
      </c>
      <c r="DD397" s="161" t="n">
        <f aca="false">IF(Z397=0,DD385,Z397)</f>
        <v>0.16</v>
      </c>
      <c r="DE397" s="161" t="n">
        <f aca="false">IF(AA397=0,DE385,AA397)</f>
        <v>0.2</v>
      </c>
      <c r="DF397" s="161" t="n">
        <f aca="false">IF(AB397=0,DF385,AB397)</f>
        <v>0.24</v>
      </c>
      <c r="DG397" s="234"/>
      <c r="DH397" s="180" t="n">
        <f aca="false">IF(BH397=0,EOMONTH(DH396,0)+1,BH397)</f>
        <v>48549</v>
      </c>
      <c r="DI397" s="231" t="n">
        <f aca="false">IF(BI397=0,DI385,BI397)</f>
        <v>0.75</v>
      </c>
      <c r="DL397" s="180" t="n">
        <f aca="false">IF($M397=0,EOMONTH(DL396,0)+1,$M397)</f>
        <v>48549</v>
      </c>
      <c r="DM397" s="181" t="n">
        <f aca="false">IF(AV397=0,DM385,AU397+AV397)</f>
        <v>0.12</v>
      </c>
      <c r="DN397" s="181" t="n">
        <f aca="false">IF(AM397=0,DN385,AM397)</f>
        <v>0.15</v>
      </c>
      <c r="DO397" s="181" t="n">
        <f aca="false">IF(AV397=0,DO385,AV397+AW397)</f>
        <v>0.18</v>
      </c>
      <c r="DQ397" s="181" t="n">
        <f aca="false">AD397</f>
        <v>0</v>
      </c>
      <c r="DR397" s="181" t="n">
        <f aca="false">AE397</f>
        <v>0</v>
      </c>
      <c r="DS397" s="181" t="n">
        <f aca="false">AF397</f>
        <v>0</v>
      </c>
    </row>
    <row r="398" customFormat="false" ht="12.75" hidden="false" customHeight="false" outlineLevel="0" collapsed="false">
      <c r="B398" s="135"/>
      <c r="C398" s="131"/>
      <c r="D398" s="62"/>
      <c r="E398" s="62"/>
      <c r="F398" s="62"/>
      <c r="G398" s="62"/>
      <c r="H398" s="62"/>
      <c r="I398" s="62"/>
      <c r="J398" s="62"/>
      <c r="K398" s="62"/>
      <c r="L398" s="62"/>
      <c r="M398" s="14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14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0"/>
      <c r="CP398" s="0"/>
      <c r="CQ398" s="0"/>
      <c r="CR398" s="0"/>
      <c r="CS398" s="0"/>
      <c r="CT398" s="0"/>
      <c r="CU398" s="116"/>
      <c r="CV398" s="145"/>
      <c r="CW398" s="234"/>
      <c r="CX398" s="234"/>
      <c r="CY398" s="180" t="n">
        <f aca="false">EOMONTH(CY397,0)+1</f>
        <v>48580</v>
      </c>
      <c r="CZ398" s="181" t="n">
        <f aca="false">IF(AI398=0,CZ386,AH398+AI398)</f>
        <v>0</v>
      </c>
      <c r="DA398" s="181" t="n">
        <f aca="false">IF(AI398=0,DA386,AI398)</f>
        <v>0</v>
      </c>
      <c r="DB398" s="181" t="n">
        <f aca="false">IF(AI398=0,DB386,AI398+AJ398)</f>
        <v>0</v>
      </c>
      <c r="DD398" s="161" t="n">
        <f aca="false">IF(Z398=0,DD386,Z398)</f>
        <v>0</v>
      </c>
      <c r="DE398" s="161" t="n">
        <f aca="false">IF(AA398=0,DE386,AA398)</f>
        <v>0</v>
      </c>
      <c r="DF398" s="161" t="n">
        <f aca="false">IF(AB398=0,DF386,AB398)</f>
        <v>0</v>
      </c>
      <c r="DG398" s="234"/>
      <c r="DH398" s="180" t="n">
        <f aca="false">IF(BH398=0,EOMONTH(DH397,0)+1,BH398)</f>
        <v>48580</v>
      </c>
      <c r="DI398" s="231" t="n">
        <f aca="false">IF(BI398=0,DI386,BI398)</f>
        <v>0</v>
      </c>
      <c r="DL398" s="180" t="n">
        <f aca="false">IF($M398=0,EOMONTH(DL397,0)+1,$M398)</f>
        <v>48580</v>
      </c>
      <c r="DM398" s="181" t="n">
        <f aca="false">IF(AV398=0,DM386,AU398+AV398)</f>
        <v>0</v>
      </c>
      <c r="DN398" s="181" t="n">
        <f aca="false">IF(AM398=0,DN386,AM398)</f>
        <v>0</v>
      </c>
      <c r="DO398" s="181" t="n">
        <f aca="false">IF(AV398=0,DO386,AV398+AW398)</f>
        <v>0</v>
      </c>
      <c r="DQ398" s="181" t="n">
        <f aca="false">AD398</f>
        <v>0</v>
      </c>
      <c r="DR398" s="181" t="n">
        <f aca="false">AE398</f>
        <v>0</v>
      </c>
      <c r="DS398" s="181" t="n">
        <f aca="false">AF398</f>
        <v>0</v>
      </c>
    </row>
    <row r="399" customFormat="false" ht="12.75" hidden="false" customHeight="false" outlineLevel="0" collapsed="false">
      <c r="B399" s="135"/>
      <c r="C399" s="131"/>
      <c r="D399" s="62"/>
      <c r="E399" s="62"/>
      <c r="F399" s="62"/>
      <c r="G399" s="62"/>
      <c r="H399" s="62"/>
      <c r="I399" s="62"/>
      <c r="J399" s="62"/>
      <c r="K399" s="62"/>
      <c r="L399" s="62"/>
      <c r="M399" s="14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14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0"/>
      <c r="CP399" s="0"/>
      <c r="CQ399" s="0"/>
      <c r="CR399" s="0"/>
      <c r="CS399" s="0"/>
      <c r="CT399" s="0"/>
      <c r="CU399" s="116"/>
      <c r="CV399" s="145"/>
      <c r="CW399" s="234"/>
      <c r="CX399" s="234"/>
      <c r="CY399" s="180" t="n">
        <f aca="false">EOMONTH(CY398,0)+1</f>
        <v>48611</v>
      </c>
      <c r="CZ399" s="181" t="n">
        <f aca="false">IF(AI399=0,CZ387,AH399+AI399)</f>
        <v>0.2</v>
      </c>
      <c r="DA399" s="181" t="n">
        <f aca="false">IF(AI399=0,DA387,AI399)</f>
        <v>0.25</v>
      </c>
      <c r="DB399" s="181" t="n">
        <f aca="false">IF(AI399=0,DB387,AI399+AJ399)</f>
        <v>0.3</v>
      </c>
      <c r="DD399" s="161" t="n">
        <f aca="false">IF(Z399=0,DD387,Z399)</f>
        <v>0.16</v>
      </c>
      <c r="DE399" s="161" t="n">
        <f aca="false">IF(AA399=0,DE387,AA399)</f>
        <v>0.2</v>
      </c>
      <c r="DF399" s="161" t="n">
        <f aca="false">IF(AB399=0,DF387,AB399)</f>
        <v>0.24</v>
      </c>
      <c r="DG399" s="234"/>
      <c r="DH399" s="180" t="n">
        <f aca="false">IF(BH399=0,EOMONTH(DH398,0)+1,BH399)</f>
        <v>48611</v>
      </c>
      <c r="DI399" s="231" t="n">
        <f aca="false">IF(BI399=0,DI387,BI399)</f>
        <v>0.75</v>
      </c>
      <c r="DL399" s="180" t="n">
        <f aca="false">IF($M399=0,EOMONTH(DL398,0)+1,$M399)</f>
        <v>48611</v>
      </c>
      <c r="DM399" s="181" t="n">
        <f aca="false">IF(AV399=0,DM387,AU399+AV399)</f>
        <v>0.12</v>
      </c>
      <c r="DN399" s="181" t="n">
        <f aca="false">IF(AM399=0,DN387,AM399)</f>
        <v>0.15</v>
      </c>
      <c r="DO399" s="181" t="n">
        <f aca="false">IF(AV399=0,DO387,AV399+AW399)</f>
        <v>0.18</v>
      </c>
      <c r="DQ399" s="181" t="n">
        <f aca="false">AD399</f>
        <v>0</v>
      </c>
      <c r="DR399" s="181" t="n">
        <f aca="false">AE399</f>
        <v>0</v>
      </c>
      <c r="DS399" s="181" t="n">
        <f aca="false">AF399</f>
        <v>0</v>
      </c>
    </row>
    <row r="400" customFormat="false" ht="12.75" hidden="false" customHeight="false" outlineLevel="0" collapsed="false">
      <c r="B400" s="135"/>
      <c r="C400" s="131"/>
      <c r="D400" s="62"/>
      <c r="E400" s="62"/>
      <c r="F400" s="62"/>
      <c r="G400" s="62"/>
      <c r="H400" s="62"/>
      <c r="I400" s="62"/>
      <c r="J400" s="62"/>
      <c r="K400" s="62"/>
      <c r="L400" s="62"/>
      <c r="M400" s="14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14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0"/>
      <c r="CP400" s="0"/>
      <c r="CQ400" s="0"/>
      <c r="CR400" s="0"/>
      <c r="CS400" s="0"/>
      <c r="CT400" s="0"/>
      <c r="CU400" s="116"/>
      <c r="CV400" s="145"/>
      <c r="CW400" s="234"/>
      <c r="CX400" s="234"/>
      <c r="CY400" s="180" t="n">
        <f aca="false">EOMONTH(CY399,0)+1</f>
        <v>48639</v>
      </c>
      <c r="CZ400" s="181" t="n">
        <f aca="false">IF(AI400=0,CZ388,AH400+AI400)</f>
        <v>0.2</v>
      </c>
      <c r="DA400" s="181" t="n">
        <f aca="false">IF(AI400=0,DA388,AI400)</f>
        <v>0.25</v>
      </c>
      <c r="DB400" s="181" t="n">
        <f aca="false">IF(AI400=0,DB388,AI400+AJ400)</f>
        <v>0.3</v>
      </c>
      <c r="DD400" s="161" t="n">
        <f aca="false">IF(Z400=0,DD388,Z400)</f>
        <v>0.16</v>
      </c>
      <c r="DE400" s="161" t="n">
        <f aca="false">IF(AA400=0,DE388,AA400)</f>
        <v>0.2</v>
      </c>
      <c r="DF400" s="161" t="n">
        <f aca="false">IF(AB400=0,DF388,AB400)</f>
        <v>0.24</v>
      </c>
      <c r="DG400" s="234"/>
      <c r="DH400" s="180" t="n">
        <f aca="false">IF(BH400=0,EOMONTH(DH399,0)+1,BH400)</f>
        <v>48639</v>
      </c>
      <c r="DI400" s="231" t="n">
        <f aca="false">IF(BI400=0,DI388,BI400)</f>
        <v>0.75</v>
      </c>
      <c r="DL400" s="180" t="n">
        <f aca="false">IF($M400=0,EOMONTH(DL399,0)+1,$M400)</f>
        <v>48639</v>
      </c>
      <c r="DM400" s="181" t="n">
        <f aca="false">IF(AV400=0,DM388,AU400+AV400)</f>
        <v>0.12</v>
      </c>
      <c r="DN400" s="181" t="n">
        <f aca="false">IF(AM400=0,DN388,AM400)</f>
        <v>0.15</v>
      </c>
      <c r="DO400" s="181" t="n">
        <f aca="false">IF(AV400=0,DO388,AV400+AW400)</f>
        <v>0.18</v>
      </c>
      <c r="DQ400" s="181" t="n">
        <f aca="false">AD400</f>
        <v>0</v>
      </c>
      <c r="DR400" s="181" t="n">
        <f aca="false">AE400</f>
        <v>0</v>
      </c>
      <c r="DS400" s="181" t="n">
        <f aca="false">AF400</f>
        <v>0</v>
      </c>
    </row>
    <row r="401" customFormat="false" ht="12.75" hidden="false" customHeight="false" outlineLevel="0" collapsed="false">
      <c r="B401" s="135"/>
      <c r="C401" s="131"/>
      <c r="D401" s="62"/>
      <c r="E401" s="62"/>
      <c r="F401" s="62"/>
      <c r="G401" s="62"/>
      <c r="H401" s="62"/>
      <c r="I401" s="62"/>
      <c r="J401" s="62"/>
      <c r="K401" s="62"/>
      <c r="L401" s="62"/>
      <c r="M401" s="14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14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0"/>
      <c r="CP401" s="0"/>
      <c r="CQ401" s="0"/>
      <c r="CR401" s="0"/>
      <c r="CS401" s="0"/>
      <c r="CT401" s="0"/>
      <c r="CU401" s="116"/>
      <c r="CV401" s="145"/>
      <c r="CW401" s="234"/>
      <c r="CX401" s="234"/>
      <c r="CY401" s="180" t="n">
        <f aca="false">EOMONTH(CY400,0)+1</f>
        <v>48670</v>
      </c>
      <c r="CZ401" s="181" t="n">
        <f aca="false">IF(AI401=0,CZ389,AH401+AI401)</f>
        <v>0.2</v>
      </c>
      <c r="DA401" s="181" t="n">
        <f aca="false">IF(AI401=0,DA389,AI401)</f>
        <v>0.25</v>
      </c>
      <c r="DB401" s="181" t="n">
        <f aca="false">IF(AI401=0,DB389,AI401+AJ401)</f>
        <v>0.3</v>
      </c>
      <c r="DD401" s="161" t="n">
        <f aca="false">IF(Z401=0,DD389,Z401)</f>
        <v>0.16</v>
      </c>
      <c r="DE401" s="161" t="n">
        <f aca="false">IF(AA401=0,DE389,AA401)</f>
        <v>0.2</v>
      </c>
      <c r="DF401" s="161" t="n">
        <f aca="false">IF(AB401=0,DF389,AB401)</f>
        <v>0.24</v>
      </c>
      <c r="DG401" s="234"/>
      <c r="DH401" s="180" t="n">
        <f aca="false">IF(BH401=0,EOMONTH(DH400,0)+1,BH401)</f>
        <v>48670</v>
      </c>
      <c r="DI401" s="231" t="n">
        <f aca="false">IF(BI401=0,DI389,BI401)</f>
        <v>0.75</v>
      </c>
      <c r="DL401" s="180" t="n">
        <f aca="false">IF($M401=0,EOMONTH(DL400,0)+1,$M401)</f>
        <v>48670</v>
      </c>
      <c r="DM401" s="181" t="n">
        <f aca="false">IF(AV401=0,DM389,AU401+AV401)</f>
        <v>0.12</v>
      </c>
      <c r="DN401" s="181" t="n">
        <f aca="false">IF(AM401=0,DN389,AM401)</f>
        <v>0.15</v>
      </c>
      <c r="DO401" s="181" t="n">
        <f aca="false">IF(AV401=0,DO389,AV401+AW401)</f>
        <v>0.18</v>
      </c>
      <c r="DQ401" s="181" t="n">
        <f aca="false">AD401</f>
        <v>0</v>
      </c>
      <c r="DR401" s="181" t="n">
        <f aca="false">AE401</f>
        <v>0</v>
      </c>
      <c r="DS401" s="181" t="n">
        <f aca="false">AF401</f>
        <v>0</v>
      </c>
    </row>
    <row r="402" customFormat="false" ht="12.75" hidden="false" customHeight="false" outlineLevel="0" collapsed="false">
      <c r="B402" s="135"/>
      <c r="C402" s="131"/>
      <c r="D402" s="62"/>
      <c r="E402" s="62"/>
      <c r="F402" s="62"/>
      <c r="G402" s="62"/>
      <c r="H402" s="62"/>
      <c r="I402" s="62"/>
      <c r="J402" s="62"/>
      <c r="K402" s="62"/>
      <c r="L402" s="62"/>
      <c r="M402" s="14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14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0"/>
      <c r="CP402" s="0"/>
      <c r="CQ402" s="0"/>
      <c r="CR402" s="0"/>
      <c r="CS402" s="0"/>
      <c r="CT402" s="0"/>
      <c r="CU402" s="116"/>
      <c r="CV402" s="145"/>
      <c r="CW402" s="234"/>
      <c r="CX402" s="234"/>
      <c r="CY402" s="180" t="n">
        <f aca="false">EOMONTH(CY401,0)+1</f>
        <v>48700</v>
      </c>
      <c r="CZ402" s="181" t="n">
        <f aca="false">IF(AI402=0,CZ390,AH402+AI402)</f>
        <v>0.2</v>
      </c>
      <c r="DA402" s="181" t="n">
        <f aca="false">IF(AI402=0,DA390,AI402)</f>
        <v>0.25</v>
      </c>
      <c r="DB402" s="181" t="n">
        <f aca="false">IF(AI402=0,DB390,AI402+AJ402)</f>
        <v>0.3</v>
      </c>
      <c r="DD402" s="161" t="n">
        <f aca="false">IF(Z402=0,DD390,Z402)</f>
        <v>0.16</v>
      </c>
      <c r="DE402" s="161" t="n">
        <f aca="false">IF(AA402=0,DE390,AA402)</f>
        <v>0.2</v>
      </c>
      <c r="DF402" s="161" t="n">
        <f aca="false">IF(AB402=0,DF390,AB402)</f>
        <v>0.24</v>
      </c>
      <c r="DG402" s="234"/>
      <c r="DH402" s="180" t="n">
        <f aca="false">IF(BH402=0,EOMONTH(DH401,0)+1,BH402)</f>
        <v>48700</v>
      </c>
      <c r="DI402" s="231" t="n">
        <f aca="false">IF(BI402=0,DI390,BI402)</f>
        <v>0.75</v>
      </c>
      <c r="DL402" s="180" t="n">
        <f aca="false">IF($M402=0,EOMONTH(DL401,0)+1,$M402)</f>
        <v>48700</v>
      </c>
      <c r="DM402" s="181" t="n">
        <f aca="false">IF(AV402=0,DM390,AU402+AV402)</f>
        <v>0.12</v>
      </c>
      <c r="DN402" s="181" t="n">
        <f aca="false">IF(AM402=0,DN390,AM402)</f>
        <v>0.15</v>
      </c>
      <c r="DO402" s="181" t="n">
        <f aca="false">IF(AV402=0,DO390,AV402+AW402)</f>
        <v>0.18</v>
      </c>
      <c r="DQ402" s="181" t="n">
        <f aca="false">AD402</f>
        <v>0</v>
      </c>
      <c r="DR402" s="181" t="n">
        <f aca="false">AE402</f>
        <v>0</v>
      </c>
      <c r="DS402" s="181" t="n">
        <f aca="false">AF402</f>
        <v>0</v>
      </c>
    </row>
    <row r="403" customFormat="false" ht="12.75" hidden="false" customHeight="false" outlineLevel="0" collapsed="false">
      <c r="B403" s="135"/>
      <c r="C403" s="131"/>
      <c r="D403" s="62"/>
      <c r="E403" s="62"/>
      <c r="F403" s="62"/>
      <c r="G403" s="62"/>
      <c r="H403" s="62"/>
      <c r="I403" s="62"/>
      <c r="J403" s="62"/>
      <c r="K403" s="62"/>
      <c r="L403" s="62"/>
      <c r="M403" s="14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14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0"/>
      <c r="CP403" s="0"/>
      <c r="CQ403" s="0"/>
      <c r="CR403" s="0"/>
      <c r="CS403" s="0"/>
      <c r="CT403" s="0"/>
      <c r="CU403" s="116"/>
      <c r="CV403" s="145"/>
      <c r="CW403" s="234"/>
      <c r="CX403" s="234"/>
      <c r="CY403" s="234"/>
      <c r="CZ403" s="135"/>
      <c r="DA403" s="135"/>
      <c r="DB403" s="135"/>
      <c r="DD403" s="135"/>
      <c r="DF403" s="236"/>
      <c r="DG403" s="234"/>
      <c r="DH403" s="237"/>
      <c r="DI403" s="135"/>
    </row>
    <row r="404" customFormat="false" ht="12.75" hidden="false" customHeight="false" outlineLevel="0" collapsed="false">
      <c r="B404" s="135"/>
      <c r="C404" s="131"/>
      <c r="D404" s="62"/>
      <c r="E404" s="62"/>
      <c r="F404" s="62"/>
      <c r="G404" s="62"/>
      <c r="H404" s="62"/>
      <c r="I404" s="62"/>
      <c r="J404" s="62"/>
      <c r="K404" s="62"/>
      <c r="L404" s="62"/>
      <c r="M404" s="14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14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0"/>
      <c r="CP404" s="0"/>
      <c r="CQ404" s="0"/>
      <c r="CR404" s="0"/>
      <c r="CS404" s="0"/>
      <c r="CT404" s="0"/>
      <c r="CU404" s="116"/>
      <c r="CV404" s="145"/>
      <c r="CW404" s="234"/>
      <c r="CX404" s="234"/>
      <c r="CY404" s="234"/>
      <c r="CZ404" s="135"/>
      <c r="DA404" s="135"/>
      <c r="DB404" s="135"/>
      <c r="DD404" s="135"/>
      <c r="DF404" s="236"/>
      <c r="DG404" s="234"/>
      <c r="DH404" s="237"/>
      <c r="DI404" s="135"/>
    </row>
    <row r="405" customFormat="false" ht="12.75" hidden="false" customHeight="false" outlineLevel="0" collapsed="false">
      <c r="B405" s="135"/>
      <c r="C405" s="131"/>
      <c r="D405" s="62"/>
      <c r="E405" s="62"/>
      <c r="F405" s="62"/>
      <c r="G405" s="62"/>
      <c r="H405" s="62"/>
      <c r="I405" s="62"/>
      <c r="J405" s="62"/>
      <c r="K405" s="62"/>
      <c r="L405" s="62"/>
      <c r="M405" s="14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14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0"/>
      <c r="CP405" s="0"/>
      <c r="CQ405" s="0"/>
      <c r="CR405" s="0"/>
      <c r="CS405" s="0"/>
      <c r="CT405" s="0"/>
      <c r="CU405" s="116"/>
      <c r="CV405" s="145"/>
      <c r="CW405" s="234"/>
      <c r="CX405" s="234"/>
      <c r="CY405" s="234"/>
      <c r="CZ405" s="135"/>
      <c r="DA405" s="135"/>
      <c r="DB405" s="135"/>
      <c r="DD405" s="135"/>
      <c r="DF405" s="236"/>
      <c r="DG405" s="234"/>
      <c r="DH405" s="237"/>
      <c r="DI405" s="135"/>
    </row>
    <row r="406" customFormat="false" ht="12.75" hidden="false" customHeight="false" outlineLevel="0" collapsed="false">
      <c r="B406" s="135"/>
      <c r="C406" s="131"/>
      <c r="D406" s="62"/>
      <c r="E406" s="62"/>
      <c r="F406" s="62"/>
      <c r="G406" s="62"/>
      <c r="H406" s="62"/>
      <c r="I406" s="62"/>
      <c r="J406" s="62"/>
      <c r="K406" s="62"/>
      <c r="L406" s="62"/>
      <c r="M406" s="14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14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0"/>
      <c r="CP406" s="0"/>
      <c r="CQ406" s="0"/>
      <c r="CR406" s="0"/>
      <c r="CS406" s="0"/>
      <c r="CT406" s="0"/>
      <c r="CU406" s="116"/>
      <c r="CV406" s="145"/>
      <c r="CW406" s="234"/>
      <c r="CX406" s="234"/>
      <c r="CY406" s="234"/>
      <c r="CZ406" s="135"/>
      <c r="DA406" s="135"/>
      <c r="DB406" s="135"/>
      <c r="DD406" s="135"/>
      <c r="DF406" s="236"/>
      <c r="DG406" s="234"/>
      <c r="DH406" s="237"/>
      <c r="DI406" s="135"/>
    </row>
    <row r="407" customFormat="false" ht="12.75" hidden="false" customHeight="false" outlineLevel="0" collapsed="false">
      <c r="B407" s="135"/>
      <c r="C407" s="131"/>
      <c r="D407" s="62"/>
      <c r="E407" s="62"/>
      <c r="F407" s="62"/>
      <c r="G407" s="62"/>
      <c r="H407" s="62"/>
      <c r="I407" s="62"/>
      <c r="J407" s="62"/>
      <c r="K407" s="62"/>
      <c r="L407" s="62"/>
      <c r="M407" s="14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14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0"/>
      <c r="CP407" s="0"/>
      <c r="CQ407" s="0"/>
      <c r="CR407" s="0"/>
      <c r="CS407" s="0"/>
      <c r="CT407" s="0"/>
      <c r="CU407" s="116"/>
      <c r="CV407" s="145"/>
      <c r="CW407" s="234"/>
      <c r="CX407" s="234"/>
      <c r="CY407" s="234"/>
      <c r="CZ407" s="135"/>
      <c r="DA407" s="135"/>
      <c r="DB407" s="135"/>
      <c r="DD407" s="135"/>
      <c r="DF407" s="236"/>
      <c r="DG407" s="234"/>
      <c r="DH407" s="237"/>
      <c r="DI407" s="135"/>
    </row>
    <row r="408" customFormat="false" ht="12.75" hidden="false" customHeight="false" outlineLevel="0" collapsed="false">
      <c r="B408" s="135"/>
      <c r="C408" s="131"/>
      <c r="D408" s="62"/>
      <c r="E408" s="62"/>
      <c r="F408" s="62"/>
      <c r="G408" s="62"/>
      <c r="H408" s="62"/>
      <c r="I408" s="62"/>
      <c r="J408" s="62"/>
      <c r="K408" s="62"/>
      <c r="L408" s="62"/>
      <c r="M408" s="14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14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0"/>
      <c r="CP408" s="0"/>
      <c r="CQ408" s="0"/>
      <c r="CR408" s="0"/>
      <c r="CS408" s="0"/>
      <c r="CT408" s="0"/>
      <c r="CU408" s="116"/>
      <c r="CV408" s="145"/>
      <c r="CW408" s="234"/>
      <c r="CX408" s="234"/>
      <c r="CY408" s="234"/>
      <c r="CZ408" s="135"/>
      <c r="DA408" s="135"/>
      <c r="DB408" s="135"/>
      <c r="DD408" s="135"/>
      <c r="DF408" s="236"/>
      <c r="DG408" s="234"/>
      <c r="DH408" s="237"/>
      <c r="DI408" s="135"/>
    </row>
    <row r="409" customFormat="false" ht="12.75" hidden="false" customHeight="false" outlineLevel="0" collapsed="false">
      <c r="B409" s="135"/>
      <c r="C409" s="131"/>
      <c r="D409" s="62"/>
      <c r="E409" s="62"/>
      <c r="F409" s="62"/>
      <c r="G409" s="62"/>
      <c r="H409" s="62"/>
      <c r="I409" s="62"/>
      <c r="J409" s="62"/>
      <c r="K409" s="62"/>
      <c r="L409" s="62"/>
      <c r="M409" s="14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14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0"/>
      <c r="CP409" s="0"/>
      <c r="CQ409" s="0"/>
      <c r="CR409" s="0"/>
      <c r="CS409" s="0"/>
      <c r="CT409" s="0"/>
      <c r="CU409" s="116"/>
      <c r="CV409" s="145"/>
      <c r="CW409" s="234"/>
      <c r="CX409" s="234"/>
      <c r="CY409" s="234"/>
      <c r="CZ409" s="135"/>
      <c r="DA409" s="135"/>
      <c r="DB409" s="135"/>
      <c r="DD409" s="135"/>
      <c r="DF409" s="236"/>
      <c r="DG409" s="234"/>
      <c r="DH409" s="237"/>
      <c r="DI409" s="135"/>
    </row>
    <row r="410" customFormat="false" ht="12.75" hidden="false" customHeight="false" outlineLevel="0" collapsed="false">
      <c r="B410" s="135"/>
      <c r="C410" s="131"/>
      <c r="D410" s="62"/>
      <c r="E410" s="62"/>
      <c r="F410" s="62"/>
      <c r="G410" s="62"/>
      <c r="H410" s="62"/>
      <c r="I410" s="62"/>
      <c r="J410" s="62"/>
      <c r="K410" s="62"/>
      <c r="L410" s="62"/>
      <c r="M410" s="14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14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0"/>
      <c r="CP410" s="0"/>
      <c r="CQ410" s="0"/>
      <c r="CR410" s="0"/>
      <c r="CS410" s="0"/>
      <c r="CT410" s="0"/>
      <c r="CU410" s="116"/>
      <c r="CV410" s="145"/>
      <c r="CW410" s="234"/>
      <c r="CX410" s="234"/>
      <c r="CY410" s="234"/>
      <c r="CZ410" s="135"/>
      <c r="DA410" s="135"/>
      <c r="DB410" s="135"/>
      <c r="DD410" s="135"/>
      <c r="DF410" s="236"/>
      <c r="DG410" s="234"/>
      <c r="DH410" s="237"/>
      <c r="DI410" s="135"/>
    </row>
    <row r="411" customFormat="false" ht="12.75" hidden="false" customHeight="false" outlineLevel="0" collapsed="false">
      <c r="B411" s="135"/>
      <c r="D411" s="62"/>
      <c r="E411" s="62"/>
      <c r="F411" s="62"/>
      <c r="G411" s="62"/>
      <c r="H411" s="62"/>
      <c r="I411" s="62"/>
      <c r="J411" s="62"/>
      <c r="K411" s="62"/>
      <c r="L411" s="62"/>
      <c r="M411" s="14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14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0"/>
      <c r="CP411" s="0"/>
      <c r="CQ411" s="0"/>
      <c r="CR411" s="0"/>
      <c r="CS411" s="0"/>
      <c r="CT411" s="0"/>
      <c r="CU411" s="116"/>
      <c r="CV411" s="145"/>
      <c r="CW411" s="234"/>
      <c r="CX411" s="234"/>
      <c r="CY411" s="234"/>
      <c r="CZ411" s="135"/>
      <c r="DA411" s="135"/>
      <c r="DB411" s="135"/>
      <c r="DD411" s="135"/>
      <c r="DF411" s="236"/>
      <c r="DG411" s="234"/>
      <c r="DH411" s="237"/>
      <c r="DI411" s="135"/>
    </row>
    <row r="412" customFormat="false" ht="12.75" hidden="false" customHeight="false" outlineLevel="0" collapsed="false">
      <c r="B412" s="135"/>
      <c r="D412" s="62"/>
      <c r="E412" s="62"/>
      <c r="F412" s="62"/>
      <c r="G412" s="62"/>
      <c r="H412" s="62"/>
      <c r="I412" s="62"/>
      <c r="J412" s="62"/>
      <c r="K412" s="62"/>
      <c r="L412" s="62"/>
      <c r="M412" s="14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14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0"/>
      <c r="CP412" s="0"/>
      <c r="CQ412" s="0"/>
      <c r="CR412" s="0"/>
      <c r="CS412" s="0"/>
      <c r="CT412" s="0"/>
      <c r="CU412" s="116"/>
      <c r="CV412" s="145"/>
      <c r="CW412" s="234"/>
      <c r="CX412" s="234"/>
      <c r="CY412" s="234"/>
      <c r="CZ412" s="135"/>
      <c r="DA412" s="135"/>
      <c r="DB412" s="135"/>
      <c r="DD412" s="135"/>
      <c r="DF412" s="236"/>
      <c r="DG412" s="234"/>
      <c r="DH412" s="237"/>
      <c r="DI412" s="135"/>
    </row>
    <row r="413" customFormat="false" ht="12.75" hidden="false" customHeight="false" outlineLevel="0" collapsed="false">
      <c r="B413" s="135"/>
      <c r="CP413" s="0"/>
      <c r="CQ413" s="0"/>
      <c r="CR413" s="0"/>
      <c r="CS413" s="0"/>
      <c r="CT413" s="0"/>
      <c r="CU413" s="116"/>
      <c r="CV413" s="145"/>
      <c r="CW413" s="234"/>
      <c r="CX413" s="234"/>
      <c r="CY413" s="234"/>
      <c r="CZ413" s="135"/>
      <c r="DA413" s="135"/>
      <c r="DB413" s="135"/>
      <c r="DD413" s="135"/>
      <c r="DF413" s="236"/>
      <c r="DG413" s="234"/>
      <c r="DH413" s="237"/>
      <c r="DI413" s="135"/>
    </row>
    <row r="414" customFormat="false" ht="12.75" hidden="false" customHeight="false" outlineLevel="0" collapsed="false">
      <c r="B414" s="135"/>
      <c r="CP414" s="116"/>
      <c r="CQ414" s="116"/>
      <c r="CR414" s="116"/>
      <c r="CS414" s="116"/>
      <c r="CT414" s="116"/>
      <c r="CU414" s="116"/>
      <c r="CV414" s="145"/>
      <c r="CW414" s="234"/>
      <c r="CX414" s="234"/>
      <c r="CY414" s="234"/>
      <c r="CZ414" s="135"/>
      <c r="DA414" s="135"/>
      <c r="DB414" s="135"/>
      <c r="DD414" s="135"/>
      <c r="DF414" s="236"/>
      <c r="DG414" s="234"/>
      <c r="DH414" s="237"/>
      <c r="DI414" s="135"/>
    </row>
    <row r="415" customFormat="false" ht="12.75" hidden="false" customHeight="false" outlineLevel="0" collapsed="false">
      <c r="B415" s="135"/>
      <c r="CP415" s="116"/>
      <c r="CQ415" s="116"/>
      <c r="CR415" s="116"/>
      <c r="CS415" s="116"/>
      <c r="CT415" s="116"/>
      <c r="CU415" s="116"/>
      <c r="CV415" s="145"/>
      <c r="CW415" s="234"/>
      <c r="CX415" s="234"/>
      <c r="CY415" s="234"/>
      <c r="CZ415" s="135"/>
      <c r="DA415" s="135"/>
      <c r="DB415" s="135"/>
      <c r="DD415" s="135"/>
      <c r="DF415" s="236"/>
      <c r="DG415" s="234"/>
      <c r="DH415" s="237"/>
      <c r="DI415" s="135"/>
    </row>
    <row r="416" customFormat="false" ht="12.75" hidden="false" customHeight="false" outlineLevel="0" collapsed="false">
      <c r="B416" s="135"/>
      <c r="CP416" s="116"/>
      <c r="CQ416" s="116"/>
      <c r="CR416" s="116"/>
      <c r="CS416" s="116"/>
      <c r="CT416" s="116"/>
      <c r="CU416" s="116"/>
      <c r="CV416" s="145"/>
      <c r="CW416" s="234"/>
      <c r="CX416" s="234"/>
      <c r="CY416" s="234"/>
      <c r="CZ416" s="135"/>
      <c r="DA416" s="135"/>
      <c r="DB416" s="135"/>
      <c r="DD416" s="135"/>
      <c r="DF416" s="236"/>
      <c r="DG416" s="234"/>
      <c r="DH416" s="237"/>
      <c r="DI416" s="135"/>
    </row>
    <row r="417" customFormat="false" ht="12.75" hidden="false" customHeight="false" outlineLevel="0" collapsed="false">
      <c r="B417" s="135"/>
      <c r="CP417" s="116"/>
      <c r="CQ417" s="116"/>
      <c r="CR417" s="116"/>
      <c r="CS417" s="116"/>
      <c r="CT417" s="116"/>
      <c r="CU417" s="116"/>
      <c r="CV417" s="145"/>
      <c r="CW417" s="234"/>
      <c r="CX417" s="234"/>
      <c r="CY417" s="234"/>
      <c r="CZ417" s="135"/>
      <c r="DA417" s="135"/>
      <c r="DB417" s="135"/>
      <c r="DD417" s="135"/>
      <c r="DF417" s="236"/>
      <c r="DG417" s="234"/>
      <c r="DH417" s="237"/>
      <c r="DI417" s="135"/>
    </row>
    <row r="418" customFormat="false" ht="12.75" hidden="false" customHeight="false" outlineLevel="0" collapsed="false">
      <c r="B418" s="135"/>
      <c r="CP418" s="116"/>
      <c r="CQ418" s="116"/>
      <c r="CR418" s="116"/>
      <c r="CS418" s="116"/>
      <c r="CT418" s="116"/>
      <c r="CU418" s="116"/>
      <c r="CV418" s="145"/>
      <c r="CW418" s="234"/>
      <c r="CX418" s="234"/>
      <c r="CY418" s="234"/>
      <c r="CZ418" s="135"/>
      <c r="DA418" s="135"/>
      <c r="DB418" s="135"/>
      <c r="DD418" s="135"/>
      <c r="DF418" s="236"/>
      <c r="DG418" s="234"/>
      <c r="DH418" s="237"/>
      <c r="DI418" s="135"/>
    </row>
    <row r="419" customFormat="false" ht="12.75" hidden="false" customHeight="false" outlineLevel="0" collapsed="false">
      <c r="A419" s="0"/>
      <c r="B419" s="135"/>
      <c r="CP419" s="116"/>
      <c r="CQ419" s="116"/>
      <c r="CR419" s="116"/>
      <c r="CS419" s="116"/>
      <c r="CT419" s="116"/>
      <c r="CU419" s="116"/>
      <c r="CV419" s="145"/>
      <c r="CW419" s="234"/>
      <c r="CX419" s="234"/>
      <c r="CY419" s="234"/>
      <c r="CZ419" s="135"/>
      <c r="DA419" s="135"/>
      <c r="DB419" s="135"/>
      <c r="DD419" s="135"/>
      <c r="DF419" s="236"/>
      <c r="DG419" s="234"/>
      <c r="DH419" s="237"/>
      <c r="DI419" s="135"/>
    </row>
    <row r="420" customFormat="false" ht="12.75" hidden="false" customHeight="false" outlineLevel="0" collapsed="false">
      <c r="A420" s="0"/>
      <c r="B420" s="135"/>
      <c r="CP420" s="116"/>
      <c r="CQ420" s="116"/>
      <c r="CR420" s="116"/>
      <c r="CS420" s="116"/>
      <c r="CT420" s="116"/>
      <c r="CU420" s="116"/>
      <c r="CV420" s="145"/>
      <c r="CW420" s="234"/>
      <c r="CX420" s="234"/>
      <c r="CY420" s="234"/>
      <c r="CZ420" s="135"/>
      <c r="DA420" s="135"/>
      <c r="DB420" s="135"/>
      <c r="DD420" s="135"/>
      <c r="DF420" s="236"/>
      <c r="DG420" s="234"/>
      <c r="DH420" s="237"/>
      <c r="DI420" s="135"/>
    </row>
    <row r="421" customFormat="false" ht="12.75" hidden="false" customHeight="false" outlineLevel="0" collapsed="false">
      <c r="A421" s="0"/>
      <c r="B421" s="135"/>
      <c r="CP421" s="116"/>
      <c r="CQ421" s="116"/>
      <c r="CR421" s="116"/>
      <c r="CS421" s="116"/>
      <c r="CT421" s="116"/>
      <c r="CU421" s="116"/>
      <c r="CV421" s="145"/>
      <c r="CW421" s="234"/>
      <c r="CX421" s="234"/>
      <c r="CY421" s="234"/>
      <c r="CZ421" s="135"/>
      <c r="DA421" s="135"/>
      <c r="DB421" s="135"/>
      <c r="DD421" s="135"/>
      <c r="DF421" s="236"/>
      <c r="DG421" s="234"/>
      <c r="DH421" s="237"/>
      <c r="DI421" s="135"/>
    </row>
    <row r="422" customFormat="false" ht="12.75" hidden="false" customHeight="false" outlineLevel="0" collapsed="false">
      <c r="A422" s="0"/>
      <c r="B422" s="135"/>
      <c r="CP422" s="116"/>
      <c r="CQ422" s="116"/>
      <c r="CR422" s="116"/>
      <c r="CS422" s="116"/>
      <c r="CT422" s="116"/>
      <c r="CU422" s="116"/>
      <c r="CV422" s="145"/>
      <c r="CW422" s="234"/>
      <c r="CX422" s="234"/>
      <c r="CY422" s="234"/>
      <c r="CZ422" s="135"/>
      <c r="DA422" s="135"/>
      <c r="DB422" s="135"/>
      <c r="DD422" s="135"/>
      <c r="DF422" s="236"/>
      <c r="DG422" s="234"/>
      <c r="DH422" s="237"/>
      <c r="DI422" s="135"/>
    </row>
    <row r="423" customFormat="false" ht="12.75" hidden="false" customHeight="false" outlineLevel="0" collapsed="false">
      <c r="A423" s="0"/>
      <c r="B423" s="135"/>
      <c r="CP423" s="116"/>
      <c r="CQ423" s="116"/>
      <c r="CR423" s="116"/>
      <c r="CS423" s="116"/>
      <c r="CT423" s="116"/>
      <c r="CU423" s="116"/>
      <c r="CV423" s="145"/>
      <c r="CW423" s="234"/>
      <c r="CX423" s="234"/>
      <c r="CY423" s="234"/>
      <c r="CZ423" s="135"/>
      <c r="DA423" s="135"/>
      <c r="DB423" s="135"/>
      <c r="DD423" s="135"/>
      <c r="DF423" s="236"/>
      <c r="DG423" s="234"/>
      <c r="DH423" s="237"/>
      <c r="DI423" s="135"/>
    </row>
    <row r="424" customFormat="false" ht="12.75" hidden="false" customHeight="false" outlineLevel="0" collapsed="false">
      <c r="A424" s="0"/>
      <c r="B424" s="135"/>
      <c r="CP424" s="116"/>
      <c r="CQ424" s="116"/>
      <c r="CR424" s="116"/>
      <c r="CS424" s="116"/>
      <c r="CT424" s="116"/>
      <c r="CU424" s="116"/>
      <c r="CV424" s="145"/>
      <c r="CW424" s="234"/>
      <c r="CX424" s="234"/>
      <c r="CY424" s="234"/>
      <c r="CZ424" s="135"/>
      <c r="DA424" s="135"/>
      <c r="DB424" s="135"/>
      <c r="DD424" s="135"/>
      <c r="DF424" s="236"/>
      <c r="DG424" s="234"/>
      <c r="DH424" s="237"/>
      <c r="DI424" s="135"/>
    </row>
    <row r="425" customFormat="false" ht="12.75" hidden="false" customHeight="false" outlineLevel="0" collapsed="false">
      <c r="A425" s="0"/>
      <c r="B425" s="135"/>
      <c r="CP425" s="116"/>
      <c r="CQ425" s="116"/>
      <c r="CR425" s="116"/>
      <c r="CS425" s="116"/>
      <c r="CT425" s="116"/>
      <c r="CU425" s="116"/>
      <c r="CV425" s="145"/>
      <c r="CW425" s="234"/>
      <c r="CX425" s="234"/>
      <c r="CY425" s="234"/>
      <c r="CZ425" s="135"/>
      <c r="DA425" s="135"/>
      <c r="DB425" s="135"/>
      <c r="DD425" s="135"/>
      <c r="DF425" s="236"/>
      <c r="DG425" s="234"/>
      <c r="DH425" s="237"/>
      <c r="DI425" s="135"/>
    </row>
    <row r="426" customFormat="false" ht="12.75" hidden="false" customHeight="false" outlineLevel="0" collapsed="false">
      <c r="B426" s="135"/>
      <c r="CP426" s="116"/>
      <c r="CQ426" s="116"/>
      <c r="CR426" s="116"/>
      <c r="CS426" s="116"/>
      <c r="CT426" s="116"/>
      <c r="CU426" s="116"/>
      <c r="CV426" s="145"/>
      <c r="CW426" s="234"/>
      <c r="CX426" s="234"/>
      <c r="CY426" s="234"/>
      <c r="CZ426" s="135"/>
      <c r="DA426" s="135"/>
      <c r="DB426" s="135"/>
      <c r="DD426" s="135"/>
      <c r="DF426" s="236"/>
      <c r="DG426" s="234"/>
      <c r="DH426" s="237"/>
      <c r="DI426" s="135"/>
    </row>
    <row r="427" customFormat="false" ht="12.75" hidden="false" customHeight="false" outlineLevel="0" collapsed="false">
      <c r="B427" s="135"/>
      <c r="CP427" s="116"/>
      <c r="CQ427" s="116"/>
      <c r="CR427" s="116"/>
      <c r="CS427" s="116"/>
      <c r="CT427" s="116"/>
      <c r="CU427" s="116"/>
      <c r="CV427" s="145"/>
      <c r="CW427" s="234"/>
      <c r="CX427" s="234"/>
      <c r="CY427" s="234"/>
      <c r="CZ427" s="135"/>
      <c r="DA427" s="135"/>
      <c r="DB427" s="135"/>
      <c r="DD427" s="135"/>
      <c r="DF427" s="236"/>
      <c r="DG427" s="234"/>
      <c r="DH427" s="237"/>
      <c r="DI427" s="135"/>
    </row>
    <row r="428" customFormat="false" ht="12.75" hidden="false" customHeight="false" outlineLevel="0" collapsed="false">
      <c r="B428" s="135"/>
      <c r="CP428" s="116"/>
      <c r="CQ428" s="116"/>
      <c r="CR428" s="116"/>
      <c r="CS428" s="116"/>
      <c r="CT428" s="116"/>
      <c r="CU428" s="116"/>
      <c r="CV428" s="145"/>
      <c r="CW428" s="234"/>
      <c r="CX428" s="234"/>
      <c r="CY428" s="234"/>
      <c r="CZ428" s="135"/>
      <c r="DA428" s="135"/>
      <c r="DB428" s="135"/>
      <c r="DD428" s="135"/>
      <c r="DF428" s="236"/>
      <c r="DG428" s="234"/>
      <c r="DH428" s="237"/>
      <c r="DI428" s="135"/>
    </row>
    <row r="429" customFormat="false" ht="12.75" hidden="false" customHeight="false" outlineLevel="0" collapsed="false">
      <c r="B429" s="135"/>
      <c r="CP429" s="116"/>
      <c r="CQ429" s="116"/>
      <c r="CR429" s="116"/>
      <c r="CS429" s="116"/>
      <c r="CT429" s="116"/>
      <c r="CU429" s="116"/>
      <c r="CV429" s="145"/>
      <c r="CW429" s="234"/>
      <c r="CX429" s="234"/>
      <c r="CY429" s="234"/>
      <c r="CZ429" s="135"/>
      <c r="DA429" s="135"/>
      <c r="DB429" s="135"/>
      <c r="DD429" s="135"/>
      <c r="DF429" s="236"/>
      <c r="DG429" s="234"/>
      <c r="DH429" s="237"/>
      <c r="DI429" s="135"/>
    </row>
    <row r="430" customFormat="false" ht="12.75" hidden="false" customHeight="false" outlineLevel="0" collapsed="false">
      <c r="B430" s="135"/>
      <c r="CP430" s="116"/>
      <c r="CQ430" s="116"/>
      <c r="CR430" s="116"/>
      <c r="CS430" s="116"/>
      <c r="CT430" s="116"/>
      <c r="CU430" s="116"/>
      <c r="CV430" s="145"/>
      <c r="CW430" s="234"/>
      <c r="CX430" s="234"/>
      <c r="CY430" s="234"/>
      <c r="CZ430" s="135"/>
      <c r="DA430" s="135"/>
      <c r="DB430" s="135"/>
      <c r="DD430" s="135"/>
      <c r="DF430" s="236"/>
      <c r="DG430" s="234"/>
      <c r="DH430" s="237"/>
      <c r="DI430" s="135"/>
    </row>
    <row r="431" customFormat="false" ht="12.75" hidden="false" customHeight="false" outlineLevel="0" collapsed="false">
      <c r="B431" s="135"/>
      <c r="CP431" s="116"/>
      <c r="CQ431" s="116"/>
      <c r="CR431" s="116"/>
      <c r="CS431" s="116"/>
      <c r="CT431" s="116"/>
      <c r="CU431" s="116"/>
      <c r="CV431" s="145"/>
      <c r="CW431" s="234"/>
      <c r="CX431" s="234"/>
      <c r="CY431" s="234"/>
      <c r="CZ431" s="135"/>
      <c r="DA431" s="135"/>
      <c r="DB431" s="135"/>
      <c r="DD431" s="135"/>
      <c r="DF431" s="236"/>
      <c r="DG431" s="234"/>
      <c r="DH431" s="237"/>
      <c r="DI431" s="135"/>
    </row>
    <row r="432" customFormat="false" ht="12.75" hidden="false" customHeight="false" outlineLevel="0" collapsed="false">
      <c r="B432" s="135"/>
      <c r="CP432" s="116"/>
      <c r="CQ432" s="116"/>
      <c r="CR432" s="116"/>
      <c r="CS432" s="116"/>
      <c r="CT432" s="116"/>
      <c r="CU432" s="116"/>
      <c r="CV432" s="145"/>
      <c r="CW432" s="234"/>
      <c r="CX432" s="234"/>
      <c r="CY432" s="234"/>
      <c r="CZ432" s="135"/>
      <c r="DA432" s="135"/>
      <c r="DB432" s="135"/>
      <c r="DD432" s="135"/>
      <c r="DF432" s="236"/>
      <c r="DG432" s="234"/>
      <c r="DH432" s="237"/>
      <c r="DI432" s="135"/>
    </row>
    <row r="433" customFormat="false" ht="12.75" hidden="false" customHeight="false" outlineLevel="0" collapsed="false">
      <c r="B433" s="135"/>
      <c r="CP433" s="116"/>
      <c r="CQ433" s="116"/>
      <c r="CR433" s="116"/>
      <c r="CS433" s="116"/>
      <c r="CT433" s="116"/>
      <c r="CU433" s="116"/>
      <c r="CV433" s="145"/>
      <c r="CW433" s="234"/>
      <c r="CX433" s="234"/>
      <c r="CY433" s="234"/>
      <c r="CZ433" s="135"/>
      <c r="DA433" s="135"/>
      <c r="DB433" s="135"/>
      <c r="DD433" s="135"/>
      <c r="DF433" s="236"/>
      <c r="DG433" s="234"/>
      <c r="DH433" s="237"/>
      <c r="DI433" s="135"/>
    </row>
    <row r="434" customFormat="false" ht="12.75" hidden="false" customHeight="false" outlineLevel="0" collapsed="false">
      <c r="B434" s="135"/>
      <c r="CP434" s="116"/>
      <c r="CQ434" s="116"/>
      <c r="CR434" s="116"/>
      <c r="CS434" s="116"/>
      <c r="CT434" s="116"/>
      <c r="CU434" s="116"/>
      <c r="CV434" s="145"/>
      <c r="CW434" s="234"/>
      <c r="CX434" s="234"/>
      <c r="CY434" s="234"/>
      <c r="CZ434" s="135"/>
      <c r="DA434" s="135"/>
      <c r="DB434" s="135"/>
      <c r="DD434" s="135"/>
      <c r="DF434" s="236"/>
      <c r="DG434" s="234"/>
      <c r="DH434" s="237"/>
      <c r="DI434" s="135"/>
    </row>
    <row r="435" customFormat="false" ht="12.75" hidden="false" customHeight="false" outlineLevel="0" collapsed="false">
      <c r="B435" s="135"/>
      <c r="CP435" s="116"/>
      <c r="CQ435" s="116"/>
      <c r="CR435" s="116"/>
      <c r="CS435" s="116"/>
      <c r="CT435" s="116"/>
      <c r="CU435" s="116"/>
      <c r="CV435" s="145"/>
      <c r="CW435" s="234"/>
      <c r="CX435" s="234"/>
      <c r="CY435" s="234"/>
      <c r="CZ435" s="135"/>
      <c r="DA435" s="135"/>
      <c r="DB435" s="135"/>
      <c r="DD435" s="135"/>
      <c r="DF435" s="236"/>
      <c r="DG435" s="234"/>
      <c r="DH435" s="237"/>
      <c r="DI435" s="135"/>
    </row>
    <row r="436" customFormat="false" ht="12.75" hidden="false" customHeight="false" outlineLevel="0" collapsed="false">
      <c r="B436" s="135"/>
      <c r="CP436" s="116"/>
      <c r="CQ436" s="116"/>
      <c r="CR436" s="116"/>
      <c r="CS436" s="116"/>
      <c r="CT436" s="116"/>
      <c r="CU436" s="116"/>
      <c r="CV436" s="145"/>
      <c r="CW436" s="234"/>
      <c r="CX436" s="234"/>
      <c r="CY436" s="234"/>
      <c r="CZ436" s="135"/>
      <c r="DA436" s="135"/>
      <c r="DB436" s="135"/>
      <c r="DD436" s="135"/>
      <c r="DF436" s="236"/>
      <c r="DG436" s="234"/>
      <c r="DH436" s="237"/>
      <c r="DI436" s="135"/>
    </row>
    <row r="437" customFormat="false" ht="12.75" hidden="false" customHeight="false" outlineLevel="0" collapsed="false">
      <c r="B437" s="135"/>
      <c r="CP437" s="116"/>
      <c r="CQ437" s="116"/>
      <c r="CR437" s="116"/>
      <c r="CS437" s="116"/>
      <c r="CT437" s="116"/>
      <c r="CU437" s="116"/>
      <c r="CV437" s="145"/>
      <c r="CW437" s="234"/>
      <c r="CX437" s="234"/>
      <c r="CY437" s="234"/>
      <c r="CZ437" s="135"/>
      <c r="DA437" s="135"/>
      <c r="DB437" s="135"/>
      <c r="DD437" s="135"/>
      <c r="DF437" s="236"/>
      <c r="DG437" s="234"/>
      <c r="DH437" s="237"/>
      <c r="DI437" s="135"/>
    </row>
    <row r="438" customFormat="false" ht="12.75" hidden="false" customHeight="false" outlineLevel="0" collapsed="false">
      <c r="B438" s="135"/>
      <c r="CP438" s="116"/>
      <c r="CQ438" s="116"/>
      <c r="CR438" s="116"/>
      <c r="CS438" s="116"/>
      <c r="CT438" s="116"/>
      <c r="CU438" s="116"/>
      <c r="CV438" s="145"/>
      <c r="CW438" s="234"/>
      <c r="CX438" s="234"/>
      <c r="CY438" s="234"/>
      <c r="CZ438" s="135"/>
      <c r="DA438" s="135"/>
      <c r="DB438" s="135"/>
      <c r="DD438" s="135"/>
      <c r="DF438" s="236"/>
      <c r="DG438" s="234"/>
      <c r="DH438" s="237"/>
      <c r="DI438" s="135"/>
    </row>
    <row r="439" customFormat="false" ht="12.75" hidden="false" customHeight="false" outlineLevel="0" collapsed="false">
      <c r="B439" s="135"/>
      <c r="CP439" s="116"/>
      <c r="CQ439" s="116"/>
      <c r="CR439" s="116"/>
      <c r="CS439" s="116"/>
      <c r="CT439" s="116"/>
      <c r="CU439" s="116"/>
      <c r="CV439" s="145"/>
      <c r="CW439" s="234"/>
      <c r="CX439" s="234"/>
      <c r="CY439" s="234"/>
      <c r="CZ439" s="135"/>
      <c r="DA439" s="135"/>
      <c r="DB439" s="135"/>
      <c r="DD439" s="135"/>
      <c r="DF439" s="236"/>
      <c r="DG439" s="234"/>
      <c r="DH439" s="237"/>
      <c r="DI439" s="135"/>
    </row>
    <row r="440" customFormat="false" ht="12.75" hidden="false" customHeight="false" outlineLevel="0" collapsed="false">
      <c r="B440" s="135"/>
      <c r="CP440" s="116"/>
      <c r="CQ440" s="116"/>
      <c r="CR440" s="116"/>
      <c r="CS440" s="116"/>
      <c r="CT440" s="116"/>
      <c r="CU440" s="116"/>
      <c r="CV440" s="145"/>
      <c r="CW440" s="234"/>
      <c r="CX440" s="234"/>
      <c r="CY440" s="234"/>
      <c r="CZ440" s="135"/>
      <c r="DA440" s="135"/>
      <c r="DB440" s="135"/>
      <c r="DD440" s="135"/>
      <c r="DF440" s="236"/>
      <c r="DG440" s="234"/>
      <c r="DH440" s="237"/>
      <c r="DI440" s="135"/>
    </row>
    <row r="441" customFormat="false" ht="12.75" hidden="false" customHeight="false" outlineLevel="0" collapsed="false">
      <c r="B441" s="135"/>
      <c r="CP441" s="116"/>
      <c r="CQ441" s="116"/>
      <c r="CR441" s="116"/>
      <c r="CS441" s="116"/>
      <c r="CT441" s="116"/>
      <c r="CU441" s="116"/>
      <c r="CV441" s="145"/>
      <c r="CW441" s="234"/>
      <c r="CX441" s="234"/>
      <c r="CY441" s="234"/>
      <c r="CZ441" s="135"/>
      <c r="DA441" s="135"/>
      <c r="DB441" s="135"/>
      <c r="DD441" s="135"/>
      <c r="DF441" s="236"/>
      <c r="DG441" s="234"/>
      <c r="DH441" s="237"/>
      <c r="DI441" s="135"/>
    </row>
    <row r="442" customFormat="false" ht="12.75" hidden="false" customHeight="false" outlineLevel="0" collapsed="false">
      <c r="B442" s="135"/>
      <c r="CP442" s="116"/>
      <c r="CQ442" s="116"/>
      <c r="CR442" s="116"/>
      <c r="CS442" s="116"/>
      <c r="CT442" s="116"/>
      <c r="CU442" s="116"/>
      <c r="CV442" s="145"/>
      <c r="CW442" s="234"/>
      <c r="CX442" s="234"/>
      <c r="CY442" s="234"/>
      <c r="CZ442" s="135"/>
      <c r="DA442" s="135"/>
      <c r="DB442" s="135"/>
      <c r="DD442" s="135"/>
      <c r="DF442" s="236"/>
      <c r="DG442" s="234"/>
      <c r="DH442" s="237"/>
      <c r="DI442" s="135"/>
    </row>
    <row r="443" customFormat="false" ht="12.75" hidden="false" customHeight="false" outlineLevel="0" collapsed="false">
      <c r="B443" s="135"/>
      <c r="CP443" s="116"/>
      <c r="CQ443" s="116"/>
      <c r="CR443" s="116"/>
      <c r="CS443" s="116"/>
      <c r="CT443" s="116"/>
      <c r="CU443" s="116"/>
      <c r="CV443" s="145"/>
      <c r="CW443" s="234"/>
      <c r="CX443" s="234"/>
      <c r="CY443" s="234"/>
      <c r="CZ443" s="135"/>
      <c r="DA443" s="135"/>
      <c r="DB443" s="135"/>
      <c r="DD443" s="135"/>
      <c r="DF443" s="236"/>
      <c r="DG443" s="234"/>
      <c r="DH443" s="237"/>
      <c r="DI443" s="135"/>
    </row>
    <row r="444" customFormat="false" ht="12.75" hidden="false" customHeight="false" outlineLevel="0" collapsed="false">
      <c r="B444" s="135"/>
      <c r="CP444" s="116"/>
      <c r="CQ444" s="116"/>
      <c r="CR444" s="116"/>
      <c r="CS444" s="116"/>
      <c r="CT444" s="116"/>
      <c r="CU444" s="116"/>
      <c r="CV444" s="145"/>
      <c r="CW444" s="234"/>
      <c r="CX444" s="234"/>
      <c r="CY444" s="234"/>
      <c r="CZ444" s="135"/>
      <c r="DA444" s="135"/>
      <c r="DB444" s="135"/>
      <c r="DD444" s="135"/>
      <c r="DF444" s="236"/>
      <c r="DG444" s="234"/>
      <c r="DH444" s="237"/>
      <c r="DI444" s="135"/>
    </row>
    <row r="445" customFormat="false" ht="12.75" hidden="false" customHeight="false" outlineLevel="0" collapsed="false">
      <c r="B445" s="135"/>
      <c r="CP445" s="116"/>
      <c r="CQ445" s="116"/>
      <c r="CR445" s="116"/>
      <c r="CS445" s="116"/>
      <c r="CT445" s="116"/>
      <c r="CU445" s="116"/>
      <c r="CV445" s="145"/>
      <c r="CW445" s="234"/>
      <c r="CX445" s="234"/>
      <c r="CY445" s="234"/>
      <c r="CZ445" s="135"/>
      <c r="DA445" s="135"/>
      <c r="DB445" s="135"/>
      <c r="DD445" s="135"/>
      <c r="DF445" s="236"/>
      <c r="DG445" s="234"/>
      <c r="DH445" s="237"/>
      <c r="DI445" s="135"/>
    </row>
    <row r="446" customFormat="false" ht="12.75" hidden="false" customHeight="false" outlineLevel="0" collapsed="false">
      <c r="B446" s="135"/>
      <c r="CP446" s="116"/>
      <c r="CQ446" s="116"/>
      <c r="CR446" s="116"/>
      <c r="CS446" s="116"/>
      <c r="CT446" s="116"/>
      <c r="CU446" s="116"/>
      <c r="CV446" s="145"/>
      <c r="CW446" s="234"/>
      <c r="CX446" s="234"/>
      <c r="CY446" s="234"/>
      <c r="CZ446" s="135"/>
      <c r="DA446" s="135"/>
      <c r="DB446" s="135"/>
      <c r="DD446" s="135"/>
      <c r="DF446" s="236"/>
      <c r="DG446" s="234"/>
      <c r="DH446" s="237"/>
      <c r="DI446" s="135"/>
    </row>
    <row r="447" customFormat="false" ht="12.75" hidden="false" customHeight="false" outlineLevel="0" collapsed="false">
      <c r="B447" s="135"/>
      <c r="CP447" s="116"/>
      <c r="CQ447" s="116"/>
      <c r="CR447" s="116"/>
      <c r="CS447" s="116"/>
      <c r="CT447" s="116"/>
      <c r="CU447" s="116"/>
      <c r="CV447" s="145"/>
      <c r="CW447" s="234"/>
      <c r="CX447" s="234"/>
      <c r="CY447" s="234"/>
      <c r="CZ447" s="135"/>
      <c r="DA447" s="135"/>
      <c r="DB447" s="135"/>
      <c r="DD447" s="135"/>
      <c r="DF447" s="236"/>
      <c r="DG447" s="234"/>
      <c r="DH447" s="237"/>
      <c r="DI447" s="135"/>
    </row>
    <row r="448" customFormat="false" ht="12.75" hidden="false" customHeight="false" outlineLevel="0" collapsed="false">
      <c r="B448" s="135"/>
      <c r="CP448" s="116"/>
      <c r="CQ448" s="116"/>
      <c r="CR448" s="116"/>
      <c r="CS448" s="116"/>
      <c r="CT448" s="116"/>
      <c r="CU448" s="116"/>
      <c r="CV448" s="145"/>
      <c r="CW448" s="234"/>
      <c r="CX448" s="234"/>
      <c r="CY448" s="234"/>
      <c r="CZ448" s="135"/>
      <c r="DA448" s="135"/>
      <c r="DB448" s="135"/>
      <c r="DD448" s="135"/>
      <c r="DF448" s="236"/>
      <c r="DG448" s="234"/>
      <c r="DH448" s="237"/>
      <c r="DI448" s="135"/>
    </row>
    <row r="449" customFormat="false" ht="12.75" hidden="false" customHeight="false" outlineLevel="0" collapsed="false">
      <c r="B449" s="135"/>
      <c r="CP449" s="116"/>
      <c r="CQ449" s="116"/>
      <c r="CR449" s="116"/>
      <c r="CS449" s="116"/>
      <c r="CT449" s="116"/>
      <c r="CU449" s="116"/>
      <c r="CV449" s="145"/>
      <c r="CW449" s="234"/>
      <c r="CX449" s="234"/>
      <c r="CY449" s="234"/>
      <c r="CZ449" s="135"/>
      <c r="DA449" s="135"/>
      <c r="DB449" s="135"/>
      <c r="DD449" s="135"/>
      <c r="DF449" s="236"/>
      <c r="DG449" s="234"/>
      <c r="DH449" s="237"/>
      <c r="DI449" s="135"/>
    </row>
    <row r="450" customFormat="false" ht="12.75" hidden="false" customHeight="false" outlineLevel="0" collapsed="false">
      <c r="B450" s="135"/>
      <c r="CP450" s="116"/>
      <c r="CQ450" s="116"/>
      <c r="CR450" s="116"/>
      <c r="CS450" s="116"/>
      <c r="CT450" s="116"/>
      <c r="CU450" s="116"/>
      <c r="CV450" s="145"/>
      <c r="CW450" s="234"/>
      <c r="CX450" s="234"/>
      <c r="CY450" s="234"/>
      <c r="CZ450" s="135"/>
      <c r="DA450" s="135"/>
      <c r="DB450" s="135"/>
      <c r="DD450" s="135"/>
      <c r="DF450" s="236"/>
      <c r="DG450" s="234"/>
      <c r="DH450" s="237"/>
      <c r="DI450" s="135"/>
    </row>
    <row r="451" customFormat="false" ht="12.75" hidden="false" customHeight="false" outlineLevel="0" collapsed="false">
      <c r="B451" s="135"/>
      <c r="CP451" s="116"/>
      <c r="CQ451" s="116"/>
      <c r="CR451" s="116"/>
      <c r="CS451" s="116"/>
      <c r="CT451" s="116"/>
      <c r="CU451" s="116"/>
      <c r="CV451" s="145"/>
      <c r="CW451" s="234"/>
      <c r="CX451" s="234"/>
      <c r="CY451" s="234"/>
      <c r="CZ451" s="135"/>
      <c r="DA451" s="135"/>
      <c r="DB451" s="135"/>
      <c r="DD451" s="135"/>
      <c r="DF451" s="236"/>
      <c r="DG451" s="234"/>
      <c r="DH451" s="237"/>
      <c r="DI451" s="135"/>
    </row>
    <row r="452" customFormat="false" ht="12.75" hidden="false" customHeight="false" outlineLevel="0" collapsed="false">
      <c r="B452" s="135"/>
      <c r="CP452" s="116"/>
      <c r="CQ452" s="116"/>
      <c r="CR452" s="116"/>
      <c r="CS452" s="116"/>
      <c r="CT452" s="116"/>
      <c r="CU452" s="116"/>
      <c r="CV452" s="145"/>
      <c r="CW452" s="234"/>
      <c r="CX452" s="234"/>
      <c r="CY452" s="234"/>
      <c r="CZ452" s="135"/>
      <c r="DA452" s="135"/>
      <c r="DB452" s="135"/>
      <c r="DD452" s="135"/>
      <c r="DF452" s="236"/>
      <c r="DG452" s="234"/>
      <c r="DH452" s="237"/>
      <c r="DI452" s="135"/>
    </row>
    <row r="453" customFormat="false" ht="12.75" hidden="false" customHeight="false" outlineLevel="0" collapsed="false">
      <c r="B453" s="135"/>
      <c r="CP453" s="116"/>
      <c r="CQ453" s="116"/>
      <c r="CR453" s="116"/>
      <c r="CS453" s="116"/>
      <c r="CT453" s="116"/>
      <c r="CU453" s="116"/>
      <c r="CV453" s="145"/>
      <c r="CW453" s="234"/>
      <c r="CX453" s="234"/>
      <c r="CY453" s="234"/>
      <c r="CZ453" s="135"/>
      <c r="DA453" s="135"/>
      <c r="DB453" s="135"/>
      <c r="DD453" s="135"/>
      <c r="DF453" s="236"/>
      <c r="DG453" s="234"/>
      <c r="DH453" s="237"/>
      <c r="DI453" s="135"/>
    </row>
    <row r="454" customFormat="false" ht="12.75" hidden="false" customHeight="false" outlineLevel="0" collapsed="false">
      <c r="B454" s="135"/>
      <c r="CP454" s="116"/>
      <c r="CQ454" s="116"/>
      <c r="CR454" s="116"/>
      <c r="CS454" s="116"/>
      <c r="CT454" s="116"/>
      <c r="CU454" s="116"/>
      <c r="CV454" s="145"/>
      <c r="CW454" s="234"/>
      <c r="CX454" s="234"/>
      <c r="CY454" s="234"/>
      <c r="CZ454" s="135"/>
      <c r="DA454" s="135"/>
      <c r="DB454" s="135"/>
      <c r="DD454" s="135"/>
      <c r="DF454" s="236"/>
      <c r="DG454" s="234"/>
      <c r="DH454" s="237"/>
      <c r="DI454" s="135"/>
    </row>
    <row r="455" customFormat="false" ht="12.75" hidden="false" customHeight="false" outlineLevel="0" collapsed="false">
      <c r="B455" s="135"/>
      <c r="CP455" s="116"/>
      <c r="CQ455" s="116"/>
      <c r="CR455" s="116"/>
      <c r="CS455" s="116"/>
      <c r="CT455" s="116"/>
      <c r="CU455" s="116"/>
      <c r="CV455" s="145"/>
      <c r="CW455" s="234"/>
      <c r="CX455" s="234"/>
      <c r="CY455" s="234"/>
      <c r="CZ455" s="135"/>
      <c r="DA455" s="135"/>
      <c r="DB455" s="135"/>
      <c r="DD455" s="135"/>
      <c r="DF455" s="236"/>
      <c r="DG455" s="234"/>
      <c r="DH455" s="237"/>
      <c r="DI455" s="135"/>
    </row>
    <row r="456" customFormat="false" ht="12.75" hidden="false" customHeight="false" outlineLevel="0" collapsed="false">
      <c r="B456" s="135"/>
      <c r="CP456" s="116"/>
      <c r="CQ456" s="116"/>
      <c r="CR456" s="116"/>
      <c r="CS456" s="116"/>
      <c r="CT456" s="116"/>
      <c r="CU456" s="116"/>
      <c r="CV456" s="145"/>
      <c r="CW456" s="234"/>
      <c r="CX456" s="234"/>
      <c r="CY456" s="234"/>
      <c r="CZ456" s="135"/>
      <c r="DA456" s="135"/>
      <c r="DB456" s="135"/>
      <c r="DD456" s="135"/>
      <c r="DF456" s="236"/>
      <c r="DG456" s="234"/>
      <c r="DH456" s="237"/>
      <c r="DI456" s="135"/>
    </row>
    <row r="457" customFormat="false" ht="12.75" hidden="false" customHeight="false" outlineLevel="0" collapsed="false">
      <c r="B457" s="135"/>
      <c r="CP457" s="116"/>
      <c r="CQ457" s="116"/>
      <c r="CR457" s="116"/>
      <c r="CS457" s="116"/>
      <c r="CT457" s="116"/>
      <c r="CU457" s="116"/>
      <c r="CV457" s="145"/>
      <c r="CW457" s="234"/>
      <c r="CX457" s="234"/>
      <c r="CY457" s="234"/>
      <c r="CZ457" s="135"/>
      <c r="DA457" s="135"/>
      <c r="DB457" s="135"/>
      <c r="DD457" s="135"/>
      <c r="DF457" s="236"/>
      <c r="DG457" s="234"/>
      <c r="DH457" s="237"/>
      <c r="DI457" s="135"/>
    </row>
    <row r="458" customFormat="false" ht="12.75" hidden="false" customHeight="false" outlineLevel="0" collapsed="false">
      <c r="B458" s="135"/>
      <c r="CP458" s="116"/>
      <c r="CQ458" s="116"/>
      <c r="CR458" s="116"/>
      <c r="CS458" s="116"/>
      <c r="CT458" s="116"/>
      <c r="CU458" s="116"/>
      <c r="CV458" s="145"/>
      <c r="CW458" s="234"/>
      <c r="CX458" s="234"/>
      <c r="CY458" s="234"/>
      <c r="CZ458" s="135"/>
      <c r="DA458" s="135"/>
      <c r="DB458" s="135"/>
      <c r="DD458" s="135"/>
      <c r="DF458" s="236"/>
      <c r="DG458" s="234"/>
      <c r="DH458" s="237"/>
      <c r="DI458" s="135"/>
    </row>
    <row r="459" customFormat="false" ht="12.75" hidden="false" customHeight="false" outlineLevel="0" collapsed="false">
      <c r="B459" s="135"/>
      <c r="CP459" s="116"/>
      <c r="CQ459" s="116"/>
      <c r="CR459" s="116"/>
      <c r="CS459" s="116"/>
      <c r="CT459" s="116"/>
      <c r="CU459" s="116"/>
      <c r="CV459" s="145"/>
      <c r="CW459" s="234"/>
      <c r="CX459" s="234"/>
      <c r="CY459" s="234"/>
      <c r="CZ459" s="135"/>
      <c r="DA459" s="135"/>
      <c r="DB459" s="135"/>
      <c r="DD459" s="135"/>
      <c r="DF459" s="236"/>
      <c r="DG459" s="234"/>
      <c r="DH459" s="237"/>
      <c r="DI459" s="135"/>
    </row>
    <row r="460" customFormat="false" ht="12.75" hidden="false" customHeight="false" outlineLevel="0" collapsed="false">
      <c r="B460" s="135"/>
      <c r="CP460" s="116"/>
      <c r="CQ460" s="116"/>
      <c r="CR460" s="116"/>
      <c r="CS460" s="116"/>
      <c r="CT460" s="116"/>
      <c r="CU460" s="116"/>
      <c r="CV460" s="145"/>
      <c r="CW460" s="234"/>
      <c r="CX460" s="234"/>
      <c r="CY460" s="234"/>
      <c r="CZ460" s="135"/>
      <c r="DA460" s="135"/>
      <c r="DB460" s="135"/>
      <c r="DD460" s="135"/>
      <c r="DF460" s="236"/>
      <c r="DG460" s="234"/>
      <c r="DH460" s="237"/>
      <c r="DI460" s="135"/>
    </row>
    <row r="461" customFormat="false" ht="12.75" hidden="false" customHeight="false" outlineLevel="0" collapsed="false">
      <c r="B461" s="135"/>
      <c r="CP461" s="116"/>
      <c r="CQ461" s="116"/>
      <c r="CR461" s="116"/>
      <c r="CS461" s="116"/>
      <c r="CT461" s="116"/>
      <c r="CU461" s="116"/>
      <c r="CV461" s="145"/>
      <c r="CW461" s="234"/>
      <c r="CX461" s="234"/>
      <c r="CY461" s="234"/>
      <c r="CZ461" s="135"/>
      <c r="DA461" s="135"/>
      <c r="DB461" s="135"/>
      <c r="DD461" s="135"/>
      <c r="DF461" s="236"/>
      <c r="DG461" s="234"/>
      <c r="DH461" s="237"/>
      <c r="DI461" s="135"/>
    </row>
    <row r="462" customFormat="false" ht="12.75" hidden="false" customHeight="false" outlineLevel="0" collapsed="false">
      <c r="B462" s="135"/>
      <c r="CP462" s="116"/>
      <c r="CQ462" s="116"/>
      <c r="CR462" s="116"/>
      <c r="CS462" s="116"/>
      <c r="CT462" s="116"/>
      <c r="CU462" s="116"/>
      <c r="CV462" s="145"/>
      <c r="CW462" s="234"/>
      <c r="CX462" s="234"/>
      <c r="CY462" s="234"/>
      <c r="CZ462" s="135"/>
      <c r="DA462" s="135"/>
      <c r="DB462" s="135"/>
      <c r="DD462" s="135"/>
      <c r="DF462" s="236"/>
      <c r="DG462" s="234"/>
      <c r="DH462" s="237"/>
      <c r="DI462" s="135"/>
    </row>
    <row r="463" customFormat="false" ht="12.75" hidden="false" customHeight="false" outlineLevel="0" collapsed="false">
      <c r="B463" s="135"/>
      <c r="CP463" s="116"/>
      <c r="CQ463" s="116"/>
      <c r="CR463" s="116"/>
      <c r="CS463" s="116"/>
      <c r="CT463" s="116"/>
      <c r="CU463" s="116"/>
      <c r="CV463" s="145"/>
      <c r="CW463" s="234"/>
      <c r="CX463" s="234"/>
      <c r="CY463" s="234"/>
      <c r="CZ463" s="135"/>
      <c r="DA463" s="135"/>
      <c r="DB463" s="135"/>
      <c r="DD463" s="135"/>
      <c r="DF463" s="236"/>
      <c r="DG463" s="234"/>
      <c r="DH463" s="237"/>
      <c r="DI463" s="135"/>
    </row>
    <row r="464" customFormat="false" ht="12.75" hidden="false" customHeight="false" outlineLevel="0" collapsed="false">
      <c r="B464" s="135"/>
      <c r="CP464" s="116"/>
      <c r="CQ464" s="116"/>
      <c r="CR464" s="116"/>
      <c r="CS464" s="116"/>
      <c r="CT464" s="116"/>
      <c r="CU464" s="116"/>
      <c r="CV464" s="145"/>
      <c r="CW464" s="234"/>
      <c r="CX464" s="234"/>
      <c r="CY464" s="234"/>
      <c r="CZ464" s="135"/>
      <c r="DA464" s="135"/>
      <c r="DB464" s="135"/>
      <c r="DD464" s="135"/>
      <c r="DF464" s="236"/>
      <c r="DG464" s="234"/>
      <c r="DH464" s="237"/>
      <c r="DI464" s="135"/>
    </row>
    <row r="465" customFormat="false" ht="12.75" hidden="false" customHeight="false" outlineLevel="0" collapsed="false">
      <c r="B465" s="135"/>
      <c r="CP465" s="116"/>
      <c r="CQ465" s="116"/>
      <c r="CR465" s="116"/>
      <c r="CS465" s="116"/>
      <c r="CT465" s="116"/>
      <c r="CU465" s="116"/>
      <c r="CV465" s="145"/>
      <c r="CW465" s="234"/>
      <c r="CX465" s="234"/>
      <c r="CY465" s="234"/>
      <c r="CZ465" s="135"/>
      <c r="DA465" s="135"/>
      <c r="DB465" s="135"/>
      <c r="DD465" s="135"/>
      <c r="DF465" s="236"/>
      <c r="DG465" s="234"/>
      <c r="DH465" s="237"/>
      <c r="DI465" s="135"/>
    </row>
    <row r="466" customFormat="false" ht="12.75" hidden="false" customHeight="false" outlineLevel="0" collapsed="false">
      <c r="B466" s="135"/>
      <c r="CP466" s="116"/>
      <c r="CQ466" s="116"/>
      <c r="CR466" s="116"/>
      <c r="CS466" s="116"/>
      <c r="CT466" s="116"/>
      <c r="CU466" s="116"/>
      <c r="CV466" s="145"/>
      <c r="CW466" s="234"/>
      <c r="CX466" s="234"/>
      <c r="CY466" s="234"/>
      <c r="CZ466" s="135"/>
      <c r="DA466" s="135"/>
      <c r="DB466" s="135"/>
      <c r="DD466" s="135"/>
      <c r="DF466" s="236"/>
      <c r="DG466" s="234"/>
      <c r="DH466" s="237"/>
      <c r="DI466" s="135"/>
    </row>
    <row r="467" customFormat="false" ht="12.75" hidden="false" customHeight="false" outlineLevel="0" collapsed="false">
      <c r="B467" s="135"/>
      <c r="CP467" s="116"/>
      <c r="CQ467" s="116"/>
      <c r="CR467" s="116"/>
      <c r="CS467" s="116"/>
      <c r="CT467" s="116"/>
      <c r="CU467" s="116"/>
      <c r="CV467" s="145"/>
      <c r="CW467" s="234"/>
      <c r="CX467" s="234"/>
      <c r="CY467" s="234"/>
      <c r="CZ467" s="135"/>
      <c r="DA467" s="135"/>
      <c r="DB467" s="135"/>
      <c r="DD467" s="135"/>
      <c r="DF467" s="236"/>
      <c r="DG467" s="234"/>
      <c r="DH467" s="237"/>
      <c r="DI467" s="135"/>
    </row>
    <row r="468" customFormat="false" ht="12.75" hidden="false" customHeight="false" outlineLevel="0" collapsed="false">
      <c r="B468" s="135"/>
      <c r="CP468" s="116"/>
      <c r="CQ468" s="116"/>
      <c r="CR468" s="116"/>
      <c r="CS468" s="116"/>
      <c r="CT468" s="116"/>
      <c r="CU468" s="116"/>
      <c r="CV468" s="145"/>
      <c r="CW468" s="234"/>
      <c r="CX468" s="234"/>
      <c r="CY468" s="234"/>
      <c r="CZ468" s="135"/>
      <c r="DA468" s="135"/>
      <c r="DB468" s="135"/>
      <c r="DD468" s="135"/>
      <c r="DF468" s="236"/>
      <c r="DG468" s="234"/>
      <c r="DH468" s="237"/>
      <c r="DI468" s="135"/>
    </row>
    <row r="469" customFormat="false" ht="12.75" hidden="false" customHeight="false" outlineLevel="0" collapsed="false">
      <c r="B469" s="135"/>
      <c r="CP469" s="116"/>
      <c r="CQ469" s="116"/>
      <c r="CR469" s="116"/>
      <c r="CS469" s="116"/>
      <c r="CT469" s="116"/>
      <c r="CU469" s="116"/>
      <c r="CV469" s="145"/>
      <c r="CW469" s="234"/>
      <c r="CX469" s="234"/>
      <c r="CY469" s="234"/>
      <c r="CZ469" s="135"/>
      <c r="DA469" s="135"/>
      <c r="DB469" s="135"/>
      <c r="DD469" s="135"/>
      <c r="DF469" s="236"/>
      <c r="DG469" s="234"/>
      <c r="DH469" s="237"/>
      <c r="DI469" s="135"/>
    </row>
    <row r="470" customFormat="false" ht="12.75" hidden="false" customHeight="false" outlineLevel="0" collapsed="false">
      <c r="B470" s="135"/>
      <c r="CP470" s="116"/>
      <c r="CQ470" s="116"/>
      <c r="CR470" s="116"/>
      <c r="CS470" s="116"/>
      <c r="CT470" s="116"/>
      <c r="CU470" s="116"/>
      <c r="CV470" s="145"/>
      <c r="CW470" s="234"/>
      <c r="CX470" s="234"/>
      <c r="CY470" s="234"/>
      <c r="CZ470" s="135"/>
      <c r="DA470" s="135"/>
      <c r="DB470" s="135"/>
      <c r="DD470" s="135"/>
      <c r="DF470" s="236"/>
      <c r="DG470" s="234"/>
      <c r="DH470" s="237"/>
      <c r="DI470" s="135"/>
    </row>
    <row r="471" customFormat="false" ht="12.75" hidden="false" customHeight="false" outlineLevel="0" collapsed="false">
      <c r="B471" s="135"/>
      <c r="CP471" s="116"/>
      <c r="CQ471" s="116"/>
      <c r="CR471" s="116"/>
      <c r="CS471" s="116"/>
      <c r="CT471" s="116"/>
      <c r="CU471" s="116"/>
      <c r="CV471" s="145"/>
      <c r="CW471" s="234"/>
      <c r="CX471" s="234"/>
      <c r="CY471" s="234"/>
      <c r="CZ471" s="135"/>
      <c r="DA471" s="135"/>
      <c r="DB471" s="135"/>
      <c r="DD471" s="135"/>
      <c r="DF471" s="236"/>
      <c r="DG471" s="234"/>
      <c r="DH471" s="237"/>
      <c r="DI471" s="135"/>
    </row>
    <row r="472" customFormat="false" ht="12.75" hidden="false" customHeight="false" outlineLevel="0" collapsed="false">
      <c r="B472" s="135"/>
      <c r="CP472" s="116"/>
      <c r="CQ472" s="116"/>
      <c r="CR472" s="116"/>
      <c r="CS472" s="116"/>
      <c r="CT472" s="116"/>
      <c r="CU472" s="116"/>
      <c r="CV472" s="145"/>
      <c r="CW472" s="234"/>
      <c r="CX472" s="234"/>
      <c r="CY472" s="234"/>
      <c r="CZ472" s="135"/>
      <c r="DA472" s="135"/>
      <c r="DB472" s="135"/>
      <c r="DD472" s="135"/>
      <c r="DF472" s="236"/>
      <c r="DG472" s="234"/>
      <c r="DH472" s="237"/>
      <c r="DI472" s="135"/>
    </row>
    <row r="473" customFormat="false" ht="12.75" hidden="false" customHeight="false" outlineLevel="0" collapsed="false">
      <c r="B473" s="135"/>
      <c r="CP473" s="116"/>
      <c r="CQ473" s="116"/>
      <c r="CR473" s="116"/>
      <c r="CS473" s="116"/>
      <c r="CT473" s="116"/>
      <c r="CU473" s="116"/>
      <c r="CV473" s="145"/>
      <c r="CW473" s="234"/>
      <c r="CX473" s="234"/>
      <c r="CY473" s="234"/>
      <c r="CZ473" s="135"/>
      <c r="DA473" s="135"/>
      <c r="DB473" s="135"/>
      <c r="DD473" s="135"/>
      <c r="DF473" s="236"/>
      <c r="DG473" s="234"/>
      <c r="DH473" s="237"/>
      <c r="DI473" s="135"/>
    </row>
    <row r="474" customFormat="false" ht="12.75" hidden="false" customHeight="false" outlineLevel="0" collapsed="false">
      <c r="B474" s="135"/>
      <c r="CP474" s="116"/>
      <c r="CQ474" s="116"/>
      <c r="CR474" s="116"/>
      <c r="CS474" s="116"/>
      <c r="CT474" s="116"/>
      <c r="CU474" s="116"/>
      <c r="CV474" s="145"/>
      <c r="CW474" s="234"/>
      <c r="CX474" s="234"/>
      <c r="CY474" s="234"/>
      <c r="CZ474" s="135"/>
      <c r="DA474" s="135"/>
      <c r="DB474" s="135"/>
      <c r="DD474" s="135"/>
      <c r="DF474" s="236"/>
      <c r="DG474" s="234"/>
      <c r="DH474" s="237"/>
      <c r="DI474" s="135"/>
    </row>
    <row r="475" customFormat="false" ht="12.75" hidden="false" customHeight="false" outlineLevel="0" collapsed="false">
      <c r="B475" s="135"/>
      <c r="CP475" s="116"/>
      <c r="CQ475" s="116"/>
      <c r="CR475" s="116"/>
      <c r="CS475" s="116"/>
      <c r="CT475" s="116"/>
      <c r="CU475" s="116"/>
      <c r="CV475" s="145"/>
      <c r="CW475" s="234"/>
      <c r="CX475" s="234"/>
      <c r="CY475" s="234"/>
      <c r="CZ475" s="135"/>
      <c r="DA475" s="135"/>
      <c r="DB475" s="135"/>
      <c r="DD475" s="135"/>
      <c r="DF475" s="236"/>
      <c r="DG475" s="234"/>
      <c r="DH475" s="237"/>
      <c r="DI475" s="135"/>
    </row>
    <row r="476" customFormat="false" ht="12.75" hidden="false" customHeight="false" outlineLevel="0" collapsed="false">
      <c r="B476" s="135"/>
      <c r="CP476" s="116"/>
      <c r="CQ476" s="116"/>
      <c r="CR476" s="116"/>
      <c r="CS476" s="116"/>
      <c r="CT476" s="116"/>
      <c r="CU476" s="116"/>
      <c r="CV476" s="145"/>
      <c r="CW476" s="234"/>
      <c r="CX476" s="234"/>
      <c r="CY476" s="234"/>
      <c r="CZ476" s="135"/>
      <c r="DA476" s="135"/>
      <c r="DB476" s="135"/>
      <c r="DD476" s="135"/>
      <c r="DF476" s="236"/>
      <c r="DG476" s="234"/>
      <c r="DH476" s="237"/>
      <c r="DI476" s="135"/>
    </row>
    <row r="477" customFormat="false" ht="12.75" hidden="false" customHeight="false" outlineLevel="0" collapsed="false">
      <c r="B477" s="135"/>
      <c r="CP477" s="116"/>
      <c r="CQ477" s="116"/>
      <c r="CR477" s="116"/>
      <c r="CS477" s="116"/>
      <c r="CT477" s="116"/>
      <c r="CU477" s="116"/>
      <c r="CV477" s="145"/>
      <c r="CW477" s="234"/>
      <c r="CX477" s="234"/>
      <c r="CY477" s="234"/>
      <c r="CZ477" s="135"/>
      <c r="DA477" s="135"/>
      <c r="DB477" s="135"/>
      <c r="DD477" s="135"/>
      <c r="DF477" s="236"/>
      <c r="DG477" s="234"/>
      <c r="DH477" s="237"/>
      <c r="DI477" s="135"/>
    </row>
    <row r="478" customFormat="false" ht="12.75" hidden="false" customHeight="false" outlineLevel="0" collapsed="false">
      <c r="B478" s="135"/>
      <c r="CP478" s="116"/>
      <c r="CQ478" s="116"/>
      <c r="CR478" s="116"/>
      <c r="CS478" s="116"/>
      <c r="CT478" s="116"/>
      <c r="CU478" s="116"/>
      <c r="CV478" s="145"/>
      <c r="CW478" s="234"/>
      <c r="CX478" s="234"/>
      <c r="CY478" s="234"/>
      <c r="CZ478" s="135"/>
      <c r="DA478" s="135"/>
      <c r="DB478" s="135"/>
      <c r="DD478" s="135"/>
      <c r="DF478" s="236"/>
      <c r="DG478" s="234"/>
      <c r="DH478" s="237"/>
      <c r="DI478" s="135"/>
    </row>
    <row r="479" customFormat="false" ht="12.75" hidden="false" customHeight="false" outlineLevel="0" collapsed="false">
      <c r="B479" s="135"/>
      <c r="CP479" s="116"/>
      <c r="CQ479" s="116"/>
      <c r="CR479" s="116"/>
      <c r="CS479" s="116"/>
      <c r="CT479" s="116"/>
      <c r="CU479" s="116"/>
      <c r="CV479" s="145"/>
      <c r="CW479" s="234"/>
      <c r="CX479" s="234"/>
      <c r="CY479" s="234"/>
      <c r="CZ479" s="135"/>
      <c r="DA479" s="135"/>
      <c r="DB479" s="135"/>
      <c r="DD479" s="135"/>
      <c r="DF479" s="236"/>
      <c r="DG479" s="234"/>
      <c r="DH479" s="237"/>
      <c r="DI479" s="135"/>
    </row>
    <row r="480" customFormat="false" ht="12.75" hidden="false" customHeight="false" outlineLevel="0" collapsed="false">
      <c r="B480" s="135"/>
      <c r="CP480" s="116"/>
      <c r="CQ480" s="116"/>
      <c r="CR480" s="116"/>
      <c r="CS480" s="116"/>
      <c r="CT480" s="116"/>
      <c r="CU480" s="116"/>
      <c r="CV480" s="145"/>
      <c r="CW480" s="234"/>
      <c r="CX480" s="234"/>
      <c r="CY480" s="234"/>
      <c r="CZ480" s="135"/>
      <c r="DA480" s="135"/>
      <c r="DB480" s="135"/>
      <c r="DD480" s="135"/>
      <c r="DF480" s="236"/>
      <c r="DG480" s="234"/>
      <c r="DH480" s="237"/>
      <c r="DI480" s="135"/>
    </row>
    <row r="481" customFormat="false" ht="12.75" hidden="false" customHeight="false" outlineLevel="0" collapsed="false">
      <c r="B481" s="135"/>
      <c r="CP481" s="116"/>
      <c r="CQ481" s="116"/>
      <c r="CR481" s="116"/>
      <c r="CS481" s="116"/>
      <c r="CT481" s="116"/>
      <c r="CU481" s="116"/>
      <c r="CV481" s="145"/>
      <c r="CW481" s="234"/>
      <c r="CX481" s="234"/>
      <c r="CY481" s="234"/>
      <c r="CZ481" s="135"/>
      <c r="DA481" s="135"/>
      <c r="DB481" s="135"/>
      <c r="DD481" s="135"/>
      <c r="DF481" s="236"/>
      <c r="DG481" s="234"/>
      <c r="DH481" s="237"/>
      <c r="DI481" s="135"/>
    </row>
    <row r="482" customFormat="false" ht="12.75" hidden="false" customHeight="false" outlineLevel="0" collapsed="false">
      <c r="B482" s="135"/>
      <c r="CP482" s="116"/>
      <c r="CQ482" s="116"/>
      <c r="CR482" s="116"/>
      <c r="CS482" s="116"/>
      <c r="CT482" s="116"/>
      <c r="CU482" s="116"/>
      <c r="CV482" s="145"/>
      <c r="CW482" s="234"/>
      <c r="CX482" s="234"/>
      <c r="CY482" s="234"/>
      <c r="CZ482" s="135"/>
      <c r="DA482" s="135"/>
      <c r="DB482" s="135"/>
      <c r="DD482" s="135"/>
      <c r="DF482" s="236"/>
      <c r="DG482" s="234"/>
      <c r="DH482" s="237"/>
      <c r="DI482" s="135"/>
    </row>
    <row r="483" customFormat="false" ht="12.75" hidden="false" customHeight="false" outlineLevel="0" collapsed="false">
      <c r="B483" s="135"/>
      <c r="CP483" s="116"/>
      <c r="CQ483" s="116"/>
      <c r="CR483" s="116"/>
      <c r="CS483" s="116"/>
      <c r="CT483" s="116"/>
      <c r="CU483" s="116"/>
      <c r="CV483" s="145"/>
      <c r="CW483" s="234"/>
      <c r="CX483" s="234"/>
      <c r="CY483" s="234"/>
      <c r="CZ483" s="135"/>
      <c r="DA483" s="135"/>
      <c r="DB483" s="135"/>
      <c r="DD483" s="135"/>
      <c r="DF483" s="236"/>
      <c r="DG483" s="234"/>
      <c r="DH483" s="237"/>
      <c r="DI483" s="135"/>
    </row>
    <row r="484" customFormat="false" ht="12.75" hidden="false" customHeight="false" outlineLevel="0" collapsed="false">
      <c r="B484" s="135"/>
      <c r="CP484" s="116"/>
      <c r="CQ484" s="116"/>
      <c r="CR484" s="116"/>
      <c r="CS484" s="116"/>
      <c r="CT484" s="116"/>
      <c r="CU484" s="116"/>
      <c r="CV484" s="145"/>
      <c r="CW484" s="234"/>
      <c r="CX484" s="234"/>
      <c r="CY484" s="234"/>
      <c r="CZ484" s="135"/>
      <c r="DA484" s="135"/>
      <c r="DB484" s="135"/>
      <c r="DD484" s="135"/>
      <c r="DF484" s="236"/>
      <c r="DG484" s="234"/>
      <c r="DH484" s="237"/>
      <c r="DI484" s="135"/>
    </row>
    <row r="485" customFormat="false" ht="12.75" hidden="false" customHeight="false" outlineLevel="0" collapsed="false">
      <c r="B485" s="135"/>
      <c r="CP485" s="116"/>
      <c r="CQ485" s="116"/>
      <c r="CR485" s="116"/>
      <c r="CS485" s="116"/>
      <c r="CT485" s="116"/>
      <c r="CU485" s="116"/>
      <c r="CV485" s="145"/>
      <c r="CW485" s="234"/>
      <c r="CX485" s="234"/>
      <c r="CY485" s="234"/>
      <c r="CZ485" s="135"/>
      <c r="DA485" s="135"/>
      <c r="DB485" s="135"/>
      <c r="DD485" s="135"/>
      <c r="DF485" s="236"/>
      <c r="DG485" s="234"/>
      <c r="DH485" s="237"/>
      <c r="DI485" s="135"/>
    </row>
    <row r="486" customFormat="false" ht="12.75" hidden="false" customHeight="false" outlineLevel="0" collapsed="false">
      <c r="B486" s="135"/>
      <c r="CP486" s="116"/>
      <c r="CQ486" s="116"/>
      <c r="CR486" s="116"/>
      <c r="CS486" s="116"/>
      <c r="CT486" s="116"/>
      <c r="CU486" s="116"/>
      <c r="CV486" s="145"/>
      <c r="CW486" s="234"/>
      <c r="CX486" s="234"/>
      <c r="CY486" s="234"/>
      <c r="CZ486" s="135"/>
      <c r="DA486" s="135"/>
      <c r="DB486" s="135"/>
      <c r="DD486" s="135"/>
      <c r="DF486" s="236"/>
      <c r="DG486" s="234"/>
      <c r="DH486" s="237"/>
      <c r="DI486" s="135"/>
    </row>
    <row r="487" customFormat="false" ht="12.75" hidden="false" customHeight="false" outlineLevel="0" collapsed="false">
      <c r="B487" s="135"/>
      <c r="CP487" s="116"/>
      <c r="CQ487" s="116"/>
      <c r="CR487" s="116"/>
      <c r="CS487" s="116"/>
      <c r="CT487" s="116"/>
      <c r="CU487" s="116"/>
      <c r="CV487" s="145"/>
      <c r="CW487" s="234"/>
      <c r="CX487" s="234"/>
      <c r="CY487" s="234"/>
      <c r="CZ487" s="135"/>
      <c r="DA487" s="135"/>
      <c r="DB487" s="135"/>
      <c r="DD487" s="135"/>
      <c r="DF487" s="236"/>
      <c r="DG487" s="234"/>
      <c r="DH487" s="237"/>
      <c r="DI487" s="135"/>
    </row>
    <row r="488" customFormat="false" ht="12.75" hidden="false" customHeight="false" outlineLevel="0" collapsed="false">
      <c r="B488" s="135"/>
      <c r="CP488" s="116"/>
      <c r="CQ488" s="116"/>
      <c r="CR488" s="116"/>
      <c r="CS488" s="116"/>
      <c r="CT488" s="116"/>
      <c r="CU488" s="116"/>
      <c r="CV488" s="145"/>
      <c r="CW488" s="234"/>
      <c r="CX488" s="234"/>
      <c r="CY488" s="234"/>
      <c r="CZ488" s="135"/>
      <c r="DA488" s="135"/>
      <c r="DB488" s="135"/>
      <c r="DD488" s="135"/>
      <c r="DF488" s="236"/>
      <c r="DG488" s="234"/>
      <c r="DH488" s="237"/>
      <c r="DI488" s="135"/>
    </row>
    <row r="489" customFormat="false" ht="12.75" hidden="false" customHeight="false" outlineLevel="0" collapsed="false">
      <c r="B489" s="135"/>
      <c r="CP489" s="116"/>
      <c r="CQ489" s="116"/>
      <c r="CR489" s="116"/>
      <c r="CS489" s="116"/>
      <c r="CT489" s="116"/>
      <c r="CU489" s="116"/>
      <c r="CV489" s="145"/>
      <c r="CW489" s="234"/>
      <c r="CX489" s="234"/>
      <c r="CY489" s="234"/>
      <c r="CZ489" s="135"/>
      <c r="DA489" s="135"/>
      <c r="DB489" s="135"/>
      <c r="DD489" s="135"/>
      <c r="DF489" s="236"/>
      <c r="DG489" s="234"/>
      <c r="DH489" s="237"/>
      <c r="DI489" s="135"/>
    </row>
    <row r="490" customFormat="false" ht="12.75" hidden="false" customHeight="false" outlineLevel="0" collapsed="false">
      <c r="B490" s="135"/>
      <c r="CP490" s="116"/>
      <c r="CQ490" s="116"/>
      <c r="CR490" s="116"/>
      <c r="CS490" s="116"/>
      <c r="CT490" s="116"/>
      <c r="CU490" s="116"/>
      <c r="CV490" s="145"/>
      <c r="CW490" s="234"/>
      <c r="CX490" s="234"/>
      <c r="CY490" s="234"/>
      <c r="CZ490" s="135"/>
      <c r="DA490" s="135"/>
      <c r="DB490" s="135"/>
      <c r="DD490" s="135"/>
      <c r="DF490" s="236"/>
      <c r="DG490" s="234"/>
      <c r="DH490" s="237"/>
      <c r="DI490" s="135"/>
    </row>
    <row r="491" customFormat="false" ht="12.75" hidden="false" customHeight="false" outlineLevel="0" collapsed="false">
      <c r="B491" s="135"/>
      <c r="CP491" s="116"/>
      <c r="CQ491" s="116"/>
      <c r="CR491" s="116"/>
      <c r="CS491" s="116"/>
      <c r="CT491" s="116"/>
      <c r="CU491" s="116"/>
      <c r="CV491" s="145"/>
      <c r="CW491" s="234"/>
      <c r="CX491" s="234"/>
      <c r="CY491" s="234"/>
      <c r="CZ491" s="135"/>
      <c r="DA491" s="135"/>
      <c r="DB491" s="135"/>
      <c r="DD491" s="135"/>
      <c r="DF491" s="236"/>
      <c r="DG491" s="234"/>
      <c r="DH491" s="237"/>
      <c r="DI491" s="135"/>
    </row>
    <row r="492" customFormat="false" ht="12.75" hidden="false" customHeight="false" outlineLevel="0" collapsed="false">
      <c r="B492" s="135"/>
      <c r="CP492" s="116"/>
      <c r="CQ492" s="116"/>
      <c r="CR492" s="116"/>
      <c r="CS492" s="116"/>
      <c r="CT492" s="116"/>
      <c r="CU492" s="116"/>
      <c r="CV492" s="145"/>
      <c r="CW492" s="234"/>
      <c r="CX492" s="234"/>
      <c r="CY492" s="234"/>
      <c r="CZ492" s="135"/>
      <c r="DA492" s="135"/>
      <c r="DB492" s="135"/>
      <c r="DD492" s="135"/>
      <c r="DF492" s="236"/>
      <c r="DG492" s="234"/>
      <c r="DH492" s="237"/>
      <c r="DI492" s="135"/>
    </row>
    <row r="493" customFormat="false" ht="12.75" hidden="false" customHeight="false" outlineLevel="0" collapsed="false">
      <c r="B493" s="135"/>
      <c r="CP493" s="116"/>
      <c r="CQ493" s="116"/>
      <c r="CR493" s="116"/>
      <c r="CS493" s="116"/>
      <c r="CT493" s="116"/>
      <c r="CU493" s="116"/>
      <c r="CV493" s="145"/>
      <c r="CW493" s="234"/>
      <c r="CX493" s="234"/>
      <c r="CY493" s="234"/>
      <c r="CZ493" s="135"/>
      <c r="DA493" s="135"/>
      <c r="DB493" s="135"/>
      <c r="DD493" s="135"/>
      <c r="DF493" s="236"/>
      <c r="DG493" s="234"/>
      <c r="DH493" s="237"/>
      <c r="DI493" s="135"/>
    </row>
    <row r="494" customFormat="false" ht="12.75" hidden="false" customHeight="false" outlineLevel="0" collapsed="false">
      <c r="B494" s="135"/>
      <c r="CP494" s="116"/>
      <c r="CQ494" s="116"/>
      <c r="CR494" s="116"/>
      <c r="CS494" s="116"/>
      <c r="CT494" s="116"/>
      <c r="CU494" s="116"/>
      <c r="CV494" s="145"/>
      <c r="CW494" s="234"/>
      <c r="CX494" s="234"/>
      <c r="CY494" s="234"/>
      <c r="CZ494" s="135"/>
      <c r="DA494" s="135"/>
      <c r="DB494" s="135"/>
      <c r="DD494" s="135"/>
      <c r="DF494" s="236"/>
      <c r="DG494" s="234"/>
      <c r="DH494" s="237"/>
      <c r="DI494" s="135"/>
    </row>
    <row r="495" customFormat="false" ht="12.75" hidden="false" customHeight="false" outlineLevel="0" collapsed="false">
      <c r="B495" s="135"/>
      <c r="CP495" s="116"/>
      <c r="CQ495" s="116"/>
      <c r="CR495" s="116"/>
      <c r="CS495" s="116"/>
      <c r="CT495" s="116"/>
      <c r="CU495" s="116"/>
      <c r="CV495" s="145"/>
      <c r="CW495" s="234"/>
      <c r="CX495" s="234"/>
      <c r="CY495" s="234"/>
      <c r="CZ495" s="135"/>
      <c r="DA495" s="135"/>
      <c r="DB495" s="135"/>
      <c r="DD495" s="135"/>
      <c r="DF495" s="236"/>
      <c r="DG495" s="234"/>
      <c r="DH495" s="237"/>
      <c r="DI495" s="135"/>
    </row>
    <row r="496" customFormat="false" ht="12.75" hidden="false" customHeight="false" outlineLevel="0" collapsed="false">
      <c r="B496" s="135"/>
      <c r="CP496" s="116"/>
      <c r="CQ496" s="116"/>
      <c r="CR496" s="116"/>
      <c r="CS496" s="116"/>
      <c r="CT496" s="116"/>
      <c r="CU496" s="116"/>
      <c r="CV496" s="145"/>
      <c r="CW496" s="234"/>
      <c r="CX496" s="234"/>
      <c r="CY496" s="234"/>
      <c r="CZ496" s="135"/>
      <c r="DA496" s="135"/>
      <c r="DB496" s="135"/>
      <c r="DD496" s="135"/>
      <c r="DF496" s="236"/>
      <c r="DG496" s="234"/>
      <c r="DH496" s="237"/>
      <c r="DI496" s="135"/>
    </row>
    <row r="497" customFormat="false" ht="12.75" hidden="false" customHeight="false" outlineLevel="0" collapsed="false">
      <c r="B497" s="135"/>
      <c r="CP497" s="116"/>
      <c r="CQ497" s="116"/>
      <c r="CR497" s="116"/>
      <c r="CS497" s="116"/>
      <c r="CT497" s="116"/>
      <c r="CU497" s="116"/>
      <c r="CV497" s="145"/>
      <c r="CW497" s="234"/>
      <c r="CX497" s="234"/>
      <c r="CY497" s="234"/>
      <c r="CZ497" s="135"/>
      <c r="DA497" s="135"/>
      <c r="DB497" s="135"/>
      <c r="DD497" s="135"/>
      <c r="DF497" s="236"/>
      <c r="DG497" s="234"/>
      <c r="DH497" s="237"/>
      <c r="DI497" s="135"/>
    </row>
    <row r="498" customFormat="false" ht="12.75" hidden="false" customHeight="false" outlineLevel="0" collapsed="false">
      <c r="B498" s="135"/>
      <c r="CP498" s="116"/>
      <c r="CQ498" s="116"/>
      <c r="CR498" s="116"/>
      <c r="CS498" s="116"/>
      <c r="CT498" s="116"/>
      <c r="CU498" s="116"/>
      <c r="CV498" s="145"/>
      <c r="CW498" s="234"/>
      <c r="CX498" s="234"/>
      <c r="CY498" s="234"/>
      <c r="CZ498" s="135"/>
      <c r="DA498" s="135"/>
      <c r="DB498" s="135"/>
      <c r="DD498" s="135"/>
      <c r="DF498" s="236"/>
      <c r="DG498" s="234"/>
      <c r="DH498" s="237"/>
      <c r="DI498" s="135"/>
    </row>
    <row r="499" customFormat="false" ht="12.75" hidden="false" customHeight="false" outlineLevel="0" collapsed="false">
      <c r="B499" s="135"/>
      <c r="CP499" s="116"/>
      <c r="CQ499" s="116"/>
      <c r="CR499" s="116"/>
      <c r="CS499" s="116"/>
      <c r="CT499" s="116"/>
      <c r="CU499" s="116"/>
      <c r="CV499" s="145"/>
      <c r="CW499" s="234"/>
      <c r="CX499" s="234"/>
      <c r="CY499" s="234"/>
      <c r="CZ499" s="135"/>
      <c r="DA499" s="135"/>
      <c r="DB499" s="135"/>
      <c r="DD499" s="135"/>
      <c r="DF499" s="236"/>
      <c r="DG499" s="234"/>
      <c r="DH499" s="237"/>
      <c r="DI499" s="135"/>
    </row>
    <row r="500" customFormat="false" ht="12.75" hidden="false" customHeight="false" outlineLevel="0" collapsed="false">
      <c r="B500" s="135"/>
      <c r="CP500" s="116"/>
      <c r="CQ500" s="116"/>
      <c r="CR500" s="116"/>
      <c r="CS500" s="116"/>
      <c r="CT500" s="116"/>
      <c r="CU500" s="116"/>
      <c r="CV500" s="145"/>
      <c r="CW500" s="234"/>
      <c r="CX500" s="234"/>
      <c r="CY500" s="234"/>
      <c r="CZ500" s="135"/>
      <c r="DA500" s="135"/>
      <c r="DB500" s="135"/>
      <c r="DD500" s="135"/>
      <c r="DF500" s="236"/>
      <c r="DG500" s="234"/>
      <c r="DH500" s="237"/>
      <c r="DI500" s="135"/>
    </row>
    <row r="501" customFormat="false" ht="12.75" hidden="false" customHeight="false" outlineLevel="0" collapsed="false">
      <c r="B501" s="135"/>
      <c r="CP501" s="116"/>
      <c r="CQ501" s="116"/>
      <c r="CR501" s="116"/>
      <c r="CS501" s="116"/>
      <c r="CT501" s="116"/>
      <c r="CU501" s="116"/>
      <c r="CV501" s="145"/>
      <c r="CW501" s="234"/>
      <c r="CX501" s="234"/>
      <c r="CY501" s="234"/>
      <c r="CZ501" s="135"/>
      <c r="DA501" s="135"/>
      <c r="DB501" s="135"/>
      <c r="DD501" s="135"/>
      <c r="DF501" s="236"/>
      <c r="DG501" s="234"/>
      <c r="DH501" s="237"/>
      <c r="DI501" s="135"/>
    </row>
    <row r="502" customFormat="false" ht="12.75" hidden="false" customHeight="false" outlineLevel="0" collapsed="false">
      <c r="B502" s="135"/>
      <c r="CP502" s="116"/>
      <c r="CQ502" s="116"/>
      <c r="CR502" s="116"/>
      <c r="CS502" s="116"/>
      <c r="CT502" s="116"/>
      <c r="CU502" s="116"/>
      <c r="CV502" s="145"/>
      <c r="CW502" s="234"/>
      <c r="CX502" s="234"/>
      <c r="CY502" s="234"/>
      <c r="CZ502" s="135"/>
      <c r="DA502" s="135"/>
      <c r="DB502" s="135"/>
      <c r="DD502" s="135"/>
      <c r="DF502" s="236"/>
      <c r="DG502" s="234"/>
      <c r="DH502" s="237"/>
      <c r="DI502" s="135"/>
    </row>
    <row r="503" customFormat="false" ht="12.75" hidden="false" customHeight="false" outlineLevel="0" collapsed="false">
      <c r="B503" s="135"/>
      <c r="CP503" s="116"/>
      <c r="CQ503" s="116"/>
      <c r="CR503" s="116"/>
      <c r="CS503" s="116"/>
      <c r="CT503" s="116"/>
      <c r="CU503" s="116"/>
      <c r="CV503" s="145"/>
      <c r="CW503" s="234"/>
      <c r="CX503" s="234"/>
      <c r="CY503" s="234"/>
      <c r="CZ503" s="135"/>
      <c r="DA503" s="135"/>
      <c r="DB503" s="135"/>
      <c r="DD503" s="135"/>
      <c r="DF503" s="236"/>
      <c r="DG503" s="234"/>
      <c r="DH503" s="237"/>
      <c r="DI503" s="135"/>
    </row>
    <row r="504" customFormat="false" ht="12.75" hidden="false" customHeight="false" outlineLevel="0" collapsed="false">
      <c r="B504" s="135"/>
      <c r="CP504" s="116"/>
      <c r="CQ504" s="116"/>
      <c r="CR504" s="116"/>
      <c r="CS504" s="116"/>
      <c r="CT504" s="116"/>
      <c r="CU504" s="116"/>
      <c r="CV504" s="145"/>
      <c r="CW504" s="234"/>
      <c r="CX504" s="234"/>
      <c r="CY504" s="234"/>
      <c r="CZ504" s="135"/>
      <c r="DA504" s="135"/>
      <c r="DB504" s="135"/>
      <c r="DD504" s="135"/>
      <c r="DF504" s="236"/>
      <c r="DG504" s="234"/>
      <c r="DH504" s="237"/>
      <c r="DI504" s="135"/>
    </row>
    <row r="505" customFormat="false" ht="12.75" hidden="false" customHeight="false" outlineLevel="0" collapsed="false">
      <c r="B505" s="135"/>
      <c r="CP505" s="116"/>
      <c r="CQ505" s="116"/>
      <c r="CR505" s="116"/>
      <c r="CS505" s="116"/>
      <c r="CT505" s="116"/>
      <c r="CU505" s="116"/>
      <c r="CV505" s="145"/>
      <c r="CW505" s="234"/>
      <c r="CX505" s="234"/>
      <c r="CY505" s="234"/>
      <c r="CZ505" s="135"/>
      <c r="DA505" s="135"/>
      <c r="DB505" s="135"/>
      <c r="DD505" s="135"/>
      <c r="DF505" s="236"/>
      <c r="DG505" s="234"/>
      <c r="DH505" s="237"/>
      <c r="DI505" s="135"/>
    </row>
    <row r="506" customFormat="false" ht="12.75" hidden="false" customHeight="false" outlineLevel="0" collapsed="false">
      <c r="B506" s="135"/>
      <c r="CP506" s="116"/>
      <c r="CQ506" s="116"/>
      <c r="CR506" s="116"/>
      <c r="CS506" s="116"/>
      <c r="CT506" s="116"/>
      <c r="CU506" s="116"/>
      <c r="CV506" s="145"/>
      <c r="CW506" s="234"/>
      <c r="CX506" s="234"/>
      <c r="CY506" s="234"/>
      <c r="CZ506" s="135"/>
      <c r="DA506" s="135"/>
      <c r="DB506" s="135"/>
      <c r="DD506" s="135"/>
      <c r="DF506" s="236"/>
      <c r="DG506" s="234"/>
      <c r="DH506" s="237"/>
      <c r="DI506" s="135"/>
    </row>
    <row r="507" customFormat="false" ht="12.75" hidden="false" customHeight="false" outlineLevel="0" collapsed="false">
      <c r="B507" s="135"/>
      <c r="CP507" s="116"/>
      <c r="CQ507" s="116"/>
      <c r="CR507" s="116"/>
      <c r="CS507" s="116"/>
      <c r="CT507" s="116"/>
      <c r="CU507" s="116"/>
      <c r="CV507" s="145"/>
      <c r="CW507" s="234"/>
      <c r="CX507" s="234"/>
      <c r="CY507" s="234"/>
      <c r="CZ507" s="135"/>
      <c r="DA507" s="135"/>
      <c r="DB507" s="135"/>
      <c r="DD507" s="135"/>
      <c r="DF507" s="236"/>
      <c r="DG507" s="234"/>
      <c r="DH507" s="237"/>
      <c r="DI507" s="135"/>
    </row>
    <row r="508" customFormat="false" ht="12.75" hidden="false" customHeight="false" outlineLevel="0" collapsed="false">
      <c r="B508" s="135"/>
      <c r="CP508" s="116"/>
      <c r="CQ508" s="116"/>
      <c r="CR508" s="116"/>
      <c r="CS508" s="116"/>
      <c r="CT508" s="116"/>
      <c r="CU508" s="116"/>
      <c r="CV508" s="145"/>
      <c r="CW508" s="234"/>
      <c r="CX508" s="234"/>
      <c r="CY508" s="234"/>
      <c r="CZ508" s="135"/>
      <c r="DA508" s="135"/>
      <c r="DB508" s="135"/>
      <c r="DD508" s="135"/>
      <c r="DF508" s="236"/>
      <c r="DG508" s="234"/>
      <c r="DH508" s="237"/>
      <c r="DI508" s="135"/>
    </row>
    <row r="509" customFormat="false" ht="12.75" hidden="false" customHeight="false" outlineLevel="0" collapsed="false">
      <c r="B509" s="135"/>
      <c r="CP509" s="116"/>
      <c r="CQ509" s="116"/>
      <c r="CR509" s="116"/>
      <c r="CS509" s="116"/>
      <c r="CT509" s="116"/>
      <c r="CU509" s="116"/>
      <c r="CV509" s="145"/>
      <c r="CW509" s="234"/>
      <c r="CX509" s="234"/>
      <c r="CY509" s="234"/>
      <c r="CZ509" s="135"/>
      <c r="DA509" s="135"/>
      <c r="DB509" s="135"/>
      <c r="DD509" s="135"/>
      <c r="DF509" s="236"/>
      <c r="DG509" s="234"/>
      <c r="DH509" s="237"/>
      <c r="DI509" s="135"/>
    </row>
    <row r="510" customFormat="false" ht="12.75" hidden="false" customHeight="false" outlineLevel="0" collapsed="false">
      <c r="B510" s="135"/>
      <c r="CP510" s="116"/>
      <c r="CQ510" s="116"/>
      <c r="CR510" s="116"/>
      <c r="CS510" s="116"/>
      <c r="CT510" s="116"/>
      <c r="CU510" s="116"/>
      <c r="CV510" s="145"/>
      <c r="CW510" s="234"/>
      <c r="CX510" s="234"/>
      <c r="CY510" s="234"/>
      <c r="CZ510" s="135"/>
      <c r="DA510" s="135"/>
      <c r="DB510" s="135"/>
      <c r="DD510" s="135"/>
      <c r="DF510" s="236"/>
      <c r="DG510" s="234"/>
      <c r="DH510" s="237"/>
      <c r="DI510" s="135"/>
    </row>
    <row r="511" customFormat="false" ht="12.75" hidden="false" customHeight="false" outlineLevel="0" collapsed="false">
      <c r="B511" s="135"/>
      <c r="CP511" s="116"/>
      <c r="CQ511" s="116"/>
      <c r="CR511" s="116"/>
      <c r="CS511" s="116"/>
      <c r="CT511" s="116"/>
      <c r="CU511" s="116"/>
      <c r="CV511" s="145"/>
      <c r="CW511" s="234"/>
      <c r="CX511" s="234"/>
      <c r="CY511" s="234"/>
      <c r="CZ511" s="135"/>
      <c r="DA511" s="135"/>
      <c r="DB511" s="135"/>
      <c r="DD511" s="135"/>
      <c r="DF511" s="236"/>
      <c r="DG511" s="234"/>
      <c r="DH511" s="237"/>
      <c r="DI511" s="135"/>
    </row>
    <row r="512" customFormat="false" ht="12.75" hidden="false" customHeight="false" outlineLevel="0" collapsed="false">
      <c r="B512" s="135"/>
      <c r="CP512" s="116"/>
      <c r="CQ512" s="116"/>
      <c r="CR512" s="116"/>
      <c r="CS512" s="116"/>
      <c r="CT512" s="116"/>
      <c r="CU512" s="116"/>
      <c r="CV512" s="145"/>
      <c r="CW512" s="234"/>
      <c r="CX512" s="234"/>
      <c r="CY512" s="234"/>
      <c r="CZ512" s="135"/>
      <c r="DA512" s="135"/>
      <c r="DB512" s="135"/>
      <c r="DD512" s="135"/>
      <c r="DF512" s="236"/>
      <c r="DG512" s="234"/>
      <c r="DH512" s="237"/>
      <c r="DI512" s="135"/>
    </row>
    <row r="513" customFormat="false" ht="12.75" hidden="false" customHeight="false" outlineLevel="0" collapsed="false">
      <c r="B513" s="135"/>
      <c r="CP513" s="116"/>
      <c r="CQ513" s="116"/>
      <c r="CR513" s="116"/>
      <c r="CS513" s="116"/>
      <c r="CT513" s="116"/>
      <c r="CU513" s="116"/>
      <c r="CV513" s="145"/>
      <c r="CW513" s="234"/>
      <c r="CX513" s="234"/>
      <c r="CY513" s="234"/>
      <c r="CZ513" s="135"/>
      <c r="DA513" s="135"/>
      <c r="DB513" s="135"/>
      <c r="DD513" s="135"/>
      <c r="DF513" s="236"/>
      <c r="DG513" s="234"/>
      <c r="DH513" s="237"/>
      <c r="DI513" s="135"/>
    </row>
    <row r="514" customFormat="false" ht="12.75" hidden="false" customHeight="false" outlineLevel="0" collapsed="false">
      <c r="B514" s="135"/>
      <c r="CP514" s="116"/>
      <c r="CQ514" s="116"/>
      <c r="CR514" s="116"/>
      <c r="CS514" s="116"/>
      <c r="CT514" s="116"/>
      <c r="CU514" s="116"/>
      <c r="CV514" s="145"/>
      <c r="CW514" s="234"/>
      <c r="CX514" s="234"/>
      <c r="CY514" s="234"/>
      <c r="CZ514" s="135"/>
      <c r="DA514" s="135"/>
      <c r="DB514" s="135"/>
      <c r="DD514" s="135"/>
      <c r="DF514" s="236"/>
      <c r="DG514" s="234"/>
      <c r="DH514" s="237"/>
      <c r="DI514" s="135"/>
    </row>
    <row r="515" customFormat="false" ht="12.75" hidden="false" customHeight="false" outlineLevel="0" collapsed="false">
      <c r="B515" s="135"/>
      <c r="CP515" s="116"/>
      <c r="CQ515" s="116"/>
      <c r="CR515" s="116"/>
      <c r="CS515" s="116"/>
      <c r="CT515" s="116"/>
      <c r="CU515" s="116"/>
      <c r="CV515" s="145"/>
      <c r="CW515" s="234"/>
      <c r="CX515" s="234"/>
      <c r="CY515" s="234"/>
      <c r="CZ515" s="135"/>
      <c r="DA515" s="135"/>
      <c r="DB515" s="135"/>
      <c r="DD515" s="135"/>
      <c r="DF515" s="236"/>
      <c r="DG515" s="234"/>
      <c r="DH515" s="237"/>
      <c r="DI515" s="135"/>
    </row>
    <row r="516" customFormat="false" ht="12.75" hidden="false" customHeight="false" outlineLevel="0" collapsed="false">
      <c r="B516" s="135"/>
      <c r="CP516" s="116"/>
      <c r="CQ516" s="116"/>
      <c r="CR516" s="116"/>
      <c r="CS516" s="116"/>
      <c r="CT516" s="116"/>
      <c r="CU516" s="116"/>
    </row>
    <row r="517" customFormat="false" ht="12.75" hidden="false" customHeight="false" outlineLevel="0" collapsed="false">
      <c r="B517" s="135"/>
    </row>
    <row r="518" customFormat="false" ht="12.75" hidden="false" customHeight="false" outlineLevel="0" collapsed="false">
      <c r="B518" s="135"/>
    </row>
    <row r="519" customFormat="false" ht="12.75" hidden="false" customHeight="false" outlineLevel="0" collapsed="false">
      <c r="B519" s="135"/>
    </row>
  </sheetData>
  <mergeCells count="4">
    <mergeCell ref="EA12:EB12"/>
    <mergeCell ref="CZ17:DB17"/>
    <mergeCell ref="DM17:DO17"/>
    <mergeCell ref="AS18:BF18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J486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2" ySplit="0" topLeftCell="C1" activePane="topRight" state="frozen"/>
      <selection pane="topLeft" activeCell="A1" activeCellId="0" sqref="A1"/>
      <selection pane="topRight" activeCell="C18" activeCellId="0" sqref="C18"/>
    </sheetView>
  </sheetViews>
  <sheetFormatPr defaultColWidth="9.13671875" defaultRowHeight="12" customHeight="true" zeroHeight="false" outlineLevelRow="0" outlineLevelCol="0"/>
  <cols>
    <col collapsed="false" customWidth="true" hidden="false" outlineLevel="0" max="1" min="1" style="238" width="8.14"/>
    <col collapsed="false" customWidth="true" hidden="false" outlineLevel="0" max="2" min="2" style="239" width="11.56"/>
    <col collapsed="false" customWidth="true" hidden="false" outlineLevel="0" max="3" min="3" style="239" width="12.7"/>
    <col collapsed="false" customWidth="true" hidden="false" outlineLevel="0" max="4" min="4" style="239" width="14.28"/>
    <col collapsed="false" customWidth="true" hidden="false" outlineLevel="0" max="5" min="5" style="239" width="12.85"/>
    <col collapsed="false" customWidth="true" hidden="false" outlineLevel="0" max="6" min="6" style="239" width="12.56"/>
    <col collapsed="false" customWidth="true" hidden="false" outlineLevel="0" max="7" min="7" style="239" width="13.56"/>
    <col collapsed="false" customWidth="true" hidden="false" outlineLevel="0" max="8" min="8" style="239" width="13.41"/>
    <col collapsed="false" customWidth="true" hidden="false" outlineLevel="0" max="9" min="9" style="239" width="12.85"/>
    <col collapsed="false" customWidth="true" hidden="false" outlineLevel="0" max="10" min="10" style="239" width="14.41"/>
    <col collapsed="false" customWidth="true" hidden="false" outlineLevel="0" max="11" min="11" style="239" width="13.99"/>
    <col collapsed="false" customWidth="true" hidden="false" outlineLevel="0" max="12" min="12" style="239" width="13.14"/>
    <col collapsed="false" customWidth="true" hidden="false" outlineLevel="0" max="13" min="13" style="239" width="11.56"/>
    <col collapsed="false" customWidth="true" hidden="false" outlineLevel="0" max="14" min="14" style="239" width="6.28"/>
    <col collapsed="false" customWidth="true" hidden="false" outlineLevel="0" max="15" min="15" style="239" width="9.7"/>
    <col collapsed="false" customWidth="true" hidden="false" outlineLevel="0" max="17" min="16" style="239" width="9.85"/>
    <col collapsed="false" customWidth="true" hidden="false" outlineLevel="0" max="18" min="18" style="239" width="8.14"/>
    <col collapsed="false" customWidth="true" hidden="false" outlineLevel="0" max="19" min="19" style="239" width="8.56"/>
    <col collapsed="false" customWidth="true" hidden="false" outlineLevel="0" max="21" min="20" style="239" width="8.14"/>
    <col collapsed="false" customWidth="true" hidden="false" outlineLevel="0" max="22" min="22" style="239" width="8.56"/>
    <col collapsed="false" customWidth="true" hidden="false" outlineLevel="0" max="23" min="23" style="240" width="8.14"/>
    <col collapsed="false" customWidth="true" hidden="false" outlineLevel="0" max="24" min="24" style="240" width="8.56"/>
    <col collapsed="false" customWidth="true" hidden="false" outlineLevel="0" max="25" min="25" style="240" width="8.14"/>
    <col collapsed="false" customWidth="true" hidden="false" outlineLevel="0" max="26" min="26" style="240" width="12.85"/>
    <col collapsed="false" customWidth="true" hidden="false" outlineLevel="0" max="27" min="27" style="240" width="10.28"/>
    <col collapsed="false" customWidth="true" hidden="false" outlineLevel="0" max="29" min="28" style="240" width="11.42"/>
    <col collapsed="false" customWidth="true" hidden="false" outlineLevel="0" max="30" min="30" style="240" width="12.56"/>
    <col collapsed="false" customWidth="true" hidden="false" outlineLevel="0" max="31" min="31" style="240" width="13.41"/>
    <col collapsed="false" customWidth="true" hidden="false" outlineLevel="0" max="32" min="32" style="240" width="12.14"/>
    <col collapsed="false" customWidth="true" hidden="false" outlineLevel="0" max="33" min="33" style="240" width="16.42"/>
    <col collapsed="false" customWidth="true" hidden="false" outlineLevel="0" max="34" min="34" style="240" width="11.13"/>
    <col collapsed="false" customWidth="true" hidden="false" outlineLevel="0" max="35" min="35" style="240" width="9.85"/>
    <col collapsed="false" customWidth="true" hidden="false" outlineLevel="0" max="36" min="36" style="240" width="11.42"/>
    <col collapsed="false" customWidth="true" hidden="false" outlineLevel="0" max="37" min="37" style="240" width="16.7"/>
    <col collapsed="false" customWidth="true" hidden="false" outlineLevel="0" max="38" min="38" style="240" width="6.99"/>
    <col collapsed="false" customWidth="true" hidden="false" outlineLevel="0" max="39" min="39" style="240" width="13.7"/>
    <col collapsed="false" customWidth="true" hidden="false" outlineLevel="0" max="40" min="40" style="240" width="11.99"/>
    <col collapsed="false" customWidth="true" hidden="false" outlineLevel="0" max="41" min="41" style="240" width="10.41"/>
    <col collapsed="false" customWidth="true" hidden="false" outlineLevel="0" max="42" min="42" style="240" width="9.56"/>
    <col collapsed="false" customWidth="true" hidden="false" outlineLevel="0" max="43" min="43" style="240" width="10.41"/>
    <col collapsed="false" customWidth="true" hidden="false" outlineLevel="0" max="44" min="44" style="240" width="9.7"/>
    <col collapsed="false" customWidth="true" hidden="false" outlineLevel="0" max="45" min="45" style="240" width="19.7"/>
    <col collapsed="false" customWidth="true" hidden="false" outlineLevel="0" max="46" min="46" style="240" width="6.99"/>
    <col collapsed="false" customWidth="false" hidden="false" outlineLevel="0" max="51" min="47" style="240" width="9.14"/>
    <col collapsed="false" customWidth="true" hidden="false" outlineLevel="0" max="52" min="52" style="240" width="18.85"/>
    <col collapsed="false" customWidth="false" hidden="false" outlineLevel="0" max="68" min="53" style="240" width="9.14"/>
    <col collapsed="false" customWidth="true" hidden="false" outlineLevel="0" max="69" min="69" style="240" width="20.13"/>
    <col collapsed="false" customWidth="true" hidden="false" outlineLevel="0" max="70" min="70" style="240" width="11.56"/>
    <col collapsed="false" customWidth="true" hidden="false" outlineLevel="0" max="71" min="71" style="240" width="11.99"/>
    <col collapsed="false" customWidth="false" hidden="false" outlineLevel="0" max="74" min="72" style="240" width="9.14"/>
    <col collapsed="false" customWidth="true" hidden="false" outlineLevel="0" max="75" min="75" style="240" width="25.13"/>
    <col collapsed="false" customWidth="false" hidden="false" outlineLevel="0" max="78" min="76" style="240" width="9.14"/>
    <col collapsed="false" customWidth="true" hidden="false" outlineLevel="0" max="79" min="79" style="240" width="19.14"/>
    <col collapsed="false" customWidth="true" hidden="false" outlineLevel="0" max="80" min="80" style="240" width="11.56"/>
    <col collapsed="false" customWidth="true" hidden="false" outlineLevel="0" max="81" min="81" style="240" width="11.99"/>
    <col collapsed="false" customWidth="false" hidden="false" outlineLevel="0" max="84" min="82" style="240" width="9.14"/>
    <col collapsed="false" customWidth="true" hidden="false" outlineLevel="0" max="85" min="85" style="240" width="23.28"/>
    <col collapsed="false" customWidth="false" hidden="false" outlineLevel="0" max="88" min="86" style="240" width="9.14"/>
    <col collapsed="false" customWidth="true" hidden="false" outlineLevel="0" max="89" min="89" style="240" width="17.42"/>
    <col collapsed="false" customWidth="true" hidden="false" outlineLevel="0" max="90" min="90" style="240" width="9.28"/>
    <col collapsed="false" customWidth="false" hidden="false" outlineLevel="0" max="257" min="91" style="240" width="9.14"/>
  </cols>
  <sheetData>
    <row r="1" customFormat="false" ht="13.5" hidden="false" customHeight="false" outlineLevel="0" collapsed="false">
      <c r="A1" s="240" t="s">
        <v>185</v>
      </c>
      <c r="B1" s="241" t="s">
        <v>186</v>
      </c>
      <c r="C1" s="242" t="s">
        <v>187</v>
      </c>
      <c r="J1" s="243"/>
      <c r="K1" s="244"/>
      <c r="L1" s="243"/>
      <c r="BP1" s="0"/>
      <c r="BQ1" s="8" t="s">
        <v>188</v>
      </c>
      <c r="BR1" s="245" t="s">
        <v>189</v>
      </c>
      <c r="BS1" s="8" t="s">
        <v>190</v>
      </c>
      <c r="BT1" s="246" t="s">
        <v>191</v>
      </c>
      <c r="BU1" s="246"/>
      <c r="BV1" s="161"/>
      <c r="BW1" s="247"/>
      <c r="BX1" s="248" t="n">
        <v>323</v>
      </c>
      <c r="BZ1" s="0"/>
      <c r="CA1" s="8" t="s">
        <v>188</v>
      </c>
      <c r="CB1" s="245" t="s">
        <v>189</v>
      </c>
      <c r="CC1" s="8" t="s">
        <v>190</v>
      </c>
      <c r="CD1" s="246" t="s">
        <v>191</v>
      </c>
      <c r="CE1" s="0"/>
      <c r="CF1" s="0"/>
      <c r="CG1" s="0"/>
      <c r="CH1" s="248" t="n">
        <v>323</v>
      </c>
      <c r="CJ1" s="0"/>
      <c r="CK1" s="0"/>
      <c r="CL1" s="0"/>
      <c r="CM1" s="0"/>
      <c r="CN1" s="0"/>
      <c r="CO1" s="0"/>
    </row>
    <row r="2" customFormat="false" ht="13.5" hidden="false" customHeight="false" outlineLevel="0" collapsed="false">
      <c r="A2" s="240" t="s">
        <v>192</v>
      </c>
      <c r="B2" s="241" t="s">
        <v>186</v>
      </c>
      <c r="C2" s="242" t="s">
        <v>193</v>
      </c>
      <c r="BP2" s="249" t="n">
        <f aca="false">BP1+BV2</f>
        <v>1</v>
      </c>
      <c r="BQ2" s="250" t="s">
        <v>194</v>
      </c>
      <c r="BR2" s="251" t="s">
        <v>195</v>
      </c>
      <c r="BS2" s="168" t="s">
        <v>196</v>
      </c>
      <c r="BT2" s="252" t="s">
        <v>197</v>
      </c>
      <c r="BU2" s="253"/>
      <c r="BV2" s="161" t="n">
        <v>1</v>
      </c>
      <c r="BW2" s="247" t="s">
        <v>198</v>
      </c>
      <c r="BX2" s="0"/>
      <c r="BZ2" s="249" t="n">
        <f aca="false">BZ1+CF2</f>
        <v>1</v>
      </c>
      <c r="CA2" s="73" t="s">
        <v>194</v>
      </c>
      <c r="CB2" s="251" t="s">
        <v>199</v>
      </c>
      <c r="CC2" s="168" t="s">
        <v>196</v>
      </c>
      <c r="CD2" s="252" t="s">
        <v>197</v>
      </c>
      <c r="CE2" s="253"/>
      <c r="CF2" s="161" t="n">
        <v>1</v>
      </c>
      <c r="CG2" s="247" t="s">
        <v>200</v>
      </c>
      <c r="CH2" s="0"/>
      <c r="CJ2" s="0"/>
      <c r="CK2" s="254" t="s">
        <v>201</v>
      </c>
      <c r="CL2" s="254" t="s">
        <v>202</v>
      </c>
      <c r="CM2" s="254"/>
      <c r="CN2" s="254"/>
      <c r="CO2" s="255" t="n">
        <v>3</v>
      </c>
    </row>
    <row r="3" customFormat="false" ht="12.75" hidden="false" customHeight="false" outlineLevel="0" collapsed="false">
      <c r="A3" s="240" t="s">
        <v>203</v>
      </c>
      <c r="B3" s="241" t="s">
        <v>204</v>
      </c>
      <c r="C3" s="242" t="s">
        <v>205</v>
      </c>
      <c r="BP3" s="249" t="n">
        <f aca="false">BP2+BV3</f>
        <v>2</v>
      </c>
      <c r="BQ3" s="250" t="s">
        <v>206</v>
      </c>
      <c r="BR3" s="251" t="s">
        <v>195</v>
      </c>
      <c r="BS3" s="256" t="s">
        <v>196</v>
      </c>
      <c r="BT3" s="252" t="s">
        <v>197</v>
      </c>
      <c r="BU3" s="253"/>
      <c r="BV3" s="161" t="n">
        <v>1</v>
      </c>
      <c r="BW3" s="247" t="s">
        <v>207</v>
      </c>
      <c r="BX3" s="0"/>
      <c r="BZ3" s="249" t="n">
        <f aca="false">BZ2+CF3</f>
        <v>2</v>
      </c>
      <c r="CA3" s="73" t="s">
        <v>208</v>
      </c>
      <c r="CB3" s="251" t="s">
        <v>199</v>
      </c>
      <c r="CC3" s="168" t="s">
        <v>196</v>
      </c>
      <c r="CD3" s="252" t="s">
        <v>197</v>
      </c>
      <c r="CE3" s="253"/>
      <c r="CF3" s="161" t="n">
        <v>1</v>
      </c>
      <c r="CG3" s="247" t="s">
        <v>209</v>
      </c>
      <c r="CH3" s="0"/>
      <c r="CJ3" s="0" t="n">
        <v>1</v>
      </c>
      <c r="CK3" s="257" t="s">
        <v>210</v>
      </c>
      <c r="CL3" s="258" t="s">
        <v>211</v>
      </c>
      <c r="CM3" s="259"/>
      <c r="CN3" s="260"/>
      <c r="CO3" s="261"/>
      <c r="HJ3" s="239"/>
    </row>
    <row r="4" customFormat="false" ht="12.75" hidden="false" customHeight="false" outlineLevel="0" collapsed="false">
      <c r="A4" s="240"/>
      <c r="B4" s="241"/>
      <c r="C4" s="242"/>
      <c r="J4" s="262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49" t="n">
        <f aca="false">BP3+BV4</f>
        <v>3</v>
      </c>
      <c r="BQ4" s="250" t="s">
        <v>212</v>
      </c>
      <c r="BR4" s="247" t="s">
        <v>195</v>
      </c>
      <c r="BS4" s="161" t="s">
        <v>196</v>
      </c>
      <c r="BT4" s="253" t="s">
        <v>197</v>
      </c>
      <c r="BU4" s="253"/>
      <c r="BV4" s="161" t="n">
        <v>1</v>
      </c>
      <c r="BW4" s="247" t="s">
        <v>213</v>
      </c>
      <c r="BX4" s="0"/>
      <c r="BY4" s="239"/>
      <c r="BZ4" s="249" t="n">
        <f aca="false">BZ3+CF4</f>
        <v>3</v>
      </c>
      <c r="CA4" s="73" t="s">
        <v>206</v>
      </c>
      <c r="CB4" s="251" t="s">
        <v>199</v>
      </c>
      <c r="CC4" s="168" t="s">
        <v>196</v>
      </c>
      <c r="CD4" s="252" t="s">
        <v>197</v>
      </c>
      <c r="CE4" s="253"/>
      <c r="CF4" s="161" t="n">
        <v>1</v>
      </c>
      <c r="CG4" s="247" t="s">
        <v>214</v>
      </c>
      <c r="CH4" s="0"/>
      <c r="CI4" s="239"/>
      <c r="CJ4" s="0" t="n">
        <v>2</v>
      </c>
      <c r="CK4" s="263" t="s">
        <v>215</v>
      </c>
      <c r="CL4" s="264" t="s">
        <v>216</v>
      </c>
      <c r="CM4" s="265"/>
      <c r="CN4" s="266"/>
      <c r="CO4" s="267"/>
      <c r="CP4" s="239"/>
      <c r="CQ4" s="239"/>
      <c r="CR4" s="239"/>
      <c r="CS4" s="239"/>
      <c r="CT4" s="239"/>
      <c r="CU4" s="239"/>
      <c r="CV4" s="239"/>
      <c r="CW4" s="239"/>
      <c r="CX4" s="239"/>
      <c r="CY4" s="239"/>
      <c r="CZ4" s="239"/>
      <c r="DA4" s="239"/>
      <c r="DB4" s="239"/>
      <c r="DC4" s="239"/>
      <c r="DD4" s="239"/>
      <c r="DE4" s="239"/>
      <c r="DF4" s="239"/>
      <c r="DG4" s="239"/>
      <c r="DH4" s="239"/>
      <c r="DI4" s="239"/>
      <c r="DJ4" s="239"/>
      <c r="DK4" s="239"/>
      <c r="DL4" s="239"/>
      <c r="DM4" s="239"/>
      <c r="DN4" s="239"/>
      <c r="DO4" s="239"/>
      <c r="DP4" s="239"/>
      <c r="DQ4" s="239"/>
      <c r="DR4" s="239"/>
      <c r="DS4" s="239"/>
      <c r="DT4" s="239"/>
      <c r="DU4" s="239"/>
      <c r="DV4" s="239"/>
      <c r="DW4" s="239"/>
      <c r="DX4" s="239"/>
      <c r="DY4" s="239"/>
      <c r="DZ4" s="239"/>
      <c r="EA4" s="239"/>
      <c r="EB4" s="239"/>
      <c r="EC4" s="239"/>
      <c r="ED4" s="239"/>
      <c r="EE4" s="239"/>
      <c r="EF4" s="239"/>
      <c r="EG4" s="239"/>
      <c r="EH4" s="239"/>
      <c r="EI4" s="239"/>
      <c r="EJ4" s="239"/>
      <c r="EK4" s="239"/>
      <c r="EL4" s="239"/>
      <c r="EM4" s="239"/>
      <c r="EN4" s="239"/>
      <c r="EO4" s="239"/>
      <c r="EP4" s="239"/>
      <c r="EQ4" s="239"/>
      <c r="ER4" s="239"/>
      <c r="ES4" s="239"/>
      <c r="ET4" s="239"/>
      <c r="EU4" s="239"/>
      <c r="EV4" s="239"/>
      <c r="EW4" s="239"/>
      <c r="EX4" s="239"/>
      <c r="EY4" s="239"/>
      <c r="EZ4" s="239"/>
      <c r="FA4" s="239"/>
      <c r="FB4" s="239"/>
      <c r="FC4" s="239"/>
      <c r="FD4" s="239"/>
      <c r="FE4" s="239"/>
      <c r="FF4" s="239"/>
      <c r="FG4" s="239"/>
      <c r="FH4" s="239"/>
      <c r="FI4" s="239"/>
      <c r="FJ4" s="239"/>
      <c r="FK4" s="239"/>
      <c r="FL4" s="239"/>
      <c r="FM4" s="239"/>
      <c r="FN4" s="239"/>
      <c r="FO4" s="239"/>
      <c r="FP4" s="239"/>
      <c r="FQ4" s="239"/>
      <c r="FR4" s="239"/>
      <c r="FS4" s="239"/>
      <c r="FT4" s="239"/>
      <c r="FU4" s="239"/>
      <c r="FV4" s="239"/>
      <c r="FW4" s="239"/>
      <c r="FX4" s="239"/>
      <c r="FY4" s="239"/>
      <c r="FZ4" s="239"/>
      <c r="GA4" s="239"/>
      <c r="GB4" s="239"/>
      <c r="GC4" s="239"/>
      <c r="GD4" s="239"/>
      <c r="GE4" s="239"/>
      <c r="GF4" s="239"/>
      <c r="GG4" s="239"/>
      <c r="GH4" s="239"/>
      <c r="GI4" s="239"/>
      <c r="GJ4" s="239"/>
      <c r="GK4" s="239"/>
      <c r="GL4" s="239"/>
      <c r="GM4" s="239"/>
      <c r="GN4" s="239"/>
      <c r="GO4" s="239"/>
      <c r="GP4" s="239"/>
      <c r="GQ4" s="239"/>
      <c r="GR4" s="239"/>
      <c r="GS4" s="239"/>
      <c r="GT4" s="239"/>
      <c r="GU4" s="239"/>
      <c r="GV4" s="239"/>
      <c r="GW4" s="239"/>
      <c r="GX4" s="239"/>
      <c r="GY4" s="239"/>
      <c r="GZ4" s="239"/>
      <c r="HA4" s="239"/>
      <c r="HB4" s="239"/>
      <c r="HC4" s="239"/>
      <c r="HD4" s="239"/>
      <c r="HE4" s="239"/>
      <c r="HF4" s="239"/>
      <c r="HG4" s="239"/>
      <c r="HH4" s="239"/>
      <c r="HI4" s="239"/>
      <c r="HJ4" s="239"/>
    </row>
    <row r="5" customFormat="false" ht="12.75" hidden="false" customHeight="false" outlineLevel="0" collapsed="false">
      <c r="A5" s="242"/>
      <c r="G5" s="239" t="s">
        <v>217</v>
      </c>
      <c r="BP5" s="249" t="n">
        <f aca="false">BP4+BV5</f>
        <v>4</v>
      </c>
      <c r="BQ5" s="250" t="s">
        <v>218</v>
      </c>
      <c r="BR5" s="247" t="s">
        <v>195</v>
      </c>
      <c r="BS5" s="161" t="s">
        <v>196</v>
      </c>
      <c r="BT5" s="253" t="s">
        <v>197</v>
      </c>
      <c r="BU5" s="253"/>
      <c r="BV5" s="161" t="n">
        <v>1</v>
      </c>
      <c r="BW5" s="247" t="s">
        <v>219</v>
      </c>
      <c r="BX5" s="0"/>
      <c r="BZ5" s="249" t="n">
        <f aca="false">BZ4+CF5</f>
        <v>4</v>
      </c>
      <c r="CA5" s="73" t="s">
        <v>212</v>
      </c>
      <c r="CB5" s="247" t="s">
        <v>199</v>
      </c>
      <c r="CC5" s="161" t="s">
        <v>196</v>
      </c>
      <c r="CD5" s="253" t="s">
        <v>197</v>
      </c>
      <c r="CE5" s="253"/>
      <c r="CF5" s="161" t="n">
        <v>1</v>
      </c>
      <c r="CG5" s="247" t="s">
        <v>220</v>
      </c>
      <c r="CH5" s="0"/>
      <c r="CJ5" s="0" t="n">
        <v>3</v>
      </c>
      <c r="CK5" s="263" t="s">
        <v>221</v>
      </c>
      <c r="CL5" s="264" t="s">
        <v>222</v>
      </c>
      <c r="CM5" s="265"/>
      <c r="CN5" s="266"/>
      <c r="CO5" s="267"/>
    </row>
    <row r="6" customFormat="false" ht="12.75" hidden="false" customHeight="false" outlineLevel="0" collapsed="false">
      <c r="A6" s="268" t="n">
        <f aca="false">CurveDate</f>
        <v>45925</v>
      </c>
      <c r="C6" s="242"/>
      <c r="BP6" s="249" t="n">
        <f aca="false">BP5+BV6</f>
        <v>5</v>
      </c>
      <c r="BQ6" s="250" t="s">
        <v>223</v>
      </c>
      <c r="BR6" s="247" t="s">
        <v>195</v>
      </c>
      <c r="BS6" s="161" t="s">
        <v>196</v>
      </c>
      <c r="BT6" s="253" t="s">
        <v>197</v>
      </c>
      <c r="BU6" s="253"/>
      <c r="BV6" s="161" t="n">
        <v>1</v>
      </c>
      <c r="BW6" s="247" t="s">
        <v>224</v>
      </c>
      <c r="BX6" s="0"/>
      <c r="BZ6" s="249" t="n">
        <f aca="false">BZ5+CF6</f>
        <v>5</v>
      </c>
      <c r="CA6" s="73" t="s">
        <v>223</v>
      </c>
      <c r="CB6" s="247" t="s">
        <v>199</v>
      </c>
      <c r="CC6" s="161" t="s">
        <v>196</v>
      </c>
      <c r="CD6" s="253" t="s">
        <v>197</v>
      </c>
      <c r="CE6" s="253"/>
      <c r="CF6" s="161" t="n">
        <v>1</v>
      </c>
      <c r="CG6" s="247" t="s">
        <v>225</v>
      </c>
      <c r="CH6" s="0"/>
      <c r="CJ6" s="0" t="n">
        <v>4</v>
      </c>
      <c r="CK6" s="263" t="s">
        <v>226</v>
      </c>
      <c r="CL6" s="264" t="s">
        <v>227</v>
      </c>
      <c r="CM6" s="265"/>
      <c r="CN6" s="266"/>
      <c r="CO6" s="267"/>
    </row>
    <row r="7" customFormat="false" ht="12.75" hidden="false" customHeight="false" outlineLevel="0" collapsed="false">
      <c r="A7" s="240"/>
      <c r="B7" s="241"/>
      <c r="C7" s="269"/>
      <c r="L7" s="239" t="s">
        <v>228</v>
      </c>
      <c r="M7" s="239" t="s">
        <v>229</v>
      </c>
      <c r="BP7" s="249" t="n">
        <f aca="false">BP6+BV7</f>
        <v>6</v>
      </c>
      <c r="BQ7" s="250" t="s">
        <v>230</v>
      </c>
      <c r="BR7" s="247" t="s">
        <v>195</v>
      </c>
      <c r="BS7" s="161" t="s">
        <v>196</v>
      </c>
      <c r="BT7" s="253" t="s">
        <v>197</v>
      </c>
      <c r="BU7" s="253"/>
      <c r="BV7" s="161" t="n">
        <v>1</v>
      </c>
      <c r="BW7" s="247" t="s">
        <v>231</v>
      </c>
      <c r="BX7" s="0"/>
      <c r="BZ7" s="249" t="n">
        <f aca="false">BZ6+CF7</f>
        <v>6</v>
      </c>
      <c r="CA7" s="73" t="s">
        <v>232</v>
      </c>
      <c r="CB7" s="247" t="s">
        <v>199</v>
      </c>
      <c r="CC7" s="161" t="s">
        <v>196</v>
      </c>
      <c r="CD7" s="253" t="s">
        <v>197</v>
      </c>
      <c r="CE7" s="253"/>
      <c r="CF7" s="161" t="n">
        <v>1</v>
      </c>
      <c r="CG7" s="247" t="s">
        <v>233</v>
      </c>
      <c r="CH7" s="0"/>
      <c r="CJ7" s="0" t="n">
        <v>5</v>
      </c>
      <c r="CK7" s="263" t="s">
        <v>234</v>
      </c>
      <c r="CL7" s="264" t="s">
        <v>235</v>
      </c>
      <c r="CM7" s="265"/>
      <c r="CN7" s="266"/>
      <c r="CO7" s="267"/>
    </row>
    <row r="8" customFormat="false" ht="12.75" hidden="false" customHeight="false" outlineLevel="0" collapsed="false">
      <c r="A8" s="240"/>
      <c r="B8" s="238"/>
      <c r="C8" s="239" t="s">
        <v>236</v>
      </c>
      <c r="D8" s="239" t="s">
        <v>237</v>
      </c>
      <c r="E8" s="239" t="s">
        <v>238</v>
      </c>
      <c r="F8" s="239" t="s">
        <v>239</v>
      </c>
      <c r="G8" s="239" t="s">
        <v>240</v>
      </c>
      <c r="H8" s="239" t="s">
        <v>241</v>
      </c>
      <c r="I8" s="239" t="s">
        <v>242</v>
      </c>
      <c r="J8" s="239" t="s">
        <v>243</v>
      </c>
      <c r="K8" s="239" t="s">
        <v>244</v>
      </c>
      <c r="L8" s="239" t="s">
        <v>245</v>
      </c>
      <c r="M8" s="239" t="s">
        <v>245</v>
      </c>
      <c r="BP8" s="249" t="n">
        <f aca="false">BP7+BV8</f>
        <v>7</v>
      </c>
      <c r="BQ8" s="250" t="s">
        <v>246</v>
      </c>
      <c r="BR8" s="247" t="s">
        <v>195</v>
      </c>
      <c r="BS8" s="161" t="s">
        <v>196</v>
      </c>
      <c r="BT8" s="253" t="s">
        <v>197</v>
      </c>
      <c r="BU8" s="253"/>
      <c r="BV8" s="161" t="n">
        <v>1</v>
      </c>
      <c r="BW8" s="247" t="s">
        <v>247</v>
      </c>
      <c r="BX8" s="0"/>
      <c r="BZ8" s="249" t="n">
        <f aca="false">BZ7+CF8</f>
        <v>7</v>
      </c>
      <c r="CA8" s="73" t="s">
        <v>248</v>
      </c>
      <c r="CB8" s="247" t="s">
        <v>199</v>
      </c>
      <c r="CC8" s="161" t="s">
        <v>196</v>
      </c>
      <c r="CD8" s="253" t="s">
        <v>197</v>
      </c>
      <c r="CE8" s="253"/>
      <c r="CF8" s="161" t="n">
        <v>1</v>
      </c>
      <c r="CG8" s="247" t="s">
        <v>249</v>
      </c>
      <c r="CH8" s="0"/>
      <c r="CJ8" s="0" t="n">
        <v>6</v>
      </c>
      <c r="CK8" s="263" t="s">
        <v>250</v>
      </c>
      <c r="CL8" s="264" t="s">
        <v>251</v>
      </c>
      <c r="CM8" s="265"/>
      <c r="CN8" s="266"/>
      <c r="CO8" s="267"/>
    </row>
    <row r="9" customFormat="false" ht="12.75" hidden="false" customHeight="false" outlineLevel="0" collapsed="false">
      <c r="A9" s="240"/>
      <c r="B9" s="238"/>
      <c r="J9" s="262"/>
      <c r="K9" s="262"/>
      <c r="L9" s="262"/>
      <c r="BP9" s="249" t="n">
        <f aca="false">BP8+BV9</f>
        <v>8</v>
      </c>
      <c r="BQ9" s="250" t="s">
        <v>248</v>
      </c>
      <c r="BR9" s="247" t="s">
        <v>195</v>
      </c>
      <c r="BS9" s="161" t="s">
        <v>196</v>
      </c>
      <c r="BT9" s="253" t="s">
        <v>197</v>
      </c>
      <c r="BU9" s="253"/>
      <c r="BV9" s="161" t="n">
        <v>1</v>
      </c>
      <c r="BW9" s="247" t="s">
        <v>252</v>
      </c>
      <c r="BX9" s="0"/>
      <c r="BZ9" s="249" t="n">
        <f aca="false">BZ8+CF9</f>
        <v>8</v>
      </c>
      <c r="CA9" s="73" t="s">
        <v>253</v>
      </c>
      <c r="CB9" s="247" t="s">
        <v>199</v>
      </c>
      <c r="CC9" s="161" t="s">
        <v>196</v>
      </c>
      <c r="CD9" s="253" t="s">
        <v>197</v>
      </c>
      <c r="CE9" s="253"/>
      <c r="CF9" s="161" t="n">
        <v>1</v>
      </c>
      <c r="CG9" s="247" t="s">
        <v>254</v>
      </c>
      <c r="CH9" s="0"/>
      <c r="CJ9" s="0" t="n">
        <v>7</v>
      </c>
      <c r="CK9" s="263" t="s">
        <v>255</v>
      </c>
      <c r="CL9" s="264" t="s">
        <v>256</v>
      </c>
      <c r="CM9" s="265"/>
      <c r="CN9" s="266"/>
      <c r="CO9" s="267"/>
    </row>
    <row r="10" customFormat="false" ht="12.75" hidden="false" customHeight="false" outlineLevel="0" collapsed="false">
      <c r="A10" s="240"/>
      <c r="B10" s="239" t="n">
        <v>1</v>
      </c>
      <c r="C10" s="239" t="n">
        <v>2</v>
      </c>
      <c r="D10" s="239" t="n">
        <v>3</v>
      </c>
      <c r="E10" s="239" t="n">
        <v>4</v>
      </c>
      <c r="F10" s="239" t="n">
        <v>5</v>
      </c>
      <c r="G10" s="239" t="n">
        <v>6</v>
      </c>
      <c r="H10" s="239" t="n">
        <v>7</v>
      </c>
      <c r="I10" s="239" t="n">
        <v>8</v>
      </c>
      <c r="J10" s="239" t="n">
        <v>9</v>
      </c>
      <c r="K10" s="239" t="n">
        <v>10</v>
      </c>
      <c r="L10" s="239" t="n">
        <v>11</v>
      </c>
      <c r="M10" s="239" t="n">
        <v>12</v>
      </c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P10" s="249" t="n">
        <f aca="false">BP9+BV10</f>
        <v>9</v>
      </c>
      <c r="BQ10" s="250" t="s">
        <v>253</v>
      </c>
      <c r="BR10" s="247" t="s">
        <v>195</v>
      </c>
      <c r="BS10" s="161" t="s">
        <v>196</v>
      </c>
      <c r="BT10" s="253" t="s">
        <v>197</v>
      </c>
      <c r="BU10" s="253"/>
      <c r="BV10" s="161" t="n">
        <v>1</v>
      </c>
      <c r="BW10" s="247" t="s">
        <v>257</v>
      </c>
      <c r="BX10" s="0"/>
      <c r="BZ10" s="249" t="n">
        <f aca="false">BZ9+CF10</f>
        <v>9</v>
      </c>
      <c r="CA10" s="73" t="s">
        <v>258</v>
      </c>
      <c r="CB10" s="247" t="s">
        <v>199</v>
      </c>
      <c r="CC10" s="161" t="s">
        <v>196</v>
      </c>
      <c r="CD10" s="253" t="s">
        <v>197</v>
      </c>
      <c r="CE10" s="253"/>
      <c r="CF10" s="161" t="n">
        <v>1</v>
      </c>
      <c r="CG10" s="247" t="s">
        <v>259</v>
      </c>
      <c r="CH10" s="0"/>
      <c r="CJ10" s="0" t="n">
        <v>8</v>
      </c>
      <c r="CK10" s="263" t="s">
        <v>260</v>
      </c>
      <c r="CL10" s="264" t="s">
        <v>171</v>
      </c>
      <c r="CM10" s="265"/>
      <c r="CN10" s="266"/>
      <c r="CO10" s="267"/>
    </row>
    <row r="11" customFormat="false" ht="12.75" hidden="false" customHeight="false" outlineLevel="0" collapsed="false">
      <c r="A11" s="240"/>
      <c r="B11" s="270" t="s">
        <v>261</v>
      </c>
      <c r="C11" s="271" t="n">
        <f aca="false">Today</f>
        <v>45925</v>
      </c>
      <c r="D11" s="271" t="n">
        <f aca="false">Today</f>
        <v>45925</v>
      </c>
      <c r="E11" s="271" t="n">
        <f aca="false">Today</f>
        <v>45925</v>
      </c>
      <c r="F11" s="271" t="n">
        <f aca="false">Today</f>
        <v>45925</v>
      </c>
      <c r="G11" s="271" t="n">
        <f aca="false">Today</f>
        <v>45925</v>
      </c>
      <c r="H11" s="271" t="n">
        <f aca="false">Today</f>
        <v>45925</v>
      </c>
      <c r="I11" s="271" t="n">
        <f aca="false">Today</f>
        <v>45925</v>
      </c>
      <c r="J11" s="271" t="n">
        <f aca="false">Today</f>
        <v>45925</v>
      </c>
      <c r="K11" s="271" t="n">
        <f aca="false">Today</f>
        <v>45925</v>
      </c>
      <c r="L11" s="271" t="n">
        <f aca="false">Today</f>
        <v>45925</v>
      </c>
      <c r="M11" s="271" t="n">
        <f aca="false">Today</f>
        <v>45925</v>
      </c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1"/>
      <c r="AJ11" s="271"/>
      <c r="AK11" s="271"/>
      <c r="AL11" s="271"/>
      <c r="AM11" s="271"/>
      <c r="AN11" s="271"/>
      <c r="AO11" s="271"/>
      <c r="AP11" s="271"/>
      <c r="AQ11" s="271"/>
      <c r="AR11" s="271"/>
      <c r="AS11" s="271"/>
      <c r="AT11" s="271"/>
      <c r="AU11" s="271"/>
      <c r="AV11" s="271"/>
      <c r="AW11" s="271"/>
      <c r="AX11" s="271"/>
      <c r="AY11" s="27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P11" s="249" t="n">
        <f aca="false">BP10+BV11</f>
        <v>10</v>
      </c>
      <c r="BQ11" s="250" t="s">
        <v>258</v>
      </c>
      <c r="BR11" s="247" t="s">
        <v>195</v>
      </c>
      <c r="BS11" s="161" t="s">
        <v>196</v>
      </c>
      <c r="BT11" s="253" t="s">
        <v>197</v>
      </c>
      <c r="BU11" s="253"/>
      <c r="BV11" s="161" t="n">
        <v>1</v>
      </c>
      <c r="BW11" s="247" t="s">
        <v>262</v>
      </c>
      <c r="BX11" s="0"/>
      <c r="BZ11" s="249" t="n">
        <f aca="false">BZ10+CF11</f>
        <v>10</v>
      </c>
      <c r="CA11" s="73" t="s">
        <v>263</v>
      </c>
      <c r="CB11" s="247" t="s">
        <v>199</v>
      </c>
      <c r="CC11" s="161" t="s">
        <v>196</v>
      </c>
      <c r="CD11" s="253" t="s">
        <v>197</v>
      </c>
      <c r="CE11" s="253"/>
      <c r="CF11" s="161" t="n">
        <v>1</v>
      </c>
      <c r="CG11" s="247" t="s">
        <v>264</v>
      </c>
      <c r="CH11" s="0"/>
      <c r="CJ11" s="0" t="n">
        <v>9</v>
      </c>
      <c r="CK11" s="263" t="s">
        <v>265</v>
      </c>
      <c r="CL11" s="264" t="s">
        <v>266</v>
      </c>
      <c r="CM11" s="265"/>
      <c r="CN11" s="266"/>
      <c r="CO11" s="267"/>
    </row>
    <row r="12" customFormat="false" ht="12.75" hidden="false" customHeight="false" outlineLevel="0" collapsed="false">
      <c r="A12" s="240"/>
      <c r="B12" s="270" t="s">
        <v>267</v>
      </c>
      <c r="C12" s="241" t="e">
        <f aca="false">BeginningOfNextMonth(C11)</f>
        <v>#VALUE!</v>
      </c>
      <c r="D12" s="241" t="e">
        <f aca="false">BeginningOfNextMonth(D11)</f>
        <v>#VALUE!</v>
      </c>
      <c r="E12" s="241" t="e">
        <f aca="false">BeginningOfNextMonth(E11)</f>
        <v>#VALUE!</v>
      </c>
      <c r="F12" s="241" t="e">
        <f aca="false">BeginningOfNextMonth(F11)</f>
        <v>#VALUE!</v>
      </c>
      <c r="G12" s="241" t="e">
        <f aca="false">BeginningOfNextMonth(G11)</f>
        <v>#VALUE!</v>
      </c>
      <c r="H12" s="241" t="e">
        <f aca="false">BeginningOfNextMonth(H11)</f>
        <v>#VALUE!</v>
      </c>
      <c r="I12" s="241" t="e">
        <f aca="false">BeginningOfNextMonth(I11)</f>
        <v>#VALUE!</v>
      </c>
      <c r="J12" s="241" t="e">
        <f aca="false">BeginningOfNextMonth(J11)</f>
        <v>#VALUE!</v>
      </c>
      <c r="K12" s="241" t="e">
        <f aca="false">BeginningOfNextMonth(K11)</f>
        <v>#VALUE!</v>
      </c>
      <c r="L12" s="241" t="e">
        <f aca="false">BeginningOfNextMonth(L11)</f>
        <v>#VALUE!</v>
      </c>
      <c r="M12" s="241" t="e">
        <f aca="false">BeginningOfNextMonth(M11)</f>
        <v>#VALUE!</v>
      </c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P12" s="249" t="n">
        <f aca="false">BP11+BV12</f>
        <v>11</v>
      </c>
      <c r="BQ12" s="250" t="s">
        <v>263</v>
      </c>
      <c r="BR12" s="247" t="s">
        <v>195</v>
      </c>
      <c r="BS12" s="161" t="s">
        <v>196</v>
      </c>
      <c r="BT12" s="253" t="s">
        <v>197</v>
      </c>
      <c r="BU12" s="253"/>
      <c r="BV12" s="161" t="n">
        <v>1</v>
      </c>
      <c r="BW12" s="247" t="s">
        <v>268</v>
      </c>
      <c r="BX12" s="0"/>
      <c r="BZ12" s="249" t="n">
        <f aca="false">BZ11+CF12</f>
        <v>11</v>
      </c>
      <c r="CA12" s="73" t="s">
        <v>269</v>
      </c>
      <c r="CB12" s="247" t="s">
        <v>199</v>
      </c>
      <c r="CC12" s="161" t="s">
        <v>196</v>
      </c>
      <c r="CD12" s="253" t="s">
        <v>197</v>
      </c>
      <c r="CE12" s="253"/>
      <c r="CF12" s="161" t="n">
        <v>1</v>
      </c>
      <c r="CG12" s="247" t="s">
        <v>270</v>
      </c>
      <c r="CH12" s="0"/>
      <c r="CJ12" s="0" t="n">
        <v>10</v>
      </c>
      <c r="CK12" s="272" t="s">
        <v>271</v>
      </c>
      <c r="CL12" s="273" t="s">
        <v>272</v>
      </c>
      <c r="CM12" s="274"/>
      <c r="CN12" s="275"/>
      <c r="CO12" s="276"/>
    </row>
    <row r="13" customFormat="false" ht="12.75" hidden="false" customHeight="false" outlineLevel="0" collapsed="false">
      <c r="A13" s="240"/>
      <c r="B13" s="270" t="s">
        <v>273</v>
      </c>
      <c r="C13" s="277" t="s">
        <v>274</v>
      </c>
      <c r="D13" s="278" t="str">
        <f aca="false">VLOOKUP($CO$2,$CJ$3:$CK$14,2)</f>
        <v>NG_OMICRON_3</v>
      </c>
      <c r="E13" s="278" t="str">
        <f aca="false">VLOOKUP($CO$2,$CJ$3:$CK$14,2)</f>
        <v>NG_OMICRON_3</v>
      </c>
      <c r="F13" s="239" t="s">
        <v>275</v>
      </c>
      <c r="G13" s="239" t="s">
        <v>275</v>
      </c>
      <c r="H13" s="239" t="s">
        <v>275</v>
      </c>
      <c r="I13" s="239" t="s">
        <v>275</v>
      </c>
      <c r="J13" s="239" t="s">
        <v>275</v>
      </c>
      <c r="K13" s="239" t="s">
        <v>275</v>
      </c>
      <c r="L13" s="278" t="str">
        <f aca="false">VLOOKUP($BX$1,$BP$2:$BQ$409,2)</f>
        <v>IF-PAN/TX/OK</v>
      </c>
      <c r="M13" s="278" t="str">
        <f aca="false">VLOOKUP($CH$1,$BP$2:$BQ$409,2)</f>
        <v>IF-PAN/TX/OK</v>
      </c>
      <c r="N13" s="278"/>
      <c r="O13" s="278"/>
      <c r="P13" s="278"/>
      <c r="Q13" s="278"/>
      <c r="R13" s="278"/>
      <c r="S13" s="278"/>
      <c r="T13" s="278" t="s">
        <v>228</v>
      </c>
      <c r="U13" s="278"/>
      <c r="V13" s="278"/>
      <c r="W13" s="278"/>
      <c r="X13" s="278" t="s">
        <v>229</v>
      </c>
      <c r="Y13" s="278"/>
      <c r="Z13" s="278"/>
      <c r="AA13" s="278"/>
      <c r="AB13" s="278"/>
      <c r="AC13" s="278"/>
      <c r="AD13" s="278"/>
      <c r="AE13" s="278"/>
      <c r="AF13" s="278"/>
      <c r="AG13" s="278"/>
      <c r="AH13" s="278"/>
      <c r="AI13" s="278"/>
      <c r="AJ13" s="278"/>
      <c r="AK13" s="278"/>
      <c r="AL13" s="278"/>
      <c r="AM13" s="278"/>
      <c r="AN13" s="278"/>
      <c r="AO13" s="278"/>
      <c r="AP13" s="278"/>
      <c r="AQ13" s="278"/>
      <c r="AR13" s="278"/>
      <c r="AS13" s="278"/>
      <c r="AT13" s="278"/>
      <c r="AU13" s="278"/>
      <c r="AV13" s="278"/>
      <c r="AW13" s="278"/>
      <c r="AX13" s="278"/>
      <c r="AY13" s="278"/>
      <c r="AZ13" s="278"/>
      <c r="BA13" s="278"/>
      <c r="BB13" s="278"/>
      <c r="BC13" s="278"/>
      <c r="BD13" s="278"/>
      <c r="BE13" s="278"/>
      <c r="BF13" s="278"/>
      <c r="BG13" s="278"/>
      <c r="BH13" s="278"/>
      <c r="BI13" s="278"/>
      <c r="BP13" s="249" t="n">
        <f aca="false">BP12+BV13</f>
        <v>12</v>
      </c>
      <c r="BQ13" s="250" t="s">
        <v>269</v>
      </c>
      <c r="BR13" s="247" t="s">
        <v>195</v>
      </c>
      <c r="BS13" s="161" t="s">
        <v>196</v>
      </c>
      <c r="BT13" s="253" t="s">
        <v>197</v>
      </c>
      <c r="BU13" s="253"/>
      <c r="BV13" s="161" t="n">
        <v>1</v>
      </c>
      <c r="BW13" s="247" t="s">
        <v>276</v>
      </c>
      <c r="BX13" s="0"/>
      <c r="BZ13" s="249" t="n">
        <f aca="false">BZ12+CF13</f>
        <v>12</v>
      </c>
      <c r="CA13" s="73" t="s">
        <v>277</v>
      </c>
      <c r="CB13" s="247" t="s">
        <v>199</v>
      </c>
      <c r="CC13" s="161" t="s">
        <v>196</v>
      </c>
      <c r="CD13" s="253" t="s">
        <v>197</v>
      </c>
      <c r="CE13" s="253"/>
      <c r="CF13" s="161" t="n">
        <v>1</v>
      </c>
      <c r="CG13" s="247" t="s">
        <v>278</v>
      </c>
      <c r="CH13" s="0"/>
      <c r="CJ13" s="0" t="n">
        <v>11</v>
      </c>
      <c r="CK13" s="263" t="s">
        <v>279</v>
      </c>
      <c r="CL13" s="264" t="s">
        <v>280</v>
      </c>
      <c r="CM13" s="265"/>
      <c r="CN13" s="266"/>
      <c r="CO13" s="267"/>
    </row>
    <row r="14" customFormat="false" ht="13.5" hidden="false" customHeight="false" outlineLevel="0" collapsed="false">
      <c r="A14" s="240"/>
      <c r="B14" s="270" t="s">
        <v>281</v>
      </c>
      <c r="C14" s="279" t="s">
        <v>282</v>
      </c>
      <c r="D14" s="239" t="s">
        <v>283</v>
      </c>
      <c r="E14" s="239" t="s">
        <v>283</v>
      </c>
      <c r="F14" s="239" t="s">
        <v>284</v>
      </c>
      <c r="G14" s="239" t="s">
        <v>283</v>
      </c>
      <c r="H14" s="239" t="s">
        <v>285</v>
      </c>
      <c r="I14" s="239" t="s">
        <v>286</v>
      </c>
      <c r="J14" s="239" t="s">
        <v>196</v>
      </c>
      <c r="K14" s="239" t="s">
        <v>287</v>
      </c>
      <c r="L14" s="239" t="s">
        <v>196</v>
      </c>
      <c r="M14" s="239" t="s">
        <v>196</v>
      </c>
      <c r="S14" s="239" t="s">
        <v>288</v>
      </c>
      <c r="T14" s="239" t="s">
        <v>289</v>
      </c>
      <c r="U14" s="239" t="s">
        <v>288</v>
      </c>
      <c r="W14" s="239" t="s">
        <v>288</v>
      </c>
      <c r="X14" s="239" t="s">
        <v>289</v>
      </c>
      <c r="Y14" s="239" t="s">
        <v>288</v>
      </c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P14" s="249" t="n">
        <f aca="false">BP13+BV14</f>
        <v>13</v>
      </c>
      <c r="BQ14" s="250" t="s">
        <v>290</v>
      </c>
      <c r="BR14" s="247" t="s">
        <v>195</v>
      </c>
      <c r="BS14" s="161" t="s">
        <v>196</v>
      </c>
      <c r="BT14" s="253" t="s">
        <v>197</v>
      </c>
      <c r="BU14" s="253"/>
      <c r="BV14" s="161" t="n">
        <v>1</v>
      </c>
      <c r="BW14" s="247" t="s">
        <v>291</v>
      </c>
      <c r="BX14" s="0"/>
      <c r="BZ14" s="249" t="n">
        <f aca="false">BZ13+CF14</f>
        <v>13</v>
      </c>
      <c r="CA14" s="73" t="s">
        <v>290</v>
      </c>
      <c r="CB14" s="247" t="s">
        <v>199</v>
      </c>
      <c r="CC14" s="161" t="s">
        <v>196</v>
      </c>
      <c r="CD14" s="253" t="s">
        <v>197</v>
      </c>
      <c r="CE14" s="253"/>
      <c r="CF14" s="161" t="n">
        <v>1</v>
      </c>
      <c r="CG14" s="247" t="s">
        <v>292</v>
      </c>
      <c r="CH14" s="0"/>
      <c r="CJ14" s="0" t="n">
        <v>12</v>
      </c>
      <c r="CK14" s="280" t="s">
        <v>293</v>
      </c>
      <c r="CL14" s="281" t="s">
        <v>294</v>
      </c>
      <c r="CM14" s="282"/>
      <c r="CN14" s="283"/>
      <c r="CO14" s="284"/>
    </row>
    <row r="15" customFormat="false" ht="12.75" hidden="false" customHeight="false" outlineLevel="0" collapsed="false">
      <c r="A15" s="240"/>
      <c r="B15" s="270" t="s">
        <v>295</v>
      </c>
      <c r="C15" s="279" t="s">
        <v>296</v>
      </c>
      <c r="D15" s="239" t="s">
        <v>297</v>
      </c>
      <c r="E15" s="239" t="s">
        <v>297</v>
      </c>
      <c r="F15" s="239" t="s">
        <v>297</v>
      </c>
      <c r="G15" s="239" t="s">
        <v>297</v>
      </c>
      <c r="H15" s="239" t="s">
        <v>297</v>
      </c>
      <c r="I15" s="239" t="s">
        <v>297</v>
      </c>
      <c r="J15" s="239" t="s">
        <v>297</v>
      </c>
      <c r="K15" s="239" t="s">
        <v>297</v>
      </c>
      <c r="L15" s="239" t="s">
        <v>195</v>
      </c>
      <c r="M15" s="239" t="s">
        <v>195</v>
      </c>
      <c r="S15" s="239" t="s">
        <v>298</v>
      </c>
      <c r="T15" s="239" t="s">
        <v>299</v>
      </c>
      <c r="U15" s="239" t="s">
        <v>300</v>
      </c>
      <c r="W15" s="239" t="s">
        <v>298</v>
      </c>
      <c r="X15" s="239" t="s">
        <v>299</v>
      </c>
      <c r="Y15" s="239" t="s">
        <v>300</v>
      </c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P15" s="249" t="n">
        <f aca="false">BP14+BV15</f>
        <v>14</v>
      </c>
      <c r="BQ15" s="250" t="s">
        <v>301</v>
      </c>
      <c r="BR15" s="247" t="s">
        <v>195</v>
      </c>
      <c r="BS15" s="161" t="s">
        <v>196</v>
      </c>
      <c r="BT15" s="253" t="s">
        <v>197</v>
      </c>
      <c r="BU15" s="253"/>
      <c r="BV15" s="161" t="n">
        <v>1</v>
      </c>
      <c r="BW15" s="247" t="s">
        <v>302</v>
      </c>
      <c r="BX15" s="0"/>
      <c r="BZ15" s="249" t="n">
        <f aca="false">BZ14+CF15</f>
        <v>14</v>
      </c>
      <c r="CA15" s="73" t="s">
        <v>303</v>
      </c>
      <c r="CB15" s="247" t="s">
        <v>199</v>
      </c>
      <c r="CC15" s="161" t="s">
        <v>196</v>
      </c>
      <c r="CD15" s="253" t="s">
        <v>197</v>
      </c>
      <c r="CE15" s="253"/>
      <c r="CF15" s="161" t="n">
        <v>1</v>
      </c>
      <c r="CG15" s="247" t="s">
        <v>304</v>
      </c>
      <c r="CH15" s="0"/>
    </row>
    <row r="16" customFormat="false" ht="12.75" hidden="false" customHeight="false" outlineLevel="0" collapsed="false">
      <c r="A16" s="240"/>
      <c r="B16" s="270" t="s">
        <v>305</v>
      </c>
      <c r="C16" s="279" t="s">
        <v>306</v>
      </c>
      <c r="D16" s="239" t="s">
        <v>307</v>
      </c>
      <c r="E16" s="239" t="s">
        <v>307</v>
      </c>
      <c r="F16" s="239" t="s">
        <v>308</v>
      </c>
      <c r="G16" s="239" t="s">
        <v>308</v>
      </c>
      <c r="H16" s="239" t="s">
        <v>308</v>
      </c>
      <c r="I16" s="239" t="s">
        <v>308</v>
      </c>
      <c r="J16" s="239" t="s">
        <v>308</v>
      </c>
      <c r="K16" s="239" t="s">
        <v>308</v>
      </c>
      <c r="L16" s="239" t="s">
        <v>309</v>
      </c>
      <c r="M16" s="239" t="s">
        <v>309</v>
      </c>
      <c r="S16" s="285" t="n">
        <v>0.07</v>
      </c>
      <c r="U16" s="285" t="n">
        <v>0.07</v>
      </c>
      <c r="W16" s="285" t="n">
        <v>0.07</v>
      </c>
      <c r="X16" s="239"/>
      <c r="Y16" s="285" t="n">
        <v>0.07</v>
      </c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P16" s="249" t="n">
        <f aca="false">BP15+BV16</f>
        <v>15</v>
      </c>
      <c r="BQ16" s="250" t="s">
        <v>310</v>
      </c>
      <c r="BR16" s="247" t="s">
        <v>195</v>
      </c>
      <c r="BS16" s="161" t="s">
        <v>196</v>
      </c>
      <c r="BT16" s="253" t="s">
        <v>197</v>
      </c>
      <c r="BU16" s="253"/>
      <c r="BV16" s="161" t="n">
        <v>1</v>
      </c>
      <c r="BW16" s="247" t="s">
        <v>311</v>
      </c>
      <c r="BX16" s="0"/>
      <c r="BZ16" s="249" t="n">
        <f aca="false">BZ15+CF16</f>
        <v>15</v>
      </c>
      <c r="CA16" s="73" t="s">
        <v>312</v>
      </c>
      <c r="CB16" s="247" t="s">
        <v>199</v>
      </c>
      <c r="CC16" s="161" t="s">
        <v>196</v>
      </c>
      <c r="CD16" s="253" t="s">
        <v>197</v>
      </c>
      <c r="CE16" s="253"/>
      <c r="CF16" s="161" t="n">
        <v>1</v>
      </c>
      <c r="CG16" s="247" t="s">
        <v>313</v>
      </c>
      <c r="CH16" s="0"/>
    </row>
    <row r="17" customFormat="false" ht="12.75" hidden="false" customHeight="false" outlineLevel="0" collapsed="false">
      <c r="A17" s="286"/>
      <c r="B17" s="287" t="e">
        <f aca="false">BeginningOfNextMonth(Today)</f>
        <v>#VALUE!</v>
      </c>
      <c r="C17" s="262" t="n">
        <v>0.0520052842698919</v>
      </c>
      <c r="D17" s="288" t="n">
        <v>0.38</v>
      </c>
      <c r="E17" s="288" t="n">
        <v>0.38</v>
      </c>
      <c r="F17" s="288" t="n">
        <v>0.4675</v>
      </c>
      <c r="G17" s="288" t="n">
        <v>0.475</v>
      </c>
      <c r="H17" s="288" t="n">
        <v>0.4825</v>
      </c>
      <c r="I17" s="288" t="n">
        <v>5.511</v>
      </c>
      <c r="J17" s="288" t="n">
        <v>5.516</v>
      </c>
      <c r="K17" s="239" t="n">
        <v>5.521</v>
      </c>
      <c r="L17" s="288" t="n">
        <v>-0.09</v>
      </c>
      <c r="M17" s="239" t="n">
        <v>-0.09</v>
      </c>
      <c r="O17" s="235"/>
      <c r="P17" s="288"/>
      <c r="Q17" s="288"/>
      <c r="R17" s="289" t="e">
        <f aca="false">B17</f>
        <v>#VALUE!</v>
      </c>
      <c r="S17" s="290" t="n">
        <f aca="false">T17-$S$16</f>
        <v>0.31</v>
      </c>
      <c r="T17" s="285" t="n">
        <f aca="false">D17</f>
        <v>0.38</v>
      </c>
      <c r="U17" s="291" t="n">
        <f aca="false">$U$16+T17</f>
        <v>0.45</v>
      </c>
      <c r="BP17" s="249" t="n">
        <f aca="false">BP16+BV17</f>
        <v>16</v>
      </c>
      <c r="BQ17" s="250" t="s">
        <v>312</v>
      </c>
      <c r="BR17" s="247" t="s">
        <v>195</v>
      </c>
      <c r="BS17" s="161" t="s">
        <v>196</v>
      </c>
      <c r="BT17" s="253" t="s">
        <v>197</v>
      </c>
      <c r="BU17" s="253"/>
      <c r="BV17" s="161" t="n">
        <v>1</v>
      </c>
      <c r="BW17" s="247" t="s">
        <v>314</v>
      </c>
      <c r="BX17" s="0"/>
      <c r="BZ17" s="249" t="n">
        <f aca="false">BZ16+CF17</f>
        <v>16</v>
      </c>
      <c r="CA17" s="73" t="s">
        <v>315</v>
      </c>
      <c r="CB17" s="247" t="s">
        <v>199</v>
      </c>
      <c r="CC17" s="161" t="s">
        <v>196</v>
      </c>
      <c r="CD17" s="253" t="s">
        <v>197</v>
      </c>
      <c r="CE17" s="253"/>
      <c r="CF17" s="161" t="n">
        <v>1</v>
      </c>
      <c r="CG17" s="247" t="s">
        <v>316</v>
      </c>
      <c r="CH17" s="0"/>
    </row>
    <row r="18" customFormat="false" ht="12.75" hidden="false" customHeight="false" outlineLevel="0" collapsed="false">
      <c r="A18" s="286"/>
      <c r="B18" s="287" t="e">
        <f aca="false">NextMonth(B17)</f>
        <v>#VALUE!</v>
      </c>
      <c r="C18" s="239" t="n">
        <v>0.0508351904561581</v>
      </c>
      <c r="D18" s="288" t="n">
        <v>0.38</v>
      </c>
      <c r="E18" s="288" t="n">
        <v>0.38</v>
      </c>
      <c r="F18" s="288" t="n">
        <v>0.4625</v>
      </c>
      <c r="G18" s="288" t="n">
        <v>0.47</v>
      </c>
      <c r="H18" s="288" t="n">
        <v>0.4775</v>
      </c>
      <c r="I18" s="288" t="n">
        <v>5.563</v>
      </c>
      <c r="J18" s="292" t="n">
        <v>5.568</v>
      </c>
      <c r="K18" s="239" t="n">
        <v>5.573</v>
      </c>
      <c r="L18" s="292" t="n">
        <v>-0.085</v>
      </c>
      <c r="M18" s="239" t="n">
        <v>-0.085</v>
      </c>
      <c r="O18" s="235"/>
      <c r="P18" s="288"/>
      <c r="Q18" s="288"/>
      <c r="R18" s="289" t="e">
        <f aca="false">B18</f>
        <v>#VALUE!</v>
      </c>
      <c r="S18" s="290" t="n">
        <f aca="false">T18-$S$16</f>
        <v>0.31</v>
      </c>
      <c r="T18" s="285" t="n">
        <f aca="false">D18</f>
        <v>0.38</v>
      </c>
      <c r="U18" s="291" t="n">
        <f aca="false">$U$16+T18</f>
        <v>0.45</v>
      </c>
      <c r="BP18" s="249" t="n">
        <f aca="false">BP17+BV18</f>
        <v>17</v>
      </c>
      <c r="BQ18" s="250" t="s">
        <v>315</v>
      </c>
      <c r="BR18" s="247" t="s">
        <v>195</v>
      </c>
      <c r="BS18" s="161" t="s">
        <v>196</v>
      </c>
      <c r="BT18" s="253" t="s">
        <v>197</v>
      </c>
      <c r="BU18" s="253"/>
      <c r="BV18" s="161" t="n">
        <v>1</v>
      </c>
      <c r="BW18" s="247" t="s">
        <v>317</v>
      </c>
      <c r="BX18" s="0"/>
      <c r="BZ18" s="249" t="n">
        <f aca="false">BZ17+CF18</f>
        <v>17</v>
      </c>
      <c r="CA18" s="73" t="s">
        <v>318</v>
      </c>
      <c r="CB18" s="247" t="s">
        <v>199</v>
      </c>
      <c r="CC18" s="161" t="s">
        <v>196</v>
      </c>
      <c r="CD18" s="253" t="s">
        <v>197</v>
      </c>
      <c r="CE18" s="253"/>
      <c r="CF18" s="161" t="n">
        <v>1</v>
      </c>
      <c r="CG18" s="247" t="s">
        <v>319</v>
      </c>
      <c r="CH18" s="0"/>
    </row>
    <row r="19" customFormat="false" ht="12.75" hidden="false" customHeight="false" outlineLevel="0" collapsed="false">
      <c r="A19" s="286"/>
      <c r="B19" s="287" t="e">
        <f aca="false">NextMonth(B18)</f>
        <v>#VALUE!</v>
      </c>
      <c r="C19" s="239" t="n">
        <v>0.0493794528145997</v>
      </c>
      <c r="D19" s="288" t="n">
        <v>0.38</v>
      </c>
      <c r="E19" s="288" t="n">
        <v>0.38</v>
      </c>
      <c r="F19" s="288" t="n">
        <v>0.4925</v>
      </c>
      <c r="G19" s="288" t="n">
        <v>0.5</v>
      </c>
      <c r="H19" s="288" t="n">
        <v>0.5075</v>
      </c>
      <c r="I19" s="288" t="n">
        <v>5.615</v>
      </c>
      <c r="J19" s="292" t="n">
        <v>5.62</v>
      </c>
      <c r="K19" s="239" t="n">
        <v>5.625</v>
      </c>
      <c r="L19" s="292" t="n">
        <v>-0.085</v>
      </c>
      <c r="M19" s="239" t="n">
        <v>-0.085</v>
      </c>
      <c r="O19" s="235"/>
      <c r="P19" s="288"/>
      <c r="Q19" s="288"/>
      <c r="R19" s="289" t="e">
        <f aca="false">B19</f>
        <v>#VALUE!</v>
      </c>
      <c r="S19" s="290" t="n">
        <f aca="false">T19-$S$16</f>
        <v>0.31</v>
      </c>
      <c r="T19" s="285" t="n">
        <f aca="false">D19</f>
        <v>0.38</v>
      </c>
      <c r="U19" s="291" t="n">
        <f aca="false">$U$16+T19</f>
        <v>0.45</v>
      </c>
      <c r="BP19" s="249" t="n">
        <f aca="false">BP18+BV19</f>
        <v>18</v>
      </c>
      <c r="BQ19" s="250" t="s">
        <v>318</v>
      </c>
      <c r="BR19" s="247" t="s">
        <v>195</v>
      </c>
      <c r="BS19" s="161" t="s">
        <v>196</v>
      </c>
      <c r="BT19" s="253" t="s">
        <v>197</v>
      </c>
      <c r="BU19" s="253"/>
      <c r="BV19" s="161" t="n">
        <v>1</v>
      </c>
      <c r="BW19" s="247" t="s">
        <v>320</v>
      </c>
      <c r="BX19" s="0"/>
      <c r="BZ19" s="249" t="n">
        <f aca="false">BZ18+CF19</f>
        <v>18</v>
      </c>
      <c r="CA19" s="73" t="s">
        <v>321</v>
      </c>
      <c r="CB19" s="247" t="s">
        <v>199</v>
      </c>
      <c r="CC19" s="161" t="s">
        <v>196</v>
      </c>
      <c r="CD19" s="253" t="s">
        <v>197</v>
      </c>
      <c r="CE19" s="253"/>
      <c r="CF19" s="161" t="n">
        <v>1</v>
      </c>
      <c r="CG19" s="247" t="s">
        <v>322</v>
      </c>
      <c r="CH19" s="0"/>
    </row>
    <row r="20" customFormat="false" ht="12.75" hidden="false" customHeight="false" outlineLevel="0" collapsed="false">
      <c r="A20" s="286"/>
      <c r="B20" s="287" t="e">
        <f aca="false">NextMonth(B19)</f>
        <v>#VALUE!</v>
      </c>
      <c r="C20" s="239" t="n">
        <v>0.0486834265111797</v>
      </c>
      <c r="D20" s="288" t="n">
        <v>0.48</v>
      </c>
      <c r="E20" s="288" t="n">
        <v>0.48</v>
      </c>
      <c r="F20" s="288" t="n">
        <v>0.5075</v>
      </c>
      <c r="G20" s="288" t="n">
        <v>0.515</v>
      </c>
      <c r="H20" s="288" t="n">
        <v>0.5225</v>
      </c>
      <c r="I20" s="288" t="n">
        <v>5.65</v>
      </c>
      <c r="J20" s="292" t="n">
        <v>5.655</v>
      </c>
      <c r="K20" s="239" t="n">
        <v>5.66</v>
      </c>
      <c r="L20" s="292" t="n">
        <v>-0.085</v>
      </c>
      <c r="M20" s="239" t="n">
        <v>-0.085</v>
      </c>
      <c r="O20" s="235"/>
      <c r="P20" s="288"/>
      <c r="Q20" s="288"/>
      <c r="R20" s="289" t="e">
        <f aca="false">B20</f>
        <v>#VALUE!</v>
      </c>
      <c r="S20" s="290" t="n">
        <f aca="false">T20-$S$16</f>
        <v>0.41</v>
      </c>
      <c r="T20" s="285" t="n">
        <f aca="false">D20</f>
        <v>0.48</v>
      </c>
      <c r="U20" s="291" t="n">
        <f aca="false">$U$16+T20</f>
        <v>0.55</v>
      </c>
      <c r="BP20" s="249" t="n">
        <f aca="false">BP19+BV20</f>
        <v>19</v>
      </c>
      <c r="BQ20" s="250" t="s">
        <v>323</v>
      </c>
      <c r="BR20" s="247" t="s">
        <v>195</v>
      </c>
      <c r="BS20" s="161" t="s">
        <v>324</v>
      </c>
      <c r="BT20" s="253" t="s">
        <v>197</v>
      </c>
      <c r="BU20" s="253"/>
      <c r="BV20" s="161" t="n">
        <v>1</v>
      </c>
      <c r="BW20" s="247" t="s">
        <v>325</v>
      </c>
      <c r="BX20" s="0"/>
      <c r="BZ20" s="249" t="n">
        <f aca="false">BZ19+CF20</f>
        <v>19</v>
      </c>
      <c r="CA20" s="73" t="s">
        <v>326</v>
      </c>
      <c r="CB20" s="247" t="s">
        <v>199</v>
      </c>
      <c r="CC20" s="161" t="s">
        <v>196</v>
      </c>
      <c r="CD20" s="253" t="s">
        <v>197</v>
      </c>
      <c r="CE20" s="253"/>
      <c r="CF20" s="161" t="n">
        <v>1</v>
      </c>
      <c r="CG20" s="247" t="s">
        <v>327</v>
      </c>
      <c r="CH20" s="0"/>
    </row>
    <row r="21" customFormat="false" ht="12.75" hidden="false" customHeight="false" outlineLevel="0" collapsed="false">
      <c r="A21" s="286"/>
      <c r="B21" s="287" t="e">
        <f aca="false">NextMonth(B20)</f>
        <v>#VALUE!</v>
      </c>
      <c r="C21" s="239" t="n">
        <v>0.0483477293587327</v>
      </c>
      <c r="D21" s="288" t="n">
        <v>0.53</v>
      </c>
      <c r="E21" s="288" t="n">
        <v>0.53</v>
      </c>
      <c r="F21" s="288" t="n">
        <v>0.52</v>
      </c>
      <c r="G21" s="288" t="n">
        <v>0.5275</v>
      </c>
      <c r="H21" s="288" t="n">
        <v>0.535</v>
      </c>
      <c r="I21" s="288" t="n">
        <v>5.64</v>
      </c>
      <c r="J21" s="292" t="n">
        <v>5.645</v>
      </c>
      <c r="K21" s="239" t="n">
        <v>5.65</v>
      </c>
      <c r="L21" s="292" t="n">
        <v>-0.08</v>
      </c>
      <c r="M21" s="239" t="n">
        <v>-0.08</v>
      </c>
      <c r="O21" s="235"/>
      <c r="P21" s="288"/>
      <c r="Q21" s="288"/>
      <c r="R21" s="289" t="e">
        <f aca="false">B21</f>
        <v>#VALUE!</v>
      </c>
      <c r="S21" s="290" t="n">
        <f aca="false">T21-$S$16</f>
        <v>0.46</v>
      </c>
      <c r="T21" s="285" t="n">
        <f aca="false">D21</f>
        <v>0.53</v>
      </c>
      <c r="U21" s="291" t="n">
        <f aca="false">$U$16+T21</f>
        <v>0.6</v>
      </c>
      <c r="BP21" s="249" t="n">
        <f aca="false">BP20+BV21</f>
        <v>20</v>
      </c>
      <c r="BQ21" s="250" t="s">
        <v>328</v>
      </c>
      <c r="BR21" s="247" t="s">
        <v>195</v>
      </c>
      <c r="BS21" s="161" t="s">
        <v>324</v>
      </c>
      <c r="BT21" s="253" t="s">
        <v>197</v>
      </c>
      <c r="BU21" s="253"/>
      <c r="BV21" s="161" t="n">
        <v>1</v>
      </c>
      <c r="BW21" s="247" t="s">
        <v>329</v>
      </c>
      <c r="BX21" s="0"/>
      <c r="BZ21" s="249" t="n">
        <f aca="false">BZ20+CF21</f>
        <v>20</v>
      </c>
      <c r="CA21" s="73" t="s">
        <v>330</v>
      </c>
      <c r="CB21" s="247" t="s">
        <v>199</v>
      </c>
      <c r="CC21" s="161" t="s">
        <v>196</v>
      </c>
      <c r="CD21" s="253" t="s">
        <v>197</v>
      </c>
      <c r="CE21" s="253"/>
      <c r="CF21" s="161" t="n">
        <v>1</v>
      </c>
      <c r="CG21" s="247" t="s">
        <v>331</v>
      </c>
      <c r="CH21" s="0"/>
    </row>
    <row r="22" customFormat="false" ht="12.75" hidden="false" customHeight="false" outlineLevel="0" collapsed="false">
      <c r="A22" s="286"/>
      <c r="B22" s="287" t="e">
        <f aca="false">NextMonth(B21)</f>
        <v>#VALUE!</v>
      </c>
      <c r="C22" s="239" t="n">
        <v>0.0480676030719893</v>
      </c>
      <c r="D22" s="288" t="n">
        <v>0.53</v>
      </c>
      <c r="E22" s="288" t="n">
        <v>0.53</v>
      </c>
      <c r="F22" s="288" t="n">
        <v>0.5275</v>
      </c>
      <c r="G22" s="288" t="n">
        <v>0.535</v>
      </c>
      <c r="H22" s="288" t="n">
        <v>0.5425</v>
      </c>
      <c r="I22" s="288" t="n">
        <v>5.653</v>
      </c>
      <c r="J22" s="292" t="n">
        <v>5.658</v>
      </c>
      <c r="K22" s="239" t="n">
        <v>5.663</v>
      </c>
      <c r="L22" s="292" t="n">
        <v>-0.075</v>
      </c>
      <c r="M22" s="239" t="n">
        <v>-0.075</v>
      </c>
      <c r="O22" s="235"/>
      <c r="P22" s="288"/>
      <c r="Q22" s="288"/>
      <c r="R22" s="289" t="e">
        <f aca="false">B22</f>
        <v>#VALUE!</v>
      </c>
      <c r="S22" s="290" t="n">
        <f aca="false">T22-$S$16</f>
        <v>0.46</v>
      </c>
      <c r="T22" s="285" t="n">
        <f aca="false">D22</f>
        <v>0.53</v>
      </c>
      <c r="U22" s="291" t="n">
        <f aca="false">$U$16+T22</f>
        <v>0.6</v>
      </c>
      <c r="BP22" s="249" t="n">
        <f aca="false">BP21+BV22</f>
        <v>21</v>
      </c>
      <c r="BQ22" s="250" t="s">
        <v>332</v>
      </c>
      <c r="BR22" s="247" t="s">
        <v>195</v>
      </c>
      <c r="BS22" s="161" t="s">
        <v>324</v>
      </c>
      <c r="BT22" s="253" t="s">
        <v>197</v>
      </c>
      <c r="BU22" s="253"/>
      <c r="BV22" s="161" t="n">
        <v>1</v>
      </c>
      <c r="BW22" s="247" t="s">
        <v>333</v>
      </c>
      <c r="BX22" s="0"/>
      <c r="BZ22" s="249" t="n">
        <f aca="false">BZ21+CF22</f>
        <v>21</v>
      </c>
      <c r="CA22" s="73" t="s">
        <v>334</v>
      </c>
      <c r="CB22" s="247" t="s">
        <v>199</v>
      </c>
      <c r="CC22" s="161" t="s">
        <v>196</v>
      </c>
      <c r="CD22" s="253" t="s">
        <v>197</v>
      </c>
      <c r="CE22" s="253"/>
      <c r="CF22" s="161" t="n">
        <v>1</v>
      </c>
      <c r="CG22" s="247" t="s">
        <v>335</v>
      </c>
      <c r="CH22" s="0"/>
    </row>
    <row r="23" customFormat="false" ht="12.75" hidden="false" customHeight="false" outlineLevel="0" collapsed="false">
      <c r="A23" s="286"/>
      <c r="B23" s="287" t="e">
        <f aca="false">NextMonth(B22)</f>
        <v>#VALUE!</v>
      </c>
      <c r="C23" s="239" t="n">
        <v>0.0478520271221132</v>
      </c>
      <c r="D23" s="288" t="n">
        <v>1.05</v>
      </c>
      <c r="E23" s="288" t="n">
        <v>1.05</v>
      </c>
      <c r="F23" s="288" t="n">
        <v>0.5325</v>
      </c>
      <c r="G23" s="288" t="n">
        <v>0.54</v>
      </c>
      <c r="H23" s="288" t="n">
        <v>0.5475</v>
      </c>
      <c r="I23" s="288" t="n">
        <v>5.785</v>
      </c>
      <c r="J23" s="292" t="n">
        <v>5.79</v>
      </c>
      <c r="K23" s="239" t="n">
        <v>5.795</v>
      </c>
      <c r="L23" s="292" t="n">
        <v>-0.085</v>
      </c>
      <c r="M23" s="239" t="n">
        <v>-0.085</v>
      </c>
      <c r="O23" s="235"/>
      <c r="P23" s="288"/>
      <c r="Q23" s="288"/>
      <c r="R23" s="289" t="e">
        <f aca="false">B23</f>
        <v>#VALUE!</v>
      </c>
      <c r="S23" s="290" t="n">
        <f aca="false">T23-$S$16</f>
        <v>0.98</v>
      </c>
      <c r="T23" s="285" t="n">
        <f aca="false">D23</f>
        <v>1.05</v>
      </c>
      <c r="U23" s="291" t="n">
        <f aca="false">$U$16+T23</f>
        <v>1.12</v>
      </c>
      <c r="BP23" s="249" t="n">
        <f aca="false">BP22+BV23</f>
        <v>22</v>
      </c>
      <c r="BQ23" s="250" t="s">
        <v>336</v>
      </c>
      <c r="BR23" s="247" t="s">
        <v>195</v>
      </c>
      <c r="BS23" s="161" t="s">
        <v>324</v>
      </c>
      <c r="BT23" s="253" t="s">
        <v>197</v>
      </c>
      <c r="BU23" s="253"/>
      <c r="BV23" s="161" t="n">
        <v>1</v>
      </c>
      <c r="BW23" s="247" t="s">
        <v>337</v>
      </c>
      <c r="BX23" s="0"/>
      <c r="BZ23" s="249" t="n">
        <f aca="false">BZ22+CF23</f>
        <v>22</v>
      </c>
      <c r="CA23" s="73" t="s">
        <v>338</v>
      </c>
      <c r="CB23" s="247" t="s">
        <v>199</v>
      </c>
      <c r="CC23" s="161" t="s">
        <v>196</v>
      </c>
      <c r="CD23" s="253" t="s">
        <v>197</v>
      </c>
      <c r="CE23" s="253"/>
      <c r="CF23" s="161" t="n">
        <v>1</v>
      </c>
      <c r="CG23" s="247" t="s">
        <v>339</v>
      </c>
      <c r="CH23" s="0"/>
    </row>
    <row r="24" customFormat="false" ht="12.75" hidden="false" customHeight="false" outlineLevel="0" collapsed="false">
      <c r="A24" s="286"/>
      <c r="B24" s="287" t="e">
        <f aca="false">NextMonth(B23)</f>
        <v>#VALUE!</v>
      </c>
      <c r="C24" s="239" t="n">
        <v>0.0476434052499264</v>
      </c>
      <c r="D24" s="292" t="n">
        <v>1.25</v>
      </c>
      <c r="E24" s="292" t="n">
        <v>1.25</v>
      </c>
      <c r="F24" s="292" t="n">
        <v>0.535</v>
      </c>
      <c r="G24" s="292" t="n">
        <v>0.5425</v>
      </c>
      <c r="H24" s="292" t="n">
        <v>0.55</v>
      </c>
      <c r="I24" s="288" t="n">
        <v>5.902</v>
      </c>
      <c r="J24" s="292" t="n">
        <v>5.907</v>
      </c>
      <c r="K24" s="239" t="n">
        <v>5.912</v>
      </c>
      <c r="L24" s="292" t="n">
        <v>-0.0875</v>
      </c>
      <c r="M24" s="239" t="n">
        <v>-0.0875</v>
      </c>
      <c r="O24" s="235"/>
      <c r="P24" s="288"/>
      <c r="Q24" s="288"/>
      <c r="R24" s="289" t="e">
        <f aca="false">B24</f>
        <v>#VALUE!</v>
      </c>
      <c r="S24" s="290" t="n">
        <f aca="false">T24-$S$16</f>
        <v>1.18</v>
      </c>
      <c r="T24" s="285" t="n">
        <f aca="false">D24</f>
        <v>1.25</v>
      </c>
      <c r="U24" s="291" t="n">
        <f aca="false">$U$16+T24</f>
        <v>1.32</v>
      </c>
      <c r="BP24" s="249" t="n">
        <f aca="false">BP23+BV24</f>
        <v>23</v>
      </c>
      <c r="BQ24" s="250" t="s">
        <v>340</v>
      </c>
      <c r="BR24" s="247" t="s">
        <v>195</v>
      </c>
      <c r="BS24" s="161" t="s">
        <v>324</v>
      </c>
      <c r="BT24" s="253" t="s">
        <v>197</v>
      </c>
      <c r="BU24" s="253"/>
      <c r="BV24" s="161" t="n">
        <v>1</v>
      </c>
      <c r="BW24" s="247" t="s">
        <v>341</v>
      </c>
      <c r="BX24" s="0"/>
      <c r="BZ24" s="249" t="n">
        <f aca="false">BZ23+CF24</f>
        <v>23</v>
      </c>
      <c r="CA24" s="73" t="s">
        <v>342</v>
      </c>
      <c r="CB24" s="247" t="s">
        <v>199</v>
      </c>
      <c r="CC24" s="161" t="s">
        <v>196</v>
      </c>
      <c r="CD24" s="253" t="s">
        <v>197</v>
      </c>
      <c r="CE24" s="253"/>
      <c r="CF24" s="161" t="n">
        <v>1</v>
      </c>
      <c r="CG24" s="247" t="s">
        <v>343</v>
      </c>
      <c r="CH24" s="0"/>
    </row>
    <row r="25" customFormat="false" ht="12.75" hidden="false" customHeight="false" outlineLevel="0" collapsed="false">
      <c r="A25" s="286"/>
      <c r="B25" s="287" t="e">
        <f aca="false">NextMonth(B24)</f>
        <v>#VALUE!</v>
      </c>
      <c r="C25" s="239" t="n">
        <v>0.0475583776716388</v>
      </c>
      <c r="D25" s="292" t="n">
        <v>1.25</v>
      </c>
      <c r="E25" s="292" t="n">
        <v>1.25</v>
      </c>
      <c r="F25" s="292" t="n">
        <v>0.54</v>
      </c>
      <c r="G25" s="292" t="n">
        <v>0.5475</v>
      </c>
      <c r="H25" s="292" t="n">
        <v>0.555</v>
      </c>
      <c r="I25" s="288" t="n">
        <v>5.942</v>
      </c>
      <c r="J25" s="292" t="n">
        <v>5.947</v>
      </c>
      <c r="K25" s="239" t="n">
        <v>5.952</v>
      </c>
      <c r="L25" s="292" t="n">
        <v>-0.09</v>
      </c>
      <c r="M25" s="239" t="n">
        <v>-0.09</v>
      </c>
      <c r="O25" s="235"/>
      <c r="P25" s="288"/>
      <c r="Q25" s="288"/>
      <c r="R25" s="289" t="e">
        <f aca="false">B25</f>
        <v>#VALUE!</v>
      </c>
      <c r="S25" s="290" t="n">
        <f aca="false">T25-$S$16</f>
        <v>1.18</v>
      </c>
      <c r="T25" s="285" t="n">
        <f aca="false">D25</f>
        <v>1.25</v>
      </c>
      <c r="U25" s="291" t="n">
        <f aca="false">$U$16+T25</f>
        <v>1.32</v>
      </c>
      <c r="BP25" s="249" t="n">
        <f aca="false">BP24+BV25</f>
        <v>24</v>
      </c>
      <c r="BQ25" s="250" t="s">
        <v>344</v>
      </c>
      <c r="BR25" s="247" t="s">
        <v>195</v>
      </c>
      <c r="BS25" s="161" t="s">
        <v>324</v>
      </c>
      <c r="BT25" s="253" t="s">
        <v>197</v>
      </c>
      <c r="BU25" s="253"/>
      <c r="BV25" s="161" t="n">
        <v>1</v>
      </c>
      <c r="BW25" s="247" t="s">
        <v>345</v>
      </c>
      <c r="BX25" s="0"/>
      <c r="BZ25" s="249" t="n">
        <f aca="false">BZ24+CF25</f>
        <v>24</v>
      </c>
      <c r="CA25" s="73" t="s">
        <v>346</v>
      </c>
      <c r="CB25" s="247" t="s">
        <v>199</v>
      </c>
      <c r="CC25" s="161" t="s">
        <v>196</v>
      </c>
      <c r="CD25" s="253" t="s">
        <v>197</v>
      </c>
      <c r="CE25" s="253"/>
      <c r="CF25" s="161" t="n">
        <v>1</v>
      </c>
      <c r="CG25" s="247" t="s">
        <v>347</v>
      </c>
      <c r="CH25" s="0"/>
    </row>
    <row r="26" customFormat="false" ht="12.75" hidden="false" customHeight="false" outlineLevel="0" collapsed="false">
      <c r="A26" s="286"/>
      <c r="B26" s="287" t="e">
        <f aca="false">NextMonth(B25)</f>
        <v>#VALUE!</v>
      </c>
      <c r="C26" s="239" t="n">
        <v>0.0476541093414511</v>
      </c>
      <c r="D26" s="292" t="n">
        <v>1.25</v>
      </c>
      <c r="E26" s="292" t="n">
        <v>1.25</v>
      </c>
      <c r="F26" s="292" t="n">
        <v>0.535</v>
      </c>
      <c r="G26" s="292" t="n">
        <v>0.5425</v>
      </c>
      <c r="H26" s="292" t="n">
        <v>0.55</v>
      </c>
      <c r="I26" s="288" t="n">
        <v>5.752</v>
      </c>
      <c r="J26" s="292" t="n">
        <v>5.757</v>
      </c>
      <c r="K26" s="239" t="n">
        <v>5.762</v>
      </c>
      <c r="L26" s="292" t="n">
        <v>-0.0825</v>
      </c>
      <c r="M26" s="239" t="n">
        <v>-0.0825</v>
      </c>
      <c r="O26" s="235"/>
      <c r="P26" s="288"/>
      <c r="Q26" s="288"/>
      <c r="R26" s="289" t="e">
        <f aca="false">B26</f>
        <v>#VALUE!</v>
      </c>
      <c r="S26" s="290" t="n">
        <f aca="false">T26-$S$16</f>
        <v>1.18</v>
      </c>
      <c r="T26" s="285" t="n">
        <f aca="false">D26</f>
        <v>1.25</v>
      </c>
      <c r="U26" s="291" t="n">
        <f aca="false">$U$16+T26</f>
        <v>1.32</v>
      </c>
      <c r="BP26" s="249" t="n">
        <f aca="false">BP25+BV26</f>
        <v>25</v>
      </c>
      <c r="BQ26" s="250" t="s">
        <v>348</v>
      </c>
      <c r="BR26" s="247" t="s">
        <v>195</v>
      </c>
      <c r="BS26" s="161" t="s">
        <v>324</v>
      </c>
      <c r="BT26" s="253" t="s">
        <v>197</v>
      </c>
      <c r="BU26" s="253"/>
      <c r="BV26" s="161" t="n">
        <v>1</v>
      </c>
      <c r="BW26" s="247" t="s">
        <v>349</v>
      </c>
      <c r="BX26" s="0"/>
      <c r="BZ26" s="249" t="n">
        <f aca="false">BZ25+CF26</f>
        <v>25</v>
      </c>
      <c r="CA26" s="73" t="s">
        <v>350</v>
      </c>
      <c r="CB26" s="247" t="s">
        <v>199</v>
      </c>
      <c r="CC26" s="161" t="s">
        <v>196</v>
      </c>
      <c r="CD26" s="253" t="s">
        <v>197</v>
      </c>
      <c r="CE26" s="253"/>
      <c r="CF26" s="161" t="n">
        <v>1</v>
      </c>
      <c r="CG26" s="247" t="s">
        <v>351</v>
      </c>
      <c r="CH26" s="0"/>
    </row>
    <row r="27" customFormat="false" ht="12.75" hidden="false" customHeight="false" outlineLevel="0" collapsed="false">
      <c r="A27" s="286"/>
      <c r="B27" s="287" t="e">
        <f aca="false">NextMonth(B26)</f>
        <v>#VALUE!</v>
      </c>
      <c r="C27" s="239" t="n">
        <v>0.0477405766587533</v>
      </c>
      <c r="D27" s="292" t="n">
        <v>1</v>
      </c>
      <c r="E27" s="292" t="n">
        <v>1</v>
      </c>
      <c r="F27" s="292" t="n">
        <v>0.49</v>
      </c>
      <c r="G27" s="292" t="n">
        <v>0.4975</v>
      </c>
      <c r="H27" s="292" t="n">
        <v>0.505</v>
      </c>
      <c r="I27" s="288" t="n">
        <v>5.41</v>
      </c>
      <c r="J27" s="292" t="n">
        <v>5.415</v>
      </c>
      <c r="K27" s="239" t="n">
        <v>5.42</v>
      </c>
      <c r="L27" s="292" t="n">
        <v>-0.08</v>
      </c>
      <c r="M27" s="239" t="n">
        <v>-0.08</v>
      </c>
      <c r="O27" s="235"/>
      <c r="P27" s="288"/>
      <c r="Q27" s="288"/>
      <c r="R27" s="289" t="e">
        <f aca="false">B27</f>
        <v>#VALUE!</v>
      </c>
      <c r="S27" s="290" t="n">
        <f aca="false">T27-$S$16</f>
        <v>0.93</v>
      </c>
      <c r="T27" s="285" t="n">
        <f aca="false">D27</f>
        <v>1</v>
      </c>
      <c r="U27" s="291" t="n">
        <f aca="false">$U$16+T27</f>
        <v>1.07</v>
      </c>
      <c r="BP27" s="249" t="n">
        <f aca="false">BP26+BV27</f>
        <v>26</v>
      </c>
      <c r="BQ27" s="250" t="s">
        <v>352</v>
      </c>
      <c r="BR27" s="247" t="s">
        <v>195</v>
      </c>
      <c r="BS27" s="161" t="s">
        <v>324</v>
      </c>
      <c r="BT27" s="253" t="s">
        <v>197</v>
      </c>
      <c r="BU27" s="253"/>
      <c r="BV27" s="161" t="n">
        <v>1</v>
      </c>
      <c r="BW27" s="247" t="s">
        <v>353</v>
      </c>
      <c r="BX27" s="0"/>
      <c r="BZ27" s="249" t="n">
        <f aca="false">BZ26+CF27</f>
        <v>26</v>
      </c>
      <c r="CA27" s="73" t="s">
        <v>354</v>
      </c>
      <c r="CB27" s="247" t="s">
        <v>199</v>
      </c>
      <c r="CC27" s="161" t="s">
        <v>196</v>
      </c>
      <c r="CD27" s="253" t="s">
        <v>197</v>
      </c>
      <c r="CE27" s="253"/>
      <c r="CF27" s="161" t="n">
        <v>1</v>
      </c>
      <c r="CG27" s="247" t="s">
        <v>355</v>
      </c>
      <c r="CH27" s="0"/>
    </row>
    <row r="28" customFormat="false" ht="12.75" hidden="false" customHeight="false" outlineLevel="0" collapsed="false">
      <c r="A28" s="286"/>
      <c r="B28" s="287" t="e">
        <f aca="false">NextMonth(B27)</f>
        <v>#VALUE!</v>
      </c>
      <c r="C28" s="239" t="n">
        <v>0.0478472107107</v>
      </c>
      <c r="D28" s="292" t="n">
        <v>0.4</v>
      </c>
      <c r="E28" s="292" t="n">
        <v>0.4</v>
      </c>
      <c r="F28" s="292" t="n">
        <v>0.3725</v>
      </c>
      <c r="G28" s="292" t="n">
        <v>0.38</v>
      </c>
      <c r="H28" s="292" t="n">
        <v>0.3875</v>
      </c>
      <c r="I28" s="288" t="n">
        <v>4.84</v>
      </c>
      <c r="J28" s="292" t="n">
        <v>4.845</v>
      </c>
      <c r="K28" s="239" t="n">
        <v>4.85</v>
      </c>
      <c r="L28" s="292" t="n">
        <v>-0.08</v>
      </c>
      <c r="M28" s="239" t="n">
        <v>-0.08</v>
      </c>
      <c r="O28" s="235"/>
      <c r="P28" s="288"/>
      <c r="Q28" s="288"/>
      <c r="R28" s="289" t="e">
        <f aca="false">B28</f>
        <v>#VALUE!</v>
      </c>
      <c r="S28" s="290" t="n">
        <f aca="false">T28-$S$16</f>
        <v>0.33</v>
      </c>
      <c r="T28" s="285" t="n">
        <f aca="false">D28</f>
        <v>0.4</v>
      </c>
      <c r="U28" s="291" t="n">
        <f aca="false">$U$16+T28</f>
        <v>0.47</v>
      </c>
      <c r="BP28" s="249" t="n">
        <f aca="false">BP27+BV28</f>
        <v>27</v>
      </c>
      <c r="BQ28" s="250" t="s">
        <v>356</v>
      </c>
      <c r="BR28" s="247" t="s">
        <v>195</v>
      </c>
      <c r="BS28" s="161" t="s">
        <v>324</v>
      </c>
      <c r="BT28" s="253" t="s">
        <v>197</v>
      </c>
      <c r="BU28" s="253"/>
      <c r="BV28" s="161" t="n">
        <v>1</v>
      </c>
      <c r="BW28" s="247" t="s">
        <v>357</v>
      </c>
      <c r="BX28" s="0"/>
      <c r="BZ28" s="249" t="n">
        <f aca="false">BZ27+CF28</f>
        <v>27</v>
      </c>
      <c r="CA28" s="73" t="s">
        <v>358</v>
      </c>
      <c r="CB28" s="247" t="s">
        <v>199</v>
      </c>
      <c r="CC28" s="161" t="s">
        <v>196</v>
      </c>
      <c r="CD28" s="253" t="s">
        <v>197</v>
      </c>
      <c r="CE28" s="253"/>
      <c r="CF28" s="161" t="n">
        <v>1</v>
      </c>
      <c r="CG28" s="247" t="s">
        <v>359</v>
      </c>
      <c r="CH28" s="0"/>
    </row>
    <row r="29" customFormat="false" ht="12.75" hidden="false" customHeight="false" outlineLevel="0" collapsed="false">
      <c r="A29" s="286"/>
      <c r="B29" s="287" t="e">
        <f aca="false">NextMonth(B28)</f>
        <v>#VALUE!</v>
      </c>
      <c r="C29" s="239" t="n">
        <v>0.0479605668462821</v>
      </c>
      <c r="D29" s="292" t="n">
        <v>0.4</v>
      </c>
      <c r="E29" s="292" t="n">
        <v>0.4</v>
      </c>
      <c r="F29" s="292" t="n">
        <v>0.33</v>
      </c>
      <c r="G29" s="292" t="n">
        <v>0.3375</v>
      </c>
      <c r="H29" s="292" t="n">
        <v>0.345</v>
      </c>
      <c r="I29" s="288" t="n">
        <v>4.69</v>
      </c>
      <c r="J29" s="292" t="n">
        <v>4.695</v>
      </c>
      <c r="K29" s="239" t="n">
        <v>4.7</v>
      </c>
      <c r="L29" s="292" t="n">
        <v>-0.08</v>
      </c>
      <c r="M29" s="239" t="n">
        <v>-0.08</v>
      </c>
      <c r="O29" s="235"/>
      <c r="P29" s="288"/>
      <c r="Q29" s="288"/>
      <c r="R29" s="289" t="e">
        <f aca="false">B29</f>
        <v>#VALUE!</v>
      </c>
      <c r="S29" s="290" t="n">
        <f aca="false">T29-$S$16</f>
        <v>0.33</v>
      </c>
      <c r="T29" s="285" t="n">
        <f aca="false">D29</f>
        <v>0.4</v>
      </c>
      <c r="U29" s="291" t="n">
        <f aca="false">$U$16+T29</f>
        <v>0.47</v>
      </c>
      <c r="BP29" s="249" t="n">
        <f aca="false">BP28+BV29</f>
        <v>28</v>
      </c>
      <c r="BQ29" s="250" t="s">
        <v>360</v>
      </c>
      <c r="BR29" s="247" t="s">
        <v>195</v>
      </c>
      <c r="BS29" s="161" t="s">
        <v>324</v>
      </c>
      <c r="BT29" s="253" t="s">
        <v>197</v>
      </c>
      <c r="BU29" s="253"/>
      <c r="BV29" s="161" t="n">
        <v>1</v>
      </c>
      <c r="BW29" s="247" t="s">
        <v>361</v>
      </c>
      <c r="BX29" s="0"/>
      <c r="BZ29" s="249" t="n">
        <f aca="false">BZ28+CF29</f>
        <v>28</v>
      </c>
      <c r="CA29" s="73" t="s">
        <v>362</v>
      </c>
      <c r="CB29" s="247" t="s">
        <v>199</v>
      </c>
      <c r="CC29" s="161" t="s">
        <v>196</v>
      </c>
      <c r="CD29" s="253" t="s">
        <v>197</v>
      </c>
      <c r="CE29" s="253"/>
      <c r="CF29" s="161" t="n">
        <v>1</v>
      </c>
      <c r="CG29" s="247" t="s">
        <v>363</v>
      </c>
      <c r="CH29" s="0"/>
    </row>
    <row r="30" customFormat="false" ht="12.75" hidden="false" customHeight="false" outlineLevel="0" collapsed="false">
      <c r="A30" s="286"/>
      <c r="B30" s="287" t="e">
        <f aca="false">NextMonth(B29)</f>
        <v>#VALUE!</v>
      </c>
      <c r="C30" s="239" t="n">
        <v>0.0480777015242291</v>
      </c>
      <c r="D30" s="292" t="n">
        <v>0.4</v>
      </c>
      <c r="E30" s="292" t="n">
        <v>0.4</v>
      </c>
      <c r="F30" s="292" t="n">
        <v>0.33</v>
      </c>
      <c r="G30" s="292" t="n">
        <v>0.3375</v>
      </c>
      <c r="H30" s="292" t="n">
        <v>0.345</v>
      </c>
      <c r="I30" s="288" t="n">
        <v>4.701</v>
      </c>
      <c r="J30" s="292" t="n">
        <v>4.706</v>
      </c>
      <c r="K30" s="239" t="n">
        <v>4.711</v>
      </c>
      <c r="L30" s="292" t="n">
        <v>-0.08</v>
      </c>
      <c r="M30" s="239" t="n">
        <v>-0.08</v>
      </c>
      <c r="N30" s="293"/>
      <c r="O30" s="235"/>
      <c r="P30" s="288"/>
      <c r="Q30" s="288"/>
      <c r="R30" s="289" t="e">
        <f aca="false">B30</f>
        <v>#VALUE!</v>
      </c>
      <c r="S30" s="290" t="n">
        <f aca="false">T30-$S$16</f>
        <v>0.33</v>
      </c>
      <c r="T30" s="285" t="n">
        <f aca="false">D30</f>
        <v>0.4</v>
      </c>
      <c r="U30" s="291" t="n">
        <f aca="false">$U$16+T30</f>
        <v>0.47</v>
      </c>
      <c r="BP30" s="249" t="n">
        <f aca="false">BP29+BV30</f>
        <v>29</v>
      </c>
      <c r="BQ30" s="250" t="s">
        <v>364</v>
      </c>
      <c r="BR30" s="247" t="s">
        <v>195</v>
      </c>
      <c r="BS30" s="161" t="s">
        <v>324</v>
      </c>
      <c r="BT30" s="253" t="s">
        <v>197</v>
      </c>
      <c r="BU30" s="253"/>
      <c r="BV30" s="161" t="n">
        <v>1</v>
      </c>
      <c r="BW30" s="247" t="s">
        <v>365</v>
      </c>
      <c r="BX30" s="0"/>
      <c r="BZ30" s="249" t="n">
        <f aca="false">BZ29+CF30</f>
        <v>29</v>
      </c>
      <c r="CA30" s="73" t="s">
        <v>366</v>
      </c>
      <c r="CB30" s="247" t="s">
        <v>199</v>
      </c>
      <c r="CC30" s="161" t="s">
        <v>196</v>
      </c>
      <c r="CD30" s="253" t="s">
        <v>197</v>
      </c>
      <c r="CE30" s="253"/>
      <c r="CF30" s="161" t="n">
        <v>1</v>
      </c>
      <c r="CG30" s="247" t="s">
        <v>367</v>
      </c>
      <c r="CH30" s="0"/>
    </row>
    <row r="31" customFormat="false" ht="12.75" hidden="false" customHeight="false" outlineLevel="0" collapsed="false">
      <c r="A31" s="286"/>
      <c r="B31" s="287" t="e">
        <f aca="false">NextMonth(B30)</f>
        <v>#VALUE!</v>
      </c>
      <c r="C31" s="239" t="n">
        <v>0.0482262639796347</v>
      </c>
      <c r="D31" s="292" t="n">
        <v>0.4</v>
      </c>
      <c r="E31" s="292" t="n">
        <v>0.4</v>
      </c>
      <c r="F31" s="292" t="n">
        <v>0.33</v>
      </c>
      <c r="G31" s="292" t="n">
        <v>0.3375</v>
      </c>
      <c r="H31" s="292" t="n">
        <v>0.345</v>
      </c>
      <c r="I31" s="288" t="n">
        <v>4.735</v>
      </c>
      <c r="J31" s="292" t="n">
        <v>4.74</v>
      </c>
      <c r="K31" s="239" t="n">
        <v>4.745</v>
      </c>
      <c r="L31" s="292" t="n">
        <v>-0.08</v>
      </c>
      <c r="M31" s="239" t="n">
        <v>-0.08</v>
      </c>
      <c r="O31" s="235"/>
      <c r="P31" s="288"/>
      <c r="Q31" s="288"/>
      <c r="R31" s="289" t="e">
        <f aca="false">B31</f>
        <v>#VALUE!</v>
      </c>
      <c r="S31" s="290" t="n">
        <f aca="false">T31-$S$16</f>
        <v>0.33</v>
      </c>
      <c r="T31" s="285" t="n">
        <f aca="false">D31</f>
        <v>0.4</v>
      </c>
      <c r="U31" s="291" t="n">
        <f aca="false">$U$16+T31</f>
        <v>0.47</v>
      </c>
      <c r="BP31" s="249" t="n">
        <f aca="false">BP30+BV31</f>
        <v>30</v>
      </c>
      <c r="BQ31" s="250" t="s">
        <v>368</v>
      </c>
      <c r="BR31" s="247" t="s">
        <v>195</v>
      </c>
      <c r="BS31" s="161" t="s">
        <v>324</v>
      </c>
      <c r="BT31" s="253" t="s">
        <v>197</v>
      </c>
      <c r="BU31" s="253"/>
      <c r="BV31" s="161" t="n">
        <v>1</v>
      </c>
      <c r="BW31" s="247" t="s">
        <v>369</v>
      </c>
      <c r="BX31" s="0"/>
      <c r="BZ31" s="249" t="n">
        <f aca="false">BZ30+CF31</f>
        <v>30</v>
      </c>
      <c r="CA31" s="73" t="s">
        <v>370</v>
      </c>
      <c r="CB31" s="247" t="s">
        <v>199</v>
      </c>
      <c r="CC31" s="161" t="s">
        <v>196</v>
      </c>
      <c r="CD31" s="253" t="s">
        <v>197</v>
      </c>
      <c r="CE31" s="253"/>
      <c r="CF31" s="161" t="n">
        <v>1</v>
      </c>
      <c r="CG31" s="247" t="s">
        <v>371</v>
      </c>
      <c r="CH31" s="0"/>
    </row>
    <row r="32" customFormat="false" ht="12.75" hidden="false" customHeight="false" outlineLevel="0" collapsed="false">
      <c r="A32" s="286"/>
      <c r="B32" s="287" t="e">
        <f aca="false">NextMonth(B31)</f>
        <v>#VALUE!</v>
      </c>
      <c r="C32" s="239" t="n">
        <v>0.0484374158674234</v>
      </c>
      <c r="D32" s="292" t="n">
        <v>0.5</v>
      </c>
      <c r="E32" s="292" t="n">
        <v>0.5</v>
      </c>
      <c r="F32" s="292" t="n">
        <v>0.33</v>
      </c>
      <c r="G32" s="292" t="n">
        <v>0.3375</v>
      </c>
      <c r="H32" s="292" t="n">
        <v>0.345</v>
      </c>
      <c r="I32" s="288" t="n">
        <v>4.745</v>
      </c>
      <c r="J32" s="292" t="n">
        <v>4.75</v>
      </c>
      <c r="K32" s="239" t="n">
        <v>4.755</v>
      </c>
      <c r="L32" s="292" t="n">
        <v>-0.08</v>
      </c>
      <c r="M32" s="239" t="n">
        <v>-0.08</v>
      </c>
      <c r="O32" s="235"/>
      <c r="P32" s="288"/>
      <c r="Q32" s="288"/>
      <c r="R32" s="289" t="e">
        <f aca="false">B32</f>
        <v>#VALUE!</v>
      </c>
      <c r="S32" s="290" t="n">
        <f aca="false">T32-$S$16</f>
        <v>0.43</v>
      </c>
      <c r="T32" s="285" t="n">
        <f aca="false">D32</f>
        <v>0.5</v>
      </c>
      <c r="U32" s="291" t="n">
        <f aca="false">$U$16+T32</f>
        <v>0.57</v>
      </c>
      <c r="BP32" s="249" t="n">
        <f aca="false">BP31+BV32</f>
        <v>31</v>
      </c>
      <c r="BQ32" s="250" t="s">
        <v>372</v>
      </c>
      <c r="BR32" s="247" t="s">
        <v>195</v>
      </c>
      <c r="BS32" s="161" t="s">
        <v>324</v>
      </c>
      <c r="BT32" s="253" t="s">
        <v>197</v>
      </c>
      <c r="BU32" s="253"/>
      <c r="BV32" s="161" t="n">
        <v>1</v>
      </c>
      <c r="BW32" s="247" t="s">
        <v>373</v>
      </c>
      <c r="BX32" s="0"/>
      <c r="BZ32" s="249" t="n">
        <f aca="false">BZ31+CF32</f>
        <v>31</v>
      </c>
      <c r="CA32" s="73" t="s">
        <v>374</v>
      </c>
      <c r="CB32" s="247" t="s">
        <v>199</v>
      </c>
      <c r="CC32" s="161" t="s">
        <v>196</v>
      </c>
      <c r="CD32" s="253" t="s">
        <v>197</v>
      </c>
      <c r="CE32" s="253"/>
      <c r="CF32" s="161" t="n">
        <v>1</v>
      </c>
      <c r="CG32" s="247" t="s">
        <v>375</v>
      </c>
      <c r="CH32" s="0"/>
    </row>
    <row r="33" customFormat="false" ht="12.75" hidden="false" customHeight="false" outlineLevel="0" collapsed="false">
      <c r="A33" s="286"/>
      <c r="B33" s="287" t="e">
        <f aca="false">NextMonth(B32)</f>
        <v>#VALUE!</v>
      </c>
      <c r="C33" s="239" t="n">
        <v>0.0486485677701101</v>
      </c>
      <c r="D33" s="292" t="n">
        <v>0.55</v>
      </c>
      <c r="E33" s="292" t="n">
        <v>0.55</v>
      </c>
      <c r="F33" s="292" t="n">
        <v>0.3325</v>
      </c>
      <c r="G33" s="292" t="n">
        <v>0.34</v>
      </c>
      <c r="H33" s="292" t="n">
        <v>0.3475</v>
      </c>
      <c r="I33" s="288" t="n">
        <v>4.724</v>
      </c>
      <c r="J33" s="292" t="n">
        <v>4.729</v>
      </c>
      <c r="K33" s="239" t="n">
        <v>4.734</v>
      </c>
      <c r="L33" s="292" t="n">
        <v>-0.08</v>
      </c>
      <c r="M33" s="239" t="n">
        <v>-0.08</v>
      </c>
      <c r="O33" s="235"/>
      <c r="P33" s="288"/>
      <c r="Q33" s="288"/>
      <c r="R33" s="289" t="e">
        <f aca="false">B33</f>
        <v>#VALUE!</v>
      </c>
      <c r="S33" s="290" t="n">
        <f aca="false">T33-$S$16</f>
        <v>0.48</v>
      </c>
      <c r="T33" s="285" t="n">
        <f aca="false">D33</f>
        <v>0.55</v>
      </c>
      <c r="U33" s="291" t="n">
        <f aca="false">$U$16+T33</f>
        <v>0.62</v>
      </c>
      <c r="BP33" s="249" t="n">
        <f aca="false">BP32+BV33</f>
        <v>32</v>
      </c>
      <c r="BQ33" s="250" t="s">
        <v>376</v>
      </c>
      <c r="BR33" s="247" t="s">
        <v>195</v>
      </c>
      <c r="BS33" s="161" t="s">
        <v>324</v>
      </c>
      <c r="BT33" s="253" t="s">
        <v>197</v>
      </c>
      <c r="BU33" s="253"/>
      <c r="BV33" s="161" t="n">
        <v>1</v>
      </c>
      <c r="BW33" s="247" t="s">
        <v>377</v>
      </c>
      <c r="BX33" s="0"/>
      <c r="BZ33" s="249" t="n">
        <f aca="false">BZ32+CF33</f>
        <v>32</v>
      </c>
      <c r="CA33" s="73" t="s">
        <v>378</v>
      </c>
      <c r="CB33" s="247" t="s">
        <v>199</v>
      </c>
      <c r="CC33" s="161" t="s">
        <v>196</v>
      </c>
      <c r="CD33" s="253" t="s">
        <v>197</v>
      </c>
      <c r="CE33" s="253"/>
      <c r="CF33" s="161" t="n">
        <v>1</v>
      </c>
      <c r="CG33" s="247" t="s">
        <v>379</v>
      </c>
      <c r="CH33" s="0"/>
    </row>
    <row r="34" customFormat="false" ht="12.75" hidden="false" customHeight="false" outlineLevel="0" collapsed="false">
      <c r="A34" s="286"/>
      <c r="B34" s="287" t="e">
        <f aca="false">NextMonth(B33)</f>
        <v>#VALUE!</v>
      </c>
      <c r="C34" s="239" t="n">
        <v>0.0488735677351122</v>
      </c>
      <c r="D34" s="292" t="n">
        <v>0.55</v>
      </c>
      <c r="E34" s="292" t="n">
        <v>0.55</v>
      </c>
      <c r="F34" s="292" t="n">
        <v>0.3325</v>
      </c>
      <c r="G34" s="292" t="n">
        <v>0.34</v>
      </c>
      <c r="H34" s="292" t="n">
        <v>0.3475</v>
      </c>
      <c r="I34" s="288" t="n">
        <v>4.73</v>
      </c>
      <c r="J34" s="292" t="n">
        <v>4.735</v>
      </c>
      <c r="K34" s="239" t="n">
        <v>4.74</v>
      </c>
      <c r="L34" s="292" t="n">
        <v>-0.08</v>
      </c>
      <c r="M34" s="239" t="n">
        <v>-0.08</v>
      </c>
      <c r="O34" s="235"/>
      <c r="P34" s="288"/>
      <c r="Q34" s="288"/>
      <c r="R34" s="289" t="e">
        <f aca="false">B34</f>
        <v>#VALUE!</v>
      </c>
      <c r="S34" s="290" t="n">
        <f aca="false">T34-$S$16</f>
        <v>0.48</v>
      </c>
      <c r="T34" s="285" t="n">
        <f aca="false">D34</f>
        <v>0.55</v>
      </c>
      <c r="U34" s="291" t="n">
        <f aca="false">$U$16+T34</f>
        <v>0.62</v>
      </c>
      <c r="BP34" s="249" t="n">
        <f aca="false">BP33+BV34</f>
        <v>33</v>
      </c>
      <c r="BQ34" s="250" t="s">
        <v>380</v>
      </c>
      <c r="BR34" s="247" t="s">
        <v>195</v>
      </c>
      <c r="BS34" s="161" t="s">
        <v>324</v>
      </c>
      <c r="BT34" s="253" t="s">
        <v>197</v>
      </c>
      <c r="BU34" s="253"/>
      <c r="BV34" s="161" t="n">
        <v>1</v>
      </c>
      <c r="BW34" s="247" t="s">
        <v>381</v>
      </c>
      <c r="BX34" s="0"/>
      <c r="BZ34" s="249" t="n">
        <f aca="false">BZ33+CF34</f>
        <v>33</v>
      </c>
      <c r="CA34" s="73" t="s">
        <v>382</v>
      </c>
      <c r="CB34" s="247" t="s">
        <v>199</v>
      </c>
      <c r="CC34" s="161" t="s">
        <v>196</v>
      </c>
      <c r="CD34" s="253" t="s">
        <v>197</v>
      </c>
      <c r="CE34" s="253"/>
      <c r="CF34" s="161" t="n">
        <v>1</v>
      </c>
      <c r="CG34" s="247" t="s">
        <v>383</v>
      </c>
      <c r="CH34" s="0"/>
    </row>
    <row r="35" customFormat="false" ht="12.75" hidden="false" customHeight="false" outlineLevel="0" collapsed="false">
      <c r="A35" s="286"/>
      <c r="B35" s="287" t="e">
        <f aca="false">NextMonth(B34)</f>
        <v>#VALUE!</v>
      </c>
      <c r="C35" s="239" t="n">
        <v>0.0491356023517753</v>
      </c>
      <c r="D35" s="292" t="n">
        <v>0.8</v>
      </c>
      <c r="E35" s="292" t="n">
        <v>0.8</v>
      </c>
      <c r="F35" s="292" t="n">
        <v>0.335</v>
      </c>
      <c r="G35" s="292" t="n">
        <v>0.3425</v>
      </c>
      <c r="H35" s="292" t="n">
        <v>0.35</v>
      </c>
      <c r="I35" s="288" t="n">
        <v>4.85</v>
      </c>
      <c r="J35" s="292" t="n">
        <v>4.855</v>
      </c>
      <c r="K35" s="239" t="n">
        <v>4.86</v>
      </c>
      <c r="L35" s="292" t="n">
        <v>-0.1</v>
      </c>
      <c r="M35" s="239" t="n">
        <v>-0.1</v>
      </c>
      <c r="O35" s="235"/>
      <c r="P35" s="288"/>
      <c r="Q35" s="288"/>
      <c r="R35" s="289" t="e">
        <f aca="false">B35</f>
        <v>#VALUE!</v>
      </c>
      <c r="S35" s="290" t="n">
        <f aca="false">T35-$S$16</f>
        <v>0.73</v>
      </c>
      <c r="T35" s="285" t="n">
        <f aca="false">D35</f>
        <v>0.8</v>
      </c>
      <c r="U35" s="291" t="n">
        <f aca="false">$U$16+T35</f>
        <v>0.87</v>
      </c>
      <c r="BP35" s="249" t="n">
        <f aca="false">BP34+BV35</f>
        <v>34</v>
      </c>
      <c r="BQ35" s="250" t="s">
        <v>384</v>
      </c>
      <c r="BR35" s="247" t="s">
        <v>195</v>
      </c>
      <c r="BS35" s="161" t="s">
        <v>324</v>
      </c>
      <c r="BT35" s="253" t="s">
        <v>197</v>
      </c>
      <c r="BU35" s="253"/>
      <c r="BV35" s="161" t="n">
        <v>1</v>
      </c>
      <c r="BW35" s="247" t="s">
        <v>385</v>
      </c>
      <c r="BX35" s="0"/>
      <c r="BZ35" s="249" t="n">
        <f aca="false">BZ34+CF35</f>
        <v>34</v>
      </c>
      <c r="CA35" s="73" t="s">
        <v>386</v>
      </c>
      <c r="CB35" s="247" t="s">
        <v>199</v>
      </c>
      <c r="CC35" s="161" t="s">
        <v>196</v>
      </c>
      <c r="CD35" s="253" t="s">
        <v>197</v>
      </c>
      <c r="CE35" s="253"/>
      <c r="CF35" s="161" t="n">
        <v>1</v>
      </c>
      <c r="CG35" s="247" t="s">
        <v>387</v>
      </c>
      <c r="CH35" s="0"/>
    </row>
    <row r="36" customFormat="false" ht="12.75" hidden="false" customHeight="false" outlineLevel="0" collapsed="false">
      <c r="A36" s="286"/>
      <c r="B36" s="287" t="e">
        <f aca="false">NextMonth(B35)</f>
        <v>#VALUE!</v>
      </c>
      <c r="C36" s="239" t="n">
        <v>0.0493891842607059</v>
      </c>
      <c r="D36" s="292" t="n">
        <v>1</v>
      </c>
      <c r="E36" s="292" t="n">
        <v>1</v>
      </c>
      <c r="F36" s="292" t="n">
        <v>0.3375</v>
      </c>
      <c r="G36" s="292" t="n">
        <v>0.345</v>
      </c>
      <c r="H36" s="292" t="n">
        <v>0.3525</v>
      </c>
      <c r="I36" s="288" t="n">
        <v>4.954</v>
      </c>
      <c r="J36" s="292" t="n">
        <v>4.959</v>
      </c>
      <c r="K36" s="239" t="n">
        <v>4.964</v>
      </c>
      <c r="L36" s="292" t="n">
        <v>-0.1025</v>
      </c>
      <c r="M36" s="239" t="n">
        <v>-0.1025</v>
      </c>
      <c r="O36" s="235"/>
      <c r="P36" s="288"/>
      <c r="Q36" s="288"/>
      <c r="R36" s="289" t="e">
        <f aca="false">B36</f>
        <v>#VALUE!</v>
      </c>
      <c r="S36" s="290" t="n">
        <f aca="false">T36-$S$16</f>
        <v>0.93</v>
      </c>
      <c r="T36" s="285" t="n">
        <f aca="false">D36</f>
        <v>1</v>
      </c>
      <c r="U36" s="291" t="n">
        <f aca="false">$U$16+T36</f>
        <v>1.07</v>
      </c>
      <c r="BP36" s="249" t="n">
        <f aca="false">BP35+BV36</f>
        <v>35</v>
      </c>
      <c r="BQ36" s="250" t="s">
        <v>388</v>
      </c>
      <c r="BR36" s="247" t="s">
        <v>195</v>
      </c>
      <c r="BS36" s="161" t="s">
        <v>324</v>
      </c>
      <c r="BT36" s="253" t="s">
        <v>197</v>
      </c>
      <c r="BU36" s="253"/>
      <c r="BV36" s="161" t="n">
        <v>1</v>
      </c>
      <c r="BW36" s="247" t="s">
        <v>389</v>
      </c>
      <c r="BX36" s="0"/>
      <c r="BZ36" s="249" t="n">
        <f aca="false">BZ35+CF36</f>
        <v>35</v>
      </c>
      <c r="CA36" s="73" t="s">
        <v>390</v>
      </c>
      <c r="CB36" s="247" t="s">
        <v>199</v>
      </c>
      <c r="CC36" s="161" t="s">
        <v>196</v>
      </c>
      <c r="CD36" s="253" t="s">
        <v>197</v>
      </c>
      <c r="CE36" s="253"/>
      <c r="CF36" s="161" t="n">
        <v>1</v>
      </c>
      <c r="CG36" s="247" t="s">
        <v>391</v>
      </c>
      <c r="CH36" s="0"/>
    </row>
    <row r="37" customFormat="false" ht="12.75" hidden="false" customHeight="false" outlineLevel="0" collapsed="false">
      <c r="A37" s="286"/>
      <c r="B37" s="287" t="e">
        <f aca="false">NextMonth(B36)</f>
        <v>#VALUE!</v>
      </c>
      <c r="C37" s="239" t="n">
        <v>0.0496764390548883</v>
      </c>
      <c r="D37" s="292" t="n">
        <v>1</v>
      </c>
      <c r="E37" s="292" t="n">
        <v>1</v>
      </c>
      <c r="F37" s="292" t="n">
        <v>0.3375</v>
      </c>
      <c r="G37" s="292" t="n">
        <v>0.345</v>
      </c>
      <c r="H37" s="292" t="n">
        <v>0.3525</v>
      </c>
      <c r="I37" s="288" t="n">
        <v>4.985</v>
      </c>
      <c r="J37" s="292" t="n">
        <v>4.99</v>
      </c>
      <c r="K37" s="239" t="n">
        <v>4.995</v>
      </c>
      <c r="L37" s="292" t="n">
        <v>-0.105</v>
      </c>
      <c r="M37" s="239" t="n">
        <v>-0.105</v>
      </c>
      <c r="O37" s="235"/>
      <c r="P37" s="288"/>
      <c r="Q37" s="288"/>
      <c r="R37" s="289" t="e">
        <f aca="false">B37</f>
        <v>#VALUE!</v>
      </c>
      <c r="S37" s="290" t="n">
        <f aca="false">T37-$S$16</f>
        <v>0.93</v>
      </c>
      <c r="T37" s="285" t="n">
        <f aca="false">D37</f>
        <v>1</v>
      </c>
      <c r="U37" s="291" t="n">
        <f aca="false">$U$16+T37</f>
        <v>1.07</v>
      </c>
      <c r="BP37" s="249" t="n">
        <f aca="false">BP36+BV37</f>
        <v>36</v>
      </c>
      <c r="BQ37" s="250" t="s">
        <v>392</v>
      </c>
      <c r="BR37" s="247" t="s">
        <v>195</v>
      </c>
      <c r="BS37" s="161" t="s">
        <v>324</v>
      </c>
      <c r="BT37" s="253" t="s">
        <v>197</v>
      </c>
      <c r="BU37" s="253"/>
      <c r="BV37" s="161" t="n">
        <v>1</v>
      </c>
      <c r="BW37" s="247" t="s">
        <v>393</v>
      </c>
      <c r="BX37" s="0"/>
      <c r="BZ37" s="249" t="n">
        <f aca="false">BZ36+CF37</f>
        <v>36</v>
      </c>
      <c r="CA37" s="73" t="s">
        <v>394</v>
      </c>
      <c r="CB37" s="247" t="s">
        <v>199</v>
      </c>
      <c r="CC37" s="161" t="s">
        <v>196</v>
      </c>
      <c r="CD37" s="253" t="s">
        <v>197</v>
      </c>
      <c r="CE37" s="253"/>
      <c r="CF37" s="161" t="n">
        <v>1</v>
      </c>
      <c r="CG37" s="247" t="s">
        <v>395</v>
      </c>
      <c r="CH37" s="0"/>
    </row>
    <row r="38" customFormat="false" ht="12.75" hidden="false" customHeight="false" outlineLevel="0" collapsed="false">
      <c r="A38" s="286"/>
      <c r="B38" s="287" t="e">
        <f aca="false">NextMonth(B37)</f>
        <v>#VALUE!</v>
      </c>
      <c r="C38" s="239" t="n">
        <v>0.0499943183263252</v>
      </c>
      <c r="D38" s="292" t="n">
        <v>1</v>
      </c>
      <c r="E38" s="292" t="n">
        <v>1</v>
      </c>
      <c r="F38" s="292" t="n">
        <v>0.3325</v>
      </c>
      <c r="G38" s="292" t="n">
        <v>0.34</v>
      </c>
      <c r="H38" s="292" t="n">
        <v>0.3475</v>
      </c>
      <c r="I38" s="288" t="n">
        <v>4.809</v>
      </c>
      <c r="J38" s="292" t="n">
        <v>4.814</v>
      </c>
      <c r="K38" s="239" t="n">
        <v>4.819</v>
      </c>
      <c r="L38" s="292" t="n">
        <v>-0.0975</v>
      </c>
      <c r="M38" s="239" t="n">
        <v>-0.0975</v>
      </c>
      <c r="O38" s="235"/>
      <c r="P38" s="288"/>
      <c r="Q38" s="288"/>
      <c r="R38" s="289" t="e">
        <f aca="false">B38</f>
        <v>#VALUE!</v>
      </c>
      <c r="S38" s="290" t="n">
        <f aca="false">T38-$S$16</f>
        <v>0.93</v>
      </c>
      <c r="T38" s="285" t="n">
        <f aca="false">D38</f>
        <v>1</v>
      </c>
      <c r="U38" s="291" t="n">
        <f aca="false">$U$16+T38</f>
        <v>1.07</v>
      </c>
      <c r="BP38" s="249" t="n">
        <f aca="false">BP37+BV38</f>
        <v>37</v>
      </c>
      <c r="BQ38" s="250" t="s">
        <v>396</v>
      </c>
      <c r="BR38" s="247" t="s">
        <v>195</v>
      </c>
      <c r="BS38" s="161" t="s">
        <v>324</v>
      </c>
      <c r="BT38" s="253" t="s">
        <v>197</v>
      </c>
      <c r="BU38" s="253"/>
      <c r="BV38" s="161" t="n">
        <v>1</v>
      </c>
      <c r="BW38" s="247" t="s">
        <v>397</v>
      </c>
      <c r="BX38" s="0"/>
      <c r="BZ38" s="249" t="n">
        <f aca="false">BZ37+CF38</f>
        <v>37</v>
      </c>
      <c r="CA38" s="73" t="s">
        <v>398</v>
      </c>
      <c r="CB38" s="247" t="s">
        <v>199</v>
      </c>
      <c r="CC38" s="161" t="s">
        <v>196</v>
      </c>
      <c r="CD38" s="253" t="s">
        <v>197</v>
      </c>
      <c r="CE38" s="253"/>
      <c r="CF38" s="161" t="n">
        <v>1</v>
      </c>
      <c r="CG38" s="247" t="s">
        <v>399</v>
      </c>
      <c r="CH38" s="0"/>
    </row>
    <row r="39" customFormat="false" ht="12.75" hidden="false" customHeight="false" outlineLevel="0" collapsed="false">
      <c r="A39" s="286"/>
      <c r="B39" s="287" t="e">
        <f aca="false">NextMonth(B38)</f>
        <v>#VALUE!</v>
      </c>
      <c r="C39" s="239" t="n">
        <v>0.0502814351166219</v>
      </c>
      <c r="D39" s="292" t="n">
        <v>0.75</v>
      </c>
      <c r="E39" s="292" t="n">
        <v>0.75</v>
      </c>
      <c r="F39" s="292" t="n">
        <v>0.3175</v>
      </c>
      <c r="G39" s="292" t="n">
        <v>0.325</v>
      </c>
      <c r="H39" s="292" t="n">
        <v>0.3325</v>
      </c>
      <c r="I39" s="288" t="n">
        <v>4.57</v>
      </c>
      <c r="J39" s="292" t="n">
        <v>4.575</v>
      </c>
      <c r="K39" s="239" t="n">
        <v>4.58</v>
      </c>
      <c r="L39" s="292" t="n">
        <v>-0.095</v>
      </c>
      <c r="M39" s="239" t="n">
        <v>-0.095</v>
      </c>
      <c r="O39" s="235"/>
      <c r="P39" s="288"/>
      <c r="Q39" s="288"/>
      <c r="R39" s="289" t="e">
        <f aca="false">B39</f>
        <v>#VALUE!</v>
      </c>
      <c r="S39" s="290" t="n">
        <f aca="false">T39-$S$16</f>
        <v>0.68</v>
      </c>
      <c r="T39" s="285" t="n">
        <f aca="false">D39</f>
        <v>0.75</v>
      </c>
      <c r="U39" s="291" t="n">
        <f aca="false">$U$16+T39</f>
        <v>0.82</v>
      </c>
      <c r="BP39" s="249" t="n">
        <f aca="false">BP38+BV39</f>
        <v>38</v>
      </c>
      <c r="BQ39" s="250" t="s">
        <v>400</v>
      </c>
      <c r="BR39" s="247" t="s">
        <v>195</v>
      </c>
      <c r="BS39" s="161" t="s">
        <v>324</v>
      </c>
      <c r="BT39" s="253" t="s">
        <v>197</v>
      </c>
      <c r="BU39" s="253"/>
      <c r="BV39" s="161" t="n">
        <v>1</v>
      </c>
      <c r="BW39" s="247" t="s">
        <v>401</v>
      </c>
      <c r="BX39" s="0"/>
      <c r="BZ39" s="249" t="n">
        <f aca="false">BZ38+CF39</f>
        <v>38</v>
      </c>
      <c r="CA39" s="73" t="s">
        <v>402</v>
      </c>
      <c r="CB39" s="247" t="s">
        <v>199</v>
      </c>
      <c r="CC39" s="161" t="s">
        <v>196</v>
      </c>
      <c r="CD39" s="253" t="s">
        <v>197</v>
      </c>
      <c r="CE39" s="253"/>
      <c r="CF39" s="161" t="n">
        <v>1</v>
      </c>
      <c r="CG39" s="247" t="s">
        <v>403</v>
      </c>
      <c r="CH39" s="0"/>
    </row>
    <row r="40" customFormat="false" ht="12.75" hidden="false" customHeight="false" outlineLevel="0" collapsed="false">
      <c r="A40" s="286"/>
      <c r="B40" s="287" t="e">
        <f aca="false">NextMonth(B39)</f>
        <v>#VALUE!</v>
      </c>
      <c r="C40" s="239" t="n">
        <v>0.0505863742397183</v>
      </c>
      <c r="D40" s="292" t="n">
        <v>0.4</v>
      </c>
      <c r="E40" s="292" t="n">
        <v>0.4</v>
      </c>
      <c r="F40" s="292" t="n">
        <v>0.3025</v>
      </c>
      <c r="G40" s="292" t="n">
        <v>0.31</v>
      </c>
      <c r="H40" s="292" t="n">
        <v>0.3175</v>
      </c>
      <c r="I40" s="288" t="n">
        <v>4.26</v>
      </c>
      <c r="J40" s="292" t="n">
        <v>4.265</v>
      </c>
      <c r="K40" s="239" t="n">
        <v>4.27</v>
      </c>
      <c r="L40" s="292" t="n">
        <v>-0.1</v>
      </c>
      <c r="M40" s="239" t="n">
        <v>-0.1</v>
      </c>
      <c r="O40" s="235"/>
      <c r="P40" s="288"/>
      <c r="Q40" s="288"/>
      <c r="R40" s="289" t="e">
        <f aca="false">B40</f>
        <v>#VALUE!</v>
      </c>
      <c r="S40" s="290" t="n">
        <f aca="false">T40-$S$16</f>
        <v>0.33</v>
      </c>
      <c r="T40" s="285" t="n">
        <f aca="false">D40</f>
        <v>0.4</v>
      </c>
      <c r="U40" s="291" t="n">
        <f aca="false">$U$16+T40</f>
        <v>0.47</v>
      </c>
      <c r="BP40" s="249" t="n">
        <f aca="false">BP39+BV40</f>
        <v>39</v>
      </c>
      <c r="BQ40" s="250" t="s">
        <v>404</v>
      </c>
      <c r="BR40" s="247" t="s">
        <v>195</v>
      </c>
      <c r="BS40" s="161" t="s">
        <v>324</v>
      </c>
      <c r="BT40" s="253" t="s">
        <v>197</v>
      </c>
      <c r="BU40" s="253"/>
      <c r="BV40" s="161" t="n">
        <v>1</v>
      </c>
      <c r="BW40" s="247" t="s">
        <v>405</v>
      </c>
      <c r="BX40" s="0"/>
      <c r="BZ40" s="249" t="n">
        <f aca="false">BZ39+CF40</f>
        <v>39</v>
      </c>
      <c r="CA40" s="73" t="s">
        <v>406</v>
      </c>
      <c r="CB40" s="247" t="s">
        <v>199</v>
      </c>
      <c r="CC40" s="161" t="s">
        <v>196</v>
      </c>
      <c r="CD40" s="253" t="s">
        <v>197</v>
      </c>
      <c r="CE40" s="253"/>
      <c r="CF40" s="161" t="n">
        <v>1</v>
      </c>
      <c r="CG40" s="247" t="s">
        <v>407</v>
      </c>
      <c r="CH40" s="0"/>
    </row>
    <row r="41" customFormat="false" ht="12.75" hidden="false" customHeight="false" outlineLevel="0" collapsed="false">
      <c r="A41" s="286"/>
      <c r="B41" s="287" t="e">
        <f aca="false">NextMonth(B40)</f>
        <v>#VALUE!</v>
      </c>
      <c r="C41" s="239" t="n">
        <v>0.0508624287824251</v>
      </c>
      <c r="D41" s="292" t="n">
        <v>0.4</v>
      </c>
      <c r="E41" s="292" t="n">
        <v>0.4</v>
      </c>
      <c r="F41" s="292" t="n">
        <v>0.3</v>
      </c>
      <c r="G41" s="292" t="n">
        <v>0.3075</v>
      </c>
      <c r="H41" s="292" t="n">
        <v>0.315</v>
      </c>
      <c r="I41" s="288" t="n">
        <v>4.194</v>
      </c>
      <c r="J41" s="292" t="n">
        <v>4.199</v>
      </c>
      <c r="K41" s="239" t="n">
        <v>4.204</v>
      </c>
      <c r="L41" s="292" t="n">
        <v>-0.1</v>
      </c>
      <c r="M41" s="239" t="n">
        <v>-0.1</v>
      </c>
      <c r="O41" s="235"/>
      <c r="P41" s="288"/>
      <c r="Q41" s="288"/>
      <c r="R41" s="289" t="e">
        <f aca="false">B41</f>
        <v>#VALUE!</v>
      </c>
      <c r="S41" s="290" t="n">
        <f aca="false">T41-$S$16</f>
        <v>0.33</v>
      </c>
      <c r="T41" s="285" t="n">
        <f aca="false">D41</f>
        <v>0.4</v>
      </c>
      <c r="U41" s="291" t="n">
        <f aca="false">$U$16+T41</f>
        <v>0.47</v>
      </c>
      <c r="BP41" s="249" t="n">
        <f aca="false">BP40+BV41</f>
        <v>40</v>
      </c>
      <c r="BQ41" s="250" t="s">
        <v>408</v>
      </c>
      <c r="BR41" s="247" t="s">
        <v>195</v>
      </c>
      <c r="BS41" s="161" t="s">
        <v>324</v>
      </c>
      <c r="BT41" s="253" t="s">
        <v>197</v>
      </c>
      <c r="BU41" s="253"/>
      <c r="BV41" s="161" t="n">
        <v>1</v>
      </c>
      <c r="BW41" s="247" t="s">
        <v>409</v>
      </c>
      <c r="BX41" s="0"/>
      <c r="BZ41" s="249" t="n">
        <f aca="false">BZ40+CF41</f>
        <v>40</v>
      </c>
      <c r="CA41" s="73" t="s">
        <v>410</v>
      </c>
      <c r="CB41" s="247" t="s">
        <v>199</v>
      </c>
      <c r="CC41" s="161" t="s">
        <v>196</v>
      </c>
      <c r="CD41" s="253" t="s">
        <v>197</v>
      </c>
      <c r="CE41" s="253"/>
      <c r="CF41" s="161" t="n">
        <v>1</v>
      </c>
      <c r="CG41" s="247" t="s">
        <v>411</v>
      </c>
      <c r="CH41" s="0"/>
    </row>
    <row r="42" customFormat="false" ht="12.75" hidden="false" customHeight="false" outlineLevel="0" collapsed="false">
      <c r="A42" s="286"/>
      <c r="B42" s="287" t="e">
        <f aca="false">NextMonth(B41)</f>
        <v>#VALUE!</v>
      </c>
      <c r="C42" s="239" t="n">
        <v>0.0511476851699415</v>
      </c>
      <c r="D42" s="292" t="n">
        <v>0.4</v>
      </c>
      <c r="E42" s="292" t="n">
        <v>0.4</v>
      </c>
      <c r="F42" s="292" t="n">
        <v>0.3</v>
      </c>
      <c r="G42" s="292" t="n">
        <v>0.3075</v>
      </c>
      <c r="H42" s="292" t="n">
        <v>0.315</v>
      </c>
      <c r="I42" s="288" t="n">
        <v>4.207</v>
      </c>
      <c r="J42" s="292" t="n">
        <v>4.212</v>
      </c>
      <c r="K42" s="239" t="n">
        <v>4.217</v>
      </c>
      <c r="L42" s="292" t="n">
        <v>-0.1</v>
      </c>
      <c r="M42" s="239" t="n">
        <v>-0.1</v>
      </c>
      <c r="O42" s="235"/>
      <c r="P42" s="288"/>
      <c r="Q42" s="288"/>
      <c r="R42" s="289" t="e">
        <f aca="false">B42</f>
        <v>#VALUE!</v>
      </c>
      <c r="S42" s="290" t="n">
        <f aca="false">T42-$S$16</f>
        <v>0.33</v>
      </c>
      <c r="T42" s="285" t="n">
        <f aca="false">D42</f>
        <v>0.4</v>
      </c>
      <c r="U42" s="291" t="n">
        <f aca="false">$U$16+T42</f>
        <v>0.47</v>
      </c>
      <c r="BP42" s="249" t="n">
        <f aca="false">BP41+BV42</f>
        <v>41</v>
      </c>
      <c r="BQ42" s="250" t="s">
        <v>412</v>
      </c>
      <c r="BR42" s="247" t="s">
        <v>195</v>
      </c>
      <c r="BS42" s="161" t="s">
        <v>324</v>
      </c>
      <c r="BT42" s="253" t="s">
        <v>197</v>
      </c>
      <c r="BU42" s="253"/>
      <c r="BV42" s="161" t="n">
        <v>1</v>
      </c>
      <c r="BW42" s="247" t="s">
        <v>413</v>
      </c>
      <c r="BX42" s="0"/>
      <c r="BZ42" s="249" t="n">
        <f aca="false">BZ41+CF42</f>
        <v>41</v>
      </c>
      <c r="CA42" s="73" t="s">
        <v>414</v>
      </c>
      <c r="CB42" s="247" t="s">
        <v>199</v>
      </c>
      <c r="CC42" s="161" t="s">
        <v>196</v>
      </c>
      <c r="CD42" s="253" t="s">
        <v>197</v>
      </c>
      <c r="CE42" s="253"/>
      <c r="CF42" s="161" t="n">
        <v>1</v>
      </c>
      <c r="CG42" s="247" t="s">
        <v>415</v>
      </c>
      <c r="CH42" s="0"/>
    </row>
    <row r="43" customFormat="false" ht="12.75" hidden="false" customHeight="false" outlineLevel="0" collapsed="false">
      <c r="A43" s="286"/>
      <c r="B43" s="287" t="e">
        <f aca="false">NextMonth(B42)</f>
        <v>#VALUE!</v>
      </c>
      <c r="C43" s="239" t="n">
        <v>0.0514199693047868</v>
      </c>
      <c r="D43" s="292" t="n">
        <v>0.4</v>
      </c>
      <c r="E43" s="292" t="n">
        <v>0.4</v>
      </c>
      <c r="F43" s="292" t="n">
        <v>0.3</v>
      </c>
      <c r="G43" s="292" t="n">
        <v>0.3075</v>
      </c>
      <c r="H43" s="292" t="n">
        <v>0.315</v>
      </c>
      <c r="I43" s="288" t="n">
        <v>4.232</v>
      </c>
      <c r="J43" s="292" t="n">
        <v>4.237</v>
      </c>
      <c r="K43" s="239" t="n">
        <v>4.242</v>
      </c>
      <c r="L43" s="292" t="n">
        <v>-0.1</v>
      </c>
      <c r="M43" s="239" t="n">
        <v>-0.1</v>
      </c>
      <c r="O43" s="235"/>
      <c r="P43" s="288"/>
      <c r="Q43" s="288"/>
      <c r="R43" s="289" t="e">
        <f aca="false">B43</f>
        <v>#VALUE!</v>
      </c>
      <c r="S43" s="290" t="n">
        <f aca="false">T43-$S$16</f>
        <v>0.33</v>
      </c>
      <c r="T43" s="285" t="n">
        <f aca="false">D43</f>
        <v>0.4</v>
      </c>
      <c r="U43" s="291" t="n">
        <f aca="false">$U$16+T43</f>
        <v>0.47</v>
      </c>
      <c r="BP43" s="249" t="n">
        <f aca="false">BP42+BV43</f>
        <v>42</v>
      </c>
      <c r="BQ43" s="250" t="s">
        <v>416</v>
      </c>
      <c r="BR43" s="247" t="s">
        <v>195</v>
      </c>
      <c r="BS43" s="161" t="s">
        <v>324</v>
      </c>
      <c r="BT43" s="253" t="s">
        <v>197</v>
      </c>
      <c r="BU43" s="253"/>
      <c r="BV43" s="161" t="n">
        <v>1</v>
      </c>
      <c r="BW43" s="247" t="s">
        <v>417</v>
      </c>
      <c r="BX43" s="0"/>
      <c r="BZ43" s="249" t="n">
        <f aca="false">BZ42+CF43</f>
        <v>42</v>
      </c>
      <c r="CA43" s="73" t="s">
        <v>418</v>
      </c>
      <c r="CB43" s="247" t="s">
        <v>199</v>
      </c>
      <c r="CC43" s="161" t="s">
        <v>196</v>
      </c>
      <c r="CD43" s="253" t="s">
        <v>197</v>
      </c>
      <c r="CE43" s="253"/>
      <c r="CF43" s="161" t="n">
        <v>1</v>
      </c>
      <c r="CG43" s="247" t="s">
        <v>419</v>
      </c>
      <c r="CH43" s="0"/>
    </row>
    <row r="44" customFormat="false" ht="12.75" hidden="false" customHeight="false" outlineLevel="0" collapsed="false">
      <c r="A44" s="286"/>
      <c r="B44" s="287" t="e">
        <f aca="false">NextMonth(B43)</f>
        <v>#VALUE!</v>
      </c>
      <c r="C44" s="239" t="n">
        <v>0.0516959245308728</v>
      </c>
      <c r="D44" s="292" t="n">
        <v>0.5</v>
      </c>
      <c r="E44" s="292" t="n">
        <v>0.5</v>
      </c>
      <c r="F44" s="292" t="n">
        <v>0.3</v>
      </c>
      <c r="G44" s="292" t="n">
        <v>0.3075</v>
      </c>
      <c r="H44" s="292" t="n">
        <v>0.315</v>
      </c>
      <c r="I44" s="288" t="n">
        <v>4.257</v>
      </c>
      <c r="J44" s="292" t="n">
        <v>4.262</v>
      </c>
      <c r="K44" s="239" t="n">
        <v>4.267</v>
      </c>
      <c r="L44" s="292" t="n">
        <v>-0.1</v>
      </c>
      <c r="M44" s="239" t="n">
        <v>-0.1</v>
      </c>
      <c r="O44" s="235"/>
      <c r="P44" s="288"/>
      <c r="Q44" s="288"/>
      <c r="R44" s="289" t="e">
        <f aca="false">B44</f>
        <v>#VALUE!</v>
      </c>
      <c r="S44" s="290" t="n">
        <f aca="false">T44-$S$16</f>
        <v>0.43</v>
      </c>
      <c r="T44" s="285" t="n">
        <f aca="false">D44</f>
        <v>0.5</v>
      </c>
      <c r="U44" s="291" t="n">
        <f aca="false">$U$16+T44</f>
        <v>0.57</v>
      </c>
      <c r="BP44" s="249" t="n">
        <f aca="false">BP43+BV44</f>
        <v>43</v>
      </c>
      <c r="BQ44" s="250" t="s">
        <v>420</v>
      </c>
      <c r="BR44" s="247" t="s">
        <v>195</v>
      </c>
      <c r="BS44" s="161" t="s">
        <v>324</v>
      </c>
      <c r="BT44" s="253" t="s">
        <v>197</v>
      </c>
      <c r="BU44" s="253"/>
      <c r="BV44" s="161" t="n">
        <v>1</v>
      </c>
      <c r="BW44" s="247" t="s">
        <v>421</v>
      </c>
      <c r="BX44" s="0"/>
      <c r="BZ44" s="249" t="n">
        <f aca="false">BZ43+CF44</f>
        <v>43</v>
      </c>
      <c r="CA44" s="73" t="s">
        <v>422</v>
      </c>
      <c r="CB44" s="247" t="s">
        <v>199</v>
      </c>
      <c r="CC44" s="161" t="s">
        <v>196</v>
      </c>
      <c r="CD44" s="253" t="s">
        <v>197</v>
      </c>
      <c r="CE44" s="253"/>
      <c r="CF44" s="161" t="n">
        <v>1</v>
      </c>
      <c r="CG44" s="247" t="s">
        <v>423</v>
      </c>
      <c r="CH44" s="0"/>
    </row>
    <row r="45" customFormat="false" ht="12.75" hidden="false" customHeight="false" outlineLevel="0" collapsed="false">
      <c r="A45" s="286"/>
      <c r="B45" s="287" t="e">
        <f aca="false">NextMonth(B44)</f>
        <v>#VALUE!</v>
      </c>
      <c r="C45" s="239" t="n">
        <v>0.0519718797823638</v>
      </c>
      <c r="D45" s="292" t="n">
        <v>0.55</v>
      </c>
      <c r="E45" s="292" t="n">
        <v>0.55</v>
      </c>
      <c r="F45" s="292" t="n">
        <v>0.3</v>
      </c>
      <c r="G45" s="292" t="n">
        <v>0.3075</v>
      </c>
      <c r="H45" s="292" t="n">
        <v>0.315</v>
      </c>
      <c r="I45" s="288" t="n">
        <v>4.247</v>
      </c>
      <c r="J45" s="292" t="n">
        <v>4.252</v>
      </c>
      <c r="K45" s="239" t="n">
        <v>4.257</v>
      </c>
      <c r="L45" s="292" t="n">
        <v>-0.1</v>
      </c>
      <c r="M45" s="239" t="n">
        <v>-0.1</v>
      </c>
      <c r="O45" s="235"/>
      <c r="P45" s="288"/>
      <c r="Q45" s="288"/>
      <c r="R45" s="289" t="e">
        <f aca="false">B45</f>
        <v>#VALUE!</v>
      </c>
      <c r="S45" s="290" t="n">
        <f aca="false">T45-$S$16</f>
        <v>0.48</v>
      </c>
      <c r="T45" s="285" t="n">
        <f aca="false">D45</f>
        <v>0.55</v>
      </c>
      <c r="U45" s="291" t="n">
        <f aca="false">$U$16+T45</f>
        <v>0.62</v>
      </c>
      <c r="BP45" s="249" t="n">
        <f aca="false">BP44+BV45</f>
        <v>44</v>
      </c>
      <c r="BQ45" s="250" t="s">
        <v>321</v>
      </c>
      <c r="BR45" s="247" t="s">
        <v>195</v>
      </c>
      <c r="BS45" s="161" t="s">
        <v>196</v>
      </c>
      <c r="BT45" s="253" t="s">
        <v>197</v>
      </c>
      <c r="BU45" s="253"/>
      <c r="BV45" s="161" t="n">
        <v>1</v>
      </c>
      <c r="BW45" s="247" t="s">
        <v>424</v>
      </c>
      <c r="BX45" s="0"/>
      <c r="BZ45" s="249" t="n">
        <f aca="false">BZ44+CF45</f>
        <v>44</v>
      </c>
      <c r="CA45" s="73" t="s">
        <v>425</v>
      </c>
      <c r="CB45" s="247" t="s">
        <v>199</v>
      </c>
      <c r="CC45" s="161" t="s">
        <v>196</v>
      </c>
      <c r="CD45" s="253" t="s">
        <v>197</v>
      </c>
      <c r="CE45" s="253"/>
      <c r="CF45" s="161" t="n">
        <v>1</v>
      </c>
      <c r="CG45" s="247" t="s">
        <v>426</v>
      </c>
      <c r="CH45" s="0"/>
    </row>
    <row r="46" customFormat="false" ht="12.75" hidden="false" customHeight="false" outlineLevel="0" collapsed="false">
      <c r="A46" s="286"/>
      <c r="B46" s="287" t="e">
        <f aca="false">NextMonth(B45)</f>
        <v>#VALUE!</v>
      </c>
      <c r="C46" s="239" t="n">
        <v>0.0522288176608496</v>
      </c>
      <c r="D46" s="292" t="n">
        <v>0.55</v>
      </c>
      <c r="E46" s="292" t="n">
        <v>0.55</v>
      </c>
      <c r="F46" s="292" t="n">
        <v>0.3025</v>
      </c>
      <c r="G46" s="292" t="n">
        <v>0.31</v>
      </c>
      <c r="H46" s="292" t="n">
        <v>0.3175</v>
      </c>
      <c r="I46" s="288" t="n">
        <v>4.247</v>
      </c>
      <c r="J46" s="292" t="n">
        <v>4.252</v>
      </c>
      <c r="K46" s="239" t="n">
        <v>4.257</v>
      </c>
      <c r="L46" s="292" t="n">
        <v>-0.1</v>
      </c>
      <c r="M46" s="239" t="n">
        <v>-0.1</v>
      </c>
      <c r="O46" s="235"/>
      <c r="P46" s="288"/>
      <c r="Q46" s="288"/>
      <c r="R46" s="289" t="e">
        <f aca="false">B46</f>
        <v>#VALUE!</v>
      </c>
      <c r="S46" s="290" t="n">
        <f aca="false">T46-$S$16</f>
        <v>0.48</v>
      </c>
      <c r="T46" s="285" t="n">
        <f aca="false">D46</f>
        <v>0.55</v>
      </c>
      <c r="U46" s="291" t="n">
        <f aca="false">$U$16+T46</f>
        <v>0.62</v>
      </c>
      <c r="BP46" s="249" t="n">
        <f aca="false">BP45+BV46</f>
        <v>45</v>
      </c>
      <c r="BQ46" s="250" t="s">
        <v>321</v>
      </c>
      <c r="BR46" s="247" t="s">
        <v>195</v>
      </c>
      <c r="BS46" s="161" t="s">
        <v>324</v>
      </c>
      <c r="BT46" s="253" t="s">
        <v>197</v>
      </c>
      <c r="BU46" s="253"/>
      <c r="BV46" s="161" t="n">
        <v>1</v>
      </c>
      <c r="BW46" s="247" t="s">
        <v>427</v>
      </c>
      <c r="BX46" s="0"/>
      <c r="BZ46" s="249" t="n">
        <f aca="false">BZ45+CF46</f>
        <v>45</v>
      </c>
      <c r="CA46" s="73" t="s">
        <v>428</v>
      </c>
      <c r="CB46" s="247" t="s">
        <v>199</v>
      </c>
      <c r="CC46" s="161" t="s">
        <v>196</v>
      </c>
      <c r="CD46" s="253" t="s">
        <v>197</v>
      </c>
      <c r="CE46" s="253"/>
      <c r="CF46" s="161" t="n">
        <v>1</v>
      </c>
      <c r="CG46" s="247" t="s">
        <v>429</v>
      </c>
      <c r="CH46" s="0"/>
    </row>
    <row r="47" customFormat="false" ht="12.75" hidden="false" customHeight="false" outlineLevel="0" collapsed="false">
      <c r="A47" s="286"/>
      <c r="B47" s="287" t="e">
        <f aca="false">NextMonth(B46)</f>
        <v>#VALUE!</v>
      </c>
      <c r="C47" s="239" t="n">
        <v>0.0524816322594042</v>
      </c>
      <c r="D47" s="292" t="n">
        <v>0.8</v>
      </c>
      <c r="E47" s="292" t="n">
        <v>0.8</v>
      </c>
      <c r="F47" s="292" t="n">
        <v>0.3025</v>
      </c>
      <c r="G47" s="292" t="n">
        <v>0.31</v>
      </c>
      <c r="H47" s="292" t="n">
        <v>0.3175</v>
      </c>
      <c r="I47" s="288" t="n">
        <v>4.357</v>
      </c>
      <c r="J47" s="292" t="n">
        <v>4.362</v>
      </c>
      <c r="K47" s="239" t="n">
        <v>4.367</v>
      </c>
      <c r="L47" s="292" t="n">
        <v>-0.1</v>
      </c>
      <c r="M47" s="239" t="n">
        <v>-0.1</v>
      </c>
      <c r="O47" s="235"/>
      <c r="P47" s="288"/>
      <c r="Q47" s="288"/>
      <c r="R47" s="289" t="e">
        <f aca="false">B47</f>
        <v>#VALUE!</v>
      </c>
      <c r="S47" s="290" t="n">
        <f aca="false">T47-$S$16</f>
        <v>0.73</v>
      </c>
      <c r="T47" s="285" t="n">
        <f aca="false">D47</f>
        <v>0.8</v>
      </c>
      <c r="U47" s="291" t="n">
        <f aca="false">$U$16+T47</f>
        <v>0.87</v>
      </c>
      <c r="BP47" s="249" t="n">
        <f aca="false">BP46+BV47</f>
        <v>46</v>
      </c>
      <c r="BQ47" s="250" t="s">
        <v>430</v>
      </c>
      <c r="BR47" s="247" t="s">
        <v>195</v>
      </c>
      <c r="BS47" s="161" t="s">
        <v>324</v>
      </c>
      <c r="BT47" s="253" t="s">
        <v>197</v>
      </c>
      <c r="BU47" s="253"/>
      <c r="BV47" s="161" t="n">
        <v>1</v>
      </c>
      <c r="BW47" s="247" t="s">
        <v>431</v>
      </c>
      <c r="BX47" s="0"/>
      <c r="BZ47" s="249" t="n">
        <f aca="false">BZ46+CF47</f>
        <v>46</v>
      </c>
      <c r="CA47" s="73" t="s">
        <v>432</v>
      </c>
      <c r="CB47" s="247" t="s">
        <v>199</v>
      </c>
      <c r="CC47" s="161" t="s">
        <v>196</v>
      </c>
      <c r="CD47" s="253" t="s">
        <v>197</v>
      </c>
      <c r="CE47" s="253"/>
      <c r="CF47" s="161" t="n">
        <v>1</v>
      </c>
      <c r="CG47" s="247" t="s">
        <v>433</v>
      </c>
      <c r="CH47" s="0"/>
    </row>
    <row r="48" customFormat="false" ht="12.75" hidden="false" customHeight="false" outlineLevel="0" collapsed="false">
      <c r="A48" s="286"/>
      <c r="B48" s="287" t="e">
        <f aca="false">NextMonth(B47)</f>
        <v>#VALUE!</v>
      </c>
      <c r="C48" s="239" t="n">
        <v>0.0527262915686228</v>
      </c>
      <c r="D48" s="292" t="n">
        <v>1</v>
      </c>
      <c r="E48" s="292" t="n">
        <v>1</v>
      </c>
      <c r="F48" s="292" t="n">
        <v>0.3025</v>
      </c>
      <c r="G48" s="292" t="n">
        <v>0.31</v>
      </c>
      <c r="H48" s="292" t="n">
        <v>0.3175</v>
      </c>
      <c r="I48" s="288" t="n">
        <v>4.477</v>
      </c>
      <c r="J48" s="292" t="n">
        <v>4.482</v>
      </c>
      <c r="K48" s="239" t="n">
        <v>4.487</v>
      </c>
      <c r="L48" s="292" t="n">
        <v>-0.1025</v>
      </c>
      <c r="M48" s="239" t="n">
        <v>-0.1025</v>
      </c>
      <c r="O48" s="235"/>
      <c r="P48" s="288"/>
      <c r="Q48" s="288"/>
      <c r="R48" s="289" t="e">
        <f aca="false">B48</f>
        <v>#VALUE!</v>
      </c>
      <c r="S48" s="290" t="n">
        <f aca="false">T48-$S$16</f>
        <v>0.93</v>
      </c>
      <c r="T48" s="285" t="n">
        <f aca="false">D48</f>
        <v>1</v>
      </c>
      <c r="U48" s="291" t="n">
        <f aca="false">$U$16+T48</f>
        <v>1.07</v>
      </c>
      <c r="BP48" s="249" t="n">
        <f aca="false">BP47+BV48</f>
        <v>47</v>
      </c>
      <c r="BQ48" s="250" t="s">
        <v>434</v>
      </c>
      <c r="BR48" s="247" t="s">
        <v>195</v>
      </c>
      <c r="BS48" s="161" t="s">
        <v>324</v>
      </c>
      <c r="BT48" s="253" t="s">
        <v>197</v>
      </c>
      <c r="BU48" s="253"/>
      <c r="BV48" s="161" t="n">
        <v>1</v>
      </c>
      <c r="BW48" s="247" t="s">
        <v>435</v>
      </c>
      <c r="BX48" s="0"/>
      <c r="BZ48" s="249" t="n">
        <f aca="false">BZ47+CF48</f>
        <v>47</v>
      </c>
      <c r="CA48" s="73" t="s">
        <v>436</v>
      </c>
      <c r="CB48" s="247" t="s">
        <v>199</v>
      </c>
      <c r="CC48" s="161" t="s">
        <v>196</v>
      </c>
      <c r="CD48" s="253" t="s">
        <v>197</v>
      </c>
      <c r="CE48" s="253"/>
      <c r="CF48" s="161" t="n">
        <v>1</v>
      </c>
      <c r="CG48" s="247" t="s">
        <v>437</v>
      </c>
      <c r="CH48" s="0"/>
    </row>
    <row r="49" customFormat="false" ht="12.75" hidden="false" customHeight="false" outlineLevel="0" collapsed="false">
      <c r="A49" s="286"/>
      <c r="B49" s="287" t="e">
        <f aca="false">NextMonth(B48)</f>
        <v>#VALUE!</v>
      </c>
      <c r="C49" s="239" t="n">
        <v>0.0529779405420663</v>
      </c>
      <c r="D49" s="292" t="n">
        <v>1</v>
      </c>
      <c r="E49" s="292" t="n">
        <v>1</v>
      </c>
      <c r="F49" s="292" t="n">
        <v>0.3075</v>
      </c>
      <c r="G49" s="292" t="n">
        <v>0.315</v>
      </c>
      <c r="H49" s="292" t="n">
        <v>0.3225</v>
      </c>
      <c r="I49" s="288" t="n">
        <v>4.517</v>
      </c>
      <c r="J49" s="292" t="n">
        <v>4.522</v>
      </c>
      <c r="K49" s="239" t="n">
        <v>4.527</v>
      </c>
      <c r="L49" s="292" t="n">
        <v>-0.105</v>
      </c>
      <c r="M49" s="239" t="n">
        <v>-0.105</v>
      </c>
      <c r="O49" s="235"/>
      <c r="P49" s="288"/>
      <c r="Q49" s="288"/>
      <c r="R49" s="289" t="e">
        <f aca="false">B49</f>
        <v>#VALUE!</v>
      </c>
      <c r="S49" s="290" t="n">
        <f aca="false">T49-$S$16</f>
        <v>0.93</v>
      </c>
      <c r="T49" s="285" t="n">
        <f aca="false">D49</f>
        <v>1</v>
      </c>
      <c r="U49" s="291" t="n">
        <f aca="false">$U$16+T49</f>
        <v>1.07</v>
      </c>
      <c r="BP49" s="249" t="n">
        <f aca="false">BP48+BV49</f>
        <v>48</v>
      </c>
      <c r="BQ49" s="250" t="s">
        <v>438</v>
      </c>
      <c r="BR49" s="247" t="s">
        <v>195</v>
      </c>
      <c r="BS49" s="161" t="s">
        <v>324</v>
      </c>
      <c r="BT49" s="253" t="s">
        <v>197</v>
      </c>
      <c r="BU49" s="253"/>
      <c r="BV49" s="161" t="n">
        <v>1</v>
      </c>
      <c r="BW49" s="247" t="s">
        <v>439</v>
      </c>
      <c r="BX49" s="0"/>
      <c r="BZ49" s="249" t="n">
        <f aca="false">BZ48+CF49</f>
        <v>48</v>
      </c>
      <c r="CA49" s="73" t="s">
        <v>440</v>
      </c>
      <c r="CB49" s="247" t="s">
        <v>199</v>
      </c>
      <c r="CC49" s="161" t="s">
        <v>196</v>
      </c>
      <c r="CD49" s="253" t="s">
        <v>197</v>
      </c>
      <c r="CE49" s="253"/>
      <c r="CF49" s="161" t="n">
        <v>1</v>
      </c>
      <c r="CG49" s="247" t="s">
        <v>441</v>
      </c>
      <c r="CH49" s="0"/>
    </row>
    <row r="50" customFormat="false" ht="12.75" hidden="false" customHeight="false" outlineLevel="0" collapsed="false">
      <c r="A50" s="286"/>
      <c r="B50" s="287" t="e">
        <f aca="false">NextMonth(B49)</f>
        <v>#VALUE!</v>
      </c>
      <c r="C50" s="239" t="n">
        <v>0.0532283461583338</v>
      </c>
      <c r="D50" s="292" t="n">
        <v>1</v>
      </c>
      <c r="E50" s="292" t="n">
        <v>1</v>
      </c>
      <c r="F50" s="292" t="n">
        <v>0.3</v>
      </c>
      <c r="G50" s="292" t="n">
        <v>0.3075</v>
      </c>
      <c r="H50" s="292" t="n">
        <v>0.315</v>
      </c>
      <c r="I50" s="288" t="n">
        <v>4.397</v>
      </c>
      <c r="J50" s="292" t="n">
        <v>4.402</v>
      </c>
      <c r="K50" s="239" t="n">
        <v>4.407</v>
      </c>
      <c r="L50" s="292" t="n">
        <v>-0.0975</v>
      </c>
      <c r="M50" s="239" t="n">
        <v>-0.0975</v>
      </c>
      <c r="O50" s="235"/>
      <c r="P50" s="288"/>
      <c r="Q50" s="288"/>
      <c r="R50" s="289" t="e">
        <f aca="false">B50</f>
        <v>#VALUE!</v>
      </c>
      <c r="S50" s="290" t="n">
        <f aca="false">T50-$S$16</f>
        <v>0.93</v>
      </c>
      <c r="T50" s="285" t="n">
        <f aca="false">D50</f>
        <v>1</v>
      </c>
      <c r="U50" s="291" t="n">
        <f aca="false">$U$16+T50</f>
        <v>1.07</v>
      </c>
      <c r="BP50" s="249" t="n">
        <f aca="false">BP49+BV50</f>
        <v>49</v>
      </c>
      <c r="BQ50" s="250" t="s">
        <v>326</v>
      </c>
      <c r="BR50" s="247" t="s">
        <v>195</v>
      </c>
      <c r="BS50" s="161" t="s">
        <v>196</v>
      </c>
      <c r="BT50" s="253" t="s">
        <v>197</v>
      </c>
      <c r="BU50" s="253"/>
      <c r="BV50" s="161" t="n">
        <v>1</v>
      </c>
      <c r="BW50" s="247" t="s">
        <v>442</v>
      </c>
      <c r="BX50" s="0"/>
      <c r="BZ50" s="249" t="n">
        <f aca="false">BZ49+CF50</f>
        <v>49</v>
      </c>
      <c r="CA50" s="73" t="s">
        <v>443</v>
      </c>
      <c r="CB50" s="247" t="s">
        <v>199</v>
      </c>
      <c r="CC50" s="161" t="s">
        <v>196</v>
      </c>
      <c r="CD50" s="253" t="s">
        <v>197</v>
      </c>
      <c r="CE50" s="253"/>
      <c r="CF50" s="161" t="n">
        <v>1</v>
      </c>
      <c r="CG50" s="247" t="s">
        <v>444</v>
      </c>
      <c r="CH50" s="0"/>
    </row>
    <row r="51" customFormat="false" ht="12.75" hidden="false" customHeight="false" outlineLevel="0" collapsed="false">
      <c r="A51" s="286"/>
      <c r="B51" s="287" t="e">
        <f aca="false">NextMonth(B50)</f>
        <v>#VALUE!</v>
      </c>
      <c r="C51" s="239" t="n">
        <v>0.0534625965924742</v>
      </c>
      <c r="D51" s="292" t="n">
        <v>0.75</v>
      </c>
      <c r="E51" s="292" t="n">
        <v>0.75</v>
      </c>
      <c r="F51" s="292" t="n">
        <v>0.2925</v>
      </c>
      <c r="G51" s="292" t="n">
        <v>0.3</v>
      </c>
      <c r="H51" s="292" t="n">
        <v>0.3075</v>
      </c>
      <c r="I51" s="288" t="n">
        <v>4.257</v>
      </c>
      <c r="J51" s="292" t="n">
        <v>4.262</v>
      </c>
      <c r="K51" s="239" t="n">
        <v>4.267</v>
      </c>
      <c r="L51" s="292" t="n">
        <v>-0.095</v>
      </c>
      <c r="M51" s="239" t="n">
        <v>-0.095</v>
      </c>
      <c r="O51" s="235"/>
      <c r="P51" s="288"/>
      <c r="Q51" s="288"/>
      <c r="R51" s="289" t="e">
        <f aca="false">B51</f>
        <v>#VALUE!</v>
      </c>
      <c r="S51" s="290" t="n">
        <f aca="false">T51-$S$16</f>
        <v>0.68</v>
      </c>
      <c r="T51" s="285" t="n">
        <f aca="false">D51</f>
        <v>0.75</v>
      </c>
      <c r="U51" s="291" t="n">
        <f aca="false">$U$16+T51</f>
        <v>0.82</v>
      </c>
      <c r="BP51" s="249" t="n">
        <f aca="false">BP50+BV51</f>
        <v>50</v>
      </c>
      <c r="BQ51" s="250" t="s">
        <v>445</v>
      </c>
      <c r="BR51" s="247" t="s">
        <v>195</v>
      </c>
      <c r="BS51" s="161" t="s">
        <v>324</v>
      </c>
      <c r="BT51" s="253" t="s">
        <v>197</v>
      </c>
      <c r="BU51" s="253"/>
      <c r="BV51" s="161" t="n">
        <v>1</v>
      </c>
      <c r="BW51" s="247" t="s">
        <v>446</v>
      </c>
      <c r="BX51" s="0"/>
      <c r="BZ51" s="249" t="n">
        <f aca="false">BZ50+CF51</f>
        <v>50</v>
      </c>
      <c r="CA51" s="73" t="s">
        <v>447</v>
      </c>
      <c r="CB51" s="247" t="s">
        <v>199</v>
      </c>
      <c r="CC51" s="161" t="s">
        <v>196</v>
      </c>
      <c r="CD51" s="253" t="s">
        <v>197</v>
      </c>
      <c r="CE51" s="253"/>
      <c r="CF51" s="161" t="n">
        <v>1</v>
      </c>
      <c r="CG51" s="247" t="s">
        <v>448</v>
      </c>
      <c r="CH51" s="0"/>
    </row>
    <row r="52" customFormat="false" ht="12.75" hidden="false" customHeight="false" outlineLevel="0" collapsed="false">
      <c r="A52" s="286"/>
      <c r="B52" s="287" t="e">
        <f aca="false">NextMonth(B51)</f>
        <v>#VALUE!</v>
      </c>
      <c r="C52" s="239" t="n">
        <v>0.0536931978201642</v>
      </c>
      <c r="D52" s="292" t="n">
        <v>0.4</v>
      </c>
      <c r="E52" s="292" t="n">
        <v>0.4</v>
      </c>
      <c r="F52" s="292" t="n">
        <v>0.28</v>
      </c>
      <c r="G52" s="292" t="n">
        <v>0.2875</v>
      </c>
      <c r="H52" s="292" t="n">
        <v>0.295</v>
      </c>
      <c r="I52" s="288" t="n">
        <v>4.115</v>
      </c>
      <c r="J52" s="292" t="n">
        <v>4.12</v>
      </c>
      <c r="K52" s="239" t="n">
        <v>4.125</v>
      </c>
      <c r="L52" s="292" t="n">
        <v>-0.1</v>
      </c>
      <c r="M52" s="239" t="n">
        <v>-0.1</v>
      </c>
      <c r="O52" s="235"/>
      <c r="P52" s="288"/>
      <c r="Q52" s="288"/>
      <c r="R52" s="289" t="e">
        <f aca="false">B52</f>
        <v>#VALUE!</v>
      </c>
      <c r="S52" s="290" t="n">
        <f aca="false">T52-$S$16</f>
        <v>0.33</v>
      </c>
      <c r="T52" s="285" t="n">
        <f aca="false">D52</f>
        <v>0.4</v>
      </c>
      <c r="U52" s="291" t="n">
        <f aca="false">$U$16+T52</f>
        <v>0.47</v>
      </c>
      <c r="BP52" s="249" t="n">
        <f aca="false">BP51+BV52</f>
        <v>51</v>
      </c>
      <c r="BQ52" s="250" t="s">
        <v>449</v>
      </c>
      <c r="BR52" s="247" t="s">
        <v>195</v>
      </c>
      <c r="BS52" s="161" t="s">
        <v>324</v>
      </c>
      <c r="BT52" s="253" t="s">
        <v>197</v>
      </c>
      <c r="BU52" s="253"/>
      <c r="BV52" s="161" t="n">
        <v>1</v>
      </c>
      <c r="BW52" s="247" t="s">
        <v>450</v>
      </c>
      <c r="BX52" s="0"/>
      <c r="BZ52" s="249" t="n">
        <f aca="false">BZ51+CF52</f>
        <v>51</v>
      </c>
      <c r="CA52" s="73" t="s">
        <v>451</v>
      </c>
      <c r="CB52" s="247" t="s">
        <v>199</v>
      </c>
      <c r="CC52" s="161" t="s">
        <v>196</v>
      </c>
      <c r="CD52" s="253" t="s">
        <v>197</v>
      </c>
      <c r="CE52" s="253"/>
      <c r="CF52" s="161" t="n">
        <v>1</v>
      </c>
      <c r="CG52" s="247" t="s">
        <v>452</v>
      </c>
      <c r="CH52" s="0"/>
    </row>
    <row r="53" customFormat="false" ht="12.75" hidden="false" customHeight="false" outlineLevel="0" collapsed="false">
      <c r="A53" s="286"/>
      <c r="B53" s="287" t="e">
        <f aca="false">NextMonth(B52)</f>
        <v>#VALUE!</v>
      </c>
      <c r="C53" s="239" t="n">
        <v>0.0538959170324853</v>
      </c>
      <c r="D53" s="292" t="n">
        <v>0.4</v>
      </c>
      <c r="E53" s="292" t="n">
        <v>0.4</v>
      </c>
      <c r="F53" s="292" t="n">
        <v>0.28</v>
      </c>
      <c r="G53" s="292" t="n">
        <v>0.2875</v>
      </c>
      <c r="H53" s="292" t="n">
        <v>0.295</v>
      </c>
      <c r="I53" s="288" t="n">
        <v>4.149</v>
      </c>
      <c r="J53" s="292" t="n">
        <v>4.154</v>
      </c>
      <c r="K53" s="239" t="n">
        <v>4.159</v>
      </c>
      <c r="L53" s="292" t="n">
        <v>-0.1</v>
      </c>
      <c r="M53" s="239" t="n">
        <v>-0.1</v>
      </c>
      <c r="O53" s="235"/>
      <c r="P53" s="288"/>
      <c r="Q53" s="288"/>
      <c r="R53" s="289" t="e">
        <f aca="false">B53</f>
        <v>#VALUE!</v>
      </c>
      <c r="S53" s="290" t="n">
        <f aca="false">T53-$S$16</f>
        <v>0.33</v>
      </c>
      <c r="T53" s="285" t="n">
        <f aca="false">D53</f>
        <v>0.4</v>
      </c>
      <c r="U53" s="291" t="n">
        <f aca="false">$U$16+T53</f>
        <v>0.47</v>
      </c>
      <c r="BP53" s="249" t="n">
        <f aca="false">BP52+BV53</f>
        <v>52</v>
      </c>
      <c r="BQ53" s="250" t="s">
        <v>453</v>
      </c>
      <c r="BR53" s="247" t="s">
        <v>195</v>
      </c>
      <c r="BS53" s="161" t="s">
        <v>324</v>
      </c>
      <c r="BT53" s="253" t="s">
        <v>197</v>
      </c>
      <c r="BU53" s="253"/>
      <c r="BV53" s="161" t="n">
        <v>1</v>
      </c>
      <c r="BW53" s="247" t="s">
        <v>454</v>
      </c>
      <c r="BX53" s="0"/>
      <c r="BZ53" s="249" t="n">
        <f aca="false">BZ52+CF53</f>
        <v>52</v>
      </c>
      <c r="CA53" s="73" t="s">
        <v>455</v>
      </c>
      <c r="CB53" s="247" t="s">
        <v>199</v>
      </c>
      <c r="CC53" s="161" t="s">
        <v>196</v>
      </c>
      <c r="CD53" s="253" t="s">
        <v>197</v>
      </c>
      <c r="CE53" s="253"/>
      <c r="CF53" s="161" t="n">
        <v>1</v>
      </c>
      <c r="CG53" s="247" t="s">
        <v>456</v>
      </c>
      <c r="CH53" s="0"/>
    </row>
    <row r="54" customFormat="false" ht="12.75" hidden="false" customHeight="false" outlineLevel="0" collapsed="false">
      <c r="A54" s="286"/>
      <c r="B54" s="287" t="e">
        <f aca="false">NextMonth(B53)</f>
        <v>#VALUE!</v>
      </c>
      <c r="C54" s="239" t="n">
        <v>0.0541053935662714</v>
      </c>
      <c r="D54" s="292" t="n">
        <v>0.4</v>
      </c>
      <c r="E54" s="292" t="n">
        <v>0.4</v>
      </c>
      <c r="F54" s="292" t="n">
        <v>0.28</v>
      </c>
      <c r="G54" s="292" t="n">
        <v>0.2875</v>
      </c>
      <c r="H54" s="292" t="n">
        <v>0.295</v>
      </c>
      <c r="I54" s="288" t="n">
        <v>4.182</v>
      </c>
      <c r="J54" s="292" t="n">
        <v>4.187</v>
      </c>
      <c r="K54" s="239" t="n">
        <v>4.192</v>
      </c>
      <c r="L54" s="292" t="n">
        <v>-0.1</v>
      </c>
      <c r="M54" s="239" t="n">
        <v>-0.1</v>
      </c>
      <c r="O54" s="235"/>
      <c r="P54" s="288"/>
      <c r="Q54" s="288"/>
      <c r="R54" s="289" t="e">
        <f aca="false">B54</f>
        <v>#VALUE!</v>
      </c>
      <c r="S54" s="290" t="n">
        <f aca="false">T54-$S$16</f>
        <v>0.33</v>
      </c>
      <c r="T54" s="285" t="n">
        <f aca="false">D54</f>
        <v>0.4</v>
      </c>
      <c r="U54" s="291" t="n">
        <f aca="false">$U$16+T54</f>
        <v>0.47</v>
      </c>
      <c r="BP54" s="249" t="n">
        <f aca="false">BP53+BV54</f>
        <v>53</v>
      </c>
      <c r="BQ54" s="250" t="s">
        <v>457</v>
      </c>
      <c r="BR54" s="247" t="s">
        <v>195</v>
      </c>
      <c r="BS54" s="161" t="s">
        <v>324</v>
      </c>
      <c r="BT54" s="253" t="s">
        <v>197</v>
      </c>
      <c r="BU54" s="253"/>
      <c r="BV54" s="161" t="n">
        <v>1</v>
      </c>
      <c r="BW54" s="247" t="s">
        <v>458</v>
      </c>
      <c r="BX54" s="0"/>
      <c r="BZ54" s="249" t="n">
        <f aca="false">BZ53+CF54</f>
        <v>53</v>
      </c>
      <c r="CA54" s="73" t="s">
        <v>459</v>
      </c>
      <c r="CB54" s="247" t="s">
        <v>199</v>
      </c>
      <c r="CC54" s="161" t="s">
        <v>196</v>
      </c>
      <c r="CD54" s="253" t="s">
        <v>197</v>
      </c>
      <c r="CE54" s="253"/>
      <c r="CF54" s="161" t="n">
        <v>1</v>
      </c>
      <c r="CG54" s="247" t="s">
        <v>460</v>
      </c>
      <c r="CH54" s="0"/>
    </row>
    <row r="55" customFormat="false" ht="12.75" hidden="false" customHeight="false" outlineLevel="0" collapsed="false">
      <c r="A55" s="286"/>
      <c r="B55" s="287" t="e">
        <f aca="false">NextMonth(B54)</f>
        <v>#VALUE!</v>
      </c>
      <c r="C55" s="239" t="n">
        <v>0.0543014325019837</v>
      </c>
      <c r="D55" s="292" t="n">
        <v>0.4</v>
      </c>
      <c r="E55" s="292" t="n">
        <v>0.4</v>
      </c>
      <c r="F55" s="292" t="n">
        <v>0.28</v>
      </c>
      <c r="G55" s="292" t="n">
        <v>0.2875</v>
      </c>
      <c r="H55" s="292" t="n">
        <v>0.295</v>
      </c>
      <c r="I55" s="288" t="n">
        <v>4.227</v>
      </c>
      <c r="J55" s="292" t="n">
        <v>4.232</v>
      </c>
      <c r="K55" s="239" t="n">
        <v>4.237</v>
      </c>
      <c r="L55" s="292" t="n">
        <v>-0.1</v>
      </c>
      <c r="M55" s="239" t="n">
        <v>-0.1</v>
      </c>
      <c r="O55" s="235"/>
      <c r="P55" s="288"/>
      <c r="Q55" s="288"/>
      <c r="R55" s="289" t="e">
        <f aca="false">B55</f>
        <v>#VALUE!</v>
      </c>
      <c r="S55" s="290" t="n">
        <f aca="false">T55-$S$16</f>
        <v>0.33</v>
      </c>
      <c r="T55" s="285" t="n">
        <f aca="false">D55</f>
        <v>0.4</v>
      </c>
      <c r="U55" s="291" t="n">
        <f aca="false">$U$16+T55</f>
        <v>0.47</v>
      </c>
      <c r="BP55" s="249" t="n">
        <f aca="false">BP54+BV55</f>
        <v>54</v>
      </c>
      <c r="BQ55" s="250" t="s">
        <v>461</v>
      </c>
      <c r="BR55" s="247" t="s">
        <v>195</v>
      </c>
      <c r="BS55" s="161" t="s">
        <v>324</v>
      </c>
      <c r="BT55" s="253" t="s">
        <v>197</v>
      </c>
      <c r="BU55" s="253"/>
      <c r="BV55" s="161" t="n">
        <v>1</v>
      </c>
      <c r="BW55" s="247" t="s">
        <v>462</v>
      </c>
      <c r="BX55" s="0"/>
      <c r="BZ55" s="249" t="n">
        <f aca="false">BZ54+CF55</f>
        <v>54</v>
      </c>
      <c r="CA55" s="73" t="s">
        <v>463</v>
      </c>
      <c r="CB55" s="247" t="s">
        <v>199</v>
      </c>
      <c r="CC55" s="161" t="s">
        <v>196</v>
      </c>
      <c r="CD55" s="253" t="s">
        <v>197</v>
      </c>
      <c r="CE55" s="253"/>
      <c r="CF55" s="161" t="n">
        <v>1</v>
      </c>
      <c r="CG55" s="247" t="s">
        <v>464</v>
      </c>
      <c r="CH55" s="0"/>
    </row>
    <row r="56" customFormat="false" ht="12.75" hidden="false" customHeight="false" outlineLevel="0" collapsed="false">
      <c r="A56" s="286"/>
      <c r="B56" s="287" t="e">
        <f aca="false">NextMonth(B55)</f>
        <v>#VALUE!</v>
      </c>
      <c r="C56" s="239" t="n">
        <v>0.0544966687681452</v>
      </c>
      <c r="D56" s="292" t="n">
        <v>0.5</v>
      </c>
      <c r="E56" s="292" t="n">
        <v>0.5</v>
      </c>
      <c r="F56" s="292" t="n">
        <v>0.28</v>
      </c>
      <c r="G56" s="292" t="n">
        <v>0.2875</v>
      </c>
      <c r="H56" s="292" t="n">
        <v>0.295</v>
      </c>
      <c r="I56" s="288" t="n">
        <v>4.262</v>
      </c>
      <c r="J56" s="292" t="n">
        <v>4.267</v>
      </c>
      <c r="K56" s="239" t="n">
        <v>4.272</v>
      </c>
      <c r="L56" s="292" t="n">
        <v>-0.1</v>
      </c>
      <c r="M56" s="239" t="n">
        <v>-0.1</v>
      </c>
      <c r="O56" s="235"/>
      <c r="P56" s="288"/>
      <c r="Q56" s="288"/>
      <c r="R56" s="289" t="e">
        <f aca="false">B56</f>
        <v>#VALUE!</v>
      </c>
      <c r="S56" s="290" t="n">
        <f aca="false">T56-$S$16</f>
        <v>0.43</v>
      </c>
      <c r="T56" s="285" t="n">
        <f aca="false">D56</f>
        <v>0.5</v>
      </c>
      <c r="U56" s="291" t="n">
        <f aca="false">$U$16+T56</f>
        <v>0.57</v>
      </c>
      <c r="BP56" s="249" t="n">
        <f aca="false">BP55+BV56</f>
        <v>55</v>
      </c>
      <c r="BQ56" s="250" t="s">
        <v>465</v>
      </c>
      <c r="BR56" s="247" t="s">
        <v>195</v>
      </c>
      <c r="BS56" s="161" t="s">
        <v>324</v>
      </c>
      <c r="BT56" s="253" t="s">
        <v>197</v>
      </c>
      <c r="BU56" s="253"/>
      <c r="BV56" s="161" t="n">
        <v>1</v>
      </c>
      <c r="BW56" s="247" t="s">
        <v>466</v>
      </c>
      <c r="BX56" s="0"/>
      <c r="BZ56" s="249" t="n">
        <f aca="false">BZ55+CF56</f>
        <v>55</v>
      </c>
      <c r="CA56" s="73" t="s">
        <v>467</v>
      </c>
      <c r="CB56" s="247" t="s">
        <v>199</v>
      </c>
      <c r="CC56" s="161" t="s">
        <v>196</v>
      </c>
      <c r="CD56" s="253" t="s">
        <v>197</v>
      </c>
      <c r="CE56" s="253"/>
      <c r="CF56" s="161" t="n">
        <v>1</v>
      </c>
      <c r="CG56" s="247" t="s">
        <v>468</v>
      </c>
      <c r="CH56" s="0"/>
    </row>
    <row r="57" customFormat="false" ht="12.75" hidden="false" customHeight="false" outlineLevel="0" collapsed="false">
      <c r="A57" s="286"/>
      <c r="B57" s="287" t="e">
        <f aca="false">NextMonth(B56)</f>
        <v>#VALUE!</v>
      </c>
      <c r="C57" s="239" t="n">
        <v>0.0546919050470063</v>
      </c>
      <c r="D57" s="292" t="n">
        <v>0.55</v>
      </c>
      <c r="E57" s="292" t="n">
        <v>0.55</v>
      </c>
      <c r="F57" s="292" t="n">
        <v>0.28</v>
      </c>
      <c r="G57" s="292" t="n">
        <v>0.2875</v>
      </c>
      <c r="H57" s="292" t="n">
        <v>0.295</v>
      </c>
      <c r="I57" s="288" t="n">
        <v>4.267</v>
      </c>
      <c r="J57" s="292" t="n">
        <v>4.272</v>
      </c>
      <c r="K57" s="239" t="n">
        <v>4.277</v>
      </c>
      <c r="L57" s="292" t="n">
        <v>-0.1</v>
      </c>
      <c r="M57" s="239" t="n">
        <v>-0.1</v>
      </c>
      <c r="O57" s="235"/>
      <c r="P57" s="288"/>
      <c r="Q57" s="288"/>
      <c r="R57" s="289" t="e">
        <f aca="false">B57</f>
        <v>#VALUE!</v>
      </c>
      <c r="S57" s="290" t="n">
        <f aca="false">T57-$S$16</f>
        <v>0.48</v>
      </c>
      <c r="T57" s="285" t="n">
        <f aca="false">D57</f>
        <v>0.55</v>
      </c>
      <c r="U57" s="291" t="n">
        <f aca="false">$U$16+T57</f>
        <v>0.62</v>
      </c>
      <c r="BP57" s="249" t="n">
        <f aca="false">BP56+BV57</f>
        <v>56</v>
      </c>
      <c r="BQ57" s="250" t="s">
        <v>330</v>
      </c>
      <c r="BR57" s="247" t="s">
        <v>195</v>
      </c>
      <c r="BS57" s="161" t="s">
        <v>196</v>
      </c>
      <c r="BT57" s="253" t="s">
        <v>197</v>
      </c>
      <c r="BU57" s="253"/>
      <c r="BV57" s="161" t="n">
        <v>1</v>
      </c>
      <c r="BW57" s="247" t="s">
        <v>469</v>
      </c>
      <c r="BX57" s="0"/>
      <c r="BZ57" s="249" t="n">
        <f aca="false">BZ56+CF57</f>
        <v>56</v>
      </c>
      <c r="CA57" s="73" t="s">
        <v>470</v>
      </c>
      <c r="CB57" s="247" t="s">
        <v>199</v>
      </c>
      <c r="CC57" s="161" t="s">
        <v>196</v>
      </c>
      <c r="CD57" s="253" t="s">
        <v>197</v>
      </c>
      <c r="CE57" s="253"/>
      <c r="CF57" s="161" t="n">
        <v>1</v>
      </c>
      <c r="CG57" s="247" t="s">
        <v>471</v>
      </c>
      <c r="CH57" s="0"/>
    </row>
    <row r="58" customFormat="false" ht="12.75" hidden="false" customHeight="false" outlineLevel="0" collapsed="false">
      <c r="A58" s="286"/>
      <c r="B58" s="287" t="e">
        <f aca="false">NextMonth(B57)</f>
        <v>#VALUE!</v>
      </c>
      <c r="C58" s="239" t="n">
        <v>0.0548742129657445</v>
      </c>
      <c r="D58" s="292" t="n">
        <v>0.55</v>
      </c>
      <c r="E58" s="292" t="n">
        <v>0.55</v>
      </c>
      <c r="F58" s="292" t="n">
        <v>0.28</v>
      </c>
      <c r="G58" s="292" t="n">
        <v>0.2875</v>
      </c>
      <c r="H58" s="292" t="n">
        <v>0.295</v>
      </c>
      <c r="I58" s="288" t="n">
        <v>4.292</v>
      </c>
      <c r="J58" s="292" t="n">
        <v>4.297</v>
      </c>
      <c r="K58" s="239" t="n">
        <v>4.302</v>
      </c>
      <c r="L58" s="292" t="n">
        <v>-0.1</v>
      </c>
      <c r="M58" s="239" t="n">
        <v>-0.1</v>
      </c>
      <c r="O58" s="235"/>
      <c r="P58" s="288"/>
      <c r="Q58" s="288"/>
      <c r="R58" s="289" t="e">
        <f aca="false">B58</f>
        <v>#VALUE!</v>
      </c>
      <c r="S58" s="290" t="n">
        <f aca="false">T58-$S$16</f>
        <v>0.48</v>
      </c>
      <c r="T58" s="285" t="n">
        <f aca="false">D58</f>
        <v>0.55</v>
      </c>
      <c r="U58" s="291" t="n">
        <f aca="false">$U$16+T58</f>
        <v>0.62</v>
      </c>
      <c r="BP58" s="249" t="n">
        <f aca="false">BP57+BV58</f>
        <v>57</v>
      </c>
      <c r="BQ58" s="250" t="s">
        <v>472</v>
      </c>
      <c r="BR58" s="247" t="s">
        <v>195</v>
      </c>
      <c r="BS58" s="161" t="s">
        <v>324</v>
      </c>
      <c r="BT58" s="253" t="s">
        <v>197</v>
      </c>
      <c r="BU58" s="253"/>
      <c r="BV58" s="161" t="n">
        <v>1</v>
      </c>
      <c r="BW58" s="247" t="s">
        <v>473</v>
      </c>
      <c r="BX58" s="0"/>
      <c r="BZ58" s="249" t="n">
        <f aca="false">BZ57+CF58</f>
        <v>57</v>
      </c>
      <c r="CA58" s="73" t="s">
        <v>474</v>
      </c>
      <c r="CB58" s="247" t="s">
        <v>199</v>
      </c>
      <c r="CC58" s="161" t="s">
        <v>196</v>
      </c>
      <c r="CD58" s="253" t="s">
        <v>197</v>
      </c>
      <c r="CE58" s="253"/>
      <c r="CF58" s="161" t="n">
        <v>1</v>
      </c>
      <c r="CG58" s="247" t="s">
        <v>475</v>
      </c>
      <c r="CH58" s="0"/>
    </row>
    <row r="59" customFormat="false" ht="12.75" hidden="false" customHeight="false" outlineLevel="0" collapsed="false">
      <c r="A59" s="286"/>
      <c r="B59" s="287" t="e">
        <f aca="false">NextMonth(B58)</f>
        <v>#VALUE!</v>
      </c>
      <c r="C59" s="239" t="n">
        <v>0.0550562193525828</v>
      </c>
      <c r="D59" s="292" t="n">
        <v>0.8</v>
      </c>
      <c r="E59" s="292" t="n">
        <v>0.8</v>
      </c>
      <c r="F59" s="292" t="n">
        <v>0.28</v>
      </c>
      <c r="G59" s="292" t="n">
        <v>0.2875</v>
      </c>
      <c r="H59" s="292" t="n">
        <v>0.295</v>
      </c>
      <c r="I59" s="288" t="n">
        <v>4.402</v>
      </c>
      <c r="J59" s="292" t="n">
        <v>4.407</v>
      </c>
      <c r="K59" s="239" t="n">
        <v>4.412</v>
      </c>
      <c r="L59" s="292" t="n">
        <v>-0.1</v>
      </c>
      <c r="M59" s="239" t="n">
        <v>-0.1</v>
      </c>
      <c r="O59" s="235"/>
      <c r="P59" s="288"/>
      <c r="Q59" s="288"/>
      <c r="R59" s="289" t="e">
        <f aca="false">B59</f>
        <v>#VALUE!</v>
      </c>
      <c r="S59" s="290" t="n">
        <f aca="false">T59-$S$16</f>
        <v>0.73</v>
      </c>
      <c r="T59" s="285" t="n">
        <f aca="false">D59</f>
        <v>0.8</v>
      </c>
      <c r="U59" s="291" t="n">
        <f aca="false">$U$16+T59</f>
        <v>0.87</v>
      </c>
      <c r="BP59" s="249" t="n">
        <f aca="false">BP58+BV59</f>
        <v>58</v>
      </c>
      <c r="BQ59" s="250" t="s">
        <v>476</v>
      </c>
      <c r="BR59" s="247" t="s">
        <v>195</v>
      </c>
      <c r="BS59" s="161" t="s">
        <v>324</v>
      </c>
      <c r="BT59" s="253" t="s">
        <v>197</v>
      </c>
      <c r="BU59" s="253"/>
      <c r="BV59" s="161" t="n">
        <v>1</v>
      </c>
      <c r="BW59" s="247" t="s">
        <v>477</v>
      </c>
      <c r="BX59" s="0"/>
      <c r="BZ59" s="249" t="n">
        <f aca="false">BZ58+CF59</f>
        <v>58</v>
      </c>
      <c r="CA59" s="73" t="s">
        <v>478</v>
      </c>
      <c r="CB59" s="247" t="s">
        <v>199</v>
      </c>
      <c r="CC59" s="161" t="s">
        <v>196</v>
      </c>
      <c r="CD59" s="253" t="s">
        <v>197</v>
      </c>
      <c r="CE59" s="253"/>
      <c r="CF59" s="161" t="n">
        <v>1</v>
      </c>
      <c r="CG59" s="247" t="s">
        <v>479</v>
      </c>
      <c r="CH59" s="0"/>
    </row>
    <row r="60" customFormat="false" ht="12.75" hidden="false" customHeight="false" outlineLevel="0" collapsed="false">
      <c r="A60" s="286"/>
      <c r="B60" s="287" t="e">
        <f aca="false">NextMonth(B59)</f>
        <v>#VALUE!</v>
      </c>
      <c r="C60" s="239" t="n">
        <v>0.055232354576157</v>
      </c>
      <c r="D60" s="292" t="n">
        <v>1</v>
      </c>
      <c r="E60" s="292" t="n">
        <v>1</v>
      </c>
      <c r="F60" s="292" t="n">
        <v>0.28</v>
      </c>
      <c r="G60" s="292" t="n">
        <v>0.2875</v>
      </c>
      <c r="H60" s="292" t="n">
        <v>0.295</v>
      </c>
      <c r="I60" s="288" t="n">
        <v>4.522</v>
      </c>
      <c r="J60" s="292" t="n">
        <v>4.527</v>
      </c>
      <c r="K60" s="239" t="n">
        <v>4.532</v>
      </c>
      <c r="L60" s="292" t="n">
        <v>-0.1025</v>
      </c>
      <c r="M60" s="239" t="n">
        <v>-0.1025</v>
      </c>
      <c r="O60" s="235"/>
      <c r="P60" s="288"/>
      <c r="Q60" s="288"/>
      <c r="R60" s="289" t="e">
        <f aca="false">B60</f>
        <v>#VALUE!</v>
      </c>
      <c r="S60" s="290" t="n">
        <f aca="false">T60-$S$16</f>
        <v>0.93</v>
      </c>
      <c r="T60" s="285" t="n">
        <f aca="false">D60</f>
        <v>1</v>
      </c>
      <c r="U60" s="291" t="n">
        <f aca="false">$U$16+T60</f>
        <v>1.07</v>
      </c>
      <c r="BP60" s="249" t="n">
        <f aca="false">BP59+BV60</f>
        <v>59</v>
      </c>
      <c r="BQ60" s="250" t="s">
        <v>480</v>
      </c>
      <c r="BR60" s="247" t="s">
        <v>195</v>
      </c>
      <c r="BS60" s="161" t="s">
        <v>324</v>
      </c>
      <c r="BT60" s="253" t="s">
        <v>197</v>
      </c>
      <c r="BU60" s="253"/>
      <c r="BV60" s="161" t="n">
        <v>1</v>
      </c>
      <c r="BW60" s="247" t="s">
        <v>481</v>
      </c>
      <c r="BX60" s="0"/>
      <c r="BZ60" s="249" t="n">
        <f aca="false">BZ59+CF60</f>
        <v>59</v>
      </c>
      <c r="CA60" s="73" t="s">
        <v>482</v>
      </c>
      <c r="CB60" s="247" t="s">
        <v>199</v>
      </c>
      <c r="CC60" s="161" t="s">
        <v>196</v>
      </c>
      <c r="CD60" s="253" t="s">
        <v>197</v>
      </c>
      <c r="CE60" s="253"/>
      <c r="CF60" s="161" t="n">
        <v>1</v>
      </c>
      <c r="CG60" s="247" t="s">
        <v>483</v>
      </c>
      <c r="CH60" s="0"/>
    </row>
    <row r="61" customFormat="false" ht="12.75" hidden="false" customHeight="false" outlineLevel="0" collapsed="false">
      <c r="A61" s="286"/>
      <c r="B61" s="287" t="e">
        <f aca="false">NextMonth(B60)</f>
        <v>#VALUE!</v>
      </c>
      <c r="C61" s="239" t="n">
        <v>0.0554150310123598</v>
      </c>
      <c r="D61" s="292" t="n">
        <v>1</v>
      </c>
      <c r="E61" s="292" t="n">
        <v>1</v>
      </c>
      <c r="F61" s="292" t="n">
        <v>0.2825</v>
      </c>
      <c r="G61" s="292" t="n">
        <v>0.29</v>
      </c>
      <c r="H61" s="292" t="n">
        <v>0.2975</v>
      </c>
      <c r="I61" s="288" t="n">
        <v>4.512</v>
      </c>
      <c r="J61" s="292" t="n">
        <v>4.517</v>
      </c>
      <c r="K61" s="239" t="n">
        <v>4.522</v>
      </c>
      <c r="L61" s="292" t="n">
        <v>-0.105</v>
      </c>
      <c r="M61" s="239" t="n">
        <v>-0.105</v>
      </c>
      <c r="O61" s="235"/>
      <c r="P61" s="288"/>
      <c r="Q61" s="288"/>
      <c r="R61" s="289" t="e">
        <f aca="false">B61</f>
        <v>#VALUE!</v>
      </c>
      <c r="S61" s="290" t="n">
        <f aca="false">T61-$S$16</f>
        <v>0.93</v>
      </c>
      <c r="T61" s="285" t="n">
        <f aca="false">D61</f>
        <v>1</v>
      </c>
      <c r="U61" s="291" t="n">
        <f aca="false">$U$16+T61</f>
        <v>1.07</v>
      </c>
      <c r="BP61" s="249" t="n">
        <f aca="false">BP60+BV61</f>
        <v>60</v>
      </c>
      <c r="BQ61" s="250" t="s">
        <v>484</v>
      </c>
      <c r="BR61" s="247" t="s">
        <v>195</v>
      </c>
      <c r="BS61" s="161" t="s">
        <v>324</v>
      </c>
      <c r="BT61" s="253" t="s">
        <v>197</v>
      </c>
      <c r="BU61" s="253"/>
      <c r="BV61" s="161" t="n">
        <v>1</v>
      </c>
      <c r="BW61" s="247" t="s">
        <v>485</v>
      </c>
      <c r="BX61" s="0"/>
      <c r="BZ61" s="249" t="n">
        <f aca="false">BZ60+CF61</f>
        <v>60</v>
      </c>
      <c r="CA61" s="73" t="s">
        <v>486</v>
      </c>
      <c r="CB61" s="247" t="s">
        <v>199</v>
      </c>
      <c r="CC61" s="161" t="s">
        <v>196</v>
      </c>
      <c r="CD61" s="253" t="s">
        <v>197</v>
      </c>
      <c r="CE61" s="253"/>
      <c r="CF61" s="161" t="n">
        <v>1</v>
      </c>
      <c r="CG61" s="247" t="s">
        <v>487</v>
      </c>
      <c r="CH61" s="0"/>
    </row>
    <row r="62" customFormat="false" ht="12.75" hidden="false" customHeight="false" outlineLevel="0" collapsed="false">
      <c r="A62" s="286"/>
      <c r="B62" s="287" t="e">
        <f aca="false">NextMonth(B61)</f>
        <v>#VALUE!</v>
      </c>
      <c r="C62" s="239" t="n">
        <v>0.0555982592471898</v>
      </c>
      <c r="D62" s="292" t="n">
        <v>1</v>
      </c>
      <c r="E62" s="292" t="n">
        <v>1</v>
      </c>
      <c r="F62" s="292" t="n">
        <v>0.2775</v>
      </c>
      <c r="G62" s="292" t="n">
        <v>0.285</v>
      </c>
      <c r="H62" s="292" t="n">
        <v>0.2925</v>
      </c>
      <c r="I62" s="288" t="n">
        <v>4.392</v>
      </c>
      <c r="J62" s="292" t="n">
        <v>4.397</v>
      </c>
      <c r="K62" s="239" t="n">
        <v>4.402</v>
      </c>
      <c r="L62" s="292" t="n">
        <v>-0.0975</v>
      </c>
      <c r="M62" s="239" t="n">
        <v>-0.0975</v>
      </c>
      <c r="O62" s="235"/>
      <c r="P62" s="288"/>
      <c r="Q62" s="288"/>
      <c r="R62" s="289" t="e">
        <f aca="false">B62</f>
        <v>#VALUE!</v>
      </c>
      <c r="S62" s="290" t="n">
        <f aca="false">T62-$S$16</f>
        <v>0.93</v>
      </c>
      <c r="T62" s="285" t="n">
        <f aca="false">D62</f>
        <v>1</v>
      </c>
      <c r="U62" s="291" t="n">
        <f aca="false">$U$16+T62</f>
        <v>1.07</v>
      </c>
      <c r="BP62" s="249" t="n">
        <f aca="false">BP61+BV62</f>
        <v>61</v>
      </c>
      <c r="BQ62" s="250" t="s">
        <v>488</v>
      </c>
      <c r="BR62" s="247" t="s">
        <v>195</v>
      </c>
      <c r="BS62" s="161" t="s">
        <v>324</v>
      </c>
      <c r="BT62" s="253" t="s">
        <v>197</v>
      </c>
      <c r="BU62" s="253"/>
      <c r="BV62" s="161" t="n">
        <v>1</v>
      </c>
      <c r="BW62" s="247" t="s">
        <v>489</v>
      </c>
      <c r="BX62" s="0"/>
      <c r="BZ62" s="249" t="n">
        <f aca="false">BZ61+CF62</f>
        <v>61</v>
      </c>
      <c r="CA62" s="73" t="s">
        <v>490</v>
      </c>
      <c r="CB62" s="247" t="s">
        <v>199</v>
      </c>
      <c r="CC62" s="161" t="s">
        <v>196</v>
      </c>
      <c r="CD62" s="253" t="s">
        <v>197</v>
      </c>
      <c r="CE62" s="253"/>
      <c r="CF62" s="161" t="n">
        <v>1</v>
      </c>
      <c r="CG62" s="247" t="s">
        <v>491</v>
      </c>
      <c r="CH62" s="0"/>
    </row>
    <row r="63" customFormat="false" ht="12.75" hidden="false" customHeight="false" outlineLevel="0" collapsed="false">
      <c r="A63" s="286"/>
      <c r="B63" s="287" t="e">
        <f aca="false">NextMonth(B62)</f>
        <v>#VALUE!</v>
      </c>
      <c r="C63" s="239" t="n">
        <v>0.0557637557269666</v>
      </c>
      <c r="D63" s="292" t="n">
        <v>0.75</v>
      </c>
      <c r="E63" s="292" t="n">
        <v>0.75</v>
      </c>
      <c r="F63" s="292" t="n">
        <v>0.27</v>
      </c>
      <c r="G63" s="292" t="n">
        <v>0.2775</v>
      </c>
      <c r="H63" s="292" t="n">
        <v>0.285</v>
      </c>
      <c r="I63" s="288" t="n">
        <v>4.252</v>
      </c>
      <c r="J63" s="292" t="n">
        <v>4.257</v>
      </c>
      <c r="K63" s="239" t="n">
        <v>4.262</v>
      </c>
      <c r="L63" s="292" t="n">
        <v>-0.095</v>
      </c>
      <c r="M63" s="239" t="n">
        <v>-0.095</v>
      </c>
      <c r="O63" s="235"/>
      <c r="P63" s="288"/>
      <c r="Q63" s="288"/>
      <c r="R63" s="289" t="e">
        <f aca="false">B63</f>
        <v>#VALUE!</v>
      </c>
      <c r="S63" s="290" t="n">
        <f aca="false">T63-$S$16</f>
        <v>0.68</v>
      </c>
      <c r="T63" s="285" t="n">
        <f aca="false">D63</f>
        <v>0.75</v>
      </c>
      <c r="U63" s="291" t="n">
        <f aca="false">$U$16+T63</f>
        <v>0.82</v>
      </c>
      <c r="BP63" s="249" t="n">
        <f aca="false">BP62+BV63</f>
        <v>62</v>
      </c>
      <c r="BQ63" s="250" t="s">
        <v>492</v>
      </c>
      <c r="BR63" s="247" t="s">
        <v>195</v>
      </c>
      <c r="BS63" s="161" t="s">
        <v>324</v>
      </c>
      <c r="BT63" s="253" t="s">
        <v>197</v>
      </c>
      <c r="BU63" s="253"/>
      <c r="BV63" s="161" t="n">
        <v>1</v>
      </c>
      <c r="BW63" s="247" t="s">
        <v>493</v>
      </c>
      <c r="BX63" s="0"/>
      <c r="BZ63" s="249" t="n">
        <f aca="false">BZ62+CF63</f>
        <v>62</v>
      </c>
      <c r="CA63" s="73" t="s">
        <v>494</v>
      </c>
      <c r="CB63" s="247" t="s">
        <v>199</v>
      </c>
      <c r="CC63" s="161" t="s">
        <v>196</v>
      </c>
      <c r="CD63" s="253" t="s">
        <v>197</v>
      </c>
      <c r="CE63" s="253"/>
      <c r="CF63" s="161" t="n">
        <v>1</v>
      </c>
      <c r="CG63" s="247" t="s">
        <v>495</v>
      </c>
      <c r="CH63" s="0"/>
    </row>
    <row r="64" customFormat="false" ht="12.75" hidden="false" customHeight="false" outlineLevel="0" collapsed="false">
      <c r="A64" s="286"/>
      <c r="B64" s="287" t="e">
        <f aca="false">NextMonth(B63)</f>
        <v>#VALUE!</v>
      </c>
      <c r="C64" s="239" t="n">
        <v>0.0559323182935842</v>
      </c>
      <c r="D64" s="292" t="n">
        <v>0.4</v>
      </c>
      <c r="E64" s="292" t="n">
        <v>0.4</v>
      </c>
      <c r="F64" s="292" t="n">
        <v>0.2625</v>
      </c>
      <c r="G64" s="292" t="n">
        <v>0.27</v>
      </c>
      <c r="H64" s="292" t="n">
        <v>0.2775</v>
      </c>
      <c r="I64" s="288" t="n">
        <v>4.11</v>
      </c>
      <c r="J64" s="292" t="n">
        <v>4.115</v>
      </c>
      <c r="K64" s="239" t="n">
        <v>4.12</v>
      </c>
      <c r="L64" s="292" t="n">
        <v>-0.1</v>
      </c>
      <c r="M64" s="239" t="n">
        <v>-0.1</v>
      </c>
      <c r="O64" s="235"/>
      <c r="P64" s="288"/>
      <c r="Q64" s="288"/>
      <c r="R64" s="289" t="e">
        <f aca="false">B64</f>
        <v>#VALUE!</v>
      </c>
      <c r="S64" s="290" t="n">
        <f aca="false">T64-$S$16</f>
        <v>0.33</v>
      </c>
      <c r="T64" s="285" t="n">
        <f aca="false">D64</f>
        <v>0.4</v>
      </c>
      <c r="U64" s="291" t="n">
        <f aca="false">$U$16+T64</f>
        <v>0.47</v>
      </c>
      <c r="BP64" s="249" t="n">
        <f aca="false">BP63+BV64</f>
        <v>63</v>
      </c>
      <c r="BQ64" s="250" t="s">
        <v>496</v>
      </c>
      <c r="BR64" s="247" t="s">
        <v>195</v>
      </c>
      <c r="BS64" s="161" t="s">
        <v>324</v>
      </c>
      <c r="BT64" s="253" t="s">
        <v>197</v>
      </c>
      <c r="BU64" s="253"/>
      <c r="BV64" s="161" t="n">
        <v>1</v>
      </c>
      <c r="BW64" s="247" t="s">
        <v>497</v>
      </c>
      <c r="BX64" s="0"/>
      <c r="BZ64" s="249" t="n">
        <f aca="false">BZ63+CF64</f>
        <v>63</v>
      </c>
      <c r="CA64" s="73" t="s">
        <v>498</v>
      </c>
      <c r="CB64" s="247" t="s">
        <v>199</v>
      </c>
      <c r="CC64" s="161" t="s">
        <v>196</v>
      </c>
      <c r="CD64" s="253" t="s">
        <v>197</v>
      </c>
      <c r="CE64" s="253"/>
      <c r="CF64" s="161" t="n">
        <v>1</v>
      </c>
      <c r="CG64" s="247" t="s">
        <v>499</v>
      </c>
      <c r="CH64" s="0"/>
    </row>
    <row r="65" customFormat="false" ht="12.75" hidden="false" customHeight="false" outlineLevel="0" collapsed="false">
      <c r="A65" s="286"/>
      <c r="B65" s="287" t="e">
        <f aca="false">NextMonth(B64)</f>
        <v>#VALUE!</v>
      </c>
      <c r="C65" s="239" t="n">
        <v>0.0560825603331621</v>
      </c>
      <c r="D65" s="292" t="n">
        <v>0.4</v>
      </c>
      <c r="E65" s="292" t="n">
        <v>0.4</v>
      </c>
      <c r="F65" s="292" t="n">
        <v>0.2525</v>
      </c>
      <c r="G65" s="292" t="n">
        <v>0.26</v>
      </c>
      <c r="H65" s="292" t="n">
        <v>0.2675</v>
      </c>
      <c r="I65" s="288" t="n">
        <v>4.144</v>
      </c>
      <c r="J65" s="292" t="n">
        <v>4.149</v>
      </c>
      <c r="K65" s="239" t="n">
        <v>4.154</v>
      </c>
      <c r="L65" s="292" t="n">
        <v>-0.1</v>
      </c>
      <c r="M65" s="239" t="n">
        <v>-0.1</v>
      </c>
      <c r="O65" s="235"/>
      <c r="P65" s="288"/>
      <c r="Q65" s="288"/>
      <c r="R65" s="289" t="e">
        <f aca="false">B65</f>
        <v>#VALUE!</v>
      </c>
      <c r="S65" s="290" t="n">
        <f aca="false">T65-$S$16</f>
        <v>0.33</v>
      </c>
      <c r="T65" s="285" t="n">
        <f aca="false">D65</f>
        <v>0.4</v>
      </c>
      <c r="U65" s="291" t="n">
        <f aca="false">$U$16+T65</f>
        <v>0.47</v>
      </c>
      <c r="BP65" s="249" t="n">
        <f aca="false">BP64+BV65</f>
        <v>64</v>
      </c>
      <c r="BQ65" s="250" t="s">
        <v>500</v>
      </c>
      <c r="BR65" s="247" t="s">
        <v>195</v>
      </c>
      <c r="BS65" s="161" t="s">
        <v>324</v>
      </c>
      <c r="BT65" s="253" t="s">
        <v>197</v>
      </c>
      <c r="BU65" s="253"/>
      <c r="BV65" s="161" t="n">
        <v>1</v>
      </c>
      <c r="BW65" s="247" t="s">
        <v>501</v>
      </c>
      <c r="BX65" s="0"/>
      <c r="BZ65" s="249" t="n">
        <f aca="false">BZ64+CF65</f>
        <v>64</v>
      </c>
      <c r="CA65" s="73" t="s">
        <v>502</v>
      </c>
      <c r="CB65" s="247" t="s">
        <v>199</v>
      </c>
      <c r="CC65" s="161" t="s">
        <v>196</v>
      </c>
      <c r="CD65" s="253" t="s">
        <v>197</v>
      </c>
      <c r="CE65" s="253"/>
      <c r="CF65" s="161" t="n">
        <v>1</v>
      </c>
      <c r="CG65" s="247" t="s">
        <v>503</v>
      </c>
      <c r="CH65" s="0"/>
    </row>
    <row r="66" customFormat="false" ht="12.75" hidden="false" customHeight="false" outlineLevel="0" collapsed="false">
      <c r="A66" s="286"/>
      <c r="B66" s="287" t="e">
        <f aca="false">NextMonth(B65)</f>
        <v>#VALUE!</v>
      </c>
      <c r="C66" s="239" t="n">
        <v>0.0562378104486196</v>
      </c>
      <c r="D66" s="292" t="n">
        <v>0.4</v>
      </c>
      <c r="E66" s="292" t="n">
        <v>0.4</v>
      </c>
      <c r="F66" s="292" t="n">
        <v>0.2475</v>
      </c>
      <c r="G66" s="292" t="n">
        <v>0.255</v>
      </c>
      <c r="H66" s="292" t="n">
        <v>0.2625</v>
      </c>
      <c r="I66" s="288" t="n">
        <v>4.177</v>
      </c>
      <c r="J66" s="292" t="n">
        <v>4.182</v>
      </c>
      <c r="K66" s="239" t="n">
        <v>4.187</v>
      </c>
      <c r="L66" s="292" t="n">
        <v>-0.1</v>
      </c>
      <c r="M66" s="239" t="n">
        <v>-0.1</v>
      </c>
      <c r="O66" s="235"/>
      <c r="P66" s="288"/>
      <c r="Q66" s="288"/>
      <c r="R66" s="289" t="e">
        <f aca="false">B66</f>
        <v>#VALUE!</v>
      </c>
      <c r="S66" s="290" t="n">
        <f aca="false">T66-$S$16</f>
        <v>0.33</v>
      </c>
      <c r="T66" s="285" t="n">
        <f aca="false">D66</f>
        <v>0.4</v>
      </c>
      <c r="U66" s="291" t="n">
        <f aca="false">$U$16+T66</f>
        <v>0.47</v>
      </c>
      <c r="BP66" s="249" t="n">
        <f aca="false">BP65+BV66</f>
        <v>65</v>
      </c>
      <c r="BQ66" s="250" t="s">
        <v>504</v>
      </c>
      <c r="BR66" s="247" t="s">
        <v>195</v>
      </c>
      <c r="BS66" s="161" t="s">
        <v>324</v>
      </c>
      <c r="BT66" s="253" t="s">
        <v>197</v>
      </c>
      <c r="BU66" s="253"/>
      <c r="BV66" s="161" t="n">
        <v>1</v>
      </c>
      <c r="BW66" s="247" t="s">
        <v>505</v>
      </c>
      <c r="BX66" s="0"/>
      <c r="BZ66" s="249" t="n">
        <f aca="false">BZ65+CF66</f>
        <v>65</v>
      </c>
      <c r="CA66" s="73" t="s">
        <v>506</v>
      </c>
      <c r="CB66" s="247" t="s">
        <v>199</v>
      </c>
      <c r="CC66" s="161" t="s">
        <v>196</v>
      </c>
      <c r="CD66" s="253" t="s">
        <v>197</v>
      </c>
      <c r="CE66" s="253"/>
      <c r="CF66" s="161" t="n">
        <v>1</v>
      </c>
      <c r="CG66" s="247" t="s">
        <v>507</v>
      </c>
      <c r="CH66" s="0"/>
    </row>
    <row r="67" customFormat="false" ht="12.75" hidden="false" customHeight="false" outlineLevel="0" collapsed="false">
      <c r="A67" s="286"/>
      <c r="B67" s="287" t="e">
        <f aca="false">NextMonth(B66)</f>
        <v>#VALUE!</v>
      </c>
      <c r="C67" s="239" t="n">
        <v>0.0563753429962008</v>
      </c>
      <c r="D67" s="292" t="n">
        <v>0.4</v>
      </c>
      <c r="E67" s="292" t="n">
        <v>0.4</v>
      </c>
      <c r="F67" s="292" t="n">
        <v>0.2475</v>
      </c>
      <c r="G67" s="292" t="n">
        <v>0.255</v>
      </c>
      <c r="H67" s="292" t="n">
        <v>0.2625</v>
      </c>
      <c r="I67" s="288" t="n">
        <v>4.222</v>
      </c>
      <c r="J67" s="292" t="n">
        <v>4.227</v>
      </c>
      <c r="K67" s="239" t="n">
        <v>4.232</v>
      </c>
      <c r="L67" s="292" t="n">
        <v>-0.1</v>
      </c>
      <c r="M67" s="239" t="n">
        <v>-0.1</v>
      </c>
      <c r="O67" s="235"/>
      <c r="P67" s="288"/>
      <c r="Q67" s="288"/>
      <c r="R67" s="289" t="e">
        <f aca="false">B67</f>
        <v>#VALUE!</v>
      </c>
      <c r="S67" s="290" t="n">
        <f aca="false">T67-$S$16</f>
        <v>0.33</v>
      </c>
      <c r="T67" s="285" t="n">
        <f aca="false">D67</f>
        <v>0.4</v>
      </c>
      <c r="U67" s="291" t="n">
        <f aca="false">$U$16+T67</f>
        <v>0.47</v>
      </c>
      <c r="BP67" s="249" t="n">
        <f aca="false">BP66+BV67</f>
        <v>66</v>
      </c>
      <c r="BQ67" s="250" t="s">
        <v>508</v>
      </c>
      <c r="BR67" s="247" t="s">
        <v>195</v>
      </c>
      <c r="BS67" s="161" t="s">
        <v>324</v>
      </c>
      <c r="BT67" s="253" t="s">
        <v>197</v>
      </c>
      <c r="BU67" s="253"/>
      <c r="BV67" s="161" t="n">
        <v>1</v>
      </c>
      <c r="BW67" s="247" t="s">
        <v>509</v>
      </c>
      <c r="BX67" s="0"/>
      <c r="BZ67" s="249" t="n">
        <f aca="false">BZ66+CF67</f>
        <v>66</v>
      </c>
      <c r="CA67" s="73" t="s">
        <v>510</v>
      </c>
      <c r="CB67" s="247" t="s">
        <v>199</v>
      </c>
      <c r="CC67" s="161" t="s">
        <v>196</v>
      </c>
      <c r="CD67" s="253" t="s">
        <v>197</v>
      </c>
      <c r="CE67" s="253"/>
      <c r="CF67" s="161" t="n">
        <v>1</v>
      </c>
      <c r="CG67" s="247" t="s">
        <v>511</v>
      </c>
      <c r="CH67" s="0"/>
    </row>
    <row r="68" customFormat="false" ht="12.75" hidden="false" customHeight="false" outlineLevel="0" collapsed="false">
      <c r="A68" s="286"/>
      <c r="B68" s="287" t="e">
        <f aca="false">NextMonth(B67)</f>
        <v>#VALUE!</v>
      </c>
      <c r="C68" s="239" t="n">
        <v>0.0565043268105669</v>
      </c>
      <c r="D68" s="292" t="n">
        <v>0.5</v>
      </c>
      <c r="E68" s="292" t="n">
        <v>0.5</v>
      </c>
      <c r="F68" s="292" t="n">
        <v>0.2475</v>
      </c>
      <c r="G68" s="292" t="n">
        <v>0.255</v>
      </c>
      <c r="H68" s="292" t="n">
        <v>0.2625</v>
      </c>
      <c r="I68" s="288" t="n">
        <v>4.257</v>
      </c>
      <c r="J68" s="292" t="n">
        <v>4.262</v>
      </c>
      <c r="K68" s="239" t="n">
        <v>4.267</v>
      </c>
      <c r="L68" s="292" t="n">
        <v>-0.1</v>
      </c>
      <c r="M68" s="239" t="n">
        <v>-0.1</v>
      </c>
      <c r="O68" s="235"/>
      <c r="P68" s="288"/>
      <c r="Q68" s="288"/>
      <c r="R68" s="289" t="e">
        <f aca="false">B68</f>
        <v>#VALUE!</v>
      </c>
      <c r="S68" s="290" t="n">
        <f aca="false">T68-$S$16</f>
        <v>0.43</v>
      </c>
      <c r="T68" s="285" t="n">
        <f aca="false">D68</f>
        <v>0.5</v>
      </c>
      <c r="U68" s="291" t="n">
        <f aca="false">$U$16+T68</f>
        <v>0.57</v>
      </c>
      <c r="BP68" s="249" t="n">
        <f aca="false">BP67+BV68</f>
        <v>67</v>
      </c>
      <c r="BQ68" s="250" t="s">
        <v>512</v>
      </c>
      <c r="BR68" s="247" t="s">
        <v>195</v>
      </c>
      <c r="BS68" s="161" t="s">
        <v>324</v>
      </c>
      <c r="BT68" s="253" t="s">
        <v>197</v>
      </c>
      <c r="BU68" s="253"/>
      <c r="BV68" s="161" t="n">
        <v>1</v>
      </c>
      <c r="BW68" s="247" t="s">
        <v>513</v>
      </c>
      <c r="BX68" s="0"/>
      <c r="BZ68" s="249" t="n">
        <f aca="false">BZ67+CF68</f>
        <v>67</v>
      </c>
      <c r="CA68" s="73" t="s">
        <v>514</v>
      </c>
      <c r="CB68" s="247" t="s">
        <v>199</v>
      </c>
      <c r="CC68" s="161" t="s">
        <v>196</v>
      </c>
      <c r="CD68" s="253" t="s">
        <v>197</v>
      </c>
      <c r="CE68" s="253"/>
      <c r="CF68" s="161" t="n">
        <v>1</v>
      </c>
      <c r="CG68" s="247" t="s">
        <v>515</v>
      </c>
      <c r="CH68" s="0"/>
    </row>
    <row r="69" customFormat="false" ht="12.75" hidden="false" customHeight="false" outlineLevel="0" collapsed="false">
      <c r="A69" s="286"/>
      <c r="B69" s="287" t="e">
        <f aca="false">NextMonth(B68)</f>
        <v>#VALUE!</v>
      </c>
      <c r="C69" s="239" t="n">
        <v>0.0566333106304708</v>
      </c>
      <c r="D69" s="292" t="n">
        <v>0.55</v>
      </c>
      <c r="E69" s="292" t="n">
        <v>0.55</v>
      </c>
      <c r="F69" s="292" t="n">
        <v>0.2475</v>
      </c>
      <c r="G69" s="292" t="n">
        <v>0.255</v>
      </c>
      <c r="H69" s="292" t="n">
        <v>0.2625</v>
      </c>
      <c r="I69" s="288" t="n">
        <v>4.262</v>
      </c>
      <c r="J69" s="292" t="n">
        <v>4.267</v>
      </c>
      <c r="K69" s="239" t="n">
        <v>4.272</v>
      </c>
      <c r="L69" s="292" t="n">
        <v>-0.1</v>
      </c>
      <c r="M69" s="239" t="n">
        <v>-0.1</v>
      </c>
      <c r="O69" s="235"/>
      <c r="P69" s="288"/>
      <c r="Q69" s="288"/>
      <c r="R69" s="289" t="e">
        <f aca="false">B69</f>
        <v>#VALUE!</v>
      </c>
      <c r="S69" s="290" t="n">
        <f aca="false">T69-$S$16</f>
        <v>0.48</v>
      </c>
      <c r="T69" s="285" t="n">
        <f aca="false">D69</f>
        <v>0.55</v>
      </c>
      <c r="U69" s="291" t="n">
        <f aca="false">$U$16+T69</f>
        <v>0.62</v>
      </c>
      <c r="BP69" s="249" t="n">
        <f aca="false">BP68+BV69</f>
        <v>68</v>
      </c>
      <c r="BQ69" s="250" t="s">
        <v>516</v>
      </c>
      <c r="BR69" s="247" t="s">
        <v>195</v>
      </c>
      <c r="BS69" s="161" t="s">
        <v>324</v>
      </c>
      <c r="BT69" s="253" t="s">
        <v>197</v>
      </c>
      <c r="BU69" s="253"/>
      <c r="BV69" s="161" t="n">
        <v>1</v>
      </c>
      <c r="BW69" s="247" t="s">
        <v>517</v>
      </c>
      <c r="BX69" s="0"/>
      <c r="BZ69" s="249" t="n">
        <f aca="false">BZ68+CF69</f>
        <v>68</v>
      </c>
      <c r="CA69" s="73" t="s">
        <v>518</v>
      </c>
      <c r="CB69" s="247" t="s">
        <v>199</v>
      </c>
      <c r="CC69" s="161" t="s">
        <v>196</v>
      </c>
      <c r="CD69" s="253" t="s">
        <v>197</v>
      </c>
      <c r="CE69" s="253"/>
      <c r="CF69" s="161" t="n">
        <v>1</v>
      </c>
      <c r="CG69" s="247" t="s">
        <v>519</v>
      </c>
      <c r="CH69" s="0"/>
    </row>
    <row r="70" customFormat="false" ht="12.75" hidden="false" customHeight="false" outlineLevel="0" collapsed="false">
      <c r="A70" s="286"/>
      <c r="B70" s="287" t="e">
        <f aca="false">NextMonth(B69)</f>
        <v>#VALUE!</v>
      </c>
      <c r="C70" s="239" t="n">
        <v>0.0567581336872625</v>
      </c>
      <c r="D70" s="292" t="n">
        <v>0.55</v>
      </c>
      <c r="E70" s="292" t="n">
        <v>0.55</v>
      </c>
      <c r="F70" s="292" t="n">
        <v>0.2475</v>
      </c>
      <c r="G70" s="292" t="n">
        <v>0.255</v>
      </c>
      <c r="H70" s="292" t="n">
        <v>0.2625</v>
      </c>
      <c r="I70" s="288" t="n">
        <v>4.287</v>
      </c>
      <c r="J70" s="292" t="n">
        <v>4.292</v>
      </c>
      <c r="K70" s="239" t="n">
        <v>4.297</v>
      </c>
      <c r="L70" s="292" t="n">
        <v>-0.1</v>
      </c>
      <c r="M70" s="239" t="n">
        <v>-0.1</v>
      </c>
      <c r="O70" s="235"/>
      <c r="P70" s="288"/>
      <c r="Q70" s="288"/>
      <c r="R70" s="289" t="e">
        <f aca="false">B70</f>
        <v>#VALUE!</v>
      </c>
      <c r="S70" s="290" t="n">
        <f aca="false">T70-$S$16</f>
        <v>0.48</v>
      </c>
      <c r="T70" s="285" t="n">
        <f aca="false">D70</f>
        <v>0.55</v>
      </c>
      <c r="U70" s="291" t="n">
        <f aca="false">$U$16+T70</f>
        <v>0.62</v>
      </c>
      <c r="BP70" s="249" t="n">
        <f aca="false">BP69+BV70</f>
        <v>69</v>
      </c>
      <c r="BQ70" s="250" t="s">
        <v>520</v>
      </c>
      <c r="BR70" s="247" t="s">
        <v>195</v>
      </c>
      <c r="BS70" s="161" t="s">
        <v>324</v>
      </c>
      <c r="BT70" s="253" t="s">
        <v>197</v>
      </c>
      <c r="BU70" s="253"/>
      <c r="BV70" s="161" t="n">
        <v>1</v>
      </c>
      <c r="BW70" s="247" t="s">
        <v>521</v>
      </c>
      <c r="BX70" s="0"/>
      <c r="BZ70" s="249" t="n">
        <f aca="false">BZ69+CF70</f>
        <v>69</v>
      </c>
      <c r="CA70" s="73" t="s">
        <v>522</v>
      </c>
      <c r="CB70" s="247" t="s">
        <v>199</v>
      </c>
      <c r="CC70" s="161" t="s">
        <v>196</v>
      </c>
      <c r="CD70" s="253" t="s">
        <v>197</v>
      </c>
      <c r="CE70" s="253"/>
      <c r="CF70" s="161" t="n">
        <v>1</v>
      </c>
      <c r="CG70" s="247" t="s">
        <v>523</v>
      </c>
      <c r="CH70" s="0"/>
    </row>
    <row r="71" customFormat="false" ht="12.75" hidden="false" customHeight="false" outlineLevel="0" collapsed="false">
      <c r="A71" s="286"/>
      <c r="B71" s="287" t="e">
        <f aca="false">NextMonth(B70)</f>
        <v>#VALUE!</v>
      </c>
      <c r="C71" s="239" t="n">
        <v>0.0568871175180608</v>
      </c>
      <c r="D71" s="292" t="n">
        <v>0.8</v>
      </c>
      <c r="E71" s="292" t="n">
        <v>0.8</v>
      </c>
      <c r="F71" s="292" t="n">
        <v>0.2475</v>
      </c>
      <c r="G71" s="292" t="n">
        <v>0.255</v>
      </c>
      <c r="H71" s="292" t="n">
        <v>0.2625</v>
      </c>
      <c r="I71" s="288" t="n">
        <v>4.397</v>
      </c>
      <c r="J71" s="292" t="n">
        <v>4.402</v>
      </c>
      <c r="K71" s="239" t="n">
        <v>4.407</v>
      </c>
      <c r="L71" s="292" t="n">
        <v>-0.1</v>
      </c>
      <c r="M71" s="239" t="n">
        <v>-0.1</v>
      </c>
      <c r="O71" s="235"/>
      <c r="P71" s="288"/>
      <c r="Q71" s="288"/>
      <c r="R71" s="289" t="e">
        <f aca="false">B71</f>
        <v>#VALUE!</v>
      </c>
      <c r="S71" s="290" t="n">
        <f aca="false">T71-$S$16</f>
        <v>0.73</v>
      </c>
      <c r="T71" s="285" t="n">
        <f aca="false">D71</f>
        <v>0.8</v>
      </c>
      <c r="U71" s="291" t="n">
        <f aca="false">$U$16+T71</f>
        <v>0.87</v>
      </c>
      <c r="BP71" s="249" t="n">
        <f aca="false">BP70+BV71</f>
        <v>70</v>
      </c>
      <c r="BQ71" s="250" t="s">
        <v>524</v>
      </c>
      <c r="BR71" s="247" t="s">
        <v>195</v>
      </c>
      <c r="BS71" s="161" t="s">
        <v>324</v>
      </c>
      <c r="BT71" s="253" t="s">
        <v>197</v>
      </c>
      <c r="BU71" s="253"/>
      <c r="BV71" s="161" t="n">
        <v>1</v>
      </c>
      <c r="BW71" s="247" t="s">
        <v>525</v>
      </c>
      <c r="BX71" s="0"/>
      <c r="BZ71" s="249" t="n">
        <f aca="false">BZ70+CF71</f>
        <v>70</v>
      </c>
      <c r="CA71" s="73" t="s">
        <v>526</v>
      </c>
      <c r="CB71" s="247" t="s">
        <v>199</v>
      </c>
      <c r="CC71" s="161" t="s">
        <v>196</v>
      </c>
      <c r="CD71" s="253" t="s">
        <v>197</v>
      </c>
      <c r="CE71" s="253"/>
      <c r="CF71" s="161" t="n">
        <v>1</v>
      </c>
      <c r="CG71" s="247" t="s">
        <v>527</v>
      </c>
      <c r="CH71" s="0"/>
    </row>
    <row r="72" customFormat="false" ht="12.75" hidden="false" customHeight="false" outlineLevel="0" collapsed="false">
      <c r="A72" s="286"/>
      <c r="B72" s="287" t="e">
        <f aca="false">NextMonth(B71)</f>
        <v>#VALUE!</v>
      </c>
      <c r="C72" s="239" t="n">
        <v>0.0570119405853946</v>
      </c>
      <c r="D72" s="292" t="n">
        <v>1</v>
      </c>
      <c r="E72" s="292" t="n">
        <v>1</v>
      </c>
      <c r="F72" s="292" t="n">
        <v>0.2475</v>
      </c>
      <c r="G72" s="292" t="n">
        <v>0.255</v>
      </c>
      <c r="H72" s="292" t="n">
        <v>0.2625</v>
      </c>
      <c r="I72" s="288" t="n">
        <v>4.517</v>
      </c>
      <c r="J72" s="292" t="n">
        <v>4.522</v>
      </c>
      <c r="K72" s="239" t="n">
        <v>4.527</v>
      </c>
      <c r="L72" s="292" t="n">
        <v>-0.1</v>
      </c>
      <c r="M72" s="239" t="n">
        <v>-0.1</v>
      </c>
      <c r="O72" s="235"/>
      <c r="P72" s="288"/>
      <c r="Q72" s="288"/>
      <c r="R72" s="289" t="e">
        <f aca="false">B72</f>
        <v>#VALUE!</v>
      </c>
      <c r="S72" s="290" t="n">
        <f aca="false">T72-$S$16</f>
        <v>0.93</v>
      </c>
      <c r="T72" s="285" t="n">
        <f aca="false">D72</f>
        <v>1</v>
      </c>
      <c r="U72" s="291" t="n">
        <f aca="false">$U$16+T72</f>
        <v>1.07</v>
      </c>
      <c r="BP72" s="249" t="n">
        <f aca="false">BP71+BV72</f>
        <v>71</v>
      </c>
      <c r="BQ72" s="250" t="s">
        <v>528</v>
      </c>
      <c r="BR72" s="247" t="s">
        <v>195</v>
      </c>
      <c r="BS72" s="161" t="s">
        <v>324</v>
      </c>
      <c r="BT72" s="253" t="s">
        <v>197</v>
      </c>
      <c r="BU72" s="253"/>
      <c r="BV72" s="161" t="n">
        <v>1</v>
      </c>
      <c r="BW72" s="247" t="s">
        <v>529</v>
      </c>
      <c r="BX72" s="0"/>
      <c r="BZ72" s="249" t="n">
        <f aca="false">BZ71+CF72</f>
        <v>71</v>
      </c>
      <c r="CA72" s="73" t="s">
        <v>530</v>
      </c>
      <c r="CB72" s="247" t="s">
        <v>199</v>
      </c>
      <c r="CC72" s="161" t="s">
        <v>196</v>
      </c>
      <c r="CD72" s="253" t="s">
        <v>197</v>
      </c>
      <c r="CE72" s="253"/>
      <c r="CF72" s="161" t="n">
        <v>1</v>
      </c>
      <c r="CG72" s="247" t="s">
        <v>531</v>
      </c>
      <c r="CH72" s="0"/>
    </row>
    <row r="73" customFormat="false" ht="12.75" hidden="false" customHeight="false" outlineLevel="0" collapsed="false">
      <c r="A73" s="286"/>
      <c r="B73" s="287" t="e">
        <f aca="false">NextMonth(B72)</f>
        <v>#VALUE!</v>
      </c>
      <c r="C73" s="239" t="n">
        <v>0.0571409244270864</v>
      </c>
      <c r="D73" s="292" t="n">
        <v>1</v>
      </c>
      <c r="E73" s="292" t="n">
        <v>1</v>
      </c>
      <c r="F73" s="292" t="n">
        <v>0.2475</v>
      </c>
      <c r="G73" s="292" t="n">
        <v>0.255</v>
      </c>
      <c r="H73" s="292" t="n">
        <v>0.2625</v>
      </c>
      <c r="I73" s="288" t="n">
        <v>4.532</v>
      </c>
      <c r="J73" s="292" t="n">
        <v>4.537</v>
      </c>
      <c r="K73" s="239" t="n">
        <v>4.542</v>
      </c>
      <c r="L73" s="292" t="n">
        <v>-0.1</v>
      </c>
      <c r="M73" s="239" t="n">
        <v>-0.1</v>
      </c>
      <c r="O73" s="235"/>
      <c r="P73" s="288"/>
      <c r="Q73" s="288"/>
      <c r="R73" s="289" t="e">
        <f aca="false">B73</f>
        <v>#VALUE!</v>
      </c>
      <c r="S73" s="290" t="n">
        <f aca="false">T73-$S$16</f>
        <v>0.93</v>
      </c>
      <c r="T73" s="285" t="n">
        <f aca="false">D73</f>
        <v>1</v>
      </c>
      <c r="U73" s="291" t="n">
        <f aca="false">$U$16+T73</f>
        <v>1.07</v>
      </c>
      <c r="BP73" s="249" t="n">
        <f aca="false">BP72+BV73</f>
        <v>72</v>
      </c>
      <c r="BQ73" s="250" t="s">
        <v>532</v>
      </c>
      <c r="BR73" s="247" t="s">
        <v>195</v>
      </c>
      <c r="BS73" s="161" t="s">
        <v>324</v>
      </c>
      <c r="BT73" s="253" t="s">
        <v>197</v>
      </c>
      <c r="BU73" s="253"/>
      <c r="BV73" s="161" t="n">
        <v>1</v>
      </c>
      <c r="BW73" s="247" t="s">
        <v>533</v>
      </c>
      <c r="BX73" s="0"/>
      <c r="BZ73" s="249" t="n">
        <f aca="false">BZ72+CF73</f>
        <v>72</v>
      </c>
      <c r="CA73" s="73" t="s">
        <v>534</v>
      </c>
      <c r="CB73" s="247" t="s">
        <v>199</v>
      </c>
      <c r="CC73" s="161" t="s">
        <v>196</v>
      </c>
      <c r="CD73" s="253" t="s">
        <v>197</v>
      </c>
      <c r="CE73" s="253"/>
      <c r="CF73" s="161" t="n">
        <v>1</v>
      </c>
      <c r="CG73" s="247" t="s">
        <v>535</v>
      </c>
      <c r="CH73" s="0"/>
    </row>
    <row r="74" customFormat="false" ht="12.75" hidden="false" customHeight="false" outlineLevel="0" collapsed="false">
      <c r="A74" s="286"/>
      <c r="B74" s="287" t="e">
        <f aca="false">NextMonth(B73)</f>
        <v>#VALUE!</v>
      </c>
      <c r="C74" s="239" t="n">
        <v>0.0572699082743138</v>
      </c>
      <c r="D74" s="292" t="n">
        <v>1</v>
      </c>
      <c r="E74" s="292" t="n">
        <v>1</v>
      </c>
      <c r="F74" s="292" t="n">
        <v>0.2475</v>
      </c>
      <c r="G74" s="292" t="n">
        <v>0.255</v>
      </c>
      <c r="H74" s="292" t="n">
        <v>0.2625</v>
      </c>
      <c r="I74" s="288" t="n">
        <v>4.412</v>
      </c>
      <c r="J74" s="292" t="n">
        <v>4.417</v>
      </c>
      <c r="K74" s="239" t="n">
        <v>4.422</v>
      </c>
      <c r="L74" s="292" t="n">
        <v>-0.1</v>
      </c>
      <c r="M74" s="239" t="n">
        <v>-0.1</v>
      </c>
      <c r="O74" s="235"/>
      <c r="P74" s="288"/>
      <c r="Q74" s="288"/>
      <c r="R74" s="289" t="e">
        <f aca="false">B74</f>
        <v>#VALUE!</v>
      </c>
      <c r="S74" s="290" t="n">
        <f aca="false">T74-$S$16</f>
        <v>0.93</v>
      </c>
      <c r="T74" s="285" t="n">
        <f aca="false">D74</f>
        <v>1</v>
      </c>
      <c r="U74" s="291" t="n">
        <f aca="false">$U$16+T74</f>
        <v>1.07</v>
      </c>
      <c r="BP74" s="249" t="n">
        <f aca="false">BP73+BV74</f>
        <v>73</v>
      </c>
      <c r="BQ74" s="250" t="s">
        <v>536</v>
      </c>
      <c r="BR74" s="247" t="s">
        <v>195</v>
      </c>
      <c r="BS74" s="161" t="s">
        <v>324</v>
      </c>
      <c r="BT74" s="253" t="s">
        <v>197</v>
      </c>
      <c r="BU74" s="253"/>
      <c r="BV74" s="161" t="n">
        <v>1</v>
      </c>
      <c r="BW74" s="247" t="s">
        <v>537</v>
      </c>
      <c r="BX74" s="0"/>
      <c r="BZ74" s="249" t="n">
        <f aca="false">BZ73+CF74</f>
        <v>73</v>
      </c>
      <c r="CA74" s="73" t="s">
        <v>538</v>
      </c>
      <c r="CB74" s="247" t="s">
        <v>199</v>
      </c>
      <c r="CC74" s="161" t="s">
        <v>196</v>
      </c>
      <c r="CD74" s="253" t="s">
        <v>197</v>
      </c>
      <c r="CE74" s="253"/>
      <c r="CF74" s="161" t="n">
        <v>1</v>
      </c>
      <c r="CG74" s="247" t="s">
        <v>539</v>
      </c>
      <c r="CH74" s="0"/>
    </row>
    <row r="75" customFormat="false" ht="12.75" hidden="false" customHeight="false" outlineLevel="0" collapsed="false">
      <c r="A75" s="286"/>
      <c r="B75" s="287" t="e">
        <f aca="false">NextMonth(B74)</f>
        <v>#VALUE!</v>
      </c>
      <c r="C75" s="239" t="n">
        <v>0.0573864098185024</v>
      </c>
      <c r="D75" s="292" t="n">
        <v>0.75</v>
      </c>
      <c r="E75" s="292" t="n">
        <v>0.75</v>
      </c>
      <c r="F75" s="292" t="n">
        <v>0.24</v>
      </c>
      <c r="G75" s="292" t="n">
        <v>0.2475</v>
      </c>
      <c r="H75" s="292" t="n">
        <v>0.255</v>
      </c>
      <c r="I75" s="288" t="n">
        <v>4.272</v>
      </c>
      <c r="J75" s="292" t="n">
        <v>4.277</v>
      </c>
      <c r="K75" s="239" t="n">
        <v>4.282</v>
      </c>
      <c r="L75" s="292" t="n">
        <v>-0.1</v>
      </c>
      <c r="M75" s="239" t="n">
        <v>-0.1</v>
      </c>
      <c r="O75" s="235"/>
      <c r="P75" s="288"/>
      <c r="Q75" s="288"/>
      <c r="R75" s="289" t="e">
        <f aca="false">B75</f>
        <v>#VALUE!</v>
      </c>
      <c r="S75" s="290" t="n">
        <f aca="false">T75-$S$16</f>
        <v>0.68</v>
      </c>
      <c r="T75" s="285" t="n">
        <f aca="false">D75</f>
        <v>0.75</v>
      </c>
      <c r="U75" s="291" t="n">
        <f aca="false">$U$16+T75</f>
        <v>0.82</v>
      </c>
      <c r="BP75" s="249" t="n">
        <f aca="false">BP74+BV75</f>
        <v>74</v>
      </c>
      <c r="BQ75" s="250" t="s">
        <v>540</v>
      </c>
      <c r="BR75" s="247" t="s">
        <v>195</v>
      </c>
      <c r="BS75" s="161" t="s">
        <v>324</v>
      </c>
      <c r="BT75" s="253" t="s">
        <v>197</v>
      </c>
      <c r="BU75" s="253"/>
      <c r="BV75" s="161" t="n">
        <v>1</v>
      </c>
      <c r="BW75" s="247" t="s">
        <v>541</v>
      </c>
      <c r="BX75" s="0"/>
      <c r="BZ75" s="249" t="n">
        <f aca="false">BZ74+CF75</f>
        <v>74</v>
      </c>
      <c r="CA75" s="73" t="s">
        <v>542</v>
      </c>
      <c r="CB75" s="247" t="s">
        <v>199</v>
      </c>
      <c r="CC75" s="161" t="s">
        <v>196</v>
      </c>
      <c r="CD75" s="253" t="s">
        <v>197</v>
      </c>
      <c r="CE75" s="253"/>
      <c r="CF75" s="161" t="n">
        <v>1</v>
      </c>
      <c r="CG75" s="247" t="s">
        <v>543</v>
      </c>
      <c r="CH75" s="0"/>
    </row>
    <row r="76" customFormat="false" ht="12.75" hidden="false" customHeight="false" outlineLevel="0" collapsed="false">
      <c r="A76" s="286"/>
      <c r="B76" s="287" t="e">
        <f aca="false">NextMonth(B75)</f>
        <v>#VALUE!</v>
      </c>
      <c r="C76" s="239" t="n">
        <v>0.0575153936762645</v>
      </c>
      <c r="D76" s="292" t="n">
        <v>0.4</v>
      </c>
      <c r="E76" s="292" t="n">
        <v>0.4</v>
      </c>
      <c r="F76" s="292" t="n">
        <v>0.235</v>
      </c>
      <c r="G76" s="292" t="n">
        <v>0.2425</v>
      </c>
      <c r="H76" s="292" t="n">
        <v>0.25</v>
      </c>
      <c r="I76" s="288" t="n">
        <v>4.13</v>
      </c>
      <c r="J76" s="292" t="n">
        <v>4.135</v>
      </c>
      <c r="K76" s="239" t="n">
        <v>4.14</v>
      </c>
      <c r="L76" s="292" t="n">
        <v>-0.1</v>
      </c>
      <c r="M76" s="239" t="n">
        <v>-0.1</v>
      </c>
      <c r="O76" s="235"/>
      <c r="P76" s="288"/>
      <c r="Q76" s="288"/>
      <c r="R76" s="289" t="e">
        <f aca="false">B76</f>
        <v>#VALUE!</v>
      </c>
      <c r="S76" s="290" t="n">
        <f aca="false">T76-$S$16</f>
        <v>0.33</v>
      </c>
      <c r="T76" s="285" t="n">
        <f aca="false">D76</f>
        <v>0.4</v>
      </c>
      <c r="U76" s="291" t="n">
        <f aca="false">$U$16+T76</f>
        <v>0.47</v>
      </c>
      <c r="BP76" s="249" t="n">
        <f aca="false">BP75+BV76</f>
        <v>75</v>
      </c>
      <c r="BQ76" s="250" t="s">
        <v>544</v>
      </c>
      <c r="BR76" s="247" t="s">
        <v>195</v>
      </c>
      <c r="BS76" s="161" t="s">
        <v>324</v>
      </c>
      <c r="BT76" s="253" t="s">
        <v>197</v>
      </c>
      <c r="BU76" s="253"/>
      <c r="BV76" s="161" t="n">
        <v>1</v>
      </c>
      <c r="BW76" s="247" t="s">
        <v>545</v>
      </c>
      <c r="BX76" s="0"/>
      <c r="BZ76" s="249" t="n">
        <f aca="false">BZ75+CF76</f>
        <v>75</v>
      </c>
      <c r="CA76" s="73" t="s">
        <v>546</v>
      </c>
      <c r="CB76" s="247" t="s">
        <v>199</v>
      </c>
      <c r="CC76" s="161" t="s">
        <v>196</v>
      </c>
      <c r="CD76" s="253" t="s">
        <v>197</v>
      </c>
      <c r="CE76" s="253"/>
      <c r="CF76" s="161" t="n">
        <v>1</v>
      </c>
      <c r="CG76" s="247" t="s">
        <v>547</v>
      </c>
      <c r="CH76" s="0"/>
    </row>
    <row r="77" customFormat="false" ht="12.75" hidden="false" customHeight="false" outlineLevel="0" collapsed="false">
      <c r="A77" s="286"/>
      <c r="B77" s="287" t="e">
        <f aca="false">NextMonth(B76)</f>
        <v>#VALUE!</v>
      </c>
      <c r="C77" s="239" t="n">
        <v>0.0576337794890192</v>
      </c>
      <c r="D77" s="292" t="n">
        <v>0.4</v>
      </c>
      <c r="E77" s="292" t="n">
        <v>0.4</v>
      </c>
      <c r="F77" s="292" t="n">
        <v>0.2325</v>
      </c>
      <c r="G77" s="292" t="n">
        <v>0.24</v>
      </c>
      <c r="H77" s="292" t="n">
        <v>0.2475</v>
      </c>
      <c r="I77" s="288" t="n">
        <v>4.164</v>
      </c>
      <c r="J77" s="292" t="n">
        <v>4.169</v>
      </c>
      <c r="K77" s="239" t="n">
        <v>4.174</v>
      </c>
      <c r="L77" s="292" t="n">
        <v>-0.1</v>
      </c>
      <c r="M77" s="239" t="n">
        <v>-0.1</v>
      </c>
      <c r="O77" s="235"/>
      <c r="P77" s="288"/>
      <c r="Q77" s="288"/>
      <c r="R77" s="289" t="e">
        <f aca="false">B77</f>
        <v>#VALUE!</v>
      </c>
      <c r="S77" s="290" t="n">
        <f aca="false">T77-$S$16</f>
        <v>0.33</v>
      </c>
      <c r="T77" s="285" t="n">
        <f aca="false">D77</f>
        <v>0.4</v>
      </c>
      <c r="U77" s="291" t="n">
        <f aca="false">$U$16+T77</f>
        <v>0.47</v>
      </c>
      <c r="BP77" s="249" t="n">
        <f aca="false">BP76+BV77</f>
        <v>76</v>
      </c>
      <c r="BQ77" s="250" t="s">
        <v>548</v>
      </c>
      <c r="BR77" s="247" t="s">
        <v>195</v>
      </c>
      <c r="BS77" s="161" t="s">
        <v>324</v>
      </c>
      <c r="BT77" s="253" t="s">
        <v>197</v>
      </c>
      <c r="BU77" s="253"/>
      <c r="BV77" s="161" t="n">
        <v>1</v>
      </c>
      <c r="BW77" s="247" t="s">
        <v>549</v>
      </c>
      <c r="BX77" s="0"/>
      <c r="BZ77" s="249" t="n">
        <f aca="false">BZ76+CF77</f>
        <v>76</v>
      </c>
      <c r="CA77" s="73" t="s">
        <v>550</v>
      </c>
      <c r="CB77" s="247" t="s">
        <v>199</v>
      </c>
      <c r="CC77" s="161" t="s">
        <v>196</v>
      </c>
      <c r="CD77" s="253" t="s">
        <v>197</v>
      </c>
      <c r="CE77" s="253"/>
      <c r="CF77" s="161" t="n">
        <v>1</v>
      </c>
      <c r="CG77" s="247" t="s">
        <v>551</v>
      </c>
      <c r="CH77" s="0"/>
    </row>
    <row r="78" customFormat="false" ht="12.75" hidden="false" customHeight="false" outlineLevel="0" collapsed="false">
      <c r="A78" s="286"/>
      <c r="B78" s="287" t="e">
        <f aca="false">NextMonth(B77)</f>
        <v>#VALUE!</v>
      </c>
      <c r="C78" s="239" t="n">
        <v>0.0577474129182689</v>
      </c>
      <c r="D78" s="292" t="n">
        <v>0.4</v>
      </c>
      <c r="E78" s="292" t="n">
        <v>0.4</v>
      </c>
      <c r="F78" s="292" t="n">
        <v>0.2325</v>
      </c>
      <c r="G78" s="292" t="n">
        <v>0.24</v>
      </c>
      <c r="H78" s="292" t="n">
        <v>0.2475</v>
      </c>
      <c r="I78" s="288" t="n">
        <v>4.197</v>
      </c>
      <c r="J78" s="292" t="n">
        <v>4.202</v>
      </c>
      <c r="K78" s="239" t="n">
        <v>4.207</v>
      </c>
      <c r="L78" s="292" t="n">
        <v>-0.1</v>
      </c>
      <c r="M78" s="239" t="n">
        <v>-0.1</v>
      </c>
      <c r="O78" s="235"/>
      <c r="P78" s="288"/>
      <c r="Q78" s="288"/>
      <c r="R78" s="289" t="e">
        <f aca="false">B78</f>
        <v>#VALUE!</v>
      </c>
      <c r="S78" s="290" t="n">
        <f aca="false">T78-$S$16</f>
        <v>0.33</v>
      </c>
      <c r="T78" s="285" t="n">
        <f aca="false">D78</f>
        <v>0.4</v>
      </c>
      <c r="U78" s="291" t="n">
        <f aca="false">$U$16+T78</f>
        <v>0.47</v>
      </c>
      <c r="BP78" s="249" t="n">
        <f aca="false">BP77+BV78</f>
        <v>77</v>
      </c>
      <c r="BQ78" s="250" t="s">
        <v>552</v>
      </c>
      <c r="BR78" s="247" t="s">
        <v>195</v>
      </c>
      <c r="BS78" s="161" t="s">
        <v>324</v>
      </c>
      <c r="BT78" s="253" t="s">
        <v>197</v>
      </c>
      <c r="BU78" s="253"/>
      <c r="BV78" s="161" t="n">
        <v>1</v>
      </c>
      <c r="BW78" s="247" t="s">
        <v>553</v>
      </c>
      <c r="BX78" s="0"/>
      <c r="BZ78" s="249" t="n">
        <f aca="false">BZ77+CF78</f>
        <v>77</v>
      </c>
      <c r="CA78" s="73" t="s">
        <v>554</v>
      </c>
      <c r="CB78" s="247" t="s">
        <v>199</v>
      </c>
      <c r="CC78" s="161" t="s">
        <v>196</v>
      </c>
      <c r="CD78" s="253" t="s">
        <v>197</v>
      </c>
      <c r="CE78" s="253"/>
      <c r="CF78" s="161" t="n">
        <v>1</v>
      </c>
      <c r="CG78" s="247" t="s">
        <v>555</v>
      </c>
      <c r="CH78" s="0"/>
    </row>
    <row r="79" customFormat="false" ht="12.75" hidden="false" customHeight="false" outlineLevel="0" collapsed="false">
      <c r="A79" s="286"/>
      <c r="B79" s="287" t="e">
        <f aca="false">NextMonth(B78)</f>
        <v>#VALUE!</v>
      </c>
      <c r="C79" s="239" t="n">
        <v>0.0578573807571159</v>
      </c>
      <c r="D79" s="292" t="n">
        <v>0.4</v>
      </c>
      <c r="E79" s="292" t="n">
        <v>0.4</v>
      </c>
      <c r="F79" s="292" t="n">
        <v>0.2325</v>
      </c>
      <c r="G79" s="292" t="n">
        <v>0.24</v>
      </c>
      <c r="H79" s="292" t="n">
        <v>0.2475</v>
      </c>
      <c r="I79" s="288" t="n">
        <v>4.242</v>
      </c>
      <c r="J79" s="292" t="n">
        <v>4.247</v>
      </c>
      <c r="K79" s="239" t="n">
        <v>4.252</v>
      </c>
      <c r="L79" s="292" t="n">
        <v>-0.1</v>
      </c>
      <c r="M79" s="239" t="n">
        <v>-0.1</v>
      </c>
      <c r="O79" s="235"/>
      <c r="P79" s="288"/>
      <c r="Q79" s="288"/>
      <c r="R79" s="289" t="e">
        <f aca="false">B79</f>
        <v>#VALUE!</v>
      </c>
      <c r="S79" s="290" t="n">
        <f aca="false">T79-$S$16</f>
        <v>0.33</v>
      </c>
      <c r="T79" s="285" t="n">
        <f aca="false">D79</f>
        <v>0.4</v>
      </c>
      <c r="U79" s="291" t="n">
        <f aca="false">$U$16+T79</f>
        <v>0.47</v>
      </c>
      <c r="BP79" s="249" t="n">
        <f aca="false">BP78+BV79</f>
        <v>78</v>
      </c>
      <c r="BQ79" s="250" t="s">
        <v>556</v>
      </c>
      <c r="BR79" s="247" t="s">
        <v>195</v>
      </c>
      <c r="BS79" s="161" t="s">
        <v>324</v>
      </c>
      <c r="BT79" s="253" t="s">
        <v>197</v>
      </c>
      <c r="BU79" s="253"/>
      <c r="BV79" s="161" t="n">
        <v>1</v>
      </c>
      <c r="BW79" s="247" t="s">
        <v>557</v>
      </c>
      <c r="BX79" s="0"/>
      <c r="BZ79" s="249" t="n">
        <f aca="false">BZ78+CF79</f>
        <v>78</v>
      </c>
      <c r="CA79" s="73" t="s">
        <v>558</v>
      </c>
      <c r="CB79" s="247" t="s">
        <v>199</v>
      </c>
      <c r="CC79" s="161" t="s">
        <v>196</v>
      </c>
      <c r="CD79" s="253" t="s">
        <v>197</v>
      </c>
      <c r="CE79" s="253"/>
      <c r="CF79" s="161" t="n">
        <v>1</v>
      </c>
      <c r="CG79" s="247" t="s">
        <v>559</v>
      </c>
      <c r="CH79" s="0"/>
    </row>
    <row r="80" customFormat="false" ht="12.75" hidden="false" customHeight="false" outlineLevel="0" collapsed="false">
      <c r="A80" s="286"/>
      <c r="B80" s="287" t="e">
        <f aca="false">NextMonth(B79)</f>
        <v>#VALUE!</v>
      </c>
      <c r="C80" s="239" t="n">
        <v>0.0579710141948171</v>
      </c>
      <c r="D80" s="292" t="n">
        <v>0.5</v>
      </c>
      <c r="E80" s="292" t="n">
        <v>0.5</v>
      </c>
      <c r="F80" s="292" t="n">
        <v>0.2325</v>
      </c>
      <c r="G80" s="292" t="n">
        <v>0.24</v>
      </c>
      <c r="H80" s="292" t="n">
        <v>0.2475</v>
      </c>
      <c r="I80" s="288" t="n">
        <v>4.277</v>
      </c>
      <c r="J80" s="292" t="n">
        <v>4.282</v>
      </c>
      <c r="K80" s="239" t="n">
        <v>4.287</v>
      </c>
      <c r="L80" s="292" t="n">
        <v>-0.1</v>
      </c>
      <c r="M80" s="239" t="n">
        <v>-0.1</v>
      </c>
      <c r="O80" s="235"/>
      <c r="P80" s="288"/>
      <c r="Q80" s="288"/>
      <c r="R80" s="289" t="e">
        <f aca="false">B80</f>
        <v>#VALUE!</v>
      </c>
      <c r="S80" s="290" t="n">
        <f aca="false">T80-$S$16</f>
        <v>0.43</v>
      </c>
      <c r="T80" s="285" t="n">
        <f aca="false">D80</f>
        <v>0.5</v>
      </c>
      <c r="U80" s="291" t="n">
        <f aca="false">$U$16+T80</f>
        <v>0.57</v>
      </c>
      <c r="BP80" s="249" t="n">
        <f aca="false">BP79+BV80</f>
        <v>79</v>
      </c>
      <c r="BQ80" s="250" t="s">
        <v>560</v>
      </c>
      <c r="BR80" s="247" t="s">
        <v>195</v>
      </c>
      <c r="BS80" s="161" t="s">
        <v>324</v>
      </c>
      <c r="BT80" s="253" t="s">
        <v>197</v>
      </c>
      <c r="BU80" s="253"/>
      <c r="BV80" s="161" t="n">
        <v>1</v>
      </c>
      <c r="BW80" s="247" t="s">
        <v>561</v>
      </c>
      <c r="BX80" s="0"/>
      <c r="BZ80" s="249" t="n">
        <f aca="false">BZ79+CF80</f>
        <v>79</v>
      </c>
      <c r="CA80" s="73" t="s">
        <v>562</v>
      </c>
      <c r="CB80" s="247" t="s">
        <v>199</v>
      </c>
      <c r="CC80" s="161" t="s">
        <v>196</v>
      </c>
      <c r="CD80" s="253" t="s">
        <v>197</v>
      </c>
      <c r="CE80" s="253"/>
      <c r="CF80" s="161" t="n">
        <v>1</v>
      </c>
      <c r="CG80" s="247" t="s">
        <v>563</v>
      </c>
      <c r="CH80" s="0"/>
    </row>
    <row r="81" customFormat="false" ht="12.75" hidden="false" customHeight="false" outlineLevel="0" collapsed="false">
      <c r="A81" s="286"/>
      <c r="B81" s="287" t="e">
        <f aca="false">NextMonth(B80)</f>
        <v>#VALUE!</v>
      </c>
      <c r="C81" s="239" t="n">
        <v>0.0580846476368126</v>
      </c>
      <c r="D81" s="292" t="n">
        <v>0.55</v>
      </c>
      <c r="E81" s="292" t="n">
        <v>0.55</v>
      </c>
      <c r="F81" s="292" t="n">
        <v>0.2325</v>
      </c>
      <c r="G81" s="292" t="n">
        <v>0.24</v>
      </c>
      <c r="H81" s="292" t="n">
        <v>0.2475</v>
      </c>
      <c r="I81" s="288" t="n">
        <v>4.282</v>
      </c>
      <c r="J81" s="292" t="n">
        <v>4.287</v>
      </c>
      <c r="K81" s="239" t="n">
        <v>4.292</v>
      </c>
      <c r="L81" s="292" t="n">
        <v>-0.1</v>
      </c>
      <c r="M81" s="239" t="n">
        <v>-0.1</v>
      </c>
      <c r="O81" s="235"/>
      <c r="P81" s="288"/>
      <c r="Q81" s="288"/>
      <c r="R81" s="289" t="e">
        <f aca="false">B81</f>
        <v>#VALUE!</v>
      </c>
      <c r="S81" s="290" t="n">
        <f aca="false">T81-$S$16</f>
        <v>0.48</v>
      </c>
      <c r="T81" s="285" t="n">
        <f aca="false">D81</f>
        <v>0.55</v>
      </c>
      <c r="U81" s="291" t="n">
        <f aca="false">$U$16+T81</f>
        <v>0.62</v>
      </c>
      <c r="BP81" s="249" t="n">
        <f aca="false">BP80+BV81</f>
        <v>80</v>
      </c>
      <c r="BQ81" s="250" t="s">
        <v>564</v>
      </c>
      <c r="BR81" s="247" t="s">
        <v>195</v>
      </c>
      <c r="BS81" s="161" t="s">
        <v>324</v>
      </c>
      <c r="BT81" s="253" t="s">
        <v>197</v>
      </c>
      <c r="BU81" s="253"/>
      <c r="BV81" s="161" t="n">
        <v>1</v>
      </c>
      <c r="BW81" s="247" t="s">
        <v>565</v>
      </c>
      <c r="BX81" s="0"/>
      <c r="BZ81" s="249" t="n">
        <f aca="false">BZ80+CF81</f>
        <v>80</v>
      </c>
      <c r="CA81" s="73" t="s">
        <v>566</v>
      </c>
      <c r="CB81" s="247" t="s">
        <v>199</v>
      </c>
      <c r="CC81" s="161" t="s">
        <v>196</v>
      </c>
      <c r="CD81" s="253" t="s">
        <v>197</v>
      </c>
      <c r="CE81" s="253"/>
      <c r="CF81" s="161" t="n">
        <v>1</v>
      </c>
      <c r="CG81" s="247" t="s">
        <v>567</v>
      </c>
      <c r="CH81" s="0"/>
    </row>
    <row r="82" customFormat="false" ht="12.75" hidden="false" customHeight="false" outlineLevel="0" collapsed="false">
      <c r="A82" s="286"/>
      <c r="B82" s="287" t="e">
        <f aca="false">NextMonth(B81)</f>
        <v>#VALUE!</v>
      </c>
      <c r="C82" s="239" t="n">
        <v>0.0581946154879938</v>
      </c>
      <c r="D82" s="292" t="n">
        <v>0.55</v>
      </c>
      <c r="E82" s="292" t="n">
        <v>0.55</v>
      </c>
      <c r="F82" s="292" t="n">
        <v>0.2325</v>
      </c>
      <c r="G82" s="292" t="n">
        <v>0.24</v>
      </c>
      <c r="H82" s="292" t="n">
        <v>0.2475</v>
      </c>
      <c r="I82" s="288" t="n">
        <v>4.307</v>
      </c>
      <c r="J82" s="292" t="n">
        <v>4.312</v>
      </c>
      <c r="K82" s="239" t="n">
        <v>4.317</v>
      </c>
      <c r="L82" s="292" t="n">
        <v>-0.1</v>
      </c>
      <c r="M82" s="239" t="n">
        <v>-0.1</v>
      </c>
      <c r="O82" s="235"/>
      <c r="P82" s="288"/>
      <c r="Q82" s="288"/>
      <c r="R82" s="289" t="e">
        <f aca="false">B82</f>
        <v>#VALUE!</v>
      </c>
      <c r="S82" s="290" t="n">
        <f aca="false">T82-$S$16</f>
        <v>0.48</v>
      </c>
      <c r="T82" s="285" t="n">
        <f aca="false">D82</f>
        <v>0.55</v>
      </c>
      <c r="U82" s="291" t="n">
        <f aca="false">$U$16+T82</f>
        <v>0.62</v>
      </c>
      <c r="BP82" s="249" t="n">
        <f aca="false">BP81+BV82</f>
        <v>81</v>
      </c>
      <c r="BQ82" s="250" t="s">
        <v>568</v>
      </c>
      <c r="BR82" s="247" t="s">
        <v>195</v>
      </c>
      <c r="BS82" s="161" t="s">
        <v>324</v>
      </c>
      <c r="BT82" s="253" t="s">
        <v>197</v>
      </c>
      <c r="BU82" s="253"/>
      <c r="BV82" s="161" t="n">
        <v>1</v>
      </c>
      <c r="BW82" s="247" t="s">
        <v>569</v>
      </c>
      <c r="BX82" s="0"/>
      <c r="BZ82" s="249" t="n">
        <f aca="false">BZ81+CF82</f>
        <v>81</v>
      </c>
      <c r="CA82" s="73" t="s">
        <v>570</v>
      </c>
      <c r="CB82" s="247" t="s">
        <v>199</v>
      </c>
      <c r="CC82" s="161" t="s">
        <v>196</v>
      </c>
      <c r="CD82" s="253" t="s">
        <v>197</v>
      </c>
      <c r="CE82" s="253"/>
      <c r="CF82" s="161" t="n">
        <v>1</v>
      </c>
      <c r="CG82" s="247" t="s">
        <v>571</v>
      </c>
      <c r="CH82" s="0"/>
    </row>
    <row r="83" customFormat="false" ht="12.75" hidden="false" customHeight="false" outlineLevel="0" collapsed="false">
      <c r="A83" s="286"/>
      <c r="B83" s="287" t="e">
        <f aca="false">NextMonth(B82)</f>
        <v>#VALUE!</v>
      </c>
      <c r="C83" s="239" t="n">
        <v>0.0583082489384394</v>
      </c>
      <c r="D83" s="292" t="n">
        <v>0.8</v>
      </c>
      <c r="E83" s="292" t="n">
        <v>0.8</v>
      </c>
      <c r="F83" s="292" t="n">
        <v>0.235</v>
      </c>
      <c r="G83" s="292" t="n">
        <v>0.2425</v>
      </c>
      <c r="H83" s="292" t="n">
        <v>0.25</v>
      </c>
      <c r="I83" s="288" t="n">
        <v>4.417</v>
      </c>
      <c r="J83" s="292" t="n">
        <v>4.422</v>
      </c>
      <c r="K83" s="239" t="n">
        <v>4.427</v>
      </c>
      <c r="L83" s="292" t="n">
        <v>-0.1225</v>
      </c>
      <c r="M83" s="239" t="n">
        <v>-0.1225</v>
      </c>
      <c r="O83" s="235"/>
      <c r="P83" s="288"/>
      <c r="Q83" s="288"/>
      <c r="R83" s="289" t="e">
        <f aca="false">B83</f>
        <v>#VALUE!</v>
      </c>
      <c r="S83" s="290" t="n">
        <f aca="false">T83-$S$16</f>
        <v>0.73</v>
      </c>
      <c r="T83" s="285" t="n">
        <f aca="false">D83</f>
        <v>0.8</v>
      </c>
      <c r="U83" s="291" t="n">
        <f aca="false">$U$16+T83</f>
        <v>0.87</v>
      </c>
      <c r="BP83" s="249" t="n">
        <f aca="false">BP82+BV83</f>
        <v>82</v>
      </c>
      <c r="BQ83" s="250" t="s">
        <v>572</v>
      </c>
      <c r="BR83" s="247" t="s">
        <v>195</v>
      </c>
      <c r="BS83" s="161" t="s">
        <v>324</v>
      </c>
      <c r="BT83" s="253" t="s">
        <v>197</v>
      </c>
      <c r="BU83" s="253"/>
      <c r="BV83" s="161" t="n">
        <v>1</v>
      </c>
      <c r="BW83" s="247" t="s">
        <v>573</v>
      </c>
      <c r="BX83" s="0"/>
      <c r="BZ83" s="249" t="n">
        <f aca="false">BZ82+CF83</f>
        <v>82</v>
      </c>
      <c r="CA83" s="73" t="s">
        <v>574</v>
      </c>
      <c r="CB83" s="247" t="s">
        <v>199</v>
      </c>
      <c r="CC83" s="161" t="s">
        <v>196</v>
      </c>
      <c r="CD83" s="253" t="s">
        <v>197</v>
      </c>
      <c r="CE83" s="253"/>
      <c r="CF83" s="161" t="n">
        <v>1</v>
      </c>
      <c r="CG83" s="247" t="s">
        <v>575</v>
      </c>
      <c r="CH83" s="0"/>
    </row>
    <row r="84" customFormat="false" ht="12.75" hidden="false" customHeight="false" outlineLevel="0" collapsed="false">
      <c r="A84" s="286"/>
      <c r="B84" s="287" t="e">
        <f aca="false">NextMonth(B83)</f>
        <v>#VALUE!</v>
      </c>
      <c r="C84" s="239" t="n">
        <v>0.0584182167977976</v>
      </c>
      <c r="D84" s="292" t="n">
        <v>1</v>
      </c>
      <c r="E84" s="292" t="n">
        <v>1</v>
      </c>
      <c r="F84" s="292" t="n">
        <v>0.2425</v>
      </c>
      <c r="G84" s="292" t="n">
        <v>0.25</v>
      </c>
      <c r="H84" s="292" t="n">
        <v>0.2575</v>
      </c>
      <c r="I84" s="288" t="n">
        <v>4.537</v>
      </c>
      <c r="J84" s="292" t="n">
        <v>4.542</v>
      </c>
      <c r="K84" s="239" t="n">
        <v>4.547</v>
      </c>
      <c r="L84" s="292" t="n">
        <v>-0.1175</v>
      </c>
      <c r="M84" s="239" t="n">
        <v>-0.1175</v>
      </c>
      <c r="O84" s="235"/>
      <c r="P84" s="288"/>
      <c r="Q84" s="288"/>
      <c r="R84" s="289" t="e">
        <f aca="false">B84</f>
        <v>#VALUE!</v>
      </c>
      <c r="S84" s="290" t="n">
        <f aca="false">T84-$S$16</f>
        <v>0.93</v>
      </c>
      <c r="T84" s="285" t="n">
        <f aca="false">D84</f>
        <v>1</v>
      </c>
      <c r="U84" s="291" t="n">
        <f aca="false">$U$16+T84</f>
        <v>1.07</v>
      </c>
      <c r="BP84" s="249" t="n">
        <f aca="false">BP83+BV84</f>
        <v>83</v>
      </c>
      <c r="BQ84" s="250" t="s">
        <v>576</v>
      </c>
      <c r="BR84" s="247" t="s">
        <v>195</v>
      </c>
      <c r="BS84" s="161" t="s">
        <v>324</v>
      </c>
      <c r="BT84" s="253" t="s">
        <v>197</v>
      </c>
      <c r="BU84" s="253"/>
      <c r="BV84" s="161" t="n">
        <v>1</v>
      </c>
      <c r="BW84" s="247" t="s">
        <v>577</v>
      </c>
      <c r="BX84" s="0"/>
      <c r="BZ84" s="249" t="n">
        <f aca="false">BZ83+CF84</f>
        <v>83</v>
      </c>
      <c r="CA84" s="73" t="s">
        <v>578</v>
      </c>
      <c r="CB84" s="247" t="s">
        <v>199</v>
      </c>
      <c r="CC84" s="161" t="s">
        <v>196</v>
      </c>
      <c r="CD84" s="253" t="s">
        <v>197</v>
      </c>
      <c r="CE84" s="253"/>
      <c r="CF84" s="161" t="n">
        <v>1</v>
      </c>
      <c r="CG84" s="247" t="s">
        <v>579</v>
      </c>
      <c r="CH84" s="0"/>
    </row>
    <row r="85" customFormat="false" ht="12.75" hidden="false" customHeight="false" outlineLevel="0" collapsed="false">
      <c r="A85" s="286"/>
      <c r="B85" s="287" t="e">
        <f aca="false">NextMonth(B84)</f>
        <v>#VALUE!</v>
      </c>
      <c r="C85" s="239" t="n">
        <v>0.0585318502566925</v>
      </c>
      <c r="D85" s="292" t="n">
        <v>1</v>
      </c>
      <c r="E85" s="292" t="n">
        <v>1</v>
      </c>
      <c r="F85" s="292" t="n">
        <v>0.245</v>
      </c>
      <c r="G85" s="292" t="n">
        <v>0.2525</v>
      </c>
      <c r="H85" s="292" t="n">
        <v>0.26</v>
      </c>
      <c r="I85" s="288" t="n">
        <v>4.567</v>
      </c>
      <c r="J85" s="292" t="n">
        <v>4.572</v>
      </c>
      <c r="K85" s="239" t="n">
        <v>4.577</v>
      </c>
      <c r="L85" s="292" t="n">
        <v>-0.1175</v>
      </c>
      <c r="M85" s="239" t="n">
        <v>-0.1175</v>
      </c>
      <c r="O85" s="235"/>
      <c r="P85" s="288"/>
      <c r="Q85" s="288"/>
      <c r="R85" s="289" t="e">
        <f aca="false">B85</f>
        <v>#VALUE!</v>
      </c>
      <c r="S85" s="290" t="n">
        <f aca="false">T85-$S$16</f>
        <v>0.93</v>
      </c>
      <c r="T85" s="285" t="n">
        <f aca="false">D85</f>
        <v>1</v>
      </c>
      <c r="U85" s="291" t="n">
        <f aca="false">$U$16+T85</f>
        <v>1.07</v>
      </c>
      <c r="BP85" s="249" t="n">
        <f aca="false">BP84+BV85</f>
        <v>84</v>
      </c>
      <c r="BQ85" s="250" t="s">
        <v>580</v>
      </c>
      <c r="BR85" s="247" t="s">
        <v>195</v>
      </c>
      <c r="BS85" s="161" t="s">
        <v>324</v>
      </c>
      <c r="BT85" s="253" t="s">
        <v>197</v>
      </c>
      <c r="BU85" s="253"/>
      <c r="BV85" s="161" t="n">
        <v>1</v>
      </c>
      <c r="BW85" s="247" t="s">
        <v>581</v>
      </c>
      <c r="BX85" s="0"/>
      <c r="BZ85" s="249" t="n">
        <f aca="false">BZ84+CF85</f>
        <v>84</v>
      </c>
      <c r="CA85" s="73" t="s">
        <v>582</v>
      </c>
      <c r="CB85" s="247" t="s">
        <v>199</v>
      </c>
      <c r="CC85" s="161" t="s">
        <v>196</v>
      </c>
      <c r="CD85" s="253" t="s">
        <v>197</v>
      </c>
      <c r="CE85" s="253"/>
      <c r="CF85" s="161" t="n">
        <v>1</v>
      </c>
      <c r="CG85" s="247" t="s">
        <v>583</v>
      </c>
      <c r="CH85" s="0"/>
    </row>
    <row r="86" customFormat="false" ht="12.75" hidden="false" customHeight="false" outlineLevel="0" collapsed="false">
      <c r="A86" s="286"/>
      <c r="B86" s="287" t="e">
        <f aca="false">NextMonth(B85)</f>
        <v>#VALUE!</v>
      </c>
      <c r="C86" s="239" t="n">
        <v>0.05864548371988</v>
      </c>
      <c r="D86" s="292" t="n">
        <v>1</v>
      </c>
      <c r="E86" s="292" t="n">
        <v>1</v>
      </c>
      <c r="F86" s="292" t="n">
        <v>0.2325</v>
      </c>
      <c r="G86" s="292" t="n">
        <v>0.24</v>
      </c>
      <c r="H86" s="292" t="n">
        <v>0.2475</v>
      </c>
      <c r="I86" s="288" t="n">
        <v>4.447</v>
      </c>
      <c r="J86" s="292" t="n">
        <v>4.452</v>
      </c>
      <c r="K86" s="239" t="n">
        <v>4.457</v>
      </c>
      <c r="L86" s="292" t="n">
        <v>-0.12</v>
      </c>
      <c r="M86" s="239" t="n">
        <v>-0.12</v>
      </c>
      <c r="O86" s="235"/>
      <c r="P86" s="288"/>
      <c r="Q86" s="288"/>
      <c r="R86" s="289" t="e">
        <f aca="false">B86</f>
        <v>#VALUE!</v>
      </c>
      <c r="S86" s="290" t="n">
        <f aca="false">T86-$S$16</f>
        <v>0.93</v>
      </c>
      <c r="T86" s="285" t="n">
        <f aca="false">D86</f>
        <v>1</v>
      </c>
      <c r="U86" s="291" t="n">
        <f aca="false">$U$16+T86</f>
        <v>1.07</v>
      </c>
      <c r="BP86" s="249" t="n">
        <f aca="false">BP85+BV86</f>
        <v>85</v>
      </c>
      <c r="BQ86" s="250" t="s">
        <v>584</v>
      </c>
      <c r="BR86" s="247" t="s">
        <v>195</v>
      </c>
      <c r="BS86" s="161" t="s">
        <v>324</v>
      </c>
      <c r="BT86" s="253" t="s">
        <v>197</v>
      </c>
      <c r="BU86" s="253"/>
      <c r="BV86" s="161" t="n">
        <v>1</v>
      </c>
      <c r="BW86" s="247" t="s">
        <v>585</v>
      </c>
      <c r="BX86" s="0"/>
      <c r="BZ86" s="249" t="n">
        <f aca="false">BZ85+CF86</f>
        <v>85</v>
      </c>
      <c r="CA86" s="73" t="s">
        <v>586</v>
      </c>
      <c r="CB86" s="247" t="s">
        <v>199</v>
      </c>
      <c r="CC86" s="161" t="s">
        <v>196</v>
      </c>
      <c r="CD86" s="253" t="s">
        <v>197</v>
      </c>
      <c r="CE86" s="253"/>
      <c r="CF86" s="161" t="n">
        <v>1</v>
      </c>
      <c r="CG86" s="247" t="s">
        <v>587</v>
      </c>
      <c r="CH86" s="0"/>
    </row>
    <row r="87" customFormat="false" ht="12.75" hidden="false" customHeight="false" outlineLevel="0" collapsed="false">
      <c r="A87" s="286"/>
      <c r="B87" s="287" t="e">
        <f aca="false">NextMonth(B86)</f>
        <v>#VALUE!</v>
      </c>
      <c r="C87" s="239" t="n">
        <v>0.058748120399998</v>
      </c>
      <c r="D87" s="292" t="n">
        <v>0.75</v>
      </c>
      <c r="E87" s="292" t="n">
        <v>0.75</v>
      </c>
      <c r="F87" s="292" t="n">
        <v>0.225</v>
      </c>
      <c r="G87" s="292" t="n">
        <v>0.2325</v>
      </c>
      <c r="H87" s="292" t="n">
        <v>0.24</v>
      </c>
      <c r="I87" s="288" t="n">
        <v>4.307</v>
      </c>
      <c r="J87" s="292" t="n">
        <v>4.312</v>
      </c>
      <c r="K87" s="239" t="n">
        <v>4.317</v>
      </c>
      <c r="L87" s="292" t="n">
        <v>-0.1225</v>
      </c>
      <c r="M87" s="239" t="n">
        <v>-0.1225</v>
      </c>
      <c r="O87" s="235"/>
      <c r="P87" s="288"/>
      <c r="Q87" s="288"/>
      <c r="R87" s="289" t="e">
        <f aca="false">B87</f>
        <v>#VALUE!</v>
      </c>
      <c r="S87" s="290" t="n">
        <f aca="false">T87-$S$16</f>
        <v>0.68</v>
      </c>
      <c r="T87" s="285" t="n">
        <f aca="false">D87</f>
        <v>0.75</v>
      </c>
      <c r="U87" s="291" t="n">
        <f aca="false">$U$16+T87</f>
        <v>0.82</v>
      </c>
      <c r="BP87" s="249" t="n">
        <f aca="false">BP86+BV87</f>
        <v>86</v>
      </c>
      <c r="BQ87" s="250" t="s">
        <v>588</v>
      </c>
      <c r="BR87" s="247" t="s">
        <v>195</v>
      </c>
      <c r="BS87" s="161" t="s">
        <v>324</v>
      </c>
      <c r="BT87" s="253" t="s">
        <v>197</v>
      </c>
      <c r="BU87" s="253"/>
      <c r="BV87" s="161" t="n">
        <v>1</v>
      </c>
      <c r="BW87" s="247" t="s">
        <v>589</v>
      </c>
      <c r="BX87" s="0"/>
      <c r="BZ87" s="249" t="n">
        <f aca="false">BZ86+CF87</f>
        <v>86</v>
      </c>
      <c r="CA87" s="73" t="s">
        <v>590</v>
      </c>
      <c r="CB87" s="247" t="s">
        <v>199</v>
      </c>
      <c r="CC87" s="161" t="s">
        <v>196</v>
      </c>
      <c r="CD87" s="253" t="s">
        <v>197</v>
      </c>
      <c r="CE87" s="253"/>
      <c r="CF87" s="161" t="n">
        <v>1</v>
      </c>
      <c r="CG87" s="247" t="s">
        <v>591</v>
      </c>
      <c r="CH87" s="0"/>
    </row>
    <row r="88" customFormat="false" ht="12.75" hidden="false" customHeight="false" outlineLevel="0" collapsed="false">
      <c r="A88" s="286"/>
      <c r="B88" s="287" t="e">
        <f aca="false">NextMonth(B87)</f>
        <v>#VALUE!</v>
      </c>
      <c r="C88" s="239" t="n">
        <v>0.0588617538713567</v>
      </c>
      <c r="D88" s="292" t="n">
        <v>0.4</v>
      </c>
      <c r="E88" s="292" t="n">
        <v>0.4</v>
      </c>
      <c r="F88" s="292" t="n">
        <v>0.225</v>
      </c>
      <c r="G88" s="292" t="n">
        <v>0.2325</v>
      </c>
      <c r="H88" s="292" t="n">
        <v>0.24</v>
      </c>
      <c r="I88" s="288" t="n">
        <v>4.165</v>
      </c>
      <c r="J88" s="292" t="n">
        <v>4.17</v>
      </c>
      <c r="K88" s="239" t="n">
        <v>4.175</v>
      </c>
      <c r="L88" s="292" t="n">
        <v>-0.12</v>
      </c>
      <c r="M88" s="239" t="n">
        <v>-0.12</v>
      </c>
      <c r="O88" s="235"/>
      <c r="P88" s="288"/>
      <c r="Q88" s="288"/>
      <c r="R88" s="289" t="e">
        <f aca="false">B88</f>
        <v>#VALUE!</v>
      </c>
      <c r="S88" s="290" t="n">
        <f aca="false">T88-$S$16</f>
        <v>0.33</v>
      </c>
      <c r="T88" s="285" t="n">
        <f aca="false">D88</f>
        <v>0.4</v>
      </c>
      <c r="U88" s="291" t="n">
        <f aca="false">$U$16+T88</f>
        <v>0.47</v>
      </c>
      <c r="BP88" s="249" t="n">
        <f aca="false">BP87+BV88</f>
        <v>87</v>
      </c>
      <c r="BQ88" s="250" t="s">
        <v>592</v>
      </c>
      <c r="BR88" s="247" t="s">
        <v>195</v>
      </c>
      <c r="BS88" s="161" t="s">
        <v>324</v>
      </c>
      <c r="BT88" s="253" t="s">
        <v>197</v>
      </c>
      <c r="BU88" s="253"/>
      <c r="BV88" s="161" t="n">
        <v>1</v>
      </c>
      <c r="BW88" s="247" t="s">
        <v>593</v>
      </c>
      <c r="BX88" s="0"/>
      <c r="BZ88" s="249" t="n">
        <f aca="false">BZ87+CF88</f>
        <v>87</v>
      </c>
      <c r="CA88" s="73" t="s">
        <v>594</v>
      </c>
      <c r="CB88" s="247" t="s">
        <v>199</v>
      </c>
      <c r="CC88" s="161" t="s">
        <v>196</v>
      </c>
      <c r="CD88" s="253" t="s">
        <v>197</v>
      </c>
      <c r="CE88" s="253"/>
      <c r="CF88" s="161" t="n">
        <v>1</v>
      </c>
      <c r="CG88" s="247" t="s">
        <v>595</v>
      </c>
      <c r="CH88" s="0"/>
    </row>
    <row r="89" customFormat="false" ht="12.75" hidden="false" customHeight="false" outlineLevel="0" collapsed="false">
      <c r="A89" s="286"/>
      <c r="B89" s="287" t="e">
        <f aca="false">NextMonth(B88)</f>
        <v>#VALUE!</v>
      </c>
      <c r="C89" s="239" t="n">
        <v>0.0589717217509524</v>
      </c>
      <c r="D89" s="292" t="n">
        <v>0.4</v>
      </c>
      <c r="E89" s="292" t="n">
        <v>0.4</v>
      </c>
      <c r="F89" s="292" t="n">
        <v>0.225</v>
      </c>
      <c r="G89" s="292" t="n">
        <v>0.2325</v>
      </c>
      <c r="H89" s="292" t="n">
        <v>0.24</v>
      </c>
      <c r="I89" s="288" t="n">
        <v>4.199</v>
      </c>
      <c r="J89" s="292" t="n">
        <v>4.204</v>
      </c>
      <c r="K89" s="239" t="n">
        <v>4.209</v>
      </c>
      <c r="L89" s="292" t="n">
        <v>-0.12</v>
      </c>
      <c r="M89" s="239" t="n">
        <v>-0.12</v>
      </c>
      <c r="O89" s="235"/>
      <c r="P89" s="288"/>
      <c r="Q89" s="288"/>
      <c r="R89" s="289" t="e">
        <f aca="false">B89</f>
        <v>#VALUE!</v>
      </c>
      <c r="S89" s="290" t="n">
        <f aca="false">T89-$S$16</f>
        <v>0.33</v>
      </c>
      <c r="T89" s="285" t="n">
        <f aca="false">D89</f>
        <v>0.4</v>
      </c>
      <c r="U89" s="291" t="n">
        <f aca="false">$U$16+T89</f>
        <v>0.47</v>
      </c>
      <c r="BP89" s="249" t="n">
        <f aca="false">BP88+BV89</f>
        <v>88</v>
      </c>
      <c r="BQ89" s="250" t="s">
        <v>596</v>
      </c>
      <c r="BR89" s="247" t="s">
        <v>195</v>
      </c>
      <c r="BS89" s="161" t="s">
        <v>324</v>
      </c>
      <c r="BT89" s="253" t="s">
        <v>197</v>
      </c>
      <c r="BU89" s="253"/>
      <c r="BV89" s="161" t="n">
        <v>1</v>
      </c>
      <c r="BW89" s="247" t="s">
        <v>597</v>
      </c>
      <c r="BX89" s="0"/>
      <c r="BZ89" s="249" t="n">
        <f aca="false">BZ88+CF89</f>
        <v>88</v>
      </c>
      <c r="CA89" s="73" t="s">
        <v>598</v>
      </c>
      <c r="CB89" s="247" t="s">
        <v>199</v>
      </c>
      <c r="CC89" s="161" t="s">
        <v>196</v>
      </c>
      <c r="CD89" s="253" t="s">
        <v>197</v>
      </c>
      <c r="CE89" s="253"/>
      <c r="CF89" s="161" t="n">
        <v>1</v>
      </c>
      <c r="CG89" s="247" t="s">
        <v>599</v>
      </c>
      <c r="CH89" s="0"/>
    </row>
    <row r="90" customFormat="false" ht="12.75" hidden="false" customHeight="false" outlineLevel="0" collapsed="false">
      <c r="A90" s="286"/>
      <c r="B90" s="287" t="e">
        <f aca="false">NextMonth(B89)</f>
        <v>#VALUE!</v>
      </c>
      <c r="C90" s="239" t="n">
        <v>0.0590853552307582</v>
      </c>
      <c r="D90" s="292" t="n">
        <v>0.4</v>
      </c>
      <c r="E90" s="292" t="n">
        <v>0.4</v>
      </c>
      <c r="F90" s="292" t="n">
        <v>0.215</v>
      </c>
      <c r="G90" s="292" t="n">
        <v>0.2225</v>
      </c>
      <c r="H90" s="292" t="n">
        <v>0.23</v>
      </c>
      <c r="I90" s="288" t="n">
        <v>4.232</v>
      </c>
      <c r="J90" s="292" t="n">
        <v>4.237</v>
      </c>
      <c r="K90" s="239" t="n">
        <v>4.242</v>
      </c>
      <c r="L90" s="292" t="n">
        <v>-0.12</v>
      </c>
      <c r="M90" s="239" t="n">
        <v>-0.12</v>
      </c>
      <c r="O90" s="235"/>
      <c r="P90" s="288"/>
      <c r="Q90" s="288"/>
      <c r="R90" s="289" t="e">
        <f aca="false">B90</f>
        <v>#VALUE!</v>
      </c>
      <c r="S90" s="290" t="n">
        <f aca="false">T90-$S$16</f>
        <v>0.33</v>
      </c>
      <c r="T90" s="285" t="n">
        <f aca="false">D90</f>
        <v>0.4</v>
      </c>
      <c r="U90" s="291" t="n">
        <f aca="false">$U$16+T90</f>
        <v>0.47</v>
      </c>
      <c r="BP90" s="249" t="n">
        <f aca="false">BP89+BV90</f>
        <v>89</v>
      </c>
      <c r="BQ90" s="250" t="s">
        <v>600</v>
      </c>
      <c r="BR90" s="247" t="s">
        <v>195</v>
      </c>
      <c r="BS90" s="161" t="s">
        <v>324</v>
      </c>
      <c r="BT90" s="253" t="s">
        <v>197</v>
      </c>
      <c r="BU90" s="253"/>
      <c r="BV90" s="161" t="n">
        <v>1</v>
      </c>
      <c r="BW90" s="247" t="s">
        <v>601</v>
      </c>
      <c r="BX90" s="0"/>
      <c r="BZ90" s="249" t="n">
        <f aca="false">BZ89+CF90</f>
        <v>89</v>
      </c>
      <c r="CA90" s="73" t="s">
        <v>602</v>
      </c>
      <c r="CB90" s="247" t="s">
        <v>199</v>
      </c>
      <c r="CC90" s="161" t="s">
        <v>196</v>
      </c>
      <c r="CD90" s="253" t="s">
        <v>197</v>
      </c>
      <c r="CE90" s="253"/>
      <c r="CF90" s="161" t="n">
        <v>1</v>
      </c>
      <c r="CG90" s="247" t="s">
        <v>603</v>
      </c>
      <c r="CH90" s="0"/>
    </row>
    <row r="91" customFormat="false" ht="12.75" hidden="false" customHeight="false" outlineLevel="0" collapsed="false">
      <c r="A91" s="286"/>
      <c r="B91" s="287" t="e">
        <f aca="false">NextMonth(B90)</f>
        <v>#VALUE!</v>
      </c>
      <c r="C91" s="239" t="n">
        <v>0.0591953231185274</v>
      </c>
      <c r="D91" s="292" t="n">
        <v>0.4</v>
      </c>
      <c r="E91" s="292" t="n">
        <v>0.4</v>
      </c>
      <c r="F91" s="292" t="n">
        <v>0.215</v>
      </c>
      <c r="G91" s="292" t="n">
        <v>0.2225</v>
      </c>
      <c r="H91" s="292" t="n">
        <v>0.23</v>
      </c>
      <c r="I91" s="288" t="n">
        <v>4.277</v>
      </c>
      <c r="J91" s="292" t="n">
        <v>4.282</v>
      </c>
      <c r="K91" s="239" t="n">
        <v>4.287</v>
      </c>
      <c r="L91" s="292" t="n">
        <v>-0.12</v>
      </c>
      <c r="M91" s="239" t="n">
        <v>-0.12</v>
      </c>
      <c r="O91" s="235"/>
      <c r="P91" s="288"/>
      <c r="Q91" s="288"/>
      <c r="R91" s="289" t="e">
        <f aca="false">B91</f>
        <v>#VALUE!</v>
      </c>
      <c r="S91" s="290" t="n">
        <f aca="false">T91-$S$16</f>
        <v>0.33</v>
      </c>
      <c r="T91" s="285" t="n">
        <f aca="false">D91</f>
        <v>0.4</v>
      </c>
      <c r="U91" s="291" t="n">
        <f aca="false">$U$16+T91</f>
        <v>0.47</v>
      </c>
      <c r="BP91" s="249" t="n">
        <f aca="false">BP90+BV91</f>
        <v>90</v>
      </c>
      <c r="BQ91" s="250" t="s">
        <v>604</v>
      </c>
      <c r="BR91" s="247" t="s">
        <v>195</v>
      </c>
      <c r="BS91" s="161" t="s">
        <v>324</v>
      </c>
      <c r="BT91" s="253" t="s">
        <v>197</v>
      </c>
      <c r="BU91" s="253"/>
      <c r="BV91" s="161" t="n">
        <v>1</v>
      </c>
      <c r="BW91" s="247" t="s">
        <v>605</v>
      </c>
      <c r="BX91" s="0"/>
      <c r="BZ91" s="249" t="n">
        <f aca="false">BZ90+CF91</f>
        <v>90</v>
      </c>
      <c r="CA91" s="73" t="s">
        <v>606</v>
      </c>
      <c r="CB91" s="247" t="s">
        <v>199</v>
      </c>
      <c r="CC91" s="161" t="s">
        <v>196</v>
      </c>
      <c r="CD91" s="253" t="s">
        <v>197</v>
      </c>
      <c r="CE91" s="253"/>
      <c r="CF91" s="161" t="n">
        <v>1</v>
      </c>
      <c r="CG91" s="247" t="s">
        <v>607</v>
      </c>
      <c r="CH91" s="0"/>
    </row>
    <row r="92" customFormat="false" ht="12.75" hidden="false" customHeight="false" outlineLevel="0" collapsed="false">
      <c r="A92" s="286"/>
      <c r="B92" s="287" t="e">
        <f aca="false">NextMonth(B91)</f>
        <v>#VALUE!</v>
      </c>
      <c r="C92" s="239" t="n">
        <v>0.0593089566067793</v>
      </c>
      <c r="D92" s="292" t="n">
        <v>0.5</v>
      </c>
      <c r="E92" s="292" t="n">
        <v>0.5</v>
      </c>
      <c r="F92" s="292" t="n">
        <v>0.215</v>
      </c>
      <c r="G92" s="292" t="n">
        <v>0.2225</v>
      </c>
      <c r="H92" s="292" t="n">
        <v>0.23</v>
      </c>
      <c r="I92" s="288" t="n">
        <v>4.312</v>
      </c>
      <c r="J92" s="292" t="n">
        <v>4.317</v>
      </c>
      <c r="K92" s="239" t="n">
        <v>4.322</v>
      </c>
      <c r="L92" s="292" t="n">
        <v>-0.12</v>
      </c>
      <c r="M92" s="239" t="n">
        <v>-0.12</v>
      </c>
      <c r="O92" s="235"/>
      <c r="P92" s="288"/>
      <c r="Q92" s="288"/>
      <c r="R92" s="289" t="e">
        <f aca="false">B92</f>
        <v>#VALUE!</v>
      </c>
      <c r="S92" s="290" t="n">
        <f aca="false">T92-$S$16</f>
        <v>0.43</v>
      </c>
      <c r="T92" s="285" t="n">
        <f aca="false">D92</f>
        <v>0.5</v>
      </c>
      <c r="U92" s="291" t="n">
        <f aca="false">$U$16+T92</f>
        <v>0.57</v>
      </c>
      <c r="BP92" s="249" t="n">
        <f aca="false">BP91+BV92</f>
        <v>91</v>
      </c>
      <c r="BQ92" s="250" t="s">
        <v>608</v>
      </c>
      <c r="BR92" s="247" t="s">
        <v>195</v>
      </c>
      <c r="BS92" s="161" t="s">
        <v>324</v>
      </c>
      <c r="BT92" s="253" t="s">
        <v>197</v>
      </c>
      <c r="BU92" s="253"/>
      <c r="BV92" s="161" t="n">
        <v>1</v>
      </c>
      <c r="BW92" s="247" t="s">
        <v>609</v>
      </c>
      <c r="BX92" s="0"/>
      <c r="BZ92" s="249" t="n">
        <f aca="false">BZ91+CF92</f>
        <v>91</v>
      </c>
      <c r="CA92" s="73" t="s">
        <v>610</v>
      </c>
      <c r="CB92" s="247" t="s">
        <v>199</v>
      </c>
      <c r="CC92" s="161" t="s">
        <v>196</v>
      </c>
      <c r="CD92" s="253" t="s">
        <v>197</v>
      </c>
      <c r="CE92" s="253"/>
      <c r="CF92" s="161" t="n">
        <v>1</v>
      </c>
      <c r="CG92" s="247" t="s">
        <v>611</v>
      </c>
      <c r="CH92" s="0"/>
    </row>
    <row r="93" customFormat="false" ht="12.75" hidden="false" customHeight="false" outlineLevel="0" collapsed="false">
      <c r="A93" s="286"/>
      <c r="B93" s="287" t="e">
        <f aca="false">NextMonth(B92)</f>
        <v>#VALUE!</v>
      </c>
      <c r="C93" s="239" t="n">
        <v>0.0594225900993219</v>
      </c>
      <c r="D93" s="292" t="n">
        <v>0.55</v>
      </c>
      <c r="E93" s="292" t="n">
        <v>0.55</v>
      </c>
      <c r="F93" s="292" t="n">
        <v>0.215</v>
      </c>
      <c r="G93" s="292" t="n">
        <v>0.2225</v>
      </c>
      <c r="H93" s="292" t="n">
        <v>0.23</v>
      </c>
      <c r="I93" s="288" t="n">
        <v>4.317</v>
      </c>
      <c r="J93" s="292" t="n">
        <v>4.322</v>
      </c>
      <c r="K93" s="239" t="n">
        <v>4.327</v>
      </c>
      <c r="L93" s="292" t="n">
        <v>-0.12</v>
      </c>
      <c r="M93" s="239" t="n">
        <v>-0.12</v>
      </c>
      <c r="O93" s="235"/>
      <c r="P93" s="288"/>
      <c r="Q93" s="288"/>
      <c r="R93" s="289" t="e">
        <f aca="false">B93</f>
        <v>#VALUE!</v>
      </c>
      <c r="S93" s="290" t="n">
        <f aca="false">T93-$S$16</f>
        <v>0.48</v>
      </c>
      <c r="T93" s="285" t="n">
        <f aca="false">D93</f>
        <v>0.55</v>
      </c>
      <c r="U93" s="291" t="n">
        <f aca="false">$U$16+T93</f>
        <v>0.62</v>
      </c>
      <c r="BP93" s="249" t="n">
        <f aca="false">BP92+BV93</f>
        <v>92</v>
      </c>
      <c r="BQ93" s="250" t="s">
        <v>612</v>
      </c>
      <c r="BR93" s="247" t="s">
        <v>195</v>
      </c>
      <c r="BS93" s="161" t="s">
        <v>324</v>
      </c>
      <c r="BT93" s="253" t="s">
        <v>197</v>
      </c>
      <c r="BU93" s="253"/>
      <c r="BV93" s="161" t="n">
        <v>1</v>
      </c>
      <c r="BW93" s="247" t="s">
        <v>613</v>
      </c>
      <c r="BX93" s="0"/>
      <c r="BZ93" s="249" t="n">
        <f aca="false">BZ92+CF93</f>
        <v>92</v>
      </c>
      <c r="CA93" s="73" t="s">
        <v>614</v>
      </c>
      <c r="CB93" s="247" t="s">
        <v>199</v>
      </c>
      <c r="CC93" s="161" t="s">
        <v>196</v>
      </c>
      <c r="CD93" s="253" t="s">
        <v>197</v>
      </c>
      <c r="CE93" s="253"/>
      <c r="CF93" s="161" t="n">
        <v>1</v>
      </c>
      <c r="CG93" s="247" t="s">
        <v>615</v>
      </c>
      <c r="CH93" s="0"/>
    </row>
    <row r="94" customFormat="false" ht="12.75" hidden="false" customHeight="false" outlineLevel="0" collapsed="false">
      <c r="A94" s="286"/>
      <c r="B94" s="287" t="e">
        <f aca="false">NextMonth(B93)</f>
        <v>#VALUE!</v>
      </c>
      <c r="C94" s="239" t="n">
        <v>0.0595325579994181</v>
      </c>
      <c r="D94" s="292" t="n">
        <v>0.55</v>
      </c>
      <c r="E94" s="292" t="n">
        <v>0.55</v>
      </c>
      <c r="F94" s="292" t="n">
        <v>0.215</v>
      </c>
      <c r="G94" s="292" t="n">
        <v>0.2225</v>
      </c>
      <c r="H94" s="292" t="n">
        <v>0.23</v>
      </c>
      <c r="I94" s="288" t="n">
        <v>4.342</v>
      </c>
      <c r="J94" s="292" t="n">
        <v>4.347</v>
      </c>
      <c r="K94" s="239" t="n">
        <v>4.352</v>
      </c>
      <c r="L94" s="292" t="n">
        <v>-0.12</v>
      </c>
      <c r="M94" s="239" t="n">
        <v>-0.12</v>
      </c>
      <c r="O94" s="235"/>
      <c r="P94" s="288"/>
      <c r="Q94" s="288"/>
      <c r="R94" s="289" t="e">
        <f aca="false">B94</f>
        <v>#VALUE!</v>
      </c>
      <c r="S94" s="290" t="n">
        <f aca="false">T94-$S$16</f>
        <v>0.48</v>
      </c>
      <c r="T94" s="285" t="n">
        <f aca="false">D94</f>
        <v>0.55</v>
      </c>
      <c r="U94" s="291" t="n">
        <f aca="false">$U$16+T94</f>
        <v>0.62</v>
      </c>
      <c r="BP94" s="249" t="n">
        <f aca="false">BP93+BV94</f>
        <v>93</v>
      </c>
      <c r="BQ94" s="250" t="s">
        <v>616</v>
      </c>
      <c r="BR94" s="247" t="s">
        <v>195</v>
      </c>
      <c r="BS94" s="161" t="s">
        <v>324</v>
      </c>
      <c r="BT94" s="253" t="s">
        <v>197</v>
      </c>
      <c r="BU94" s="253"/>
      <c r="BV94" s="161" t="n">
        <v>1</v>
      </c>
      <c r="BW94" s="247" t="s">
        <v>617</v>
      </c>
      <c r="BX94" s="0"/>
      <c r="BZ94" s="249" t="n">
        <f aca="false">BZ93+CF94</f>
        <v>93</v>
      </c>
      <c r="CA94" s="73" t="s">
        <v>618</v>
      </c>
      <c r="CB94" s="247" t="s">
        <v>199</v>
      </c>
      <c r="CC94" s="161" t="s">
        <v>196</v>
      </c>
      <c r="CD94" s="253" t="s">
        <v>197</v>
      </c>
      <c r="CE94" s="253"/>
      <c r="CF94" s="161" t="n">
        <v>1</v>
      </c>
      <c r="CG94" s="247" t="s">
        <v>619</v>
      </c>
      <c r="CH94" s="0"/>
    </row>
    <row r="95" customFormat="false" ht="12.75" hidden="false" customHeight="false" outlineLevel="0" collapsed="false">
      <c r="A95" s="286"/>
      <c r="B95" s="287" t="e">
        <f aca="false">NextMonth(B94)</f>
        <v>#VALUE!</v>
      </c>
      <c r="C95" s="239" t="n">
        <v>0.0596461915004056</v>
      </c>
      <c r="D95" s="292" t="n">
        <v>0.8</v>
      </c>
      <c r="E95" s="292" t="n">
        <v>0.8</v>
      </c>
      <c r="F95" s="292" t="n">
        <v>0.215</v>
      </c>
      <c r="G95" s="292" t="n">
        <v>0.2225</v>
      </c>
      <c r="H95" s="292" t="n">
        <v>0.23</v>
      </c>
      <c r="I95" s="288" t="n">
        <v>4.452</v>
      </c>
      <c r="J95" s="292" t="n">
        <v>4.457</v>
      </c>
      <c r="K95" s="239" t="n">
        <v>4.462</v>
      </c>
      <c r="L95" s="292" t="n">
        <v>-0.1225</v>
      </c>
      <c r="M95" s="239" t="n">
        <v>-0.1225</v>
      </c>
      <c r="O95" s="235"/>
      <c r="P95" s="288"/>
      <c r="Q95" s="288"/>
      <c r="R95" s="289" t="e">
        <f aca="false">B95</f>
        <v>#VALUE!</v>
      </c>
      <c r="S95" s="290" t="n">
        <f aca="false">T95-$S$16</f>
        <v>0.73</v>
      </c>
      <c r="T95" s="285" t="n">
        <f aca="false">D95</f>
        <v>0.8</v>
      </c>
      <c r="U95" s="291" t="n">
        <f aca="false">$U$16+T95</f>
        <v>0.87</v>
      </c>
      <c r="BP95" s="249" t="n">
        <f aca="false">BP94+BV95</f>
        <v>94</v>
      </c>
      <c r="BQ95" s="250" t="s">
        <v>620</v>
      </c>
      <c r="BR95" s="247" t="s">
        <v>195</v>
      </c>
      <c r="BS95" s="161" t="s">
        <v>324</v>
      </c>
      <c r="BT95" s="253" t="s">
        <v>197</v>
      </c>
      <c r="BU95" s="253"/>
      <c r="BV95" s="161" t="n">
        <v>1</v>
      </c>
      <c r="BW95" s="247" t="s">
        <v>621</v>
      </c>
      <c r="BX95" s="0"/>
      <c r="BZ95" s="249" t="n">
        <f aca="false">BZ94+CF95</f>
        <v>94</v>
      </c>
      <c r="CA95" s="73" t="s">
        <v>622</v>
      </c>
      <c r="CB95" s="247" t="s">
        <v>199</v>
      </c>
      <c r="CC95" s="161" t="s">
        <v>196</v>
      </c>
      <c r="CD95" s="253" t="s">
        <v>197</v>
      </c>
      <c r="CE95" s="253"/>
      <c r="CF95" s="161" t="n">
        <v>1</v>
      </c>
      <c r="CG95" s="247" t="s">
        <v>623</v>
      </c>
      <c r="CH95" s="0"/>
    </row>
    <row r="96" customFormat="false" ht="12.75" hidden="false" customHeight="false" outlineLevel="0" collapsed="false">
      <c r="A96" s="286"/>
      <c r="B96" s="287" t="e">
        <f aca="false">NextMonth(B95)</f>
        <v>#VALUE!</v>
      </c>
      <c r="C96" s="239" t="n">
        <v>0.0597561594086731</v>
      </c>
      <c r="D96" s="292" t="n">
        <v>1</v>
      </c>
      <c r="E96" s="292" t="n">
        <v>1</v>
      </c>
      <c r="F96" s="292" t="n">
        <v>0.215</v>
      </c>
      <c r="G96" s="292" t="n">
        <v>0.2225</v>
      </c>
      <c r="H96" s="292" t="n">
        <v>0.23</v>
      </c>
      <c r="I96" s="288" t="n">
        <v>4.572</v>
      </c>
      <c r="J96" s="292" t="n">
        <v>4.577</v>
      </c>
      <c r="K96" s="239" t="n">
        <v>4.582</v>
      </c>
      <c r="L96" s="292" t="n">
        <v>-0.1175</v>
      </c>
      <c r="M96" s="239" t="n">
        <v>-0.1175</v>
      </c>
      <c r="O96" s="235"/>
      <c r="P96" s="288"/>
      <c r="Q96" s="288"/>
      <c r="R96" s="289" t="e">
        <f aca="false">B96</f>
        <v>#VALUE!</v>
      </c>
      <c r="S96" s="290" t="n">
        <f aca="false">T96-$S$16</f>
        <v>0.93</v>
      </c>
      <c r="T96" s="285" t="n">
        <f aca="false">D96</f>
        <v>1</v>
      </c>
      <c r="U96" s="291" t="n">
        <f aca="false">$U$16+T96</f>
        <v>1.07</v>
      </c>
      <c r="BP96" s="249" t="n">
        <f aca="false">BP95+BV96</f>
        <v>95</v>
      </c>
      <c r="BQ96" s="250" t="s">
        <v>624</v>
      </c>
      <c r="BR96" s="247" t="s">
        <v>195</v>
      </c>
      <c r="BS96" s="161" t="s">
        <v>324</v>
      </c>
      <c r="BT96" s="253" t="s">
        <v>197</v>
      </c>
      <c r="BU96" s="253"/>
      <c r="BV96" s="161" t="n">
        <v>1</v>
      </c>
      <c r="BW96" s="247" t="s">
        <v>625</v>
      </c>
      <c r="BX96" s="0"/>
      <c r="BZ96" s="249" t="n">
        <f aca="false">BZ95+CF96</f>
        <v>95</v>
      </c>
      <c r="CA96" s="73" t="s">
        <v>626</v>
      </c>
      <c r="CB96" s="247" t="s">
        <v>199</v>
      </c>
      <c r="CC96" s="161" t="s">
        <v>196</v>
      </c>
      <c r="CD96" s="253" t="s">
        <v>197</v>
      </c>
      <c r="CE96" s="253"/>
      <c r="CF96" s="161" t="n">
        <v>1</v>
      </c>
      <c r="CG96" s="247" t="s">
        <v>627</v>
      </c>
      <c r="CH96" s="0"/>
    </row>
    <row r="97" customFormat="false" ht="12.75" hidden="false" customHeight="false" outlineLevel="0" collapsed="false">
      <c r="A97" s="286"/>
      <c r="B97" s="287" t="e">
        <f aca="false">NextMonth(B96)</f>
        <v>#VALUE!</v>
      </c>
      <c r="C97" s="239" t="n">
        <v>0.0598697929181045</v>
      </c>
      <c r="D97" s="292" t="n">
        <v>1</v>
      </c>
      <c r="E97" s="292" t="n">
        <v>1</v>
      </c>
      <c r="F97" s="292" t="n">
        <v>0.215</v>
      </c>
      <c r="G97" s="292" t="n">
        <v>0.2225</v>
      </c>
      <c r="H97" s="292" t="n">
        <v>0.23</v>
      </c>
      <c r="I97" s="288" t="n">
        <v>4.617</v>
      </c>
      <c r="J97" s="292" t="n">
        <v>4.622</v>
      </c>
      <c r="K97" s="239" t="n">
        <v>4.627</v>
      </c>
      <c r="L97" s="292" t="n">
        <v>-0.1175</v>
      </c>
      <c r="M97" s="239" t="n">
        <v>-0.1175</v>
      </c>
      <c r="O97" s="235"/>
      <c r="P97" s="288"/>
      <c r="Q97" s="288"/>
      <c r="R97" s="289" t="e">
        <f aca="false">B97</f>
        <v>#VALUE!</v>
      </c>
      <c r="S97" s="290" t="n">
        <f aca="false">T97-$S$16</f>
        <v>0.93</v>
      </c>
      <c r="T97" s="285" t="n">
        <f aca="false">D97</f>
        <v>1</v>
      </c>
      <c r="U97" s="291" t="n">
        <f aca="false">$U$16+T97</f>
        <v>1.07</v>
      </c>
      <c r="BP97" s="249" t="n">
        <f aca="false">BP96+BV97</f>
        <v>96</v>
      </c>
      <c r="BQ97" s="250" t="s">
        <v>628</v>
      </c>
      <c r="BR97" s="247" t="s">
        <v>195</v>
      </c>
      <c r="BS97" s="161" t="s">
        <v>324</v>
      </c>
      <c r="BT97" s="253" t="s">
        <v>197</v>
      </c>
      <c r="BU97" s="253"/>
      <c r="BV97" s="161" t="n">
        <v>1</v>
      </c>
      <c r="BW97" s="247" t="s">
        <v>629</v>
      </c>
      <c r="BX97" s="0"/>
      <c r="BZ97" s="249" t="n">
        <f aca="false">BZ96+CF97</f>
        <v>96</v>
      </c>
      <c r="CA97" s="73" t="s">
        <v>630</v>
      </c>
      <c r="CB97" s="247" t="s">
        <v>199</v>
      </c>
      <c r="CC97" s="161" t="s">
        <v>196</v>
      </c>
      <c r="CD97" s="253" t="s">
        <v>197</v>
      </c>
      <c r="CE97" s="253"/>
      <c r="CF97" s="161" t="n">
        <v>1</v>
      </c>
      <c r="CG97" s="247" t="s">
        <v>631</v>
      </c>
      <c r="CH97" s="0"/>
    </row>
    <row r="98" customFormat="false" ht="12.75" hidden="false" customHeight="false" outlineLevel="0" collapsed="false">
      <c r="A98" s="286"/>
      <c r="B98" s="287" t="e">
        <f aca="false">NextMonth(B97)</f>
        <v>#VALUE!</v>
      </c>
      <c r="C98" s="239" t="n">
        <v>0.0599834264318262</v>
      </c>
      <c r="D98" s="292" t="n">
        <v>1</v>
      </c>
      <c r="E98" s="292" t="n">
        <v>1</v>
      </c>
      <c r="F98" s="292" t="n">
        <v>0.215</v>
      </c>
      <c r="G98" s="292" t="n">
        <v>0.2225</v>
      </c>
      <c r="H98" s="292" t="n">
        <v>0.23</v>
      </c>
      <c r="I98" s="288" t="n">
        <v>4.497</v>
      </c>
      <c r="J98" s="292" t="n">
        <v>4.502</v>
      </c>
      <c r="K98" s="239" t="n">
        <v>4.507</v>
      </c>
      <c r="L98" s="292" t="n">
        <v>-0.12</v>
      </c>
      <c r="M98" s="239" t="n">
        <v>-0.12</v>
      </c>
      <c r="O98" s="235"/>
      <c r="P98" s="288"/>
      <c r="Q98" s="288"/>
      <c r="R98" s="289" t="e">
        <f aca="false">B98</f>
        <v>#VALUE!</v>
      </c>
      <c r="S98" s="290" t="n">
        <f aca="false">T98-$S$16</f>
        <v>0.93</v>
      </c>
      <c r="T98" s="285" t="n">
        <f aca="false">D98</f>
        <v>1</v>
      </c>
      <c r="U98" s="291" t="n">
        <f aca="false">$U$16+T98</f>
        <v>1.07</v>
      </c>
      <c r="BP98" s="249" t="n">
        <f aca="false">BP97+BV98</f>
        <v>97</v>
      </c>
      <c r="BQ98" s="250" t="s">
        <v>632</v>
      </c>
      <c r="BR98" s="247" t="s">
        <v>195</v>
      </c>
      <c r="BS98" s="161" t="s">
        <v>324</v>
      </c>
      <c r="BT98" s="253" t="s">
        <v>197</v>
      </c>
      <c r="BU98" s="253"/>
      <c r="BV98" s="161" t="n">
        <v>1</v>
      </c>
      <c r="BW98" s="247" t="s">
        <v>633</v>
      </c>
      <c r="BX98" s="0"/>
      <c r="BZ98" s="249" t="n">
        <f aca="false">BZ97+CF98</f>
        <v>97</v>
      </c>
      <c r="CA98" s="73" t="s">
        <v>634</v>
      </c>
      <c r="CB98" s="247" t="s">
        <v>199</v>
      </c>
      <c r="CC98" s="161" t="s">
        <v>196</v>
      </c>
      <c r="CD98" s="253" t="s">
        <v>197</v>
      </c>
      <c r="CE98" s="253"/>
      <c r="CF98" s="161" t="n">
        <v>1</v>
      </c>
      <c r="CG98" s="247" t="s">
        <v>635</v>
      </c>
      <c r="CH98" s="0"/>
    </row>
    <row r="99" customFormat="false" ht="12.75" hidden="false" customHeight="false" outlineLevel="0" collapsed="false">
      <c r="A99" s="286"/>
      <c r="B99" s="287" t="e">
        <f aca="false">NextMonth(B98)</f>
        <v>#VALUE!</v>
      </c>
      <c r="C99" s="239" t="n">
        <v>0.0600897287549986</v>
      </c>
      <c r="D99" s="292" t="n">
        <v>0.75</v>
      </c>
      <c r="E99" s="292" t="n">
        <v>0.75</v>
      </c>
      <c r="F99" s="292" t="n">
        <v>0.2</v>
      </c>
      <c r="G99" s="292" t="n">
        <v>0.2075</v>
      </c>
      <c r="H99" s="292" t="n">
        <v>0.215</v>
      </c>
      <c r="I99" s="288" t="n">
        <v>4.357</v>
      </c>
      <c r="J99" s="292" t="n">
        <v>4.362</v>
      </c>
      <c r="K99" s="239" t="n">
        <v>4.367</v>
      </c>
      <c r="L99" s="292" t="n">
        <v>-0.1225</v>
      </c>
      <c r="M99" s="239" t="n">
        <v>-0.1225</v>
      </c>
      <c r="O99" s="235"/>
      <c r="P99" s="288"/>
      <c r="Q99" s="288"/>
      <c r="R99" s="289" t="e">
        <f aca="false">B99</f>
        <v>#VALUE!</v>
      </c>
      <c r="S99" s="290" t="n">
        <f aca="false">T99-$S$16</f>
        <v>0.68</v>
      </c>
      <c r="T99" s="285" t="n">
        <f aca="false">D99</f>
        <v>0.75</v>
      </c>
      <c r="U99" s="291" t="n">
        <f aca="false">$U$16+T99</f>
        <v>0.82</v>
      </c>
      <c r="BP99" s="249" t="n">
        <f aca="false">BP98+BV99</f>
        <v>98</v>
      </c>
      <c r="BQ99" s="250" t="s">
        <v>636</v>
      </c>
      <c r="BR99" s="247" t="s">
        <v>195</v>
      </c>
      <c r="BS99" s="161" t="s">
        <v>324</v>
      </c>
      <c r="BT99" s="253" t="s">
        <v>197</v>
      </c>
      <c r="BU99" s="253"/>
      <c r="BV99" s="161" t="n">
        <v>1</v>
      </c>
      <c r="BW99" s="247" t="s">
        <v>637</v>
      </c>
      <c r="BX99" s="0"/>
      <c r="BZ99" s="249" t="n">
        <f aca="false">BZ98+CF99</f>
        <v>98</v>
      </c>
      <c r="CA99" s="73" t="s">
        <v>638</v>
      </c>
      <c r="CB99" s="247" t="s">
        <v>199</v>
      </c>
      <c r="CC99" s="161" t="s">
        <v>196</v>
      </c>
      <c r="CD99" s="253" t="s">
        <v>197</v>
      </c>
      <c r="CE99" s="253"/>
      <c r="CF99" s="161" t="n">
        <v>1</v>
      </c>
      <c r="CG99" s="247" t="s">
        <v>639</v>
      </c>
      <c r="CH99" s="0"/>
    </row>
    <row r="100" customFormat="false" ht="12.75" hidden="false" customHeight="false" outlineLevel="0" collapsed="false">
      <c r="A100" s="286"/>
      <c r="B100" s="287" t="e">
        <f aca="false">NextMonth(B99)</f>
        <v>#VALUE!</v>
      </c>
      <c r="C100" s="239" t="n">
        <v>0.0602033622770244</v>
      </c>
      <c r="D100" s="292" t="n">
        <v>0.4</v>
      </c>
      <c r="E100" s="292" t="n">
        <v>0.4</v>
      </c>
      <c r="F100" s="292" t="n">
        <v>0.2</v>
      </c>
      <c r="G100" s="292" t="n">
        <v>0.2075</v>
      </c>
      <c r="H100" s="292" t="n">
        <v>0.215</v>
      </c>
      <c r="I100" s="288" t="n">
        <v>4.215</v>
      </c>
      <c r="J100" s="292" t="n">
        <v>4.22</v>
      </c>
      <c r="K100" s="239" t="n">
        <v>4.225</v>
      </c>
      <c r="L100" s="292" t="n">
        <v>-0.12</v>
      </c>
      <c r="M100" s="239" t="n">
        <v>-0.12</v>
      </c>
      <c r="O100" s="235"/>
      <c r="P100" s="288"/>
      <c r="Q100" s="288"/>
      <c r="R100" s="289" t="e">
        <f aca="false">B100</f>
        <v>#VALUE!</v>
      </c>
      <c r="S100" s="290" t="n">
        <f aca="false">T100-$S$16</f>
        <v>0.33</v>
      </c>
      <c r="T100" s="285" t="n">
        <f aca="false">D100</f>
        <v>0.4</v>
      </c>
      <c r="U100" s="291" t="n">
        <f aca="false">$U$16+T100</f>
        <v>0.47</v>
      </c>
      <c r="BP100" s="249" t="n">
        <f aca="false">BP99+BV100</f>
        <v>99</v>
      </c>
      <c r="BQ100" s="250" t="s">
        <v>640</v>
      </c>
      <c r="BR100" s="247" t="s">
        <v>195</v>
      </c>
      <c r="BS100" s="161" t="s">
        <v>324</v>
      </c>
      <c r="BT100" s="253" t="s">
        <v>197</v>
      </c>
      <c r="BU100" s="253"/>
      <c r="BV100" s="161" t="n">
        <v>1</v>
      </c>
      <c r="BW100" s="247" t="s">
        <v>641</v>
      </c>
      <c r="BX100" s="0"/>
      <c r="BZ100" s="249" t="n">
        <f aca="false">BZ99+CF100</f>
        <v>99</v>
      </c>
      <c r="CA100" s="73" t="s">
        <v>642</v>
      </c>
      <c r="CB100" s="247" t="s">
        <v>199</v>
      </c>
      <c r="CC100" s="161" t="s">
        <v>196</v>
      </c>
      <c r="CD100" s="253" t="s">
        <v>197</v>
      </c>
      <c r="CE100" s="253"/>
      <c r="CF100" s="161" t="n">
        <v>1</v>
      </c>
      <c r="CG100" s="247" t="s">
        <v>643</v>
      </c>
      <c r="CH100" s="0"/>
    </row>
    <row r="101" customFormat="false" ht="12.75" hidden="false" customHeight="false" outlineLevel="0" collapsed="false">
      <c r="A101" s="286"/>
      <c r="B101" s="287" t="e">
        <f aca="false">NextMonth(B100)</f>
        <v>#VALUE!</v>
      </c>
      <c r="C101" s="239" t="n">
        <v>0.0602970878949551</v>
      </c>
      <c r="D101" s="292" t="n">
        <v>0.4</v>
      </c>
      <c r="E101" s="292" t="n">
        <v>0.4</v>
      </c>
      <c r="F101" s="292" t="n">
        <v>0.2</v>
      </c>
      <c r="G101" s="292" t="n">
        <v>0.2075</v>
      </c>
      <c r="H101" s="292" t="n">
        <v>0.215</v>
      </c>
      <c r="I101" s="288" t="n">
        <v>4.249</v>
      </c>
      <c r="J101" s="292" t="n">
        <v>4.254</v>
      </c>
      <c r="K101" s="239" t="n">
        <v>4.259</v>
      </c>
      <c r="L101" s="292" t="n">
        <v>-0.12</v>
      </c>
      <c r="M101" s="239" t="n">
        <v>-0.12</v>
      </c>
      <c r="O101" s="235"/>
      <c r="P101" s="288"/>
      <c r="Q101" s="288"/>
      <c r="R101" s="289" t="e">
        <f aca="false">B101</f>
        <v>#VALUE!</v>
      </c>
      <c r="S101" s="290" t="n">
        <f aca="false">T101-$S$16</f>
        <v>0.33</v>
      </c>
      <c r="T101" s="285" t="n">
        <f aca="false">D101</f>
        <v>0.4</v>
      </c>
      <c r="U101" s="291" t="n">
        <f aca="false">$U$16+T101</f>
        <v>0.47</v>
      </c>
      <c r="BP101" s="249" t="n">
        <f aca="false">BP100+BV101</f>
        <v>100</v>
      </c>
      <c r="BQ101" s="250" t="s">
        <v>644</v>
      </c>
      <c r="BR101" s="247" t="s">
        <v>195</v>
      </c>
      <c r="BS101" s="161" t="s">
        <v>324</v>
      </c>
      <c r="BT101" s="253" t="s">
        <v>197</v>
      </c>
      <c r="BU101" s="253"/>
      <c r="BV101" s="161" t="n">
        <v>1</v>
      </c>
      <c r="BW101" s="247" t="s">
        <v>645</v>
      </c>
      <c r="BX101" s="0"/>
      <c r="BZ101" s="249" t="n">
        <f aca="false">BZ100+CF101</f>
        <v>100</v>
      </c>
      <c r="CA101" s="73" t="s">
        <v>646</v>
      </c>
      <c r="CB101" s="247" t="s">
        <v>199</v>
      </c>
      <c r="CC101" s="161" t="s">
        <v>196</v>
      </c>
      <c r="CD101" s="253" t="s">
        <v>197</v>
      </c>
      <c r="CE101" s="253"/>
      <c r="CF101" s="161" t="n">
        <v>1</v>
      </c>
      <c r="CG101" s="247" t="s">
        <v>647</v>
      </c>
      <c r="CH101" s="0"/>
    </row>
    <row r="102" customFormat="false" ht="12.75" hidden="false" customHeight="false" outlineLevel="0" collapsed="false">
      <c r="A102" s="286"/>
      <c r="B102" s="287" t="e">
        <f aca="false">NextMonth(B101)</f>
        <v>#VALUE!</v>
      </c>
      <c r="C102" s="239" t="n">
        <v>0.0603719897597341</v>
      </c>
      <c r="D102" s="292" t="n">
        <v>0.4</v>
      </c>
      <c r="E102" s="292" t="n">
        <v>0.4</v>
      </c>
      <c r="F102" s="292" t="n">
        <v>0.2</v>
      </c>
      <c r="G102" s="292" t="n">
        <v>0.2075</v>
      </c>
      <c r="H102" s="292" t="n">
        <v>0.215</v>
      </c>
      <c r="I102" s="288" t="n">
        <v>4.282</v>
      </c>
      <c r="J102" s="292" t="n">
        <v>4.287</v>
      </c>
      <c r="K102" s="239" t="n">
        <v>4.292</v>
      </c>
      <c r="L102" s="292" t="n">
        <v>-0.12</v>
      </c>
      <c r="M102" s="239" t="n">
        <v>-0.12</v>
      </c>
      <c r="O102" s="235"/>
      <c r="P102" s="288"/>
      <c r="Q102" s="288"/>
      <c r="R102" s="289" t="e">
        <f aca="false">B102</f>
        <v>#VALUE!</v>
      </c>
      <c r="S102" s="290" t="n">
        <f aca="false">T102-$S$16</f>
        <v>0.33</v>
      </c>
      <c r="T102" s="285" t="n">
        <f aca="false">D102</f>
        <v>0.4</v>
      </c>
      <c r="U102" s="291" t="n">
        <f aca="false">$U$16+T102</f>
        <v>0.47</v>
      </c>
      <c r="BP102" s="249" t="n">
        <f aca="false">BP101+BV102</f>
        <v>101</v>
      </c>
      <c r="BQ102" s="250" t="s">
        <v>648</v>
      </c>
      <c r="BR102" s="247" t="s">
        <v>195</v>
      </c>
      <c r="BS102" s="161" t="s">
        <v>324</v>
      </c>
      <c r="BT102" s="253" t="s">
        <v>197</v>
      </c>
      <c r="BU102" s="253"/>
      <c r="BV102" s="161" t="n">
        <v>1</v>
      </c>
      <c r="BW102" s="247" t="s">
        <v>649</v>
      </c>
      <c r="BX102" s="0"/>
      <c r="BZ102" s="249" t="n">
        <f aca="false">BZ101+CF102</f>
        <v>101</v>
      </c>
      <c r="CA102" s="73" t="s">
        <v>650</v>
      </c>
      <c r="CB102" s="247" t="s">
        <v>199</v>
      </c>
      <c r="CC102" s="161" t="s">
        <v>196</v>
      </c>
      <c r="CD102" s="253" t="s">
        <v>197</v>
      </c>
      <c r="CE102" s="253"/>
      <c r="CF102" s="161" t="n">
        <v>1</v>
      </c>
      <c r="CG102" s="247" t="s">
        <v>651</v>
      </c>
      <c r="CH102" s="0"/>
    </row>
    <row r="103" customFormat="false" ht="12.75" hidden="false" customHeight="false" outlineLevel="0" collapsed="false">
      <c r="A103" s="286"/>
      <c r="B103" s="287" t="e">
        <f aca="false">NextMonth(B102)</f>
        <v>#VALUE!</v>
      </c>
      <c r="C103" s="239" t="n">
        <v>0.0604444754371021</v>
      </c>
      <c r="D103" s="292" t="n">
        <v>0.4</v>
      </c>
      <c r="E103" s="292" t="n">
        <v>0.4</v>
      </c>
      <c r="F103" s="292" t="n">
        <v>0.195</v>
      </c>
      <c r="G103" s="292" t="n">
        <v>0.2025</v>
      </c>
      <c r="H103" s="292" t="n">
        <v>0.21</v>
      </c>
      <c r="I103" s="288" t="n">
        <v>4.327</v>
      </c>
      <c r="J103" s="292" t="n">
        <v>4.332</v>
      </c>
      <c r="K103" s="239" t="n">
        <v>4.337</v>
      </c>
      <c r="L103" s="292" t="n">
        <v>-0.12</v>
      </c>
      <c r="M103" s="239" t="n">
        <v>-0.12</v>
      </c>
      <c r="O103" s="235"/>
      <c r="P103" s="288"/>
      <c r="Q103" s="288"/>
      <c r="R103" s="289" t="e">
        <f aca="false">B103</f>
        <v>#VALUE!</v>
      </c>
      <c r="S103" s="290" t="n">
        <f aca="false">T103-$S$16</f>
        <v>0.33</v>
      </c>
      <c r="T103" s="285" t="n">
        <f aca="false">D103</f>
        <v>0.4</v>
      </c>
      <c r="U103" s="291" t="n">
        <f aca="false">$U$16+T103</f>
        <v>0.47</v>
      </c>
      <c r="BP103" s="249" t="n">
        <f aca="false">BP102+BV103</f>
        <v>102</v>
      </c>
      <c r="BQ103" s="250" t="s">
        <v>652</v>
      </c>
      <c r="BR103" s="247" t="s">
        <v>195</v>
      </c>
      <c r="BS103" s="161" t="s">
        <v>324</v>
      </c>
      <c r="BT103" s="253" t="s">
        <v>197</v>
      </c>
      <c r="BU103" s="253"/>
      <c r="BV103" s="161" t="n">
        <v>1</v>
      </c>
      <c r="BW103" s="247" t="s">
        <v>653</v>
      </c>
      <c r="BX103" s="0"/>
      <c r="BZ103" s="249" t="n">
        <f aca="false">BZ102+CF103</f>
        <v>102</v>
      </c>
      <c r="CA103" s="73" t="s">
        <v>654</v>
      </c>
      <c r="CB103" s="247" t="s">
        <v>199</v>
      </c>
      <c r="CC103" s="161" t="s">
        <v>196</v>
      </c>
      <c r="CD103" s="253" t="s">
        <v>197</v>
      </c>
      <c r="CE103" s="253"/>
      <c r="CF103" s="161" t="n">
        <v>1</v>
      </c>
      <c r="CG103" s="247" t="s">
        <v>655</v>
      </c>
      <c r="CH103" s="0"/>
    </row>
    <row r="104" customFormat="false" ht="12.75" hidden="false" customHeight="false" outlineLevel="0" collapsed="false">
      <c r="A104" s="286"/>
      <c r="B104" s="287" t="e">
        <f aca="false">NextMonth(B103)</f>
        <v>#VALUE!</v>
      </c>
      <c r="C104" s="239" t="n">
        <v>0.0605193773055488</v>
      </c>
      <c r="D104" s="292" t="n">
        <v>0.5</v>
      </c>
      <c r="E104" s="292" t="n">
        <v>0.5</v>
      </c>
      <c r="F104" s="292" t="n">
        <v>0.195</v>
      </c>
      <c r="G104" s="292" t="n">
        <v>0.2025</v>
      </c>
      <c r="H104" s="292" t="n">
        <v>0.21</v>
      </c>
      <c r="I104" s="288" t="n">
        <v>4.362</v>
      </c>
      <c r="J104" s="292" t="n">
        <v>4.367</v>
      </c>
      <c r="K104" s="239" t="n">
        <v>4.372</v>
      </c>
      <c r="L104" s="292" t="n">
        <v>-0.12</v>
      </c>
      <c r="M104" s="239" t="n">
        <v>-0.12</v>
      </c>
      <c r="O104" s="235"/>
      <c r="P104" s="288"/>
      <c r="Q104" s="288"/>
      <c r="R104" s="289" t="e">
        <f aca="false">B104</f>
        <v>#VALUE!</v>
      </c>
      <c r="S104" s="290" t="n">
        <f aca="false">T104-$S$16</f>
        <v>0.43</v>
      </c>
      <c r="T104" s="285" t="n">
        <f aca="false">D104</f>
        <v>0.5</v>
      </c>
      <c r="U104" s="291" t="n">
        <f aca="false">$U$16+T104</f>
        <v>0.57</v>
      </c>
      <c r="BP104" s="249" t="n">
        <f aca="false">BP103+BV104</f>
        <v>103</v>
      </c>
      <c r="BQ104" s="250" t="s">
        <v>656</v>
      </c>
      <c r="BR104" s="247" t="s">
        <v>195</v>
      </c>
      <c r="BS104" s="161" t="s">
        <v>324</v>
      </c>
      <c r="BT104" s="253" t="s">
        <v>197</v>
      </c>
      <c r="BU104" s="253"/>
      <c r="BV104" s="161" t="n">
        <v>1</v>
      </c>
      <c r="BW104" s="247" t="s">
        <v>657</v>
      </c>
      <c r="BX104" s="0"/>
      <c r="BZ104" s="249" t="n">
        <f aca="false">BZ103+CF104</f>
        <v>103</v>
      </c>
      <c r="CA104" s="73" t="s">
        <v>658</v>
      </c>
      <c r="CB104" s="247" t="s">
        <v>199</v>
      </c>
      <c r="CC104" s="161" t="s">
        <v>196</v>
      </c>
      <c r="CD104" s="253" t="s">
        <v>197</v>
      </c>
      <c r="CE104" s="253"/>
      <c r="CF104" s="161" t="n">
        <v>1</v>
      </c>
      <c r="CG104" s="247" t="s">
        <v>659</v>
      </c>
      <c r="CH104" s="0"/>
    </row>
    <row r="105" customFormat="false" ht="12.75" hidden="false" customHeight="false" outlineLevel="0" collapsed="false">
      <c r="A105" s="286"/>
      <c r="B105" s="287" t="e">
        <f aca="false">NextMonth(B104)</f>
        <v>#VALUE!</v>
      </c>
      <c r="C105" s="239" t="n">
        <v>0.0605942791758594</v>
      </c>
      <c r="D105" s="292" t="n">
        <v>0.55</v>
      </c>
      <c r="E105" s="292" t="n">
        <v>0.55</v>
      </c>
      <c r="F105" s="292" t="n">
        <v>0.195</v>
      </c>
      <c r="G105" s="292" t="n">
        <v>0.2025</v>
      </c>
      <c r="H105" s="292" t="n">
        <v>0.21</v>
      </c>
      <c r="I105" s="288" t="n">
        <v>4.367</v>
      </c>
      <c r="J105" s="292" t="n">
        <v>4.372</v>
      </c>
      <c r="K105" s="239" t="n">
        <v>4.377</v>
      </c>
      <c r="L105" s="292" t="n">
        <v>-0.12</v>
      </c>
      <c r="M105" s="239" t="n">
        <v>-0.12</v>
      </c>
      <c r="O105" s="235"/>
      <c r="P105" s="288"/>
      <c r="Q105" s="288"/>
      <c r="R105" s="289" t="e">
        <f aca="false">B105</f>
        <v>#VALUE!</v>
      </c>
      <c r="S105" s="290" t="n">
        <f aca="false">T105-$S$16</f>
        <v>0.48</v>
      </c>
      <c r="T105" s="285" t="n">
        <f aca="false">D105</f>
        <v>0.55</v>
      </c>
      <c r="U105" s="291" t="n">
        <f aca="false">$U$16+T105</f>
        <v>0.62</v>
      </c>
      <c r="BP105" s="249" t="n">
        <f aca="false">BP104+BV105</f>
        <v>104</v>
      </c>
      <c r="BQ105" s="250" t="s">
        <v>334</v>
      </c>
      <c r="BR105" s="247" t="s">
        <v>195</v>
      </c>
      <c r="BS105" s="161" t="s">
        <v>196</v>
      </c>
      <c r="BT105" s="253" t="s">
        <v>197</v>
      </c>
      <c r="BU105" s="253"/>
      <c r="BV105" s="161" t="n">
        <v>1</v>
      </c>
      <c r="BW105" s="247" t="s">
        <v>660</v>
      </c>
      <c r="BX105" s="0"/>
      <c r="BZ105" s="249" t="n">
        <f aca="false">BZ104+CF105</f>
        <v>104</v>
      </c>
      <c r="CA105" s="73" t="s">
        <v>661</v>
      </c>
      <c r="CB105" s="247" t="s">
        <v>199</v>
      </c>
      <c r="CC105" s="161" t="s">
        <v>196</v>
      </c>
      <c r="CD105" s="253" t="s">
        <v>197</v>
      </c>
      <c r="CE105" s="253"/>
      <c r="CF105" s="161" t="n">
        <v>1</v>
      </c>
      <c r="CG105" s="247" t="s">
        <v>662</v>
      </c>
      <c r="CH105" s="0"/>
    </row>
    <row r="106" customFormat="false" ht="12.75" hidden="false" customHeight="false" outlineLevel="0" collapsed="false">
      <c r="A106" s="286"/>
      <c r="B106" s="287" t="e">
        <f aca="false">NextMonth(B105)</f>
        <v>#VALUE!</v>
      </c>
      <c r="C106" s="239" t="n">
        <v>0.0606667648585795</v>
      </c>
      <c r="D106" s="292" t="n">
        <v>0.55</v>
      </c>
      <c r="E106" s="292" t="n">
        <v>0.55</v>
      </c>
      <c r="F106" s="292" t="n">
        <v>0.195</v>
      </c>
      <c r="G106" s="292" t="n">
        <v>0.2025</v>
      </c>
      <c r="H106" s="292" t="n">
        <v>0.21</v>
      </c>
      <c r="I106" s="288" t="n">
        <v>4.392</v>
      </c>
      <c r="J106" s="292" t="n">
        <v>4.397</v>
      </c>
      <c r="K106" s="239" t="n">
        <v>4.402</v>
      </c>
      <c r="L106" s="292" t="n">
        <v>-0.12</v>
      </c>
      <c r="M106" s="239" t="n">
        <v>-0.12</v>
      </c>
      <c r="O106" s="235"/>
      <c r="P106" s="288"/>
      <c r="Q106" s="288"/>
      <c r="R106" s="289" t="e">
        <f aca="false">B106</f>
        <v>#VALUE!</v>
      </c>
      <c r="S106" s="290" t="n">
        <f aca="false">T106-$S$16</f>
        <v>0.48</v>
      </c>
      <c r="T106" s="285" t="n">
        <f aca="false">D106</f>
        <v>0.55</v>
      </c>
      <c r="U106" s="291" t="n">
        <f aca="false">$U$16+T106</f>
        <v>0.62</v>
      </c>
      <c r="BP106" s="249" t="n">
        <f aca="false">BP105+BV106</f>
        <v>105</v>
      </c>
      <c r="BQ106" s="250" t="s">
        <v>663</v>
      </c>
      <c r="BR106" s="247" t="s">
        <v>195</v>
      </c>
      <c r="BS106" s="161" t="s">
        <v>324</v>
      </c>
      <c r="BT106" s="253" t="s">
        <v>197</v>
      </c>
      <c r="BU106" s="253"/>
      <c r="BV106" s="161" t="n">
        <v>1</v>
      </c>
      <c r="BW106" s="247" t="s">
        <v>664</v>
      </c>
      <c r="BX106" s="0"/>
      <c r="BZ106" s="249" t="n">
        <f aca="false">BZ105+CF106</f>
        <v>105</v>
      </c>
      <c r="CA106" s="73" t="s">
        <v>665</v>
      </c>
      <c r="CB106" s="247" t="s">
        <v>199</v>
      </c>
      <c r="CC106" s="161" t="s">
        <v>196</v>
      </c>
      <c r="CD106" s="253" t="s">
        <v>197</v>
      </c>
      <c r="CE106" s="253"/>
      <c r="CF106" s="161" t="n">
        <v>1</v>
      </c>
      <c r="CG106" s="247" t="s">
        <v>666</v>
      </c>
      <c r="CH106" s="0"/>
    </row>
    <row r="107" customFormat="false" ht="12.75" hidden="false" customHeight="false" outlineLevel="0" collapsed="false">
      <c r="A107" s="286"/>
      <c r="B107" s="287" t="e">
        <f aca="false">NextMonth(B106)</f>
        <v>#VALUE!</v>
      </c>
      <c r="C107" s="239" t="n">
        <v>0.0607416667325569</v>
      </c>
      <c r="D107" s="292" t="n">
        <v>0.8</v>
      </c>
      <c r="E107" s="292" t="n">
        <v>0.8</v>
      </c>
      <c r="F107" s="292" t="n">
        <v>0.195</v>
      </c>
      <c r="G107" s="292" t="n">
        <v>0.2025</v>
      </c>
      <c r="H107" s="292" t="n">
        <v>0.21</v>
      </c>
      <c r="I107" s="288" t="n">
        <v>4.502</v>
      </c>
      <c r="J107" s="292" t="n">
        <v>4.507</v>
      </c>
      <c r="K107" s="239" t="n">
        <v>4.512</v>
      </c>
      <c r="L107" s="292" t="n">
        <v>-0.1425</v>
      </c>
      <c r="M107" s="239" t="n">
        <v>-0.1425</v>
      </c>
      <c r="O107" s="235"/>
      <c r="P107" s="288"/>
      <c r="Q107" s="288"/>
      <c r="R107" s="289" t="e">
        <f aca="false">B107</f>
        <v>#VALUE!</v>
      </c>
      <c r="S107" s="290" t="n">
        <f aca="false">T107-$S$16</f>
        <v>0.73</v>
      </c>
      <c r="T107" s="285" t="n">
        <f aca="false">D107</f>
        <v>0.8</v>
      </c>
      <c r="U107" s="291" t="n">
        <f aca="false">$U$16+T107</f>
        <v>0.87</v>
      </c>
      <c r="BP107" s="249" t="n">
        <f aca="false">BP106+BV107</f>
        <v>106</v>
      </c>
      <c r="BQ107" s="250" t="s">
        <v>667</v>
      </c>
      <c r="BR107" s="247" t="s">
        <v>195</v>
      </c>
      <c r="BS107" s="161" t="s">
        <v>324</v>
      </c>
      <c r="BT107" s="253" t="s">
        <v>197</v>
      </c>
      <c r="BU107" s="253"/>
      <c r="BV107" s="161" t="n">
        <v>1</v>
      </c>
      <c r="BW107" s="247" t="s">
        <v>668</v>
      </c>
      <c r="BX107" s="0"/>
      <c r="BZ107" s="249" t="n">
        <f aca="false">BZ106+CF107</f>
        <v>106</v>
      </c>
      <c r="CA107" s="73" t="s">
        <v>669</v>
      </c>
      <c r="CB107" s="247" t="s">
        <v>199</v>
      </c>
      <c r="CC107" s="161" t="s">
        <v>196</v>
      </c>
      <c r="CD107" s="253" t="s">
        <v>197</v>
      </c>
      <c r="CE107" s="253"/>
      <c r="CF107" s="161" t="n">
        <v>1</v>
      </c>
      <c r="CG107" s="247" t="s">
        <v>670</v>
      </c>
      <c r="CH107" s="0"/>
    </row>
    <row r="108" customFormat="false" ht="12.75" hidden="false" customHeight="false" outlineLevel="0" collapsed="false">
      <c r="A108" s="286"/>
      <c r="B108" s="287" t="e">
        <f aca="false">NextMonth(B107)</f>
        <v>#VALUE!</v>
      </c>
      <c r="C108" s="239" t="n">
        <v>0.0608141524188253</v>
      </c>
      <c r="D108" s="292" t="n">
        <v>1</v>
      </c>
      <c r="E108" s="292" t="n">
        <v>1</v>
      </c>
      <c r="F108" s="292" t="n">
        <v>0.1975</v>
      </c>
      <c r="G108" s="292" t="n">
        <v>0.205</v>
      </c>
      <c r="H108" s="292" t="n">
        <v>0.2125</v>
      </c>
      <c r="I108" s="288" t="n">
        <v>4.622</v>
      </c>
      <c r="J108" s="292" t="n">
        <v>4.627</v>
      </c>
      <c r="K108" s="239" t="n">
        <v>4.632</v>
      </c>
      <c r="L108" s="292" t="n">
        <v>-0.1375</v>
      </c>
      <c r="M108" s="239" t="n">
        <v>-0.1375</v>
      </c>
      <c r="O108" s="235"/>
      <c r="P108" s="288"/>
      <c r="Q108" s="288"/>
      <c r="R108" s="289" t="e">
        <f aca="false">B108</f>
        <v>#VALUE!</v>
      </c>
      <c r="S108" s="290" t="n">
        <f aca="false">T108-$S$16</f>
        <v>0.93</v>
      </c>
      <c r="T108" s="285" t="n">
        <f aca="false">D108</f>
        <v>1</v>
      </c>
      <c r="U108" s="291" t="n">
        <f aca="false">$U$16+T108</f>
        <v>1.07</v>
      </c>
      <c r="BP108" s="249" t="n">
        <f aca="false">BP107+BV108</f>
        <v>107</v>
      </c>
      <c r="BQ108" s="250" t="s">
        <v>671</v>
      </c>
      <c r="BR108" s="247" t="s">
        <v>195</v>
      </c>
      <c r="BS108" s="161" t="s">
        <v>324</v>
      </c>
      <c r="BT108" s="253" t="s">
        <v>197</v>
      </c>
      <c r="BU108" s="253"/>
      <c r="BV108" s="161" t="n">
        <v>1</v>
      </c>
      <c r="BW108" s="247" t="s">
        <v>672</v>
      </c>
      <c r="BX108" s="0"/>
      <c r="BZ108" s="249" t="n">
        <f aca="false">BZ107+CF108</f>
        <v>107</v>
      </c>
      <c r="CA108" s="73" t="s">
        <v>673</v>
      </c>
      <c r="CB108" s="247" t="s">
        <v>199</v>
      </c>
      <c r="CC108" s="161" t="s">
        <v>196</v>
      </c>
      <c r="CD108" s="253" t="s">
        <v>197</v>
      </c>
      <c r="CE108" s="253"/>
      <c r="CF108" s="161" t="n">
        <v>1</v>
      </c>
      <c r="CG108" s="247" t="s">
        <v>674</v>
      </c>
      <c r="CH108" s="0"/>
    </row>
    <row r="109" customFormat="false" ht="12.75" hidden="false" customHeight="false" outlineLevel="0" collapsed="false">
      <c r="A109" s="286"/>
      <c r="B109" s="287" t="e">
        <f aca="false">NextMonth(B108)</f>
        <v>#VALUE!</v>
      </c>
      <c r="C109" s="239" t="n">
        <v>0.0608890542964695</v>
      </c>
      <c r="D109" s="292" t="n">
        <v>1</v>
      </c>
      <c r="E109" s="292" t="n">
        <v>1</v>
      </c>
      <c r="F109" s="292" t="n">
        <v>0.1975</v>
      </c>
      <c r="G109" s="292" t="n">
        <v>0.205</v>
      </c>
      <c r="H109" s="292" t="n">
        <v>0.2125</v>
      </c>
      <c r="I109" s="288" t="n">
        <v>4.677</v>
      </c>
      <c r="J109" s="292" t="n">
        <v>4.682</v>
      </c>
      <c r="K109" s="239" t="n">
        <v>4.687</v>
      </c>
      <c r="L109" s="292" t="n">
        <v>-0.1375</v>
      </c>
      <c r="M109" s="239" t="n">
        <v>-0.1375</v>
      </c>
      <c r="O109" s="235"/>
      <c r="P109" s="288"/>
      <c r="Q109" s="288"/>
      <c r="R109" s="289" t="e">
        <f aca="false">B109</f>
        <v>#VALUE!</v>
      </c>
      <c r="S109" s="290" t="n">
        <f aca="false">T109-$S$16</f>
        <v>0.93</v>
      </c>
      <c r="T109" s="285" t="n">
        <f aca="false">D109</f>
        <v>1</v>
      </c>
      <c r="U109" s="291" t="n">
        <f aca="false">$U$16+T109</f>
        <v>1.07</v>
      </c>
      <c r="BP109" s="249" t="n">
        <f aca="false">BP108+BV109</f>
        <v>108</v>
      </c>
      <c r="BQ109" s="250" t="s">
        <v>675</v>
      </c>
      <c r="BR109" s="247" t="s">
        <v>195</v>
      </c>
      <c r="BS109" s="161" t="s">
        <v>324</v>
      </c>
      <c r="BT109" s="253" t="s">
        <v>197</v>
      </c>
      <c r="BU109" s="253"/>
      <c r="BV109" s="161" t="n">
        <v>1</v>
      </c>
      <c r="BW109" s="247" t="s">
        <v>676</v>
      </c>
      <c r="BX109" s="0"/>
      <c r="BZ109" s="249" t="n">
        <f aca="false">BZ108+CF109</f>
        <v>108</v>
      </c>
      <c r="CA109" s="73" t="s">
        <v>677</v>
      </c>
      <c r="CB109" s="247" t="s">
        <v>199</v>
      </c>
      <c r="CC109" s="161" t="s">
        <v>196</v>
      </c>
      <c r="CD109" s="253" t="s">
        <v>197</v>
      </c>
      <c r="CE109" s="253"/>
      <c r="CF109" s="161" t="n">
        <v>1</v>
      </c>
      <c r="CG109" s="247" t="s">
        <v>678</v>
      </c>
      <c r="CH109" s="0"/>
    </row>
    <row r="110" customFormat="false" ht="12.75" hidden="false" customHeight="false" outlineLevel="0" collapsed="false">
      <c r="A110" s="286"/>
      <c r="B110" s="287" t="e">
        <f aca="false">NextMonth(B109)</f>
        <v>#VALUE!</v>
      </c>
      <c r="C110" s="239" t="n">
        <v>0.0609639561759767</v>
      </c>
      <c r="D110" s="292" t="n">
        <v>1</v>
      </c>
      <c r="E110" s="292" t="n">
        <v>1</v>
      </c>
      <c r="F110" s="292" t="n">
        <v>0.1925</v>
      </c>
      <c r="G110" s="292" t="n">
        <v>0.2</v>
      </c>
      <c r="H110" s="292" t="n">
        <v>0.2075</v>
      </c>
      <c r="I110" s="288" t="n">
        <v>4.557</v>
      </c>
      <c r="J110" s="292" t="n">
        <v>4.562</v>
      </c>
      <c r="K110" s="239" t="n">
        <v>4.567</v>
      </c>
      <c r="L110" s="292" t="n">
        <v>-0.14</v>
      </c>
      <c r="M110" s="239" t="n">
        <v>-0.14</v>
      </c>
      <c r="O110" s="235"/>
      <c r="P110" s="288"/>
      <c r="Q110" s="288"/>
      <c r="R110" s="289" t="e">
        <f aca="false">B110</f>
        <v>#VALUE!</v>
      </c>
      <c r="S110" s="290" t="n">
        <f aca="false">T110-$S$16</f>
        <v>0.93</v>
      </c>
      <c r="T110" s="285" t="n">
        <f aca="false">D110</f>
        <v>1</v>
      </c>
      <c r="U110" s="291" t="n">
        <f aca="false">$U$16+T110</f>
        <v>1.07</v>
      </c>
      <c r="BP110" s="249" t="n">
        <f aca="false">BP109+BV110</f>
        <v>109</v>
      </c>
      <c r="BQ110" s="250" t="s">
        <v>679</v>
      </c>
      <c r="BR110" s="247" t="s">
        <v>195</v>
      </c>
      <c r="BS110" s="161" t="s">
        <v>324</v>
      </c>
      <c r="BT110" s="253" t="s">
        <v>197</v>
      </c>
      <c r="BU110" s="253"/>
      <c r="BV110" s="161" t="n">
        <v>1</v>
      </c>
      <c r="BW110" s="247" t="s">
        <v>680</v>
      </c>
      <c r="BX110" s="0"/>
      <c r="BZ110" s="249" t="n">
        <f aca="false">BZ109+CF110</f>
        <v>109</v>
      </c>
      <c r="CA110" s="73" t="s">
        <v>681</v>
      </c>
      <c r="CB110" s="247" t="s">
        <v>199</v>
      </c>
      <c r="CC110" s="161" t="s">
        <v>196</v>
      </c>
      <c r="CD110" s="253" t="s">
        <v>197</v>
      </c>
      <c r="CE110" s="253"/>
      <c r="CF110" s="161" t="n">
        <v>1</v>
      </c>
      <c r="CG110" s="247" t="s">
        <v>682</v>
      </c>
      <c r="CH110" s="0"/>
    </row>
    <row r="111" customFormat="false" ht="12.75" hidden="false" customHeight="false" outlineLevel="0" collapsed="false">
      <c r="A111" s="286"/>
      <c r="B111" s="287" t="e">
        <f aca="false">NextMonth(B110)</f>
        <v>#VALUE!</v>
      </c>
      <c r="C111" s="239" t="n">
        <v>0.0610316094881016</v>
      </c>
      <c r="D111" s="292" t="n">
        <v>0.75</v>
      </c>
      <c r="E111" s="292" t="n">
        <v>0.75</v>
      </c>
      <c r="F111" s="292" t="n">
        <v>0.1825</v>
      </c>
      <c r="G111" s="292" t="n">
        <v>0.19</v>
      </c>
      <c r="H111" s="292" t="n">
        <v>0.1975</v>
      </c>
      <c r="I111" s="288" t="n">
        <v>4.417</v>
      </c>
      <c r="J111" s="292" t="n">
        <v>4.422</v>
      </c>
      <c r="K111" s="239" t="n">
        <v>4.427</v>
      </c>
      <c r="L111" s="292" t="n">
        <v>-0.1425</v>
      </c>
      <c r="M111" s="239" t="n">
        <v>-0.1425</v>
      </c>
      <c r="O111" s="235"/>
      <c r="P111" s="288"/>
      <c r="Q111" s="288"/>
      <c r="R111" s="289" t="e">
        <f aca="false">B111</f>
        <v>#VALUE!</v>
      </c>
      <c r="S111" s="290" t="n">
        <f aca="false">T111-$S$16</f>
        <v>0.68</v>
      </c>
      <c r="T111" s="285" t="n">
        <f aca="false">D111</f>
        <v>0.75</v>
      </c>
      <c r="U111" s="291" t="n">
        <f aca="false">$U$16+T111</f>
        <v>0.82</v>
      </c>
      <c r="BP111" s="249" t="n">
        <f aca="false">BP110+BV111</f>
        <v>110</v>
      </c>
      <c r="BQ111" s="250" t="s">
        <v>683</v>
      </c>
      <c r="BR111" s="247" t="s">
        <v>195</v>
      </c>
      <c r="BS111" s="161" t="s">
        <v>324</v>
      </c>
      <c r="BT111" s="253" t="s">
        <v>197</v>
      </c>
      <c r="BU111" s="253"/>
      <c r="BV111" s="161" t="n">
        <v>1</v>
      </c>
      <c r="BW111" s="247" t="s">
        <v>684</v>
      </c>
      <c r="BX111" s="0"/>
      <c r="BZ111" s="249" t="n">
        <f aca="false">BZ110+CF111</f>
        <v>110</v>
      </c>
      <c r="CA111" s="73" t="s">
        <v>685</v>
      </c>
      <c r="CB111" s="247" t="s">
        <v>199</v>
      </c>
      <c r="CC111" s="161" t="s">
        <v>196</v>
      </c>
      <c r="CD111" s="253" t="s">
        <v>197</v>
      </c>
      <c r="CE111" s="253"/>
      <c r="CF111" s="161" t="n">
        <v>1</v>
      </c>
      <c r="CG111" s="247" t="s">
        <v>686</v>
      </c>
      <c r="CH111" s="0"/>
    </row>
    <row r="112" customFormat="false" ht="12.75" hidden="false" customHeight="false" outlineLevel="0" collapsed="false">
      <c r="A112" s="286"/>
      <c r="B112" s="287" t="e">
        <f aca="false">NextMonth(B111)</f>
        <v>#VALUE!</v>
      </c>
      <c r="C112" s="239" t="n">
        <v>0.0611065113711544</v>
      </c>
      <c r="D112" s="292" t="n">
        <v>0.4</v>
      </c>
      <c r="E112" s="292" t="n">
        <v>0.4</v>
      </c>
      <c r="F112" s="292" t="n">
        <v>0.1825</v>
      </c>
      <c r="G112" s="292" t="n">
        <v>0.19</v>
      </c>
      <c r="H112" s="292" t="n">
        <v>0.1975</v>
      </c>
      <c r="I112" s="288" t="n">
        <v>4.275</v>
      </c>
      <c r="J112" s="292" t="n">
        <v>4.28</v>
      </c>
      <c r="K112" s="239" t="n">
        <v>4.285</v>
      </c>
      <c r="L112" s="292" t="n">
        <v>-0.14</v>
      </c>
      <c r="M112" s="239" t="n">
        <v>-0.14</v>
      </c>
      <c r="O112" s="235"/>
      <c r="P112" s="288"/>
      <c r="Q112" s="288"/>
      <c r="R112" s="289" t="e">
        <f aca="false">B112</f>
        <v>#VALUE!</v>
      </c>
      <c r="S112" s="290" t="n">
        <f aca="false">T112-$S$16</f>
        <v>0.33</v>
      </c>
      <c r="T112" s="285" t="n">
        <f aca="false">D112</f>
        <v>0.4</v>
      </c>
      <c r="U112" s="291" t="n">
        <f aca="false">$U$16+T112</f>
        <v>0.47</v>
      </c>
      <c r="BP112" s="249" t="n">
        <f aca="false">BP111+BV112</f>
        <v>111</v>
      </c>
      <c r="BQ112" s="250" t="s">
        <v>687</v>
      </c>
      <c r="BR112" s="247" t="s">
        <v>195</v>
      </c>
      <c r="BS112" s="161" t="s">
        <v>324</v>
      </c>
      <c r="BT112" s="253" t="s">
        <v>197</v>
      </c>
      <c r="BU112" s="253"/>
      <c r="BV112" s="161" t="n">
        <v>1</v>
      </c>
      <c r="BW112" s="247" t="s">
        <v>688</v>
      </c>
      <c r="BX112" s="0"/>
      <c r="BZ112" s="249" t="n">
        <f aca="false">BZ111+CF112</f>
        <v>111</v>
      </c>
      <c r="CA112" s="73" t="s">
        <v>689</v>
      </c>
      <c r="CB112" s="247" t="s">
        <v>199</v>
      </c>
      <c r="CC112" s="161" t="s">
        <v>196</v>
      </c>
      <c r="CD112" s="253" t="s">
        <v>197</v>
      </c>
      <c r="CE112" s="253"/>
      <c r="CF112" s="161" t="n">
        <v>1</v>
      </c>
      <c r="CG112" s="247" t="s">
        <v>690</v>
      </c>
      <c r="CH112" s="0"/>
    </row>
    <row r="113" customFormat="false" ht="12.75" hidden="false" customHeight="false" outlineLevel="0" collapsed="false">
      <c r="A113" s="286"/>
      <c r="B113" s="287" t="e">
        <f aca="false">NextMonth(B112)</f>
        <v>#VALUE!</v>
      </c>
      <c r="C113" s="239" t="n">
        <v>0.061178997066206</v>
      </c>
      <c r="D113" s="292" t="n">
        <v>0.4</v>
      </c>
      <c r="E113" s="292" t="n">
        <v>0.4</v>
      </c>
      <c r="F113" s="292" t="n">
        <v>0.1825</v>
      </c>
      <c r="G113" s="292" t="n">
        <v>0.19</v>
      </c>
      <c r="H113" s="292" t="n">
        <v>0.1975</v>
      </c>
      <c r="I113" s="288" t="n">
        <v>4.309</v>
      </c>
      <c r="J113" s="292" t="n">
        <v>4.314</v>
      </c>
      <c r="K113" s="239" t="n">
        <v>4.319</v>
      </c>
      <c r="L113" s="292" t="n">
        <v>-0.14</v>
      </c>
      <c r="M113" s="239" t="n">
        <v>-0.14</v>
      </c>
      <c r="O113" s="235"/>
      <c r="P113" s="288"/>
      <c r="Q113" s="288"/>
      <c r="R113" s="289" t="e">
        <f aca="false">B113</f>
        <v>#VALUE!</v>
      </c>
      <c r="S113" s="290" t="n">
        <f aca="false">T113-$S$16</f>
        <v>0.33</v>
      </c>
      <c r="T113" s="285" t="n">
        <f aca="false">D113</f>
        <v>0.4</v>
      </c>
      <c r="U113" s="291" t="n">
        <f aca="false">$U$16+T113</f>
        <v>0.47</v>
      </c>
      <c r="BP113" s="249" t="n">
        <f aca="false">BP112+BV113</f>
        <v>112</v>
      </c>
      <c r="BQ113" s="250" t="s">
        <v>691</v>
      </c>
      <c r="BR113" s="247" t="s">
        <v>195</v>
      </c>
      <c r="BS113" s="161" t="s">
        <v>324</v>
      </c>
      <c r="BT113" s="253" t="s">
        <v>197</v>
      </c>
      <c r="BU113" s="253"/>
      <c r="BV113" s="161" t="n">
        <v>1</v>
      </c>
      <c r="BW113" s="247" t="s">
        <v>692</v>
      </c>
      <c r="BX113" s="0"/>
      <c r="BZ113" s="249" t="n">
        <f aca="false">BZ112+CF113</f>
        <v>112</v>
      </c>
      <c r="CA113" s="73" t="s">
        <v>693</v>
      </c>
      <c r="CB113" s="247" t="s">
        <v>199</v>
      </c>
      <c r="CC113" s="161" t="s">
        <v>196</v>
      </c>
      <c r="CD113" s="253" t="s">
        <v>197</v>
      </c>
      <c r="CE113" s="253"/>
      <c r="CF113" s="161" t="n">
        <v>1</v>
      </c>
      <c r="CG113" s="247" t="s">
        <v>694</v>
      </c>
      <c r="CH113" s="0"/>
    </row>
    <row r="114" customFormat="false" ht="12.75" hidden="false" customHeight="false" outlineLevel="0" collapsed="false">
      <c r="A114" s="286"/>
      <c r="B114" s="287" t="e">
        <f aca="false">NextMonth(B113)</f>
        <v>#VALUE!</v>
      </c>
      <c r="C114" s="239" t="n">
        <v>0.0612538989529257</v>
      </c>
      <c r="D114" s="292" t="n">
        <v>0.4</v>
      </c>
      <c r="E114" s="292" t="n">
        <v>0.4</v>
      </c>
      <c r="F114" s="292" t="n">
        <v>0.1825</v>
      </c>
      <c r="G114" s="292" t="n">
        <v>0.19</v>
      </c>
      <c r="H114" s="292" t="n">
        <v>0.1975</v>
      </c>
      <c r="I114" s="288" t="n">
        <v>4.342</v>
      </c>
      <c r="J114" s="292" t="n">
        <v>4.347</v>
      </c>
      <c r="K114" s="239" t="n">
        <v>4.352</v>
      </c>
      <c r="L114" s="292" t="n">
        <v>-0.14</v>
      </c>
      <c r="M114" s="239" t="n">
        <v>-0.14</v>
      </c>
      <c r="O114" s="235"/>
      <c r="P114" s="288"/>
      <c r="Q114" s="288"/>
      <c r="R114" s="289" t="e">
        <f aca="false">B114</f>
        <v>#VALUE!</v>
      </c>
      <c r="S114" s="290" t="n">
        <f aca="false">T114-$S$16</f>
        <v>0.33</v>
      </c>
      <c r="T114" s="285" t="n">
        <f aca="false">D114</f>
        <v>0.4</v>
      </c>
      <c r="U114" s="291" t="n">
        <f aca="false">$U$16+T114</f>
        <v>0.47</v>
      </c>
      <c r="BP114" s="249" t="n">
        <f aca="false">BP113+BV114</f>
        <v>113</v>
      </c>
      <c r="BQ114" s="250" t="s">
        <v>695</v>
      </c>
      <c r="BR114" s="247" t="s">
        <v>195</v>
      </c>
      <c r="BS114" s="161" t="s">
        <v>324</v>
      </c>
      <c r="BT114" s="253" t="s">
        <v>197</v>
      </c>
      <c r="BU114" s="253"/>
      <c r="BV114" s="161" t="n">
        <v>1</v>
      </c>
      <c r="BW114" s="247" t="s">
        <v>696</v>
      </c>
      <c r="BX114" s="0"/>
      <c r="BZ114" s="249" t="n">
        <f aca="false">BZ113+CF114</f>
        <v>113</v>
      </c>
      <c r="CA114" s="73" t="s">
        <v>697</v>
      </c>
      <c r="CB114" s="247" t="s">
        <v>199</v>
      </c>
      <c r="CC114" s="161" t="s">
        <v>196</v>
      </c>
      <c r="CD114" s="253" t="s">
        <v>197</v>
      </c>
      <c r="CE114" s="253"/>
      <c r="CF114" s="161" t="n">
        <v>1</v>
      </c>
      <c r="CG114" s="247" t="s">
        <v>698</v>
      </c>
      <c r="CH114" s="0"/>
    </row>
    <row r="115" customFormat="false" ht="12.75" hidden="false" customHeight="false" outlineLevel="0" collapsed="false">
      <c r="A115" s="286"/>
      <c r="B115" s="287" t="e">
        <f aca="false">NextMonth(B114)</f>
        <v>#VALUE!</v>
      </c>
      <c r="C115" s="239" t="n">
        <v>0.0613263846515251</v>
      </c>
      <c r="D115" s="292" t="n">
        <v>0.4</v>
      </c>
      <c r="E115" s="292" t="n">
        <v>0.4</v>
      </c>
      <c r="F115" s="292" t="n">
        <v>0.1825</v>
      </c>
      <c r="G115" s="292" t="n">
        <v>0.19</v>
      </c>
      <c r="H115" s="292" t="n">
        <v>0.1975</v>
      </c>
      <c r="I115" s="288" t="n">
        <v>4.387</v>
      </c>
      <c r="J115" s="292" t="n">
        <v>4.392</v>
      </c>
      <c r="K115" s="239" t="n">
        <v>4.397</v>
      </c>
      <c r="L115" s="292" t="n">
        <v>-0.14</v>
      </c>
      <c r="M115" s="239" t="n">
        <v>-0.14</v>
      </c>
      <c r="O115" s="235"/>
      <c r="P115" s="288"/>
      <c r="Q115" s="288"/>
      <c r="R115" s="289" t="e">
        <f aca="false">B115</f>
        <v>#VALUE!</v>
      </c>
      <c r="S115" s="290" t="n">
        <f aca="false">T115-$S$16</f>
        <v>0.33</v>
      </c>
      <c r="T115" s="285" t="n">
        <f aca="false">D115</f>
        <v>0.4</v>
      </c>
      <c r="U115" s="291" t="n">
        <f aca="false">$U$16+T115</f>
        <v>0.47</v>
      </c>
      <c r="BP115" s="249" t="n">
        <f aca="false">BP114+BV115</f>
        <v>114</v>
      </c>
      <c r="BQ115" s="250" t="s">
        <v>699</v>
      </c>
      <c r="BR115" s="247" t="s">
        <v>195</v>
      </c>
      <c r="BS115" s="161" t="s">
        <v>324</v>
      </c>
      <c r="BT115" s="253" t="s">
        <v>197</v>
      </c>
      <c r="BU115" s="253"/>
      <c r="BV115" s="161" t="n">
        <v>1</v>
      </c>
      <c r="BW115" s="247" t="s">
        <v>700</v>
      </c>
      <c r="BX115" s="0"/>
      <c r="BZ115" s="249" t="n">
        <f aca="false">BZ114+CF115</f>
        <v>114</v>
      </c>
      <c r="CA115" s="73" t="s">
        <v>701</v>
      </c>
      <c r="CB115" s="247" t="s">
        <v>199</v>
      </c>
      <c r="CC115" s="161" t="s">
        <v>196</v>
      </c>
      <c r="CD115" s="253" t="s">
        <v>197</v>
      </c>
      <c r="CE115" s="253"/>
      <c r="CF115" s="161" t="n">
        <v>1</v>
      </c>
      <c r="CG115" s="247" t="s">
        <v>702</v>
      </c>
      <c r="CH115" s="0"/>
    </row>
    <row r="116" customFormat="false" ht="12.75" hidden="false" customHeight="false" outlineLevel="0" collapsed="false">
      <c r="A116" s="286"/>
      <c r="B116" s="287" t="e">
        <f aca="false">NextMonth(B115)</f>
        <v>#VALUE!</v>
      </c>
      <c r="C116" s="239" t="n">
        <v>0.0614012865419098</v>
      </c>
      <c r="D116" s="292" t="n">
        <v>0.5</v>
      </c>
      <c r="E116" s="292" t="n">
        <v>0.5</v>
      </c>
      <c r="F116" s="292" t="n">
        <v>0.1825</v>
      </c>
      <c r="G116" s="292" t="n">
        <v>0.19</v>
      </c>
      <c r="H116" s="292" t="n">
        <v>0.1975</v>
      </c>
      <c r="I116" s="288" t="n">
        <v>4.422</v>
      </c>
      <c r="J116" s="292" t="n">
        <v>4.427</v>
      </c>
      <c r="K116" s="239" t="n">
        <v>4.432</v>
      </c>
      <c r="L116" s="292" t="n">
        <v>-0.14</v>
      </c>
      <c r="M116" s="239" t="n">
        <v>-0.14</v>
      </c>
      <c r="O116" s="235"/>
      <c r="P116" s="288"/>
      <c r="Q116" s="288"/>
      <c r="R116" s="289" t="e">
        <f aca="false">B116</f>
        <v>#VALUE!</v>
      </c>
      <c r="S116" s="290" t="n">
        <f aca="false">T116-$S$16</f>
        <v>0.43</v>
      </c>
      <c r="T116" s="285" t="n">
        <f aca="false">D116</f>
        <v>0.5</v>
      </c>
      <c r="U116" s="291" t="n">
        <f aca="false">$U$16+T116</f>
        <v>0.57</v>
      </c>
      <c r="BP116" s="249" t="n">
        <f aca="false">BP115+BV116</f>
        <v>115</v>
      </c>
      <c r="BQ116" s="250" t="s">
        <v>703</v>
      </c>
      <c r="BR116" s="247" t="s">
        <v>195</v>
      </c>
      <c r="BS116" s="161" t="s">
        <v>324</v>
      </c>
      <c r="BT116" s="253" t="s">
        <v>197</v>
      </c>
      <c r="BU116" s="253"/>
      <c r="BV116" s="161" t="n">
        <v>1</v>
      </c>
      <c r="BW116" s="247" t="s">
        <v>704</v>
      </c>
      <c r="BX116" s="0"/>
      <c r="BZ116" s="249" t="n">
        <f aca="false">BZ115+CF116</f>
        <v>115</v>
      </c>
      <c r="CA116" s="73" t="s">
        <v>705</v>
      </c>
      <c r="CB116" s="247" t="s">
        <v>199</v>
      </c>
      <c r="CC116" s="161" t="s">
        <v>196</v>
      </c>
      <c r="CD116" s="253" t="s">
        <v>197</v>
      </c>
      <c r="CE116" s="253"/>
      <c r="CF116" s="161" t="n">
        <v>1</v>
      </c>
      <c r="CG116" s="247" t="s">
        <v>706</v>
      </c>
      <c r="CH116" s="0"/>
    </row>
    <row r="117" customFormat="false" ht="12.75" hidden="false" customHeight="false" outlineLevel="0" collapsed="false">
      <c r="A117" s="286"/>
      <c r="B117" s="287" t="e">
        <f aca="false">NextMonth(B116)</f>
        <v>#VALUE!</v>
      </c>
      <c r="C117" s="239" t="n">
        <v>0.0614761884341584</v>
      </c>
      <c r="D117" s="292" t="n">
        <v>0.55</v>
      </c>
      <c r="E117" s="292" t="n">
        <v>0.55</v>
      </c>
      <c r="F117" s="292" t="n">
        <v>0.1825</v>
      </c>
      <c r="G117" s="292" t="n">
        <v>0.19</v>
      </c>
      <c r="H117" s="292" t="n">
        <v>0.1975</v>
      </c>
      <c r="I117" s="288" t="n">
        <v>4.427</v>
      </c>
      <c r="J117" s="292" t="n">
        <v>4.432</v>
      </c>
      <c r="K117" s="239" t="n">
        <v>4.437</v>
      </c>
      <c r="L117" s="292" t="n">
        <v>-0.14</v>
      </c>
      <c r="M117" s="239" t="n">
        <v>-0.14</v>
      </c>
      <c r="O117" s="235"/>
      <c r="P117" s="288"/>
      <c r="Q117" s="288"/>
      <c r="R117" s="289" t="e">
        <f aca="false">B117</f>
        <v>#VALUE!</v>
      </c>
      <c r="S117" s="290" t="n">
        <f aca="false">T117-$S$16</f>
        <v>0.48</v>
      </c>
      <c r="T117" s="285" t="n">
        <f aca="false">D117</f>
        <v>0.55</v>
      </c>
      <c r="U117" s="291" t="n">
        <f aca="false">$U$16+T117</f>
        <v>0.62</v>
      </c>
      <c r="BP117" s="249" t="n">
        <f aca="false">BP116+BV117</f>
        <v>116</v>
      </c>
      <c r="BQ117" s="250" t="s">
        <v>707</v>
      </c>
      <c r="BR117" s="247" t="s">
        <v>195</v>
      </c>
      <c r="BS117" s="161" t="s">
        <v>324</v>
      </c>
      <c r="BT117" s="253" t="s">
        <v>197</v>
      </c>
      <c r="BU117" s="253"/>
      <c r="BV117" s="161" t="n">
        <v>1</v>
      </c>
      <c r="BW117" s="247" t="s">
        <v>708</v>
      </c>
      <c r="BX117" s="0"/>
      <c r="BZ117" s="249" t="n">
        <f aca="false">BZ116+CF117</f>
        <v>116</v>
      </c>
      <c r="CA117" s="73" t="s">
        <v>709</v>
      </c>
      <c r="CB117" s="247" t="s">
        <v>199</v>
      </c>
      <c r="CC117" s="161" t="s">
        <v>196</v>
      </c>
      <c r="CD117" s="253" t="s">
        <v>197</v>
      </c>
      <c r="CE117" s="253"/>
      <c r="CF117" s="161" t="n">
        <v>1</v>
      </c>
      <c r="CG117" s="247" t="s">
        <v>710</v>
      </c>
      <c r="CH117" s="0"/>
    </row>
    <row r="118" customFormat="false" ht="12.75" hidden="false" customHeight="false" outlineLevel="0" collapsed="false">
      <c r="A118" s="286"/>
      <c r="B118" s="287" t="e">
        <f aca="false">NextMonth(B117)</f>
        <v>#VALUE!</v>
      </c>
      <c r="C118" s="239" t="n">
        <v>0.0615486741381073</v>
      </c>
      <c r="D118" s="292" t="n">
        <v>0.55</v>
      </c>
      <c r="E118" s="292" t="n">
        <v>0.55</v>
      </c>
      <c r="F118" s="292" t="n">
        <v>0.1825</v>
      </c>
      <c r="G118" s="292" t="n">
        <v>0.19</v>
      </c>
      <c r="H118" s="292" t="n">
        <v>0.1975</v>
      </c>
      <c r="I118" s="288" t="n">
        <v>4.452</v>
      </c>
      <c r="J118" s="292" t="n">
        <v>4.457</v>
      </c>
      <c r="K118" s="239" t="n">
        <v>4.462</v>
      </c>
      <c r="L118" s="292" t="n">
        <v>-0.14</v>
      </c>
      <c r="M118" s="239" t="n">
        <v>-0.14</v>
      </c>
      <c r="O118" s="235"/>
      <c r="P118" s="288"/>
      <c r="Q118" s="288"/>
      <c r="R118" s="289" t="e">
        <f aca="false">B118</f>
        <v>#VALUE!</v>
      </c>
      <c r="S118" s="290" t="n">
        <f aca="false">T118-$S$16</f>
        <v>0.48</v>
      </c>
      <c r="T118" s="285" t="n">
        <f aca="false">D118</f>
        <v>0.55</v>
      </c>
      <c r="U118" s="291" t="n">
        <f aca="false">$U$16+T118</f>
        <v>0.62</v>
      </c>
      <c r="BP118" s="249" t="n">
        <f aca="false">BP117+BV118</f>
        <v>117</v>
      </c>
      <c r="BQ118" s="250" t="s">
        <v>711</v>
      </c>
      <c r="BR118" s="247" t="s">
        <v>195</v>
      </c>
      <c r="BS118" s="161" t="s">
        <v>324</v>
      </c>
      <c r="BT118" s="253" t="s">
        <v>197</v>
      </c>
      <c r="BU118" s="253"/>
      <c r="BV118" s="161" t="n">
        <v>1</v>
      </c>
      <c r="BW118" s="247" t="s">
        <v>712</v>
      </c>
      <c r="BX118" s="0"/>
      <c r="BZ118" s="249" t="n">
        <f aca="false">BZ117+CF118</f>
        <v>117</v>
      </c>
      <c r="CA118" s="73" t="s">
        <v>713</v>
      </c>
      <c r="CB118" s="247" t="s">
        <v>199</v>
      </c>
      <c r="CC118" s="161" t="s">
        <v>196</v>
      </c>
      <c r="CD118" s="253" t="s">
        <v>197</v>
      </c>
      <c r="CE118" s="253"/>
      <c r="CF118" s="161" t="n">
        <v>1</v>
      </c>
      <c r="CG118" s="247" t="s">
        <v>714</v>
      </c>
      <c r="CH118" s="0"/>
    </row>
    <row r="119" customFormat="false" ht="12.75" hidden="false" customHeight="false" outlineLevel="0" collapsed="false">
      <c r="A119" s="286"/>
      <c r="B119" s="287" t="e">
        <f aca="false">NextMonth(B118)</f>
        <v>#VALUE!</v>
      </c>
      <c r="C119" s="239" t="n">
        <v>0.0616235760340209</v>
      </c>
      <c r="D119" s="292" t="n">
        <v>0.8</v>
      </c>
      <c r="E119" s="292" t="n">
        <v>0.8</v>
      </c>
      <c r="F119" s="292" t="n">
        <v>0.1825</v>
      </c>
      <c r="G119" s="292" t="n">
        <v>0.19</v>
      </c>
      <c r="H119" s="292" t="n">
        <v>0.1975</v>
      </c>
      <c r="I119" s="288" t="n">
        <v>4.562</v>
      </c>
      <c r="J119" s="292" t="n">
        <v>4.567</v>
      </c>
      <c r="K119" s="239" t="n">
        <v>4.572</v>
      </c>
      <c r="L119" s="292" t="n">
        <v>-0.1425</v>
      </c>
      <c r="M119" s="239" t="n">
        <v>-0.1425</v>
      </c>
      <c r="O119" s="235"/>
      <c r="P119" s="288"/>
      <c r="Q119" s="288"/>
      <c r="R119" s="289" t="e">
        <f aca="false">B119</f>
        <v>#VALUE!</v>
      </c>
      <c r="S119" s="290" t="n">
        <f aca="false">T119-$S$16</f>
        <v>0.73</v>
      </c>
      <c r="T119" s="285" t="n">
        <f aca="false">D119</f>
        <v>0.8</v>
      </c>
      <c r="U119" s="291" t="n">
        <f aca="false">$U$16+T119</f>
        <v>0.87</v>
      </c>
      <c r="BP119" s="249" t="n">
        <f aca="false">BP118+BV119</f>
        <v>118</v>
      </c>
      <c r="BQ119" s="250" t="s">
        <v>715</v>
      </c>
      <c r="BR119" s="247" t="s">
        <v>195</v>
      </c>
      <c r="BS119" s="161" t="s">
        <v>324</v>
      </c>
      <c r="BT119" s="253" t="s">
        <v>197</v>
      </c>
      <c r="BU119" s="253"/>
      <c r="BV119" s="161" t="n">
        <v>1</v>
      </c>
      <c r="BW119" s="247" t="s">
        <v>716</v>
      </c>
      <c r="BX119" s="0"/>
      <c r="BZ119" s="249" t="n">
        <f aca="false">BZ118+CF119</f>
        <v>118</v>
      </c>
      <c r="CA119" s="73" t="s">
        <v>717</v>
      </c>
      <c r="CB119" s="247" t="s">
        <v>199</v>
      </c>
      <c r="CC119" s="161" t="s">
        <v>196</v>
      </c>
      <c r="CD119" s="253" t="s">
        <v>197</v>
      </c>
      <c r="CE119" s="253"/>
      <c r="CF119" s="161" t="n">
        <v>1</v>
      </c>
      <c r="CG119" s="247" t="s">
        <v>718</v>
      </c>
      <c r="CH119" s="0"/>
    </row>
    <row r="120" customFormat="false" ht="12.75" hidden="false" customHeight="false" outlineLevel="0" collapsed="false">
      <c r="A120" s="286"/>
      <c r="B120" s="287" t="e">
        <f aca="false">NextMonth(B119)</f>
        <v>#VALUE!</v>
      </c>
      <c r="C120" s="239" t="n">
        <v>0.0616960617415172</v>
      </c>
      <c r="D120" s="292" t="n">
        <v>1</v>
      </c>
      <c r="E120" s="292" t="n">
        <v>1</v>
      </c>
      <c r="F120" s="292" t="n">
        <v>0.185</v>
      </c>
      <c r="G120" s="292" t="n">
        <v>0.1925</v>
      </c>
      <c r="H120" s="292" t="n">
        <v>0.2</v>
      </c>
      <c r="I120" s="288" t="n">
        <v>4.682</v>
      </c>
      <c r="J120" s="292" t="n">
        <v>4.687</v>
      </c>
      <c r="K120" s="239" t="n">
        <v>4.692</v>
      </c>
      <c r="L120" s="292" t="n">
        <v>-0.1375</v>
      </c>
      <c r="M120" s="239" t="n">
        <v>-0.1375</v>
      </c>
      <c r="O120" s="235"/>
      <c r="P120" s="288"/>
      <c r="Q120" s="288"/>
      <c r="R120" s="289" t="e">
        <f aca="false">B120</f>
        <v>#VALUE!</v>
      </c>
      <c r="S120" s="290" t="n">
        <f aca="false">T120-$S$16</f>
        <v>0.93</v>
      </c>
      <c r="T120" s="285" t="n">
        <f aca="false">D120</f>
        <v>1</v>
      </c>
      <c r="U120" s="291" t="n">
        <f aca="false">$U$16+T120</f>
        <v>1.07</v>
      </c>
      <c r="BP120" s="249" t="n">
        <f aca="false">BP119+BV120</f>
        <v>119</v>
      </c>
      <c r="BQ120" s="250" t="s">
        <v>719</v>
      </c>
      <c r="BR120" s="247" t="s">
        <v>195</v>
      </c>
      <c r="BS120" s="161" t="s">
        <v>324</v>
      </c>
      <c r="BT120" s="253" t="s">
        <v>197</v>
      </c>
      <c r="BU120" s="253"/>
      <c r="BV120" s="161" t="n">
        <v>1</v>
      </c>
      <c r="BW120" s="247" t="s">
        <v>720</v>
      </c>
      <c r="BX120" s="0"/>
      <c r="BZ120" s="249" t="n">
        <f aca="false">BZ119+CF120</f>
        <v>119</v>
      </c>
      <c r="CA120" s="73" t="s">
        <v>721</v>
      </c>
      <c r="CB120" s="247" t="s">
        <v>199</v>
      </c>
      <c r="CC120" s="161" t="s">
        <v>196</v>
      </c>
      <c r="CD120" s="253" t="s">
        <v>197</v>
      </c>
      <c r="CE120" s="253"/>
      <c r="CF120" s="161" t="n">
        <v>1</v>
      </c>
      <c r="CG120" s="247" t="s">
        <v>722</v>
      </c>
      <c r="CH120" s="0"/>
    </row>
    <row r="121" customFormat="false" ht="12.75" hidden="false" customHeight="false" outlineLevel="0" collapsed="false">
      <c r="A121" s="286"/>
      <c r="B121" s="287" t="e">
        <f aca="false">NextMonth(B120)</f>
        <v>#VALUE!</v>
      </c>
      <c r="C121" s="239" t="n">
        <v>0.0617709636410955</v>
      </c>
      <c r="D121" s="292" t="n">
        <v>1</v>
      </c>
      <c r="E121" s="292" t="n">
        <v>1</v>
      </c>
      <c r="F121" s="292" t="n">
        <v>0.185</v>
      </c>
      <c r="G121" s="292" t="n">
        <v>0.1925</v>
      </c>
      <c r="H121" s="292" t="n">
        <v>0.2</v>
      </c>
      <c r="I121" s="288" t="n">
        <v>4.747</v>
      </c>
      <c r="J121" s="292" t="n">
        <v>4.752</v>
      </c>
      <c r="K121" s="239" t="n">
        <v>4.757</v>
      </c>
      <c r="L121" s="292" t="n">
        <v>-0.1375</v>
      </c>
      <c r="M121" s="239" t="n">
        <v>-0.1375</v>
      </c>
      <c r="O121" s="235"/>
      <c r="P121" s="288"/>
      <c r="Q121" s="288"/>
      <c r="R121" s="289" t="e">
        <f aca="false">B121</f>
        <v>#VALUE!</v>
      </c>
      <c r="S121" s="290" t="n">
        <f aca="false">T121-$S$16</f>
        <v>0.93</v>
      </c>
      <c r="T121" s="285" t="n">
        <f aca="false">D121</f>
        <v>1</v>
      </c>
      <c r="U121" s="291" t="n">
        <f aca="false">$U$16+T121</f>
        <v>1.07</v>
      </c>
      <c r="BP121" s="249" t="n">
        <f aca="false">BP120+BV121</f>
        <v>120</v>
      </c>
      <c r="BQ121" s="250" t="s">
        <v>723</v>
      </c>
      <c r="BR121" s="247" t="s">
        <v>195</v>
      </c>
      <c r="BS121" s="161" t="s">
        <v>324</v>
      </c>
      <c r="BT121" s="253" t="s">
        <v>197</v>
      </c>
      <c r="BU121" s="253"/>
      <c r="BV121" s="161" t="n">
        <v>1</v>
      </c>
      <c r="BW121" s="247" t="s">
        <v>724</v>
      </c>
      <c r="BX121" s="0"/>
      <c r="BZ121" s="249" t="n">
        <f aca="false">BZ120+CF121</f>
        <v>120</v>
      </c>
      <c r="CA121" s="73" t="s">
        <v>725</v>
      </c>
      <c r="CB121" s="247" t="s">
        <v>199</v>
      </c>
      <c r="CC121" s="161" t="s">
        <v>196</v>
      </c>
      <c r="CD121" s="253" t="s">
        <v>197</v>
      </c>
      <c r="CE121" s="253"/>
      <c r="CF121" s="161" t="n">
        <v>1</v>
      </c>
      <c r="CG121" s="247" t="s">
        <v>726</v>
      </c>
      <c r="CH121" s="0"/>
    </row>
    <row r="122" customFormat="false" ht="12.75" hidden="false" customHeight="false" outlineLevel="0" collapsed="false">
      <c r="A122" s="286"/>
      <c r="B122" s="287" t="e">
        <f aca="false">NextMonth(B121)</f>
        <v>#VALUE!</v>
      </c>
      <c r="C122" s="239" t="n">
        <v>0.0618458655425367</v>
      </c>
      <c r="D122" s="292" t="n">
        <v>1</v>
      </c>
      <c r="E122" s="292" t="n">
        <v>1</v>
      </c>
      <c r="F122" s="292" t="n">
        <v>0.18</v>
      </c>
      <c r="G122" s="292" t="n">
        <v>0.1875</v>
      </c>
      <c r="H122" s="292" t="n">
        <v>0.195</v>
      </c>
      <c r="I122" s="288" t="n">
        <v>4.627</v>
      </c>
      <c r="J122" s="292" t="n">
        <v>4.632</v>
      </c>
      <c r="K122" s="239" t="n">
        <v>4.637</v>
      </c>
      <c r="L122" s="292" t="n">
        <v>-0.14</v>
      </c>
      <c r="M122" s="239" t="n">
        <v>-0.14</v>
      </c>
      <c r="O122" s="235"/>
      <c r="P122" s="288"/>
      <c r="Q122" s="288"/>
      <c r="R122" s="289" t="e">
        <f aca="false">B122</f>
        <v>#VALUE!</v>
      </c>
      <c r="S122" s="290" t="n">
        <f aca="false">T122-$S$16</f>
        <v>0.93</v>
      </c>
      <c r="T122" s="285" t="n">
        <f aca="false">D122</f>
        <v>1</v>
      </c>
      <c r="U122" s="291" t="n">
        <f aca="false">$U$16+T122</f>
        <v>1.07</v>
      </c>
      <c r="BP122" s="249" t="n">
        <f aca="false">BP121+BV122</f>
        <v>121</v>
      </c>
      <c r="BQ122" s="250" t="s">
        <v>727</v>
      </c>
      <c r="BR122" s="247" t="s">
        <v>195</v>
      </c>
      <c r="BS122" s="161" t="s">
        <v>324</v>
      </c>
      <c r="BT122" s="253" t="s">
        <v>197</v>
      </c>
      <c r="BU122" s="253"/>
      <c r="BV122" s="161" t="n">
        <v>1</v>
      </c>
      <c r="BW122" s="247" t="s">
        <v>728</v>
      </c>
      <c r="BX122" s="0"/>
      <c r="BZ122" s="249" t="n">
        <f aca="false">BZ121+CF122</f>
        <v>121</v>
      </c>
      <c r="CA122" s="73" t="s">
        <v>729</v>
      </c>
      <c r="CB122" s="247" t="s">
        <v>199</v>
      </c>
      <c r="CC122" s="161" t="s">
        <v>196</v>
      </c>
      <c r="CD122" s="253" t="s">
        <v>197</v>
      </c>
      <c r="CE122" s="253"/>
      <c r="CF122" s="161" t="n">
        <v>1</v>
      </c>
      <c r="CG122" s="247" t="s">
        <v>730</v>
      </c>
      <c r="CH122" s="0"/>
    </row>
    <row r="123" customFormat="false" ht="12.75" hidden="false" customHeight="false" outlineLevel="0" collapsed="false">
      <c r="A123" s="286"/>
      <c r="B123" s="287" t="e">
        <f aca="false">NextMonth(B122)</f>
        <v>#VALUE!</v>
      </c>
      <c r="C123" s="239" t="n">
        <v>0.061913518874471</v>
      </c>
      <c r="D123" s="292" t="n">
        <v>0.75</v>
      </c>
      <c r="E123" s="292" t="n">
        <v>0.75</v>
      </c>
      <c r="F123" s="292" t="n">
        <v>0.1775</v>
      </c>
      <c r="G123" s="292" t="n">
        <v>0.185</v>
      </c>
      <c r="H123" s="292" t="n">
        <v>0.1925</v>
      </c>
      <c r="I123" s="288" t="n">
        <v>4.487</v>
      </c>
      <c r="J123" s="292" t="n">
        <v>4.492</v>
      </c>
      <c r="K123" s="239" t="n">
        <v>4.497</v>
      </c>
      <c r="L123" s="292" t="n">
        <v>-0.1425</v>
      </c>
      <c r="M123" s="239" t="n">
        <v>-0.1425</v>
      </c>
      <c r="O123" s="235"/>
      <c r="P123" s="288"/>
      <c r="Q123" s="288"/>
      <c r="R123" s="289" t="e">
        <f aca="false">B123</f>
        <v>#VALUE!</v>
      </c>
      <c r="S123" s="290" t="n">
        <f aca="false">T123-$S$16</f>
        <v>0.68</v>
      </c>
      <c r="T123" s="285" t="n">
        <f aca="false">D123</f>
        <v>0.75</v>
      </c>
      <c r="U123" s="291" t="n">
        <f aca="false">$U$16+T123</f>
        <v>0.82</v>
      </c>
      <c r="BP123" s="249" t="n">
        <f aca="false">BP122+BV123</f>
        <v>122</v>
      </c>
      <c r="BQ123" s="250" t="s">
        <v>731</v>
      </c>
      <c r="BR123" s="247" t="s">
        <v>195</v>
      </c>
      <c r="BS123" s="161" t="s">
        <v>324</v>
      </c>
      <c r="BT123" s="253" t="s">
        <v>197</v>
      </c>
      <c r="BU123" s="253"/>
      <c r="BV123" s="161" t="n">
        <v>1</v>
      </c>
      <c r="BW123" s="247" t="s">
        <v>732</v>
      </c>
      <c r="BX123" s="0"/>
      <c r="BZ123" s="249" t="n">
        <f aca="false">BZ122+CF123</f>
        <v>122</v>
      </c>
      <c r="CA123" s="73" t="s">
        <v>733</v>
      </c>
      <c r="CB123" s="247" t="s">
        <v>199</v>
      </c>
      <c r="CC123" s="161" t="s">
        <v>196</v>
      </c>
      <c r="CD123" s="253" t="s">
        <v>197</v>
      </c>
      <c r="CE123" s="253"/>
      <c r="CF123" s="161" t="n">
        <v>1</v>
      </c>
      <c r="CG123" s="247" t="s">
        <v>734</v>
      </c>
      <c r="CH123" s="0"/>
    </row>
    <row r="124" customFormat="false" ht="12.75" hidden="false" customHeight="false" outlineLevel="0" collapsed="false">
      <c r="A124" s="286"/>
      <c r="B124" s="287" t="e">
        <f aca="false">NextMonth(B123)</f>
        <v>#VALUE!</v>
      </c>
      <c r="C124" s="239" t="n">
        <v>0.061988420779457</v>
      </c>
      <c r="D124" s="292" t="n">
        <v>0.4</v>
      </c>
      <c r="E124" s="292" t="n">
        <v>0.4</v>
      </c>
      <c r="F124" s="292" t="n">
        <v>0.1775</v>
      </c>
      <c r="G124" s="292" t="n">
        <v>0.185</v>
      </c>
      <c r="H124" s="292" t="n">
        <v>0.1925</v>
      </c>
      <c r="I124" s="288" t="n">
        <v>4.345</v>
      </c>
      <c r="J124" s="292" t="n">
        <v>4.35</v>
      </c>
      <c r="K124" s="239" t="n">
        <v>4.355</v>
      </c>
      <c r="L124" s="292" t="n">
        <v>-0.14</v>
      </c>
      <c r="M124" s="239" t="n">
        <v>-0.14</v>
      </c>
      <c r="O124" s="235"/>
      <c r="P124" s="288"/>
      <c r="Q124" s="288"/>
      <c r="R124" s="289" t="e">
        <f aca="false">B124</f>
        <v>#VALUE!</v>
      </c>
      <c r="S124" s="290" t="n">
        <f aca="false">T124-$S$16</f>
        <v>0.33</v>
      </c>
      <c r="T124" s="285" t="n">
        <f aca="false">D124</f>
        <v>0.4</v>
      </c>
      <c r="U124" s="291" t="n">
        <f aca="false">$U$16+T124</f>
        <v>0.47</v>
      </c>
      <c r="BP124" s="249" t="n">
        <f aca="false">BP123+BV124</f>
        <v>123</v>
      </c>
      <c r="BQ124" s="250" t="s">
        <v>735</v>
      </c>
      <c r="BR124" s="247" t="s">
        <v>195</v>
      </c>
      <c r="BS124" s="161" t="s">
        <v>324</v>
      </c>
      <c r="BT124" s="253" t="s">
        <v>197</v>
      </c>
      <c r="BU124" s="253"/>
      <c r="BV124" s="161" t="n">
        <v>1</v>
      </c>
      <c r="BW124" s="247" t="s">
        <v>736</v>
      </c>
      <c r="BX124" s="0"/>
      <c r="BZ124" s="249" t="n">
        <f aca="false">BZ123+CF124</f>
        <v>123</v>
      </c>
      <c r="CA124" s="73" t="s">
        <v>737</v>
      </c>
      <c r="CB124" s="247" t="s">
        <v>199</v>
      </c>
      <c r="CC124" s="161" t="s">
        <v>196</v>
      </c>
      <c r="CD124" s="253" t="s">
        <v>197</v>
      </c>
      <c r="CE124" s="253"/>
      <c r="CF124" s="161" t="n">
        <v>1</v>
      </c>
      <c r="CG124" s="247" t="s">
        <v>738</v>
      </c>
      <c r="CH124" s="0"/>
    </row>
    <row r="125" customFormat="false" ht="12.75" hidden="false" customHeight="false" outlineLevel="0" collapsed="false">
      <c r="A125" s="286"/>
      <c r="B125" s="287" t="e">
        <f aca="false">NextMonth(B124)</f>
        <v>#VALUE!</v>
      </c>
      <c r="C125" s="239" t="n">
        <v>0.0620609064957325</v>
      </c>
      <c r="D125" s="292" t="n">
        <v>0.4</v>
      </c>
      <c r="E125" s="292" t="n">
        <v>0.4</v>
      </c>
      <c r="F125" s="292" t="n">
        <v>0.1775</v>
      </c>
      <c r="G125" s="292" t="n">
        <v>0.185</v>
      </c>
      <c r="H125" s="292" t="n">
        <v>0.1925</v>
      </c>
      <c r="I125" s="288" t="n">
        <v>4.379</v>
      </c>
      <c r="J125" s="292" t="n">
        <v>4.384</v>
      </c>
      <c r="K125" s="239" t="n">
        <v>4.389</v>
      </c>
      <c r="L125" s="292" t="n">
        <v>-0.14</v>
      </c>
      <c r="M125" s="239" t="n">
        <v>-0.14</v>
      </c>
      <c r="O125" s="235"/>
      <c r="P125" s="288"/>
      <c r="Q125" s="288"/>
      <c r="R125" s="289" t="e">
        <f aca="false">B125</f>
        <v>#VALUE!</v>
      </c>
      <c r="S125" s="290" t="n">
        <f aca="false">T125-$S$16</f>
        <v>0.33</v>
      </c>
      <c r="T125" s="285" t="n">
        <f aca="false">D125</f>
        <v>0.4</v>
      </c>
      <c r="U125" s="291" t="n">
        <f aca="false">$U$16+T125</f>
        <v>0.47</v>
      </c>
      <c r="BP125" s="249" t="n">
        <f aca="false">BP124+BV125</f>
        <v>124</v>
      </c>
      <c r="BQ125" s="250" t="s">
        <v>739</v>
      </c>
      <c r="BR125" s="247" t="s">
        <v>195</v>
      </c>
      <c r="BS125" s="161" t="s">
        <v>324</v>
      </c>
      <c r="BT125" s="253" t="s">
        <v>197</v>
      </c>
      <c r="BU125" s="253"/>
      <c r="BV125" s="161" t="n">
        <v>1</v>
      </c>
      <c r="BW125" s="247" t="s">
        <v>740</v>
      </c>
      <c r="BX125" s="0"/>
      <c r="BZ125" s="249" t="n">
        <f aca="false">BZ124+CF125</f>
        <v>124</v>
      </c>
      <c r="CA125" s="73" t="s">
        <v>741</v>
      </c>
      <c r="CB125" s="247" t="s">
        <v>199</v>
      </c>
      <c r="CC125" s="161" t="s">
        <v>196</v>
      </c>
      <c r="CD125" s="253" t="s">
        <v>197</v>
      </c>
      <c r="CE125" s="253"/>
      <c r="CF125" s="161" t="n">
        <v>1</v>
      </c>
      <c r="CG125" s="247" t="s">
        <v>742</v>
      </c>
      <c r="CH125" s="0"/>
    </row>
    <row r="126" customFormat="false" ht="12.75" hidden="false" customHeight="false" outlineLevel="0" collapsed="false">
      <c r="A126" s="286"/>
      <c r="B126" s="287" t="e">
        <f aca="false">NextMonth(B125)</f>
        <v>#VALUE!</v>
      </c>
      <c r="C126" s="239" t="n">
        <v>0.0621358084043822</v>
      </c>
      <c r="D126" s="292" t="n">
        <v>0.4</v>
      </c>
      <c r="E126" s="292" t="n">
        <v>0.4</v>
      </c>
      <c r="F126" s="292" t="n">
        <v>0.1775</v>
      </c>
      <c r="G126" s="292" t="n">
        <v>0.185</v>
      </c>
      <c r="H126" s="292" t="n">
        <v>0.1925</v>
      </c>
      <c r="I126" s="288" t="n">
        <v>4.412</v>
      </c>
      <c r="J126" s="292" t="n">
        <v>4.417</v>
      </c>
      <c r="K126" s="239" t="n">
        <v>4.422</v>
      </c>
      <c r="L126" s="292" t="n">
        <v>-0.14</v>
      </c>
      <c r="M126" s="239" t="n">
        <v>-0.14</v>
      </c>
      <c r="O126" s="235"/>
      <c r="P126" s="288"/>
      <c r="Q126" s="288"/>
      <c r="R126" s="289" t="e">
        <f aca="false">B126</f>
        <v>#VALUE!</v>
      </c>
      <c r="S126" s="290" t="n">
        <f aca="false">T126-$S$16</f>
        <v>0.33</v>
      </c>
      <c r="T126" s="285" t="n">
        <f aca="false">D126</f>
        <v>0.4</v>
      </c>
      <c r="U126" s="291" t="n">
        <f aca="false">$U$16+T126</f>
        <v>0.47</v>
      </c>
      <c r="BP126" s="249" t="n">
        <f aca="false">BP125+BV126</f>
        <v>125</v>
      </c>
      <c r="BQ126" s="250" t="s">
        <v>743</v>
      </c>
      <c r="BR126" s="247" t="s">
        <v>195</v>
      </c>
      <c r="BS126" s="161" t="s">
        <v>324</v>
      </c>
      <c r="BT126" s="253" t="s">
        <v>197</v>
      </c>
      <c r="BU126" s="253"/>
      <c r="BV126" s="161" t="n">
        <v>1</v>
      </c>
      <c r="BW126" s="247" t="s">
        <v>744</v>
      </c>
      <c r="BX126" s="0"/>
      <c r="BZ126" s="249" t="n">
        <f aca="false">BZ125+CF126</f>
        <v>125</v>
      </c>
      <c r="CA126" s="73" t="s">
        <v>745</v>
      </c>
      <c r="CB126" s="247" t="s">
        <v>199</v>
      </c>
      <c r="CC126" s="161" t="s">
        <v>196</v>
      </c>
      <c r="CD126" s="253" t="s">
        <v>197</v>
      </c>
      <c r="CE126" s="253"/>
      <c r="CF126" s="161" t="n">
        <v>1</v>
      </c>
      <c r="CG126" s="247" t="s">
        <v>746</v>
      </c>
      <c r="CH126" s="0"/>
    </row>
    <row r="127" customFormat="false" ht="12.75" hidden="false" customHeight="false" outlineLevel="0" collapsed="false">
      <c r="A127" s="286"/>
      <c r="B127" s="287" t="e">
        <f aca="false">NextMonth(B126)</f>
        <v>#VALUE!</v>
      </c>
      <c r="C127" s="239" t="n">
        <v>0.0622082941242037</v>
      </c>
      <c r="D127" s="292" t="n">
        <v>0.4</v>
      </c>
      <c r="E127" s="292" t="n">
        <v>0.4</v>
      </c>
      <c r="F127" s="292" t="n">
        <v>0.1775</v>
      </c>
      <c r="G127" s="292" t="n">
        <v>0.185</v>
      </c>
      <c r="H127" s="292" t="n">
        <v>0.1925</v>
      </c>
      <c r="I127" s="288" t="n">
        <v>4.457</v>
      </c>
      <c r="J127" s="292" t="n">
        <v>4.462</v>
      </c>
      <c r="K127" s="239" t="n">
        <v>4.467</v>
      </c>
      <c r="L127" s="292" t="n">
        <v>-0.14</v>
      </c>
      <c r="M127" s="239" t="n">
        <v>-0.14</v>
      </c>
      <c r="O127" s="235"/>
      <c r="P127" s="288"/>
      <c r="Q127" s="288"/>
      <c r="R127" s="289" t="e">
        <f aca="false">B127</f>
        <v>#VALUE!</v>
      </c>
      <c r="S127" s="290" t="n">
        <f aca="false">T127-$S$16</f>
        <v>0.33</v>
      </c>
      <c r="T127" s="285" t="n">
        <f aca="false">D127</f>
        <v>0.4</v>
      </c>
      <c r="U127" s="291" t="n">
        <f aca="false">$U$16+T127</f>
        <v>0.47</v>
      </c>
      <c r="BP127" s="249" t="n">
        <f aca="false">BP126+BV127</f>
        <v>126</v>
      </c>
      <c r="BQ127" s="250" t="s">
        <v>747</v>
      </c>
      <c r="BR127" s="247" t="s">
        <v>195</v>
      </c>
      <c r="BS127" s="161" t="s">
        <v>324</v>
      </c>
      <c r="BT127" s="253" t="s">
        <v>197</v>
      </c>
      <c r="BU127" s="253"/>
      <c r="BV127" s="161" t="n">
        <v>1</v>
      </c>
      <c r="BW127" s="247" t="s">
        <v>748</v>
      </c>
      <c r="BX127" s="0"/>
      <c r="BZ127" s="249" t="n">
        <f aca="false">BZ126+CF127</f>
        <v>126</v>
      </c>
      <c r="CA127" s="73" t="s">
        <v>749</v>
      </c>
      <c r="CB127" s="247" t="s">
        <v>199</v>
      </c>
      <c r="CC127" s="161" t="s">
        <v>196</v>
      </c>
      <c r="CD127" s="253" t="s">
        <v>197</v>
      </c>
      <c r="CE127" s="253"/>
      <c r="CF127" s="161" t="n">
        <v>1</v>
      </c>
      <c r="CG127" s="247" t="s">
        <v>750</v>
      </c>
      <c r="CH127" s="0"/>
    </row>
    <row r="128" customFormat="false" ht="12.75" hidden="false" customHeight="false" outlineLevel="0" collapsed="false">
      <c r="A128" s="286"/>
      <c r="B128" s="287" t="e">
        <f aca="false">NextMonth(B127)</f>
        <v>#VALUE!</v>
      </c>
      <c r="C128" s="239" t="n">
        <v>0.062283196036518</v>
      </c>
      <c r="D128" s="292" t="n">
        <v>0.5</v>
      </c>
      <c r="E128" s="292" t="n">
        <v>0.5</v>
      </c>
      <c r="F128" s="292" t="n">
        <v>0.1775</v>
      </c>
      <c r="G128" s="292" t="n">
        <v>0.185</v>
      </c>
      <c r="H128" s="292" t="n">
        <v>0.1925</v>
      </c>
      <c r="I128" s="288" t="n">
        <v>4.492</v>
      </c>
      <c r="J128" s="292" t="n">
        <v>4.497</v>
      </c>
      <c r="K128" s="239" t="n">
        <v>4.502</v>
      </c>
      <c r="L128" s="292" t="n">
        <v>-0.14</v>
      </c>
      <c r="M128" s="239" t="n">
        <v>-0.14</v>
      </c>
      <c r="O128" s="235"/>
      <c r="P128" s="288"/>
      <c r="Q128" s="288"/>
      <c r="R128" s="289" t="e">
        <f aca="false">B128</f>
        <v>#VALUE!</v>
      </c>
      <c r="S128" s="290" t="n">
        <f aca="false">T128-$S$16</f>
        <v>0.43</v>
      </c>
      <c r="T128" s="285" t="n">
        <f aca="false">D128</f>
        <v>0.5</v>
      </c>
      <c r="U128" s="291" t="n">
        <f aca="false">$U$16+T128</f>
        <v>0.57</v>
      </c>
      <c r="BP128" s="249" t="n">
        <f aca="false">BP127+BV128</f>
        <v>127</v>
      </c>
      <c r="BQ128" s="250" t="s">
        <v>751</v>
      </c>
      <c r="BR128" s="247" t="s">
        <v>195</v>
      </c>
      <c r="BS128" s="161" t="s">
        <v>324</v>
      </c>
      <c r="BT128" s="253" t="s">
        <v>197</v>
      </c>
      <c r="BU128" s="253"/>
      <c r="BV128" s="161" t="n">
        <v>1</v>
      </c>
      <c r="BW128" s="247" t="s">
        <v>752</v>
      </c>
      <c r="BX128" s="0"/>
      <c r="BZ128" s="249" t="n">
        <f aca="false">BZ127+CF128</f>
        <v>127</v>
      </c>
      <c r="CA128" s="73" t="s">
        <v>753</v>
      </c>
      <c r="CB128" s="247" t="s">
        <v>199</v>
      </c>
      <c r="CC128" s="161" t="s">
        <v>196</v>
      </c>
      <c r="CD128" s="253" t="s">
        <v>197</v>
      </c>
      <c r="CE128" s="253"/>
      <c r="CF128" s="161" t="n">
        <v>1</v>
      </c>
      <c r="CG128" s="247" t="s">
        <v>754</v>
      </c>
      <c r="CH128" s="0"/>
    </row>
    <row r="129" customFormat="false" ht="12.75" hidden="false" customHeight="false" outlineLevel="0" collapsed="false">
      <c r="A129" s="286"/>
      <c r="B129" s="287" t="e">
        <f aca="false">NextMonth(B128)</f>
        <v>#VALUE!</v>
      </c>
      <c r="C129" s="239" t="n">
        <v>0.0623580979506948</v>
      </c>
      <c r="D129" s="292" t="n">
        <v>0.55</v>
      </c>
      <c r="E129" s="292" t="n">
        <v>0.55</v>
      </c>
      <c r="F129" s="292" t="n">
        <v>0.1775</v>
      </c>
      <c r="G129" s="292" t="n">
        <v>0.185</v>
      </c>
      <c r="H129" s="292" t="n">
        <v>0.1925</v>
      </c>
      <c r="I129" s="288" t="n">
        <v>4.497</v>
      </c>
      <c r="J129" s="292" t="n">
        <v>4.502</v>
      </c>
      <c r="K129" s="239" t="n">
        <v>4.507</v>
      </c>
      <c r="L129" s="292" t="n">
        <v>-0.14</v>
      </c>
      <c r="M129" s="239" t="n">
        <v>-0.14</v>
      </c>
      <c r="O129" s="235"/>
      <c r="P129" s="288"/>
      <c r="Q129" s="288"/>
      <c r="R129" s="289" t="e">
        <f aca="false">B129</f>
        <v>#VALUE!</v>
      </c>
      <c r="S129" s="290" t="n">
        <f aca="false">T129-$S$16</f>
        <v>0.48</v>
      </c>
      <c r="T129" s="285" t="n">
        <f aca="false">D129</f>
        <v>0.55</v>
      </c>
      <c r="U129" s="291" t="n">
        <f aca="false">$U$16+T129</f>
        <v>0.62</v>
      </c>
      <c r="BP129" s="249" t="n">
        <f aca="false">BP128+BV129</f>
        <v>128</v>
      </c>
      <c r="BQ129" s="250" t="s">
        <v>755</v>
      </c>
      <c r="BR129" s="247" t="s">
        <v>195</v>
      </c>
      <c r="BS129" s="161" t="s">
        <v>324</v>
      </c>
      <c r="BT129" s="253" t="s">
        <v>197</v>
      </c>
      <c r="BU129" s="253"/>
      <c r="BV129" s="161" t="n">
        <v>1</v>
      </c>
      <c r="BW129" s="247" t="s">
        <v>756</v>
      </c>
      <c r="BX129" s="0"/>
      <c r="BZ129" s="249" t="n">
        <f aca="false">BZ128+CF129</f>
        <v>128</v>
      </c>
      <c r="CA129" s="73" t="s">
        <v>757</v>
      </c>
      <c r="CB129" s="247" t="s">
        <v>199</v>
      </c>
      <c r="CC129" s="161" t="s">
        <v>196</v>
      </c>
      <c r="CD129" s="253" t="s">
        <v>197</v>
      </c>
      <c r="CE129" s="253"/>
      <c r="CF129" s="161" t="n">
        <v>1</v>
      </c>
      <c r="CG129" s="247" t="s">
        <v>758</v>
      </c>
      <c r="CH129" s="0"/>
    </row>
    <row r="130" customFormat="false" ht="12.75" hidden="false" customHeight="false" outlineLevel="0" collapsed="false">
      <c r="A130" s="286"/>
      <c r="B130" s="287" t="e">
        <f aca="false">NextMonth(B129)</f>
        <v>#VALUE!</v>
      </c>
      <c r="C130" s="239" t="n">
        <v>0.0624305836758641</v>
      </c>
      <c r="D130" s="292" t="n">
        <v>0.55</v>
      </c>
      <c r="E130" s="292" t="n">
        <v>0.55</v>
      </c>
      <c r="F130" s="292" t="n">
        <v>0.1775</v>
      </c>
      <c r="G130" s="292" t="n">
        <v>0.185</v>
      </c>
      <c r="H130" s="292" t="n">
        <v>0.1925</v>
      </c>
      <c r="I130" s="288" t="n">
        <v>4.522</v>
      </c>
      <c r="J130" s="292" t="n">
        <v>4.527</v>
      </c>
      <c r="K130" s="239" t="n">
        <v>4.532</v>
      </c>
      <c r="L130" s="292" t="n">
        <v>-0.14</v>
      </c>
      <c r="M130" s="239" t="n">
        <v>-0.14</v>
      </c>
      <c r="O130" s="235"/>
      <c r="P130" s="288"/>
      <c r="Q130" s="288"/>
      <c r="R130" s="289" t="e">
        <f aca="false">B130</f>
        <v>#VALUE!</v>
      </c>
      <c r="S130" s="290" t="n">
        <f aca="false">T130-$S$16</f>
        <v>0.48</v>
      </c>
      <c r="T130" s="285" t="n">
        <f aca="false">D130</f>
        <v>0.55</v>
      </c>
      <c r="U130" s="291" t="n">
        <f aca="false">$U$16+T130</f>
        <v>0.62</v>
      </c>
      <c r="BP130" s="249" t="n">
        <f aca="false">BP129+BV130</f>
        <v>129</v>
      </c>
      <c r="BQ130" s="250" t="s">
        <v>759</v>
      </c>
      <c r="BR130" s="247" t="s">
        <v>195</v>
      </c>
      <c r="BS130" s="161" t="s">
        <v>324</v>
      </c>
      <c r="BT130" s="253" t="s">
        <v>197</v>
      </c>
      <c r="BU130" s="253"/>
      <c r="BV130" s="161" t="n">
        <v>1</v>
      </c>
      <c r="BW130" s="247" t="s">
        <v>760</v>
      </c>
      <c r="BX130" s="0"/>
      <c r="BZ130" s="249" t="n">
        <f aca="false">BZ129+CF130</f>
        <v>129</v>
      </c>
      <c r="CA130" s="73" t="s">
        <v>761</v>
      </c>
      <c r="CB130" s="247" t="s">
        <v>199</v>
      </c>
      <c r="CC130" s="161" t="s">
        <v>196</v>
      </c>
      <c r="CD130" s="253" t="s">
        <v>197</v>
      </c>
      <c r="CE130" s="253"/>
      <c r="CF130" s="161" t="n">
        <v>1</v>
      </c>
      <c r="CG130" s="247" t="s">
        <v>762</v>
      </c>
      <c r="CH130" s="0"/>
    </row>
    <row r="131" customFormat="false" ht="12.75" hidden="false" customHeight="false" outlineLevel="0" collapsed="false">
      <c r="A131" s="286"/>
      <c r="B131" s="287" t="e">
        <f aca="false">NextMonth(B130)</f>
        <v>#VALUE!</v>
      </c>
      <c r="C131" s="239" t="n">
        <v>0.0625054855937037</v>
      </c>
      <c r="D131" s="292" t="n">
        <v>0.8</v>
      </c>
      <c r="E131" s="292" t="n">
        <v>0.8</v>
      </c>
      <c r="F131" s="292" t="n">
        <v>0.1775</v>
      </c>
      <c r="G131" s="292" t="n">
        <v>0.185</v>
      </c>
      <c r="H131" s="292" t="n">
        <v>0.1925</v>
      </c>
      <c r="I131" s="288" t="n">
        <v>4.632</v>
      </c>
      <c r="J131" s="292" t="n">
        <v>4.637</v>
      </c>
      <c r="K131" s="239" t="n">
        <v>4.642</v>
      </c>
      <c r="L131" s="292" t="n">
        <v>-0.1425</v>
      </c>
      <c r="M131" s="239" t="n">
        <v>-0.1425</v>
      </c>
      <c r="O131" s="235"/>
      <c r="P131" s="288"/>
      <c r="Q131" s="288"/>
      <c r="R131" s="289" t="e">
        <f aca="false">B131</f>
        <v>#VALUE!</v>
      </c>
      <c r="S131" s="290" t="n">
        <f aca="false">T131-$S$16</f>
        <v>0.73</v>
      </c>
      <c r="T131" s="285" t="n">
        <f aca="false">D131</f>
        <v>0.8</v>
      </c>
      <c r="U131" s="291" t="n">
        <f aca="false">$U$16+T131</f>
        <v>0.87</v>
      </c>
      <c r="BP131" s="249" t="n">
        <f aca="false">BP130+BV131</f>
        <v>130</v>
      </c>
      <c r="BQ131" s="250" t="s">
        <v>763</v>
      </c>
      <c r="BR131" s="247" t="s">
        <v>195</v>
      </c>
      <c r="BS131" s="161" t="s">
        <v>324</v>
      </c>
      <c r="BT131" s="253" t="s">
        <v>197</v>
      </c>
      <c r="BU131" s="253"/>
      <c r="BV131" s="161" t="n">
        <v>1</v>
      </c>
      <c r="BW131" s="247" t="s">
        <v>764</v>
      </c>
      <c r="BX131" s="0"/>
      <c r="BZ131" s="249" t="n">
        <f aca="false">BZ130+CF131</f>
        <v>130</v>
      </c>
      <c r="CA131" s="73" t="s">
        <v>765</v>
      </c>
      <c r="CB131" s="247" t="s">
        <v>199</v>
      </c>
      <c r="CC131" s="161" t="s">
        <v>196</v>
      </c>
      <c r="CD131" s="253" t="s">
        <v>197</v>
      </c>
      <c r="CE131" s="253"/>
      <c r="CF131" s="161" t="n">
        <v>1</v>
      </c>
      <c r="CG131" s="247" t="s">
        <v>766</v>
      </c>
      <c r="CH131" s="0"/>
    </row>
    <row r="132" customFormat="false" ht="12.75" hidden="false" customHeight="false" outlineLevel="0" collapsed="false">
      <c r="A132" s="286"/>
      <c r="B132" s="287" t="e">
        <f aca="false">NextMonth(B131)</f>
        <v>#VALUE!</v>
      </c>
      <c r="C132" s="239" t="n">
        <v>0.0625779713224186</v>
      </c>
      <c r="D132" s="292" t="n">
        <v>1</v>
      </c>
      <c r="E132" s="292" t="n">
        <v>1</v>
      </c>
      <c r="F132" s="292" t="n">
        <v>0.1775</v>
      </c>
      <c r="G132" s="292" t="n">
        <v>0.185</v>
      </c>
      <c r="H132" s="292" t="n">
        <v>0.1925</v>
      </c>
      <c r="I132" s="288" t="n">
        <v>4.752</v>
      </c>
      <c r="J132" s="292" t="n">
        <v>4.757</v>
      </c>
      <c r="K132" s="239" t="n">
        <v>4.762</v>
      </c>
      <c r="L132" s="292" t="n">
        <v>-0.1375</v>
      </c>
      <c r="M132" s="239" t="n">
        <v>-0.1375</v>
      </c>
      <c r="O132" s="235"/>
      <c r="P132" s="288"/>
      <c r="Q132" s="288"/>
      <c r="R132" s="289" t="e">
        <f aca="false">B132</f>
        <v>#VALUE!</v>
      </c>
      <c r="S132" s="290" t="n">
        <f aca="false">T132-$S$16</f>
        <v>0.93</v>
      </c>
      <c r="T132" s="285" t="n">
        <f aca="false">D132</f>
        <v>1</v>
      </c>
      <c r="U132" s="291" t="n">
        <f aca="false">$U$16+T132</f>
        <v>1.07</v>
      </c>
      <c r="BP132" s="249" t="n">
        <f aca="false">BP131+BV132</f>
        <v>131</v>
      </c>
      <c r="BQ132" s="250" t="s">
        <v>767</v>
      </c>
      <c r="BR132" s="247" t="s">
        <v>195</v>
      </c>
      <c r="BS132" s="161" t="s">
        <v>324</v>
      </c>
      <c r="BT132" s="253" t="s">
        <v>197</v>
      </c>
      <c r="BU132" s="253"/>
      <c r="BV132" s="161" t="n">
        <v>1</v>
      </c>
      <c r="BW132" s="247" t="s">
        <v>768</v>
      </c>
      <c r="BX132" s="0"/>
      <c r="BZ132" s="249" t="n">
        <f aca="false">BZ131+CF132</f>
        <v>131</v>
      </c>
      <c r="CA132" s="73" t="s">
        <v>769</v>
      </c>
      <c r="CB132" s="247" t="s">
        <v>199</v>
      </c>
      <c r="CC132" s="161" t="s">
        <v>196</v>
      </c>
      <c r="CD132" s="253" t="s">
        <v>197</v>
      </c>
      <c r="CE132" s="253"/>
      <c r="CF132" s="161" t="n">
        <v>1</v>
      </c>
      <c r="CG132" s="247" t="s">
        <v>770</v>
      </c>
      <c r="CH132" s="0"/>
    </row>
    <row r="133" customFormat="false" ht="12.75" hidden="false" customHeight="false" outlineLevel="0" collapsed="false">
      <c r="A133" s="286"/>
      <c r="B133" s="287" t="e">
        <f aca="false">NextMonth(B132)</f>
        <v>#VALUE!</v>
      </c>
      <c r="C133" s="239" t="n">
        <v>0.0626528732439224</v>
      </c>
      <c r="D133" s="292" t="n">
        <v>1</v>
      </c>
      <c r="E133" s="292" t="n">
        <v>1</v>
      </c>
      <c r="F133" s="292" t="n">
        <v>0.1775</v>
      </c>
      <c r="G133" s="292" t="n">
        <v>0.185</v>
      </c>
      <c r="H133" s="292" t="n">
        <v>0.1925</v>
      </c>
      <c r="I133" s="288" t="n">
        <v>4.827</v>
      </c>
      <c r="J133" s="292" t="n">
        <v>4.832</v>
      </c>
      <c r="K133" s="239" t="n">
        <v>4.837</v>
      </c>
      <c r="L133" s="292" t="n">
        <v>-0.1375</v>
      </c>
      <c r="M133" s="239" t="n">
        <v>-0.1375</v>
      </c>
      <c r="O133" s="235"/>
      <c r="P133" s="288"/>
      <c r="Q133" s="288"/>
      <c r="R133" s="289" t="e">
        <f aca="false">B133</f>
        <v>#VALUE!</v>
      </c>
      <c r="S133" s="290" t="n">
        <f aca="false">T133-$S$16</f>
        <v>0.93</v>
      </c>
      <c r="T133" s="285" t="n">
        <f aca="false">D133</f>
        <v>1</v>
      </c>
      <c r="U133" s="291" t="n">
        <f aca="false">$U$16+T133</f>
        <v>1.07</v>
      </c>
      <c r="BP133" s="249" t="n">
        <f aca="false">BP132+BV133</f>
        <v>132</v>
      </c>
      <c r="BQ133" s="250" t="s">
        <v>771</v>
      </c>
      <c r="BR133" s="247" t="s">
        <v>195</v>
      </c>
      <c r="BS133" s="161" t="s">
        <v>324</v>
      </c>
      <c r="BT133" s="253" t="s">
        <v>197</v>
      </c>
      <c r="BU133" s="253"/>
      <c r="BV133" s="161" t="n">
        <v>1</v>
      </c>
      <c r="BW133" s="247" t="s">
        <v>772</v>
      </c>
      <c r="BX133" s="0"/>
      <c r="BZ133" s="249" t="n">
        <f aca="false">BZ132+CF133</f>
        <v>132</v>
      </c>
      <c r="CA133" s="73" t="s">
        <v>773</v>
      </c>
      <c r="CB133" s="247" t="s">
        <v>199</v>
      </c>
      <c r="CC133" s="161" t="s">
        <v>196</v>
      </c>
      <c r="CD133" s="253" t="s">
        <v>197</v>
      </c>
      <c r="CE133" s="253"/>
      <c r="CF133" s="161" t="n">
        <v>1</v>
      </c>
      <c r="CG133" s="247" t="s">
        <v>774</v>
      </c>
      <c r="CH133" s="0"/>
    </row>
    <row r="134" customFormat="false" ht="12.75" hidden="false" customHeight="false" outlineLevel="0" collapsed="false">
      <c r="A134" s="286"/>
      <c r="B134" s="287" t="e">
        <f aca="false">NextMonth(B133)</f>
        <v>#VALUE!</v>
      </c>
      <c r="C134" s="239" t="n">
        <v>0.0627277751672874</v>
      </c>
      <c r="D134" s="292" t="n">
        <v>1</v>
      </c>
      <c r="E134" s="292" t="n">
        <v>1</v>
      </c>
      <c r="F134" s="292" t="n">
        <v>0.1775</v>
      </c>
      <c r="G134" s="292" t="n">
        <v>0.185</v>
      </c>
      <c r="H134" s="292" t="n">
        <v>0.1925</v>
      </c>
      <c r="I134" s="288" t="n">
        <v>4.707</v>
      </c>
      <c r="J134" s="292" t="n">
        <v>4.712</v>
      </c>
      <c r="K134" s="239" t="n">
        <v>4.717</v>
      </c>
      <c r="L134" s="292" t="n">
        <v>-0.14</v>
      </c>
      <c r="M134" s="239" t="n">
        <v>-0.14</v>
      </c>
      <c r="O134" s="235"/>
      <c r="P134" s="288"/>
      <c r="Q134" s="288"/>
      <c r="R134" s="289" t="e">
        <f aca="false">B134</f>
        <v>#VALUE!</v>
      </c>
      <c r="S134" s="290" t="n">
        <f aca="false">T134-$S$16</f>
        <v>0.93</v>
      </c>
      <c r="T134" s="285" t="n">
        <f aca="false">D134</f>
        <v>1</v>
      </c>
      <c r="U134" s="291" t="n">
        <f aca="false">$U$16+T134</f>
        <v>1.07</v>
      </c>
      <c r="BP134" s="249" t="n">
        <f aca="false">BP133+BV134</f>
        <v>133</v>
      </c>
      <c r="BQ134" s="250" t="s">
        <v>775</v>
      </c>
      <c r="BR134" s="247" t="s">
        <v>195</v>
      </c>
      <c r="BS134" s="161" t="s">
        <v>324</v>
      </c>
      <c r="BT134" s="253" t="s">
        <v>197</v>
      </c>
      <c r="BU134" s="253"/>
      <c r="BV134" s="161" t="n">
        <v>1</v>
      </c>
      <c r="BW134" s="247" t="s">
        <v>776</v>
      </c>
      <c r="BX134" s="0"/>
      <c r="BZ134" s="249" t="n">
        <f aca="false">BZ133+CF134</f>
        <v>133</v>
      </c>
      <c r="CA134" s="73" t="s">
        <v>777</v>
      </c>
      <c r="CB134" s="247" t="s">
        <v>199</v>
      </c>
      <c r="CC134" s="161" t="s">
        <v>196</v>
      </c>
      <c r="CD134" s="253" t="s">
        <v>197</v>
      </c>
      <c r="CE134" s="253"/>
      <c r="CF134" s="161" t="n">
        <v>1</v>
      </c>
      <c r="CG134" s="247" t="s">
        <v>778</v>
      </c>
      <c r="CH134" s="0"/>
    </row>
    <row r="135" customFormat="false" ht="12.75" hidden="false" customHeight="false" outlineLevel="0" collapsed="false">
      <c r="A135" s="286"/>
      <c r="B135" s="287" t="e">
        <f aca="false">NextMonth(B134)</f>
        <v>#VALUE!</v>
      </c>
      <c r="C135" s="239" t="n">
        <v>0.0627954285190242</v>
      </c>
      <c r="D135" s="292" t="n">
        <v>0.75</v>
      </c>
      <c r="E135" s="292" t="n">
        <v>0.75</v>
      </c>
      <c r="F135" s="292" t="n">
        <v>0.1725</v>
      </c>
      <c r="G135" s="292" t="n">
        <v>0.18</v>
      </c>
      <c r="H135" s="292" t="n">
        <v>0.1875</v>
      </c>
      <c r="I135" s="288" t="n">
        <v>4.567</v>
      </c>
      <c r="J135" s="292" t="n">
        <v>4.572</v>
      </c>
      <c r="K135" s="239" t="n">
        <v>4.577</v>
      </c>
      <c r="L135" s="292" t="n">
        <v>-0.1425</v>
      </c>
      <c r="M135" s="239" t="n">
        <v>-0.1425</v>
      </c>
      <c r="O135" s="235"/>
      <c r="P135" s="288"/>
      <c r="Q135" s="288"/>
      <c r="R135" s="289" t="e">
        <f aca="false">B135</f>
        <v>#VALUE!</v>
      </c>
      <c r="S135" s="290" t="n">
        <f aca="false">T135-$S$16</f>
        <v>0.68</v>
      </c>
      <c r="T135" s="285" t="n">
        <f aca="false">D135</f>
        <v>0.75</v>
      </c>
      <c r="U135" s="291" t="n">
        <f aca="false">$U$16+T135</f>
        <v>0.82</v>
      </c>
      <c r="BP135" s="249" t="n">
        <f aca="false">BP134+BV135</f>
        <v>134</v>
      </c>
      <c r="BQ135" s="250" t="s">
        <v>779</v>
      </c>
      <c r="BR135" s="247" t="s">
        <v>195</v>
      </c>
      <c r="BS135" s="161" t="s">
        <v>324</v>
      </c>
      <c r="BT135" s="253" t="s">
        <v>197</v>
      </c>
      <c r="BU135" s="253"/>
      <c r="BV135" s="161" t="n">
        <v>1</v>
      </c>
      <c r="BW135" s="247" t="s">
        <v>780</v>
      </c>
      <c r="BX135" s="0"/>
      <c r="BZ135" s="249" t="n">
        <f aca="false">BZ134+CF135</f>
        <v>134</v>
      </c>
      <c r="CA135" s="73" t="s">
        <v>781</v>
      </c>
      <c r="CB135" s="247" t="s">
        <v>199</v>
      </c>
      <c r="CC135" s="161" t="s">
        <v>196</v>
      </c>
      <c r="CD135" s="253" t="s">
        <v>197</v>
      </c>
      <c r="CE135" s="253"/>
      <c r="CF135" s="161" t="n">
        <v>1</v>
      </c>
      <c r="CG135" s="247" t="s">
        <v>782</v>
      </c>
      <c r="CH135" s="0"/>
    </row>
    <row r="136" customFormat="false" ht="12.75" hidden="false" customHeight="false" outlineLevel="0" collapsed="false">
      <c r="A136" s="286"/>
      <c r="B136" s="287" t="e">
        <f aca="false">NextMonth(B135)</f>
        <v>#VALUE!</v>
      </c>
      <c r="C136" s="239" t="n">
        <v>0.062870330445933</v>
      </c>
      <c r="D136" s="292" t="n">
        <v>0.4</v>
      </c>
      <c r="E136" s="292" t="n">
        <v>0.4</v>
      </c>
      <c r="F136" s="292" t="n">
        <v>0.1725</v>
      </c>
      <c r="G136" s="292" t="n">
        <v>0.18</v>
      </c>
      <c r="H136" s="292" t="n">
        <v>0.1875</v>
      </c>
      <c r="I136" s="288" t="n">
        <v>4.425</v>
      </c>
      <c r="J136" s="292" t="n">
        <v>4.43</v>
      </c>
      <c r="K136" s="239" t="n">
        <v>4.435</v>
      </c>
      <c r="L136" s="292" t="n">
        <v>-0.14</v>
      </c>
      <c r="M136" s="239" t="n">
        <v>-0.14</v>
      </c>
      <c r="O136" s="235"/>
      <c r="P136" s="288"/>
      <c r="Q136" s="288"/>
      <c r="R136" s="289" t="e">
        <f aca="false">B136</f>
        <v>#VALUE!</v>
      </c>
      <c r="S136" s="290" t="n">
        <f aca="false">T136-$S$16</f>
        <v>0.33</v>
      </c>
      <c r="T136" s="285" t="n">
        <f aca="false">D136</f>
        <v>0.4</v>
      </c>
      <c r="U136" s="291" t="n">
        <f aca="false">$U$16+T136</f>
        <v>0.47</v>
      </c>
      <c r="BP136" s="249" t="n">
        <f aca="false">BP135+BV136</f>
        <v>135</v>
      </c>
      <c r="BQ136" s="250" t="s">
        <v>783</v>
      </c>
      <c r="BR136" s="247" t="s">
        <v>195</v>
      </c>
      <c r="BS136" s="161" t="s">
        <v>324</v>
      </c>
      <c r="BT136" s="253" t="s">
        <v>197</v>
      </c>
      <c r="BU136" s="253"/>
      <c r="BV136" s="161" t="n">
        <v>1</v>
      </c>
      <c r="BW136" s="247" t="s">
        <v>784</v>
      </c>
      <c r="BX136" s="0"/>
      <c r="BZ136" s="249" t="n">
        <f aca="false">BZ135+CF136</f>
        <v>135</v>
      </c>
      <c r="CA136" s="73" t="s">
        <v>785</v>
      </c>
      <c r="CB136" s="247" t="s">
        <v>199</v>
      </c>
      <c r="CC136" s="161" t="s">
        <v>196</v>
      </c>
      <c r="CD136" s="253" t="s">
        <v>197</v>
      </c>
      <c r="CE136" s="253"/>
      <c r="CF136" s="161" t="n">
        <v>1</v>
      </c>
      <c r="CG136" s="247" t="s">
        <v>786</v>
      </c>
      <c r="CH136" s="0"/>
    </row>
    <row r="137" customFormat="false" ht="12.75" hidden="false" customHeight="false" outlineLevel="0" collapsed="false">
      <c r="A137" s="286"/>
      <c r="B137" s="287" t="e">
        <f aca="false">NextMonth(B136)</f>
        <v>#VALUE!</v>
      </c>
      <c r="C137" s="239" t="n">
        <v>0.0629274350563564</v>
      </c>
      <c r="D137" s="292" t="n">
        <v>0.4</v>
      </c>
      <c r="E137" s="292" t="n">
        <v>0.4</v>
      </c>
      <c r="F137" s="292" t="n">
        <v>0.1725</v>
      </c>
      <c r="G137" s="292" t="n">
        <v>0.18</v>
      </c>
      <c r="H137" s="292" t="n">
        <v>0.1875</v>
      </c>
      <c r="I137" s="288" t="n">
        <v>4.459</v>
      </c>
      <c r="J137" s="292" t="n">
        <v>4.464</v>
      </c>
      <c r="K137" s="239" t="n">
        <v>4.469</v>
      </c>
      <c r="L137" s="292" t="n">
        <v>-0.14</v>
      </c>
      <c r="M137" s="239" t="n">
        <v>-0.14</v>
      </c>
      <c r="O137" s="235"/>
      <c r="P137" s="288"/>
      <c r="Q137" s="288"/>
      <c r="R137" s="289" t="e">
        <f aca="false">B137</f>
        <v>#VALUE!</v>
      </c>
      <c r="S137" s="290" t="n">
        <f aca="false">T137-$S$16</f>
        <v>0.33</v>
      </c>
      <c r="T137" s="285" t="n">
        <f aca="false">D137</f>
        <v>0.4</v>
      </c>
      <c r="U137" s="291" t="n">
        <f aca="false">$U$16+T137</f>
        <v>0.47</v>
      </c>
      <c r="BP137" s="249" t="n">
        <f aca="false">BP136+BV137</f>
        <v>136</v>
      </c>
      <c r="BQ137" s="250" t="s">
        <v>787</v>
      </c>
      <c r="BR137" s="247" t="s">
        <v>195</v>
      </c>
      <c r="BS137" s="161" t="s">
        <v>324</v>
      </c>
      <c r="BT137" s="253" t="s">
        <v>197</v>
      </c>
      <c r="BU137" s="253"/>
      <c r="BV137" s="161" t="n">
        <v>1</v>
      </c>
      <c r="BW137" s="247" t="s">
        <v>788</v>
      </c>
      <c r="BX137" s="0"/>
      <c r="BZ137" s="249" t="n">
        <f aca="false">BZ136+CF137</f>
        <v>136</v>
      </c>
      <c r="CA137" s="73" t="s">
        <v>789</v>
      </c>
      <c r="CB137" s="247" t="s">
        <v>199</v>
      </c>
      <c r="CC137" s="161" t="s">
        <v>196</v>
      </c>
      <c r="CD137" s="253" t="s">
        <v>197</v>
      </c>
      <c r="CE137" s="253"/>
      <c r="CF137" s="161" t="n">
        <v>1</v>
      </c>
      <c r="CG137" s="247" t="s">
        <v>790</v>
      </c>
      <c r="CH137" s="0"/>
    </row>
    <row r="138" customFormat="false" ht="12.75" hidden="false" customHeight="false" outlineLevel="0" collapsed="false">
      <c r="A138" s="286"/>
      <c r="B138" s="287" t="e">
        <f aca="false">NextMonth(B137)</f>
        <v>#VALUE!</v>
      </c>
      <c r="C138" s="239" t="n">
        <v>0.062965658913714</v>
      </c>
      <c r="D138" s="239" t="n">
        <v>0.4</v>
      </c>
      <c r="E138" s="239" t="n">
        <v>0.4</v>
      </c>
      <c r="F138" s="239" t="n">
        <v>0.1725</v>
      </c>
      <c r="G138" s="239" t="n">
        <v>0.18</v>
      </c>
      <c r="H138" s="239" t="n">
        <v>0.1875</v>
      </c>
      <c r="I138" s="262" t="n">
        <v>4.492</v>
      </c>
      <c r="J138" s="239" t="n">
        <v>4.497</v>
      </c>
      <c r="K138" s="239" t="n">
        <v>4.502</v>
      </c>
      <c r="L138" s="239" t="n">
        <v>-0.14</v>
      </c>
      <c r="M138" s="239" t="n">
        <v>-0.14</v>
      </c>
      <c r="O138" s="235"/>
      <c r="P138" s="288"/>
      <c r="Q138" s="288"/>
      <c r="R138" s="289" t="e">
        <f aca="false">B138</f>
        <v>#VALUE!</v>
      </c>
      <c r="S138" s="290" t="n">
        <f aca="false">T138-$S$16</f>
        <v>0.33</v>
      </c>
      <c r="T138" s="285" t="n">
        <f aca="false">D138</f>
        <v>0.4</v>
      </c>
      <c r="U138" s="291" t="n">
        <f aca="false">$U$16+T138</f>
        <v>0.47</v>
      </c>
      <c r="BP138" s="249" t="n">
        <f aca="false">BP137+BV138</f>
        <v>137</v>
      </c>
      <c r="BQ138" s="250" t="s">
        <v>791</v>
      </c>
      <c r="BR138" s="247" t="s">
        <v>195</v>
      </c>
      <c r="BS138" s="161" t="s">
        <v>324</v>
      </c>
      <c r="BT138" s="253" t="s">
        <v>197</v>
      </c>
      <c r="BU138" s="253"/>
      <c r="BV138" s="161" t="n">
        <v>1</v>
      </c>
      <c r="BW138" s="247" t="s">
        <v>792</v>
      </c>
      <c r="BX138" s="0"/>
      <c r="BZ138" s="249" t="n">
        <f aca="false">BZ137+CF138</f>
        <v>137</v>
      </c>
      <c r="CA138" s="73" t="s">
        <v>793</v>
      </c>
      <c r="CB138" s="247" t="s">
        <v>199</v>
      </c>
      <c r="CC138" s="161" t="s">
        <v>196</v>
      </c>
      <c r="CD138" s="253" t="s">
        <v>197</v>
      </c>
      <c r="CE138" s="253"/>
      <c r="CF138" s="161" t="n">
        <v>1</v>
      </c>
      <c r="CG138" s="247" t="s">
        <v>794</v>
      </c>
      <c r="CH138" s="0"/>
    </row>
    <row r="139" customFormat="false" ht="12.75" hidden="false" customHeight="false" outlineLevel="0" collapsed="false">
      <c r="A139" s="286"/>
      <c r="B139" s="287" t="e">
        <f aca="false">NextMonth(B138)</f>
        <v>#VALUE!</v>
      </c>
      <c r="C139" s="239" t="n">
        <v>0.0630026497438765</v>
      </c>
      <c r="D139" s="239" t="n">
        <v>0.4</v>
      </c>
      <c r="E139" s="239" t="n">
        <v>0.4</v>
      </c>
      <c r="F139" s="239" t="n">
        <v>0.1725</v>
      </c>
      <c r="G139" s="239" t="n">
        <v>0.18</v>
      </c>
      <c r="H139" s="239" t="n">
        <v>0.1875</v>
      </c>
      <c r="I139" s="262" t="n">
        <v>4.537</v>
      </c>
      <c r="J139" s="239" t="n">
        <v>4.542</v>
      </c>
      <c r="K139" s="239" t="n">
        <v>4.547</v>
      </c>
      <c r="L139" s="239" t="n">
        <v>-0.14</v>
      </c>
      <c r="M139" s="239" t="n">
        <v>-0.14</v>
      </c>
      <c r="O139" s="235"/>
      <c r="P139" s="288"/>
      <c r="Q139" s="288"/>
      <c r="R139" s="289" t="e">
        <f aca="false">B139</f>
        <v>#VALUE!</v>
      </c>
      <c r="S139" s="290" t="n">
        <f aca="false">T139-$S$16</f>
        <v>0.33</v>
      </c>
      <c r="T139" s="285" t="n">
        <f aca="false">D139</f>
        <v>0.4</v>
      </c>
      <c r="U139" s="291" t="n">
        <f aca="false">$U$16+T139</f>
        <v>0.47</v>
      </c>
      <c r="BP139" s="249" t="n">
        <f aca="false">BP138+BV139</f>
        <v>138</v>
      </c>
      <c r="BQ139" s="250" t="s">
        <v>795</v>
      </c>
      <c r="BR139" s="247" t="s">
        <v>195</v>
      </c>
      <c r="BS139" s="161" t="s">
        <v>324</v>
      </c>
      <c r="BT139" s="253" t="s">
        <v>197</v>
      </c>
      <c r="BU139" s="253"/>
      <c r="BV139" s="161" t="n">
        <v>1</v>
      </c>
      <c r="BW139" s="247" t="s">
        <v>796</v>
      </c>
      <c r="BX139" s="0"/>
      <c r="BZ139" s="249" t="n">
        <f aca="false">BZ138+CF139</f>
        <v>138</v>
      </c>
      <c r="CA139" s="73" t="s">
        <v>797</v>
      </c>
      <c r="CB139" s="247" t="s">
        <v>199</v>
      </c>
      <c r="CC139" s="161" t="s">
        <v>196</v>
      </c>
      <c r="CD139" s="253" t="s">
        <v>197</v>
      </c>
      <c r="CE139" s="253"/>
      <c r="CF139" s="161" t="n">
        <v>1</v>
      </c>
      <c r="CG139" s="247" t="s">
        <v>798</v>
      </c>
      <c r="CH139" s="0"/>
    </row>
    <row r="140" customFormat="false" ht="12.75" hidden="false" customHeight="false" outlineLevel="0" collapsed="false">
      <c r="A140" s="286"/>
      <c r="B140" s="287" t="e">
        <f aca="false">NextMonth(B139)</f>
        <v>#VALUE!</v>
      </c>
      <c r="C140" s="239" t="n">
        <v>0.0630408736021884</v>
      </c>
      <c r="D140" s="239" t="n">
        <v>0.5</v>
      </c>
      <c r="E140" s="239" t="n">
        <v>0.5</v>
      </c>
      <c r="F140" s="239" t="n">
        <v>0.1725</v>
      </c>
      <c r="G140" s="239" t="n">
        <v>0.18</v>
      </c>
      <c r="H140" s="239" t="n">
        <v>0.1875</v>
      </c>
      <c r="I140" s="262" t="n">
        <v>4.572</v>
      </c>
      <c r="J140" s="239" t="n">
        <v>4.577</v>
      </c>
      <c r="K140" s="239" t="n">
        <v>4.582</v>
      </c>
      <c r="L140" s="239" t="n">
        <v>-0.14</v>
      </c>
      <c r="M140" s="239" t="n">
        <v>-0.14</v>
      </c>
      <c r="O140" s="235"/>
      <c r="P140" s="288"/>
      <c r="Q140" s="288"/>
      <c r="R140" s="289" t="e">
        <f aca="false">B140</f>
        <v>#VALUE!</v>
      </c>
      <c r="S140" s="290" t="n">
        <f aca="false">T140-$S$16</f>
        <v>0.43</v>
      </c>
      <c r="T140" s="285" t="n">
        <f aca="false">D140</f>
        <v>0.5</v>
      </c>
      <c r="U140" s="291" t="n">
        <f aca="false">$U$16+T140</f>
        <v>0.57</v>
      </c>
      <c r="BP140" s="249" t="n">
        <f aca="false">BP139+BV140</f>
        <v>139</v>
      </c>
      <c r="BQ140" s="250" t="s">
        <v>799</v>
      </c>
      <c r="BR140" s="247" t="s">
        <v>195</v>
      </c>
      <c r="BS140" s="161" t="s">
        <v>324</v>
      </c>
      <c r="BT140" s="253" t="s">
        <v>197</v>
      </c>
      <c r="BU140" s="253"/>
      <c r="BV140" s="161" t="n">
        <v>1</v>
      </c>
      <c r="BW140" s="247" t="s">
        <v>800</v>
      </c>
      <c r="BX140" s="0"/>
      <c r="BZ140" s="249" t="n">
        <f aca="false">BZ139+CF140</f>
        <v>139</v>
      </c>
      <c r="CA140" s="73" t="s">
        <v>801</v>
      </c>
      <c r="CB140" s="247" t="s">
        <v>199</v>
      </c>
      <c r="CC140" s="161" t="s">
        <v>196</v>
      </c>
      <c r="CD140" s="253" t="s">
        <v>197</v>
      </c>
      <c r="CE140" s="253"/>
      <c r="CF140" s="161" t="n">
        <v>1</v>
      </c>
      <c r="CG140" s="247" t="s">
        <v>802</v>
      </c>
      <c r="CH140" s="0"/>
    </row>
    <row r="141" customFormat="false" ht="12.75" hidden="false" customHeight="false" outlineLevel="0" collapsed="false">
      <c r="A141" s="286"/>
      <c r="B141" s="287" t="e">
        <f aca="false">NextMonth(B140)</f>
        <v>#VALUE!</v>
      </c>
      <c r="C141" s="239" t="n">
        <v>0.0630790974609852</v>
      </c>
      <c r="D141" s="239" t="n">
        <v>0.55</v>
      </c>
      <c r="E141" s="239" t="n">
        <v>0.55</v>
      </c>
      <c r="F141" s="239" t="n">
        <v>0.1725</v>
      </c>
      <c r="G141" s="239" t="n">
        <v>0.18</v>
      </c>
      <c r="H141" s="239" t="n">
        <v>0.1875</v>
      </c>
      <c r="I141" s="262" t="n">
        <v>4.577</v>
      </c>
      <c r="J141" s="239" t="n">
        <v>4.582</v>
      </c>
      <c r="K141" s="239" t="n">
        <v>4.587</v>
      </c>
      <c r="L141" s="239" t="n">
        <v>-0.14</v>
      </c>
      <c r="M141" s="239" t="n">
        <v>-0.14</v>
      </c>
      <c r="O141" s="235"/>
      <c r="P141" s="288"/>
      <c r="Q141" s="288"/>
      <c r="R141" s="289" t="e">
        <f aca="false">B141</f>
        <v>#VALUE!</v>
      </c>
      <c r="S141" s="290" t="n">
        <f aca="false">T141-$S$16</f>
        <v>0.48</v>
      </c>
      <c r="T141" s="285" t="n">
        <f aca="false">D141</f>
        <v>0.55</v>
      </c>
      <c r="U141" s="291" t="n">
        <f aca="false">$U$16+T141</f>
        <v>0.62</v>
      </c>
      <c r="BP141" s="249" t="n">
        <f aca="false">BP140+BV141</f>
        <v>140</v>
      </c>
      <c r="BQ141" s="250" t="s">
        <v>803</v>
      </c>
      <c r="BR141" s="247" t="s">
        <v>195</v>
      </c>
      <c r="BS141" s="161" t="s">
        <v>324</v>
      </c>
      <c r="BT141" s="253" t="s">
        <v>197</v>
      </c>
      <c r="BU141" s="253"/>
      <c r="BV141" s="161" t="n">
        <v>1</v>
      </c>
      <c r="BW141" s="247" t="s">
        <v>804</v>
      </c>
      <c r="BX141" s="0"/>
      <c r="BZ141" s="249" t="n">
        <f aca="false">BZ140+CF141</f>
        <v>140</v>
      </c>
      <c r="CA141" s="73" t="s">
        <v>805</v>
      </c>
      <c r="CB141" s="247" t="s">
        <v>199</v>
      </c>
      <c r="CC141" s="161" t="s">
        <v>196</v>
      </c>
      <c r="CD141" s="253" t="s">
        <v>197</v>
      </c>
      <c r="CE141" s="253"/>
      <c r="CF141" s="161" t="n">
        <v>1</v>
      </c>
      <c r="CG141" s="247" t="s">
        <v>806</v>
      </c>
      <c r="CH141" s="0"/>
    </row>
    <row r="142" customFormat="false" ht="12.75" hidden="false" customHeight="false" outlineLevel="0" collapsed="false">
      <c r="A142" s="286"/>
      <c r="B142" s="287" t="e">
        <f aca="false">NextMonth(B141)</f>
        <v>#VALUE!</v>
      </c>
      <c r="C142" s="239" t="n">
        <v>0.0631160882925399</v>
      </c>
      <c r="D142" s="239" t="n">
        <v>0.55</v>
      </c>
      <c r="E142" s="239" t="n">
        <v>0.55</v>
      </c>
      <c r="F142" s="239" t="n">
        <v>0.1725</v>
      </c>
      <c r="G142" s="239" t="n">
        <v>0.18</v>
      </c>
      <c r="H142" s="239" t="n">
        <v>0.1875</v>
      </c>
      <c r="I142" s="262" t="n">
        <v>4.602</v>
      </c>
      <c r="J142" s="239" t="n">
        <v>4.607</v>
      </c>
      <c r="K142" s="239" t="n">
        <v>4.612</v>
      </c>
      <c r="L142" s="239" t="n">
        <v>-0.14</v>
      </c>
      <c r="M142" s="239" t="n">
        <v>-0.14</v>
      </c>
      <c r="O142" s="235"/>
      <c r="P142" s="288"/>
      <c r="Q142" s="288"/>
      <c r="R142" s="289" t="e">
        <f aca="false">B142</f>
        <v>#VALUE!</v>
      </c>
      <c r="S142" s="290" t="n">
        <f aca="false">T142-$S$16</f>
        <v>0.48</v>
      </c>
      <c r="T142" s="285" t="n">
        <f aca="false">D142</f>
        <v>0.55</v>
      </c>
      <c r="U142" s="291" t="n">
        <f aca="false">$U$16+T142</f>
        <v>0.62</v>
      </c>
      <c r="BP142" s="249" t="n">
        <f aca="false">BP141+BV142</f>
        <v>141</v>
      </c>
      <c r="BQ142" s="250" t="s">
        <v>807</v>
      </c>
      <c r="BR142" s="247" t="s">
        <v>195</v>
      </c>
      <c r="BS142" s="161" t="s">
        <v>324</v>
      </c>
      <c r="BT142" s="253" t="s">
        <v>197</v>
      </c>
      <c r="BU142" s="253"/>
      <c r="BV142" s="161" t="n">
        <v>1</v>
      </c>
      <c r="BW142" s="247" t="s">
        <v>808</v>
      </c>
      <c r="BX142" s="0"/>
      <c r="BZ142" s="249" t="n">
        <f aca="false">BZ141+CF142</f>
        <v>141</v>
      </c>
      <c r="CA142" s="73" t="s">
        <v>809</v>
      </c>
      <c r="CB142" s="247" t="s">
        <v>199</v>
      </c>
      <c r="CC142" s="161" t="s">
        <v>196</v>
      </c>
      <c r="CD142" s="253" t="s">
        <v>197</v>
      </c>
      <c r="CE142" s="253"/>
      <c r="CF142" s="161" t="n">
        <v>1</v>
      </c>
      <c r="CG142" s="247" t="s">
        <v>810</v>
      </c>
      <c r="CH142" s="0"/>
    </row>
    <row r="143" customFormat="false" ht="12.75" hidden="false" customHeight="false" outlineLevel="0" collapsed="false">
      <c r="A143" s="286"/>
      <c r="B143" s="287" t="e">
        <f aca="false">NextMonth(B142)</f>
        <v>#VALUE!</v>
      </c>
      <c r="C143" s="239" t="n">
        <v>0.0631543121522902</v>
      </c>
      <c r="D143" s="239" t="n">
        <v>0.8</v>
      </c>
      <c r="E143" s="239" t="n">
        <v>0.8</v>
      </c>
      <c r="F143" s="239" t="n">
        <v>0.1725</v>
      </c>
      <c r="G143" s="239" t="n">
        <v>0.18</v>
      </c>
      <c r="H143" s="239" t="n">
        <v>0.1875</v>
      </c>
      <c r="I143" s="262" t="n">
        <v>4.712</v>
      </c>
      <c r="J143" s="239" t="n">
        <v>4.717</v>
      </c>
      <c r="K143" s="239" t="n">
        <v>4.722</v>
      </c>
      <c r="L143" s="239" t="n">
        <v>-0.1425</v>
      </c>
      <c r="M143" s="239" t="n">
        <v>-0.1425</v>
      </c>
      <c r="O143" s="235"/>
      <c r="P143" s="288"/>
      <c r="Q143" s="288"/>
      <c r="R143" s="289" t="e">
        <f aca="false">B143</f>
        <v>#VALUE!</v>
      </c>
      <c r="S143" s="290" t="n">
        <f aca="false">T143-$S$16</f>
        <v>0.73</v>
      </c>
      <c r="T143" s="285" t="n">
        <f aca="false">D143</f>
        <v>0.8</v>
      </c>
      <c r="U143" s="291" t="n">
        <f aca="false">$U$16+T143</f>
        <v>0.87</v>
      </c>
      <c r="BP143" s="249" t="n">
        <f aca="false">BP142+BV143</f>
        <v>142</v>
      </c>
      <c r="BQ143" s="250" t="s">
        <v>811</v>
      </c>
      <c r="BR143" s="247" t="s">
        <v>195</v>
      </c>
      <c r="BS143" s="161" t="s">
        <v>324</v>
      </c>
      <c r="BT143" s="253" t="s">
        <v>197</v>
      </c>
      <c r="BU143" s="253"/>
      <c r="BV143" s="161" t="n">
        <v>1</v>
      </c>
      <c r="BW143" s="247" t="s">
        <v>812</v>
      </c>
      <c r="BX143" s="0"/>
      <c r="BZ143" s="249" t="n">
        <f aca="false">BZ142+CF143</f>
        <v>142</v>
      </c>
      <c r="CA143" s="73" t="s">
        <v>813</v>
      </c>
      <c r="CB143" s="247" t="s">
        <v>199</v>
      </c>
      <c r="CC143" s="161" t="s">
        <v>196</v>
      </c>
      <c r="CD143" s="253" t="s">
        <v>197</v>
      </c>
      <c r="CE143" s="253"/>
      <c r="CF143" s="161" t="n">
        <v>1</v>
      </c>
      <c r="CG143" s="247" t="s">
        <v>814</v>
      </c>
      <c r="CH143" s="0"/>
    </row>
    <row r="144" customFormat="false" ht="12.75" hidden="false" customHeight="false" outlineLevel="0" collapsed="false">
      <c r="A144" s="286"/>
      <c r="B144" s="287" t="e">
        <f aca="false">NextMonth(B143)</f>
        <v>#VALUE!</v>
      </c>
      <c r="C144" s="239" t="n">
        <v>0.0631913029847682</v>
      </c>
      <c r="D144" s="239" t="n">
        <v>1</v>
      </c>
      <c r="E144" s="239" t="n">
        <v>1</v>
      </c>
      <c r="F144" s="239" t="n">
        <v>0.1725</v>
      </c>
      <c r="G144" s="239" t="n">
        <v>0.18</v>
      </c>
      <c r="H144" s="239" t="n">
        <v>0.1875</v>
      </c>
      <c r="I144" s="262" t="n">
        <v>4.832</v>
      </c>
      <c r="J144" s="239" t="n">
        <v>4.837</v>
      </c>
      <c r="K144" s="239" t="n">
        <v>4.842</v>
      </c>
      <c r="L144" s="239" t="n">
        <v>-0.1375</v>
      </c>
      <c r="M144" s="239" t="n">
        <v>-0.1375</v>
      </c>
      <c r="O144" s="235"/>
      <c r="P144" s="288"/>
      <c r="Q144" s="288"/>
      <c r="R144" s="289" t="e">
        <f aca="false">B144</f>
        <v>#VALUE!</v>
      </c>
      <c r="S144" s="290" t="n">
        <f aca="false">T144-$S$16</f>
        <v>0.93</v>
      </c>
      <c r="T144" s="285" t="n">
        <f aca="false">D144</f>
        <v>1</v>
      </c>
      <c r="U144" s="291" t="n">
        <f aca="false">$U$16+T144</f>
        <v>1.07</v>
      </c>
      <c r="BP144" s="249" t="n">
        <f aca="false">BP143+BV144</f>
        <v>143</v>
      </c>
      <c r="BQ144" s="250" t="s">
        <v>815</v>
      </c>
      <c r="BR144" s="247" t="s">
        <v>195</v>
      </c>
      <c r="BS144" s="161" t="s">
        <v>324</v>
      </c>
      <c r="BT144" s="253" t="s">
        <v>197</v>
      </c>
      <c r="BU144" s="253"/>
      <c r="BV144" s="161" t="n">
        <v>1</v>
      </c>
      <c r="BW144" s="247" t="s">
        <v>816</v>
      </c>
      <c r="BX144" s="0"/>
      <c r="BZ144" s="249" t="n">
        <f aca="false">BZ143+CF144</f>
        <v>143</v>
      </c>
      <c r="CA144" s="73" t="s">
        <v>817</v>
      </c>
      <c r="CB144" s="247" t="s">
        <v>199</v>
      </c>
      <c r="CC144" s="161" t="s">
        <v>196</v>
      </c>
      <c r="CD144" s="253" t="s">
        <v>197</v>
      </c>
      <c r="CE144" s="253"/>
      <c r="CF144" s="161" t="n">
        <v>1</v>
      </c>
      <c r="CG144" s="247" t="s">
        <v>818</v>
      </c>
      <c r="CH144" s="0"/>
    </row>
    <row r="145" customFormat="false" ht="12.75" hidden="false" customHeight="false" outlineLevel="0" collapsed="false">
      <c r="A145" s="286"/>
      <c r="B145" s="287" t="e">
        <f aca="false">NextMonth(B144)</f>
        <v>#VALUE!</v>
      </c>
      <c r="C145" s="239" t="n">
        <v>0.0632295268454719</v>
      </c>
      <c r="D145" s="239" t="n">
        <v>1</v>
      </c>
      <c r="E145" s="239" t="n">
        <v>1</v>
      </c>
      <c r="F145" s="239" t="n">
        <v>0.1725</v>
      </c>
      <c r="G145" s="239" t="n">
        <v>0.18</v>
      </c>
      <c r="H145" s="239" t="n">
        <v>0.1875</v>
      </c>
      <c r="I145" s="262" t="n">
        <v>4.917</v>
      </c>
      <c r="J145" s="239" t="n">
        <v>4.922</v>
      </c>
      <c r="K145" s="239" t="n">
        <v>4.927</v>
      </c>
      <c r="L145" s="239" t="n">
        <v>-0.1375</v>
      </c>
      <c r="M145" s="239" t="n">
        <v>-0.1375</v>
      </c>
      <c r="O145" s="235"/>
      <c r="P145" s="288"/>
      <c r="Q145" s="288"/>
      <c r="R145" s="289" t="e">
        <f aca="false">B145</f>
        <v>#VALUE!</v>
      </c>
      <c r="S145" s="290" t="n">
        <f aca="false">T145-$S$16</f>
        <v>0.93</v>
      </c>
      <c r="T145" s="285" t="n">
        <f aca="false">D145</f>
        <v>1</v>
      </c>
      <c r="U145" s="291" t="n">
        <f aca="false">$U$16+T145</f>
        <v>1.07</v>
      </c>
      <c r="BP145" s="249" t="n">
        <f aca="false">BP144+BV145</f>
        <v>144</v>
      </c>
      <c r="BQ145" s="250" t="s">
        <v>819</v>
      </c>
      <c r="BR145" s="247" t="s">
        <v>195</v>
      </c>
      <c r="BS145" s="161" t="s">
        <v>324</v>
      </c>
      <c r="BT145" s="253" t="s">
        <v>197</v>
      </c>
      <c r="BU145" s="253"/>
      <c r="BV145" s="161" t="n">
        <v>1</v>
      </c>
      <c r="BW145" s="247" t="s">
        <v>820</v>
      </c>
      <c r="BX145" s="0"/>
      <c r="BZ145" s="249" t="n">
        <f aca="false">BZ144+CF145</f>
        <v>144</v>
      </c>
      <c r="CA145" s="73" t="s">
        <v>821</v>
      </c>
      <c r="CB145" s="247" t="s">
        <v>199</v>
      </c>
      <c r="CC145" s="161" t="s">
        <v>196</v>
      </c>
      <c r="CD145" s="253" t="s">
        <v>197</v>
      </c>
      <c r="CE145" s="253"/>
      <c r="CF145" s="161" t="n">
        <v>1</v>
      </c>
      <c r="CG145" s="247" t="s">
        <v>822</v>
      </c>
      <c r="CH145" s="0"/>
    </row>
    <row r="146" customFormat="false" ht="12.75" hidden="false" customHeight="false" outlineLevel="0" collapsed="false">
      <c r="A146" s="286"/>
      <c r="B146" s="287" t="e">
        <f aca="false">NextMonth(B145)</f>
        <v>#VALUE!</v>
      </c>
      <c r="C146" s="239" t="n">
        <v>0.063267750706661</v>
      </c>
      <c r="D146" s="239" t="n">
        <v>1</v>
      </c>
      <c r="E146" s="239" t="n">
        <v>1</v>
      </c>
      <c r="F146" s="239" t="n">
        <v>0.1675</v>
      </c>
      <c r="G146" s="239" t="n">
        <v>0.175</v>
      </c>
      <c r="H146" s="239" t="n">
        <v>0.1825</v>
      </c>
      <c r="I146" s="262" t="n">
        <v>4.797</v>
      </c>
      <c r="J146" s="239" t="n">
        <v>4.802</v>
      </c>
      <c r="K146" s="239" t="n">
        <v>4.807</v>
      </c>
      <c r="L146" s="239" t="n">
        <v>-0.14</v>
      </c>
      <c r="M146" s="239" t="n">
        <v>-0.14</v>
      </c>
      <c r="O146" s="235"/>
      <c r="P146" s="288"/>
      <c r="Q146" s="288"/>
      <c r="R146" s="289" t="e">
        <f aca="false">B146</f>
        <v>#VALUE!</v>
      </c>
      <c r="S146" s="290" t="n">
        <f aca="false">T146-$S$16</f>
        <v>0.93</v>
      </c>
      <c r="T146" s="285" t="n">
        <f aca="false">D146</f>
        <v>1</v>
      </c>
      <c r="U146" s="291" t="n">
        <f aca="false">$U$16+T146</f>
        <v>1.07</v>
      </c>
      <c r="BP146" s="249" t="n">
        <f aca="false">BP145+BV146</f>
        <v>145</v>
      </c>
      <c r="BQ146" s="250" t="s">
        <v>823</v>
      </c>
      <c r="BR146" s="247" t="s">
        <v>195</v>
      </c>
      <c r="BS146" s="161" t="s">
        <v>324</v>
      </c>
      <c r="BT146" s="253" t="s">
        <v>197</v>
      </c>
      <c r="BU146" s="253"/>
      <c r="BV146" s="161" t="n">
        <v>1</v>
      </c>
      <c r="BW146" s="247" t="s">
        <v>824</v>
      </c>
      <c r="BX146" s="0"/>
      <c r="BZ146" s="249" t="n">
        <f aca="false">BZ145+CF146</f>
        <v>145</v>
      </c>
      <c r="CA146" s="73" t="s">
        <v>825</v>
      </c>
      <c r="CB146" s="247" t="s">
        <v>199</v>
      </c>
      <c r="CC146" s="161" t="s">
        <v>196</v>
      </c>
      <c r="CD146" s="253" t="s">
        <v>197</v>
      </c>
      <c r="CE146" s="253"/>
      <c r="CF146" s="161" t="n">
        <v>1</v>
      </c>
      <c r="CG146" s="247" t="s">
        <v>826</v>
      </c>
      <c r="CH146" s="0"/>
    </row>
    <row r="147" customFormat="false" ht="12.75" hidden="false" customHeight="false" outlineLevel="0" collapsed="false">
      <c r="A147" s="286"/>
      <c r="B147" s="287" t="e">
        <f aca="false">NextMonth(B146)</f>
        <v>#VALUE!</v>
      </c>
      <c r="C147" s="239" t="n">
        <v>0.0633035085127278</v>
      </c>
      <c r="D147" s="239" t="n">
        <v>0.75</v>
      </c>
      <c r="E147" s="239" t="n">
        <v>0.75</v>
      </c>
      <c r="F147" s="239" t="n">
        <v>0.1625</v>
      </c>
      <c r="G147" s="239" t="n">
        <v>0.17</v>
      </c>
      <c r="H147" s="239" t="n">
        <v>0.1775</v>
      </c>
      <c r="I147" s="262" t="n">
        <v>4.657</v>
      </c>
      <c r="J147" s="239" t="n">
        <v>4.662</v>
      </c>
      <c r="K147" s="239" t="n">
        <v>4.667</v>
      </c>
      <c r="L147" s="239" t="n">
        <v>-0.1425</v>
      </c>
      <c r="M147" s="239" t="n">
        <v>-0.1425</v>
      </c>
      <c r="O147" s="235"/>
      <c r="P147" s="288"/>
      <c r="Q147" s="288"/>
      <c r="R147" s="289" t="e">
        <f aca="false">B147</f>
        <v>#VALUE!</v>
      </c>
      <c r="S147" s="290" t="n">
        <f aca="false">T147-$S$16</f>
        <v>0.68</v>
      </c>
      <c r="T147" s="285" t="n">
        <f aca="false">D147</f>
        <v>0.75</v>
      </c>
      <c r="U147" s="291" t="n">
        <f aca="false">$U$16+T147</f>
        <v>0.82</v>
      </c>
      <c r="BP147" s="249" t="n">
        <f aca="false">BP146+BV147</f>
        <v>146</v>
      </c>
      <c r="BQ147" s="250" t="s">
        <v>827</v>
      </c>
      <c r="BR147" s="247" t="s">
        <v>195</v>
      </c>
      <c r="BS147" s="161" t="s">
        <v>324</v>
      </c>
      <c r="BT147" s="253" t="s">
        <v>197</v>
      </c>
      <c r="BU147" s="253"/>
      <c r="BV147" s="161" t="n">
        <v>1</v>
      </c>
      <c r="BW147" s="247" t="s">
        <v>828</v>
      </c>
      <c r="BX147" s="0"/>
      <c r="BZ147" s="249" t="n">
        <f aca="false">BZ146+CF147</f>
        <v>146</v>
      </c>
      <c r="CA147" s="73" t="s">
        <v>829</v>
      </c>
      <c r="CB147" s="247" t="s">
        <v>199</v>
      </c>
      <c r="CC147" s="161" t="s">
        <v>196</v>
      </c>
      <c r="CD147" s="253" t="s">
        <v>197</v>
      </c>
      <c r="CE147" s="253"/>
      <c r="CF147" s="161" t="n">
        <v>1</v>
      </c>
      <c r="CG147" s="247" t="s">
        <v>830</v>
      </c>
      <c r="CH147" s="0"/>
    </row>
    <row r="148" customFormat="false" ht="12.75" hidden="false" customHeight="false" outlineLevel="0" collapsed="false">
      <c r="A148" s="286"/>
      <c r="B148" s="287" t="e">
        <f aca="false">NextMonth(B147)</f>
        <v>#VALUE!</v>
      </c>
      <c r="C148" s="239" t="n">
        <v>0.0633417323748548</v>
      </c>
      <c r="D148" s="239" t="n">
        <v>0.4</v>
      </c>
      <c r="E148" s="239" t="n">
        <v>0.4</v>
      </c>
      <c r="F148" s="239" t="n">
        <v>0.1625</v>
      </c>
      <c r="G148" s="239" t="n">
        <v>0.17</v>
      </c>
      <c r="H148" s="239" t="n">
        <v>0.1775</v>
      </c>
      <c r="I148" s="262" t="n">
        <v>4.515</v>
      </c>
      <c r="J148" s="239" t="n">
        <v>4.52</v>
      </c>
      <c r="K148" s="239" t="n">
        <v>4.525</v>
      </c>
      <c r="L148" s="239" t="n">
        <v>-0.14</v>
      </c>
      <c r="M148" s="239" t="n">
        <v>-0.14</v>
      </c>
      <c r="O148" s="235"/>
      <c r="P148" s="288"/>
      <c r="Q148" s="288"/>
      <c r="R148" s="289" t="e">
        <f aca="false">B148</f>
        <v>#VALUE!</v>
      </c>
      <c r="S148" s="290" t="n">
        <f aca="false">T148-$S$16</f>
        <v>0.33</v>
      </c>
      <c r="T148" s="285" t="n">
        <f aca="false">D148</f>
        <v>0.4</v>
      </c>
      <c r="U148" s="291" t="n">
        <f aca="false">$U$16+T148</f>
        <v>0.47</v>
      </c>
      <c r="BP148" s="249" t="n">
        <f aca="false">BP147+BV148</f>
        <v>147</v>
      </c>
      <c r="BQ148" s="250" t="s">
        <v>831</v>
      </c>
      <c r="BR148" s="247" t="s">
        <v>195</v>
      </c>
      <c r="BS148" s="161" t="s">
        <v>324</v>
      </c>
      <c r="BT148" s="253" t="s">
        <v>197</v>
      </c>
      <c r="BU148" s="253"/>
      <c r="BV148" s="161" t="n">
        <v>1</v>
      </c>
      <c r="BW148" s="247" t="s">
        <v>832</v>
      </c>
      <c r="BX148" s="0"/>
      <c r="BZ148" s="249" t="n">
        <f aca="false">BZ147+CF148</f>
        <v>147</v>
      </c>
      <c r="CA148" s="73" t="s">
        <v>833</v>
      </c>
      <c r="CB148" s="247" t="s">
        <v>199</v>
      </c>
      <c r="CC148" s="161" t="s">
        <v>196</v>
      </c>
      <c r="CD148" s="253" t="s">
        <v>197</v>
      </c>
      <c r="CE148" s="253"/>
      <c r="CF148" s="161" t="n">
        <v>1</v>
      </c>
      <c r="CG148" s="247" t="s">
        <v>834</v>
      </c>
      <c r="CH148" s="0"/>
    </row>
    <row r="149" customFormat="false" ht="12.75" hidden="false" customHeight="false" outlineLevel="0" collapsed="false">
      <c r="A149" s="286"/>
      <c r="B149" s="287" t="e">
        <f aca="false">NextMonth(B148)</f>
        <v>#VALUE!</v>
      </c>
      <c r="C149" s="239" t="n">
        <v>0.0633787232096328</v>
      </c>
      <c r="D149" s="239" t="n">
        <v>0.4</v>
      </c>
      <c r="E149" s="239" t="n">
        <v>0.4</v>
      </c>
      <c r="F149" s="239" t="n">
        <v>0.1625</v>
      </c>
      <c r="G149" s="239" t="n">
        <v>0.17</v>
      </c>
      <c r="H149" s="239" t="n">
        <v>0.1775</v>
      </c>
      <c r="I149" s="262" t="n">
        <v>4.549</v>
      </c>
      <c r="J149" s="239" t="n">
        <v>4.554</v>
      </c>
      <c r="K149" s="239" t="n">
        <v>4.559</v>
      </c>
      <c r="L149" s="239" t="n">
        <v>-0.14</v>
      </c>
      <c r="M149" s="239" t="n">
        <v>-0.14</v>
      </c>
      <c r="O149" s="235"/>
      <c r="P149" s="288"/>
      <c r="Q149" s="288"/>
      <c r="R149" s="289" t="e">
        <f aca="false">B149</f>
        <v>#VALUE!</v>
      </c>
      <c r="S149" s="290" t="n">
        <f aca="false">T149-$S$16</f>
        <v>0.33</v>
      </c>
      <c r="T149" s="285" t="n">
        <f aca="false">D149</f>
        <v>0.4</v>
      </c>
      <c r="U149" s="291" t="n">
        <f aca="false">$U$16+T149</f>
        <v>0.47</v>
      </c>
      <c r="BP149" s="249" t="n">
        <f aca="false">BP148+BV149</f>
        <v>148</v>
      </c>
      <c r="BQ149" s="250" t="s">
        <v>835</v>
      </c>
      <c r="BR149" s="247" t="s">
        <v>195</v>
      </c>
      <c r="BS149" s="161" t="s">
        <v>324</v>
      </c>
      <c r="BT149" s="253" t="s">
        <v>197</v>
      </c>
      <c r="BU149" s="253"/>
      <c r="BV149" s="161" t="n">
        <v>1</v>
      </c>
      <c r="BW149" s="247" t="s">
        <v>836</v>
      </c>
      <c r="BX149" s="0"/>
      <c r="BZ149" s="249" t="n">
        <f aca="false">BZ148+CF149</f>
        <v>148</v>
      </c>
      <c r="CA149" s="73" t="s">
        <v>837</v>
      </c>
      <c r="CB149" s="247" t="s">
        <v>199</v>
      </c>
      <c r="CC149" s="161" t="s">
        <v>196</v>
      </c>
      <c r="CD149" s="253" t="s">
        <v>197</v>
      </c>
      <c r="CE149" s="253"/>
      <c r="CF149" s="161" t="n">
        <v>1</v>
      </c>
      <c r="CG149" s="247" t="s">
        <v>838</v>
      </c>
      <c r="CH149" s="0"/>
    </row>
    <row r="150" customFormat="false" ht="12.75" hidden="false" customHeight="false" outlineLevel="0" collapsed="false">
      <c r="A150" s="286"/>
      <c r="B150" s="287" t="e">
        <f aca="false">NextMonth(B149)</f>
        <v>#VALUE!</v>
      </c>
      <c r="C150" s="239" t="n">
        <v>0.0634169470727133</v>
      </c>
      <c r="D150" s="239" t="n">
        <v>0.4</v>
      </c>
      <c r="E150" s="239" t="n">
        <v>0.4</v>
      </c>
      <c r="F150" s="239" t="n">
        <v>0.1625</v>
      </c>
      <c r="G150" s="239" t="n">
        <v>0.17</v>
      </c>
      <c r="H150" s="239" t="n">
        <v>0.1775</v>
      </c>
      <c r="I150" s="262" t="n">
        <v>4.582</v>
      </c>
      <c r="J150" s="239" t="n">
        <v>4.587</v>
      </c>
      <c r="K150" s="239" t="n">
        <v>4.592</v>
      </c>
      <c r="L150" s="239" t="n">
        <v>-0.14</v>
      </c>
      <c r="M150" s="239" t="n">
        <v>-0.14</v>
      </c>
      <c r="O150" s="235"/>
      <c r="P150" s="288"/>
      <c r="Q150" s="288"/>
      <c r="R150" s="289" t="e">
        <f aca="false">B150</f>
        <v>#VALUE!</v>
      </c>
      <c r="S150" s="290" t="n">
        <f aca="false">T150-$S$16</f>
        <v>0.33</v>
      </c>
      <c r="T150" s="285" t="n">
        <f aca="false">D150</f>
        <v>0.4</v>
      </c>
      <c r="U150" s="291" t="n">
        <f aca="false">$U$16+T150</f>
        <v>0.47</v>
      </c>
      <c r="BP150" s="249" t="n">
        <f aca="false">BP149+BV150</f>
        <v>149</v>
      </c>
      <c r="BQ150" s="250" t="s">
        <v>839</v>
      </c>
      <c r="BR150" s="247" t="s">
        <v>195</v>
      </c>
      <c r="BS150" s="161" t="s">
        <v>324</v>
      </c>
      <c r="BT150" s="253" t="s">
        <v>197</v>
      </c>
      <c r="BU150" s="253"/>
      <c r="BV150" s="161" t="n">
        <v>1</v>
      </c>
      <c r="BW150" s="247" t="s">
        <v>840</v>
      </c>
      <c r="BX150" s="0"/>
      <c r="BZ150" s="249" t="n">
        <f aca="false">BZ149+CF150</f>
        <v>149</v>
      </c>
      <c r="CA150" s="73" t="s">
        <v>841</v>
      </c>
      <c r="CB150" s="247" t="s">
        <v>199</v>
      </c>
      <c r="CC150" s="161" t="s">
        <v>196</v>
      </c>
      <c r="CD150" s="253" t="s">
        <v>197</v>
      </c>
      <c r="CE150" s="253"/>
      <c r="CF150" s="161" t="n">
        <v>1</v>
      </c>
      <c r="CG150" s="247" t="s">
        <v>842</v>
      </c>
      <c r="CH150" s="0"/>
    </row>
    <row r="151" customFormat="false" ht="12.75" hidden="false" customHeight="false" outlineLevel="0" collapsed="false">
      <c r="A151" s="286"/>
      <c r="B151" s="287" t="e">
        <f aca="false">NextMonth(B150)</f>
        <v>#VALUE!</v>
      </c>
      <c r="C151" s="239" t="n">
        <v>0.063453937908414</v>
      </c>
      <c r="D151" s="239" t="n">
        <v>0.4</v>
      </c>
      <c r="E151" s="239" t="n">
        <v>0.4</v>
      </c>
      <c r="F151" s="239" t="n">
        <v>0.1625</v>
      </c>
      <c r="G151" s="239" t="n">
        <v>0.17</v>
      </c>
      <c r="H151" s="239" t="n">
        <v>0.1775</v>
      </c>
      <c r="I151" s="262" t="n">
        <v>4.627</v>
      </c>
      <c r="J151" s="239" t="n">
        <v>4.632</v>
      </c>
      <c r="K151" s="239" t="n">
        <v>4.637</v>
      </c>
      <c r="L151" s="239" t="n">
        <v>-0.14</v>
      </c>
      <c r="M151" s="239" t="n">
        <v>-0.14</v>
      </c>
      <c r="O151" s="235"/>
      <c r="P151" s="288"/>
      <c r="Q151" s="288"/>
      <c r="R151" s="289" t="e">
        <f aca="false">B151</f>
        <v>#VALUE!</v>
      </c>
      <c r="S151" s="290" t="n">
        <f aca="false">T151-$S$16</f>
        <v>0.33</v>
      </c>
      <c r="T151" s="285" t="n">
        <f aca="false">D151</f>
        <v>0.4</v>
      </c>
      <c r="U151" s="291" t="n">
        <f aca="false">$U$16+T151</f>
        <v>0.47</v>
      </c>
      <c r="BP151" s="249" t="n">
        <f aca="false">BP150+BV151</f>
        <v>150</v>
      </c>
      <c r="BQ151" s="250" t="s">
        <v>843</v>
      </c>
      <c r="BR151" s="247" t="s">
        <v>195</v>
      </c>
      <c r="BS151" s="161" t="s">
        <v>324</v>
      </c>
      <c r="BT151" s="253" t="s">
        <v>197</v>
      </c>
      <c r="BU151" s="253"/>
      <c r="BV151" s="161" t="n">
        <v>1</v>
      </c>
      <c r="BW151" s="247" t="s">
        <v>844</v>
      </c>
      <c r="BX151" s="0"/>
      <c r="BZ151" s="249" t="n">
        <f aca="false">BZ150+CF151</f>
        <v>150</v>
      </c>
      <c r="CA151" s="73" t="s">
        <v>845</v>
      </c>
      <c r="CB151" s="247" t="s">
        <v>199</v>
      </c>
      <c r="CC151" s="161" t="s">
        <v>196</v>
      </c>
      <c r="CD151" s="253" t="s">
        <v>197</v>
      </c>
      <c r="CE151" s="253"/>
      <c r="CF151" s="161" t="n">
        <v>1</v>
      </c>
      <c r="CG151" s="247" t="s">
        <v>846</v>
      </c>
      <c r="CH151" s="0"/>
    </row>
    <row r="152" customFormat="false" ht="12.75" hidden="false" customHeight="false" outlineLevel="0" collapsed="false">
      <c r="A152" s="286"/>
      <c r="B152" s="287" t="e">
        <f aca="false">NextMonth(B151)</f>
        <v>#VALUE!</v>
      </c>
      <c r="C152" s="239" t="n">
        <v>0.0634921617724484</v>
      </c>
      <c r="D152" s="239" t="n">
        <v>0.5</v>
      </c>
      <c r="E152" s="239" t="n">
        <v>0.5</v>
      </c>
      <c r="F152" s="239" t="n">
        <v>0.1625</v>
      </c>
      <c r="G152" s="239" t="n">
        <v>0.17</v>
      </c>
      <c r="H152" s="239" t="n">
        <v>0.1775</v>
      </c>
      <c r="I152" s="262" t="n">
        <v>4.662</v>
      </c>
      <c r="J152" s="239" t="n">
        <v>4.667</v>
      </c>
      <c r="K152" s="239" t="n">
        <v>4.672</v>
      </c>
      <c r="L152" s="239" t="n">
        <v>-0.14</v>
      </c>
      <c r="M152" s="239" t="n">
        <v>-0.14</v>
      </c>
      <c r="O152" s="235"/>
      <c r="P152" s="288"/>
      <c r="Q152" s="288"/>
      <c r="R152" s="289" t="e">
        <f aca="false">B152</f>
        <v>#VALUE!</v>
      </c>
      <c r="S152" s="290" t="n">
        <f aca="false">T152-$S$16</f>
        <v>0.43</v>
      </c>
      <c r="T152" s="285" t="n">
        <f aca="false">D152</f>
        <v>0.5</v>
      </c>
      <c r="U152" s="291" t="n">
        <f aca="false">$U$16+T152</f>
        <v>0.57</v>
      </c>
      <c r="BP152" s="249" t="n">
        <f aca="false">BP151+BV152</f>
        <v>151</v>
      </c>
      <c r="BQ152" s="250" t="s">
        <v>847</v>
      </c>
      <c r="BR152" s="247" t="s">
        <v>195</v>
      </c>
      <c r="BS152" s="161" t="s">
        <v>324</v>
      </c>
      <c r="BT152" s="253" t="s">
        <v>197</v>
      </c>
      <c r="BU152" s="253"/>
      <c r="BV152" s="161" t="n">
        <v>1</v>
      </c>
      <c r="BW152" s="247" t="s">
        <v>848</v>
      </c>
      <c r="BX152" s="0"/>
      <c r="BZ152" s="249" t="n">
        <f aca="false">BZ151+CF152</f>
        <v>151</v>
      </c>
      <c r="CA152" s="73" t="s">
        <v>849</v>
      </c>
      <c r="CB152" s="247" t="s">
        <v>199</v>
      </c>
      <c r="CC152" s="161" t="s">
        <v>196</v>
      </c>
      <c r="CD152" s="253" t="s">
        <v>197</v>
      </c>
      <c r="CE152" s="253"/>
      <c r="CF152" s="161" t="n">
        <v>1</v>
      </c>
      <c r="CG152" s="247" t="s">
        <v>850</v>
      </c>
      <c r="CH152" s="0"/>
    </row>
    <row r="153" customFormat="false" ht="12.75" hidden="false" customHeight="false" outlineLevel="0" collapsed="false">
      <c r="A153" s="286"/>
      <c r="B153" s="287" t="e">
        <f aca="false">NextMonth(B152)</f>
        <v>#VALUE!</v>
      </c>
      <c r="C153" s="239" t="n">
        <v>0.0635303856369673</v>
      </c>
      <c r="D153" s="239" t="n">
        <v>0.55</v>
      </c>
      <c r="E153" s="239" t="n">
        <v>0.55</v>
      </c>
      <c r="F153" s="239" t="n">
        <v>0.1625</v>
      </c>
      <c r="G153" s="239" t="n">
        <v>0.17</v>
      </c>
      <c r="H153" s="239" t="n">
        <v>0.1775</v>
      </c>
      <c r="I153" s="262" t="n">
        <v>4.667</v>
      </c>
      <c r="J153" s="239" t="n">
        <v>4.672</v>
      </c>
      <c r="K153" s="239" t="n">
        <v>4.677</v>
      </c>
      <c r="L153" s="239" t="n">
        <v>-0.14</v>
      </c>
      <c r="M153" s="239" t="n">
        <v>-0.14</v>
      </c>
      <c r="O153" s="235"/>
      <c r="P153" s="288"/>
      <c r="Q153" s="288"/>
      <c r="R153" s="289" t="e">
        <f aca="false">B153</f>
        <v>#VALUE!</v>
      </c>
      <c r="S153" s="290" t="n">
        <f aca="false">T153-$S$16</f>
        <v>0.48</v>
      </c>
      <c r="T153" s="285" t="n">
        <f aca="false">D153</f>
        <v>0.55</v>
      </c>
      <c r="U153" s="291" t="n">
        <f aca="false">$U$16+T153</f>
        <v>0.62</v>
      </c>
      <c r="BP153" s="249" t="n">
        <f aca="false">BP152+BV153</f>
        <v>152</v>
      </c>
      <c r="BQ153" s="250" t="s">
        <v>851</v>
      </c>
      <c r="BR153" s="247" t="s">
        <v>195</v>
      </c>
      <c r="BS153" s="161" t="s">
        <v>324</v>
      </c>
      <c r="BT153" s="253" t="s">
        <v>197</v>
      </c>
      <c r="BU153" s="253"/>
      <c r="BV153" s="161" t="n">
        <v>1</v>
      </c>
      <c r="BW153" s="247" t="s">
        <v>852</v>
      </c>
      <c r="BX153" s="0"/>
      <c r="BZ153" s="249" t="n">
        <f aca="false">BZ152+CF153</f>
        <v>152</v>
      </c>
      <c r="CA153" s="73" t="s">
        <v>853</v>
      </c>
      <c r="CB153" s="247" t="s">
        <v>199</v>
      </c>
      <c r="CC153" s="161" t="s">
        <v>196</v>
      </c>
      <c r="CD153" s="253" t="s">
        <v>197</v>
      </c>
      <c r="CE153" s="253"/>
      <c r="CF153" s="161" t="n">
        <v>1</v>
      </c>
      <c r="CG153" s="247" t="s">
        <v>854</v>
      </c>
      <c r="CH153" s="0"/>
    </row>
    <row r="154" customFormat="false" ht="12.75" hidden="false" customHeight="false" outlineLevel="0" collapsed="false">
      <c r="A154" s="286"/>
      <c r="B154" s="287" t="e">
        <f aca="false">NextMonth(B153)</f>
        <v>#VALUE!</v>
      </c>
      <c r="C154" s="239" t="n">
        <v>0.0635673764740599</v>
      </c>
      <c r="D154" s="239" t="n">
        <v>0.55</v>
      </c>
      <c r="E154" s="239" t="n">
        <v>0.55</v>
      </c>
      <c r="F154" s="239" t="n">
        <v>0.1625</v>
      </c>
      <c r="G154" s="239" t="n">
        <v>0.17</v>
      </c>
      <c r="H154" s="239" t="n">
        <v>0.1775</v>
      </c>
      <c r="I154" s="262" t="n">
        <v>4.692</v>
      </c>
      <c r="J154" s="239" t="n">
        <v>4.697</v>
      </c>
      <c r="K154" s="239" t="n">
        <v>4.702</v>
      </c>
      <c r="L154" s="239" t="n">
        <v>-0.14</v>
      </c>
      <c r="M154" s="239" t="n">
        <v>-0.14</v>
      </c>
      <c r="O154" s="235"/>
      <c r="P154" s="288"/>
      <c r="Q154" s="288"/>
      <c r="R154" s="289" t="e">
        <f aca="false">B154</f>
        <v>#VALUE!</v>
      </c>
      <c r="S154" s="290" t="n">
        <f aca="false">T154-$S$16</f>
        <v>0.48</v>
      </c>
      <c r="T154" s="285" t="n">
        <f aca="false">D154</f>
        <v>0.55</v>
      </c>
      <c r="U154" s="291" t="n">
        <f aca="false">$U$16+T154</f>
        <v>0.62</v>
      </c>
      <c r="BP154" s="249" t="n">
        <f aca="false">BP153+BV154</f>
        <v>153</v>
      </c>
      <c r="BQ154" s="250" t="s">
        <v>855</v>
      </c>
      <c r="BR154" s="247" t="s">
        <v>195</v>
      </c>
      <c r="BS154" s="161" t="s">
        <v>324</v>
      </c>
      <c r="BT154" s="253" t="s">
        <v>197</v>
      </c>
      <c r="BU154" s="253"/>
      <c r="BV154" s="161" t="n">
        <v>1</v>
      </c>
      <c r="BW154" s="247" t="s">
        <v>856</v>
      </c>
      <c r="BX154" s="0"/>
      <c r="BZ154" s="249" t="n">
        <f aca="false">BZ153+CF154</f>
        <v>153</v>
      </c>
      <c r="CA154" s="73" t="s">
        <v>857</v>
      </c>
      <c r="CB154" s="247" t="s">
        <v>199</v>
      </c>
      <c r="CC154" s="161" t="s">
        <v>196</v>
      </c>
      <c r="CD154" s="253" t="s">
        <v>197</v>
      </c>
      <c r="CE154" s="253"/>
      <c r="CF154" s="161" t="n">
        <v>1</v>
      </c>
      <c r="CG154" s="247" t="s">
        <v>858</v>
      </c>
      <c r="CH154" s="0"/>
    </row>
    <row r="155" customFormat="false" ht="12.75" hidden="false" customHeight="false" outlineLevel="0" collapsed="false">
      <c r="A155" s="286"/>
      <c r="B155" s="287" t="e">
        <f aca="false">NextMonth(B154)</f>
        <v>#VALUE!</v>
      </c>
      <c r="C155" s="239" t="n">
        <v>0.0636056003395322</v>
      </c>
      <c r="D155" s="239" t="n">
        <v>0.8</v>
      </c>
      <c r="E155" s="239" t="n">
        <v>0.8</v>
      </c>
      <c r="F155" s="239" t="n">
        <v>0.1625</v>
      </c>
      <c r="G155" s="239" t="n">
        <v>0.17</v>
      </c>
      <c r="H155" s="239" t="n">
        <v>0.1775</v>
      </c>
      <c r="I155" s="262" t="n">
        <v>4.802</v>
      </c>
      <c r="J155" s="239" t="n">
        <v>4.807</v>
      </c>
      <c r="K155" s="239" t="n">
        <v>4.812</v>
      </c>
      <c r="L155" s="239" t="n">
        <v>-0.1425</v>
      </c>
      <c r="M155" s="239" t="n">
        <v>-0.1425</v>
      </c>
      <c r="O155" s="235"/>
      <c r="P155" s="288"/>
      <c r="Q155" s="288"/>
      <c r="R155" s="289" t="e">
        <f aca="false">B155</f>
        <v>#VALUE!</v>
      </c>
      <c r="S155" s="290" t="n">
        <f aca="false">T155-$S$16</f>
        <v>0.73</v>
      </c>
      <c r="T155" s="285" t="n">
        <f aca="false">D155</f>
        <v>0.8</v>
      </c>
      <c r="U155" s="291" t="n">
        <f aca="false">$U$16+T155</f>
        <v>0.87</v>
      </c>
      <c r="BP155" s="249" t="n">
        <f aca="false">BP154+BV155</f>
        <v>154</v>
      </c>
      <c r="BQ155" s="250" t="s">
        <v>859</v>
      </c>
      <c r="BR155" s="247" t="s">
        <v>195</v>
      </c>
      <c r="BS155" s="161" t="s">
        <v>324</v>
      </c>
      <c r="BT155" s="253" t="s">
        <v>197</v>
      </c>
      <c r="BU155" s="253"/>
      <c r="BV155" s="161" t="n">
        <v>1</v>
      </c>
      <c r="BW155" s="247" t="s">
        <v>860</v>
      </c>
      <c r="BX155" s="0"/>
      <c r="BZ155" s="249" t="n">
        <f aca="false">BZ154+CF155</f>
        <v>154</v>
      </c>
      <c r="CA155" s="73" t="s">
        <v>861</v>
      </c>
      <c r="CB155" s="247" t="s">
        <v>199</v>
      </c>
      <c r="CC155" s="161" t="s">
        <v>196</v>
      </c>
      <c r="CD155" s="253" t="s">
        <v>197</v>
      </c>
      <c r="CE155" s="253"/>
      <c r="CF155" s="161" t="n">
        <v>1</v>
      </c>
      <c r="CG155" s="247" t="s">
        <v>862</v>
      </c>
      <c r="CH155" s="0"/>
    </row>
    <row r="156" customFormat="false" ht="12.75" hidden="false" customHeight="false" outlineLevel="0" collapsed="false">
      <c r="A156" s="286"/>
      <c r="B156" s="287" t="e">
        <f aca="false">NextMonth(B155)</f>
        <v>#VALUE!</v>
      </c>
      <c r="C156" s="239" t="n">
        <v>0.063642591177548</v>
      </c>
      <c r="D156" s="239" t="n">
        <v>1</v>
      </c>
      <c r="E156" s="239" t="n">
        <v>1</v>
      </c>
      <c r="F156" s="239" t="n">
        <v>0.1625</v>
      </c>
      <c r="G156" s="239" t="n">
        <v>0.17</v>
      </c>
      <c r="H156" s="239" t="n">
        <v>0.1775</v>
      </c>
      <c r="I156" s="262" t="n">
        <v>4.922</v>
      </c>
      <c r="J156" s="239" t="n">
        <v>4.927</v>
      </c>
      <c r="K156" s="239" t="n">
        <v>4.932</v>
      </c>
      <c r="L156" s="239" t="n">
        <v>-0.1375</v>
      </c>
      <c r="M156" s="239" t="n">
        <v>-0.1375</v>
      </c>
      <c r="O156" s="235"/>
      <c r="P156" s="288"/>
      <c r="Q156" s="288"/>
      <c r="R156" s="289" t="e">
        <f aca="false">B156</f>
        <v>#VALUE!</v>
      </c>
      <c r="S156" s="290" t="n">
        <f aca="false">T156-$S$16</f>
        <v>0.93</v>
      </c>
      <c r="T156" s="285" t="n">
        <f aca="false">D156</f>
        <v>1</v>
      </c>
      <c r="U156" s="291" t="n">
        <f aca="false">$U$16+T156</f>
        <v>1.07</v>
      </c>
      <c r="BP156" s="249" t="n">
        <f aca="false">BP155+BV156</f>
        <v>155</v>
      </c>
      <c r="BQ156" s="250" t="s">
        <v>863</v>
      </c>
      <c r="BR156" s="247" t="s">
        <v>195</v>
      </c>
      <c r="BS156" s="161" t="s">
        <v>324</v>
      </c>
      <c r="BT156" s="253" t="s">
        <v>197</v>
      </c>
      <c r="BU156" s="253"/>
      <c r="BV156" s="161" t="n">
        <v>1</v>
      </c>
      <c r="BW156" s="247" t="s">
        <v>864</v>
      </c>
      <c r="BX156" s="0"/>
      <c r="BZ156" s="249" t="n">
        <f aca="false">BZ155+CF156</f>
        <v>155</v>
      </c>
      <c r="CA156" s="73" t="s">
        <v>865</v>
      </c>
      <c r="CB156" s="247" t="s">
        <v>199</v>
      </c>
      <c r="CC156" s="161" t="s">
        <v>196</v>
      </c>
      <c r="CD156" s="253" t="s">
        <v>197</v>
      </c>
      <c r="CE156" s="253"/>
      <c r="CF156" s="161" t="n">
        <v>1</v>
      </c>
      <c r="CG156" s="247" t="s">
        <v>866</v>
      </c>
      <c r="CH156" s="0"/>
    </row>
    <row r="157" customFormat="false" ht="12.75" hidden="false" customHeight="false" outlineLevel="0" collapsed="false">
      <c r="A157" s="286"/>
      <c r="B157" s="287" t="e">
        <f aca="false">NextMonth(B156)</f>
        <v>#VALUE!</v>
      </c>
      <c r="C157" s="239" t="n">
        <v>0.0636808150439743</v>
      </c>
      <c r="D157" s="239" t="n">
        <v>1</v>
      </c>
      <c r="E157" s="239" t="n">
        <v>1</v>
      </c>
      <c r="F157" s="239" t="n">
        <v>0.1625</v>
      </c>
      <c r="G157" s="239" t="n">
        <v>0.17</v>
      </c>
      <c r="H157" s="239" t="n">
        <v>0.1775</v>
      </c>
      <c r="I157" s="262" t="n">
        <v>5.012</v>
      </c>
      <c r="J157" s="239" t="n">
        <v>5.017</v>
      </c>
      <c r="K157" s="239" t="n">
        <v>5.022</v>
      </c>
      <c r="L157" s="239" t="n">
        <v>-0.1375</v>
      </c>
      <c r="M157" s="239" t="n">
        <v>-0.1375</v>
      </c>
      <c r="O157" s="235"/>
      <c r="P157" s="288"/>
      <c r="Q157" s="288"/>
      <c r="R157" s="289" t="e">
        <f aca="false">B157</f>
        <v>#VALUE!</v>
      </c>
      <c r="S157" s="290" t="n">
        <f aca="false">T157-$S$16</f>
        <v>0.93</v>
      </c>
      <c r="T157" s="285" t="n">
        <f aca="false">D157</f>
        <v>1</v>
      </c>
      <c r="U157" s="291" t="n">
        <f aca="false">$U$16+T157</f>
        <v>1.07</v>
      </c>
      <c r="BP157" s="249" t="n">
        <f aca="false">BP156+BV157</f>
        <v>156</v>
      </c>
      <c r="BQ157" s="250" t="s">
        <v>867</v>
      </c>
      <c r="BR157" s="247" t="s">
        <v>195</v>
      </c>
      <c r="BS157" s="161" t="s">
        <v>324</v>
      </c>
      <c r="BT157" s="253" t="s">
        <v>197</v>
      </c>
      <c r="BU157" s="253"/>
      <c r="BV157" s="161" t="n">
        <v>1</v>
      </c>
      <c r="BW157" s="247" t="s">
        <v>868</v>
      </c>
      <c r="BX157" s="0"/>
      <c r="BZ157" s="249" t="n">
        <f aca="false">BZ156+CF157</f>
        <v>156</v>
      </c>
      <c r="CA157" s="73" t="s">
        <v>869</v>
      </c>
      <c r="CB157" s="247" t="s">
        <v>199</v>
      </c>
      <c r="CC157" s="161" t="s">
        <v>196</v>
      </c>
      <c r="CD157" s="253" t="s">
        <v>197</v>
      </c>
      <c r="CE157" s="253"/>
      <c r="CF157" s="161" t="n">
        <v>1</v>
      </c>
      <c r="CG157" s="247" t="s">
        <v>870</v>
      </c>
      <c r="CH157" s="0"/>
    </row>
    <row r="158" customFormat="false" ht="12.75" hidden="false" customHeight="false" outlineLevel="0" collapsed="false">
      <c r="A158" s="286"/>
      <c r="B158" s="287" t="e">
        <f aca="false">NextMonth(B157)</f>
        <v>#VALUE!</v>
      </c>
      <c r="C158" s="239" t="n">
        <v>0.0637190389108846</v>
      </c>
      <c r="D158" s="239" t="n">
        <v>1</v>
      </c>
      <c r="E158" s="239" t="n">
        <v>1</v>
      </c>
      <c r="F158" s="239" t="n">
        <v>0.1625</v>
      </c>
      <c r="G158" s="239" t="n">
        <v>0.17</v>
      </c>
      <c r="H158" s="239" t="n">
        <v>0.1775</v>
      </c>
      <c r="I158" s="262" t="n">
        <v>4.892</v>
      </c>
      <c r="J158" s="239" t="n">
        <v>4.897</v>
      </c>
      <c r="K158" s="239" t="n">
        <v>4.902</v>
      </c>
      <c r="L158" s="239" t="n">
        <v>-0.14</v>
      </c>
      <c r="M158" s="239" t="n">
        <v>-0.14</v>
      </c>
      <c r="O158" s="235"/>
      <c r="P158" s="288"/>
      <c r="Q158" s="288"/>
      <c r="R158" s="289" t="e">
        <f aca="false">B158</f>
        <v>#VALUE!</v>
      </c>
      <c r="S158" s="290" t="n">
        <f aca="false">T158-$S$16</f>
        <v>0.93</v>
      </c>
      <c r="T158" s="285" t="n">
        <f aca="false">D158</f>
        <v>1</v>
      </c>
      <c r="U158" s="291" t="n">
        <f aca="false">$U$16+T158</f>
        <v>1.07</v>
      </c>
      <c r="BP158" s="249" t="n">
        <f aca="false">BP157+BV158</f>
        <v>157</v>
      </c>
      <c r="BQ158" s="250" t="s">
        <v>871</v>
      </c>
      <c r="BR158" s="247" t="s">
        <v>195</v>
      </c>
      <c r="BS158" s="161" t="s">
        <v>324</v>
      </c>
      <c r="BT158" s="253" t="s">
        <v>197</v>
      </c>
      <c r="BU158" s="253"/>
      <c r="BV158" s="161" t="n">
        <v>1</v>
      </c>
      <c r="BW158" s="247" t="s">
        <v>872</v>
      </c>
      <c r="BX158" s="0"/>
      <c r="BZ158" s="249" t="n">
        <f aca="false">BZ157+CF158</f>
        <v>157</v>
      </c>
      <c r="CA158" s="73" t="s">
        <v>873</v>
      </c>
      <c r="CB158" s="247" t="s">
        <v>199</v>
      </c>
      <c r="CC158" s="161" t="s">
        <v>196</v>
      </c>
      <c r="CD158" s="253" t="s">
        <v>197</v>
      </c>
      <c r="CE158" s="253"/>
      <c r="CF158" s="161" t="n">
        <v>1</v>
      </c>
      <c r="CG158" s="247" t="s">
        <v>874</v>
      </c>
      <c r="CH158" s="0"/>
    </row>
    <row r="159" customFormat="false" ht="12.75" hidden="false" customHeight="false" outlineLevel="0" collapsed="false">
      <c r="A159" s="286"/>
      <c r="B159" s="287" t="e">
        <f aca="false">NextMonth(B158)</f>
        <v>#VALUE!</v>
      </c>
      <c r="C159" s="239" t="n">
        <v>0.0637535636943176</v>
      </c>
      <c r="D159" s="239" t="n">
        <v>0.75</v>
      </c>
      <c r="E159" s="239" t="n">
        <v>0.75</v>
      </c>
      <c r="F159" s="239" t="n">
        <v>0.1625</v>
      </c>
      <c r="G159" s="239" t="n">
        <v>0.17</v>
      </c>
      <c r="H159" s="239" t="n">
        <v>0.1775</v>
      </c>
      <c r="I159" s="262" t="n">
        <v>4.752</v>
      </c>
      <c r="J159" s="239" t="n">
        <v>4.757</v>
      </c>
      <c r="K159" s="239" t="n">
        <v>4.762</v>
      </c>
      <c r="L159" s="239" t="n">
        <v>-0.1425</v>
      </c>
      <c r="M159" s="239" t="n">
        <v>-0.1425</v>
      </c>
      <c r="O159" s="235"/>
      <c r="P159" s="288"/>
      <c r="Q159" s="288"/>
      <c r="R159" s="289" t="e">
        <f aca="false">B159</f>
        <v>#VALUE!</v>
      </c>
      <c r="S159" s="290" t="n">
        <f aca="false">T159-$S$16</f>
        <v>0.68</v>
      </c>
      <c r="T159" s="285" t="n">
        <f aca="false">D159</f>
        <v>0.75</v>
      </c>
      <c r="U159" s="291" t="n">
        <f aca="false">$U$16+T159</f>
        <v>0.82</v>
      </c>
      <c r="BP159" s="249" t="n">
        <f aca="false">BP158+BV159</f>
        <v>158</v>
      </c>
      <c r="BQ159" s="250" t="s">
        <v>875</v>
      </c>
      <c r="BR159" s="247" t="s">
        <v>195</v>
      </c>
      <c r="BS159" s="161" t="s">
        <v>324</v>
      </c>
      <c r="BT159" s="253" t="s">
        <v>197</v>
      </c>
      <c r="BU159" s="253"/>
      <c r="BV159" s="161" t="n">
        <v>1</v>
      </c>
      <c r="BW159" s="247" t="s">
        <v>876</v>
      </c>
      <c r="BX159" s="0"/>
      <c r="BZ159" s="249" t="n">
        <f aca="false">BZ158+CF159</f>
        <v>158</v>
      </c>
      <c r="CA159" s="73" t="s">
        <v>877</v>
      </c>
      <c r="CB159" s="247" t="s">
        <v>199</v>
      </c>
      <c r="CC159" s="161" t="s">
        <v>196</v>
      </c>
      <c r="CD159" s="253" t="s">
        <v>197</v>
      </c>
      <c r="CE159" s="253"/>
      <c r="CF159" s="161" t="n">
        <v>1</v>
      </c>
      <c r="CG159" s="247" t="s">
        <v>878</v>
      </c>
      <c r="CH159" s="0"/>
    </row>
    <row r="160" customFormat="false" ht="12.75" hidden="false" customHeight="false" outlineLevel="0" collapsed="false">
      <c r="A160" s="286"/>
      <c r="B160" s="287" t="e">
        <f aca="false">NextMonth(B159)</f>
        <v>#VALUE!</v>
      </c>
      <c r="C160" s="239" t="n">
        <v>0.0637917875621503</v>
      </c>
      <c r="D160" s="239" t="n">
        <v>0.4</v>
      </c>
      <c r="E160" s="239" t="n">
        <v>0.4</v>
      </c>
      <c r="F160" s="239" t="n">
        <v>0.1625</v>
      </c>
      <c r="G160" s="239" t="n">
        <v>0.17</v>
      </c>
      <c r="H160" s="239" t="n">
        <v>0.1775</v>
      </c>
      <c r="I160" s="262" t="n">
        <v>4.61</v>
      </c>
      <c r="J160" s="239" t="n">
        <v>4.615</v>
      </c>
      <c r="K160" s="239" t="n">
        <v>4.62</v>
      </c>
      <c r="L160" s="239" t="n">
        <v>-0.14</v>
      </c>
      <c r="M160" s="239" t="n">
        <v>-0.14</v>
      </c>
      <c r="O160" s="235"/>
      <c r="P160" s="288"/>
      <c r="Q160" s="288"/>
      <c r="R160" s="289" t="e">
        <f aca="false">B160</f>
        <v>#VALUE!</v>
      </c>
      <c r="S160" s="290" t="n">
        <f aca="false">T160-$S$16</f>
        <v>0.33</v>
      </c>
      <c r="T160" s="285" t="n">
        <f aca="false">D160</f>
        <v>0.4</v>
      </c>
      <c r="U160" s="291" t="n">
        <f aca="false">$U$16+T160</f>
        <v>0.47</v>
      </c>
      <c r="BP160" s="249" t="n">
        <f aca="false">BP159+BV160</f>
        <v>159</v>
      </c>
      <c r="BQ160" s="250" t="s">
        <v>879</v>
      </c>
      <c r="BR160" s="247" t="s">
        <v>195</v>
      </c>
      <c r="BS160" s="161" t="s">
        <v>324</v>
      </c>
      <c r="BT160" s="253" t="s">
        <v>197</v>
      </c>
      <c r="BU160" s="253"/>
      <c r="BV160" s="161" t="n">
        <v>1</v>
      </c>
      <c r="BW160" s="247" t="s">
        <v>880</v>
      </c>
      <c r="BX160" s="0"/>
      <c r="BZ160" s="249" t="n">
        <f aca="false">BZ159+CF160</f>
        <v>159</v>
      </c>
      <c r="CA160" s="73" t="s">
        <v>881</v>
      </c>
      <c r="CB160" s="247" t="s">
        <v>199</v>
      </c>
      <c r="CC160" s="161" t="s">
        <v>196</v>
      </c>
      <c r="CD160" s="253" t="s">
        <v>197</v>
      </c>
      <c r="CE160" s="253"/>
      <c r="CF160" s="161" t="n">
        <v>1</v>
      </c>
      <c r="CG160" s="247" t="s">
        <v>882</v>
      </c>
      <c r="CH160" s="0"/>
    </row>
    <row r="161" customFormat="false" ht="12.75" hidden="false" customHeight="false" outlineLevel="0" collapsed="false">
      <c r="A161" s="286"/>
      <c r="B161" s="287" t="e">
        <f aca="false">NextMonth(B160)</f>
        <v>#VALUE!</v>
      </c>
      <c r="C161" s="239" t="n">
        <v>0.0638287784024496</v>
      </c>
      <c r="D161" s="239" t="n">
        <v>0.4</v>
      </c>
      <c r="E161" s="239" t="n">
        <v>0.4</v>
      </c>
      <c r="F161" s="239" t="n">
        <v>0.1625</v>
      </c>
      <c r="G161" s="239" t="n">
        <v>0.17</v>
      </c>
      <c r="H161" s="239" t="n">
        <v>0.1775</v>
      </c>
      <c r="I161" s="262" t="n">
        <v>4.644</v>
      </c>
      <c r="J161" s="239" t="n">
        <v>4.649</v>
      </c>
      <c r="K161" s="239" t="n">
        <v>4.654</v>
      </c>
      <c r="L161" s="239" t="n">
        <v>-0.14</v>
      </c>
      <c r="M161" s="239" t="n">
        <v>-0.14</v>
      </c>
      <c r="O161" s="235"/>
      <c r="P161" s="288"/>
      <c r="Q161" s="288"/>
      <c r="R161" s="289" t="e">
        <f aca="false">B161</f>
        <v>#VALUE!</v>
      </c>
      <c r="S161" s="290" t="n">
        <f aca="false">T161-$S$16</f>
        <v>0.33</v>
      </c>
      <c r="T161" s="285" t="n">
        <f aca="false">D161</f>
        <v>0.4</v>
      </c>
      <c r="U161" s="291" t="n">
        <f aca="false">$U$16+T161</f>
        <v>0.47</v>
      </c>
      <c r="BP161" s="249" t="n">
        <f aca="false">BP160+BV161</f>
        <v>160</v>
      </c>
      <c r="BQ161" s="250" t="s">
        <v>883</v>
      </c>
      <c r="BR161" s="247" t="s">
        <v>195</v>
      </c>
      <c r="BS161" s="161" t="s">
        <v>324</v>
      </c>
      <c r="BT161" s="253" t="s">
        <v>197</v>
      </c>
      <c r="BU161" s="253"/>
      <c r="BV161" s="161" t="n">
        <v>1</v>
      </c>
      <c r="BW161" s="247" t="s">
        <v>884</v>
      </c>
      <c r="BX161" s="0"/>
      <c r="BZ161" s="249" t="n">
        <f aca="false">BZ160+CF161</f>
        <v>160</v>
      </c>
      <c r="CA161" s="73" t="s">
        <v>885</v>
      </c>
      <c r="CB161" s="247" t="s">
        <v>199</v>
      </c>
      <c r="CC161" s="161" t="s">
        <v>196</v>
      </c>
      <c r="CD161" s="253" t="s">
        <v>197</v>
      </c>
      <c r="CE161" s="253"/>
      <c r="CF161" s="161" t="n">
        <v>1</v>
      </c>
      <c r="CG161" s="247" t="s">
        <v>886</v>
      </c>
      <c r="CH161" s="0"/>
    </row>
    <row r="162" customFormat="false" ht="12.75" hidden="false" customHeight="false" outlineLevel="0" collapsed="false">
      <c r="A162" s="286"/>
      <c r="B162" s="287" t="e">
        <f aca="false">NextMonth(B161)</f>
        <v>#VALUE!</v>
      </c>
      <c r="C162" s="239" t="n">
        <v>0.0638670022712362</v>
      </c>
      <c r="D162" s="239" t="n">
        <v>0.4</v>
      </c>
      <c r="E162" s="239" t="n">
        <v>0.4</v>
      </c>
      <c r="F162" s="239" t="n">
        <v>0.1625</v>
      </c>
      <c r="G162" s="239" t="n">
        <v>0.17</v>
      </c>
      <c r="H162" s="239" t="n">
        <v>0.1775</v>
      </c>
      <c r="I162" s="262" t="n">
        <v>4.677</v>
      </c>
      <c r="J162" s="239" t="n">
        <v>4.682</v>
      </c>
      <c r="K162" s="239" t="n">
        <v>4.687</v>
      </c>
      <c r="L162" s="239" t="n">
        <v>-0.14</v>
      </c>
      <c r="M162" s="239" t="n">
        <v>-0.14</v>
      </c>
      <c r="O162" s="235"/>
      <c r="P162" s="288"/>
      <c r="Q162" s="288"/>
      <c r="R162" s="289" t="e">
        <f aca="false">B162</f>
        <v>#VALUE!</v>
      </c>
      <c r="S162" s="290" t="n">
        <f aca="false">T162-$S$16</f>
        <v>0.33</v>
      </c>
      <c r="T162" s="285" t="n">
        <f aca="false">D162</f>
        <v>0.4</v>
      </c>
      <c r="U162" s="291" t="n">
        <f aca="false">$U$16+T162</f>
        <v>0.47</v>
      </c>
      <c r="BP162" s="249" t="n">
        <f aca="false">BP161+BV162</f>
        <v>161</v>
      </c>
      <c r="BQ162" s="250" t="s">
        <v>887</v>
      </c>
      <c r="BR162" s="247" t="s">
        <v>195</v>
      </c>
      <c r="BS162" s="161" t="s">
        <v>324</v>
      </c>
      <c r="BT162" s="253" t="s">
        <v>197</v>
      </c>
      <c r="BU162" s="253"/>
      <c r="BV162" s="161" t="n">
        <v>1</v>
      </c>
      <c r="BW162" s="247" t="s">
        <v>888</v>
      </c>
      <c r="BX162" s="0"/>
      <c r="BZ162" s="249" t="n">
        <f aca="false">BZ161+CF162</f>
        <v>161</v>
      </c>
      <c r="CA162" s="73" t="s">
        <v>889</v>
      </c>
      <c r="CB162" s="247" t="s">
        <v>199</v>
      </c>
      <c r="CC162" s="161" t="s">
        <v>196</v>
      </c>
      <c r="CD162" s="253" t="s">
        <v>197</v>
      </c>
      <c r="CE162" s="253"/>
      <c r="CF162" s="161" t="n">
        <v>1</v>
      </c>
      <c r="CG162" s="247" t="s">
        <v>890</v>
      </c>
      <c r="CH162" s="0"/>
    </row>
    <row r="163" customFormat="false" ht="12.75" hidden="false" customHeight="false" outlineLevel="0" collapsed="false">
      <c r="A163" s="286"/>
      <c r="B163" s="287" t="e">
        <f aca="false">NextMonth(B162)</f>
        <v>#VALUE!</v>
      </c>
      <c r="C163" s="239" t="n">
        <v>0.0639039931124588</v>
      </c>
      <c r="D163" s="239" t="n">
        <v>0.4</v>
      </c>
      <c r="E163" s="239" t="n">
        <v>0.4</v>
      </c>
      <c r="F163" s="239" t="n">
        <v>0.1625</v>
      </c>
      <c r="G163" s="239" t="n">
        <v>0.17</v>
      </c>
      <c r="H163" s="239" t="n">
        <v>0.1775</v>
      </c>
      <c r="I163" s="262" t="n">
        <v>4.722</v>
      </c>
      <c r="J163" s="239" t="n">
        <v>4.727</v>
      </c>
      <c r="K163" s="239" t="n">
        <v>4.732</v>
      </c>
      <c r="L163" s="239" t="n">
        <v>-0.14</v>
      </c>
      <c r="M163" s="239" t="n">
        <v>-0.14</v>
      </c>
      <c r="O163" s="235"/>
      <c r="P163" s="288"/>
      <c r="Q163" s="288"/>
      <c r="R163" s="289" t="e">
        <f aca="false">B163</f>
        <v>#VALUE!</v>
      </c>
      <c r="S163" s="290" t="n">
        <f aca="false">T163-$S$16</f>
        <v>0.33</v>
      </c>
      <c r="T163" s="285" t="n">
        <f aca="false">D163</f>
        <v>0.4</v>
      </c>
      <c r="U163" s="291" t="n">
        <f aca="false">$U$16+T163</f>
        <v>0.47</v>
      </c>
      <c r="BP163" s="249" t="n">
        <f aca="false">BP162+BV163</f>
        <v>162</v>
      </c>
      <c r="BQ163" s="250" t="s">
        <v>891</v>
      </c>
      <c r="BR163" s="247" t="s">
        <v>195</v>
      </c>
      <c r="BS163" s="161" t="s">
        <v>324</v>
      </c>
      <c r="BT163" s="253" t="s">
        <v>197</v>
      </c>
      <c r="BU163" s="253"/>
      <c r="BV163" s="161" t="n">
        <v>1</v>
      </c>
      <c r="BW163" s="247" t="s">
        <v>892</v>
      </c>
      <c r="BX163" s="0"/>
      <c r="BZ163" s="249" t="n">
        <f aca="false">BZ162+CF163</f>
        <v>162</v>
      </c>
      <c r="CA163" s="73" t="s">
        <v>893</v>
      </c>
      <c r="CB163" s="247" t="s">
        <v>199</v>
      </c>
      <c r="CC163" s="161" t="s">
        <v>196</v>
      </c>
      <c r="CD163" s="253" t="s">
        <v>197</v>
      </c>
      <c r="CE163" s="253"/>
      <c r="CF163" s="161" t="n">
        <v>1</v>
      </c>
      <c r="CG163" s="247" t="s">
        <v>894</v>
      </c>
      <c r="CH163" s="0"/>
    </row>
    <row r="164" customFormat="false" ht="12.75" hidden="false" customHeight="false" outlineLevel="0" collapsed="false">
      <c r="A164" s="286"/>
      <c r="B164" s="287" t="e">
        <f aca="false">NextMonth(B163)</f>
        <v>#VALUE!</v>
      </c>
      <c r="C164" s="239" t="n">
        <v>0.0639422169821988</v>
      </c>
      <c r="D164" s="239" t="n">
        <v>0.5</v>
      </c>
      <c r="E164" s="239" t="n">
        <v>0.5</v>
      </c>
      <c r="F164" s="239" t="n">
        <v>0.1625</v>
      </c>
      <c r="G164" s="239" t="n">
        <v>0.17</v>
      </c>
      <c r="H164" s="239" t="n">
        <v>0.1775</v>
      </c>
      <c r="I164" s="262" t="n">
        <v>4.757</v>
      </c>
      <c r="J164" s="239" t="n">
        <v>4.762</v>
      </c>
      <c r="K164" s="239" t="n">
        <v>4.767</v>
      </c>
      <c r="L164" s="239" t="n">
        <v>-0.14</v>
      </c>
      <c r="M164" s="239" t="n">
        <v>-0.14</v>
      </c>
      <c r="O164" s="235"/>
      <c r="P164" s="288"/>
      <c r="Q164" s="288"/>
      <c r="R164" s="289" t="e">
        <f aca="false">B164</f>
        <v>#VALUE!</v>
      </c>
      <c r="S164" s="290" t="n">
        <f aca="false">T164-$S$16</f>
        <v>0.43</v>
      </c>
      <c r="T164" s="285" t="n">
        <f aca="false">D164</f>
        <v>0.5</v>
      </c>
      <c r="U164" s="291" t="n">
        <f aca="false">$U$16+T164</f>
        <v>0.57</v>
      </c>
      <c r="BP164" s="249" t="n">
        <f aca="false">BP163+BV164</f>
        <v>163</v>
      </c>
      <c r="BQ164" s="250" t="s">
        <v>895</v>
      </c>
      <c r="BR164" s="247" t="s">
        <v>195</v>
      </c>
      <c r="BS164" s="161" t="s">
        <v>324</v>
      </c>
      <c r="BT164" s="253" t="s">
        <v>197</v>
      </c>
      <c r="BU164" s="253"/>
      <c r="BV164" s="161" t="n">
        <v>1</v>
      </c>
      <c r="BW164" s="247" t="s">
        <v>896</v>
      </c>
      <c r="BX164" s="0"/>
      <c r="BZ164" s="249" t="n">
        <f aca="false">BZ163+CF164</f>
        <v>163</v>
      </c>
      <c r="CA164" s="73" t="s">
        <v>897</v>
      </c>
      <c r="CB164" s="247" t="s">
        <v>199</v>
      </c>
      <c r="CC164" s="161" t="s">
        <v>196</v>
      </c>
      <c r="CD164" s="253" t="s">
        <v>197</v>
      </c>
      <c r="CE164" s="253"/>
      <c r="CF164" s="161" t="n">
        <v>1</v>
      </c>
      <c r="CG164" s="247" t="s">
        <v>898</v>
      </c>
      <c r="CH164" s="0"/>
    </row>
    <row r="165" customFormat="false" ht="12.75" hidden="false" customHeight="false" outlineLevel="0" collapsed="false">
      <c r="A165" s="286"/>
      <c r="B165" s="287" t="e">
        <f aca="false">NextMonth(B164)</f>
        <v>#VALUE!</v>
      </c>
      <c r="C165" s="239" t="n">
        <v>0.0639804408524229</v>
      </c>
      <c r="D165" s="239" t="n">
        <v>0.55</v>
      </c>
      <c r="E165" s="239" t="n">
        <v>0.55</v>
      </c>
      <c r="F165" s="239" t="n">
        <v>0.1625</v>
      </c>
      <c r="G165" s="239" t="n">
        <v>0.17</v>
      </c>
      <c r="H165" s="239" t="n">
        <v>0.1775</v>
      </c>
      <c r="I165" s="262" t="n">
        <v>4.762</v>
      </c>
      <c r="J165" s="239" t="n">
        <v>4.767</v>
      </c>
      <c r="K165" s="239" t="n">
        <v>4.772</v>
      </c>
      <c r="L165" s="239" t="n">
        <v>-0.14</v>
      </c>
      <c r="M165" s="239" t="n">
        <v>-0.14</v>
      </c>
      <c r="O165" s="235"/>
      <c r="P165" s="288"/>
      <c r="Q165" s="288"/>
      <c r="R165" s="289" t="e">
        <f aca="false">B165</f>
        <v>#VALUE!</v>
      </c>
      <c r="S165" s="290" t="n">
        <f aca="false">T165-$S$16</f>
        <v>0.48</v>
      </c>
      <c r="T165" s="285" t="n">
        <f aca="false">D165</f>
        <v>0.55</v>
      </c>
      <c r="U165" s="291" t="n">
        <f aca="false">$U$16+T165</f>
        <v>0.62</v>
      </c>
      <c r="BP165" s="249" t="n">
        <f aca="false">BP164+BV165</f>
        <v>164</v>
      </c>
      <c r="BQ165" s="250" t="s">
        <v>899</v>
      </c>
      <c r="BR165" s="247" t="s">
        <v>195</v>
      </c>
      <c r="BS165" s="161" t="s">
        <v>324</v>
      </c>
      <c r="BT165" s="253" t="s">
        <v>197</v>
      </c>
      <c r="BU165" s="253"/>
      <c r="BV165" s="161" t="n">
        <v>1</v>
      </c>
      <c r="BW165" s="247" t="s">
        <v>900</v>
      </c>
      <c r="BX165" s="0"/>
      <c r="BZ165" s="249" t="n">
        <f aca="false">BZ164+CF165</f>
        <v>164</v>
      </c>
      <c r="CA165" s="73" t="s">
        <v>901</v>
      </c>
      <c r="CB165" s="247" t="s">
        <v>199</v>
      </c>
      <c r="CC165" s="161" t="s">
        <v>196</v>
      </c>
      <c r="CD165" s="253" t="s">
        <v>197</v>
      </c>
      <c r="CE165" s="253"/>
      <c r="CF165" s="161" t="n">
        <v>1</v>
      </c>
      <c r="CG165" s="247" t="s">
        <v>902</v>
      </c>
      <c r="CH165" s="0"/>
    </row>
    <row r="166" customFormat="false" ht="12.75" hidden="false" customHeight="false" outlineLevel="0" collapsed="false">
      <c r="A166" s="286"/>
      <c r="B166" s="287" t="e">
        <f aca="false">NextMonth(B165)</f>
        <v>#VALUE!</v>
      </c>
      <c r="C166" s="239" t="n">
        <v>0.0640174316950368</v>
      </c>
      <c r="D166" s="239" t="n">
        <v>0.55</v>
      </c>
      <c r="E166" s="239" t="n">
        <v>0.55</v>
      </c>
      <c r="F166" s="239" t="n">
        <v>0.1625</v>
      </c>
      <c r="G166" s="239" t="n">
        <v>0.17</v>
      </c>
      <c r="H166" s="239" t="n">
        <v>0.1775</v>
      </c>
      <c r="I166" s="262" t="n">
        <v>4.787</v>
      </c>
      <c r="J166" s="239" t="n">
        <v>4.792</v>
      </c>
      <c r="K166" s="239" t="n">
        <v>4.797</v>
      </c>
      <c r="L166" s="239" t="n">
        <v>-0.14</v>
      </c>
      <c r="M166" s="239" t="n">
        <v>-0.14</v>
      </c>
      <c r="O166" s="235"/>
      <c r="P166" s="288"/>
      <c r="Q166" s="288"/>
      <c r="R166" s="289" t="e">
        <f aca="false">B166</f>
        <v>#VALUE!</v>
      </c>
      <c r="S166" s="290" t="n">
        <f aca="false">T166-$S$16</f>
        <v>0.48</v>
      </c>
      <c r="T166" s="285" t="n">
        <f aca="false">D166</f>
        <v>0.55</v>
      </c>
      <c r="U166" s="291" t="n">
        <f aca="false">$U$16+T166</f>
        <v>0.62</v>
      </c>
      <c r="BP166" s="249" t="n">
        <f aca="false">BP165+BV166</f>
        <v>165</v>
      </c>
      <c r="BQ166" s="250" t="s">
        <v>903</v>
      </c>
      <c r="BR166" s="247" t="s">
        <v>195</v>
      </c>
      <c r="BS166" s="161" t="s">
        <v>324</v>
      </c>
      <c r="BT166" s="253" t="s">
        <v>197</v>
      </c>
      <c r="BU166" s="253"/>
      <c r="BV166" s="161" t="n">
        <v>1</v>
      </c>
      <c r="BW166" s="247" t="s">
        <v>904</v>
      </c>
      <c r="BX166" s="0"/>
      <c r="BZ166" s="249" t="n">
        <f aca="false">BZ165+CF166</f>
        <v>165</v>
      </c>
      <c r="CA166" s="73" t="s">
        <v>905</v>
      </c>
      <c r="CB166" s="247" t="s">
        <v>199</v>
      </c>
      <c r="CC166" s="161" t="s">
        <v>196</v>
      </c>
      <c r="CD166" s="253" t="s">
        <v>197</v>
      </c>
      <c r="CE166" s="253"/>
      <c r="CF166" s="161" t="n">
        <v>1</v>
      </c>
      <c r="CG166" s="247" t="s">
        <v>906</v>
      </c>
      <c r="CH166" s="0"/>
    </row>
    <row r="167" customFormat="false" ht="12.75" hidden="false" customHeight="false" outlineLevel="0" collapsed="false">
      <c r="A167" s="286"/>
      <c r="B167" s="287" t="e">
        <f aca="false">NextMonth(B166)</f>
        <v>#VALUE!</v>
      </c>
      <c r="C167" s="239" t="n">
        <v>0.0640556555662148</v>
      </c>
      <c r="D167" s="239" t="n">
        <v>0.8</v>
      </c>
      <c r="E167" s="239" t="n">
        <v>0.8</v>
      </c>
      <c r="F167" s="239" t="n">
        <v>0.1625</v>
      </c>
      <c r="G167" s="239" t="n">
        <v>0.17</v>
      </c>
      <c r="H167" s="239" t="n">
        <v>0.1775</v>
      </c>
      <c r="I167" s="262" t="n">
        <v>4.897</v>
      </c>
      <c r="J167" s="239" t="n">
        <v>4.902</v>
      </c>
      <c r="K167" s="239" t="n">
        <v>4.907</v>
      </c>
      <c r="L167" s="239" t="n">
        <v>-0.1425</v>
      </c>
      <c r="M167" s="239" t="n">
        <v>-0.1425</v>
      </c>
      <c r="O167" s="235"/>
      <c r="P167" s="288"/>
      <c r="Q167" s="288"/>
      <c r="R167" s="289" t="e">
        <f aca="false">B167</f>
        <v>#VALUE!</v>
      </c>
      <c r="S167" s="290" t="n">
        <f aca="false">T167-$S$16</f>
        <v>0.73</v>
      </c>
      <c r="T167" s="285" t="n">
        <f aca="false">D167</f>
        <v>0.8</v>
      </c>
      <c r="U167" s="291" t="n">
        <f aca="false">$U$16+T167</f>
        <v>0.87</v>
      </c>
      <c r="BP167" s="249" t="n">
        <f aca="false">BP166+BV167</f>
        <v>166</v>
      </c>
      <c r="BQ167" s="250" t="s">
        <v>907</v>
      </c>
      <c r="BR167" s="247" t="s">
        <v>195</v>
      </c>
      <c r="BS167" s="161" t="s">
        <v>324</v>
      </c>
      <c r="BT167" s="253" t="s">
        <v>197</v>
      </c>
      <c r="BU167" s="253"/>
      <c r="BV167" s="161" t="n">
        <v>1</v>
      </c>
      <c r="BW167" s="247" t="s">
        <v>908</v>
      </c>
      <c r="BX167" s="0"/>
      <c r="BZ167" s="249" t="n">
        <f aca="false">BZ166+CF167</f>
        <v>166</v>
      </c>
      <c r="CA167" s="73" t="s">
        <v>909</v>
      </c>
      <c r="CB167" s="247" t="s">
        <v>199</v>
      </c>
      <c r="CC167" s="161" t="s">
        <v>196</v>
      </c>
      <c r="CD167" s="253" t="s">
        <v>197</v>
      </c>
      <c r="CE167" s="253"/>
      <c r="CF167" s="161" t="n">
        <v>1</v>
      </c>
      <c r="CG167" s="247" t="s">
        <v>910</v>
      </c>
      <c r="CH167" s="0"/>
    </row>
    <row r="168" customFormat="false" ht="12.75" hidden="false" customHeight="false" outlineLevel="0" collapsed="false">
      <c r="A168" s="286"/>
      <c r="B168" s="287" t="e">
        <f aca="false">NextMonth(B167)</f>
        <v>#VALUE!</v>
      </c>
      <c r="C168" s="239" t="n">
        <v>0.0640926464097515</v>
      </c>
      <c r="D168" s="239" t="n">
        <v>1</v>
      </c>
      <c r="E168" s="239" t="n">
        <v>1</v>
      </c>
      <c r="F168" s="239" t="n">
        <v>0.1625</v>
      </c>
      <c r="G168" s="239" t="n">
        <v>0.17</v>
      </c>
      <c r="H168" s="239" t="n">
        <v>0.1775</v>
      </c>
      <c r="I168" s="262" t="n">
        <v>5.017</v>
      </c>
      <c r="J168" s="239" t="n">
        <v>5.022</v>
      </c>
      <c r="K168" s="239" t="n">
        <v>5.027</v>
      </c>
      <c r="L168" s="239" t="n">
        <v>-0.1375</v>
      </c>
      <c r="M168" s="239" t="n">
        <v>-0.1375</v>
      </c>
      <c r="O168" s="235"/>
      <c r="P168" s="288"/>
      <c r="Q168" s="288"/>
      <c r="R168" s="289" t="e">
        <f aca="false">B168</f>
        <v>#VALUE!</v>
      </c>
      <c r="S168" s="290" t="n">
        <f aca="false">T168-$S$16</f>
        <v>0.93</v>
      </c>
      <c r="T168" s="285" t="n">
        <f aca="false">D168</f>
        <v>1</v>
      </c>
      <c r="U168" s="291" t="n">
        <f aca="false">$U$16+T168</f>
        <v>1.07</v>
      </c>
      <c r="BP168" s="249" t="n">
        <f aca="false">BP167+BV168</f>
        <v>167</v>
      </c>
      <c r="BQ168" s="250" t="s">
        <v>911</v>
      </c>
      <c r="BR168" s="247" t="s">
        <v>195</v>
      </c>
      <c r="BS168" s="161" t="s">
        <v>324</v>
      </c>
      <c r="BT168" s="253" t="s">
        <v>197</v>
      </c>
      <c r="BU168" s="253"/>
      <c r="BV168" s="161" t="n">
        <v>1</v>
      </c>
      <c r="BW168" s="247" t="s">
        <v>912</v>
      </c>
      <c r="BX168" s="0"/>
      <c r="BZ168" s="249" t="n">
        <f aca="false">BZ167+CF168</f>
        <v>167</v>
      </c>
      <c r="CA168" s="73" t="s">
        <v>913</v>
      </c>
      <c r="CB168" s="247" t="s">
        <v>199</v>
      </c>
      <c r="CC168" s="161" t="s">
        <v>196</v>
      </c>
      <c r="CD168" s="253" t="s">
        <v>197</v>
      </c>
      <c r="CE168" s="253"/>
      <c r="CF168" s="161" t="n">
        <v>1</v>
      </c>
      <c r="CG168" s="247" t="s">
        <v>914</v>
      </c>
      <c r="CH168" s="0"/>
    </row>
    <row r="169" customFormat="false" ht="12.75" hidden="false" customHeight="false" outlineLevel="0" collapsed="false">
      <c r="A169" s="286"/>
      <c r="B169" s="287" t="e">
        <f aca="false">NextMonth(B168)</f>
        <v>#VALUE!</v>
      </c>
      <c r="C169" s="239" t="n">
        <v>0.064130870281883</v>
      </c>
      <c r="D169" s="239" t="n">
        <v>1</v>
      </c>
      <c r="E169" s="239" t="n">
        <v>1</v>
      </c>
      <c r="F169" s="239" t="n">
        <v>0.1625</v>
      </c>
      <c r="G169" s="239" t="n">
        <v>0.17</v>
      </c>
      <c r="H169" s="239" t="n">
        <v>0.1775</v>
      </c>
      <c r="I169" s="262" t="n">
        <v>5.112</v>
      </c>
      <c r="J169" s="239" t="n">
        <v>5.117</v>
      </c>
      <c r="K169" s="239" t="n">
        <v>5.122</v>
      </c>
      <c r="L169" s="239" t="n">
        <v>-0.1375</v>
      </c>
      <c r="M169" s="239" t="n">
        <v>-0.1375</v>
      </c>
      <c r="O169" s="235"/>
      <c r="P169" s="288"/>
      <c r="Q169" s="288"/>
      <c r="R169" s="289" t="e">
        <f aca="false">B169</f>
        <v>#VALUE!</v>
      </c>
      <c r="S169" s="290" t="n">
        <f aca="false">T169-$S$16</f>
        <v>0.93</v>
      </c>
      <c r="T169" s="285" t="n">
        <f aca="false">D169</f>
        <v>1</v>
      </c>
      <c r="U169" s="291" t="n">
        <f aca="false">$U$16+T169</f>
        <v>1.07</v>
      </c>
      <c r="BP169" s="249" t="n">
        <f aca="false">BP168+BV169</f>
        <v>168</v>
      </c>
      <c r="BQ169" s="250" t="s">
        <v>915</v>
      </c>
      <c r="BR169" s="247" t="s">
        <v>195</v>
      </c>
      <c r="BS169" s="161" t="s">
        <v>324</v>
      </c>
      <c r="BT169" s="253" t="s">
        <v>197</v>
      </c>
      <c r="BU169" s="253"/>
      <c r="BV169" s="161" t="n">
        <v>1</v>
      </c>
      <c r="BW169" s="247" t="s">
        <v>916</v>
      </c>
      <c r="BX169" s="0"/>
      <c r="BZ169" s="249" t="n">
        <f aca="false">BZ168+CF169</f>
        <v>168</v>
      </c>
      <c r="CA169" s="73" t="s">
        <v>917</v>
      </c>
      <c r="CB169" s="247" t="s">
        <v>199</v>
      </c>
      <c r="CC169" s="161" t="s">
        <v>196</v>
      </c>
      <c r="CD169" s="253" t="s">
        <v>197</v>
      </c>
      <c r="CE169" s="253"/>
      <c r="CF169" s="161" t="n">
        <v>1</v>
      </c>
      <c r="CG169" s="247" t="s">
        <v>918</v>
      </c>
      <c r="CH169" s="0"/>
    </row>
    <row r="170" customFormat="false" ht="12.75" hidden="false" customHeight="false" outlineLevel="0" collapsed="false">
      <c r="A170" s="286"/>
      <c r="B170" s="287" t="e">
        <f aca="false">NextMonth(B169)</f>
        <v>#VALUE!</v>
      </c>
      <c r="C170" s="239" t="n">
        <v>0.0641690941544981</v>
      </c>
      <c r="D170" s="239" t="n">
        <v>1</v>
      </c>
      <c r="E170" s="239" t="n">
        <v>1</v>
      </c>
      <c r="F170" s="239" t="n">
        <v>0.1625</v>
      </c>
      <c r="G170" s="239" t="n">
        <v>0.17</v>
      </c>
      <c r="H170" s="239" t="n">
        <v>0.1775</v>
      </c>
      <c r="I170" s="262" t="n">
        <v>4.992</v>
      </c>
      <c r="J170" s="239" t="n">
        <v>4.997</v>
      </c>
      <c r="K170" s="239" t="n">
        <v>5.002</v>
      </c>
      <c r="L170" s="239" t="n">
        <v>-0.14</v>
      </c>
      <c r="M170" s="239" t="n">
        <v>-0.14</v>
      </c>
      <c r="O170" s="235"/>
      <c r="P170" s="288"/>
      <c r="Q170" s="288"/>
      <c r="R170" s="289" t="e">
        <f aca="false">B170</f>
        <v>#VALUE!</v>
      </c>
      <c r="S170" s="290" t="n">
        <f aca="false">T170-$S$16</f>
        <v>0.93</v>
      </c>
      <c r="T170" s="285" t="n">
        <f aca="false">D170</f>
        <v>1</v>
      </c>
      <c r="U170" s="291" t="n">
        <f aca="false">$U$16+T170</f>
        <v>1.07</v>
      </c>
      <c r="BP170" s="249" t="n">
        <f aca="false">BP169+BV170</f>
        <v>169</v>
      </c>
      <c r="BQ170" s="250" t="s">
        <v>919</v>
      </c>
      <c r="BR170" s="247" t="s">
        <v>195</v>
      </c>
      <c r="BS170" s="161" t="s">
        <v>324</v>
      </c>
      <c r="BT170" s="253" t="s">
        <v>197</v>
      </c>
      <c r="BU170" s="253"/>
      <c r="BV170" s="161" t="n">
        <v>1</v>
      </c>
      <c r="BW170" s="247" t="s">
        <v>920</v>
      </c>
      <c r="BX170" s="0"/>
      <c r="BZ170" s="249" t="n">
        <f aca="false">BZ169+CF170</f>
        <v>169</v>
      </c>
      <c r="CA170" s="73" t="s">
        <v>921</v>
      </c>
      <c r="CB170" s="247" t="s">
        <v>199</v>
      </c>
      <c r="CC170" s="161" t="s">
        <v>196</v>
      </c>
      <c r="CD170" s="253" t="s">
        <v>197</v>
      </c>
      <c r="CE170" s="253"/>
      <c r="CF170" s="161" t="n">
        <v>1</v>
      </c>
      <c r="CG170" s="247" t="s">
        <v>922</v>
      </c>
      <c r="CH170" s="0"/>
    </row>
    <row r="171" customFormat="false" ht="12.75" hidden="false" customHeight="false" outlineLevel="0" collapsed="false">
      <c r="A171" s="286"/>
      <c r="B171" s="287" t="e">
        <f aca="false">NextMonth(B170)</f>
        <v>#VALUE!</v>
      </c>
      <c r="C171" s="239" t="n">
        <v>0.0642036189430839</v>
      </c>
      <c r="D171" s="239" t="n">
        <v>0.75</v>
      </c>
      <c r="E171" s="239" t="n">
        <v>0.75</v>
      </c>
      <c r="F171" s="239" t="n">
        <v>0.1625</v>
      </c>
      <c r="G171" s="239" t="n">
        <v>0.17</v>
      </c>
      <c r="H171" s="239" t="n">
        <v>0.1775</v>
      </c>
      <c r="I171" s="262" t="n">
        <v>4.852</v>
      </c>
      <c r="J171" s="239" t="n">
        <v>4.857</v>
      </c>
      <c r="K171" s="239" t="n">
        <v>4.862</v>
      </c>
      <c r="L171" s="239" t="n">
        <v>-0.1425</v>
      </c>
      <c r="M171" s="239" t="n">
        <v>-0.1425</v>
      </c>
      <c r="O171" s="235"/>
      <c r="P171" s="288"/>
      <c r="Q171" s="288"/>
      <c r="R171" s="289" t="e">
        <f aca="false">B171</f>
        <v>#VALUE!</v>
      </c>
      <c r="S171" s="290" t="n">
        <f aca="false">T171-$S$16</f>
        <v>0.68</v>
      </c>
      <c r="T171" s="285" t="n">
        <f aca="false">D171</f>
        <v>0.75</v>
      </c>
      <c r="U171" s="291" t="n">
        <f aca="false">$U$16+T171</f>
        <v>0.82</v>
      </c>
      <c r="BP171" s="249" t="n">
        <f aca="false">BP170+BV171</f>
        <v>170</v>
      </c>
      <c r="BQ171" s="250" t="s">
        <v>923</v>
      </c>
      <c r="BR171" s="247" t="s">
        <v>195</v>
      </c>
      <c r="BS171" s="161" t="s">
        <v>324</v>
      </c>
      <c r="BT171" s="253" t="s">
        <v>197</v>
      </c>
      <c r="BU171" s="253"/>
      <c r="BV171" s="161" t="n">
        <v>1</v>
      </c>
      <c r="BW171" s="247" t="s">
        <v>924</v>
      </c>
      <c r="BX171" s="0"/>
      <c r="BZ171" s="249" t="n">
        <f aca="false">BZ170+CF171</f>
        <v>170</v>
      </c>
      <c r="CA171" s="73" t="s">
        <v>925</v>
      </c>
      <c r="CB171" s="247" t="s">
        <v>199</v>
      </c>
      <c r="CC171" s="161" t="s">
        <v>196</v>
      </c>
      <c r="CD171" s="253" t="s">
        <v>197</v>
      </c>
      <c r="CE171" s="253"/>
      <c r="CF171" s="161" t="n">
        <v>1</v>
      </c>
      <c r="CG171" s="247" t="s">
        <v>926</v>
      </c>
      <c r="CH171" s="0"/>
    </row>
    <row r="172" customFormat="false" ht="12.75" hidden="false" customHeight="false" outlineLevel="0" collapsed="false">
      <c r="A172" s="286"/>
      <c r="B172" s="287" t="e">
        <f aca="false">NextMonth(B171)</f>
        <v>#VALUE!</v>
      </c>
      <c r="C172" s="239" t="n">
        <v>0.0642418428166214</v>
      </c>
      <c r="D172" s="239" t="n">
        <v>0.4</v>
      </c>
      <c r="E172" s="239" t="n">
        <v>0.4</v>
      </c>
      <c r="F172" s="239" t="n">
        <v>0.1625</v>
      </c>
      <c r="G172" s="239" t="n">
        <v>0.17</v>
      </c>
      <c r="H172" s="239" t="n">
        <v>0.1775</v>
      </c>
      <c r="I172" s="262" t="n">
        <v>4.71</v>
      </c>
      <c r="J172" s="239" t="n">
        <v>4.715</v>
      </c>
      <c r="K172" s="239" t="n">
        <v>4.72</v>
      </c>
      <c r="L172" s="239" t="n">
        <v>-0.14</v>
      </c>
      <c r="M172" s="239" t="n">
        <v>-0.14</v>
      </c>
      <c r="O172" s="235"/>
      <c r="P172" s="288"/>
      <c r="Q172" s="288"/>
      <c r="R172" s="289" t="e">
        <f aca="false">B172</f>
        <v>#VALUE!</v>
      </c>
      <c r="S172" s="290" t="n">
        <f aca="false">T172-$S$16</f>
        <v>0.33</v>
      </c>
      <c r="T172" s="285" t="n">
        <f aca="false">D172</f>
        <v>0.4</v>
      </c>
      <c r="U172" s="291" t="n">
        <f aca="false">$U$16+T172</f>
        <v>0.47</v>
      </c>
      <c r="BP172" s="249" t="n">
        <f aca="false">BP171+BV172</f>
        <v>171</v>
      </c>
      <c r="BQ172" s="250" t="s">
        <v>927</v>
      </c>
      <c r="BR172" s="247" t="s">
        <v>195</v>
      </c>
      <c r="BS172" s="161" t="s">
        <v>324</v>
      </c>
      <c r="BT172" s="253" t="s">
        <v>197</v>
      </c>
      <c r="BU172" s="253"/>
      <c r="BV172" s="161" t="n">
        <v>1</v>
      </c>
      <c r="BW172" s="247" t="s">
        <v>928</v>
      </c>
      <c r="BX172" s="0"/>
      <c r="BZ172" s="249" t="n">
        <f aca="false">BZ171+CF172</f>
        <v>171</v>
      </c>
      <c r="CA172" s="73" t="s">
        <v>929</v>
      </c>
      <c r="CB172" s="247" t="s">
        <v>199</v>
      </c>
      <c r="CC172" s="161" t="s">
        <v>196</v>
      </c>
      <c r="CD172" s="253" t="s">
        <v>197</v>
      </c>
      <c r="CE172" s="253"/>
      <c r="CF172" s="161" t="n">
        <v>1</v>
      </c>
      <c r="CG172" s="247" t="s">
        <v>930</v>
      </c>
      <c r="CH172" s="0"/>
    </row>
    <row r="173" customFormat="false" ht="12.75" hidden="false" customHeight="false" outlineLevel="0" collapsed="false">
      <c r="A173" s="286"/>
      <c r="B173" s="287" t="e">
        <f aca="false">NextMonth(B172)</f>
        <v>#VALUE!</v>
      </c>
      <c r="C173" s="239" t="n">
        <v>0.064278833662442</v>
      </c>
      <c r="D173" s="239" t="n">
        <v>0.4</v>
      </c>
      <c r="E173" s="239" t="n">
        <v>0.4</v>
      </c>
      <c r="F173" s="239" t="n">
        <v>0.1625</v>
      </c>
      <c r="G173" s="239" t="n">
        <v>0.17</v>
      </c>
      <c r="H173" s="239" t="n">
        <v>0.1775</v>
      </c>
      <c r="I173" s="262" t="n">
        <v>4.744</v>
      </c>
      <c r="J173" s="239" t="n">
        <v>4.749</v>
      </c>
      <c r="K173" s="239" t="n">
        <v>4.754</v>
      </c>
      <c r="L173" s="239" t="n">
        <v>-0.14</v>
      </c>
      <c r="M173" s="239" t="n">
        <v>-0.14</v>
      </c>
      <c r="O173" s="235"/>
      <c r="P173" s="288"/>
      <c r="Q173" s="288"/>
      <c r="R173" s="289" t="e">
        <f aca="false">B173</f>
        <v>#VALUE!</v>
      </c>
      <c r="S173" s="290" t="n">
        <f aca="false">T173-$S$16</f>
        <v>0.33</v>
      </c>
      <c r="T173" s="285" t="n">
        <f aca="false">D173</f>
        <v>0.4</v>
      </c>
      <c r="U173" s="291" t="n">
        <f aca="false">$U$16+T173</f>
        <v>0.47</v>
      </c>
      <c r="BP173" s="249" t="n">
        <f aca="false">BP172+BV173</f>
        <v>172</v>
      </c>
      <c r="BQ173" s="250" t="s">
        <v>931</v>
      </c>
      <c r="BR173" s="247" t="s">
        <v>195</v>
      </c>
      <c r="BS173" s="161" t="s">
        <v>324</v>
      </c>
      <c r="BT173" s="253" t="s">
        <v>197</v>
      </c>
      <c r="BU173" s="253"/>
      <c r="BV173" s="161" t="n">
        <v>1</v>
      </c>
      <c r="BW173" s="247" t="s">
        <v>932</v>
      </c>
      <c r="BX173" s="0"/>
      <c r="BZ173" s="249" t="n">
        <f aca="false">BZ172+CF173</f>
        <v>172</v>
      </c>
      <c r="CA173" s="73" t="s">
        <v>933</v>
      </c>
      <c r="CB173" s="247" t="s">
        <v>199</v>
      </c>
      <c r="CC173" s="161" t="s">
        <v>196</v>
      </c>
      <c r="CD173" s="253" t="s">
        <v>197</v>
      </c>
      <c r="CE173" s="253"/>
      <c r="CF173" s="161" t="n">
        <v>1</v>
      </c>
      <c r="CG173" s="247" t="s">
        <v>934</v>
      </c>
      <c r="CH173" s="0"/>
    </row>
    <row r="174" customFormat="false" ht="12.75" hidden="false" customHeight="false" outlineLevel="0" collapsed="false">
      <c r="A174" s="286"/>
      <c r="B174" s="287" t="e">
        <f aca="false">NextMonth(B173)</f>
        <v>#VALUE!</v>
      </c>
      <c r="C174" s="239" t="n">
        <v>0.064317057536933</v>
      </c>
      <c r="D174" s="239" t="n">
        <v>0.4</v>
      </c>
      <c r="E174" s="239" t="n">
        <v>0.4</v>
      </c>
      <c r="F174" s="239" t="n">
        <v>0.1625</v>
      </c>
      <c r="G174" s="239" t="n">
        <v>0.17</v>
      </c>
      <c r="H174" s="239" t="n">
        <v>0.1775</v>
      </c>
      <c r="I174" s="262" t="n">
        <v>4.777</v>
      </c>
      <c r="J174" s="239" t="n">
        <v>4.782</v>
      </c>
      <c r="K174" s="239" t="n">
        <v>4.787</v>
      </c>
      <c r="L174" s="239" t="n">
        <v>-0.14</v>
      </c>
      <c r="M174" s="239" t="n">
        <v>-0.14</v>
      </c>
      <c r="O174" s="235"/>
      <c r="P174" s="288"/>
      <c r="Q174" s="288"/>
      <c r="R174" s="289" t="e">
        <f aca="false">B174</f>
        <v>#VALUE!</v>
      </c>
      <c r="S174" s="290" t="n">
        <f aca="false">T174-$S$16</f>
        <v>0.33</v>
      </c>
      <c r="T174" s="285" t="n">
        <f aca="false">D174</f>
        <v>0.4</v>
      </c>
      <c r="U174" s="291" t="n">
        <f aca="false">$U$16+T174</f>
        <v>0.47</v>
      </c>
      <c r="BP174" s="249" t="n">
        <f aca="false">BP173+BV174</f>
        <v>173</v>
      </c>
      <c r="BQ174" s="250" t="s">
        <v>935</v>
      </c>
      <c r="BR174" s="247" t="s">
        <v>195</v>
      </c>
      <c r="BS174" s="161" t="s">
        <v>324</v>
      </c>
      <c r="BT174" s="253" t="s">
        <v>197</v>
      </c>
      <c r="BU174" s="253"/>
      <c r="BV174" s="161" t="n">
        <v>1</v>
      </c>
      <c r="BW174" s="247" t="s">
        <v>936</v>
      </c>
      <c r="BX174" s="0"/>
      <c r="BZ174" s="249" t="n">
        <f aca="false">BZ173+CF174</f>
        <v>173</v>
      </c>
      <c r="CA174" s="73" t="s">
        <v>937</v>
      </c>
      <c r="CB174" s="247" t="s">
        <v>199</v>
      </c>
      <c r="CC174" s="161" t="s">
        <v>196</v>
      </c>
      <c r="CD174" s="253" t="s">
        <v>197</v>
      </c>
      <c r="CE174" s="253"/>
      <c r="CF174" s="161" t="n">
        <v>1</v>
      </c>
      <c r="CG174" s="247" t="s">
        <v>938</v>
      </c>
      <c r="CH174" s="0"/>
    </row>
    <row r="175" customFormat="false" ht="12.75" hidden="false" customHeight="false" outlineLevel="0" collapsed="false">
      <c r="A175" s="286"/>
      <c r="B175" s="287" t="e">
        <f aca="false">NextMonth(B174)</f>
        <v>#VALUE!</v>
      </c>
      <c r="C175" s="239" t="n">
        <v>0.064354048383676</v>
      </c>
      <c r="D175" s="239" t="n">
        <v>0.4</v>
      </c>
      <c r="E175" s="239" t="n">
        <v>0.4</v>
      </c>
      <c r="F175" s="239" t="n">
        <v>0.1625</v>
      </c>
      <c r="G175" s="239" t="n">
        <v>0.17</v>
      </c>
      <c r="H175" s="239" t="n">
        <v>0.1775</v>
      </c>
      <c r="I175" s="262" t="n">
        <v>4.822</v>
      </c>
      <c r="J175" s="239" t="n">
        <v>4.827</v>
      </c>
      <c r="K175" s="239" t="n">
        <v>4.832</v>
      </c>
      <c r="L175" s="239" t="n">
        <v>-0.14</v>
      </c>
      <c r="M175" s="239" t="n">
        <v>-0.14</v>
      </c>
      <c r="O175" s="235"/>
      <c r="P175" s="288"/>
      <c r="Q175" s="288"/>
      <c r="R175" s="289" t="e">
        <f aca="false">B175</f>
        <v>#VALUE!</v>
      </c>
      <c r="S175" s="290" t="n">
        <f aca="false">T175-$S$16</f>
        <v>0.33</v>
      </c>
      <c r="T175" s="285" t="n">
        <f aca="false">D175</f>
        <v>0.4</v>
      </c>
      <c r="U175" s="291" t="n">
        <f aca="false">$U$16+T175</f>
        <v>0.47</v>
      </c>
      <c r="BP175" s="249" t="n">
        <f aca="false">BP174+BV175</f>
        <v>174</v>
      </c>
      <c r="BQ175" s="250" t="s">
        <v>939</v>
      </c>
      <c r="BR175" s="247" t="s">
        <v>195</v>
      </c>
      <c r="BS175" s="161" t="s">
        <v>324</v>
      </c>
      <c r="BT175" s="253" t="s">
        <v>197</v>
      </c>
      <c r="BU175" s="253"/>
      <c r="BV175" s="161" t="n">
        <v>1</v>
      </c>
      <c r="BW175" s="247" t="s">
        <v>940</v>
      </c>
      <c r="BX175" s="0"/>
      <c r="BZ175" s="249" t="n">
        <f aca="false">BZ174+CF175</f>
        <v>174</v>
      </c>
      <c r="CA175" s="73" t="s">
        <v>941</v>
      </c>
      <c r="CB175" s="247" t="s">
        <v>199</v>
      </c>
      <c r="CC175" s="161" t="s">
        <v>196</v>
      </c>
      <c r="CD175" s="253" t="s">
        <v>197</v>
      </c>
      <c r="CE175" s="253"/>
      <c r="CF175" s="161" t="n">
        <v>1</v>
      </c>
      <c r="CG175" s="247" t="s">
        <v>942</v>
      </c>
      <c r="CH175" s="0"/>
    </row>
    <row r="176" customFormat="false" ht="12.75" hidden="false" customHeight="false" outlineLevel="0" collapsed="false">
      <c r="A176" s="286"/>
      <c r="B176" s="287" t="e">
        <f aca="false">NextMonth(B175)</f>
        <v>#VALUE!</v>
      </c>
      <c r="C176" s="239" t="n">
        <v>0.0643922722591204</v>
      </c>
      <c r="D176" s="239" t="n">
        <v>0.5</v>
      </c>
      <c r="E176" s="239" t="n">
        <v>0.5</v>
      </c>
      <c r="F176" s="239" t="n">
        <v>0.1625</v>
      </c>
      <c r="G176" s="239" t="n">
        <v>0.17</v>
      </c>
      <c r="H176" s="239" t="n">
        <v>0.1775</v>
      </c>
      <c r="I176" s="262" t="n">
        <v>4.857</v>
      </c>
      <c r="J176" s="239" t="n">
        <v>4.862</v>
      </c>
      <c r="K176" s="239" t="n">
        <v>4.867</v>
      </c>
      <c r="L176" s="239" t="n">
        <v>-0.14</v>
      </c>
      <c r="M176" s="239" t="n">
        <v>-0.14</v>
      </c>
      <c r="O176" s="235"/>
      <c r="P176" s="288"/>
      <c r="Q176" s="288"/>
      <c r="R176" s="289" t="e">
        <f aca="false">B176</f>
        <v>#VALUE!</v>
      </c>
      <c r="S176" s="290" t="n">
        <f aca="false">T176-$S$16</f>
        <v>0.43</v>
      </c>
      <c r="T176" s="285" t="n">
        <f aca="false">D176</f>
        <v>0.5</v>
      </c>
      <c r="U176" s="291" t="n">
        <f aca="false">$U$16+T176</f>
        <v>0.57</v>
      </c>
      <c r="BP176" s="249" t="n">
        <f aca="false">BP175+BV176</f>
        <v>175</v>
      </c>
      <c r="BQ176" s="250" t="s">
        <v>943</v>
      </c>
      <c r="BR176" s="247" t="s">
        <v>195</v>
      </c>
      <c r="BS176" s="161" t="s">
        <v>324</v>
      </c>
      <c r="BT176" s="253" t="s">
        <v>197</v>
      </c>
      <c r="BU176" s="253"/>
      <c r="BV176" s="161" t="n">
        <v>1</v>
      </c>
      <c r="BW176" s="247" t="s">
        <v>944</v>
      </c>
      <c r="BX176" s="0"/>
      <c r="BZ176" s="249" t="n">
        <f aca="false">BZ175+CF176</f>
        <v>175</v>
      </c>
      <c r="CA176" s="73" t="s">
        <v>945</v>
      </c>
      <c r="CB176" s="247" t="s">
        <v>199</v>
      </c>
      <c r="CC176" s="161" t="s">
        <v>196</v>
      </c>
      <c r="CD176" s="253" t="s">
        <v>197</v>
      </c>
      <c r="CE176" s="253"/>
      <c r="CF176" s="161" t="n">
        <v>1</v>
      </c>
      <c r="CG176" s="247" t="s">
        <v>946</v>
      </c>
      <c r="CH176" s="0"/>
    </row>
    <row r="177" customFormat="false" ht="12.75" hidden="false" customHeight="false" outlineLevel="0" collapsed="false">
      <c r="A177" s="286"/>
      <c r="B177" s="287" t="e">
        <f aca="false">NextMonth(B176)</f>
        <v>#VALUE!</v>
      </c>
      <c r="C177" s="239" t="n">
        <v>0.0644304961350488</v>
      </c>
      <c r="D177" s="239" t="n">
        <v>0.55</v>
      </c>
      <c r="E177" s="239" t="n">
        <v>0.55</v>
      </c>
      <c r="F177" s="239" t="n">
        <v>0.1625</v>
      </c>
      <c r="G177" s="239" t="n">
        <v>0.17</v>
      </c>
      <c r="H177" s="239" t="n">
        <v>0.1775</v>
      </c>
      <c r="I177" s="262" t="n">
        <v>4.862</v>
      </c>
      <c r="J177" s="239" t="n">
        <v>4.867</v>
      </c>
      <c r="K177" s="239" t="n">
        <v>4.872</v>
      </c>
      <c r="L177" s="239" t="n">
        <v>-0.14</v>
      </c>
      <c r="M177" s="239" t="n">
        <v>-0.14</v>
      </c>
      <c r="O177" s="235"/>
      <c r="P177" s="288"/>
      <c r="Q177" s="288"/>
      <c r="R177" s="289" t="e">
        <f aca="false">B177</f>
        <v>#VALUE!</v>
      </c>
      <c r="S177" s="290" t="n">
        <f aca="false">T177-$S$16</f>
        <v>0.48</v>
      </c>
      <c r="T177" s="285" t="n">
        <f aca="false">D177</f>
        <v>0.55</v>
      </c>
      <c r="U177" s="291" t="n">
        <f aca="false">$U$16+T177</f>
        <v>0.62</v>
      </c>
      <c r="BP177" s="249" t="n">
        <f aca="false">BP176+BV177</f>
        <v>176</v>
      </c>
      <c r="BQ177" s="250" t="s">
        <v>947</v>
      </c>
      <c r="BR177" s="247" t="s">
        <v>195</v>
      </c>
      <c r="BS177" s="161" t="s">
        <v>324</v>
      </c>
      <c r="BT177" s="253" t="s">
        <v>197</v>
      </c>
      <c r="BU177" s="253"/>
      <c r="BV177" s="161" t="n">
        <v>1</v>
      </c>
      <c r="BW177" s="247" t="s">
        <v>948</v>
      </c>
      <c r="BX177" s="0"/>
      <c r="BZ177" s="249" t="n">
        <f aca="false">BZ176+CF177</f>
        <v>176</v>
      </c>
      <c r="CA177" s="73" t="s">
        <v>949</v>
      </c>
      <c r="CB177" s="247" t="s">
        <v>199</v>
      </c>
      <c r="CC177" s="161" t="s">
        <v>196</v>
      </c>
      <c r="CD177" s="253" t="s">
        <v>197</v>
      </c>
      <c r="CE177" s="253"/>
      <c r="CF177" s="161" t="n">
        <v>1</v>
      </c>
      <c r="CG177" s="247" t="s">
        <v>950</v>
      </c>
      <c r="CH177" s="0"/>
    </row>
    <row r="178" customFormat="false" ht="12.75" hidden="false" customHeight="false" outlineLevel="0" collapsed="false">
      <c r="A178" s="286"/>
      <c r="B178" s="287" t="e">
        <f aca="false">NextMonth(B177)</f>
        <v>#VALUE!</v>
      </c>
      <c r="C178" s="239" t="n">
        <v>0.0644674869831836</v>
      </c>
      <c r="D178" s="239" t="n">
        <v>0.55</v>
      </c>
      <c r="E178" s="239" t="n">
        <v>0.55</v>
      </c>
      <c r="F178" s="239" t="n">
        <v>0.1625</v>
      </c>
      <c r="G178" s="239" t="n">
        <v>0.17</v>
      </c>
      <c r="H178" s="239" t="n">
        <v>0.1775</v>
      </c>
      <c r="I178" s="262" t="n">
        <v>4.887</v>
      </c>
      <c r="J178" s="239" t="n">
        <v>4.892</v>
      </c>
      <c r="K178" s="239" t="n">
        <v>4.897</v>
      </c>
      <c r="L178" s="239" t="n">
        <v>-0.14</v>
      </c>
      <c r="M178" s="239" t="n">
        <v>-0.14</v>
      </c>
      <c r="O178" s="235"/>
      <c r="P178" s="288"/>
      <c r="Q178" s="288"/>
      <c r="R178" s="289" t="e">
        <f aca="false">B178</f>
        <v>#VALUE!</v>
      </c>
      <c r="S178" s="290" t="n">
        <f aca="false">T178-$S$16</f>
        <v>0.48</v>
      </c>
      <c r="T178" s="285" t="n">
        <f aca="false">D178</f>
        <v>0.55</v>
      </c>
      <c r="U178" s="291" t="n">
        <f aca="false">$U$16+T178</f>
        <v>0.62</v>
      </c>
      <c r="BP178" s="249" t="n">
        <f aca="false">BP177+BV178</f>
        <v>177</v>
      </c>
      <c r="BQ178" s="250" t="s">
        <v>951</v>
      </c>
      <c r="BR178" s="247" t="s">
        <v>195</v>
      </c>
      <c r="BS178" s="161" t="s">
        <v>324</v>
      </c>
      <c r="BT178" s="253" t="s">
        <v>197</v>
      </c>
      <c r="BU178" s="253"/>
      <c r="BV178" s="161" t="n">
        <v>1</v>
      </c>
      <c r="BW178" s="247" t="s">
        <v>952</v>
      </c>
      <c r="BX178" s="0"/>
      <c r="BZ178" s="249" t="n">
        <f aca="false">BZ177+CF178</f>
        <v>177</v>
      </c>
      <c r="CA178" s="73" t="s">
        <v>953</v>
      </c>
      <c r="CB178" s="247" t="s">
        <v>199</v>
      </c>
      <c r="CC178" s="161" t="s">
        <v>196</v>
      </c>
      <c r="CD178" s="253" t="s">
        <v>197</v>
      </c>
      <c r="CE178" s="253"/>
      <c r="CF178" s="161" t="n">
        <v>1</v>
      </c>
      <c r="CG178" s="247" t="s">
        <v>954</v>
      </c>
      <c r="CH178" s="0"/>
    </row>
    <row r="179" customFormat="false" ht="12.75" hidden="false" customHeight="false" outlineLevel="0" collapsed="false">
      <c r="A179" s="286"/>
      <c r="B179" s="287" t="e">
        <f aca="false">NextMonth(B178)</f>
        <v>#VALUE!</v>
      </c>
      <c r="C179" s="239" t="n">
        <v>0.0645057108600651</v>
      </c>
      <c r="D179" s="239" t="n">
        <v>0.8</v>
      </c>
      <c r="E179" s="239" t="n">
        <v>0.8</v>
      </c>
      <c r="F179" s="239" t="n">
        <v>0.1625</v>
      </c>
      <c r="G179" s="239" t="n">
        <v>0.17</v>
      </c>
      <c r="H179" s="239" t="n">
        <v>0.1775</v>
      </c>
      <c r="I179" s="262" t="n">
        <v>4.997</v>
      </c>
      <c r="J179" s="239" t="n">
        <v>5.002</v>
      </c>
      <c r="K179" s="239" t="n">
        <v>5.007</v>
      </c>
      <c r="L179" s="239" t="n">
        <v>-0.1425</v>
      </c>
      <c r="M179" s="239" t="n">
        <v>-0.1425</v>
      </c>
      <c r="O179" s="235"/>
      <c r="P179" s="288"/>
      <c r="Q179" s="288"/>
      <c r="R179" s="289" t="e">
        <f aca="false">B179</f>
        <v>#VALUE!</v>
      </c>
      <c r="S179" s="290" t="n">
        <f aca="false">T179-$S$16</f>
        <v>0.73</v>
      </c>
      <c r="T179" s="285" t="n">
        <f aca="false">D179</f>
        <v>0.8</v>
      </c>
      <c r="U179" s="291" t="n">
        <f aca="false">$U$16+T179</f>
        <v>0.87</v>
      </c>
      <c r="BP179" s="249" t="n">
        <f aca="false">BP178+BV179</f>
        <v>178</v>
      </c>
      <c r="BQ179" s="250" t="s">
        <v>955</v>
      </c>
      <c r="BR179" s="247" t="s">
        <v>195</v>
      </c>
      <c r="BS179" s="161" t="s">
        <v>324</v>
      </c>
      <c r="BT179" s="253" t="s">
        <v>197</v>
      </c>
      <c r="BU179" s="253"/>
      <c r="BV179" s="161" t="n">
        <v>1</v>
      </c>
      <c r="BW179" s="247" t="s">
        <v>956</v>
      </c>
      <c r="BX179" s="0"/>
      <c r="BZ179" s="249" t="n">
        <f aca="false">BZ178+CF179</f>
        <v>178</v>
      </c>
      <c r="CA179" s="73" t="s">
        <v>957</v>
      </c>
      <c r="CB179" s="247" t="s">
        <v>199</v>
      </c>
      <c r="CC179" s="161" t="s">
        <v>196</v>
      </c>
      <c r="CD179" s="253" t="s">
        <v>197</v>
      </c>
      <c r="CE179" s="253"/>
      <c r="CF179" s="161" t="n">
        <v>1</v>
      </c>
      <c r="CG179" s="247" t="s">
        <v>958</v>
      </c>
      <c r="CH179" s="0"/>
    </row>
    <row r="180" customFormat="false" ht="12.75" hidden="false" customHeight="false" outlineLevel="0" collapsed="false">
      <c r="A180" s="286"/>
      <c r="B180" s="287" t="e">
        <f aca="false">NextMonth(B179)</f>
        <v>#VALUE!</v>
      </c>
      <c r="C180" s="239" t="n">
        <v>0.0645427017091218</v>
      </c>
      <c r="D180" s="239" t="n">
        <v>1</v>
      </c>
      <c r="E180" s="239" t="n">
        <v>1</v>
      </c>
      <c r="F180" s="239" t="n">
        <v>0.1625</v>
      </c>
      <c r="G180" s="239" t="n">
        <v>0.17</v>
      </c>
      <c r="H180" s="239" t="n">
        <v>0.1775</v>
      </c>
      <c r="I180" s="262" t="n">
        <v>5.117</v>
      </c>
      <c r="J180" s="239" t="n">
        <v>5.122</v>
      </c>
      <c r="K180" s="239" t="n">
        <v>5.127</v>
      </c>
      <c r="L180" s="239" t="n">
        <v>-0.1375</v>
      </c>
      <c r="M180" s="239" t="n">
        <v>-0.1375</v>
      </c>
      <c r="O180" s="235"/>
      <c r="P180" s="288"/>
      <c r="Q180" s="288"/>
      <c r="R180" s="289" t="e">
        <f aca="false">B180</f>
        <v>#VALUE!</v>
      </c>
      <c r="S180" s="290" t="n">
        <f aca="false">T180-$S$16</f>
        <v>0.93</v>
      </c>
      <c r="T180" s="285" t="n">
        <f aca="false">D180</f>
        <v>1</v>
      </c>
      <c r="U180" s="291" t="n">
        <f aca="false">$U$16+T180</f>
        <v>1.07</v>
      </c>
      <c r="BP180" s="249" t="n">
        <f aca="false">BP179+BV180</f>
        <v>179</v>
      </c>
      <c r="BQ180" s="250" t="s">
        <v>959</v>
      </c>
      <c r="BR180" s="247" t="s">
        <v>195</v>
      </c>
      <c r="BS180" s="161" t="s">
        <v>324</v>
      </c>
      <c r="BT180" s="253" t="s">
        <v>197</v>
      </c>
      <c r="BU180" s="253"/>
      <c r="BV180" s="161" t="n">
        <v>1</v>
      </c>
      <c r="BW180" s="247" t="s">
        <v>960</v>
      </c>
      <c r="BX180" s="0"/>
      <c r="BZ180" s="249" t="n">
        <f aca="false">BZ179+CF180</f>
        <v>179</v>
      </c>
      <c r="CA180" s="73" t="s">
        <v>961</v>
      </c>
      <c r="CB180" s="247" t="s">
        <v>199</v>
      </c>
      <c r="CC180" s="161" t="s">
        <v>196</v>
      </c>
      <c r="CD180" s="253" t="s">
        <v>197</v>
      </c>
      <c r="CE180" s="253"/>
      <c r="CF180" s="161" t="n">
        <v>1</v>
      </c>
      <c r="CG180" s="247" t="s">
        <v>962</v>
      </c>
      <c r="CH180" s="0"/>
    </row>
    <row r="181" customFormat="false" ht="12.75" hidden="false" customHeight="false" outlineLevel="0" collapsed="false">
      <c r="A181" s="286"/>
      <c r="B181" s="287" t="e">
        <f aca="false">NextMonth(B180)</f>
        <v>#VALUE!</v>
      </c>
      <c r="C181" s="239" t="n">
        <v>0.0645809255869567</v>
      </c>
      <c r="D181" s="239" t="n">
        <v>1</v>
      </c>
      <c r="E181" s="239" t="n">
        <v>1</v>
      </c>
      <c r="F181" s="239" t="n">
        <v>0.1625</v>
      </c>
      <c r="G181" s="239" t="n">
        <v>0.17</v>
      </c>
      <c r="H181" s="239" t="n">
        <v>0.1775</v>
      </c>
      <c r="I181" s="262" t="n">
        <v>5.2145</v>
      </c>
      <c r="J181" s="239" t="n">
        <v>5.2195</v>
      </c>
      <c r="K181" s="239" t="n">
        <v>5.2245</v>
      </c>
      <c r="L181" s="239" t="n">
        <v>-0.1375</v>
      </c>
      <c r="M181" s="239" t="n">
        <v>-0.1375</v>
      </c>
      <c r="O181" s="235"/>
      <c r="P181" s="288"/>
      <c r="Q181" s="288"/>
      <c r="R181" s="289" t="e">
        <f aca="false">B181</f>
        <v>#VALUE!</v>
      </c>
      <c r="S181" s="290" t="n">
        <f aca="false">T181-$S$16</f>
        <v>0.93</v>
      </c>
      <c r="T181" s="285" t="n">
        <f aca="false">D181</f>
        <v>1</v>
      </c>
      <c r="U181" s="291" t="n">
        <f aca="false">$U$16+T181</f>
        <v>1.07</v>
      </c>
      <c r="BP181" s="249" t="n">
        <f aca="false">BP180+BV181</f>
        <v>180</v>
      </c>
      <c r="BQ181" s="250" t="s">
        <v>963</v>
      </c>
      <c r="BR181" s="247" t="s">
        <v>195</v>
      </c>
      <c r="BS181" s="161" t="s">
        <v>324</v>
      </c>
      <c r="BT181" s="253" t="s">
        <v>197</v>
      </c>
      <c r="BU181" s="253"/>
      <c r="BV181" s="161" t="n">
        <v>1</v>
      </c>
      <c r="BW181" s="247" t="s">
        <v>964</v>
      </c>
      <c r="BX181" s="0"/>
      <c r="BZ181" s="249" t="n">
        <f aca="false">BZ180+CF181</f>
        <v>180</v>
      </c>
      <c r="CA181" s="73" t="s">
        <v>965</v>
      </c>
      <c r="CB181" s="247" t="s">
        <v>199</v>
      </c>
      <c r="CC181" s="161" t="s">
        <v>196</v>
      </c>
      <c r="CD181" s="253" t="s">
        <v>197</v>
      </c>
      <c r="CE181" s="253"/>
      <c r="CF181" s="161" t="n">
        <v>1</v>
      </c>
      <c r="CG181" s="247" t="s">
        <v>966</v>
      </c>
      <c r="CH181" s="0"/>
    </row>
    <row r="182" customFormat="false" ht="12.75" hidden="false" customHeight="false" outlineLevel="0" collapsed="false">
      <c r="A182" s="286"/>
      <c r="B182" s="287" t="e">
        <f aca="false">NextMonth(B181)</f>
        <v>#VALUE!</v>
      </c>
      <c r="C182" s="239" t="n">
        <v>0.0646191494652766</v>
      </c>
      <c r="D182" s="239" t="n">
        <v>1</v>
      </c>
      <c r="E182" s="239" t="n">
        <v>1</v>
      </c>
      <c r="F182" s="239" t="n">
        <v>0.1625</v>
      </c>
      <c r="G182" s="239" t="n">
        <v>0.17</v>
      </c>
      <c r="H182" s="239" t="n">
        <v>0.1775</v>
      </c>
      <c r="I182" s="262" t="n">
        <v>5.0945</v>
      </c>
      <c r="J182" s="239" t="n">
        <v>5.0995</v>
      </c>
      <c r="K182" s="239" t="n">
        <v>5.1045</v>
      </c>
      <c r="L182" s="239" t="n">
        <v>-0.14</v>
      </c>
      <c r="M182" s="239" t="n">
        <v>-0.14</v>
      </c>
      <c r="O182" s="235"/>
      <c r="P182" s="288"/>
      <c r="Q182" s="288"/>
      <c r="R182" s="289" t="e">
        <f aca="false">B182</f>
        <v>#VALUE!</v>
      </c>
      <c r="S182" s="290" t="n">
        <f aca="false">T182-$S$16</f>
        <v>0.93</v>
      </c>
      <c r="T182" s="285" t="n">
        <f aca="false">D182</f>
        <v>1</v>
      </c>
      <c r="U182" s="291" t="n">
        <f aca="false">$U$16+T182</f>
        <v>1.07</v>
      </c>
      <c r="BP182" s="249" t="n">
        <f aca="false">BP181+BV182</f>
        <v>181</v>
      </c>
      <c r="BQ182" s="250" t="s">
        <v>967</v>
      </c>
      <c r="BR182" s="247" t="s">
        <v>195</v>
      </c>
      <c r="BS182" s="161" t="s">
        <v>324</v>
      </c>
      <c r="BT182" s="253" t="s">
        <v>197</v>
      </c>
      <c r="BU182" s="253"/>
      <c r="BV182" s="161" t="n">
        <v>1</v>
      </c>
      <c r="BW182" s="247" t="s">
        <v>968</v>
      </c>
      <c r="BX182" s="0"/>
      <c r="BZ182" s="249" t="n">
        <f aca="false">BZ181+CF182</f>
        <v>181</v>
      </c>
      <c r="CA182" s="73" t="s">
        <v>969</v>
      </c>
      <c r="CB182" s="247" t="s">
        <v>199</v>
      </c>
      <c r="CC182" s="161" t="s">
        <v>196</v>
      </c>
      <c r="CD182" s="253" t="s">
        <v>197</v>
      </c>
      <c r="CE182" s="253"/>
      <c r="CF182" s="161" t="n">
        <v>1</v>
      </c>
      <c r="CG182" s="247" t="s">
        <v>970</v>
      </c>
      <c r="CH182" s="0"/>
    </row>
    <row r="183" customFormat="false" ht="12.75" hidden="false" customHeight="false" outlineLevel="0" collapsed="false">
      <c r="A183" s="286"/>
      <c r="B183" s="287" t="e">
        <f aca="false">NextMonth(B182)</f>
        <v>#VALUE!</v>
      </c>
      <c r="C183" s="239" t="n">
        <v>0.0646536742590134</v>
      </c>
      <c r="D183" s="239" t="n">
        <v>0.75</v>
      </c>
      <c r="E183" s="239" t="n">
        <v>0.75</v>
      </c>
      <c r="F183" s="239" t="n">
        <v>0.1625</v>
      </c>
      <c r="G183" s="239" t="n">
        <v>0.17</v>
      </c>
      <c r="H183" s="239" t="n">
        <v>0.1775</v>
      </c>
      <c r="I183" s="262" t="n">
        <v>4.9545</v>
      </c>
      <c r="J183" s="239" t="n">
        <v>4.9595</v>
      </c>
      <c r="K183" s="239" t="n">
        <v>4.9645</v>
      </c>
      <c r="L183" s="239" t="n">
        <v>-0.1425</v>
      </c>
      <c r="M183" s="239" t="n">
        <v>-0.1425</v>
      </c>
      <c r="O183" s="235"/>
      <c r="P183" s="288"/>
      <c r="Q183" s="288"/>
      <c r="R183" s="289" t="e">
        <f aca="false">B183</f>
        <v>#VALUE!</v>
      </c>
      <c r="S183" s="290" t="n">
        <f aca="false">T183-$S$16</f>
        <v>0.68</v>
      </c>
      <c r="T183" s="285" t="n">
        <f aca="false">D183</f>
        <v>0.75</v>
      </c>
      <c r="U183" s="291" t="n">
        <f aca="false">$U$16+T183</f>
        <v>0.82</v>
      </c>
      <c r="BP183" s="249" t="n">
        <f aca="false">BP182+BV183</f>
        <v>182</v>
      </c>
      <c r="BQ183" s="250" t="s">
        <v>971</v>
      </c>
      <c r="BR183" s="247" t="s">
        <v>195</v>
      </c>
      <c r="BS183" s="161" t="s">
        <v>324</v>
      </c>
      <c r="BT183" s="253" t="s">
        <v>197</v>
      </c>
      <c r="BU183" s="253"/>
      <c r="BV183" s="161" t="n">
        <v>1</v>
      </c>
      <c r="BW183" s="247" t="s">
        <v>972</v>
      </c>
      <c r="BX183" s="0"/>
      <c r="BZ183" s="249" t="n">
        <f aca="false">BZ182+CF183</f>
        <v>182</v>
      </c>
      <c r="CA183" s="73" t="s">
        <v>973</v>
      </c>
      <c r="CB183" s="247" t="s">
        <v>199</v>
      </c>
      <c r="CC183" s="161" t="s">
        <v>196</v>
      </c>
      <c r="CD183" s="253" t="s">
        <v>197</v>
      </c>
      <c r="CE183" s="253"/>
      <c r="CF183" s="161" t="n">
        <v>1</v>
      </c>
      <c r="CG183" s="247" t="s">
        <v>974</v>
      </c>
      <c r="CH183" s="0"/>
    </row>
    <row r="184" customFormat="false" ht="12.75" hidden="false" customHeight="false" outlineLevel="0" collapsed="false">
      <c r="A184" s="286"/>
      <c r="B184" s="287" t="e">
        <f aca="false">NextMonth(B183)</f>
        <v>#VALUE!</v>
      </c>
      <c r="C184" s="239" t="n">
        <v>0.0646918981382547</v>
      </c>
      <c r="D184" s="239" t="n">
        <v>0.4</v>
      </c>
      <c r="E184" s="239" t="n">
        <v>0.4</v>
      </c>
      <c r="F184" s="239" t="n">
        <v>0.1625</v>
      </c>
      <c r="G184" s="239" t="n">
        <v>0.17</v>
      </c>
      <c r="H184" s="239" t="n">
        <v>0.1775</v>
      </c>
      <c r="I184" s="262" t="n">
        <v>4.8125</v>
      </c>
      <c r="J184" s="239" t="n">
        <v>4.8175</v>
      </c>
      <c r="K184" s="239" t="n">
        <v>4.8225</v>
      </c>
      <c r="L184" s="239" t="n">
        <v>-0.14</v>
      </c>
      <c r="M184" s="239" t="n">
        <v>-0.14</v>
      </c>
      <c r="O184" s="235"/>
      <c r="P184" s="288"/>
      <c r="Q184" s="288"/>
      <c r="R184" s="289" t="e">
        <f aca="false">B184</f>
        <v>#VALUE!</v>
      </c>
      <c r="S184" s="290" t="n">
        <f aca="false">T184-$S$16</f>
        <v>0.33</v>
      </c>
      <c r="T184" s="285" t="n">
        <f aca="false">D184</f>
        <v>0.4</v>
      </c>
      <c r="U184" s="291" t="n">
        <f aca="false">$U$16+T184</f>
        <v>0.47</v>
      </c>
      <c r="BP184" s="249" t="n">
        <f aca="false">BP183+BV184</f>
        <v>183</v>
      </c>
      <c r="BQ184" s="250" t="s">
        <v>975</v>
      </c>
      <c r="BR184" s="247" t="s">
        <v>195</v>
      </c>
      <c r="BS184" s="161" t="s">
        <v>324</v>
      </c>
      <c r="BT184" s="253" t="s">
        <v>197</v>
      </c>
      <c r="BU184" s="253"/>
      <c r="BV184" s="161" t="n">
        <v>1</v>
      </c>
      <c r="BW184" s="247" t="s">
        <v>976</v>
      </c>
      <c r="BX184" s="0"/>
      <c r="BZ184" s="249" t="n">
        <f aca="false">BZ183+CF184</f>
        <v>183</v>
      </c>
      <c r="CA184" s="73" t="s">
        <v>977</v>
      </c>
      <c r="CB184" s="247" t="s">
        <v>199</v>
      </c>
      <c r="CC184" s="161" t="s">
        <v>196</v>
      </c>
      <c r="CD184" s="253" t="s">
        <v>197</v>
      </c>
      <c r="CE184" s="253"/>
      <c r="CF184" s="161" t="n">
        <v>1</v>
      </c>
      <c r="CG184" s="247" t="s">
        <v>978</v>
      </c>
      <c r="CH184" s="0"/>
    </row>
    <row r="185" customFormat="false" ht="12.75" hidden="false" customHeight="false" outlineLevel="0" collapsed="false">
      <c r="A185" s="286"/>
      <c r="B185" s="287" t="e">
        <f aca="false">NextMonth(B184)</f>
        <v>#VALUE!</v>
      </c>
      <c r="C185" s="239" t="n">
        <v>0.0647288889895945</v>
      </c>
      <c r="D185" s="239" t="n">
        <v>0.4</v>
      </c>
      <c r="E185" s="239" t="n">
        <v>0.4</v>
      </c>
      <c r="F185" s="239" t="n">
        <v>0.1625</v>
      </c>
      <c r="G185" s="239" t="n">
        <v>0.17</v>
      </c>
      <c r="H185" s="239" t="n">
        <v>0.1775</v>
      </c>
      <c r="I185" s="262" t="n">
        <v>4.8465</v>
      </c>
      <c r="J185" s="239" t="n">
        <v>4.8515</v>
      </c>
      <c r="K185" s="239" t="n">
        <v>4.8565</v>
      </c>
      <c r="L185" s="239" t="n">
        <v>-0.14</v>
      </c>
      <c r="M185" s="239" t="n">
        <v>-0.14</v>
      </c>
      <c r="O185" s="235"/>
      <c r="P185" s="288"/>
      <c r="Q185" s="288"/>
      <c r="R185" s="289" t="e">
        <f aca="false">B185</f>
        <v>#VALUE!</v>
      </c>
      <c r="S185" s="290" t="n">
        <f aca="false">T185-$S$16</f>
        <v>0.33</v>
      </c>
      <c r="T185" s="285" t="n">
        <f aca="false">D185</f>
        <v>0.4</v>
      </c>
      <c r="U185" s="291" t="n">
        <f aca="false">$U$16+T185</f>
        <v>0.47</v>
      </c>
      <c r="BP185" s="249" t="n">
        <f aca="false">BP184+BV185</f>
        <v>184</v>
      </c>
      <c r="BQ185" s="250" t="s">
        <v>979</v>
      </c>
      <c r="BR185" s="247" t="s">
        <v>195</v>
      </c>
      <c r="BS185" s="161" t="s">
        <v>324</v>
      </c>
      <c r="BT185" s="253" t="s">
        <v>197</v>
      </c>
      <c r="BU185" s="253"/>
      <c r="BV185" s="161" t="n">
        <v>1</v>
      </c>
      <c r="BW185" s="247" t="s">
        <v>980</v>
      </c>
      <c r="BX185" s="0"/>
      <c r="BZ185" s="249" t="n">
        <f aca="false">BZ184+CF185</f>
        <v>184</v>
      </c>
      <c r="CA185" s="73" t="s">
        <v>981</v>
      </c>
      <c r="CB185" s="247" t="s">
        <v>199</v>
      </c>
      <c r="CC185" s="161" t="s">
        <v>196</v>
      </c>
      <c r="CD185" s="253" t="s">
        <v>197</v>
      </c>
      <c r="CE185" s="253"/>
      <c r="CF185" s="161" t="n">
        <v>1</v>
      </c>
      <c r="CG185" s="247" t="s">
        <v>982</v>
      </c>
      <c r="CH185" s="0"/>
    </row>
    <row r="186" customFormat="false" ht="12.75" hidden="false" customHeight="false" outlineLevel="0" collapsed="false">
      <c r="A186" s="286"/>
      <c r="B186" s="287" t="e">
        <f aca="false">NextMonth(B185)</f>
        <v>#VALUE!</v>
      </c>
      <c r="C186" s="239" t="n">
        <v>0.0647671128697889</v>
      </c>
      <c r="D186" s="239" t="n">
        <v>0.4</v>
      </c>
      <c r="E186" s="239" t="n">
        <v>0.4</v>
      </c>
      <c r="F186" s="239" t="n">
        <v>0.1625</v>
      </c>
      <c r="G186" s="239" t="n">
        <v>0.17</v>
      </c>
      <c r="H186" s="239" t="n">
        <v>0.1775</v>
      </c>
      <c r="I186" s="262" t="n">
        <v>4.8795</v>
      </c>
      <c r="J186" s="239" t="n">
        <v>4.8845</v>
      </c>
      <c r="K186" s="239" t="n">
        <v>4.8895</v>
      </c>
      <c r="L186" s="239" t="n">
        <v>-0.14</v>
      </c>
      <c r="M186" s="239" t="n">
        <v>-0.14</v>
      </c>
      <c r="O186" s="235"/>
      <c r="P186" s="288"/>
      <c r="Q186" s="288"/>
      <c r="R186" s="289" t="e">
        <f aca="false">B186</f>
        <v>#VALUE!</v>
      </c>
      <c r="S186" s="290" t="n">
        <f aca="false">T186-$S$16</f>
        <v>0.33</v>
      </c>
      <c r="T186" s="285" t="n">
        <f aca="false">D186</f>
        <v>0.4</v>
      </c>
      <c r="U186" s="291" t="n">
        <f aca="false">$U$16+T186</f>
        <v>0.47</v>
      </c>
      <c r="BP186" s="249" t="n">
        <f aca="false">BP185+BV186</f>
        <v>185</v>
      </c>
      <c r="BQ186" s="250" t="s">
        <v>983</v>
      </c>
      <c r="BR186" s="247" t="s">
        <v>195</v>
      </c>
      <c r="BS186" s="161" t="s">
        <v>324</v>
      </c>
      <c r="BT186" s="253" t="s">
        <v>197</v>
      </c>
      <c r="BU186" s="253"/>
      <c r="BV186" s="161" t="n">
        <v>1</v>
      </c>
      <c r="BW186" s="247" t="s">
        <v>984</v>
      </c>
      <c r="BX186" s="0"/>
      <c r="BZ186" s="249" t="n">
        <f aca="false">BZ185+CF186</f>
        <v>185</v>
      </c>
      <c r="CA186" s="73" t="s">
        <v>985</v>
      </c>
      <c r="CB186" s="247" t="s">
        <v>199</v>
      </c>
      <c r="CC186" s="161" t="s">
        <v>196</v>
      </c>
      <c r="CD186" s="253" t="s">
        <v>197</v>
      </c>
      <c r="CE186" s="253"/>
      <c r="CF186" s="161" t="n">
        <v>1</v>
      </c>
      <c r="CG186" s="247" t="s">
        <v>986</v>
      </c>
      <c r="CH186" s="0"/>
    </row>
    <row r="187" customFormat="false" ht="12.75" hidden="false" customHeight="false" outlineLevel="0" collapsed="false">
      <c r="A187" s="286"/>
      <c r="B187" s="287" t="e">
        <f aca="false">NextMonth(B186)</f>
        <v>#VALUE!</v>
      </c>
      <c r="C187" s="239" t="n">
        <v>0.064804103722051</v>
      </c>
      <c r="D187" s="239" t="n">
        <v>0.4</v>
      </c>
      <c r="E187" s="239" t="n">
        <v>0.4</v>
      </c>
      <c r="F187" s="239" t="n">
        <v>0.1625</v>
      </c>
      <c r="G187" s="239" t="n">
        <v>0.17</v>
      </c>
      <c r="H187" s="239" t="n">
        <v>0.1775</v>
      </c>
      <c r="I187" s="262" t="n">
        <v>4.9245</v>
      </c>
      <c r="J187" s="239" t="n">
        <v>4.9295</v>
      </c>
      <c r="K187" s="239" t="n">
        <v>4.9345</v>
      </c>
      <c r="L187" s="239" t="n">
        <v>-0.14</v>
      </c>
      <c r="M187" s="239" t="n">
        <v>-0.14</v>
      </c>
      <c r="O187" s="235"/>
      <c r="P187" s="288"/>
      <c r="Q187" s="288"/>
      <c r="R187" s="289" t="e">
        <f aca="false">B187</f>
        <v>#VALUE!</v>
      </c>
      <c r="S187" s="290" t="n">
        <f aca="false">T187-$S$16</f>
        <v>0.33</v>
      </c>
      <c r="T187" s="285" t="n">
        <f aca="false">D187</f>
        <v>0.4</v>
      </c>
      <c r="U187" s="291" t="n">
        <f aca="false">$U$16+T187</f>
        <v>0.47</v>
      </c>
      <c r="BP187" s="249" t="n">
        <f aca="false">BP186+BV187</f>
        <v>186</v>
      </c>
      <c r="BQ187" s="250" t="s">
        <v>987</v>
      </c>
      <c r="BR187" s="247" t="s">
        <v>195</v>
      </c>
      <c r="BS187" s="161" t="s">
        <v>324</v>
      </c>
      <c r="BT187" s="253" t="s">
        <v>197</v>
      </c>
      <c r="BU187" s="253"/>
      <c r="BV187" s="161" t="n">
        <v>1</v>
      </c>
      <c r="BW187" s="247" t="s">
        <v>988</v>
      </c>
      <c r="BX187" s="0"/>
    </row>
    <row r="188" customFormat="false" ht="12.75" hidden="false" customHeight="false" outlineLevel="0" collapsed="false">
      <c r="A188" s="286"/>
      <c r="B188" s="287" t="e">
        <f aca="false">NextMonth(B187)</f>
        <v>#VALUE!</v>
      </c>
      <c r="C188" s="239" t="n">
        <v>0.0648423276031989</v>
      </c>
      <c r="D188" s="239" t="n">
        <v>0.5</v>
      </c>
      <c r="E188" s="239" t="n">
        <v>0.5</v>
      </c>
      <c r="F188" s="239" t="n">
        <v>0.1625</v>
      </c>
      <c r="G188" s="239" t="n">
        <v>0.17</v>
      </c>
      <c r="H188" s="239" t="n">
        <v>0.1775</v>
      </c>
      <c r="I188" s="262" t="n">
        <v>4.9595</v>
      </c>
      <c r="J188" s="239" t="n">
        <v>4.9645</v>
      </c>
      <c r="K188" s="239" t="n">
        <v>4.9695</v>
      </c>
      <c r="L188" s="239" t="n">
        <v>-0.14</v>
      </c>
      <c r="M188" s="239" t="n">
        <v>-0.14</v>
      </c>
      <c r="O188" s="235"/>
      <c r="P188" s="288"/>
      <c r="Q188" s="288"/>
      <c r="R188" s="289" t="e">
        <f aca="false">B188</f>
        <v>#VALUE!</v>
      </c>
      <c r="S188" s="290" t="n">
        <f aca="false">T188-$S$16</f>
        <v>0.43</v>
      </c>
      <c r="T188" s="285" t="n">
        <f aca="false">D188</f>
        <v>0.5</v>
      </c>
      <c r="U188" s="291" t="n">
        <f aca="false">$U$16+T188</f>
        <v>0.57</v>
      </c>
      <c r="BP188" s="249" t="n">
        <f aca="false">BP187+BV188</f>
        <v>187</v>
      </c>
      <c r="BQ188" s="250" t="s">
        <v>989</v>
      </c>
      <c r="BR188" s="247" t="s">
        <v>195</v>
      </c>
      <c r="BS188" s="161" t="s">
        <v>324</v>
      </c>
      <c r="BT188" s="253" t="s">
        <v>197</v>
      </c>
      <c r="BU188" s="253"/>
      <c r="BV188" s="161" t="n">
        <v>1</v>
      </c>
      <c r="BW188" s="247" t="s">
        <v>990</v>
      </c>
      <c r="BX188" s="0"/>
    </row>
    <row r="189" customFormat="false" ht="12.75" hidden="false" customHeight="false" outlineLevel="0" collapsed="false">
      <c r="A189" s="286"/>
      <c r="B189" s="287" t="e">
        <f aca="false">NextMonth(B188)</f>
        <v>#VALUE!</v>
      </c>
      <c r="C189" s="239" t="n">
        <v>0.0648805514848303</v>
      </c>
      <c r="D189" s="239" t="n">
        <v>0.55</v>
      </c>
      <c r="E189" s="239" t="n">
        <v>0.55</v>
      </c>
      <c r="F189" s="239" t="n">
        <v>0.1625</v>
      </c>
      <c r="G189" s="239" t="n">
        <v>0.17</v>
      </c>
      <c r="H189" s="239" t="n">
        <v>0.1775</v>
      </c>
      <c r="I189" s="262" t="n">
        <v>4.9645</v>
      </c>
      <c r="J189" s="239" t="n">
        <v>4.9695</v>
      </c>
      <c r="K189" s="239" t="n">
        <v>4.9745</v>
      </c>
      <c r="L189" s="239" t="n">
        <v>-0.14</v>
      </c>
      <c r="M189" s="239" t="n">
        <v>-0.14</v>
      </c>
      <c r="O189" s="235"/>
      <c r="P189" s="288"/>
      <c r="Q189" s="288"/>
      <c r="R189" s="289" t="e">
        <f aca="false">B189</f>
        <v>#VALUE!</v>
      </c>
      <c r="S189" s="290" t="n">
        <f aca="false">T189-$S$16</f>
        <v>0.48</v>
      </c>
      <c r="T189" s="285" t="n">
        <f aca="false">D189</f>
        <v>0.55</v>
      </c>
      <c r="U189" s="291" t="n">
        <f aca="false">$U$16+T189</f>
        <v>0.62</v>
      </c>
      <c r="BP189" s="249" t="n">
        <f aca="false">BP188+BV189</f>
        <v>188</v>
      </c>
      <c r="BQ189" s="250" t="s">
        <v>991</v>
      </c>
      <c r="BR189" s="247" t="s">
        <v>195</v>
      </c>
      <c r="BS189" s="161" t="s">
        <v>324</v>
      </c>
      <c r="BT189" s="253" t="s">
        <v>197</v>
      </c>
      <c r="BU189" s="253"/>
      <c r="BV189" s="161" t="n">
        <v>1</v>
      </c>
      <c r="BW189" s="247" t="s">
        <v>992</v>
      </c>
      <c r="BX189" s="0"/>
    </row>
    <row r="190" customFormat="false" ht="12.75" hidden="false" customHeight="false" outlineLevel="0" collapsed="false">
      <c r="A190" s="286"/>
      <c r="B190" s="287" t="e">
        <f aca="false">NextMonth(B189)</f>
        <v>#VALUE!</v>
      </c>
      <c r="C190" s="239" t="n">
        <v>0.0649175423384838</v>
      </c>
      <c r="D190" s="239" t="n">
        <v>0.55</v>
      </c>
      <c r="E190" s="239" t="n">
        <v>0.55</v>
      </c>
      <c r="F190" s="239" t="n">
        <v>0.1625</v>
      </c>
      <c r="G190" s="239" t="n">
        <v>0.17</v>
      </c>
      <c r="H190" s="239" t="n">
        <v>0.1775</v>
      </c>
      <c r="I190" s="262" t="n">
        <v>4.9895</v>
      </c>
      <c r="J190" s="239" t="n">
        <v>4.9945</v>
      </c>
      <c r="K190" s="239" t="n">
        <v>4.9995</v>
      </c>
      <c r="L190" s="239" t="n">
        <v>-0.14</v>
      </c>
      <c r="M190" s="239" t="n">
        <v>-0.14</v>
      </c>
      <c r="O190" s="235"/>
      <c r="P190" s="288"/>
      <c r="Q190" s="288"/>
      <c r="R190" s="289" t="e">
        <f aca="false">B190</f>
        <v>#VALUE!</v>
      </c>
      <c r="S190" s="290" t="n">
        <f aca="false">T190-$S$16</f>
        <v>0.48</v>
      </c>
      <c r="T190" s="285" t="n">
        <f aca="false">D190</f>
        <v>0.55</v>
      </c>
      <c r="U190" s="291" t="n">
        <f aca="false">$U$16+T190</f>
        <v>0.62</v>
      </c>
      <c r="BP190" s="249" t="n">
        <f aca="false">BP189+BV190</f>
        <v>189</v>
      </c>
      <c r="BQ190" s="250" t="s">
        <v>993</v>
      </c>
      <c r="BR190" s="247" t="s">
        <v>195</v>
      </c>
      <c r="BS190" s="161" t="s">
        <v>324</v>
      </c>
      <c r="BT190" s="253" t="s">
        <v>197</v>
      </c>
      <c r="BU190" s="253"/>
      <c r="BV190" s="161" t="n">
        <v>1</v>
      </c>
      <c r="BW190" s="247" t="s">
        <v>994</v>
      </c>
      <c r="BX190" s="0"/>
    </row>
    <row r="191" customFormat="false" ht="12.75" hidden="false" customHeight="false" outlineLevel="0" collapsed="false">
      <c r="A191" s="286"/>
      <c r="B191" s="287" t="e">
        <f aca="false">NextMonth(B190)</f>
        <v>#VALUE!</v>
      </c>
      <c r="C191" s="239" t="n">
        <v>0.0649557662210682</v>
      </c>
      <c r="D191" s="239" t="n">
        <v>0.8</v>
      </c>
      <c r="E191" s="239" t="n">
        <v>0.8</v>
      </c>
      <c r="F191" s="239" t="n">
        <v>0.1625</v>
      </c>
      <c r="G191" s="239" t="n">
        <v>0.17</v>
      </c>
      <c r="H191" s="239" t="n">
        <v>0.1775</v>
      </c>
      <c r="I191" s="262" t="n">
        <v>5.0995</v>
      </c>
      <c r="J191" s="239" t="n">
        <v>5.1045</v>
      </c>
      <c r="K191" s="239" t="n">
        <v>5.1095</v>
      </c>
      <c r="L191" s="239" t="n">
        <v>-0.1425</v>
      </c>
      <c r="M191" s="239" t="n">
        <v>-0.1425</v>
      </c>
      <c r="O191" s="235"/>
      <c r="P191" s="288"/>
      <c r="Q191" s="288"/>
      <c r="R191" s="289" t="e">
        <f aca="false">B191</f>
        <v>#VALUE!</v>
      </c>
      <c r="S191" s="290" t="n">
        <f aca="false">T191-$S$16</f>
        <v>0.73</v>
      </c>
      <c r="T191" s="285" t="n">
        <f aca="false">D191</f>
        <v>0.8</v>
      </c>
      <c r="U191" s="291" t="n">
        <f aca="false">$U$16+T191</f>
        <v>0.87</v>
      </c>
      <c r="BP191" s="249" t="n">
        <f aca="false">BP190+BV191</f>
        <v>190</v>
      </c>
      <c r="BQ191" s="250" t="s">
        <v>995</v>
      </c>
      <c r="BR191" s="247" t="s">
        <v>195</v>
      </c>
      <c r="BS191" s="161" t="s">
        <v>324</v>
      </c>
      <c r="BT191" s="253" t="s">
        <v>197</v>
      </c>
      <c r="BU191" s="253"/>
      <c r="BV191" s="161" t="n">
        <v>1</v>
      </c>
      <c r="BW191" s="247" t="s">
        <v>996</v>
      </c>
      <c r="BX191" s="0"/>
    </row>
    <row r="192" customFormat="false" ht="12.75" hidden="false" customHeight="false" outlineLevel="0" collapsed="false">
      <c r="A192" s="286"/>
      <c r="B192" s="287" t="e">
        <f aca="false">NextMonth(B191)</f>
        <v>#VALUE!</v>
      </c>
      <c r="C192" s="239" t="n">
        <v>0.0649927570756437</v>
      </c>
      <c r="D192" s="239" t="n">
        <v>1</v>
      </c>
      <c r="E192" s="239" t="n">
        <v>1</v>
      </c>
      <c r="F192" s="239" t="n">
        <v>0.1625</v>
      </c>
      <c r="G192" s="239" t="n">
        <v>0.17</v>
      </c>
      <c r="H192" s="239" t="n">
        <v>0.1775</v>
      </c>
      <c r="I192" s="262" t="n">
        <v>5.2195</v>
      </c>
      <c r="J192" s="239" t="n">
        <v>5.2245</v>
      </c>
      <c r="K192" s="239" t="n">
        <v>5.2295</v>
      </c>
      <c r="L192" s="239" t="n">
        <v>-0.1375</v>
      </c>
      <c r="M192" s="239" t="n">
        <v>-0.1375</v>
      </c>
      <c r="O192" s="235"/>
      <c r="P192" s="288"/>
      <c r="Q192" s="288"/>
      <c r="R192" s="289" t="e">
        <f aca="false">B192</f>
        <v>#VALUE!</v>
      </c>
      <c r="S192" s="290" t="n">
        <f aca="false">T192-$S$16</f>
        <v>0.93</v>
      </c>
      <c r="T192" s="285" t="n">
        <f aca="false">D192</f>
        <v>1</v>
      </c>
      <c r="U192" s="291" t="n">
        <f aca="false">$U$16+T192</f>
        <v>1.07</v>
      </c>
      <c r="BP192" s="249" t="n">
        <f aca="false">BP191+BV192</f>
        <v>191</v>
      </c>
      <c r="BQ192" s="250" t="s">
        <v>997</v>
      </c>
      <c r="BR192" s="247" t="s">
        <v>195</v>
      </c>
      <c r="BS192" s="161" t="s">
        <v>324</v>
      </c>
      <c r="BT192" s="253" t="s">
        <v>197</v>
      </c>
      <c r="BU192" s="253"/>
      <c r="BV192" s="161" t="n">
        <v>1</v>
      </c>
      <c r="BW192" s="247" t="s">
        <v>998</v>
      </c>
      <c r="BX192" s="0"/>
    </row>
    <row r="193" customFormat="false" ht="12.75" hidden="false" customHeight="false" outlineLevel="0" collapsed="false">
      <c r="A193" s="286"/>
      <c r="B193" s="287" t="e">
        <f aca="false">NextMonth(B192)</f>
        <v>#VALUE!</v>
      </c>
      <c r="C193" s="239" t="n">
        <v>0.0650309809591816</v>
      </c>
      <c r="D193" s="239" t="n">
        <v>1</v>
      </c>
      <c r="E193" s="239" t="n">
        <v>1</v>
      </c>
      <c r="F193" s="239" t="n">
        <v>0.1625</v>
      </c>
      <c r="G193" s="239" t="n">
        <v>0.17</v>
      </c>
      <c r="H193" s="239" t="n">
        <v>0.1775</v>
      </c>
      <c r="I193" s="262" t="n">
        <v>5.3195</v>
      </c>
      <c r="J193" s="239" t="n">
        <v>5.3245</v>
      </c>
      <c r="K193" s="239" t="n">
        <v>5.3295</v>
      </c>
      <c r="L193" s="239" t="n">
        <v>-0.1375</v>
      </c>
      <c r="M193" s="239" t="n">
        <v>-0.1375</v>
      </c>
      <c r="O193" s="235"/>
      <c r="P193" s="288"/>
      <c r="Q193" s="288"/>
      <c r="R193" s="289" t="e">
        <f aca="false">B193</f>
        <v>#VALUE!</v>
      </c>
      <c r="S193" s="290" t="n">
        <f aca="false">T193-$S$16</f>
        <v>0.93</v>
      </c>
      <c r="T193" s="285" t="n">
        <f aca="false">D193</f>
        <v>1</v>
      </c>
      <c r="U193" s="291" t="n">
        <f aca="false">$U$16+T193</f>
        <v>1.07</v>
      </c>
      <c r="BP193" s="249" t="n">
        <f aca="false">BP192+BV193</f>
        <v>192</v>
      </c>
      <c r="BQ193" s="250" t="s">
        <v>999</v>
      </c>
      <c r="BR193" s="247" t="s">
        <v>195</v>
      </c>
      <c r="BS193" s="161" t="s">
        <v>324</v>
      </c>
      <c r="BT193" s="253" t="s">
        <v>197</v>
      </c>
      <c r="BU193" s="253"/>
      <c r="BV193" s="161" t="n">
        <v>1</v>
      </c>
      <c r="BW193" s="247" t="s">
        <v>1000</v>
      </c>
      <c r="BX193" s="0"/>
    </row>
    <row r="194" customFormat="false" ht="12.75" hidden="false" customHeight="false" outlineLevel="0" collapsed="false">
      <c r="A194" s="286"/>
      <c r="B194" s="287" t="e">
        <f aca="false">NextMonth(B193)</f>
        <v>#VALUE!</v>
      </c>
      <c r="C194" s="239" t="n">
        <v>0.0650692048432036</v>
      </c>
      <c r="D194" s="239" t="n">
        <v>1</v>
      </c>
      <c r="E194" s="239" t="n">
        <v>1</v>
      </c>
      <c r="F194" s="239" t="n">
        <v>0.1625</v>
      </c>
      <c r="G194" s="239" t="n">
        <v>0.17</v>
      </c>
      <c r="H194" s="239" t="n">
        <v>0.1775</v>
      </c>
      <c r="I194" s="262" t="n">
        <v>5.1995</v>
      </c>
      <c r="J194" s="239" t="n">
        <v>5.2045</v>
      </c>
      <c r="K194" s="239" t="n">
        <v>5.2095</v>
      </c>
      <c r="L194" s="239" t="n">
        <v>-0.14</v>
      </c>
      <c r="M194" s="239" t="n">
        <v>-0.14</v>
      </c>
      <c r="O194" s="235"/>
      <c r="P194" s="288"/>
      <c r="Q194" s="288"/>
      <c r="R194" s="289" t="e">
        <f aca="false">B194</f>
        <v>#VALUE!</v>
      </c>
      <c r="S194" s="290" t="n">
        <f aca="false">T194-$S$16</f>
        <v>0.93</v>
      </c>
      <c r="T194" s="285" t="n">
        <f aca="false">D194</f>
        <v>1</v>
      </c>
      <c r="U194" s="291" t="n">
        <f aca="false">$U$16+T194</f>
        <v>1.07</v>
      </c>
      <c r="BP194" s="249" t="n">
        <f aca="false">BP193+BV194</f>
        <v>193</v>
      </c>
      <c r="BQ194" s="250" t="s">
        <v>1001</v>
      </c>
      <c r="BR194" s="247" t="s">
        <v>195</v>
      </c>
      <c r="BS194" s="161" t="s">
        <v>324</v>
      </c>
      <c r="BT194" s="253" t="s">
        <v>197</v>
      </c>
      <c r="BU194" s="253"/>
      <c r="BV194" s="161" t="n">
        <v>1</v>
      </c>
      <c r="BW194" s="247" t="s">
        <v>1002</v>
      </c>
      <c r="BX194" s="0"/>
    </row>
    <row r="195" customFormat="false" ht="12.75" hidden="false" customHeight="false" outlineLevel="0" collapsed="false">
      <c r="A195" s="286"/>
      <c r="B195" s="287" t="e">
        <f aca="false">NextMonth(B194)</f>
        <v>#VALUE!</v>
      </c>
      <c r="C195" s="239" t="n">
        <v>0.0651049626706302</v>
      </c>
      <c r="D195" s="239" t="n">
        <v>0.75</v>
      </c>
      <c r="E195" s="239" t="n">
        <v>0.75</v>
      </c>
      <c r="F195" s="239" t="n">
        <v>0.1625</v>
      </c>
      <c r="G195" s="239" t="n">
        <v>0.17</v>
      </c>
      <c r="H195" s="239" t="n">
        <v>0.1775</v>
      </c>
      <c r="I195" s="262" t="n">
        <v>5.0595</v>
      </c>
      <c r="J195" s="239" t="n">
        <v>5.0645</v>
      </c>
      <c r="K195" s="239" t="n">
        <v>5.0695</v>
      </c>
      <c r="L195" s="239" t="n">
        <v>-0.1425</v>
      </c>
      <c r="M195" s="239" t="n">
        <v>-0.1425</v>
      </c>
      <c r="O195" s="235"/>
      <c r="P195" s="288"/>
      <c r="Q195" s="288"/>
      <c r="R195" s="289" t="e">
        <f aca="false">B195</f>
        <v>#VALUE!</v>
      </c>
      <c r="S195" s="290" t="n">
        <f aca="false">T195-$S$16</f>
        <v>0.68</v>
      </c>
      <c r="T195" s="285" t="n">
        <f aca="false">D195</f>
        <v>0.75</v>
      </c>
      <c r="U195" s="291" t="n">
        <f aca="false">$U$16+T195</f>
        <v>0.82</v>
      </c>
      <c r="BP195" s="249" t="n">
        <f aca="false">BP194+BV195</f>
        <v>194</v>
      </c>
      <c r="BQ195" s="250" t="s">
        <v>1003</v>
      </c>
      <c r="BR195" s="247" t="s">
        <v>195</v>
      </c>
      <c r="BS195" s="161" t="s">
        <v>324</v>
      </c>
      <c r="BT195" s="253" t="s">
        <v>197</v>
      </c>
      <c r="BU195" s="253"/>
      <c r="BV195" s="161" t="n">
        <v>1</v>
      </c>
      <c r="BW195" s="247" t="s">
        <v>1004</v>
      </c>
      <c r="BX195" s="0"/>
    </row>
    <row r="196" customFormat="false" ht="12.75" hidden="false" customHeight="false" outlineLevel="0" collapsed="false">
      <c r="A196" s="286"/>
      <c r="B196" s="287" t="e">
        <f aca="false">NextMonth(B195)</f>
        <v>#VALUE!</v>
      </c>
      <c r="C196" s="239" t="n">
        <v>0.0651431865555896</v>
      </c>
      <c r="D196" s="239" t="n">
        <v>0.4</v>
      </c>
      <c r="E196" s="239" t="n">
        <v>0.4</v>
      </c>
      <c r="F196" s="239" t="n">
        <v>0.1625</v>
      </c>
      <c r="G196" s="239" t="n">
        <v>0.17</v>
      </c>
      <c r="H196" s="239" t="n">
        <v>0.1775</v>
      </c>
      <c r="I196" s="262" t="n">
        <v>4.9175</v>
      </c>
      <c r="J196" s="239" t="n">
        <v>4.9225</v>
      </c>
      <c r="K196" s="239" t="n">
        <v>4.9275</v>
      </c>
      <c r="L196" s="239" t="n">
        <v>-0.14</v>
      </c>
      <c r="M196" s="239" t="n">
        <v>-0.14</v>
      </c>
      <c r="O196" s="235"/>
      <c r="P196" s="288"/>
      <c r="Q196" s="288"/>
      <c r="R196" s="289" t="e">
        <f aca="false">B196</f>
        <v>#VALUE!</v>
      </c>
      <c r="S196" s="290" t="n">
        <f aca="false">T196-$S$16</f>
        <v>0.33</v>
      </c>
      <c r="T196" s="285" t="n">
        <f aca="false">D196</f>
        <v>0.4</v>
      </c>
      <c r="U196" s="291" t="n">
        <f aca="false">$U$16+T196</f>
        <v>0.47</v>
      </c>
      <c r="BP196" s="249" t="n">
        <f aca="false">BP195+BV196</f>
        <v>195</v>
      </c>
      <c r="BQ196" s="250" t="s">
        <v>1005</v>
      </c>
      <c r="BR196" s="247" t="s">
        <v>195</v>
      </c>
      <c r="BS196" s="161" t="s">
        <v>324</v>
      </c>
      <c r="BT196" s="253" t="s">
        <v>197</v>
      </c>
      <c r="BU196" s="253"/>
      <c r="BV196" s="161" t="n">
        <v>1</v>
      </c>
      <c r="BW196" s="247" t="s">
        <v>1006</v>
      </c>
      <c r="BX196" s="0"/>
    </row>
    <row r="197" customFormat="false" ht="12.75" hidden="false" customHeight="false" outlineLevel="0" collapsed="false">
      <c r="A197" s="286"/>
      <c r="B197" s="287" t="e">
        <f aca="false">NextMonth(B196)</f>
        <v>#VALUE!</v>
      </c>
      <c r="C197" s="239" t="n">
        <v>0.0651801774124627</v>
      </c>
      <c r="D197" s="239" t="n">
        <v>0.4</v>
      </c>
      <c r="E197" s="239" t="n">
        <v>0.4</v>
      </c>
      <c r="F197" s="239" t="n">
        <v>0.1625</v>
      </c>
      <c r="G197" s="239" t="n">
        <v>0.17</v>
      </c>
      <c r="H197" s="239" t="n">
        <v>0.1775</v>
      </c>
      <c r="I197" s="262" t="n">
        <v>4.9515</v>
      </c>
      <c r="J197" s="239" t="n">
        <v>4.9565</v>
      </c>
      <c r="K197" s="239" t="n">
        <v>4.9615</v>
      </c>
      <c r="L197" s="239" t="n">
        <v>0</v>
      </c>
      <c r="M197" s="239" t="n">
        <v>0</v>
      </c>
      <c r="O197" s="235"/>
      <c r="P197" s="288"/>
      <c r="Q197" s="288"/>
      <c r="R197" s="289" t="e">
        <f aca="false">B197</f>
        <v>#VALUE!</v>
      </c>
      <c r="S197" s="290" t="n">
        <f aca="false">T197-$S$16</f>
        <v>0.33</v>
      </c>
      <c r="T197" s="285" t="n">
        <f aca="false">D197</f>
        <v>0.4</v>
      </c>
      <c r="U197" s="291" t="n">
        <f aca="false">$U$16+T197</f>
        <v>0.47</v>
      </c>
      <c r="BP197" s="249" t="n">
        <f aca="false">BP196+BV197</f>
        <v>196</v>
      </c>
      <c r="BQ197" s="250" t="s">
        <v>1007</v>
      </c>
      <c r="BR197" s="247" t="s">
        <v>195</v>
      </c>
      <c r="BS197" s="161" t="s">
        <v>324</v>
      </c>
      <c r="BT197" s="253" t="s">
        <v>197</v>
      </c>
      <c r="BU197" s="253"/>
      <c r="BV197" s="161" t="n">
        <v>1</v>
      </c>
      <c r="BW197" s="247" t="s">
        <v>1008</v>
      </c>
      <c r="BX197" s="0"/>
    </row>
    <row r="198" customFormat="false" ht="12.75" hidden="false" customHeight="false" outlineLevel="0" collapsed="false">
      <c r="A198" s="286"/>
      <c r="B198" s="287" t="e">
        <f aca="false">NextMonth(B197)</f>
        <v>#VALUE!</v>
      </c>
      <c r="C198" s="239" t="n">
        <v>0.0652184012983752</v>
      </c>
      <c r="D198" s="239" t="n">
        <v>0.4</v>
      </c>
      <c r="E198" s="239" t="n">
        <v>0.4</v>
      </c>
      <c r="F198" s="239" t="n">
        <v>0.1625</v>
      </c>
      <c r="G198" s="239" t="n">
        <v>0.17</v>
      </c>
      <c r="H198" s="239" t="n">
        <v>0.1775</v>
      </c>
      <c r="I198" s="262" t="n">
        <v>4.9845</v>
      </c>
      <c r="J198" s="239" t="n">
        <v>4.9895</v>
      </c>
      <c r="K198" s="239" t="n">
        <v>4.9945</v>
      </c>
      <c r="L198" s="239" t="n">
        <v>0</v>
      </c>
      <c r="M198" s="239" t="n">
        <v>0</v>
      </c>
      <c r="O198" s="235"/>
      <c r="P198" s="288"/>
      <c r="Q198" s="288"/>
      <c r="R198" s="289" t="e">
        <f aca="false">B198</f>
        <v>#VALUE!</v>
      </c>
      <c r="S198" s="290" t="n">
        <f aca="false">T198-$S$16</f>
        <v>0.33</v>
      </c>
      <c r="T198" s="285" t="n">
        <f aca="false">D198</f>
        <v>0.4</v>
      </c>
      <c r="U198" s="291" t="n">
        <f aca="false">$U$16+T198</f>
        <v>0.47</v>
      </c>
      <c r="BP198" s="249" t="n">
        <f aca="false">BP197+BV198</f>
        <v>197</v>
      </c>
      <c r="BQ198" s="250" t="s">
        <v>1009</v>
      </c>
      <c r="BR198" s="247" t="s">
        <v>195</v>
      </c>
      <c r="BS198" s="161" t="s">
        <v>324</v>
      </c>
      <c r="BT198" s="253" t="s">
        <v>197</v>
      </c>
      <c r="BU198" s="253"/>
      <c r="BV198" s="161" t="n">
        <v>1</v>
      </c>
      <c r="BW198" s="247" t="s">
        <v>1010</v>
      </c>
      <c r="BX198" s="0"/>
    </row>
    <row r="199" customFormat="false" ht="12.75" hidden="false" customHeight="false" outlineLevel="0" collapsed="false">
      <c r="A199" s="286"/>
      <c r="B199" s="287" t="e">
        <f aca="false">NextMonth(B198)</f>
        <v>#VALUE!</v>
      </c>
      <c r="C199" s="239" t="n">
        <v>0.0652553921561703</v>
      </c>
      <c r="D199" s="239" t="n">
        <v>0.4</v>
      </c>
      <c r="E199" s="239" t="n">
        <v>0.4</v>
      </c>
      <c r="F199" s="239" t="n">
        <v>0.1625</v>
      </c>
      <c r="G199" s="239" t="n">
        <v>0.17</v>
      </c>
      <c r="H199" s="239" t="n">
        <v>0.1775</v>
      </c>
      <c r="I199" s="262" t="n">
        <v>5.0295</v>
      </c>
      <c r="J199" s="239" t="n">
        <v>5.0345</v>
      </c>
      <c r="K199" s="239" t="n">
        <v>5.0395</v>
      </c>
      <c r="L199" s="239" t="n">
        <v>0</v>
      </c>
      <c r="M199" s="239" t="n">
        <v>0</v>
      </c>
      <c r="O199" s="235"/>
      <c r="P199" s="288"/>
      <c r="Q199" s="288"/>
      <c r="R199" s="289" t="e">
        <f aca="false">B199</f>
        <v>#VALUE!</v>
      </c>
      <c r="S199" s="290" t="n">
        <f aca="false">T199-$S$16</f>
        <v>0.33</v>
      </c>
      <c r="T199" s="285" t="n">
        <f aca="false">D199</f>
        <v>0.4</v>
      </c>
      <c r="U199" s="291" t="n">
        <f aca="false">$U$16+T199</f>
        <v>0.47</v>
      </c>
      <c r="BP199" s="249" t="n">
        <f aca="false">BP198+BV199</f>
        <v>198</v>
      </c>
      <c r="BQ199" s="250" t="s">
        <v>1011</v>
      </c>
      <c r="BR199" s="247" t="s">
        <v>195</v>
      </c>
      <c r="BS199" s="161" t="s">
        <v>324</v>
      </c>
      <c r="BT199" s="253" t="s">
        <v>197</v>
      </c>
      <c r="BU199" s="253"/>
      <c r="BV199" s="161" t="n">
        <v>1</v>
      </c>
      <c r="BW199" s="247" t="s">
        <v>1012</v>
      </c>
      <c r="BX199" s="0"/>
    </row>
    <row r="200" customFormat="false" ht="12.75" hidden="false" customHeight="false" outlineLevel="0" collapsed="false">
      <c r="A200" s="286"/>
      <c r="B200" s="287" t="e">
        <f aca="false">NextMonth(B199)</f>
        <v>#VALUE!</v>
      </c>
      <c r="C200" s="239" t="n">
        <v>0.0652936160430348</v>
      </c>
      <c r="D200" s="239" t="n">
        <v>0.5</v>
      </c>
      <c r="E200" s="239" t="n">
        <v>0.5</v>
      </c>
      <c r="F200" s="239" t="n">
        <v>0.1625</v>
      </c>
      <c r="G200" s="239" t="n">
        <v>0.17</v>
      </c>
      <c r="H200" s="239" t="n">
        <v>0.1775</v>
      </c>
      <c r="I200" s="262" t="n">
        <v>5.0645</v>
      </c>
      <c r="J200" s="239" t="n">
        <v>5.0695</v>
      </c>
      <c r="K200" s="239" t="n">
        <v>5.0745</v>
      </c>
      <c r="L200" s="239" t="n">
        <v>0</v>
      </c>
      <c r="M200" s="239" t="n">
        <v>0</v>
      </c>
      <c r="O200" s="235"/>
      <c r="P200" s="288"/>
      <c r="Q200" s="288"/>
      <c r="R200" s="289" t="e">
        <f aca="false">B200</f>
        <v>#VALUE!</v>
      </c>
      <c r="S200" s="290" t="n">
        <f aca="false">T200-$S$16</f>
        <v>0.43</v>
      </c>
      <c r="T200" s="285" t="n">
        <f aca="false">D200</f>
        <v>0.5</v>
      </c>
      <c r="U200" s="291" t="n">
        <f aca="false">$U$16+T200</f>
        <v>0.57</v>
      </c>
      <c r="BP200" s="249" t="n">
        <f aca="false">BP199+BV200</f>
        <v>199</v>
      </c>
      <c r="BQ200" s="250" t="s">
        <v>1013</v>
      </c>
      <c r="BR200" s="247" t="s">
        <v>195</v>
      </c>
      <c r="BS200" s="161" t="s">
        <v>324</v>
      </c>
      <c r="BT200" s="253" t="s">
        <v>197</v>
      </c>
      <c r="BU200" s="253"/>
      <c r="BV200" s="161" t="n">
        <v>1</v>
      </c>
      <c r="BW200" s="247" t="s">
        <v>1014</v>
      </c>
      <c r="BX200" s="0"/>
    </row>
    <row r="201" customFormat="false" ht="12.75" hidden="false" customHeight="false" outlineLevel="0" collapsed="false">
      <c r="A201" s="286"/>
      <c r="B201" s="287" t="e">
        <f aca="false">NextMonth(B200)</f>
        <v>#VALUE!</v>
      </c>
      <c r="C201" s="239" t="n">
        <v>0.0653318399303844</v>
      </c>
      <c r="D201" s="239" t="n">
        <v>0.55</v>
      </c>
      <c r="E201" s="239" t="n">
        <v>0.55</v>
      </c>
      <c r="F201" s="239" t="n">
        <v>0.1625</v>
      </c>
      <c r="G201" s="239" t="n">
        <v>0.17</v>
      </c>
      <c r="H201" s="239" t="n">
        <v>0.1775</v>
      </c>
      <c r="I201" s="262" t="n">
        <v>5.0695</v>
      </c>
      <c r="J201" s="239" t="n">
        <v>5.0745</v>
      </c>
      <c r="K201" s="239" t="n">
        <v>5.0795</v>
      </c>
      <c r="L201" s="239" t="n">
        <v>0</v>
      </c>
      <c r="M201" s="239" t="n">
        <v>0</v>
      </c>
      <c r="O201" s="235"/>
      <c r="P201" s="288"/>
      <c r="Q201" s="288"/>
      <c r="R201" s="289" t="e">
        <f aca="false">B201</f>
        <v>#VALUE!</v>
      </c>
      <c r="S201" s="290" t="n">
        <f aca="false">T201-$S$16</f>
        <v>0.48</v>
      </c>
      <c r="T201" s="285" t="n">
        <f aca="false">D201</f>
        <v>0.55</v>
      </c>
      <c r="U201" s="291" t="n">
        <f aca="false">$U$16+T201</f>
        <v>0.62</v>
      </c>
      <c r="BP201" s="249" t="n">
        <f aca="false">BP200+BV201</f>
        <v>200</v>
      </c>
      <c r="BQ201" s="250" t="s">
        <v>1015</v>
      </c>
      <c r="BR201" s="247" t="s">
        <v>195</v>
      </c>
      <c r="BS201" s="161" t="s">
        <v>324</v>
      </c>
      <c r="BT201" s="253" t="s">
        <v>197</v>
      </c>
      <c r="BU201" s="253"/>
      <c r="BV201" s="161" t="n">
        <v>1</v>
      </c>
      <c r="BW201" s="247" t="s">
        <v>1016</v>
      </c>
      <c r="BX201" s="0"/>
    </row>
    <row r="202" customFormat="false" ht="12.75" hidden="false" customHeight="false" outlineLevel="0" collapsed="false">
      <c r="A202" s="286"/>
      <c r="B202" s="287" t="e">
        <f aca="false">NextMonth(B201)</f>
        <v>#VALUE!</v>
      </c>
      <c r="C202" s="239" t="n">
        <v>0.0653688307895703</v>
      </c>
      <c r="D202" s="239" t="n">
        <v>0.55</v>
      </c>
      <c r="E202" s="239" t="n">
        <v>0.55</v>
      </c>
      <c r="F202" s="239" t="n">
        <v>0.1625</v>
      </c>
      <c r="G202" s="239" t="n">
        <v>0.17</v>
      </c>
      <c r="H202" s="239" t="n">
        <v>0.1775</v>
      </c>
      <c r="I202" s="262" t="n">
        <v>5.0945</v>
      </c>
      <c r="J202" s="239" t="n">
        <v>5.0995</v>
      </c>
      <c r="K202" s="239" t="n">
        <v>5.1045</v>
      </c>
      <c r="L202" s="239" t="n">
        <v>0</v>
      </c>
      <c r="M202" s="239" t="n">
        <v>0</v>
      </c>
      <c r="O202" s="235"/>
      <c r="P202" s="288"/>
      <c r="Q202" s="288"/>
      <c r="R202" s="289" t="e">
        <f aca="false">B202</f>
        <v>#VALUE!</v>
      </c>
      <c r="S202" s="290" t="n">
        <f aca="false">T202-$S$16</f>
        <v>0.48</v>
      </c>
      <c r="T202" s="285" t="n">
        <f aca="false">D202</f>
        <v>0.55</v>
      </c>
      <c r="U202" s="291" t="n">
        <f aca="false">$U$16+T202</f>
        <v>0.62</v>
      </c>
      <c r="BP202" s="249" t="n">
        <f aca="false">BP201+BV202</f>
        <v>201</v>
      </c>
      <c r="BQ202" s="250" t="s">
        <v>1017</v>
      </c>
      <c r="BR202" s="247" t="s">
        <v>195</v>
      </c>
      <c r="BS202" s="161" t="s">
        <v>324</v>
      </c>
      <c r="BT202" s="253" t="s">
        <v>197</v>
      </c>
      <c r="BU202" s="253"/>
      <c r="BV202" s="161" t="n">
        <v>1</v>
      </c>
      <c r="BW202" s="247" t="s">
        <v>1018</v>
      </c>
      <c r="BX202" s="0"/>
    </row>
    <row r="203" customFormat="false" ht="12.75" hidden="false" customHeight="false" outlineLevel="0" collapsed="false">
      <c r="A203" s="286"/>
      <c r="B203" s="287" t="e">
        <f aca="false">NextMonth(B202)</f>
        <v>#VALUE!</v>
      </c>
      <c r="C203" s="239" t="n">
        <v>0.0654070546778724</v>
      </c>
      <c r="D203" s="239" t="n">
        <v>0.8</v>
      </c>
      <c r="E203" s="239" t="n">
        <v>0.8</v>
      </c>
      <c r="F203" s="239" t="n">
        <v>0.1625</v>
      </c>
      <c r="G203" s="239" t="n">
        <v>0.17</v>
      </c>
      <c r="H203" s="239" t="n">
        <v>0.1775</v>
      </c>
      <c r="I203" s="262" t="n">
        <v>5.2045</v>
      </c>
      <c r="J203" s="239" t="n">
        <v>5.2095</v>
      </c>
      <c r="K203" s="239" t="n">
        <v>5.2145</v>
      </c>
      <c r="L203" s="239" t="n">
        <v>0</v>
      </c>
      <c r="M203" s="239" t="n">
        <v>0</v>
      </c>
      <c r="O203" s="235"/>
      <c r="P203" s="288"/>
      <c r="Q203" s="288"/>
      <c r="R203" s="289" t="e">
        <f aca="false">B203</f>
        <v>#VALUE!</v>
      </c>
      <c r="S203" s="290" t="n">
        <f aca="false">T203-$S$16</f>
        <v>0.73</v>
      </c>
      <c r="T203" s="285" t="n">
        <f aca="false">D203</f>
        <v>0.8</v>
      </c>
      <c r="U203" s="291" t="n">
        <f aca="false">$U$16+T203</f>
        <v>0.87</v>
      </c>
      <c r="BP203" s="249" t="n">
        <f aca="false">BP202+BV203</f>
        <v>202</v>
      </c>
      <c r="BQ203" s="250" t="s">
        <v>1019</v>
      </c>
      <c r="BR203" s="247" t="s">
        <v>195</v>
      </c>
      <c r="BS203" s="161" t="s">
        <v>324</v>
      </c>
      <c r="BT203" s="253" t="s">
        <v>197</v>
      </c>
      <c r="BU203" s="253"/>
      <c r="BV203" s="161" t="n">
        <v>1</v>
      </c>
      <c r="BW203" s="247" t="s">
        <v>1020</v>
      </c>
      <c r="BX203" s="0"/>
    </row>
    <row r="204" customFormat="false" ht="12.75" hidden="false" customHeight="false" outlineLevel="0" collapsed="false">
      <c r="A204" s="286"/>
      <c r="B204" s="287" t="e">
        <f aca="false">NextMonth(B203)</f>
        <v>#VALUE!</v>
      </c>
      <c r="C204" s="239" t="n">
        <v>0.0654440455379803</v>
      </c>
      <c r="D204" s="239" t="n">
        <v>1</v>
      </c>
      <c r="E204" s="239" t="n">
        <v>1</v>
      </c>
      <c r="F204" s="239" t="n">
        <v>0.1625</v>
      </c>
      <c r="G204" s="239" t="n">
        <v>0.17</v>
      </c>
      <c r="H204" s="239" t="n">
        <v>0.1775</v>
      </c>
      <c r="I204" s="262" t="n">
        <v>5.3245</v>
      </c>
      <c r="J204" s="239" t="n">
        <v>5.3295</v>
      </c>
      <c r="K204" s="239" t="n">
        <v>5.3345</v>
      </c>
      <c r="L204" s="239" t="n">
        <v>0</v>
      </c>
      <c r="M204" s="239" t="n">
        <v>0</v>
      </c>
      <c r="O204" s="235"/>
      <c r="P204" s="288"/>
      <c r="Q204" s="288"/>
      <c r="R204" s="289" t="e">
        <f aca="false">B204</f>
        <v>#VALUE!</v>
      </c>
      <c r="S204" s="290" t="n">
        <f aca="false">T204-$S$16</f>
        <v>0.93</v>
      </c>
      <c r="T204" s="285" t="n">
        <f aca="false">D204</f>
        <v>1</v>
      </c>
      <c r="U204" s="291" t="n">
        <f aca="false">$U$16+T204</f>
        <v>1.07</v>
      </c>
      <c r="BP204" s="249" t="n">
        <f aca="false">BP203+BV204</f>
        <v>203</v>
      </c>
      <c r="BQ204" s="250" t="s">
        <v>1021</v>
      </c>
      <c r="BR204" s="247" t="s">
        <v>195</v>
      </c>
      <c r="BS204" s="161" t="s">
        <v>324</v>
      </c>
      <c r="BT204" s="253" t="s">
        <v>197</v>
      </c>
      <c r="BU204" s="253"/>
      <c r="BV204" s="161" t="n">
        <v>1</v>
      </c>
      <c r="BW204" s="247" t="s">
        <v>1022</v>
      </c>
      <c r="BX204" s="0"/>
    </row>
    <row r="205" customFormat="false" ht="12.75" hidden="false" customHeight="false" outlineLevel="0" collapsed="false">
      <c r="A205" s="286"/>
      <c r="B205" s="287" t="e">
        <f aca="false">NextMonth(B204)</f>
        <v>#VALUE!</v>
      </c>
      <c r="C205" s="239" t="n">
        <v>0.0654822694272354</v>
      </c>
      <c r="D205" s="239" t="n">
        <v>1</v>
      </c>
      <c r="E205" s="239" t="n">
        <v>1</v>
      </c>
      <c r="F205" s="239" t="n">
        <v>0.1625</v>
      </c>
      <c r="G205" s="239" t="n">
        <v>0.17</v>
      </c>
      <c r="H205" s="239" t="n">
        <v>0.1775</v>
      </c>
      <c r="I205" s="262" t="n">
        <v>5.427</v>
      </c>
      <c r="J205" s="239" t="n">
        <v>5.432</v>
      </c>
      <c r="K205" s="239" t="n">
        <v>5.437</v>
      </c>
      <c r="L205" s="239" t="n">
        <v>0</v>
      </c>
      <c r="M205" s="239" t="n">
        <v>0</v>
      </c>
      <c r="O205" s="235"/>
      <c r="P205" s="288"/>
      <c r="Q205" s="288"/>
      <c r="R205" s="289" t="e">
        <f aca="false">B205</f>
        <v>#VALUE!</v>
      </c>
      <c r="S205" s="290" t="n">
        <f aca="false">T205-$S$16</f>
        <v>0.93</v>
      </c>
      <c r="T205" s="285" t="n">
        <f aca="false">D205</f>
        <v>1</v>
      </c>
      <c r="U205" s="291" t="n">
        <f aca="false">$U$16+T205</f>
        <v>1.07</v>
      </c>
      <c r="BP205" s="249" t="n">
        <f aca="false">BP204+BV205</f>
        <v>204</v>
      </c>
      <c r="BQ205" s="250" t="s">
        <v>1023</v>
      </c>
      <c r="BR205" s="247" t="s">
        <v>195</v>
      </c>
      <c r="BS205" s="161" t="s">
        <v>324</v>
      </c>
      <c r="BT205" s="253" t="s">
        <v>197</v>
      </c>
      <c r="BU205" s="253"/>
      <c r="BV205" s="161" t="n">
        <v>1</v>
      </c>
      <c r="BW205" s="247" t="s">
        <v>1024</v>
      </c>
      <c r="BX205" s="0"/>
    </row>
    <row r="206" customFormat="false" ht="12.75" hidden="false" customHeight="false" outlineLevel="0" collapsed="false">
      <c r="A206" s="286"/>
      <c r="B206" s="287" t="e">
        <f aca="false">NextMonth(B205)</f>
        <v>#VALUE!</v>
      </c>
      <c r="C206" s="239" t="n">
        <v>0.0655204933169742</v>
      </c>
      <c r="D206" s="239" t="n">
        <v>1</v>
      </c>
      <c r="E206" s="239" t="n">
        <v>1</v>
      </c>
      <c r="F206" s="239" t="n">
        <v>0.1625</v>
      </c>
      <c r="G206" s="239" t="n">
        <v>0.17</v>
      </c>
      <c r="H206" s="239" t="n">
        <v>0.1775</v>
      </c>
      <c r="I206" s="262" t="n">
        <v>5.307</v>
      </c>
      <c r="J206" s="239" t="n">
        <v>5.312</v>
      </c>
      <c r="K206" s="239" t="n">
        <v>5.317</v>
      </c>
      <c r="L206" s="239" t="n">
        <v>0</v>
      </c>
      <c r="M206" s="239" t="n">
        <v>0</v>
      </c>
      <c r="O206" s="235"/>
      <c r="P206" s="288"/>
      <c r="Q206" s="288"/>
      <c r="R206" s="289" t="e">
        <f aca="false">B206</f>
        <v>#VALUE!</v>
      </c>
      <c r="S206" s="290" t="n">
        <f aca="false">T206-$S$16</f>
        <v>0.93</v>
      </c>
      <c r="T206" s="285" t="n">
        <f aca="false">D206</f>
        <v>1</v>
      </c>
      <c r="U206" s="291" t="n">
        <f aca="false">$U$16+T206</f>
        <v>1.07</v>
      </c>
      <c r="BP206" s="249" t="n">
        <f aca="false">BP205+BV206</f>
        <v>205</v>
      </c>
      <c r="BQ206" s="250" t="s">
        <v>1025</v>
      </c>
      <c r="BR206" s="247" t="s">
        <v>195</v>
      </c>
      <c r="BS206" s="161" t="s">
        <v>324</v>
      </c>
      <c r="BT206" s="253" t="s">
        <v>197</v>
      </c>
      <c r="BU206" s="253"/>
      <c r="BV206" s="161" t="n">
        <v>1</v>
      </c>
      <c r="BW206" s="247" t="s">
        <v>1026</v>
      </c>
      <c r="BX206" s="0"/>
    </row>
    <row r="207" customFormat="false" ht="12.75" hidden="false" customHeight="false" outlineLevel="0" collapsed="false">
      <c r="A207" s="286"/>
      <c r="B207" s="287" t="e">
        <f aca="false">NextMonth(B206)</f>
        <v>#VALUE!</v>
      </c>
      <c r="C207" s="239" t="n">
        <v>0.0655550181210254</v>
      </c>
      <c r="D207" s="239" t="n">
        <v>0.75</v>
      </c>
      <c r="E207" s="239" t="n">
        <v>0.75</v>
      </c>
      <c r="F207" s="239" t="n">
        <v>0.1625</v>
      </c>
      <c r="G207" s="239" t="n">
        <v>0.17</v>
      </c>
      <c r="H207" s="239" t="n">
        <v>0.1775</v>
      </c>
      <c r="I207" s="262" t="n">
        <v>5.167</v>
      </c>
      <c r="J207" s="239" t="n">
        <v>5.172</v>
      </c>
      <c r="K207" s="239" t="n">
        <v>5.177</v>
      </c>
      <c r="L207" s="239" t="n">
        <v>0</v>
      </c>
      <c r="M207" s="239" t="n">
        <v>0</v>
      </c>
      <c r="O207" s="235"/>
      <c r="P207" s="288"/>
      <c r="Q207" s="288"/>
      <c r="R207" s="289" t="e">
        <f aca="false">B207</f>
        <v>#VALUE!</v>
      </c>
      <c r="S207" s="290" t="n">
        <f aca="false">T207-$S$16</f>
        <v>0.68</v>
      </c>
      <c r="T207" s="285" t="n">
        <f aca="false">D207</f>
        <v>0.75</v>
      </c>
      <c r="U207" s="291" t="n">
        <f aca="false">$U$16+T207</f>
        <v>0.82</v>
      </c>
      <c r="BP207" s="249" t="n">
        <f aca="false">BP206+BV207</f>
        <v>206</v>
      </c>
      <c r="BQ207" s="250" t="s">
        <v>1027</v>
      </c>
      <c r="BR207" s="247" t="s">
        <v>195</v>
      </c>
      <c r="BS207" s="161" t="s">
        <v>324</v>
      </c>
      <c r="BT207" s="253" t="s">
        <v>197</v>
      </c>
      <c r="BU207" s="253"/>
      <c r="BV207" s="161" t="n">
        <v>1</v>
      </c>
      <c r="BW207" s="247" t="s">
        <v>1028</v>
      </c>
      <c r="BX207" s="0"/>
    </row>
    <row r="208" customFormat="false" ht="12.75" hidden="false" customHeight="false" outlineLevel="0" collapsed="false">
      <c r="A208" s="286"/>
      <c r="B208" s="287" t="e">
        <f aca="false">NextMonth(B207)</f>
        <v>#VALUE!</v>
      </c>
      <c r="C208" s="239" t="n">
        <v>0.0655932420116856</v>
      </c>
      <c r="D208" s="239" t="n">
        <v>0.4</v>
      </c>
      <c r="E208" s="239" t="n">
        <v>0.4</v>
      </c>
      <c r="F208" s="239" t="n">
        <v>0.1625</v>
      </c>
      <c r="G208" s="239" t="n">
        <v>0.17</v>
      </c>
      <c r="H208" s="239" t="n">
        <v>0.1775</v>
      </c>
      <c r="I208" s="262" t="n">
        <v>5.025</v>
      </c>
      <c r="J208" s="239" t="n">
        <v>5.03</v>
      </c>
      <c r="K208" s="239" t="n">
        <v>5.035</v>
      </c>
      <c r="L208" s="239" t="n">
        <v>0</v>
      </c>
      <c r="M208" s="239" t="n">
        <v>0</v>
      </c>
      <c r="O208" s="235"/>
      <c r="P208" s="288"/>
      <c r="Q208" s="288"/>
      <c r="R208" s="289" t="e">
        <f aca="false">B208</f>
        <v>#VALUE!</v>
      </c>
      <c r="S208" s="290" t="n">
        <f aca="false">T208-$S$16</f>
        <v>0.33</v>
      </c>
      <c r="T208" s="285" t="n">
        <f aca="false">D208</f>
        <v>0.4</v>
      </c>
      <c r="U208" s="291" t="n">
        <f aca="false">$U$16+T208</f>
        <v>0.47</v>
      </c>
      <c r="BP208" s="249" t="n">
        <f aca="false">BP207+BV208</f>
        <v>207</v>
      </c>
      <c r="BQ208" s="250" t="s">
        <v>1029</v>
      </c>
      <c r="BR208" s="247" t="s">
        <v>195</v>
      </c>
      <c r="BS208" s="161" t="s">
        <v>324</v>
      </c>
      <c r="BT208" s="253" t="s">
        <v>197</v>
      </c>
      <c r="BU208" s="253"/>
      <c r="BV208" s="161" t="n">
        <v>1</v>
      </c>
      <c r="BW208" s="247" t="s">
        <v>1030</v>
      </c>
      <c r="BX208" s="0"/>
    </row>
    <row r="209" customFormat="false" ht="12.75" hidden="false" customHeight="false" outlineLevel="0" collapsed="false">
      <c r="A209" s="286"/>
      <c r="B209" s="287" t="e">
        <f aca="false">NextMonth(B208)</f>
        <v>#VALUE!</v>
      </c>
      <c r="C209" s="239" t="n">
        <v>0.0656302328740761</v>
      </c>
      <c r="D209" s="239" t="n">
        <v>0.4</v>
      </c>
      <c r="E209" s="239" t="n">
        <v>0.4</v>
      </c>
      <c r="F209" s="239" t="n">
        <v>0.1625</v>
      </c>
      <c r="G209" s="239" t="n">
        <v>0.17</v>
      </c>
      <c r="H209" s="239" t="n">
        <v>0.1775</v>
      </c>
      <c r="I209" s="262" t="n">
        <v>5.059</v>
      </c>
      <c r="J209" s="239" t="n">
        <v>5.064</v>
      </c>
      <c r="K209" s="239" t="n">
        <v>5.069</v>
      </c>
      <c r="L209" s="239" t="n">
        <v>0</v>
      </c>
      <c r="M209" s="239" t="n">
        <v>0</v>
      </c>
      <c r="O209" s="235"/>
      <c r="P209" s="288"/>
      <c r="Q209" s="288"/>
      <c r="R209" s="289" t="e">
        <f aca="false">B209</f>
        <v>#VALUE!</v>
      </c>
      <c r="S209" s="290" t="n">
        <f aca="false">T209-$S$16</f>
        <v>0.33</v>
      </c>
      <c r="T209" s="285" t="n">
        <f aca="false">D209</f>
        <v>0.4</v>
      </c>
      <c r="U209" s="291" t="n">
        <f aca="false">$U$16+T209</f>
        <v>0.47</v>
      </c>
      <c r="BP209" s="249" t="n">
        <f aca="false">BP208+BV209</f>
        <v>208</v>
      </c>
      <c r="BQ209" s="250" t="s">
        <v>1031</v>
      </c>
      <c r="BR209" s="247" t="s">
        <v>195</v>
      </c>
      <c r="BS209" s="161" t="s">
        <v>324</v>
      </c>
      <c r="BT209" s="253" t="s">
        <v>197</v>
      </c>
      <c r="BU209" s="253"/>
      <c r="BV209" s="161" t="n">
        <v>1</v>
      </c>
      <c r="BW209" s="247" t="s">
        <v>1032</v>
      </c>
      <c r="BX209" s="0"/>
    </row>
    <row r="210" customFormat="false" ht="12.75" hidden="false" customHeight="false" outlineLevel="0" collapsed="false">
      <c r="A210" s="286"/>
      <c r="B210" s="287" t="e">
        <f aca="false">NextMonth(B209)</f>
        <v>#VALUE!</v>
      </c>
      <c r="C210" s="239" t="n">
        <v>0.0656684567656893</v>
      </c>
      <c r="D210" s="239" t="n">
        <v>0.4</v>
      </c>
      <c r="E210" s="239" t="n">
        <v>0.4</v>
      </c>
      <c r="F210" s="239" t="n">
        <v>0.1625</v>
      </c>
      <c r="G210" s="239" t="n">
        <v>0.17</v>
      </c>
      <c r="H210" s="239" t="n">
        <v>0.1775</v>
      </c>
      <c r="I210" s="262" t="n">
        <v>5.092</v>
      </c>
      <c r="J210" s="239" t="n">
        <v>5.097</v>
      </c>
      <c r="K210" s="239" t="n">
        <v>5.102</v>
      </c>
      <c r="L210" s="239" t="n">
        <v>0</v>
      </c>
      <c r="M210" s="239" t="n">
        <v>0</v>
      </c>
      <c r="O210" s="235"/>
      <c r="P210" s="288"/>
      <c r="Q210" s="288"/>
      <c r="R210" s="289" t="e">
        <f aca="false">B210</f>
        <v>#VALUE!</v>
      </c>
      <c r="S210" s="290" t="n">
        <f aca="false">T210-$S$16</f>
        <v>0.33</v>
      </c>
      <c r="T210" s="285" t="n">
        <f aca="false">D210</f>
        <v>0.4</v>
      </c>
      <c r="U210" s="291" t="n">
        <f aca="false">$U$16+T210</f>
        <v>0.47</v>
      </c>
      <c r="BP210" s="249" t="n">
        <f aca="false">BP209+BV210</f>
        <v>209</v>
      </c>
      <c r="BQ210" s="250" t="s">
        <v>1033</v>
      </c>
      <c r="BR210" s="247" t="s">
        <v>195</v>
      </c>
      <c r="BS210" s="161" t="s">
        <v>324</v>
      </c>
      <c r="BT210" s="253" t="s">
        <v>197</v>
      </c>
      <c r="BU210" s="253"/>
      <c r="BV210" s="161" t="n">
        <v>1</v>
      </c>
      <c r="BW210" s="247" t="s">
        <v>1034</v>
      </c>
      <c r="BX210" s="0"/>
    </row>
    <row r="211" customFormat="false" ht="12.75" hidden="false" customHeight="false" outlineLevel="0" collapsed="false">
      <c r="A211" s="286"/>
      <c r="B211" s="287" t="e">
        <f aca="false">NextMonth(B210)</f>
        <v>#VALUE!</v>
      </c>
      <c r="C211" s="239" t="n">
        <v>0.0657054476290013</v>
      </c>
      <c r="D211" s="239" t="n">
        <v>0.4</v>
      </c>
      <c r="E211" s="239" t="n">
        <v>0.4</v>
      </c>
      <c r="F211" s="239" t="n">
        <v>0.1625</v>
      </c>
      <c r="G211" s="239" t="n">
        <v>0.17</v>
      </c>
      <c r="H211" s="239" t="n">
        <v>0.1775</v>
      </c>
      <c r="I211" s="262" t="n">
        <v>5.137</v>
      </c>
      <c r="J211" s="239" t="n">
        <v>5.142</v>
      </c>
      <c r="K211" s="239" t="n">
        <v>5.147</v>
      </c>
      <c r="L211" s="239" t="n">
        <v>0</v>
      </c>
      <c r="M211" s="239" t="n">
        <v>0</v>
      </c>
      <c r="O211" s="235"/>
      <c r="P211" s="288"/>
      <c r="Q211" s="288"/>
      <c r="R211" s="289" t="e">
        <f aca="false">B211</f>
        <v>#VALUE!</v>
      </c>
      <c r="S211" s="290" t="n">
        <f aca="false">T211-$S$16</f>
        <v>0.33</v>
      </c>
      <c r="T211" s="285" t="n">
        <f aca="false">D211</f>
        <v>0.4</v>
      </c>
      <c r="U211" s="291" t="n">
        <f aca="false">$U$16+T211</f>
        <v>0.47</v>
      </c>
      <c r="BP211" s="249" t="n">
        <f aca="false">BP210+BV211</f>
        <v>210</v>
      </c>
      <c r="BQ211" s="250" t="s">
        <v>1035</v>
      </c>
      <c r="BR211" s="247" t="s">
        <v>195</v>
      </c>
      <c r="BS211" s="161" t="s">
        <v>324</v>
      </c>
      <c r="BT211" s="253" t="s">
        <v>197</v>
      </c>
      <c r="BU211" s="253"/>
      <c r="BV211" s="161" t="n">
        <v>1</v>
      </c>
      <c r="BW211" s="247" t="s">
        <v>1036</v>
      </c>
      <c r="BX211" s="0"/>
    </row>
    <row r="212" customFormat="false" ht="12.75" hidden="false" customHeight="false" outlineLevel="0" collapsed="false">
      <c r="A212" s="286"/>
      <c r="B212" s="287" t="e">
        <f aca="false">NextMonth(B211)</f>
        <v>#VALUE!</v>
      </c>
      <c r="C212" s="239" t="n">
        <v>0.0657436715215671</v>
      </c>
      <c r="D212" s="239" t="n">
        <v>0.5</v>
      </c>
      <c r="E212" s="239" t="n">
        <v>0.5</v>
      </c>
      <c r="F212" s="239" t="n">
        <v>0.1625</v>
      </c>
      <c r="G212" s="239" t="n">
        <v>0.17</v>
      </c>
      <c r="H212" s="239" t="n">
        <v>0.1775</v>
      </c>
      <c r="I212" s="262" t="n">
        <v>5.172</v>
      </c>
      <c r="J212" s="239" t="n">
        <v>5.177</v>
      </c>
      <c r="K212" s="239" t="n">
        <v>5.182</v>
      </c>
      <c r="L212" s="239" t="n">
        <v>0</v>
      </c>
      <c r="M212" s="239" t="n">
        <v>0</v>
      </c>
      <c r="O212" s="235"/>
      <c r="P212" s="288"/>
      <c r="Q212" s="288"/>
      <c r="R212" s="289" t="e">
        <f aca="false">B212</f>
        <v>#VALUE!</v>
      </c>
      <c r="S212" s="290" t="n">
        <f aca="false">T212-$S$16</f>
        <v>0.43</v>
      </c>
      <c r="T212" s="285" t="n">
        <f aca="false">D212</f>
        <v>0.5</v>
      </c>
      <c r="U212" s="291" t="n">
        <f aca="false">$U$16+T212</f>
        <v>0.57</v>
      </c>
      <c r="BP212" s="249" t="n">
        <f aca="false">BP211+BV212</f>
        <v>211</v>
      </c>
      <c r="BQ212" s="250" t="s">
        <v>1037</v>
      </c>
      <c r="BR212" s="247" t="s">
        <v>195</v>
      </c>
      <c r="BS212" s="161" t="s">
        <v>324</v>
      </c>
      <c r="BT212" s="253" t="s">
        <v>197</v>
      </c>
      <c r="BU212" s="253"/>
      <c r="BV212" s="161" t="n">
        <v>1</v>
      </c>
      <c r="BW212" s="247" t="s">
        <v>1038</v>
      </c>
      <c r="BX212" s="0"/>
    </row>
    <row r="213" customFormat="false" ht="12.75" hidden="false" customHeight="false" outlineLevel="0" collapsed="false">
      <c r="A213" s="286"/>
      <c r="B213" s="287" t="e">
        <f aca="false">NextMonth(B212)</f>
        <v>#VALUE!</v>
      </c>
      <c r="C213" s="239" t="n">
        <v>0.0657818954146165</v>
      </c>
      <c r="D213" s="239" t="n">
        <v>0.55</v>
      </c>
      <c r="E213" s="239" t="n">
        <v>0.55</v>
      </c>
      <c r="F213" s="239" t="n">
        <v>0.1625</v>
      </c>
      <c r="G213" s="239" t="n">
        <v>0.17</v>
      </c>
      <c r="H213" s="239" t="n">
        <v>0.1775</v>
      </c>
      <c r="I213" s="262" t="n">
        <v>5.177</v>
      </c>
      <c r="J213" s="239" t="n">
        <v>5.182</v>
      </c>
      <c r="K213" s="239" t="n">
        <v>5.187</v>
      </c>
      <c r="L213" s="239" t="n">
        <v>0</v>
      </c>
      <c r="M213" s="239" t="n">
        <v>0</v>
      </c>
      <c r="O213" s="235"/>
      <c r="P213" s="288"/>
      <c r="Q213" s="288"/>
      <c r="R213" s="289" t="e">
        <f aca="false">B213</f>
        <v>#VALUE!</v>
      </c>
      <c r="S213" s="290" t="n">
        <f aca="false">T213-$S$16</f>
        <v>0.48</v>
      </c>
      <c r="T213" s="285" t="n">
        <f aca="false">D213</f>
        <v>0.55</v>
      </c>
      <c r="U213" s="291" t="n">
        <f aca="false">$U$16+T213</f>
        <v>0.62</v>
      </c>
      <c r="BP213" s="249" t="n">
        <f aca="false">BP212+BV213</f>
        <v>212</v>
      </c>
      <c r="BQ213" s="250" t="s">
        <v>1039</v>
      </c>
      <c r="BR213" s="247" t="s">
        <v>195</v>
      </c>
      <c r="BS213" s="161" t="s">
        <v>324</v>
      </c>
      <c r="BT213" s="253" t="s">
        <v>197</v>
      </c>
      <c r="BU213" s="253"/>
      <c r="BV213" s="161" t="n">
        <v>1</v>
      </c>
      <c r="BW213" s="247" t="s">
        <v>1040</v>
      </c>
      <c r="BX213" s="0"/>
    </row>
    <row r="214" customFormat="false" ht="12.75" hidden="false" customHeight="false" outlineLevel="0" collapsed="false">
      <c r="A214" s="286"/>
      <c r="B214" s="287" t="e">
        <f aca="false">NextMonth(B213)</f>
        <v>#VALUE!</v>
      </c>
      <c r="C214" s="239" t="n">
        <v>0.0658188862793194</v>
      </c>
      <c r="D214" s="239" t="n">
        <v>0.55</v>
      </c>
      <c r="E214" s="239" t="n">
        <v>0.55</v>
      </c>
      <c r="F214" s="239" t="n">
        <v>0.1625</v>
      </c>
      <c r="G214" s="239" t="n">
        <v>0.17</v>
      </c>
      <c r="H214" s="239" t="n">
        <v>0.1775</v>
      </c>
      <c r="I214" s="262" t="n">
        <v>5.202</v>
      </c>
      <c r="J214" s="239" t="n">
        <v>5.207</v>
      </c>
      <c r="K214" s="239" t="n">
        <v>5.212</v>
      </c>
      <c r="L214" s="239" t="n">
        <v>0</v>
      </c>
      <c r="M214" s="239" t="n">
        <v>0</v>
      </c>
      <c r="O214" s="235"/>
      <c r="P214" s="288"/>
      <c r="Q214" s="288"/>
      <c r="R214" s="289" t="e">
        <f aca="false">B214</f>
        <v>#VALUE!</v>
      </c>
      <c r="S214" s="290" t="n">
        <f aca="false">T214-$S$16</f>
        <v>0.48</v>
      </c>
      <c r="T214" s="285" t="n">
        <f aca="false">D214</f>
        <v>0.55</v>
      </c>
      <c r="U214" s="291" t="n">
        <f aca="false">$U$16+T214</f>
        <v>0.62</v>
      </c>
      <c r="BP214" s="249" t="n">
        <f aca="false">BP213+BV214</f>
        <v>213</v>
      </c>
      <c r="BQ214" s="250" t="s">
        <v>1041</v>
      </c>
      <c r="BR214" s="247" t="s">
        <v>195</v>
      </c>
      <c r="BS214" s="161" t="s">
        <v>324</v>
      </c>
      <c r="BT214" s="253" t="s">
        <v>197</v>
      </c>
      <c r="BU214" s="253"/>
      <c r="BV214" s="161" t="n">
        <v>1</v>
      </c>
      <c r="BW214" s="247" t="s">
        <v>1042</v>
      </c>
      <c r="BX214" s="0"/>
    </row>
    <row r="215" customFormat="false" ht="12.75" hidden="false" customHeight="false" outlineLevel="0" collapsed="false">
      <c r="A215" s="286"/>
      <c r="B215" s="287" t="e">
        <f aca="false">NextMonth(B214)</f>
        <v>#VALUE!</v>
      </c>
      <c r="C215" s="239" t="n">
        <v>0.0658571101733218</v>
      </c>
      <c r="D215" s="239" t="n">
        <v>0.8</v>
      </c>
      <c r="E215" s="239" t="n">
        <v>0.8</v>
      </c>
      <c r="F215" s="239" t="n">
        <v>0.1625</v>
      </c>
      <c r="G215" s="239" t="n">
        <v>0.17</v>
      </c>
      <c r="H215" s="239" t="n">
        <v>0.1775</v>
      </c>
      <c r="I215" s="262" t="n">
        <v>5.312</v>
      </c>
      <c r="J215" s="239" t="n">
        <v>5.317</v>
      </c>
      <c r="K215" s="239" t="n">
        <v>5.322</v>
      </c>
      <c r="L215" s="239" t="n">
        <v>0</v>
      </c>
      <c r="M215" s="239" t="n">
        <v>0</v>
      </c>
      <c r="O215" s="235"/>
      <c r="P215" s="288"/>
      <c r="Q215" s="288"/>
      <c r="R215" s="289" t="e">
        <f aca="false">B215</f>
        <v>#VALUE!</v>
      </c>
      <c r="S215" s="290" t="n">
        <f aca="false">T215-$S$16</f>
        <v>0.73</v>
      </c>
      <c r="T215" s="285" t="n">
        <f aca="false">D215</f>
        <v>0.8</v>
      </c>
      <c r="U215" s="291" t="n">
        <f aca="false">$U$16+T215</f>
        <v>0.87</v>
      </c>
      <c r="BP215" s="249" t="n">
        <f aca="false">BP214+BV215</f>
        <v>214</v>
      </c>
      <c r="BQ215" s="250" t="s">
        <v>1043</v>
      </c>
      <c r="BR215" s="247" t="s">
        <v>195</v>
      </c>
      <c r="BS215" s="161" t="s">
        <v>324</v>
      </c>
      <c r="BT215" s="253" t="s">
        <v>197</v>
      </c>
      <c r="BU215" s="253"/>
      <c r="BV215" s="161" t="n">
        <v>1</v>
      </c>
      <c r="BW215" s="247" t="s">
        <v>1044</v>
      </c>
      <c r="BX215" s="0"/>
    </row>
    <row r="216" customFormat="false" ht="12.75" hidden="false" customHeight="false" outlineLevel="0" collapsed="false">
      <c r="A216" s="286"/>
      <c r="B216" s="287" t="e">
        <f aca="false">NextMonth(B215)</f>
        <v>#VALUE!</v>
      </c>
      <c r="C216" s="239" t="n">
        <v>0.0658941010389462</v>
      </c>
      <c r="D216" s="239" t="n">
        <v>1</v>
      </c>
      <c r="E216" s="239" t="n">
        <v>1</v>
      </c>
      <c r="F216" s="239" t="n">
        <v>0.1625</v>
      </c>
      <c r="G216" s="239" t="n">
        <v>0.17</v>
      </c>
      <c r="H216" s="239" t="n">
        <v>0.1775</v>
      </c>
      <c r="I216" s="262" t="n">
        <v>5.432</v>
      </c>
      <c r="J216" s="239" t="n">
        <v>5.437</v>
      </c>
      <c r="K216" s="239" t="n">
        <v>5.442</v>
      </c>
      <c r="L216" s="239" t="n">
        <v>0</v>
      </c>
      <c r="M216" s="239" t="n">
        <v>0</v>
      </c>
      <c r="O216" s="235"/>
      <c r="P216" s="288"/>
      <c r="Q216" s="288"/>
      <c r="R216" s="289" t="e">
        <f aca="false">B216</f>
        <v>#VALUE!</v>
      </c>
      <c r="S216" s="290" t="n">
        <f aca="false">T216-$S$16</f>
        <v>0.93</v>
      </c>
      <c r="T216" s="285" t="n">
        <f aca="false">D216</f>
        <v>1</v>
      </c>
      <c r="U216" s="291" t="n">
        <f aca="false">$U$16+T216</f>
        <v>1.07</v>
      </c>
      <c r="BP216" s="249" t="n">
        <f aca="false">BP215+BV216</f>
        <v>215</v>
      </c>
      <c r="BQ216" s="250" t="s">
        <v>1045</v>
      </c>
      <c r="BR216" s="247" t="s">
        <v>195</v>
      </c>
      <c r="BS216" s="161" t="s">
        <v>324</v>
      </c>
      <c r="BT216" s="253" t="s">
        <v>197</v>
      </c>
      <c r="BU216" s="253"/>
      <c r="BV216" s="161" t="n">
        <v>1</v>
      </c>
      <c r="BW216" s="247" t="s">
        <v>1046</v>
      </c>
      <c r="BX216" s="0"/>
    </row>
    <row r="217" customFormat="false" ht="12.75" hidden="false" customHeight="false" outlineLevel="0" collapsed="false">
      <c r="A217" s="286"/>
      <c r="B217" s="287" t="e">
        <f aca="false">NextMonth(B216)</f>
        <v>#VALUE!</v>
      </c>
      <c r="C217" s="239" t="n">
        <v>0.0659323249339012</v>
      </c>
      <c r="D217" s="239" t="n">
        <v>1</v>
      </c>
      <c r="E217" s="239" t="n">
        <v>1</v>
      </c>
      <c r="F217" s="239" t="n">
        <v>0.1625</v>
      </c>
      <c r="G217" s="239" t="n">
        <v>0.17</v>
      </c>
      <c r="H217" s="239" t="n">
        <v>0.1775</v>
      </c>
      <c r="I217" s="262" t="n">
        <v>5.537</v>
      </c>
      <c r="J217" s="239" t="n">
        <v>5.542</v>
      </c>
      <c r="K217" s="239" t="n">
        <v>5.547</v>
      </c>
      <c r="L217" s="239" t="n">
        <v>0</v>
      </c>
      <c r="M217" s="239" t="n">
        <v>0</v>
      </c>
      <c r="O217" s="235"/>
      <c r="P217" s="288"/>
      <c r="Q217" s="288"/>
      <c r="R217" s="289" t="e">
        <f aca="false">B217</f>
        <v>#VALUE!</v>
      </c>
      <c r="S217" s="290" t="n">
        <f aca="false">T217-$S$16</f>
        <v>0.93</v>
      </c>
      <c r="T217" s="285" t="n">
        <f aca="false">D217</f>
        <v>1</v>
      </c>
      <c r="U217" s="291" t="n">
        <f aca="false">$U$16+T217</f>
        <v>1.07</v>
      </c>
      <c r="BP217" s="249" t="n">
        <f aca="false">BP216+BV217</f>
        <v>216</v>
      </c>
      <c r="BQ217" s="250" t="s">
        <v>1047</v>
      </c>
      <c r="BR217" s="247" t="s">
        <v>195</v>
      </c>
      <c r="BS217" s="161" t="s">
        <v>324</v>
      </c>
      <c r="BT217" s="253" t="s">
        <v>197</v>
      </c>
      <c r="BU217" s="253"/>
      <c r="BV217" s="161" t="n">
        <v>1</v>
      </c>
      <c r="BW217" s="247" t="s">
        <v>1048</v>
      </c>
      <c r="BX217" s="0"/>
    </row>
    <row r="218" customFormat="false" ht="12.75" hidden="false" customHeight="false" outlineLevel="0" collapsed="false">
      <c r="A218" s="286"/>
      <c r="B218" s="287" t="e">
        <f aca="false">NextMonth(B217)</f>
        <v>#VALUE!</v>
      </c>
      <c r="C218" s="239" t="n">
        <v>0.0659705488293398</v>
      </c>
      <c r="D218" s="239" t="n">
        <v>1</v>
      </c>
      <c r="E218" s="239" t="n">
        <v>1</v>
      </c>
      <c r="F218" s="239" t="n">
        <v>0.1625</v>
      </c>
      <c r="G218" s="239" t="n">
        <v>0.17</v>
      </c>
      <c r="H218" s="239" t="n">
        <v>0.1775</v>
      </c>
      <c r="I218" s="262" t="n">
        <v>5.417</v>
      </c>
      <c r="J218" s="239" t="n">
        <v>5.422</v>
      </c>
      <c r="K218" s="239" t="n">
        <v>5.427</v>
      </c>
      <c r="L218" s="239" t="n">
        <v>0</v>
      </c>
      <c r="M218" s="239" t="n">
        <v>0</v>
      </c>
      <c r="O218" s="235"/>
      <c r="P218" s="288"/>
      <c r="Q218" s="288"/>
      <c r="R218" s="289" t="e">
        <f aca="false">B218</f>
        <v>#VALUE!</v>
      </c>
      <c r="S218" s="290" t="n">
        <f aca="false">T218-$S$16</f>
        <v>0.93</v>
      </c>
      <c r="T218" s="285" t="n">
        <f aca="false">D218</f>
        <v>1</v>
      </c>
      <c r="U218" s="291" t="n">
        <f aca="false">$U$16+T218</f>
        <v>1.07</v>
      </c>
      <c r="BP218" s="249" t="n">
        <f aca="false">BP217+BV218</f>
        <v>217</v>
      </c>
      <c r="BQ218" s="250" t="s">
        <v>1049</v>
      </c>
      <c r="BR218" s="247" t="s">
        <v>195</v>
      </c>
      <c r="BS218" s="161" t="s">
        <v>324</v>
      </c>
      <c r="BT218" s="253" t="s">
        <v>197</v>
      </c>
      <c r="BU218" s="253"/>
      <c r="BV218" s="161" t="n">
        <v>1</v>
      </c>
      <c r="BW218" s="247" t="s">
        <v>1050</v>
      </c>
      <c r="BX218" s="0"/>
    </row>
    <row r="219" customFormat="false" ht="12.75" hidden="false" customHeight="false" outlineLevel="0" collapsed="false">
      <c r="A219" s="286"/>
      <c r="B219" s="287" t="e">
        <f aca="false">NextMonth(B218)</f>
        <v>#VALUE!</v>
      </c>
      <c r="C219" s="239" t="n">
        <v>0.0660050736385394</v>
      </c>
      <c r="D219" s="239" t="n">
        <v>0.75</v>
      </c>
      <c r="E219" s="239" t="n">
        <v>0.75</v>
      </c>
      <c r="F219" s="239" t="n">
        <v>0.1625</v>
      </c>
      <c r="G219" s="239" t="n">
        <v>0.17</v>
      </c>
      <c r="H219" s="239" t="n">
        <v>0.1775</v>
      </c>
      <c r="I219" s="262" t="n">
        <v>5.277</v>
      </c>
      <c r="J219" s="239" t="n">
        <v>5.282</v>
      </c>
      <c r="K219" s="239" t="n">
        <v>5.287</v>
      </c>
      <c r="L219" s="239" t="n">
        <v>0</v>
      </c>
      <c r="M219" s="239" t="n">
        <v>0</v>
      </c>
      <c r="O219" s="235"/>
      <c r="P219" s="288"/>
      <c r="Q219" s="288"/>
      <c r="R219" s="289" t="e">
        <f aca="false">B219</f>
        <v>#VALUE!</v>
      </c>
      <c r="S219" s="290" t="n">
        <f aca="false">T219-$S$16</f>
        <v>0.68</v>
      </c>
      <c r="T219" s="285" t="n">
        <f aca="false">D219</f>
        <v>0.75</v>
      </c>
      <c r="U219" s="291" t="n">
        <f aca="false">$U$16+T219</f>
        <v>0.82</v>
      </c>
      <c r="BP219" s="249" t="n">
        <f aca="false">BP218+BV219</f>
        <v>218</v>
      </c>
      <c r="BQ219" s="250" t="s">
        <v>1051</v>
      </c>
      <c r="BR219" s="247" t="s">
        <v>195</v>
      </c>
      <c r="BS219" s="161" t="s">
        <v>324</v>
      </c>
      <c r="BT219" s="253" t="s">
        <v>197</v>
      </c>
      <c r="BU219" s="253"/>
      <c r="BV219" s="161" t="n">
        <v>1</v>
      </c>
      <c r="BW219" s="247" t="s">
        <v>1052</v>
      </c>
      <c r="BX219" s="0"/>
    </row>
    <row r="220" customFormat="false" ht="12.75" hidden="false" customHeight="false" outlineLevel="0" collapsed="false">
      <c r="A220" s="286"/>
      <c r="B220" s="287" t="e">
        <f aca="false">NextMonth(B219)</f>
        <v>#VALUE!</v>
      </c>
      <c r="C220" s="239" t="n">
        <v>0.0660432975348999</v>
      </c>
      <c r="D220" s="239" t="n">
        <v>0.4</v>
      </c>
      <c r="E220" s="239" t="n">
        <v>0.4</v>
      </c>
      <c r="F220" s="239" t="n">
        <v>0.1625</v>
      </c>
      <c r="G220" s="239" t="n">
        <v>0.17</v>
      </c>
      <c r="H220" s="239" t="n">
        <v>0.1775</v>
      </c>
      <c r="I220" s="262" t="n">
        <v>5.135</v>
      </c>
      <c r="J220" s="239" t="n">
        <v>5.14</v>
      </c>
      <c r="K220" s="239" t="n">
        <v>5.145</v>
      </c>
      <c r="L220" s="239" t="n">
        <v>0</v>
      </c>
      <c r="M220" s="239" t="n">
        <v>0</v>
      </c>
      <c r="O220" s="235"/>
      <c r="P220" s="288"/>
      <c r="Q220" s="288"/>
      <c r="R220" s="289" t="e">
        <f aca="false">B220</f>
        <v>#VALUE!</v>
      </c>
      <c r="S220" s="290" t="n">
        <f aca="false">T220-$S$16</f>
        <v>0.33</v>
      </c>
      <c r="T220" s="285" t="n">
        <f aca="false">D220</f>
        <v>0.4</v>
      </c>
      <c r="U220" s="291" t="n">
        <f aca="false">$U$16+T220</f>
        <v>0.47</v>
      </c>
      <c r="BP220" s="249" t="n">
        <f aca="false">BP219+BV220</f>
        <v>219</v>
      </c>
      <c r="BQ220" s="250" t="s">
        <v>1053</v>
      </c>
      <c r="BR220" s="247" t="s">
        <v>195</v>
      </c>
      <c r="BS220" s="161" t="s">
        <v>324</v>
      </c>
      <c r="BT220" s="253" t="s">
        <v>197</v>
      </c>
      <c r="BU220" s="253"/>
      <c r="BV220" s="161" t="n">
        <v>1</v>
      </c>
      <c r="BW220" s="247" t="s">
        <v>1054</v>
      </c>
      <c r="BX220" s="0"/>
    </row>
    <row r="221" customFormat="false" ht="12.75" hidden="false" customHeight="false" outlineLevel="0" collapsed="false">
      <c r="A221" s="286"/>
      <c r="B221" s="287" t="e">
        <f aca="false">NextMonth(B220)</f>
        <v>#VALUE!</v>
      </c>
      <c r="C221" s="239" t="n">
        <v>0.066080288402806</v>
      </c>
      <c r="D221" s="239" t="n">
        <v>0.4</v>
      </c>
      <c r="E221" s="239" t="n">
        <v>0.4</v>
      </c>
      <c r="F221" s="239" t="n">
        <v>0.1625</v>
      </c>
      <c r="G221" s="239" t="n">
        <v>0.17</v>
      </c>
      <c r="H221" s="239" t="n">
        <v>0.1775</v>
      </c>
      <c r="I221" s="262" t="n">
        <v>5.169</v>
      </c>
      <c r="J221" s="239" t="n">
        <v>5.174</v>
      </c>
      <c r="K221" s="239" t="n">
        <v>5.179</v>
      </c>
      <c r="L221" s="239" t="n">
        <v>0.2725</v>
      </c>
      <c r="M221" s="239" t="n">
        <v>0.66</v>
      </c>
      <c r="O221" s="235"/>
      <c r="P221" s="288"/>
      <c r="Q221" s="288"/>
      <c r="R221" s="289" t="e">
        <f aca="false">B221</f>
        <v>#VALUE!</v>
      </c>
      <c r="S221" s="290" t="n">
        <f aca="false">T221-$S$16</f>
        <v>0.33</v>
      </c>
      <c r="T221" s="285" t="n">
        <f aca="false">D221</f>
        <v>0.4</v>
      </c>
      <c r="U221" s="291" t="n">
        <f aca="false">$U$16+T221</f>
        <v>0.47</v>
      </c>
      <c r="BP221" s="249" t="n">
        <f aca="false">BP220+BV221</f>
        <v>220</v>
      </c>
      <c r="BQ221" s="250" t="s">
        <v>1055</v>
      </c>
      <c r="BR221" s="247" t="s">
        <v>195</v>
      </c>
      <c r="BS221" s="161" t="s">
        <v>324</v>
      </c>
      <c r="BT221" s="253" t="s">
        <v>197</v>
      </c>
      <c r="BU221" s="253"/>
      <c r="BV221" s="161" t="n">
        <v>1</v>
      </c>
      <c r="BW221" s="247" t="s">
        <v>1056</v>
      </c>
      <c r="BX221" s="0"/>
    </row>
    <row r="222" customFormat="false" ht="12.75" hidden="false" customHeight="false" outlineLevel="0" collapsed="false">
      <c r="A222" s="286"/>
      <c r="B222" s="287" t="e">
        <f aca="false">NextMonth(B221)</f>
        <v>#VALUE!</v>
      </c>
      <c r="C222" s="239" t="n">
        <v>0.0661185123001187</v>
      </c>
      <c r="D222" s="239" t="n">
        <v>0.4</v>
      </c>
      <c r="E222" s="239" t="n">
        <v>0.4</v>
      </c>
      <c r="F222" s="239" t="n">
        <v>0.1625</v>
      </c>
      <c r="G222" s="239" t="n">
        <v>0.17</v>
      </c>
      <c r="H222" s="239" t="n">
        <v>0.1775</v>
      </c>
      <c r="I222" s="262" t="n">
        <v>5.202</v>
      </c>
      <c r="J222" s="239" t="n">
        <v>5.207</v>
      </c>
      <c r="K222" s="239" t="n">
        <v>5.212</v>
      </c>
      <c r="L222" s="239" t="n">
        <v>0.3075</v>
      </c>
      <c r="M222" s="239" t="n">
        <v>1.03</v>
      </c>
      <c r="O222" s="235"/>
      <c r="P222" s="288"/>
      <c r="Q222" s="288"/>
      <c r="R222" s="289" t="e">
        <f aca="false">B222</f>
        <v>#VALUE!</v>
      </c>
      <c r="S222" s="290" t="n">
        <f aca="false">T222-$S$16</f>
        <v>0.33</v>
      </c>
      <c r="T222" s="285" t="n">
        <f aca="false">D222</f>
        <v>0.4</v>
      </c>
      <c r="U222" s="291" t="n">
        <f aca="false">$U$16+T222</f>
        <v>0.47</v>
      </c>
      <c r="BP222" s="249" t="n">
        <f aca="false">BP221+BV222</f>
        <v>221</v>
      </c>
      <c r="BQ222" s="250" t="s">
        <v>1057</v>
      </c>
      <c r="BR222" s="247" t="s">
        <v>195</v>
      </c>
      <c r="BS222" s="161" t="s">
        <v>324</v>
      </c>
      <c r="BT222" s="253" t="s">
        <v>197</v>
      </c>
      <c r="BU222" s="253"/>
      <c r="BV222" s="161" t="n">
        <v>1</v>
      </c>
      <c r="BW222" s="247" t="s">
        <v>1058</v>
      </c>
      <c r="BX222" s="0"/>
    </row>
    <row r="223" customFormat="false" ht="12.75" hidden="false" customHeight="false" outlineLevel="0" collapsed="false">
      <c r="A223" s="286"/>
      <c r="B223" s="287" t="e">
        <f aca="false">NextMonth(B222)</f>
        <v>#VALUE!</v>
      </c>
      <c r="C223" s="239" t="n">
        <v>0.0661555031689467</v>
      </c>
      <c r="D223" s="239" t="n">
        <v>0.4</v>
      </c>
      <c r="E223" s="239" t="n">
        <v>0.4</v>
      </c>
      <c r="F223" s="239" t="n">
        <v>0.1625</v>
      </c>
      <c r="G223" s="239" t="n">
        <v>0.17</v>
      </c>
      <c r="H223" s="239" t="n">
        <v>0.1775</v>
      </c>
      <c r="I223" s="262" t="n">
        <v>5.247</v>
      </c>
      <c r="J223" s="239" t="n">
        <v>5.252</v>
      </c>
      <c r="K223" s="239" t="n">
        <v>5.257</v>
      </c>
      <c r="L223" s="239" t="n">
        <v>0.3125</v>
      </c>
      <c r="M223" s="239" t="n">
        <v>1.25</v>
      </c>
      <c r="O223" s="235"/>
      <c r="P223" s="288"/>
      <c r="Q223" s="288"/>
      <c r="R223" s="289" t="e">
        <f aca="false">B223</f>
        <v>#VALUE!</v>
      </c>
      <c r="S223" s="290" t="n">
        <f aca="false">T223-$S$16</f>
        <v>0.33</v>
      </c>
      <c r="T223" s="285" t="n">
        <f aca="false">D223</f>
        <v>0.4</v>
      </c>
      <c r="U223" s="291" t="n">
        <f aca="false">$U$16+T223</f>
        <v>0.47</v>
      </c>
      <c r="BP223" s="249" t="n">
        <f aca="false">BP222+BV223</f>
        <v>222</v>
      </c>
      <c r="BQ223" s="250" t="s">
        <v>1059</v>
      </c>
      <c r="BR223" s="247" t="s">
        <v>195</v>
      </c>
      <c r="BS223" s="161" t="s">
        <v>324</v>
      </c>
      <c r="BT223" s="253" t="s">
        <v>197</v>
      </c>
      <c r="BU223" s="253"/>
      <c r="BV223" s="161" t="n">
        <v>1</v>
      </c>
      <c r="BW223" s="247" t="s">
        <v>1060</v>
      </c>
      <c r="BX223" s="0"/>
    </row>
    <row r="224" customFormat="false" ht="12.75" hidden="false" customHeight="false" outlineLevel="0" collapsed="false">
      <c r="A224" s="286"/>
      <c r="B224" s="287" t="e">
        <f aca="false">NextMonth(B223)</f>
        <v>#VALUE!</v>
      </c>
      <c r="C224" s="239" t="n">
        <v>0.0661937270672119</v>
      </c>
      <c r="D224" s="239" t="n">
        <v>0.5</v>
      </c>
      <c r="E224" s="239" t="n">
        <v>0.5</v>
      </c>
      <c r="F224" s="239" t="n">
        <v>0.1625</v>
      </c>
      <c r="G224" s="239" t="n">
        <v>0.17</v>
      </c>
      <c r="H224" s="239" t="n">
        <v>0.1775</v>
      </c>
      <c r="I224" s="262" t="n">
        <v>5.282</v>
      </c>
      <c r="J224" s="239" t="n">
        <v>5.287</v>
      </c>
      <c r="K224" s="239" t="n">
        <v>5.292</v>
      </c>
      <c r="L224" s="239" t="n">
        <v>0.3125</v>
      </c>
      <c r="M224" s="239" t="n">
        <v>1.25</v>
      </c>
      <c r="O224" s="235"/>
      <c r="P224" s="288"/>
      <c r="Q224" s="288"/>
      <c r="R224" s="289" t="e">
        <f aca="false">B224</f>
        <v>#VALUE!</v>
      </c>
      <c r="S224" s="290" t="n">
        <f aca="false">T224-$S$16</f>
        <v>0.43</v>
      </c>
      <c r="T224" s="285" t="n">
        <f aca="false">D224</f>
        <v>0.5</v>
      </c>
      <c r="U224" s="291" t="n">
        <f aca="false">$U$16+T224</f>
        <v>0.57</v>
      </c>
      <c r="BP224" s="249" t="n">
        <f aca="false">BP223+BV224</f>
        <v>223</v>
      </c>
      <c r="BQ224" s="250" t="s">
        <v>1061</v>
      </c>
      <c r="BR224" s="247" t="s">
        <v>195</v>
      </c>
      <c r="BS224" s="161" t="s">
        <v>324</v>
      </c>
      <c r="BT224" s="253" t="s">
        <v>197</v>
      </c>
      <c r="BU224" s="253"/>
      <c r="BV224" s="161" t="n">
        <v>1</v>
      </c>
      <c r="BW224" s="247" t="s">
        <v>1062</v>
      </c>
      <c r="BX224" s="0"/>
    </row>
    <row r="225" customFormat="false" ht="12.75" hidden="false" customHeight="false" outlineLevel="0" collapsed="false">
      <c r="A225" s="286"/>
      <c r="B225" s="287" t="e">
        <f aca="false">NextMonth(B224)</f>
        <v>#VALUE!</v>
      </c>
      <c r="C225" s="239" t="n">
        <v>0.0662319509659608</v>
      </c>
      <c r="D225" s="239" t="n">
        <v>0.55</v>
      </c>
      <c r="E225" s="239" t="n">
        <v>0.55</v>
      </c>
      <c r="F225" s="239" t="n">
        <v>0.1625</v>
      </c>
      <c r="G225" s="239" t="n">
        <v>0.17</v>
      </c>
      <c r="H225" s="239" t="n">
        <v>0.1775</v>
      </c>
      <c r="I225" s="262" t="n">
        <v>5.287</v>
      </c>
      <c r="J225" s="239" t="n">
        <v>5.292</v>
      </c>
      <c r="K225" s="239" t="n">
        <v>5.297</v>
      </c>
      <c r="L225" s="239" t="n">
        <v>0.27</v>
      </c>
      <c r="M225" s="239" t="n">
        <v>0.905</v>
      </c>
      <c r="O225" s="235"/>
      <c r="P225" s="288"/>
      <c r="Q225" s="288"/>
      <c r="R225" s="289" t="e">
        <f aca="false">B225</f>
        <v>#VALUE!</v>
      </c>
      <c r="S225" s="290" t="n">
        <f aca="false">T225-$S$16</f>
        <v>0.48</v>
      </c>
      <c r="T225" s="285" t="n">
        <f aca="false">D225</f>
        <v>0.55</v>
      </c>
      <c r="U225" s="291" t="n">
        <f aca="false">$U$16+T225</f>
        <v>0.62</v>
      </c>
      <c r="BP225" s="249" t="n">
        <f aca="false">BP224+BV225</f>
        <v>224</v>
      </c>
      <c r="BQ225" s="250" t="s">
        <v>1063</v>
      </c>
      <c r="BR225" s="247" t="s">
        <v>195</v>
      </c>
      <c r="BS225" s="161" t="s">
        <v>324</v>
      </c>
      <c r="BT225" s="253" t="s">
        <v>197</v>
      </c>
      <c r="BU225" s="253"/>
      <c r="BV225" s="161" t="n">
        <v>1</v>
      </c>
      <c r="BW225" s="247" t="s">
        <v>1064</v>
      </c>
      <c r="BX225" s="0"/>
    </row>
    <row r="226" customFormat="false" ht="12.75" hidden="false" customHeight="false" outlineLevel="0" collapsed="false">
      <c r="A226" s="286"/>
      <c r="B226" s="287" t="e">
        <f aca="false">NextMonth(B225)</f>
        <v>#VALUE!</v>
      </c>
      <c r="C226" s="239" t="n">
        <v>0.0662689418361784</v>
      </c>
      <c r="D226" s="239" t="n">
        <v>0.55</v>
      </c>
      <c r="E226" s="239" t="n">
        <v>0.55</v>
      </c>
      <c r="F226" s="239" t="n">
        <v>0.1625</v>
      </c>
      <c r="G226" s="239" t="n">
        <v>0.17</v>
      </c>
      <c r="H226" s="239" t="n">
        <v>0.1775</v>
      </c>
      <c r="I226" s="262" t="n">
        <v>5.312</v>
      </c>
      <c r="J226" s="239" t="n">
        <v>5.317</v>
      </c>
      <c r="K226" s="239" t="n">
        <v>5.322</v>
      </c>
      <c r="L226" s="239" t="n">
        <v>0.205</v>
      </c>
      <c r="M226" s="239" t="n">
        <v>0.365</v>
      </c>
      <c r="O226" s="235"/>
      <c r="P226" s="288"/>
      <c r="Q226" s="288"/>
      <c r="R226" s="289" t="e">
        <f aca="false">B226</f>
        <v>#VALUE!</v>
      </c>
      <c r="S226" s="290" t="n">
        <f aca="false">T226-$S$16</f>
        <v>0.48</v>
      </c>
      <c r="T226" s="285" t="n">
        <f aca="false">D226</f>
        <v>0.55</v>
      </c>
      <c r="U226" s="291" t="n">
        <f aca="false">$U$16+T226</f>
        <v>0.62</v>
      </c>
      <c r="BP226" s="249" t="n">
        <f aca="false">BP225+BV226</f>
        <v>225</v>
      </c>
      <c r="BQ226" s="250" t="s">
        <v>1065</v>
      </c>
      <c r="BR226" s="247" t="s">
        <v>195</v>
      </c>
      <c r="BS226" s="161" t="s">
        <v>324</v>
      </c>
      <c r="BT226" s="253" t="s">
        <v>197</v>
      </c>
      <c r="BU226" s="253"/>
      <c r="BV226" s="161" t="n">
        <v>1</v>
      </c>
      <c r="BW226" s="247" t="s">
        <v>1066</v>
      </c>
      <c r="BX226" s="0"/>
    </row>
    <row r="227" customFormat="false" ht="12.75" hidden="false" customHeight="false" outlineLevel="0" collapsed="false">
      <c r="A227" s="286"/>
      <c r="B227" s="287" t="e">
        <f aca="false">NextMonth(B226)</f>
        <v>#VALUE!</v>
      </c>
      <c r="C227" s="239" t="n">
        <v>0.0663071657358802</v>
      </c>
      <c r="D227" s="239" t="n">
        <v>0.8</v>
      </c>
      <c r="E227" s="239" t="n">
        <v>0.8</v>
      </c>
      <c r="F227" s="239" t="n">
        <v>0.1625</v>
      </c>
      <c r="G227" s="239" t="n">
        <v>0.17</v>
      </c>
      <c r="H227" s="239" t="n">
        <v>0.1775</v>
      </c>
      <c r="I227" s="262" t="n">
        <v>5.422</v>
      </c>
      <c r="J227" s="239" t="n">
        <v>5.427</v>
      </c>
      <c r="K227" s="239" t="n">
        <v>5.432</v>
      </c>
      <c r="L227" s="239" t="n">
        <v>0.1925</v>
      </c>
      <c r="M227" s="239" t="n">
        <v>0.2975</v>
      </c>
      <c r="O227" s="235"/>
      <c r="P227" s="288"/>
      <c r="Q227" s="288"/>
      <c r="R227" s="289" t="e">
        <f aca="false">B227</f>
        <v>#VALUE!</v>
      </c>
      <c r="S227" s="290" t="n">
        <f aca="false">T227-$S$16</f>
        <v>0.73</v>
      </c>
      <c r="T227" s="285" t="n">
        <f aca="false">D227</f>
        <v>0.8</v>
      </c>
      <c r="U227" s="291" t="n">
        <f aca="false">$U$16+T227</f>
        <v>0.87</v>
      </c>
      <c r="BP227" s="249" t="n">
        <f aca="false">BP226+BV227</f>
        <v>226</v>
      </c>
      <c r="BQ227" s="250" t="s">
        <v>1067</v>
      </c>
      <c r="BR227" s="247" t="s">
        <v>195</v>
      </c>
      <c r="BS227" s="161" t="s">
        <v>324</v>
      </c>
      <c r="BT227" s="253" t="s">
        <v>197</v>
      </c>
      <c r="BU227" s="253"/>
      <c r="BV227" s="161" t="n">
        <v>1</v>
      </c>
      <c r="BW227" s="247" t="s">
        <v>1068</v>
      </c>
      <c r="BX227" s="0"/>
    </row>
    <row r="228" customFormat="false" ht="12.75" hidden="false" customHeight="false" outlineLevel="0" collapsed="false">
      <c r="A228" s="286"/>
      <c r="B228" s="287" t="e">
        <f aca="false">NextMonth(B227)</f>
        <v>#VALUE!</v>
      </c>
      <c r="C228" s="239" t="n">
        <v>0.0663441566070198</v>
      </c>
      <c r="D228" s="239" t="n">
        <v>1</v>
      </c>
      <c r="E228" s="239" t="n">
        <v>1</v>
      </c>
      <c r="F228" s="239" t="n">
        <v>0.1625</v>
      </c>
      <c r="G228" s="239" t="n">
        <v>0.17</v>
      </c>
      <c r="H228" s="239" t="n">
        <v>0.1775</v>
      </c>
      <c r="I228" s="262" t="n">
        <v>5.542</v>
      </c>
      <c r="J228" s="239" t="n">
        <v>5.547</v>
      </c>
      <c r="K228" s="239" t="n">
        <v>5.552</v>
      </c>
      <c r="L228" s="239" t="n">
        <v>0.1925</v>
      </c>
      <c r="M228" s="239" t="n">
        <v>0.2975</v>
      </c>
      <c r="O228" s="235"/>
      <c r="P228" s="288"/>
      <c r="Q228" s="288"/>
      <c r="R228" s="289" t="e">
        <f aca="false">B228</f>
        <v>#VALUE!</v>
      </c>
      <c r="S228" s="290" t="n">
        <f aca="false">T228-$S$16</f>
        <v>0.93</v>
      </c>
      <c r="T228" s="285" t="n">
        <f aca="false">D228</f>
        <v>1</v>
      </c>
      <c r="U228" s="291" t="n">
        <f aca="false">$U$16+T228</f>
        <v>1.07</v>
      </c>
      <c r="BP228" s="249" t="n">
        <f aca="false">BP227+BV228</f>
        <v>227</v>
      </c>
      <c r="BQ228" s="250" t="s">
        <v>1069</v>
      </c>
      <c r="BR228" s="247" t="s">
        <v>195</v>
      </c>
      <c r="BS228" s="161" t="s">
        <v>324</v>
      </c>
      <c r="BT228" s="253" t="s">
        <v>197</v>
      </c>
      <c r="BU228" s="253"/>
      <c r="BV228" s="161" t="n">
        <v>1</v>
      </c>
      <c r="BW228" s="247" t="s">
        <v>1070</v>
      </c>
      <c r="BX228" s="0"/>
    </row>
    <row r="229" customFormat="false" ht="12.75" hidden="false" customHeight="false" outlineLevel="0" collapsed="false">
      <c r="A229" s="286"/>
      <c r="B229" s="287" t="e">
        <f aca="false">NextMonth(B228)</f>
        <v>#VALUE!</v>
      </c>
      <c r="C229" s="239" t="n">
        <v>0.0663823805076738</v>
      </c>
      <c r="D229" s="239" t="n">
        <v>1</v>
      </c>
      <c r="E229" s="239" t="n">
        <v>1</v>
      </c>
      <c r="F229" s="239" t="n">
        <v>0.1625</v>
      </c>
      <c r="G229" s="239" t="n">
        <v>0.17</v>
      </c>
      <c r="H229" s="239" t="n">
        <v>0.1775</v>
      </c>
      <c r="I229" s="262" t="n">
        <v>5.647</v>
      </c>
      <c r="J229" s="239" t="n">
        <v>5.652</v>
      </c>
      <c r="K229" s="239" t="n">
        <v>5.657</v>
      </c>
      <c r="L229" s="239" t="n">
        <v>0.1925</v>
      </c>
      <c r="M229" s="239" t="n">
        <v>0.31</v>
      </c>
      <c r="O229" s="235"/>
      <c r="P229" s="288"/>
      <c r="Q229" s="288"/>
      <c r="R229" s="289" t="e">
        <f aca="false">B229</f>
        <v>#VALUE!</v>
      </c>
      <c r="S229" s="290" t="n">
        <f aca="false">T229-$S$16</f>
        <v>0.93</v>
      </c>
      <c r="T229" s="285" t="n">
        <f aca="false">D229</f>
        <v>1</v>
      </c>
      <c r="U229" s="291" t="n">
        <f aca="false">$U$16+T229</f>
        <v>1.07</v>
      </c>
      <c r="BP229" s="249" t="n">
        <f aca="false">BP228+BV229</f>
        <v>228</v>
      </c>
      <c r="BQ229" s="250" t="s">
        <v>1071</v>
      </c>
      <c r="BR229" s="247" t="s">
        <v>195</v>
      </c>
      <c r="BS229" s="161" t="s">
        <v>324</v>
      </c>
      <c r="BT229" s="253" t="s">
        <v>197</v>
      </c>
      <c r="BU229" s="253"/>
      <c r="BV229" s="161" t="n">
        <v>1</v>
      </c>
      <c r="BW229" s="247" t="s">
        <v>1072</v>
      </c>
      <c r="BX229" s="0"/>
    </row>
    <row r="230" customFormat="false" ht="12.75" hidden="false" customHeight="false" outlineLevel="0" collapsed="false">
      <c r="A230" s="286"/>
      <c r="B230" s="287" t="e">
        <f aca="false">NextMonth(B229)</f>
        <v>#VALUE!</v>
      </c>
      <c r="C230" s="239" t="n">
        <v>0.0664206044088109</v>
      </c>
      <c r="D230" s="239" t="n">
        <v>1</v>
      </c>
      <c r="E230" s="239" t="n">
        <v>1</v>
      </c>
      <c r="F230" s="239" t="n">
        <v>0.1625</v>
      </c>
      <c r="G230" s="239" t="n">
        <v>0.17</v>
      </c>
      <c r="H230" s="239" t="n">
        <v>0.1775</v>
      </c>
      <c r="I230" s="262" t="n">
        <v>5.527</v>
      </c>
      <c r="J230" s="239" t="n">
        <v>5.532</v>
      </c>
      <c r="K230" s="239" t="n">
        <v>5.537</v>
      </c>
      <c r="L230" s="239" t="n">
        <v>0.1925</v>
      </c>
      <c r="M230" s="239" t="n">
        <v>0.31</v>
      </c>
      <c r="O230" s="235"/>
      <c r="P230" s="288"/>
      <c r="Q230" s="288"/>
      <c r="R230" s="289" t="e">
        <f aca="false">B230</f>
        <v>#VALUE!</v>
      </c>
      <c r="S230" s="290" t="n">
        <f aca="false">T230-$S$16</f>
        <v>0.93</v>
      </c>
      <c r="T230" s="285" t="n">
        <f aca="false">D230</f>
        <v>1</v>
      </c>
      <c r="U230" s="291" t="n">
        <f aca="false">$U$16+T230</f>
        <v>1.07</v>
      </c>
      <c r="BP230" s="249" t="n">
        <f aca="false">BP229+BV230</f>
        <v>229</v>
      </c>
      <c r="BQ230" s="250" t="s">
        <v>1073</v>
      </c>
      <c r="BR230" s="247" t="s">
        <v>195</v>
      </c>
      <c r="BS230" s="161" t="s">
        <v>324</v>
      </c>
      <c r="BT230" s="253" t="s">
        <v>197</v>
      </c>
      <c r="BU230" s="253"/>
      <c r="BV230" s="161" t="n">
        <v>1</v>
      </c>
      <c r="BW230" s="247" t="s">
        <v>1074</v>
      </c>
      <c r="BX230" s="0"/>
    </row>
    <row r="231" customFormat="false" ht="12.75" hidden="false" customHeight="false" outlineLevel="0" collapsed="false">
      <c r="A231" s="286"/>
      <c r="B231" s="287" t="e">
        <f aca="false">NextMonth(B230)</f>
        <v>#VALUE!</v>
      </c>
      <c r="C231" s="239" t="n">
        <v>0.0664551292231583</v>
      </c>
      <c r="D231" s="239" t="n">
        <v>0.75</v>
      </c>
      <c r="E231" s="239" t="n">
        <v>0.75</v>
      </c>
      <c r="F231" s="239" t="n">
        <v>0.1625</v>
      </c>
      <c r="G231" s="239" t="n">
        <v>0.17</v>
      </c>
      <c r="H231" s="239" t="n">
        <v>0.1775</v>
      </c>
      <c r="I231" s="262" t="n">
        <v>5.387</v>
      </c>
      <c r="J231" s="239" t="n">
        <v>5.392</v>
      </c>
      <c r="K231" s="239" t="n">
        <v>5.397</v>
      </c>
      <c r="L231" s="239" t="n">
        <v>0.1925</v>
      </c>
      <c r="M231" s="239" t="n">
        <v>0.3</v>
      </c>
      <c r="O231" s="235"/>
      <c r="P231" s="288"/>
      <c r="Q231" s="288"/>
      <c r="R231" s="289" t="e">
        <f aca="false">B231</f>
        <v>#VALUE!</v>
      </c>
      <c r="S231" s="290" t="n">
        <f aca="false">T231-$S$16</f>
        <v>0.68</v>
      </c>
      <c r="T231" s="285" t="n">
        <f aca="false">D231</f>
        <v>0.75</v>
      </c>
      <c r="U231" s="291" t="n">
        <f aca="false">$U$16+T231</f>
        <v>0.82</v>
      </c>
      <c r="BP231" s="249" t="n">
        <f aca="false">BP230+BV231</f>
        <v>230</v>
      </c>
      <c r="BQ231" s="250" t="s">
        <v>1075</v>
      </c>
      <c r="BR231" s="247" t="s">
        <v>195</v>
      </c>
      <c r="BS231" s="161" t="s">
        <v>324</v>
      </c>
      <c r="BT231" s="253" t="s">
        <v>197</v>
      </c>
      <c r="BU231" s="253"/>
      <c r="BV231" s="161" t="n">
        <v>1</v>
      </c>
      <c r="BW231" s="247" t="s">
        <v>1076</v>
      </c>
      <c r="BX231" s="0"/>
    </row>
    <row r="232" customFormat="false" ht="12.75" hidden="false" customHeight="false" outlineLevel="0" collapsed="false">
      <c r="A232" s="286"/>
      <c r="B232" s="287" t="e">
        <f aca="false">NextMonth(B231)</f>
        <v>#VALUE!</v>
      </c>
      <c r="C232" s="239" t="n">
        <v>0.066493353125217</v>
      </c>
      <c r="D232" s="239" t="n">
        <v>0.4</v>
      </c>
      <c r="E232" s="239" t="n">
        <v>0.4</v>
      </c>
      <c r="F232" s="239" t="n">
        <v>0.1625</v>
      </c>
      <c r="G232" s="239" t="n">
        <v>0.17</v>
      </c>
      <c r="H232" s="239" t="n">
        <v>0.1775</v>
      </c>
      <c r="I232" s="262" t="n">
        <v>5.245</v>
      </c>
      <c r="J232" s="239" t="n">
        <v>5.25</v>
      </c>
      <c r="K232" s="239" t="n">
        <v>5.255</v>
      </c>
      <c r="L232" s="239" t="n">
        <v>0.1975</v>
      </c>
      <c r="M232" s="239" t="n">
        <v>0.37253</v>
      </c>
      <c r="O232" s="235"/>
      <c r="P232" s="288"/>
      <c r="Q232" s="288"/>
      <c r="R232" s="289" t="e">
        <f aca="false">B232</f>
        <v>#VALUE!</v>
      </c>
      <c r="S232" s="290" t="n">
        <f aca="false">T232-$S$16</f>
        <v>0.33</v>
      </c>
      <c r="T232" s="285" t="n">
        <f aca="false">D232</f>
        <v>0.4</v>
      </c>
      <c r="U232" s="291" t="n">
        <f aca="false">$U$16+T232</f>
        <v>0.47</v>
      </c>
      <c r="BP232" s="249" t="n">
        <f aca="false">BP231+BV232</f>
        <v>231</v>
      </c>
      <c r="BQ232" s="250" t="s">
        <v>1077</v>
      </c>
      <c r="BR232" s="247" t="s">
        <v>195</v>
      </c>
      <c r="BS232" s="161" t="s">
        <v>324</v>
      </c>
      <c r="BT232" s="253" t="s">
        <v>197</v>
      </c>
      <c r="BU232" s="253"/>
      <c r="BV232" s="161" t="n">
        <v>1</v>
      </c>
      <c r="BW232" s="247" t="s">
        <v>1078</v>
      </c>
      <c r="BX232" s="0"/>
    </row>
    <row r="233" customFormat="false" ht="12.75" hidden="false" customHeight="false" outlineLevel="0" collapsed="false">
      <c r="A233" s="286"/>
      <c r="B233" s="287" t="e">
        <f aca="false">NextMonth(B232)</f>
        <v>#VALUE!</v>
      </c>
      <c r="C233" s="239" t="n">
        <v>0.0665303439986378</v>
      </c>
      <c r="D233" s="239" t="n">
        <v>0.4</v>
      </c>
      <c r="E233" s="239" t="n">
        <v>0.4</v>
      </c>
      <c r="F233" s="239" t="n">
        <v>0.1625</v>
      </c>
      <c r="G233" s="239" t="n">
        <v>0.17</v>
      </c>
      <c r="H233" s="239" t="n">
        <v>0.1775</v>
      </c>
      <c r="I233" s="262" t="n">
        <v>5.279</v>
      </c>
      <c r="J233" s="239" t="n">
        <v>5.284</v>
      </c>
      <c r="K233" s="239" t="n">
        <v>5.289</v>
      </c>
      <c r="L233" s="239" t="n">
        <v>0.2725</v>
      </c>
      <c r="M233" s="239" t="n">
        <v>0.66</v>
      </c>
      <c r="O233" s="235"/>
      <c r="P233" s="288"/>
      <c r="Q233" s="288"/>
      <c r="R233" s="289" t="e">
        <f aca="false">B233</f>
        <v>#VALUE!</v>
      </c>
      <c r="S233" s="290" t="n">
        <f aca="false">T233-$S$16</f>
        <v>0.33</v>
      </c>
      <c r="T233" s="285" t="n">
        <f aca="false">D233</f>
        <v>0.4</v>
      </c>
      <c r="U233" s="291" t="n">
        <f aca="false">$U$16+T233</f>
        <v>0.47</v>
      </c>
      <c r="BP233" s="249" t="n">
        <f aca="false">BP232+BV233</f>
        <v>232</v>
      </c>
      <c r="BQ233" s="250" t="s">
        <v>1079</v>
      </c>
      <c r="BR233" s="247" t="s">
        <v>195</v>
      </c>
      <c r="BS233" s="161" t="s">
        <v>324</v>
      </c>
      <c r="BT233" s="253" t="s">
        <v>197</v>
      </c>
      <c r="BU233" s="253"/>
      <c r="BV233" s="161" t="n">
        <v>1</v>
      </c>
      <c r="BW233" s="247" t="s">
        <v>1080</v>
      </c>
      <c r="BX233" s="0"/>
    </row>
    <row r="234" customFormat="false" ht="12.75" hidden="false" customHeight="false" outlineLevel="0" collapsed="false">
      <c r="A234" s="286"/>
      <c r="B234" s="287" t="e">
        <f aca="false">NextMonth(B233)</f>
        <v>#VALUE!</v>
      </c>
      <c r="C234" s="239" t="n">
        <v>0.066568567901649</v>
      </c>
      <c r="D234" s="239" t="n">
        <v>0.4</v>
      </c>
      <c r="E234" s="239" t="n">
        <v>0.4</v>
      </c>
      <c r="F234" s="239" t="n">
        <v>0.1625</v>
      </c>
      <c r="G234" s="239" t="n">
        <v>0.17</v>
      </c>
      <c r="H234" s="239" t="n">
        <v>0.1775</v>
      </c>
      <c r="I234" s="262" t="n">
        <v>5.312</v>
      </c>
      <c r="J234" s="239" t="n">
        <v>5.317</v>
      </c>
      <c r="K234" s="239" t="n">
        <v>5.322</v>
      </c>
      <c r="L234" s="239" t="n">
        <v>0.3075</v>
      </c>
      <c r="M234" s="239" t="n">
        <v>1.03</v>
      </c>
      <c r="O234" s="235"/>
      <c r="P234" s="288"/>
      <c r="Q234" s="288"/>
      <c r="R234" s="289" t="e">
        <f aca="false">B234</f>
        <v>#VALUE!</v>
      </c>
      <c r="S234" s="290" t="n">
        <f aca="false">T234-$S$16</f>
        <v>0.33</v>
      </c>
      <c r="T234" s="285" t="n">
        <f aca="false">D234</f>
        <v>0.4</v>
      </c>
      <c r="U234" s="291" t="n">
        <f aca="false">$U$16+T234</f>
        <v>0.47</v>
      </c>
      <c r="BP234" s="249" t="n">
        <f aca="false">BP233+BV234</f>
        <v>233</v>
      </c>
      <c r="BQ234" s="250" t="s">
        <v>1081</v>
      </c>
      <c r="BR234" s="247" t="s">
        <v>195</v>
      </c>
      <c r="BS234" s="161" t="s">
        <v>324</v>
      </c>
      <c r="BT234" s="253" t="s">
        <v>197</v>
      </c>
      <c r="BU234" s="253"/>
      <c r="BV234" s="161" t="n">
        <v>1</v>
      </c>
      <c r="BW234" s="247" t="s">
        <v>1082</v>
      </c>
      <c r="BX234" s="0"/>
    </row>
    <row r="235" customFormat="false" ht="12.75" hidden="false" customHeight="false" outlineLevel="0" collapsed="false">
      <c r="A235" s="286"/>
      <c r="B235" s="287" t="e">
        <f aca="false">NextMonth(B234)</f>
        <v>#VALUE!</v>
      </c>
      <c r="C235" s="239" t="n">
        <v>0.0666055587759913</v>
      </c>
      <c r="D235" s="239" t="n">
        <v>0.4</v>
      </c>
      <c r="E235" s="239" t="n">
        <v>0.4</v>
      </c>
      <c r="F235" s="239" t="n">
        <v>0.1625</v>
      </c>
      <c r="G235" s="239" t="n">
        <v>0.17</v>
      </c>
      <c r="H235" s="239" t="n">
        <v>0.1775</v>
      </c>
      <c r="I235" s="262" t="n">
        <v>5.357</v>
      </c>
      <c r="J235" s="239" t="n">
        <v>5.362</v>
      </c>
      <c r="K235" s="239" t="n">
        <v>5.367</v>
      </c>
      <c r="L235" s="239" t="n">
        <v>0.3125</v>
      </c>
      <c r="M235" s="239" t="n">
        <v>1.25</v>
      </c>
      <c r="O235" s="235"/>
      <c r="P235" s="288"/>
      <c r="Q235" s="288"/>
      <c r="R235" s="289" t="e">
        <f aca="false">B235</f>
        <v>#VALUE!</v>
      </c>
      <c r="S235" s="290" t="n">
        <f aca="false">T235-$S$16</f>
        <v>0.33</v>
      </c>
      <c r="T235" s="285" t="n">
        <f aca="false">D235</f>
        <v>0.4</v>
      </c>
      <c r="U235" s="291" t="n">
        <f aca="false">$U$16+T235</f>
        <v>0.47</v>
      </c>
      <c r="BP235" s="249" t="n">
        <f aca="false">BP234+BV235</f>
        <v>234</v>
      </c>
      <c r="BQ235" s="250" t="s">
        <v>1083</v>
      </c>
      <c r="BR235" s="247" t="s">
        <v>195</v>
      </c>
      <c r="BS235" s="161" t="s">
        <v>324</v>
      </c>
      <c r="BT235" s="253" t="s">
        <v>197</v>
      </c>
      <c r="BU235" s="253"/>
      <c r="BV235" s="161" t="n">
        <v>1</v>
      </c>
      <c r="BW235" s="247" t="s">
        <v>1084</v>
      </c>
      <c r="BX235" s="0"/>
    </row>
    <row r="236" customFormat="false" ht="12.75" hidden="false" customHeight="false" outlineLevel="0" collapsed="false">
      <c r="A236" s="286"/>
      <c r="B236" s="287" t="e">
        <f aca="false">NextMonth(B235)</f>
        <v>#VALUE!</v>
      </c>
      <c r="C236" s="239" t="n">
        <v>0.0666437826799546</v>
      </c>
      <c r="D236" s="239" t="n">
        <v>0.5</v>
      </c>
      <c r="E236" s="239" t="n">
        <v>0.5</v>
      </c>
      <c r="F236" s="239" t="n">
        <v>0.1625</v>
      </c>
      <c r="G236" s="239" t="n">
        <v>0.17</v>
      </c>
      <c r="H236" s="239" t="n">
        <v>0.1775</v>
      </c>
      <c r="I236" s="262" t="n">
        <v>5.392</v>
      </c>
      <c r="J236" s="239" t="n">
        <v>5.397</v>
      </c>
      <c r="K236" s="239" t="n">
        <v>5.402</v>
      </c>
      <c r="L236" s="239" t="n">
        <v>0.3125</v>
      </c>
      <c r="M236" s="239" t="n">
        <v>1.25</v>
      </c>
      <c r="O236" s="235"/>
      <c r="P236" s="288"/>
      <c r="Q236" s="288"/>
      <c r="R236" s="289" t="e">
        <f aca="false">B236</f>
        <v>#VALUE!</v>
      </c>
      <c r="S236" s="290" t="n">
        <f aca="false">T236-$S$16</f>
        <v>0.43</v>
      </c>
      <c r="T236" s="285" t="n">
        <f aca="false">D236</f>
        <v>0.5</v>
      </c>
      <c r="U236" s="291" t="n">
        <f aca="false">$U$16+T236</f>
        <v>0.57</v>
      </c>
      <c r="BP236" s="249" t="n">
        <f aca="false">BP235+BV236</f>
        <v>235</v>
      </c>
      <c r="BQ236" s="250" t="s">
        <v>1085</v>
      </c>
      <c r="BR236" s="247" t="s">
        <v>195</v>
      </c>
      <c r="BS236" s="161" t="s">
        <v>324</v>
      </c>
      <c r="BT236" s="253" t="s">
        <v>197</v>
      </c>
      <c r="BU236" s="253"/>
      <c r="BV236" s="161" t="n">
        <v>1</v>
      </c>
      <c r="BW236" s="247" t="s">
        <v>1086</v>
      </c>
      <c r="BX236" s="0"/>
    </row>
    <row r="237" customFormat="false" ht="12.75" hidden="false" customHeight="false" outlineLevel="0" collapsed="false">
      <c r="A237" s="286"/>
      <c r="B237" s="287" t="e">
        <f aca="false">NextMonth(B236)</f>
        <v>#VALUE!</v>
      </c>
      <c r="C237" s="239" t="n">
        <v>0.0666820065844016</v>
      </c>
      <c r="D237" s="239" t="n">
        <v>0.55</v>
      </c>
      <c r="E237" s="239" t="n">
        <v>0.55</v>
      </c>
      <c r="F237" s="239" t="n">
        <v>0.1625</v>
      </c>
      <c r="G237" s="239" t="n">
        <v>0.17</v>
      </c>
      <c r="H237" s="239" t="n">
        <v>0.1775</v>
      </c>
      <c r="I237" s="262" t="n">
        <v>5.397</v>
      </c>
      <c r="J237" s="239" t="n">
        <v>5.402</v>
      </c>
      <c r="K237" s="239" t="n">
        <v>5.407</v>
      </c>
      <c r="L237" s="239" t="n">
        <v>0.27</v>
      </c>
      <c r="M237" s="239" t="n">
        <v>0.905</v>
      </c>
      <c r="O237" s="235"/>
      <c r="P237" s="288"/>
      <c r="Q237" s="288"/>
      <c r="R237" s="289" t="e">
        <f aca="false">B237</f>
        <v>#VALUE!</v>
      </c>
      <c r="S237" s="290" t="n">
        <f aca="false">T237-$S$16</f>
        <v>0.48</v>
      </c>
      <c r="T237" s="285" t="n">
        <f aca="false">D237</f>
        <v>0.55</v>
      </c>
      <c r="U237" s="291" t="n">
        <f aca="false">$U$16+T237</f>
        <v>0.62</v>
      </c>
      <c r="BP237" s="249" t="n">
        <f aca="false">BP236+BV237</f>
        <v>236</v>
      </c>
      <c r="BQ237" s="250" t="s">
        <v>1087</v>
      </c>
      <c r="BR237" s="247" t="s">
        <v>195</v>
      </c>
      <c r="BS237" s="161" t="s">
        <v>324</v>
      </c>
      <c r="BT237" s="253" t="s">
        <v>197</v>
      </c>
      <c r="BU237" s="253"/>
      <c r="BV237" s="161" t="n">
        <v>1</v>
      </c>
      <c r="BW237" s="247" t="s">
        <v>1088</v>
      </c>
      <c r="BX237" s="0"/>
    </row>
    <row r="238" customFormat="false" ht="12.75" hidden="false" customHeight="false" outlineLevel="0" collapsed="false">
      <c r="A238" s="286"/>
      <c r="B238" s="287" t="e">
        <f aca="false">NextMonth(B237)</f>
        <v>#VALUE!</v>
      </c>
      <c r="C238" s="239" t="n">
        <v>0.0667189974601339</v>
      </c>
      <c r="D238" s="239" t="n">
        <v>0.55</v>
      </c>
      <c r="E238" s="239" t="n">
        <v>0.55</v>
      </c>
      <c r="F238" s="239" t="n">
        <v>0.1625</v>
      </c>
      <c r="G238" s="239" t="n">
        <v>0.17</v>
      </c>
      <c r="H238" s="239" t="n">
        <v>0.1775</v>
      </c>
      <c r="I238" s="262" t="n">
        <v>5.422</v>
      </c>
      <c r="J238" s="239" t="n">
        <v>5.427</v>
      </c>
      <c r="K238" s="239" t="n">
        <v>5.432</v>
      </c>
      <c r="L238" s="239" t="n">
        <v>0.205</v>
      </c>
      <c r="M238" s="239" t="n">
        <v>0.365</v>
      </c>
      <c r="O238" s="235"/>
      <c r="P238" s="288"/>
      <c r="Q238" s="288"/>
      <c r="R238" s="289" t="e">
        <f aca="false">B238</f>
        <v>#VALUE!</v>
      </c>
      <c r="S238" s="290" t="n">
        <f aca="false">T238-$S$16</f>
        <v>0.48</v>
      </c>
      <c r="T238" s="285" t="n">
        <f aca="false">D238</f>
        <v>0.55</v>
      </c>
      <c r="U238" s="291" t="n">
        <f aca="false">$U$16+T238</f>
        <v>0.62</v>
      </c>
      <c r="BP238" s="249" t="n">
        <f aca="false">BP237+BV238</f>
        <v>237</v>
      </c>
      <c r="BQ238" s="250" t="s">
        <v>1089</v>
      </c>
      <c r="BR238" s="247" t="s">
        <v>195</v>
      </c>
      <c r="BS238" s="161" t="s">
        <v>324</v>
      </c>
      <c r="BT238" s="253" t="s">
        <v>197</v>
      </c>
      <c r="BU238" s="253"/>
      <c r="BV238" s="161" t="n">
        <v>1</v>
      </c>
      <c r="BW238" s="247" t="s">
        <v>1090</v>
      </c>
      <c r="BX238" s="0"/>
    </row>
    <row r="239" customFormat="false" ht="12.75" hidden="false" customHeight="false" outlineLevel="0" collapsed="false">
      <c r="A239" s="286"/>
      <c r="B239" s="287" t="e">
        <f aca="false">NextMonth(B238)</f>
        <v>#VALUE!</v>
      </c>
      <c r="C239" s="239" t="n">
        <v>0.066757221365533</v>
      </c>
      <c r="D239" s="239" t="n">
        <v>0.8</v>
      </c>
      <c r="E239" s="239" t="n">
        <v>0.8</v>
      </c>
      <c r="F239" s="239" t="n">
        <v>0.1625</v>
      </c>
      <c r="G239" s="239" t="n">
        <v>0.17</v>
      </c>
      <c r="H239" s="239" t="n">
        <v>0.1775</v>
      </c>
      <c r="I239" s="262" t="n">
        <v>5.532</v>
      </c>
      <c r="J239" s="239" t="n">
        <v>5.537</v>
      </c>
      <c r="K239" s="239" t="n">
        <v>5.542</v>
      </c>
      <c r="L239" s="239" t="n">
        <v>0.1925</v>
      </c>
      <c r="M239" s="239" t="n">
        <v>0.2975</v>
      </c>
      <c r="O239" s="235"/>
      <c r="P239" s="288"/>
      <c r="Q239" s="288"/>
      <c r="R239" s="289" t="e">
        <f aca="false">B239</f>
        <v>#VALUE!</v>
      </c>
      <c r="S239" s="290" t="n">
        <f aca="false">T239-$S$16</f>
        <v>0.73</v>
      </c>
      <c r="T239" s="285" t="n">
        <f aca="false">D239</f>
        <v>0.8</v>
      </c>
      <c r="U239" s="291" t="n">
        <f aca="false">$U$16+T239</f>
        <v>0.87</v>
      </c>
      <c r="BP239" s="249" t="n">
        <f aca="false">BP238+BV239</f>
        <v>238</v>
      </c>
      <c r="BQ239" s="250" t="s">
        <v>1091</v>
      </c>
      <c r="BR239" s="247" t="s">
        <v>195</v>
      </c>
      <c r="BS239" s="161" t="s">
        <v>324</v>
      </c>
      <c r="BT239" s="253" t="s">
        <v>197</v>
      </c>
      <c r="BU239" s="253"/>
      <c r="BV239" s="161" t="n">
        <v>1</v>
      </c>
      <c r="BW239" s="247" t="s">
        <v>1092</v>
      </c>
      <c r="BX239" s="0"/>
    </row>
    <row r="240" customFormat="false" ht="12.75" hidden="false" customHeight="false" outlineLevel="0" collapsed="false">
      <c r="A240" s="286"/>
      <c r="B240" s="287" t="e">
        <f aca="false">NextMonth(B239)</f>
        <v>#VALUE!</v>
      </c>
      <c r="C240" s="239" t="n">
        <v>0.0667942122421867</v>
      </c>
      <c r="D240" s="239" t="n">
        <v>1</v>
      </c>
      <c r="E240" s="239" t="n">
        <v>1</v>
      </c>
      <c r="F240" s="239" t="n">
        <v>0.1625</v>
      </c>
      <c r="G240" s="239" t="n">
        <v>0.17</v>
      </c>
      <c r="H240" s="239" t="n">
        <v>0.1775</v>
      </c>
      <c r="I240" s="262" t="n">
        <v>5.652</v>
      </c>
      <c r="J240" s="239" t="n">
        <v>5.657</v>
      </c>
      <c r="K240" s="239" t="n">
        <v>5.662</v>
      </c>
      <c r="L240" s="239" t="n">
        <v>0.1925</v>
      </c>
      <c r="M240" s="239" t="n">
        <v>0.2975</v>
      </c>
      <c r="O240" s="235"/>
      <c r="P240" s="288"/>
      <c r="Q240" s="288"/>
      <c r="R240" s="289" t="e">
        <f aca="false">B240</f>
        <v>#VALUE!</v>
      </c>
      <c r="S240" s="290" t="n">
        <f aca="false">T240-$S$16</f>
        <v>0.93</v>
      </c>
      <c r="T240" s="285" t="n">
        <f aca="false">D240</f>
        <v>1</v>
      </c>
      <c r="U240" s="291" t="n">
        <f aca="false">$U$16+T240</f>
        <v>1.07</v>
      </c>
      <c r="BP240" s="249" t="n">
        <f aca="false">BP239+BV240</f>
        <v>239</v>
      </c>
      <c r="BQ240" s="250" t="s">
        <v>1093</v>
      </c>
      <c r="BR240" s="247" t="s">
        <v>195</v>
      </c>
      <c r="BS240" s="161" t="s">
        <v>324</v>
      </c>
      <c r="BT240" s="253" t="s">
        <v>197</v>
      </c>
      <c r="BU240" s="253"/>
      <c r="BV240" s="161" t="n">
        <v>1</v>
      </c>
      <c r="BW240" s="247" t="s">
        <v>1094</v>
      </c>
      <c r="BX240" s="0"/>
    </row>
    <row r="241" customFormat="false" ht="12.75" hidden="false" customHeight="false" outlineLevel="0" collapsed="false">
      <c r="A241" s="286"/>
      <c r="B241" s="287" t="e">
        <f aca="false">NextMonth(B240)</f>
        <v>#VALUE!</v>
      </c>
      <c r="C241" s="239" t="n">
        <v>0.0668324361485384</v>
      </c>
      <c r="D241" s="239" t="n">
        <v>1</v>
      </c>
      <c r="E241" s="239" t="n">
        <v>1</v>
      </c>
      <c r="F241" s="239" t="n">
        <v>0.1625</v>
      </c>
      <c r="G241" s="239" t="n">
        <v>0.17</v>
      </c>
      <c r="H241" s="239" t="n">
        <v>0.1775</v>
      </c>
      <c r="I241" s="262" t="n">
        <v>5.757</v>
      </c>
      <c r="J241" s="239" t="n">
        <v>5.762</v>
      </c>
      <c r="K241" s="239" t="n">
        <v>5.767</v>
      </c>
      <c r="L241" s="239" t="n">
        <v>0.1925</v>
      </c>
      <c r="M241" s="239" t="n">
        <v>0.31</v>
      </c>
      <c r="O241" s="235"/>
      <c r="P241" s="288"/>
      <c r="Q241" s="288"/>
      <c r="R241" s="289" t="e">
        <f aca="false">B241</f>
        <v>#VALUE!</v>
      </c>
      <c r="S241" s="290" t="n">
        <f aca="false">T241-$S$16</f>
        <v>0.93</v>
      </c>
      <c r="T241" s="285" t="n">
        <f aca="false">D241</f>
        <v>1</v>
      </c>
      <c r="U241" s="291" t="n">
        <f aca="false">$U$16+T241</f>
        <v>1.07</v>
      </c>
      <c r="BP241" s="249" t="n">
        <f aca="false">BP240+BV241</f>
        <v>240</v>
      </c>
      <c r="BQ241" s="250" t="s">
        <v>1095</v>
      </c>
      <c r="BR241" s="247" t="s">
        <v>195</v>
      </c>
      <c r="BS241" s="161" t="s">
        <v>324</v>
      </c>
      <c r="BT241" s="253" t="s">
        <v>197</v>
      </c>
      <c r="BU241" s="253"/>
      <c r="BV241" s="161" t="n">
        <v>1</v>
      </c>
      <c r="BW241" s="247" t="s">
        <v>1096</v>
      </c>
      <c r="BX241" s="0"/>
    </row>
    <row r="242" customFormat="false" ht="12.75" hidden="false" customHeight="false" outlineLevel="0" collapsed="false">
      <c r="A242" s="286"/>
      <c r="B242" s="287" t="e">
        <f aca="false">NextMonth(B241)</f>
        <v>#VALUE!</v>
      </c>
      <c r="C242" s="239" t="n">
        <v>0.0668706600553737</v>
      </c>
      <c r="D242" s="239" t="n">
        <v>1</v>
      </c>
      <c r="E242" s="239" t="n">
        <v>1</v>
      </c>
      <c r="F242" s="239" t="n">
        <v>0.1625</v>
      </c>
      <c r="G242" s="239" t="n">
        <v>0.17</v>
      </c>
      <c r="H242" s="239" t="n">
        <v>0.1775</v>
      </c>
      <c r="I242" s="262" t="n">
        <v>5.637</v>
      </c>
      <c r="J242" s="239" t="n">
        <v>5.642</v>
      </c>
      <c r="K242" s="239" t="n">
        <v>5.647</v>
      </c>
      <c r="L242" s="239" t="n">
        <v>0.1925</v>
      </c>
      <c r="M242" s="239" t="n">
        <v>0.31</v>
      </c>
      <c r="O242" s="235"/>
      <c r="P242" s="288"/>
      <c r="Q242" s="288"/>
      <c r="R242" s="289" t="e">
        <f aca="false">B242</f>
        <v>#VALUE!</v>
      </c>
      <c r="S242" s="290" t="n">
        <f aca="false">T242-$S$16</f>
        <v>0.93</v>
      </c>
      <c r="T242" s="285" t="n">
        <f aca="false">D242</f>
        <v>1</v>
      </c>
      <c r="U242" s="291" t="n">
        <f aca="false">$U$16+T242</f>
        <v>1.07</v>
      </c>
      <c r="BP242" s="249" t="n">
        <f aca="false">BP241+BV242</f>
        <v>241</v>
      </c>
      <c r="BQ242" s="250" t="s">
        <v>1097</v>
      </c>
      <c r="BR242" s="247" t="s">
        <v>195</v>
      </c>
      <c r="BS242" s="161" t="s">
        <v>324</v>
      </c>
      <c r="BT242" s="253" t="s">
        <v>197</v>
      </c>
      <c r="BU242" s="253"/>
      <c r="BV242" s="161" t="n">
        <v>1</v>
      </c>
      <c r="BW242" s="247" t="s">
        <v>1098</v>
      </c>
      <c r="BX242" s="0"/>
    </row>
    <row r="243" customFormat="false" ht="12.75" hidden="false" customHeight="false" outlineLevel="0" collapsed="false">
      <c r="A243" s="286"/>
      <c r="B243" s="287" t="e">
        <f aca="false">NextMonth(B242)</f>
        <v>#VALUE!</v>
      </c>
      <c r="C243" s="239" t="n">
        <v>0.066906417904141</v>
      </c>
      <c r="D243" s="239" t="n">
        <v>0.75</v>
      </c>
      <c r="E243" s="239" t="n">
        <v>0.75</v>
      </c>
      <c r="F243" s="239" t="n">
        <v>0.1625</v>
      </c>
      <c r="G243" s="239" t="n">
        <v>0.17</v>
      </c>
      <c r="H243" s="239" t="n">
        <v>0.1775</v>
      </c>
      <c r="I243" s="262" t="n">
        <v>5.497</v>
      </c>
      <c r="J243" s="239" t="n">
        <v>5.502</v>
      </c>
      <c r="K243" s="239" t="n">
        <v>5.507</v>
      </c>
      <c r="L243" s="239" t="n">
        <v>0.1925</v>
      </c>
      <c r="M243" s="239" t="n">
        <v>0.3</v>
      </c>
      <c r="O243" s="235"/>
      <c r="P243" s="288"/>
      <c r="Q243" s="288"/>
      <c r="R243" s="289" t="e">
        <f aca="false">B243</f>
        <v>#VALUE!</v>
      </c>
      <c r="S243" s="290" t="n">
        <f aca="false">T243-$S$16</f>
        <v>0.68</v>
      </c>
      <c r="T243" s="285" t="n">
        <f aca="false">D243</f>
        <v>0.75</v>
      </c>
      <c r="U243" s="291" t="n">
        <f aca="false">$U$16+T243</f>
        <v>0.82</v>
      </c>
      <c r="BP243" s="249" t="n">
        <f aca="false">BP242+BV243</f>
        <v>242</v>
      </c>
      <c r="BQ243" s="250" t="s">
        <v>1099</v>
      </c>
      <c r="BR243" s="247" t="s">
        <v>195</v>
      </c>
      <c r="BS243" s="161" t="s">
        <v>324</v>
      </c>
      <c r="BT243" s="253" t="s">
        <v>197</v>
      </c>
      <c r="BU243" s="253"/>
      <c r="BV243" s="161" t="n">
        <v>1</v>
      </c>
      <c r="BW243" s="247" t="s">
        <v>1100</v>
      </c>
      <c r="BX243" s="0"/>
    </row>
    <row r="244" customFormat="false" ht="12.75" hidden="false" customHeight="false" outlineLevel="0" collapsed="false">
      <c r="A244" s="286"/>
      <c r="B244" s="287" t="e">
        <f aca="false">NextMonth(B243)</f>
        <v>#VALUE!</v>
      </c>
      <c r="C244" s="239" t="n">
        <v>0.0669446418119133</v>
      </c>
      <c r="D244" s="239" t="n">
        <v>0.4</v>
      </c>
      <c r="E244" s="239" t="n">
        <v>0.4</v>
      </c>
      <c r="F244" s="239" t="n">
        <v>0.1625</v>
      </c>
      <c r="G244" s="239" t="n">
        <v>0.17</v>
      </c>
      <c r="H244" s="239" t="n">
        <v>0.1775</v>
      </c>
      <c r="I244" s="262" t="n">
        <v>5.355</v>
      </c>
      <c r="J244" s="239" t="n">
        <v>5.36</v>
      </c>
      <c r="K244" s="239" t="n">
        <v>5.365</v>
      </c>
      <c r="L244" s="239" t="n">
        <v>0.1975</v>
      </c>
      <c r="M244" s="239" t="n">
        <v>0.37253</v>
      </c>
      <c r="O244" s="235"/>
      <c r="P244" s="288"/>
      <c r="Q244" s="288"/>
      <c r="R244" s="289" t="e">
        <f aca="false">B244</f>
        <v>#VALUE!</v>
      </c>
      <c r="S244" s="290" t="n">
        <f aca="false">T244-$S$16</f>
        <v>0.33</v>
      </c>
      <c r="T244" s="285" t="n">
        <f aca="false">D244</f>
        <v>0.4</v>
      </c>
      <c r="U244" s="291" t="n">
        <f aca="false">$U$16+T244</f>
        <v>0.47</v>
      </c>
      <c r="BP244" s="249" t="n">
        <f aca="false">BP243+BV244</f>
        <v>243</v>
      </c>
      <c r="BQ244" s="250" t="s">
        <v>1101</v>
      </c>
      <c r="BR244" s="247" t="s">
        <v>195</v>
      </c>
      <c r="BS244" s="161" t="s">
        <v>324</v>
      </c>
      <c r="BT244" s="253" t="s">
        <v>197</v>
      </c>
      <c r="BU244" s="253"/>
      <c r="BV244" s="161" t="n">
        <v>1</v>
      </c>
      <c r="BW244" s="247" t="s">
        <v>1102</v>
      </c>
      <c r="BX244" s="0"/>
    </row>
    <row r="245" customFormat="false" ht="12.75" hidden="false" customHeight="false" outlineLevel="0" collapsed="false">
      <c r="A245" s="286"/>
      <c r="B245" s="287" t="e">
        <f aca="false">NextMonth(B244)</f>
        <v>#VALUE!</v>
      </c>
      <c r="C245" s="239" t="n">
        <v>0.0669816326908626</v>
      </c>
      <c r="D245" s="239" t="n">
        <v>0.4</v>
      </c>
      <c r="E245" s="239" t="n">
        <v>0.4</v>
      </c>
      <c r="F245" s="239" t="n">
        <v>0.1625</v>
      </c>
      <c r="G245" s="239" t="n">
        <v>0.17</v>
      </c>
      <c r="H245" s="239" t="n">
        <v>0.1775</v>
      </c>
      <c r="I245" s="262" t="n">
        <v>5.389</v>
      </c>
      <c r="J245" s="239" t="n">
        <v>5.394</v>
      </c>
      <c r="K245" s="239" t="n">
        <v>5.399</v>
      </c>
      <c r="L245" s="239" t="n">
        <v>0.2725</v>
      </c>
      <c r="M245" s="239" t="n">
        <v>0.66</v>
      </c>
      <c r="O245" s="235"/>
      <c r="P245" s="288"/>
      <c r="Q245" s="288"/>
      <c r="R245" s="289" t="e">
        <f aca="false">B245</f>
        <v>#VALUE!</v>
      </c>
      <c r="S245" s="290" t="n">
        <f aca="false">T245-$S$16</f>
        <v>0.33</v>
      </c>
      <c r="T245" s="285" t="n">
        <f aca="false">D245</f>
        <v>0.4</v>
      </c>
      <c r="U245" s="291" t="n">
        <f aca="false">$U$16+T245</f>
        <v>0.47</v>
      </c>
      <c r="BP245" s="249" t="n">
        <f aca="false">BP244+BV245</f>
        <v>244</v>
      </c>
      <c r="BQ245" s="250" t="s">
        <v>1103</v>
      </c>
      <c r="BR245" s="247" t="s">
        <v>195</v>
      </c>
      <c r="BS245" s="161" t="s">
        <v>324</v>
      </c>
      <c r="BT245" s="253" t="s">
        <v>197</v>
      </c>
      <c r="BU245" s="253"/>
      <c r="BV245" s="161" t="n">
        <v>1</v>
      </c>
      <c r="BW245" s="247" t="s">
        <v>1104</v>
      </c>
      <c r="BX245" s="0"/>
    </row>
    <row r="246" customFormat="false" ht="12.75" hidden="false" customHeight="false" outlineLevel="0" collapsed="false">
      <c r="A246" s="286"/>
      <c r="B246" s="287" t="e">
        <f aca="false">NextMonth(B245)</f>
        <v>#VALUE!</v>
      </c>
      <c r="C246" s="239" t="n">
        <v>0.0670198565995865</v>
      </c>
      <c r="D246" s="239" t="n">
        <v>0.4</v>
      </c>
      <c r="E246" s="239" t="n">
        <v>0.4</v>
      </c>
      <c r="F246" s="239" t="n">
        <v>0.1625</v>
      </c>
      <c r="G246" s="239" t="n">
        <v>0.17</v>
      </c>
      <c r="H246" s="239" t="n">
        <v>0.1775</v>
      </c>
      <c r="I246" s="262" t="n">
        <v>5.422</v>
      </c>
      <c r="J246" s="239" t="n">
        <v>5.427</v>
      </c>
      <c r="K246" s="239" t="n">
        <v>5.432</v>
      </c>
      <c r="L246" s="239" t="n">
        <v>0.3075</v>
      </c>
      <c r="M246" s="239" t="n">
        <v>1.03</v>
      </c>
      <c r="O246" s="235"/>
      <c r="P246" s="288"/>
      <c r="Q246" s="288"/>
      <c r="R246" s="289" t="e">
        <f aca="false">B246</f>
        <v>#VALUE!</v>
      </c>
      <c r="S246" s="290" t="n">
        <f aca="false">T246-$S$16</f>
        <v>0.33</v>
      </c>
      <c r="T246" s="285" t="n">
        <f aca="false">D246</f>
        <v>0.4</v>
      </c>
      <c r="U246" s="291" t="n">
        <f aca="false">$U$16+T246</f>
        <v>0.47</v>
      </c>
      <c r="BP246" s="249" t="n">
        <f aca="false">BP245+BV246</f>
        <v>245</v>
      </c>
      <c r="BQ246" s="250" t="s">
        <v>1105</v>
      </c>
      <c r="BR246" s="247" t="s">
        <v>195</v>
      </c>
      <c r="BS246" s="161" t="s">
        <v>324</v>
      </c>
      <c r="BT246" s="253" t="s">
        <v>197</v>
      </c>
      <c r="BU246" s="253"/>
      <c r="BV246" s="161" t="n">
        <v>1</v>
      </c>
      <c r="BW246" s="247" t="s">
        <v>1106</v>
      </c>
      <c r="BX246" s="0"/>
    </row>
    <row r="247" customFormat="false" ht="12.75" hidden="false" customHeight="false" outlineLevel="0" collapsed="false">
      <c r="A247" s="286"/>
      <c r="B247" s="287" t="e">
        <f aca="false">NextMonth(B246)</f>
        <v>#VALUE!</v>
      </c>
      <c r="C247" s="239" t="n">
        <v>0.0670568474794573</v>
      </c>
      <c r="D247" s="239" t="n">
        <v>0.4</v>
      </c>
      <c r="E247" s="239" t="n">
        <v>0.4</v>
      </c>
      <c r="F247" s="239" t="n">
        <v>0.1625</v>
      </c>
      <c r="G247" s="239" t="n">
        <v>0.17</v>
      </c>
      <c r="H247" s="239" t="n">
        <v>0.1775</v>
      </c>
      <c r="I247" s="262" t="n">
        <v>5.467</v>
      </c>
      <c r="J247" s="239" t="n">
        <v>5.472</v>
      </c>
      <c r="K247" s="239" t="n">
        <v>5.477</v>
      </c>
      <c r="L247" s="239" t="n">
        <v>0.3125</v>
      </c>
      <c r="M247" s="239" t="n">
        <v>1.25</v>
      </c>
      <c r="O247" s="235"/>
      <c r="P247" s="288"/>
      <c r="Q247" s="288"/>
      <c r="R247" s="289" t="e">
        <f aca="false">B247</f>
        <v>#VALUE!</v>
      </c>
      <c r="S247" s="290" t="n">
        <f aca="false">T247-$S$16</f>
        <v>0.33</v>
      </c>
      <c r="T247" s="285" t="n">
        <f aca="false">D247</f>
        <v>0.4</v>
      </c>
      <c r="U247" s="291" t="n">
        <f aca="false">$U$16+T247</f>
        <v>0.47</v>
      </c>
      <c r="BP247" s="249" t="n">
        <f aca="false">BP246+BV247</f>
        <v>246</v>
      </c>
      <c r="BQ247" s="250" t="s">
        <v>338</v>
      </c>
      <c r="BR247" s="247" t="s">
        <v>195</v>
      </c>
      <c r="BS247" s="161" t="s">
        <v>196</v>
      </c>
      <c r="BT247" s="253" t="s">
        <v>197</v>
      </c>
      <c r="BU247" s="253"/>
      <c r="BV247" s="161" t="n">
        <v>1</v>
      </c>
      <c r="BW247" s="247" t="s">
        <v>1107</v>
      </c>
      <c r="BX247" s="0"/>
    </row>
    <row r="248" customFormat="false" ht="12.75" hidden="false" customHeight="false" outlineLevel="0" collapsed="false">
      <c r="A248" s="286"/>
      <c r="B248" s="287" t="e">
        <f aca="false">NextMonth(B247)</f>
        <v>#VALUE!</v>
      </c>
      <c r="C248" s="239" t="n">
        <v>0.067095071389133</v>
      </c>
      <c r="D248" s="239" t="n">
        <v>0.5</v>
      </c>
      <c r="E248" s="239" t="n">
        <v>0.5</v>
      </c>
      <c r="F248" s="239" t="n">
        <v>0.1625</v>
      </c>
      <c r="G248" s="239" t="n">
        <v>0.17</v>
      </c>
      <c r="H248" s="239" t="n">
        <v>0.1775</v>
      </c>
      <c r="I248" s="262" t="n">
        <v>5.502</v>
      </c>
      <c r="J248" s="239" t="n">
        <v>5.507</v>
      </c>
      <c r="K248" s="239" t="n">
        <v>5.512</v>
      </c>
      <c r="L248" s="239" t="n">
        <v>0.3125</v>
      </c>
      <c r="M248" s="239" t="n">
        <v>1.25</v>
      </c>
      <c r="O248" s="235"/>
      <c r="P248" s="288"/>
      <c r="Q248" s="288"/>
      <c r="R248" s="289" t="e">
        <f aca="false">B248</f>
        <v>#VALUE!</v>
      </c>
      <c r="S248" s="290" t="n">
        <f aca="false">T248-$S$16</f>
        <v>0.43</v>
      </c>
      <c r="T248" s="285" t="n">
        <f aca="false">D248</f>
        <v>0.5</v>
      </c>
      <c r="U248" s="291" t="n">
        <f aca="false">$U$16+T248</f>
        <v>0.57</v>
      </c>
      <c r="BP248" s="249" t="n">
        <f aca="false">BP247+BV248</f>
        <v>247</v>
      </c>
      <c r="BQ248" s="250" t="s">
        <v>342</v>
      </c>
      <c r="BR248" s="247" t="s">
        <v>195</v>
      </c>
      <c r="BS248" s="161" t="s">
        <v>196</v>
      </c>
      <c r="BT248" s="253" t="s">
        <v>197</v>
      </c>
      <c r="BU248" s="253"/>
      <c r="BV248" s="161" t="n">
        <v>1</v>
      </c>
      <c r="BW248" s="247" t="s">
        <v>1108</v>
      </c>
      <c r="BX248" s="0"/>
    </row>
    <row r="249" customFormat="false" ht="12.75" hidden="false" customHeight="false" outlineLevel="0" collapsed="false">
      <c r="A249" s="286"/>
      <c r="B249" s="287" t="e">
        <f aca="false">NextMonth(B248)</f>
        <v>#VALUE!</v>
      </c>
      <c r="C249" s="239" t="n">
        <v>0.0671332952992927</v>
      </c>
      <c r="D249" s="239" t="n">
        <v>0.55</v>
      </c>
      <c r="E249" s="239" t="n">
        <v>0.55</v>
      </c>
      <c r="F249" s="239" t="n">
        <v>0.1625</v>
      </c>
      <c r="G249" s="239" t="n">
        <v>0.17</v>
      </c>
      <c r="H249" s="239" t="n">
        <v>0.1775</v>
      </c>
      <c r="I249" s="262" t="n">
        <v>5.507</v>
      </c>
      <c r="J249" s="239" t="n">
        <v>5.512</v>
      </c>
      <c r="K249" s="239" t="n">
        <v>5.517</v>
      </c>
      <c r="L249" s="239" t="n">
        <v>0.27</v>
      </c>
      <c r="M249" s="239" t="n">
        <v>0.905</v>
      </c>
      <c r="O249" s="235"/>
      <c r="P249" s="288"/>
      <c r="Q249" s="288"/>
      <c r="R249" s="289" t="e">
        <f aca="false">B249</f>
        <v>#VALUE!</v>
      </c>
      <c r="S249" s="290" t="n">
        <f aca="false">T249-$S$16</f>
        <v>0.48</v>
      </c>
      <c r="T249" s="285" t="n">
        <f aca="false">D249</f>
        <v>0.55</v>
      </c>
      <c r="U249" s="291" t="n">
        <f aca="false">$U$16+T249</f>
        <v>0.62</v>
      </c>
      <c r="BP249" s="249" t="n">
        <f aca="false">BP248+BV249</f>
        <v>248</v>
      </c>
      <c r="BQ249" s="250" t="s">
        <v>346</v>
      </c>
      <c r="BR249" s="247" t="s">
        <v>195</v>
      </c>
      <c r="BS249" s="161" t="s">
        <v>196</v>
      </c>
      <c r="BT249" s="253" t="s">
        <v>197</v>
      </c>
      <c r="BU249" s="253"/>
      <c r="BV249" s="161" t="n">
        <v>1</v>
      </c>
      <c r="BW249" s="247" t="s">
        <v>1109</v>
      </c>
      <c r="BX249" s="0"/>
    </row>
    <row r="250" customFormat="false" ht="12.75" hidden="false" customHeight="false" outlineLevel="0" collapsed="false">
      <c r="A250" s="286"/>
      <c r="B250" s="287" t="e">
        <f aca="false">NextMonth(B249)</f>
        <v>#VALUE!</v>
      </c>
      <c r="C250" s="239" t="n">
        <v>0.0671702861805525</v>
      </c>
      <c r="D250" s="239" t="n">
        <v>0.55</v>
      </c>
      <c r="E250" s="239" t="n">
        <v>0.55</v>
      </c>
      <c r="F250" s="239" t="n">
        <v>0.1625</v>
      </c>
      <c r="G250" s="239" t="n">
        <v>0.17</v>
      </c>
      <c r="H250" s="239" t="n">
        <v>0.1775</v>
      </c>
      <c r="I250" s="262" t="n">
        <v>5.532</v>
      </c>
      <c r="J250" s="239" t="n">
        <v>5.537</v>
      </c>
      <c r="K250" s="239" t="n">
        <v>5.542</v>
      </c>
      <c r="L250" s="239" t="n">
        <v>0.205</v>
      </c>
      <c r="M250" s="239" t="n">
        <v>0.365</v>
      </c>
      <c r="O250" s="235"/>
      <c r="P250" s="288"/>
      <c r="Q250" s="288"/>
      <c r="R250" s="289" t="e">
        <f aca="false">B250</f>
        <v>#VALUE!</v>
      </c>
      <c r="S250" s="290" t="n">
        <f aca="false">T250-$S$16</f>
        <v>0.48</v>
      </c>
      <c r="T250" s="285" t="n">
        <f aca="false">D250</f>
        <v>0.55</v>
      </c>
      <c r="U250" s="291" t="n">
        <f aca="false">$U$16+T250</f>
        <v>0.62</v>
      </c>
      <c r="BP250" s="249" t="n">
        <f aca="false">BP249+BV250</f>
        <v>249</v>
      </c>
      <c r="BQ250" s="250" t="s">
        <v>350</v>
      </c>
      <c r="BR250" s="247" t="s">
        <v>195</v>
      </c>
      <c r="BS250" s="161" t="s">
        <v>196</v>
      </c>
      <c r="BT250" s="253" t="s">
        <v>197</v>
      </c>
      <c r="BU250" s="253"/>
      <c r="BV250" s="161" t="n">
        <v>1</v>
      </c>
      <c r="BW250" s="247" t="s">
        <v>1110</v>
      </c>
      <c r="BX250" s="0"/>
    </row>
    <row r="251" customFormat="false" ht="12.75" hidden="false" customHeight="false" outlineLevel="0" collapsed="false">
      <c r="A251" s="286"/>
      <c r="B251" s="287" t="e">
        <f aca="false">NextMonth(B250)</f>
        <v>#VALUE!</v>
      </c>
      <c r="C251" s="239" t="n">
        <v>0.0672085100916644</v>
      </c>
      <c r="D251" s="239" t="n">
        <v>0.8</v>
      </c>
      <c r="E251" s="239" t="n">
        <v>0.8</v>
      </c>
      <c r="F251" s="239" t="n">
        <v>0.1625</v>
      </c>
      <c r="G251" s="239" t="n">
        <v>0.17</v>
      </c>
      <c r="H251" s="239" t="n">
        <v>0.1775</v>
      </c>
      <c r="I251" s="262" t="n">
        <v>5.642</v>
      </c>
      <c r="J251" s="239" t="n">
        <v>5.647</v>
      </c>
      <c r="K251" s="239" t="n">
        <v>5.652</v>
      </c>
      <c r="L251" s="239" t="n">
        <v>0.1925</v>
      </c>
      <c r="M251" s="239" t="n">
        <v>0.2975</v>
      </c>
      <c r="O251" s="235"/>
      <c r="P251" s="288"/>
      <c r="Q251" s="288"/>
      <c r="R251" s="289" t="e">
        <f aca="false">B251</f>
        <v>#VALUE!</v>
      </c>
      <c r="S251" s="290" t="n">
        <f aca="false">T251-$S$16</f>
        <v>0.73</v>
      </c>
      <c r="T251" s="285" t="n">
        <f aca="false">D251</f>
        <v>0.8</v>
      </c>
      <c r="U251" s="291" t="n">
        <f aca="false">$U$16+T251</f>
        <v>0.87</v>
      </c>
      <c r="BP251" s="249" t="n">
        <f aca="false">BP250+BV251</f>
        <v>250</v>
      </c>
      <c r="BQ251" s="250" t="s">
        <v>354</v>
      </c>
      <c r="BR251" s="247" t="s">
        <v>195</v>
      </c>
      <c r="BS251" s="161" t="s">
        <v>196</v>
      </c>
      <c r="BT251" s="253" t="s">
        <v>197</v>
      </c>
      <c r="BU251" s="253"/>
      <c r="BV251" s="161" t="n">
        <v>1</v>
      </c>
      <c r="BW251" s="247" t="s">
        <v>1111</v>
      </c>
      <c r="BX251" s="0"/>
    </row>
    <row r="252" customFormat="false" ht="12.75" hidden="false" customHeight="false" outlineLevel="0" collapsed="false">
      <c r="A252" s="286"/>
      <c r="B252" s="287" t="e">
        <f aca="false">NextMonth(B251)</f>
        <v>#VALUE!</v>
      </c>
      <c r="C252" s="239" t="n">
        <v>0.0672455009738457</v>
      </c>
      <c r="D252" s="239" t="n">
        <v>1</v>
      </c>
      <c r="E252" s="239" t="n">
        <v>1</v>
      </c>
      <c r="F252" s="239" t="n">
        <v>0.1625</v>
      </c>
      <c r="G252" s="239" t="n">
        <v>0.17</v>
      </c>
      <c r="H252" s="239" t="n">
        <v>0.1775</v>
      </c>
      <c r="I252" s="262" t="n">
        <v>5.762</v>
      </c>
      <c r="J252" s="239" t="n">
        <v>5.767</v>
      </c>
      <c r="K252" s="239" t="n">
        <v>5.772</v>
      </c>
      <c r="L252" s="239" t="n">
        <v>0.1925</v>
      </c>
      <c r="M252" s="239" t="n">
        <v>0.2975</v>
      </c>
      <c r="O252" s="235"/>
      <c r="P252" s="288"/>
      <c r="Q252" s="288"/>
      <c r="R252" s="289" t="e">
        <f aca="false">B252</f>
        <v>#VALUE!</v>
      </c>
      <c r="S252" s="290" t="n">
        <f aca="false">T252-$S$16</f>
        <v>0.93</v>
      </c>
      <c r="T252" s="285" t="n">
        <f aca="false">D252</f>
        <v>1</v>
      </c>
      <c r="U252" s="291" t="n">
        <f aca="false">$U$16+T252</f>
        <v>1.07</v>
      </c>
      <c r="BP252" s="249" t="n">
        <f aca="false">BP251+BV252</f>
        <v>251</v>
      </c>
      <c r="BQ252" s="250" t="s">
        <v>358</v>
      </c>
      <c r="BR252" s="247" t="s">
        <v>195</v>
      </c>
      <c r="BS252" s="161" t="s">
        <v>196</v>
      </c>
      <c r="BT252" s="253" t="s">
        <v>197</v>
      </c>
      <c r="BU252" s="253"/>
      <c r="BV252" s="161" t="n">
        <v>1</v>
      </c>
      <c r="BW252" s="247" t="s">
        <v>1112</v>
      </c>
      <c r="BX252" s="0"/>
    </row>
    <row r="253" customFormat="false" ht="12.75" hidden="false" customHeight="false" outlineLevel="0" collapsed="false">
      <c r="A253" s="286"/>
      <c r="B253" s="287" t="e">
        <f aca="false">NextMonth(B252)</f>
        <v>#VALUE!</v>
      </c>
      <c r="C253" s="239" t="n">
        <v>0.0672837248859093</v>
      </c>
      <c r="D253" s="239" t="n">
        <v>1</v>
      </c>
      <c r="E253" s="239" t="n">
        <v>1</v>
      </c>
      <c r="F253" s="239" t="n">
        <v>0.1625</v>
      </c>
      <c r="G253" s="239" t="n">
        <v>0.17</v>
      </c>
      <c r="H253" s="239" t="n">
        <v>0.1775</v>
      </c>
      <c r="I253" s="262" t="n">
        <v>5.867</v>
      </c>
      <c r="J253" s="239" t="n">
        <v>5.872</v>
      </c>
      <c r="K253" s="239" t="n">
        <v>5.877</v>
      </c>
      <c r="L253" s="239" t="n">
        <v>0.1925</v>
      </c>
      <c r="M253" s="239" t="n">
        <v>0.31</v>
      </c>
      <c r="O253" s="235"/>
      <c r="P253" s="288"/>
      <c r="Q253" s="288"/>
      <c r="R253" s="289" t="e">
        <f aca="false">B253</f>
        <v>#VALUE!</v>
      </c>
      <c r="S253" s="290" t="n">
        <f aca="false">T253-$S$16</f>
        <v>0.93</v>
      </c>
      <c r="T253" s="285" t="n">
        <f aca="false">D253</f>
        <v>1</v>
      </c>
      <c r="U253" s="291" t="n">
        <f aca="false">$U$16+T253</f>
        <v>1.07</v>
      </c>
      <c r="BP253" s="249" t="n">
        <f aca="false">BP252+BV253</f>
        <v>252</v>
      </c>
      <c r="BQ253" s="250" t="s">
        <v>362</v>
      </c>
      <c r="BR253" s="247" t="s">
        <v>195</v>
      </c>
      <c r="BS253" s="161" t="s">
        <v>196</v>
      </c>
      <c r="BT253" s="253" t="s">
        <v>197</v>
      </c>
      <c r="BU253" s="253"/>
      <c r="BV253" s="161" t="n">
        <v>1</v>
      </c>
      <c r="BW253" s="247" t="s">
        <v>1113</v>
      </c>
      <c r="BX253" s="0"/>
    </row>
    <row r="254" customFormat="false" ht="12.75" hidden="false" customHeight="false" outlineLevel="0" collapsed="false">
      <c r="A254" s="286"/>
      <c r="B254" s="287" t="e">
        <f aca="false">NextMonth(B253)</f>
        <v>#VALUE!</v>
      </c>
      <c r="C254" s="239" t="n">
        <v>0.0673219487984564</v>
      </c>
      <c r="D254" s="239" t="n">
        <v>1</v>
      </c>
      <c r="E254" s="239" t="n">
        <v>1</v>
      </c>
      <c r="F254" s="239" t="n">
        <v>0.1625</v>
      </c>
      <c r="G254" s="239" t="n">
        <v>0.17</v>
      </c>
      <c r="H254" s="239" t="n">
        <v>0.1775</v>
      </c>
      <c r="I254" s="262" t="n">
        <v>5.747</v>
      </c>
      <c r="J254" s="239" t="n">
        <v>5.752</v>
      </c>
      <c r="K254" s="239" t="n">
        <v>5.757</v>
      </c>
      <c r="L254" s="239" t="n">
        <v>0.1925</v>
      </c>
      <c r="M254" s="239" t="n">
        <v>0.31</v>
      </c>
      <c r="O254" s="235"/>
      <c r="P254" s="288"/>
      <c r="Q254" s="288"/>
      <c r="R254" s="289" t="e">
        <f aca="false">B254</f>
        <v>#VALUE!</v>
      </c>
      <c r="S254" s="290" t="n">
        <f aca="false">T254-$S$16</f>
        <v>0.93</v>
      </c>
      <c r="T254" s="285" t="n">
        <f aca="false">D254</f>
        <v>1</v>
      </c>
      <c r="U254" s="291" t="n">
        <f aca="false">$U$16+T254</f>
        <v>1.07</v>
      </c>
      <c r="BP254" s="249" t="n">
        <f aca="false">BP253+BV254</f>
        <v>253</v>
      </c>
      <c r="BQ254" s="250" t="s">
        <v>366</v>
      </c>
      <c r="BR254" s="247" t="s">
        <v>195</v>
      </c>
      <c r="BS254" s="161" t="s">
        <v>196</v>
      </c>
      <c r="BT254" s="253" t="s">
        <v>197</v>
      </c>
      <c r="BU254" s="253"/>
      <c r="BV254" s="161" t="n">
        <v>1</v>
      </c>
      <c r="BW254" s="247" t="s">
        <v>1114</v>
      </c>
      <c r="BX254" s="0"/>
    </row>
    <row r="255" customFormat="false" ht="12.75" hidden="false" customHeight="false" outlineLevel="0" collapsed="false">
      <c r="A255" s="286"/>
      <c r="B255" s="287" t="e">
        <f aca="false">NextMonth(B254)</f>
        <v>#VALUE!</v>
      </c>
      <c r="C255" s="239" t="n">
        <v>0.0673564736231085</v>
      </c>
      <c r="D255" s="239" t="n">
        <v>0.75</v>
      </c>
      <c r="E255" s="239" t="n">
        <v>0.75</v>
      </c>
      <c r="F255" s="239" t="n">
        <v>0.1625</v>
      </c>
      <c r="G255" s="239" t="n">
        <v>0.17</v>
      </c>
      <c r="H255" s="239" t="n">
        <v>0.1775</v>
      </c>
      <c r="I255" s="262" t="n">
        <v>5.607</v>
      </c>
      <c r="J255" s="239" t="n">
        <v>5.612</v>
      </c>
      <c r="K255" s="239" t="n">
        <v>5.617</v>
      </c>
      <c r="L255" s="239" t="n">
        <v>0.1925</v>
      </c>
      <c r="M255" s="239" t="n">
        <v>0.3</v>
      </c>
      <c r="O255" s="235"/>
      <c r="P255" s="288"/>
      <c r="Q255" s="288"/>
      <c r="R255" s="289" t="e">
        <f aca="false">B255</f>
        <v>#VALUE!</v>
      </c>
      <c r="S255" s="290" t="n">
        <f aca="false">T255-$S$16</f>
        <v>0.68</v>
      </c>
      <c r="T255" s="285" t="n">
        <f aca="false">D255</f>
        <v>0.75</v>
      </c>
      <c r="U255" s="291" t="n">
        <f aca="false">$U$16+T255</f>
        <v>0.82</v>
      </c>
      <c r="BP255" s="249" t="n">
        <f aca="false">BP254+BV255</f>
        <v>254</v>
      </c>
      <c r="BQ255" s="250" t="s">
        <v>370</v>
      </c>
      <c r="BR255" s="247" t="s">
        <v>195</v>
      </c>
      <c r="BS255" s="161" t="s">
        <v>196</v>
      </c>
      <c r="BT255" s="253" t="s">
        <v>197</v>
      </c>
      <c r="BU255" s="253"/>
      <c r="BV255" s="161" t="n">
        <v>1</v>
      </c>
      <c r="BW255" s="247" t="s">
        <v>1115</v>
      </c>
      <c r="BX255" s="0"/>
    </row>
    <row r="256" customFormat="false" ht="12.75" hidden="false" customHeight="false" outlineLevel="0" collapsed="false">
      <c r="A256" s="286"/>
      <c r="B256" s="287" t="e">
        <f aca="false">NextMonth(B255)</f>
        <v>#VALUE!</v>
      </c>
      <c r="C256" s="239" t="n">
        <v>0.0673946975365762</v>
      </c>
      <c r="D256" s="239" t="n">
        <v>0.4</v>
      </c>
      <c r="E256" s="239" t="n">
        <v>0.4</v>
      </c>
      <c r="F256" s="239" t="n">
        <v>0.1625</v>
      </c>
      <c r="G256" s="239" t="n">
        <v>0.17</v>
      </c>
      <c r="H256" s="239" t="n">
        <v>0.1775</v>
      </c>
      <c r="I256" s="262" t="n">
        <v>5.465</v>
      </c>
      <c r="J256" s="239" t="n">
        <v>5.47</v>
      </c>
      <c r="K256" s="239" t="n">
        <v>5.475</v>
      </c>
      <c r="L256" s="239" t="n">
        <v>0.1975</v>
      </c>
      <c r="M256" s="239" t="n">
        <v>0.37253</v>
      </c>
      <c r="O256" s="235"/>
      <c r="P256" s="288"/>
      <c r="Q256" s="288"/>
      <c r="R256" s="289" t="e">
        <f aca="false">B256</f>
        <v>#VALUE!</v>
      </c>
      <c r="S256" s="290" t="n">
        <f aca="false">T256-$S$16</f>
        <v>0.33</v>
      </c>
      <c r="T256" s="285" t="n">
        <f aca="false">D256</f>
        <v>0.4</v>
      </c>
      <c r="U256" s="291" t="n">
        <f aca="false">$U$16+T256</f>
        <v>0.47</v>
      </c>
      <c r="BP256" s="249" t="n">
        <f aca="false">BP255+BV256</f>
        <v>255</v>
      </c>
      <c r="BQ256" s="250" t="s">
        <v>374</v>
      </c>
      <c r="BR256" s="247" t="s">
        <v>195</v>
      </c>
      <c r="BS256" s="161" t="s">
        <v>196</v>
      </c>
      <c r="BT256" s="253" t="s">
        <v>197</v>
      </c>
      <c r="BU256" s="253"/>
      <c r="BV256" s="161" t="n">
        <v>1</v>
      </c>
      <c r="BW256" s="247" t="s">
        <v>1116</v>
      </c>
      <c r="BX256" s="0"/>
    </row>
    <row r="257" customFormat="false" ht="12.75" hidden="false" customHeight="false" outlineLevel="0" collapsed="false">
      <c r="A257" s="286"/>
      <c r="B257" s="287" t="e">
        <f aca="false">NextMonth(B256)</f>
        <v>#VALUE!</v>
      </c>
      <c r="C257" s="239" t="n">
        <v>0.0674156521446507</v>
      </c>
      <c r="D257" s="239" t="n">
        <v>0.4</v>
      </c>
      <c r="E257" s="239" t="n">
        <v>0.4</v>
      </c>
      <c r="F257" s="239" t="n">
        <v>0.1625</v>
      </c>
      <c r="G257" s="239" t="n">
        <v>0.17</v>
      </c>
      <c r="H257" s="239" t="n">
        <v>0.1775</v>
      </c>
      <c r="I257" s="262" t="n">
        <v>5.499</v>
      </c>
      <c r="J257" s="239" t="n">
        <v>5.504</v>
      </c>
      <c r="K257" s="239" t="n">
        <v>5.509</v>
      </c>
      <c r="L257" s="239" t="n">
        <v>0.2725</v>
      </c>
      <c r="M257" s="239" t="n">
        <v>0.66</v>
      </c>
      <c r="O257" s="235"/>
      <c r="P257" s="288"/>
      <c r="Q257" s="288"/>
      <c r="R257" s="289" t="e">
        <f aca="false">B257</f>
        <v>#VALUE!</v>
      </c>
      <c r="S257" s="290" t="n">
        <f aca="false">T257-$S$16</f>
        <v>0.33</v>
      </c>
      <c r="T257" s="285" t="n">
        <f aca="false">D257</f>
        <v>0.4</v>
      </c>
      <c r="U257" s="291" t="n">
        <f aca="false">$U$16+T257</f>
        <v>0.47</v>
      </c>
      <c r="BP257" s="249" t="n">
        <f aca="false">BP256+BV257</f>
        <v>256</v>
      </c>
      <c r="BQ257" s="250" t="s">
        <v>378</v>
      </c>
      <c r="BR257" s="247" t="s">
        <v>195</v>
      </c>
      <c r="BS257" s="161" t="s">
        <v>196</v>
      </c>
      <c r="BT257" s="253" t="s">
        <v>197</v>
      </c>
      <c r="BU257" s="253"/>
      <c r="BV257" s="161" t="n">
        <v>1</v>
      </c>
      <c r="BW257" s="247" t="s">
        <v>1117</v>
      </c>
      <c r="BX257" s="0"/>
    </row>
    <row r="258" customFormat="false" ht="12.75" hidden="false" customHeight="false" outlineLevel="0" collapsed="false">
      <c r="A258" s="286"/>
      <c r="B258" s="287" t="e">
        <f aca="false">NextMonth(B257)</f>
        <v>#VALUE!</v>
      </c>
      <c r="C258" s="239" t="n">
        <v>0.0674124490114036</v>
      </c>
      <c r="D258" s="239" t="n">
        <v>0.4</v>
      </c>
      <c r="E258" s="239" t="n">
        <v>0.4</v>
      </c>
      <c r="F258" s="239" t="n">
        <v>0.1625</v>
      </c>
      <c r="G258" s="239" t="n">
        <v>0.17</v>
      </c>
      <c r="H258" s="239" t="n">
        <v>0.1775</v>
      </c>
      <c r="I258" s="262" t="n">
        <v>5.532</v>
      </c>
      <c r="J258" s="239" t="n">
        <v>5.537</v>
      </c>
      <c r="K258" s="239" t="n">
        <v>5.542</v>
      </c>
      <c r="L258" s="239" t="n">
        <v>0.3075</v>
      </c>
      <c r="M258" s="239" t="n">
        <v>1.03</v>
      </c>
      <c r="O258" s="235"/>
      <c r="P258" s="288"/>
      <c r="Q258" s="288"/>
      <c r="R258" s="289" t="e">
        <f aca="false">B258</f>
        <v>#VALUE!</v>
      </c>
      <c r="S258" s="290" t="n">
        <f aca="false">T258-$S$16</f>
        <v>0.33</v>
      </c>
      <c r="T258" s="285" t="n">
        <f aca="false">D258</f>
        <v>0.4</v>
      </c>
      <c r="U258" s="291" t="n">
        <f aca="false">$U$16+T258</f>
        <v>0.47</v>
      </c>
      <c r="BP258" s="249" t="n">
        <f aca="false">BP257+BV258</f>
        <v>257</v>
      </c>
      <c r="BQ258" s="250" t="s">
        <v>382</v>
      </c>
      <c r="BR258" s="247" t="s">
        <v>195</v>
      </c>
      <c r="BS258" s="161" t="s">
        <v>196</v>
      </c>
      <c r="BT258" s="253" t="s">
        <v>197</v>
      </c>
      <c r="BU258" s="253"/>
      <c r="BV258" s="161" t="n">
        <v>1</v>
      </c>
      <c r="BW258" s="247" t="s">
        <v>1118</v>
      </c>
      <c r="BX258" s="0"/>
    </row>
    <row r="259" customFormat="false" ht="12.75" hidden="false" customHeight="false" outlineLevel="0" collapsed="false">
      <c r="A259" s="286"/>
      <c r="B259" s="287" t="e">
        <f aca="false">NextMonth(B258)</f>
        <v>#VALUE!</v>
      </c>
      <c r="C259" s="239" t="n">
        <v>0.0674093492050392</v>
      </c>
      <c r="D259" s="239" t="n">
        <v>0.4</v>
      </c>
      <c r="E259" s="239" t="n">
        <v>0.4</v>
      </c>
      <c r="F259" s="239" t="n">
        <v>0.1625</v>
      </c>
      <c r="G259" s="239" t="n">
        <v>0.17</v>
      </c>
      <c r="H259" s="239" t="n">
        <v>0.1775</v>
      </c>
      <c r="I259" s="262" t="n">
        <v>5.577</v>
      </c>
      <c r="J259" s="239" t="n">
        <v>5.582</v>
      </c>
      <c r="K259" s="239" t="n">
        <v>5.587</v>
      </c>
      <c r="L259" s="239" t="n">
        <v>0.3125</v>
      </c>
      <c r="M259" s="239" t="n">
        <v>1.25</v>
      </c>
      <c r="O259" s="235"/>
      <c r="P259" s="288"/>
      <c r="Q259" s="288"/>
      <c r="R259" s="289" t="e">
        <f aca="false">B259</f>
        <v>#VALUE!</v>
      </c>
      <c r="S259" s="290" t="n">
        <f aca="false">T259-$S$16</f>
        <v>0.33</v>
      </c>
      <c r="T259" s="285" t="n">
        <f aca="false">D259</f>
        <v>0.4</v>
      </c>
      <c r="U259" s="291" t="n">
        <f aca="false">$U$16+T259</f>
        <v>0.47</v>
      </c>
      <c r="BP259" s="249" t="n">
        <f aca="false">BP258+BV259</f>
        <v>258</v>
      </c>
      <c r="BQ259" s="250" t="s">
        <v>386</v>
      </c>
      <c r="BR259" s="247" t="s">
        <v>195</v>
      </c>
      <c r="BS259" s="161" t="s">
        <v>196</v>
      </c>
      <c r="BT259" s="253" t="s">
        <v>197</v>
      </c>
      <c r="BU259" s="253"/>
      <c r="BV259" s="161" t="n">
        <v>1</v>
      </c>
      <c r="BW259" s="247" t="s">
        <v>1119</v>
      </c>
      <c r="BX259" s="0"/>
    </row>
    <row r="260" customFormat="false" ht="12.75" hidden="false" customHeight="false" outlineLevel="0" collapsed="false">
      <c r="A260" s="286"/>
      <c r="B260" s="287" t="e">
        <f aca="false">NextMonth(B259)</f>
        <v>#VALUE!</v>
      </c>
      <c r="C260" s="239" t="n">
        <v>0.0674061460717987</v>
      </c>
      <c r="D260" s="239" t="n">
        <v>0.5</v>
      </c>
      <c r="E260" s="239" t="n">
        <v>0.5</v>
      </c>
      <c r="F260" s="239" t="n">
        <v>0.1625</v>
      </c>
      <c r="G260" s="239" t="n">
        <v>0.17</v>
      </c>
      <c r="H260" s="239" t="n">
        <v>0.1775</v>
      </c>
      <c r="I260" s="262" t="n">
        <v>5.612</v>
      </c>
      <c r="J260" s="239" t="n">
        <v>5.617</v>
      </c>
      <c r="K260" s="239" t="n">
        <v>5.622</v>
      </c>
      <c r="L260" s="239" t="n">
        <v>0.3125</v>
      </c>
      <c r="M260" s="239" t="n">
        <v>1.25</v>
      </c>
      <c r="O260" s="235"/>
      <c r="P260" s="288"/>
      <c r="Q260" s="288"/>
      <c r="R260" s="289" t="e">
        <f aca="false">B260</f>
        <v>#VALUE!</v>
      </c>
      <c r="S260" s="290" t="n">
        <f aca="false">T260-$S$16</f>
        <v>0.43</v>
      </c>
      <c r="T260" s="285" t="n">
        <f aca="false">D260</f>
        <v>0.5</v>
      </c>
      <c r="U260" s="291" t="n">
        <f aca="false">$U$16+T260</f>
        <v>0.57</v>
      </c>
      <c r="BP260" s="249" t="n">
        <f aca="false">BP259+BV260</f>
        <v>259</v>
      </c>
      <c r="BQ260" s="250" t="s">
        <v>390</v>
      </c>
      <c r="BR260" s="247" t="s">
        <v>195</v>
      </c>
      <c r="BS260" s="161" t="s">
        <v>196</v>
      </c>
      <c r="BT260" s="253" t="s">
        <v>197</v>
      </c>
      <c r="BU260" s="253"/>
      <c r="BV260" s="161" t="n">
        <v>1</v>
      </c>
      <c r="BW260" s="247" t="s">
        <v>1120</v>
      </c>
      <c r="BX260" s="0"/>
    </row>
    <row r="261" customFormat="false" ht="12.75" hidden="false" customHeight="false" outlineLevel="0" collapsed="false">
      <c r="A261" s="286"/>
      <c r="B261" s="287" t="e">
        <f aca="false">NextMonth(B260)</f>
        <v>#VALUE!</v>
      </c>
      <c r="C261" s="239" t="n">
        <v>0.0674029429385619</v>
      </c>
      <c r="D261" s="239" t="n">
        <v>0.55</v>
      </c>
      <c r="E261" s="239" t="n">
        <v>0.55</v>
      </c>
      <c r="F261" s="239" t="n">
        <v>0.1625</v>
      </c>
      <c r="G261" s="239" t="n">
        <v>0.17</v>
      </c>
      <c r="H261" s="239" t="n">
        <v>0.1775</v>
      </c>
      <c r="I261" s="262" t="n">
        <v>5.617</v>
      </c>
      <c r="J261" s="239" t="n">
        <v>5.622</v>
      </c>
      <c r="K261" s="239" t="n">
        <v>5.627</v>
      </c>
      <c r="L261" s="239" t="n">
        <v>0.27</v>
      </c>
      <c r="M261" s="239" t="n">
        <v>0.905</v>
      </c>
      <c r="O261" s="235"/>
      <c r="P261" s="288"/>
      <c r="Q261" s="288"/>
      <c r="R261" s="289" t="e">
        <f aca="false">B261</f>
        <v>#VALUE!</v>
      </c>
      <c r="S261" s="290" t="n">
        <f aca="false">T261-$S$16</f>
        <v>0.48</v>
      </c>
      <c r="T261" s="285" t="n">
        <f aca="false">D261</f>
        <v>0.55</v>
      </c>
      <c r="U261" s="291" t="n">
        <f aca="false">$U$16+T261</f>
        <v>0.62</v>
      </c>
      <c r="BP261" s="249" t="n">
        <f aca="false">BP260+BV261</f>
        <v>260</v>
      </c>
      <c r="BQ261" s="250" t="s">
        <v>394</v>
      </c>
      <c r="BR261" s="247" t="s">
        <v>195</v>
      </c>
      <c r="BS261" s="161" t="s">
        <v>196</v>
      </c>
      <c r="BT261" s="253" t="s">
        <v>197</v>
      </c>
      <c r="BU261" s="253"/>
      <c r="BV261" s="161" t="n">
        <v>1</v>
      </c>
      <c r="BW261" s="247" t="s">
        <v>1121</v>
      </c>
      <c r="BX261" s="0"/>
    </row>
    <row r="262" customFormat="false" ht="12.75" hidden="false" customHeight="false" outlineLevel="0" collapsed="false">
      <c r="A262" s="286"/>
      <c r="B262" s="287" t="e">
        <f aca="false">NextMonth(B261)</f>
        <v>#VALUE!</v>
      </c>
      <c r="C262" s="239" t="n">
        <v>0.0673998431322067</v>
      </c>
      <c r="D262" s="239" t="n">
        <v>0.55</v>
      </c>
      <c r="E262" s="239" t="n">
        <v>0.55</v>
      </c>
      <c r="F262" s="239" t="n">
        <v>0.1625</v>
      </c>
      <c r="G262" s="239" t="n">
        <v>0.17</v>
      </c>
      <c r="H262" s="239" t="n">
        <v>0.1775</v>
      </c>
      <c r="I262" s="262" t="n">
        <v>5.642</v>
      </c>
      <c r="J262" s="239" t="n">
        <v>5.647</v>
      </c>
      <c r="K262" s="239" t="n">
        <v>5.652</v>
      </c>
      <c r="L262" s="239" t="n">
        <v>0.205</v>
      </c>
      <c r="M262" s="239" t="n">
        <v>0.365</v>
      </c>
      <c r="O262" s="235"/>
      <c r="P262" s="288"/>
      <c r="Q262" s="288"/>
      <c r="R262" s="289" t="e">
        <f aca="false">B262</f>
        <v>#VALUE!</v>
      </c>
      <c r="S262" s="290" t="n">
        <f aca="false">T262-$S$16</f>
        <v>0.48</v>
      </c>
      <c r="T262" s="285" t="n">
        <f aca="false">D262</f>
        <v>0.55</v>
      </c>
      <c r="U262" s="291" t="n">
        <f aca="false">$U$16+T262</f>
        <v>0.62</v>
      </c>
      <c r="BP262" s="249" t="n">
        <f aca="false">BP261+BV262</f>
        <v>261</v>
      </c>
      <c r="BQ262" s="250" t="s">
        <v>398</v>
      </c>
      <c r="BR262" s="247" t="s">
        <v>195</v>
      </c>
      <c r="BS262" s="161" t="s">
        <v>196</v>
      </c>
      <c r="BT262" s="253" t="s">
        <v>197</v>
      </c>
      <c r="BU262" s="253"/>
      <c r="BV262" s="161" t="n">
        <v>1</v>
      </c>
      <c r="BW262" s="247" t="s">
        <v>1122</v>
      </c>
      <c r="BX262" s="0"/>
    </row>
    <row r="263" customFormat="false" ht="12.75" hidden="false" customHeight="false" outlineLevel="0" collapsed="false">
      <c r="A263" s="286"/>
      <c r="B263" s="287" t="e">
        <f aca="false">NextMonth(B262)</f>
        <v>#VALUE!</v>
      </c>
      <c r="C263" s="239" t="n">
        <v>0.067396639998976</v>
      </c>
      <c r="D263" s="239" t="n">
        <v>0.8</v>
      </c>
      <c r="E263" s="239" t="n">
        <v>0.8</v>
      </c>
      <c r="F263" s="239" t="n">
        <v>0.1625</v>
      </c>
      <c r="G263" s="239" t="n">
        <v>0.17</v>
      </c>
      <c r="H263" s="239" t="n">
        <v>0.1775</v>
      </c>
      <c r="I263" s="262" t="n">
        <v>5.752</v>
      </c>
      <c r="J263" s="239" t="n">
        <v>5.757</v>
      </c>
      <c r="K263" s="239" t="n">
        <v>5.762</v>
      </c>
      <c r="L263" s="239" t="n">
        <v>0.1925</v>
      </c>
      <c r="M263" s="239" t="n">
        <v>0.2975</v>
      </c>
      <c r="O263" s="235"/>
      <c r="P263" s="288"/>
      <c r="Q263" s="288"/>
      <c r="R263" s="289" t="e">
        <f aca="false">B263</f>
        <v>#VALUE!</v>
      </c>
      <c r="S263" s="290" t="n">
        <f aca="false">T263-$S$16</f>
        <v>0.73</v>
      </c>
      <c r="T263" s="285" t="n">
        <f aca="false">D263</f>
        <v>0.8</v>
      </c>
      <c r="U263" s="291" t="n">
        <f aca="false">$U$16+T263</f>
        <v>0.87</v>
      </c>
      <c r="BP263" s="249" t="n">
        <f aca="false">BP262+BV263</f>
        <v>262</v>
      </c>
      <c r="BQ263" s="250" t="s">
        <v>402</v>
      </c>
      <c r="BR263" s="247" t="s">
        <v>195</v>
      </c>
      <c r="BS263" s="161" t="s">
        <v>196</v>
      </c>
      <c r="BT263" s="253" t="s">
        <v>197</v>
      </c>
      <c r="BU263" s="253"/>
      <c r="BV263" s="161" t="n">
        <v>1</v>
      </c>
      <c r="BW263" s="247" t="s">
        <v>1123</v>
      </c>
      <c r="BX263" s="0"/>
    </row>
    <row r="264" customFormat="false" ht="12.75" hidden="false" customHeight="false" outlineLevel="0" collapsed="false">
      <c r="A264" s="286"/>
      <c r="B264" s="287" t="e">
        <f aca="false">NextMonth(B263)</f>
        <v>#VALUE!</v>
      </c>
      <c r="C264" s="239" t="n">
        <v>0.0673935401926276</v>
      </c>
      <c r="D264" s="239" t="n">
        <v>1</v>
      </c>
      <c r="E264" s="239" t="n">
        <v>1</v>
      </c>
      <c r="F264" s="239" t="n">
        <v>0.1625</v>
      </c>
      <c r="G264" s="239" t="n">
        <v>0.17</v>
      </c>
      <c r="H264" s="239" t="n">
        <v>0.1775</v>
      </c>
      <c r="I264" s="262" t="n">
        <v>5.872</v>
      </c>
      <c r="J264" s="239" t="n">
        <v>5.877</v>
      </c>
      <c r="K264" s="239" t="n">
        <v>5.882</v>
      </c>
      <c r="L264" s="239" t="n">
        <v>0.1925</v>
      </c>
      <c r="M264" s="239" t="n">
        <v>0.2975</v>
      </c>
      <c r="O264" s="235"/>
      <c r="P264" s="288"/>
      <c r="Q264" s="288"/>
      <c r="R264" s="289" t="e">
        <f aca="false">B264</f>
        <v>#VALUE!</v>
      </c>
      <c r="S264" s="290" t="n">
        <f aca="false">T264-$S$16</f>
        <v>0.93</v>
      </c>
      <c r="T264" s="285" t="n">
        <f aca="false">D264</f>
        <v>1</v>
      </c>
      <c r="U264" s="291" t="n">
        <f aca="false">$U$16+T264</f>
        <v>1.07</v>
      </c>
      <c r="BP264" s="249" t="n">
        <f aca="false">BP263+BV264</f>
        <v>263</v>
      </c>
      <c r="BQ264" s="250" t="s">
        <v>406</v>
      </c>
      <c r="BR264" s="247" t="s">
        <v>195</v>
      </c>
      <c r="BS264" s="161" t="s">
        <v>196</v>
      </c>
      <c r="BT264" s="253" t="s">
        <v>197</v>
      </c>
      <c r="BU264" s="253"/>
      <c r="BV264" s="161" t="n">
        <v>1</v>
      </c>
      <c r="BW264" s="247" t="s">
        <v>1124</v>
      </c>
      <c r="BX264" s="0"/>
    </row>
    <row r="265" customFormat="false" ht="12.75" hidden="false" customHeight="false" outlineLevel="0" collapsed="false">
      <c r="A265" s="286"/>
      <c r="B265" s="287" t="e">
        <f aca="false">NextMonth(B264)</f>
        <v>#VALUE!</v>
      </c>
      <c r="C265" s="239" t="n">
        <v>0.067390337059404</v>
      </c>
      <c r="D265" s="239" t="n">
        <v>1</v>
      </c>
      <c r="E265" s="239" t="n">
        <v>1</v>
      </c>
      <c r="F265" s="239" t="n">
        <v>0.1625</v>
      </c>
      <c r="G265" s="239" t="n">
        <v>0.17</v>
      </c>
      <c r="H265" s="239" t="n">
        <v>0.1775</v>
      </c>
      <c r="I265" s="262" t="n">
        <v>5.977</v>
      </c>
      <c r="J265" s="239" t="n">
        <v>5.982</v>
      </c>
      <c r="K265" s="239" t="n">
        <v>5.987</v>
      </c>
      <c r="L265" s="239" t="n">
        <v>0.1925</v>
      </c>
      <c r="M265" s="239" t="n">
        <v>0.31</v>
      </c>
      <c r="O265" s="235"/>
      <c r="P265" s="288"/>
      <c r="Q265" s="288"/>
      <c r="R265" s="289" t="e">
        <f aca="false">B265</f>
        <v>#VALUE!</v>
      </c>
      <c r="S265" s="290" t="n">
        <f aca="false">T265-$S$16</f>
        <v>0.93</v>
      </c>
      <c r="T265" s="285" t="n">
        <f aca="false">D265</f>
        <v>1</v>
      </c>
      <c r="U265" s="291" t="n">
        <f aca="false">$U$16+T265</f>
        <v>1.07</v>
      </c>
      <c r="BP265" s="249" t="n">
        <f aca="false">BP264+BV265</f>
        <v>264</v>
      </c>
      <c r="BQ265" s="250" t="s">
        <v>410</v>
      </c>
      <c r="BR265" s="247" t="s">
        <v>195</v>
      </c>
      <c r="BS265" s="161" t="s">
        <v>196</v>
      </c>
      <c r="BT265" s="253" t="s">
        <v>197</v>
      </c>
      <c r="BU265" s="253"/>
      <c r="BV265" s="161" t="n">
        <v>1</v>
      </c>
      <c r="BW265" s="247" t="s">
        <v>1125</v>
      </c>
      <c r="BX265" s="0"/>
    </row>
    <row r="266" customFormat="false" ht="12.75" hidden="false" customHeight="false" outlineLevel="0" collapsed="false">
      <c r="A266" s="286"/>
      <c r="B266" s="287" t="e">
        <f aca="false">NextMonth(B265)</f>
        <v>#VALUE!</v>
      </c>
      <c r="C266" s="239" t="n">
        <v>0.0673871339261836</v>
      </c>
      <c r="D266" s="239" t="n">
        <v>1</v>
      </c>
      <c r="E266" s="239" t="n">
        <v>1</v>
      </c>
      <c r="F266" s="239" t="n">
        <v>0.1625</v>
      </c>
      <c r="G266" s="239" t="n">
        <v>0.17</v>
      </c>
      <c r="H266" s="239" t="n">
        <v>0.1775</v>
      </c>
      <c r="I266" s="262" t="n">
        <v>5.857</v>
      </c>
      <c r="J266" s="239" t="n">
        <v>5.862</v>
      </c>
      <c r="K266" s="239" t="n">
        <v>5.867</v>
      </c>
      <c r="L266" s="239" t="n">
        <v>0.1925</v>
      </c>
      <c r="M266" s="239" t="n">
        <v>0.31</v>
      </c>
      <c r="O266" s="235"/>
      <c r="P266" s="288"/>
      <c r="Q266" s="288"/>
      <c r="R266" s="289" t="e">
        <f aca="false">B266</f>
        <v>#VALUE!</v>
      </c>
      <c r="S266" s="290" t="n">
        <f aca="false">T266-$S$16</f>
        <v>0.93</v>
      </c>
      <c r="T266" s="285" t="n">
        <f aca="false">D266</f>
        <v>1</v>
      </c>
      <c r="U266" s="291" t="n">
        <f aca="false">$U$16+T266</f>
        <v>1.07</v>
      </c>
      <c r="BP266" s="249" t="n">
        <f aca="false">BP265+BV266</f>
        <v>265</v>
      </c>
      <c r="BQ266" s="250" t="s">
        <v>414</v>
      </c>
      <c r="BR266" s="247" t="s">
        <v>195</v>
      </c>
      <c r="BS266" s="161" t="s">
        <v>196</v>
      </c>
      <c r="BT266" s="253" t="s">
        <v>197</v>
      </c>
      <c r="BU266" s="253"/>
      <c r="BV266" s="161" t="n">
        <v>1</v>
      </c>
      <c r="BW266" s="247" t="s">
        <v>1126</v>
      </c>
      <c r="BX266" s="0"/>
    </row>
    <row r="267" customFormat="false" ht="12.75" hidden="false" customHeight="false" outlineLevel="0" collapsed="false">
      <c r="A267" s="286"/>
      <c r="B267" s="287" t="e">
        <f aca="false">NextMonth(B266)</f>
        <v>#VALUE!</v>
      </c>
      <c r="C267" s="239" t="n">
        <v>0.0673842407736003</v>
      </c>
      <c r="D267" s="239" t="n">
        <v>0.75</v>
      </c>
      <c r="E267" s="239" t="n">
        <v>0.75</v>
      </c>
      <c r="F267" s="239" t="n">
        <v>0.1625</v>
      </c>
      <c r="G267" s="239" t="n">
        <v>0.17</v>
      </c>
      <c r="H267" s="239" t="n">
        <v>0.1775</v>
      </c>
      <c r="I267" s="262" t="n">
        <v>5.717</v>
      </c>
      <c r="J267" s="239" t="n">
        <v>5.722</v>
      </c>
      <c r="K267" s="239" t="n">
        <v>5.727</v>
      </c>
      <c r="L267" s="239" t="n">
        <v>0.1925</v>
      </c>
      <c r="M267" s="239" t="n">
        <v>0.3</v>
      </c>
      <c r="O267" s="235"/>
      <c r="P267" s="288"/>
      <c r="Q267" s="288"/>
      <c r="R267" s="289" t="e">
        <f aca="false">B267</f>
        <v>#VALUE!</v>
      </c>
      <c r="S267" s="290" t="n">
        <f aca="false">T267-$S$16</f>
        <v>0.68</v>
      </c>
      <c r="T267" s="285" t="n">
        <f aca="false">D267</f>
        <v>0.75</v>
      </c>
      <c r="U267" s="291" t="n">
        <f aca="false">$U$16+T267</f>
        <v>0.82</v>
      </c>
      <c r="BP267" s="249" t="n">
        <f aca="false">BP266+BV267</f>
        <v>266</v>
      </c>
      <c r="BQ267" s="250" t="s">
        <v>418</v>
      </c>
      <c r="BR267" s="247" t="s">
        <v>195</v>
      </c>
      <c r="BS267" s="161" t="s">
        <v>196</v>
      </c>
      <c r="BT267" s="253" t="s">
        <v>197</v>
      </c>
      <c r="BU267" s="253"/>
      <c r="BV267" s="161" t="n">
        <v>1</v>
      </c>
      <c r="BW267" s="247" t="s">
        <v>1127</v>
      </c>
      <c r="BX267" s="0"/>
    </row>
    <row r="268" customFormat="false" ht="12.75" hidden="false" customHeight="false" outlineLevel="0" collapsed="false">
      <c r="A268" s="286"/>
      <c r="B268" s="287" t="e">
        <f aca="false">NextMonth(B267)</f>
        <v>#VALUE!</v>
      </c>
      <c r="C268" s="239" t="n">
        <v>0.0673810376403865</v>
      </c>
      <c r="D268" s="239" t="n">
        <v>0.4</v>
      </c>
      <c r="E268" s="239" t="n">
        <v>0.4</v>
      </c>
      <c r="F268" s="239" t="n">
        <v>0.1625</v>
      </c>
      <c r="G268" s="239" t="n">
        <v>0.17</v>
      </c>
      <c r="H268" s="239" t="n">
        <v>0.1775</v>
      </c>
      <c r="I268" s="262" t="n">
        <v>5.575</v>
      </c>
      <c r="J268" s="239" t="n">
        <v>5.58</v>
      </c>
      <c r="K268" s="239" t="n">
        <v>5.585</v>
      </c>
      <c r="L268" s="239" t="n">
        <v>0.1975</v>
      </c>
      <c r="M268" s="239" t="n">
        <v>0.37253</v>
      </c>
      <c r="O268" s="235"/>
      <c r="P268" s="288"/>
      <c r="Q268" s="288"/>
      <c r="R268" s="289" t="e">
        <f aca="false">B268</f>
        <v>#VALUE!</v>
      </c>
      <c r="S268" s="290" t="n">
        <f aca="false">T268-$S$16</f>
        <v>0.33</v>
      </c>
      <c r="T268" s="285" t="n">
        <f aca="false">D268</f>
        <v>0.4</v>
      </c>
      <c r="U268" s="291" t="n">
        <f aca="false">$U$16+T268</f>
        <v>0.47</v>
      </c>
      <c r="BP268" s="249" t="n">
        <f aca="false">BP267+BV268</f>
        <v>267</v>
      </c>
      <c r="BQ268" s="250" t="s">
        <v>422</v>
      </c>
      <c r="BR268" s="247" t="s">
        <v>195</v>
      </c>
      <c r="BS268" s="161" t="s">
        <v>196</v>
      </c>
      <c r="BT268" s="253" t="s">
        <v>197</v>
      </c>
      <c r="BU268" s="253"/>
      <c r="BV268" s="161" t="n">
        <v>1</v>
      </c>
      <c r="BW268" s="247" t="s">
        <v>1128</v>
      </c>
      <c r="BX268" s="0"/>
    </row>
    <row r="269" customFormat="false" ht="12.75" hidden="false" customHeight="false" outlineLevel="0" collapsed="false">
      <c r="A269" s="286"/>
      <c r="B269" s="287" t="e">
        <f aca="false">NextMonth(B268)</f>
        <v>#VALUE!</v>
      </c>
      <c r="C269" s="239" t="n">
        <v>0.067377937834054</v>
      </c>
      <c r="D269" s="239" t="n">
        <v>0.4</v>
      </c>
      <c r="E269" s="239" t="n">
        <v>0.4</v>
      </c>
      <c r="F269" s="239" t="n">
        <v>0.1625</v>
      </c>
      <c r="G269" s="239" t="n">
        <v>0.17</v>
      </c>
      <c r="H269" s="239" t="n">
        <v>0.1775</v>
      </c>
      <c r="I269" s="262" t="n">
        <v>5.609</v>
      </c>
      <c r="J269" s="239" t="n">
        <v>5.614</v>
      </c>
      <c r="K269" s="239" t="n">
        <v>5.619</v>
      </c>
      <c r="L269" s="239" t="n">
        <v>0.2725</v>
      </c>
      <c r="M269" s="239" t="n">
        <v>0.66</v>
      </c>
      <c r="O269" s="235"/>
      <c r="P269" s="288"/>
      <c r="Q269" s="288"/>
      <c r="R269" s="289" t="e">
        <f aca="false">B269</f>
        <v>#VALUE!</v>
      </c>
      <c r="S269" s="290" t="n">
        <f aca="false">T269-$S$16</f>
        <v>0.33</v>
      </c>
      <c r="T269" s="285" t="n">
        <f aca="false">D269</f>
        <v>0.4</v>
      </c>
      <c r="U269" s="291" t="n">
        <f aca="false">$U$16+T269</f>
        <v>0.47</v>
      </c>
      <c r="BP269" s="249" t="n">
        <f aca="false">BP268+BV269</f>
        <v>268</v>
      </c>
      <c r="BQ269" s="250" t="s">
        <v>425</v>
      </c>
      <c r="BR269" s="247" t="s">
        <v>195</v>
      </c>
      <c r="BS269" s="161" t="s">
        <v>196</v>
      </c>
      <c r="BT269" s="253" t="s">
        <v>197</v>
      </c>
      <c r="BU269" s="253"/>
      <c r="BV269" s="161" t="n">
        <v>1</v>
      </c>
      <c r="BW269" s="247" t="s">
        <v>1129</v>
      </c>
      <c r="BX269" s="0"/>
    </row>
    <row r="270" customFormat="false" ht="12.75" hidden="false" customHeight="false" outlineLevel="0" collapsed="false">
      <c r="A270" s="286"/>
      <c r="B270" s="287" t="e">
        <f aca="false">NextMonth(B269)</f>
        <v>#VALUE!</v>
      </c>
      <c r="C270" s="239" t="n">
        <v>0.0673747347008469</v>
      </c>
      <c r="D270" s="239" t="n">
        <v>0.4</v>
      </c>
      <c r="E270" s="239" t="n">
        <v>0.4</v>
      </c>
      <c r="F270" s="239" t="n">
        <v>0.1625</v>
      </c>
      <c r="G270" s="239" t="n">
        <v>0.17</v>
      </c>
      <c r="H270" s="239" t="n">
        <v>0.1775</v>
      </c>
      <c r="I270" s="262" t="n">
        <v>5.642</v>
      </c>
      <c r="J270" s="239" t="n">
        <v>5.647</v>
      </c>
      <c r="K270" s="239" t="n">
        <v>5.652</v>
      </c>
      <c r="L270" s="239" t="n">
        <v>0.3075</v>
      </c>
      <c r="M270" s="239" t="n">
        <v>1.03</v>
      </c>
      <c r="O270" s="235"/>
      <c r="P270" s="288"/>
      <c r="Q270" s="288"/>
      <c r="R270" s="289" t="e">
        <f aca="false">B270</f>
        <v>#VALUE!</v>
      </c>
      <c r="S270" s="290" t="n">
        <f aca="false">T270-$S$16</f>
        <v>0.33</v>
      </c>
      <c r="T270" s="285" t="n">
        <f aca="false">D270</f>
        <v>0.4</v>
      </c>
      <c r="U270" s="291" t="n">
        <f aca="false">$U$16+T270</f>
        <v>0.47</v>
      </c>
      <c r="BP270" s="249" t="n">
        <f aca="false">BP269+BV270</f>
        <v>269</v>
      </c>
      <c r="BQ270" s="250" t="s">
        <v>428</v>
      </c>
      <c r="BR270" s="247" t="s">
        <v>195</v>
      </c>
      <c r="BS270" s="161" t="s">
        <v>196</v>
      </c>
      <c r="BT270" s="253" t="s">
        <v>197</v>
      </c>
      <c r="BU270" s="253"/>
      <c r="BV270" s="161" t="n">
        <v>1</v>
      </c>
      <c r="BW270" s="247" t="s">
        <v>1130</v>
      </c>
      <c r="BX270" s="0"/>
    </row>
    <row r="271" customFormat="false" ht="12.75" hidden="false" customHeight="false" outlineLevel="0" collapsed="false">
      <c r="A271" s="286"/>
      <c r="B271" s="287" t="e">
        <f aca="false">NextMonth(B270)</f>
        <v>#VALUE!</v>
      </c>
      <c r="C271" s="239" t="n">
        <v>0.0673716348945206</v>
      </c>
      <c r="D271" s="239" t="n">
        <v>0.4</v>
      </c>
      <c r="E271" s="239" t="n">
        <v>0.4</v>
      </c>
      <c r="F271" s="239" t="n">
        <v>0.1625</v>
      </c>
      <c r="G271" s="239" t="n">
        <v>0.17</v>
      </c>
      <c r="H271" s="239" t="n">
        <v>0.1775</v>
      </c>
      <c r="I271" s="262" t="n">
        <v>5.687</v>
      </c>
      <c r="J271" s="239" t="n">
        <v>5.692</v>
      </c>
      <c r="K271" s="239" t="n">
        <v>5.697</v>
      </c>
      <c r="L271" s="239" t="n">
        <v>0.3125</v>
      </c>
      <c r="M271" s="239" t="n">
        <v>1.25</v>
      </c>
      <c r="O271" s="235"/>
      <c r="P271" s="288"/>
      <c r="Q271" s="288"/>
      <c r="R271" s="289" t="e">
        <f aca="false">B271</f>
        <v>#VALUE!</v>
      </c>
      <c r="S271" s="290" t="n">
        <f aca="false">T271-$S$16</f>
        <v>0.33</v>
      </c>
      <c r="T271" s="285" t="n">
        <f aca="false">D271</f>
        <v>0.4</v>
      </c>
      <c r="U271" s="291" t="n">
        <f aca="false">$U$16+T271</f>
        <v>0.47</v>
      </c>
      <c r="BP271" s="249" t="n">
        <f aca="false">BP270+BV271</f>
        <v>270</v>
      </c>
      <c r="BQ271" s="250" t="s">
        <v>432</v>
      </c>
      <c r="BR271" s="247" t="s">
        <v>195</v>
      </c>
      <c r="BS271" s="161" t="s">
        <v>196</v>
      </c>
      <c r="BT271" s="253" t="s">
        <v>197</v>
      </c>
      <c r="BU271" s="253"/>
      <c r="BV271" s="161" t="n">
        <v>1</v>
      </c>
      <c r="BW271" s="247" t="s">
        <v>1131</v>
      </c>
      <c r="BX271" s="0"/>
    </row>
    <row r="272" customFormat="false" ht="12.75" hidden="false" customHeight="false" outlineLevel="0" collapsed="false">
      <c r="A272" s="286"/>
      <c r="B272" s="287" t="e">
        <f aca="false">NextMonth(B271)</f>
        <v>#VALUE!</v>
      </c>
      <c r="C272" s="239" t="n">
        <v>0.0673684317613201</v>
      </c>
      <c r="D272" s="239" t="n">
        <v>0.5</v>
      </c>
      <c r="E272" s="239" t="n">
        <v>0.5</v>
      </c>
      <c r="F272" s="239" t="n">
        <v>0.1625</v>
      </c>
      <c r="G272" s="239" t="n">
        <v>0.17</v>
      </c>
      <c r="H272" s="239" t="n">
        <v>0.1775</v>
      </c>
      <c r="I272" s="262" t="n">
        <v>5.722</v>
      </c>
      <c r="J272" s="239" t="n">
        <v>5.727</v>
      </c>
      <c r="K272" s="239" t="n">
        <v>5.732</v>
      </c>
      <c r="L272" s="239" t="n">
        <v>0.3125</v>
      </c>
      <c r="M272" s="239" t="n">
        <v>1.25</v>
      </c>
      <c r="O272" s="235"/>
      <c r="P272" s="288"/>
      <c r="Q272" s="288"/>
      <c r="R272" s="289" t="e">
        <f aca="false">B272</f>
        <v>#VALUE!</v>
      </c>
      <c r="S272" s="290" t="n">
        <f aca="false">T272-$S$16</f>
        <v>0.43</v>
      </c>
      <c r="T272" s="285" t="n">
        <f aca="false">D272</f>
        <v>0.5</v>
      </c>
      <c r="U272" s="291" t="n">
        <f aca="false">$U$16+T272</f>
        <v>0.57</v>
      </c>
      <c r="BP272" s="249" t="n">
        <f aca="false">BP271+BV272</f>
        <v>271</v>
      </c>
      <c r="BQ272" s="250" t="s">
        <v>436</v>
      </c>
      <c r="BR272" s="247" t="s">
        <v>195</v>
      </c>
      <c r="BS272" s="161" t="s">
        <v>196</v>
      </c>
      <c r="BT272" s="253" t="s">
        <v>197</v>
      </c>
      <c r="BU272" s="253"/>
      <c r="BV272" s="161" t="n">
        <v>1</v>
      </c>
      <c r="BW272" s="247" t="s">
        <v>1132</v>
      </c>
      <c r="BX272" s="0"/>
    </row>
    <row r="273" customFormat="false" ht="12.75" hidden="false" customHeight="false" outlineLevel="0" collapsed="false">
      <c r="A273" s="286"/>
      <c r="B273" s="287" t="e">
        <f aca="false">NextMonth(B272)</f>
        <v>#VALUE!</v>
      </c>
      <c r="C273" s="239" t="n">
        <v>0.065871136180702</v>
      </c>
      <c r="D273" s="239" t="n">
        <v>0.4</v>
      </c>
      <c r="E273" s="239" t="n">
        <v>0.4</v>
      </c>
      <c r="F273" s="239" t="n">
        <v>0.1625</v>
      </c>
      <c r="G273" s="239" t="n">
        <v>0.17</v>
      </c>
      <c r="H273" s="239" t="n">
        <v>0.1775</v>
      </c>
      <c r="I273" s="262" t="n">
        <v>5.7725</v>
      </c>
      <c r="J273" s="239" t="n">
        <v>5.7775</v>
      </c>
      <c r="K273" s="239" t="n">
        <v>5.7825</v>
      </c>
      <c r="L273" s="239" t="n">
        <v>0.27</v>
      </c>
      <c r="M273" s="239" t="n">
        <v>0.905</v>
      </c>
      <c r="O273" s="235"/>
      <c r="P273" s="288"/>
      <c r="Q273" s="288"/>
      <c r="R273" s="289" t="e">
        <f aca="false">B273</f>
        <v>#VALUE!</v>
      </c>
      <c r="S273" s="290" t="n">
        <f aca="false">T273-$S$16</f>
        <v>0.33</v>
      </c>
      <c r="T273" s="285" t="n">
        <f aca="false">D273</f>
        <v>0.4</v>
      </c>
      <c r="U273" s="291" t="n">
        <f aca="false">$U$16+T273</f>
        <v>0.47</v>
      </c>
      <c r="BP273" s="249" t="n">
        <f aca="false">BP272+BV273</f>
        <v>272</v>
      </c>
      <c r="BQ273" s="250" t="s">
        <v>440</v>
      </c>
      <c r="BR273" s="247" t="s">
        <v>195</v>
      </c>
      <c r="BS273" s="161" t="s">
        <v>196</v>
      </c>
      <c r="BT273" s="253" t="s">
        <v>197</v>
      </c>
      <c r="BU273" s="253"/>
      <c r="BV273" s="161" t="n">
        <v>1</v>
      </c>
      <c r="BW273" s="247" t="s">
        <v>1133</v>
      </c>
      <c r="BX273" s="0"/>
    </row>
    <row r="274" customFormat="false" ht="12.75" hidden="false" customHeight="false" outlineLevel="0" collapsed="false">
      <c r="A274" s="286"/>
      <c r="B274" s="287" t="e">
        <f aca="false">NextMonth(B273)</f>
        <v>#VALUE!</v>
      </c>
      <c r="C274" s="239" t="n">
        <v>0.065865230601659</v>
      </c>
      <c r="D274" s="239" t="n">
        <v>0.4</v>
      </c>
      <c r="E274" s="239" t="n">
        <v>0.4</v>
      </c>
      <c r="F274" s="239" t="n">
        <v>0.1625</v>
      </c>
      <c r="G274" s="239" t="n">
        <v>0.17</v>
      </c>
      <c r="H274" s="239" t="n">
        <v>0.1775</v>
      </c>
      <c r="I274" s="262" t="n">
        <v>5.7925</v>
      </c>
      <c r="J274" s="239" t="n">
        <v>5.7975</v>
      </c>
      <c r="K274" s="239" t="n">
        <v>5.8025</v>
      </c>
      <c r="L274" s="239" t="n">
        <v>0.205</v>
      </c>
      <c r="M274" s="239" t="n">
        <v>0.365</v>
      </c>
      <c r="O274" s="235"/>
      <c r="P274" s="288"/>
      <c r="Q274" s="288"/>
      <c r="R274" s="289" t="e">
        <f aca="false">B274</f>
        <v>#VALUE!</v>
      </c>
      <c r="S274" s="290" t="n">
        <f aca="false">T274-$S$16</f>
        <v>0.33</v>
      </c>
      <c r="T274" s="285" t="n">
        <f aca="false">D274</f>
        <v>0.4</v>
      </c>
      <c r="U274" s="291" t="n">
        <f aca="false">$U$16+T274</f>
        <v>0.47</v>
      </c>
      <c r="BP274" s="249" t="n">
        <f aca="false">BP273+BV274</f>
        <v>273</v>
      </c>
      <c r="BQ274" s="250" t="s">
        <v>443</v>
      </c>
      <c r="BR274" s="247" t="s">
        <v>195</v>
      </c>
      <c r="BS274" s="161" t="s">
        <v>196</v>
      </c>
      <c r="BT274" s="253" t="s">
        <v>197</v>
      </c>
      <c r="BU274" s="253"/>
      <c r="BV274" s="161" t="n">
        <v>1</v>
      </c>
      <c r="BW274" s="247" t="s">
        <v>1134</v>
      </c>
      <c r="BX274" s="0"/>
    </row>
    <row r="275" customFormat="false" ht="12.75" hidden="false" customHeight="false" outlineLevel="0" collapsed="false">
      <c r="A275" s="286"/>
      <c r="B275" s="287" t="e">
        <f aca="false">NextMonth(B274)</f>
        <v>#VALUE!</v>
      </c>
      <c r="C275" s="239" t="n">
        <v>0.065859515525175</v>
      </c>
      <c r="D275" s="239" t="n">
        <v>0.4</v>
      </c>
      <c r="E275" s="239" t="n">
        <v>0.4</v>
      </c>
      <c r="F275" s="239" t="n">
        <v>0.1625</v>
      </c>
      <c r="G275" s="239" t="n">
        <v>0.17</v>
      </c>
      <c r="H275" s="239" t="n">
        <v>0.1775</v>
      </c>
      <c r="I275" s="262" t="n">
        <v>5.7855</v>
      </c>
      <c r="J275" s="239" t="n">
        <v>5.7905</v>
      </c>
      <c r="K275" s="239" t="n">
        <v>5.7955</v>
      </c>
      <c r="L275" s="239" t="n">
        <v>0.1925</v>
      </c>
      <c r="M275" s="239" t="n">
        <v>0.2975</v>
      </c>
      <c r="O275" s="235"/>
      <c r="P275" s="288"/>
      <c r="Q275" s="288"/>
      <c r="R275" s="289" t="e">
        <f aca="false">B275</f>
        <v>#VALUE!</v>
      </c>
      <c r="S275" s="290" t="n">
        <f aca="false">T275-$S$16</f>
        <v>0.33</v>
      </c>
      <c r="T275" s="285" t="n">
        <f aca="false">D275</f>
        <v>0.4</v>
      </c>
      <c r="U275" s="291" t="n">
        <f aca="false">$U$16+T275</f>
        <v>0.47</v>
      </c>
      <c r="BP275" s="249" t="n">
        <f aca="false">BP274+BV275</f>
        <v>274</v>
      </c>
      <c r="BQ275" s="250" t="s">
        <v>447</v>
      </c>
      <c r="BR275" s="247" t="s">
        <v>195</v>
      </c>
      <c r="BS275" s="161" t="s">
        <v>196</v>
      </c>
      <c r="BT275" s="253" t="s">
        <v>197</v>
      </c>
      <c r="BU275" s="253"/>
      <c r="BV275" s="161" t="n">
        <v>1</v>
      </c>
      <c r="BW275" s="247" t="s">
        <v>1135</v>
      </c>
      <c r="BX275" s="0"/>
    </row>
    <row r="276" customFormat="false" ht="12.75" hidden="false" customHeight="false" outlineLevel="0" collapsed="false">
      <c r="A276" s="286"/>
      <c r="B276" s="287" t="e">
        <f aca="false">NextMonth(B275)</f>
        <v>#VALUE!</v>
      </c>
      <c r="C276" s="239" t="n">
        <v>0.065853609946154</v>
      </c>
      <c r="D276" s="239" t="n">
        <v>0.5</v>
      </c>
      <c r="E276" s="239" t="n">
        <v>0.5</v>
      </c>
      <c r="F276" s="239" t="n">
        <v>0.1625</v>
      </c>
      <c r="G276" s="239" t="n">
        <v>0.17</v>
      </c>
      <c r="H276" s="239" t="n">
        <v>0.1775</v>
      </c>
      <c r="I276" s="262" t="n">
        <v>5.7875</v>
      </c>
      <c r="J276" s="239" t="n">
        <v>5.7925</v>
      </c>
      <c r="K276" s="239" t="n">
        <v>5.7975</v>
      </c>
      <c r="L276" s="239" t="n">
        <v>0.1925</v>
      </c>
      <c r="M276" s="239" t="n">
        <v>0.2975</v>
      </c>
      <c r="O276" s="235"/>
      <c r="P276" s="288"/>
      <c r="Q276" s="288"/>
      <c r="R276" s="289" t="e">
        <f aca="false">B276</f>
        <v>#VALUE!</v>
      </c>
      <c r="S276" s="290" t="n">
        <f aca="false">T276-$S$16</f>
        <v>0.43</v>
      </c>
      <c r="T276" s="285" t="n">
        <f aca="false">D276</f>
        <v>0.5</v>
      </c>
      <c r="U276" s="291" t="n">
        <f aca="false">$U$16+T276</f>
        <v>0.57</v>
      </c>
      <c r="BP276" s="249" t="n">
        <f aca="false">BP275+BV276</f>
        <v>275</v>
      </c>
      <c r="BQ276" s="250" t="s">
        <v>451</v>
      </c>
      <c r="BR276" s="247" t="s">
        <v>195</v>
      </c>
      <c r="BS276" s="161" t="s">
        <v>196</v>
      </c>
      <c r="BT276" s="253" t="s">
        <v>197</v>
      </c>
      <c r="BU276" s="253"/>
      <c r="BV276" s="161" t="n">
        <v>1</v>
      </c>
      <c r="BW276" s="247" t="s">
        <v>1136</v>
      </c>
      <c r="BX276" s="0"/>
    </row>
    <row r="277" customFormat="false" ht="12.75" hidden="false" customHeight="false" outlineLevel="0" collapsed="false">
      <c r="A277" s="286"/>
      <c r="B277" s="287" t="e">
        <f aca="false">NextMonth(B276)</f>
        <v>#VALUE!</v>
      </c>
      <c r="C277" s="239" t="n">
        <v>0.065847704367145</v>
      </c>
      <c r="D277" s="239" t="n">
        <v>0.55</v>
      </c>
      <c r="E277" s="239" t="n">
        <v>0.55</v>
      </c>
      <c r="F277" s="239" t="n">
        <v>0.1625</v>
      </c>
      <c r="G277" s="239" t="n">
        <v>0.17</v>
      </c>
      <c r="H277" s="239" t="n">
        <v>0.1775</v>
      </c>
      <c r="I277" s="262" t="n">
        <v>5.8045</v>
      </c>
      <c r="J277" s="239" t="n">
        <v>5.8095</v>
      </c>
      <c r="K277" s="239" t="n">
        <v>5.8145</v>
      </c>
      <c r="L277" s="239" t="n">
        <v>0.1925</v>
      </c>
      <c r="M277" s="239" t="n">
        <v>0.31</v>
      </c>
      <c r="O277" s="235"/>
      <c r="P277" s="288"/>
      <c r="Q277" s="288"/>
      <c r="R277" s="289" t="e">
        <f aca="false">B277</f>
        <v>#VALUE!</v>
      </c>
      <c r="S277" s="290" t="n">
        <f aca="false">T277-$S$16</f>
        <v>0.48</v>
      </c>
      <c r="T277" s="285" t="n">
        <f aca="false">D277</f>
        <v>0.55</v>
      </c>
      <c r="U277" s="291" t="n">
        <f aca="false">$U$16+T277</f>
        <v>0.62</v>
      </c>
      <c r="BP277" s="249" t="n">
        <f aca="false">BP276+BV277</f>
        <v>276</v>
      </c>
      <c r="BQ277" s="250" t="s">
        <v>455</v>
      </c>
      <c r="BR277" s="247" t="s">
        <v>195</v>
      </c>
      <c r="BS277" s="161" t="s">
        <v>196</v>
      </c>
      <c r="BT277" s="253" t="s">
        <v>197</v>
      </c>
      <c r="BU277" s="253"/>
      <c r="BV277" s="161" t="n">
        <v>1</v>
      </c>
      <c r="BW277" s="247" t="s">
        <v>1137</v>
      </c>
      <c r="BX277" s="0"/>
    </row>
    <row r="278" customFormat="false" ht="12.75" hidden="false" customHeight="false" outlineLevel="0" collapsed="false">
      <c r="A278" s="286"/>
      <c r="B278" s="287" t="e">
        <f aca="false">NextMonth(B277)</f>
        <v>#VALUE!</v>
      </c>
      <c r="C278" s="239" t="n">
        <v>0.065841989290695</v>
      </c>
      <c r="D278" s="239" t="n">
        <v>0.55</v>
      </c>
      <c r="E278" s="239" t="n">
        <v>0.55</v>
      </c>
      <c r="F278" s="239" t="n">
        <v>0.1625</v>
      </c>
      <c r="G278" s="239" t="n">
        <v>0.17</v>
      </c>
      <c r="H278" s="239" t="n">
        <v>0.1775</v>
      </c>
      <c r="I278" s="262" t="n">
        <v>5.8145</v>
      </c>
      <c r="J278" s="239" t="n">
        <v>5.8195</v>
      </c>
      <c r="K278" s="239" t="n">
        <v>5.8245</v>
      </c>
      <c r="L278" s="239" t="n">
        <v>0.1925</v>
      </c>
      <c r="M278" s="239" t="n">
        <v>0.31</v>
      </c>
      <c r="O278" s="235"/>
      <c r="P278" s="288"/>
      <c r="Q278" s="288"/>
      <c r="R278" s="289" t="e">
        <f aca="false">B278</f>
        <v>#VALUE!</v>
      </c>
      <c r="S278" s="290" t="n">
        <f aca="false">T278-$S$16</f>
        <v>0.48</v>
      </c>
      <c r="T278" s="285" t="n">
        <f aca="false">D278</f>
        <v>0.55</v>
      </c>
      <c r="U278" s="291" t="n">
        <f aca="false">$U$16+T278</f>
        <v>0.62</v>
      </c>
      <c r="BP278" s="249" t="n">
        <f aca="false">BP277+BV278</f>
        <v>277</v>
      </c>
      <c r="BQ278" s="250" t="s">
        <v>459</v>
      </c>
      <c r="BR278" s="247" t="s">
        <v>195</v>
      </c>
      <c r="BS278" s="161" t="s">
        <v>196</v>
      </c>
      <c r="BT278" s="253" t="s">
        <v>197</v>
      </c>
      <c r="BU278" s="253"/>
      <c r="BV278" s="161" t="n">
        <v>1</v>
      </c>
      <c r="BW278" s="247" t="s">
        <v>1138</v>
      </c>
      <c r="BX278" s="0"/>
    </row>
    <row r="279" customFormat="false" ht="12.75" hidden="false" customHeight="false" outlineLevel="0" collapsed="false">
      <c r="A279" s="286"/>
      <c r="B279" s="287" t="e">
        <f aca="false">NextMonth(B278)</f>
        <v>#VALUE!</v>
      </c>
      <c r="C279" s="239" t="n">
        <v>0.065836083711708</v>
      </c>
      <c r="D279" s="239" t="n">
        <v>0.8</v>
      </c>
      <c r="E279" s="239" t="n">
        <v>0.8</v>
      </c>
      <c r="F279" s="239" t="n">
        <v>0.1625</v>
      </c>
      <c r="G279" s="239" t="n">
        <v>0.17</v>
      </c>
      <c r="H279" s="239" t="n">
        <v>0.1775</v>
      </c>
      <c r="I279" s="262" t="n">
        <v>5.9595</v>
      </c>
      <c r="J279" s="239" t="n">
        <v>5.9645</v>
      </c>
      <c r="K279" s="239" t="n">
        <v>5.9695</v>
      </c>
      <c r="L279" s="239" t="n">
        <v>0.1925</v>
      </c>
      <c r="M279" s="239" t="n">
        <v>0.3</v>
      </c>
      <c r="O279" s="235"/>
      <c r="P279" s="288"/>
      <c r="Q279" s="288"/>
      <c r="R279" s="289" t="e">
        <f aca="false">B279</f>
        <v>#VALUE!</v>
      </c>
      <c r="S279" s="290" t="n">
        <f aca="false">T279-$S$16</f>
        <v>0.73</v>
      </c>
      <c r="T279" s="285" t="n">
        <f aca="false">D279</f>
        <v>0.8</v>
      </c>
      <c r="U279" s="291" t="n">
        <f aca="false">$U$16+T279</f>
        <v>0.87</v>
      </c>
      <c r="BP279" s="249" t="n">
        <f aca="false">BP278+BV279</f>
        <v>278</v>
      </c>
      <c r="BQ279" s="250" t="s">
        <v>463</v>
      </c>
      <c r="BR279" s="247" t="s">
        <v>195</v>
      </c>
      <c r="BS279" s="161" t="s">
        <v>196</v>
      </c>
      <c r="BT279" s="253" t="s">
        <v>197</v>
      </c>
      <c r="BU279" s="253"/>
      <c r="BV279" s="161" t="n">
        <v>1</v>
      </c>
      <c r="BW279" s="247" t="s">
        <v>1139</v>
      </c>
      <c r="BX279" s="0"/>
    </row>
    <row r="280" customFormat="false" ht="12.75" hidden="false" customHeight="false" outlineLevel="0" collapsed="false">
      <c r="A280" s="286"/>
      <c r="B280" s="287" t="e">
        <f aca="false">NextMonth(B279)</f>
        <v>#VALUE!</v>
      </c>
      <c r="C280" s="239" t="n">
        <v>0.06583036863528</v>
      </c>
      <c r="D280" s="239" t="n">
        <v>1</v>
      </c>
      <c r="E280" s="239" t="n">
        <v>1</v>
      </c>
      <c r="F280" s="239" t="n">
        <v>0.1625</v>
      </c>
      <c r="G280" s="239" t="n">
        <v>0.17</v>
      </c>
      <c r="H280" s="239" t="n">
        <v>0.1775</v>
      </c>
      <c r="I280" s="262" t="n">
        <v>6.0995</v>
      </c>
      <c r="J280" s="239" t="n">
        <v>6.1045</v>
      </c>
      <c r="K280" s="239" t="n">
        <v>6.1095</v>
      </c>
      <c r="L280" s="239" t="n">
        <v>0.1975</v>
      </c>
      <c r="M280" s="239" t="n">
        <v>0.37253</v>
      </c>
      <c r="O280" s="235"/>
      <c r="P280" s="288"/>
      <c r="Q280" s="288"/>
      <c r="R280" s="289" t="e">
        <f aca="false">B280</f>
        <v>#VALUE!</v>
      </c>
      <c r="S280" s="290" t="n">
        <f aca="false">T280-$S$16</f>
        <v>0.93</v>
      </c>
      <c r="T280" s="285" t="n">
        <f aca="false">D280</f>
        <v>1</v>
      </c>
      <c r="U280" s="291" t="n">
        <f aca="false">$U$16+T280</f>
        <v>1.07</v>
      </c>
      <c r="BP280" s="249" t="n">
        <f aca="false">BP279+BV280</f>
        <v>279</v>
      </c>
      <c r="BQ280" s="250" t="s">
        <v>467</v>
      </c>
      <c r="BR280" s="247" t="s">
        <v>195</v>
      </c>
      <c r="BS280" s="161" t="s">
        <v>196</v>
      </c>
      <c r="BT280" s="253" t="s">
        <v>197</v>
      </c>
      <c r="BU280" s="253"/>
      <c r="BV280" s="161" t="n">
        <v>1</v>
      </c>
      <c r="BW280" s="247" t="s">
        <v>1140</v>
      </c>
      <c r="BX280" s="0"/>
    </row>
    <row r="281" customFormat="false" ht="12.75" hidden="false" customHeight="false" outlineLevel="0" collapsed="false">
      <c r="A281" s="286"/>
      <c r="B281" s="287" t="e">
        <f aca="false">NextMonth(B280)</f>
        <v>#VALUE!</v>
      </c>
      <c r="C281" s="239" t="n">
        <v>0.065824463056316</v>
      </c>
      <c r="D281" s="239" t="n">
        <v>1</v>
      </c>
      <c r="E281" s="239" t="n">
        <v>1</v>
      </c>
      <c r="F281" s="239" t="n">
        <v>0.1625</v>
      </c>
      <c r="G281" s="239" t="n">
        <v>0.17</v>
      </c>
      <c r="H281" s="239" t="n">
        <v>0.1775</v>
      </c>
      <c r="I281" s="262" t="n">
        <v>6.425</v>
      </c>
      <c r="J281" s="239" t="n">
        <v>6.43</v>
      </c>
      <c r="K281" s="239" t="n">
        <v>6.435</v>
      </c>
      <c r="L281" s="239" t="n">
        <v>0.2725</v>
      </c>
      <c r="M281" s="239" t="n">
        <v>0.66</v>
      </c>
      <c r="O281" s="235"/>
      <c r="P281" s="288"/>
      <c r="Q281" s="288"/>
      <c r="R281" s="289" t="e">
        <f aca="false">B281</f>
        <v>#VALUE!</v>
      </c>
      <c r="S281" s="290" t="n">
        <f aca="false">T281-$S$16</f>
        <v>0.93</v>
      </c>
      <c r="T281" s="285" t="n">
        <f aca="false">D281</f>
        <v>1</v>
      </c>
      <c r="U281" s="291" t="n">
        <f aca="false">$U$16+T281</f>
        <v>1.07</v>
      </c>
      <c r="BP281" s="249" t="n">
        <f aca="false">BP280+BV281</f>
        <v>280</v>
      </c>
      <c r="BQ281" s="250" t="s">
        <v>470</v>
      </c>
      <c r="BR281" s="247" t="s">
        <v>195</v>
      </c>
      <c r="BS281" s="161" t="s">
        <v>196</v>
      </c>
      <c r="BT281" s="253" t="s">
        <v>197</v>
      </c>
      <c r="BU281" s="253"/>
      <c r="BV281" s="161" t="n">
        <v>1</v>
      </c>
      <c r="BW281" s="247" t="s">
        <v>1141</v>
      </c>
      <c r="BX281" s="0"/>
    </row>
    <row r="282" customFormat="false" ht="12.75" hidden="false" customHeight="false" outlineLevel="0" collapsed="false">
      <c r="A282" s="286"/>
      <c r="B282" s="287" t="e">
        <f aca="false">NextMonth(B281)</f>
        <v>#VALUE!</v>
      </c>
      <c r="C282" s="239" t="n">
        <v>0.065818557477363</v>
      </c>
      <c r="D282" s="239" t="n">
        <v>1</v>
      </c>
      <c r="E282" s="239" t="n">
        <v>1</v>
      </c>
      <c r="F282" s="239" t="n">
        <v>0.1625</v>
      </c>
      <c r="G282" s="239" t="n">
        <v>0.17</v>
      </c>
      <c r="H282" s="239" t="n">
        <v>0.1775</v>
      </c>
      <c r="I282" s="262" t="n">
        <v>6.28</v>
      </c>
      <c r="J282" s="239" t="n">
        <v>6.285</v>
      </c>
      <c r="K282" s="239" t="n">
        <v>6.29</v>
      </c>
      <c r="L282" s="239" t="n">
        <v>0.3075</v>
      </c>
      <c r="M282" s="239" t="n">
        <v>1.03</v>
      </c>
      <c r="O282" s="235"/>
      <c r="P282" s="288"/>
      <c r="Q282" s="288"/>
      <c r="R282" s="289" t="e">
        <f aca="false">B282</f>
        <v>#VALUE!</v>
      </c>
      <c r="S282" s="290" t="n">
        <f aca="false">T282-$S$16</f>
        <v>0.93</v>
      </c>
      <c r="T282" s="285" t="n">
        <f aca="false">D282</f>
        <v>1</v>
      </c>
      <c r="U282" s="291" t="n">
        <f aca="false">$U$16+T282</f>
        <v>1.07</v>
      </c>
      <c r="BP282" s="249" t="n">
        <f aca="false">BP281+BV282</f>
        <v>281</v>
      </c>
      <c r="BQ282" s="250" t="s">
        <v>474</v>
      </c>
      <c r="BR282" s="247" t="s">
        <v>195</v>
      </c>
      <c r="BS282" s="161" t="s">
        <v>196</v>
      </c>
      <c r="BT282" s="253" t="s">
        <v>197</v>
      </c>
      <c r="BU282" s="253"/>
      <c r="BV282" s="161" t="n">
        <v>1</v>
      </c>
      <c r="BW282" s="247" t="s">
        <v>1142</v>
      </c>
      <c r="BX282" s="0"/>
    </row>
    <row r="283" customFormat="false" ht="12.75" hidden="false" customHeight="false" outlineLevel="0" collapsed="false">
      <c r="A283" s="286"/>
      <c r="B283" s="287" t="e">
        <f aca="false">NextMonth(B282)</f>
        <v>#VALUE!</v>
      </c>
      <c r="C283" s="239" t="n">
        <v>0.065813223406061</v>
      </c>
      <c r="D283" s="239" t="n">
        <v>0.75</v>
      </c>
      <c r="E283" s="239" t="n">
        <v>0.75</v>
      </c>
      <c r="F283" s="239" t="n">
        <v>0.1625</v>
      </c>
      <c r="G283" s="239" t="n">
        <v>0.17</v>
      </c>
      <c r="H283" s="239" t="n">
        <v>0.1775</v>
      </c>
      <c r="I283" s="262" t="n">
        <v>6.145</v>
      </c>
      <c r="J283" s="239" t="n">
        <v>6.15</v>
      </c>
      <c r="K283" s="239" t="n">
        <v>6.155</v>
      </c>
      <c r="L283" s="239" t="n">
        <v>0.3125</v>
      </c>
      <c r="M283" s="239" t="n">
        <v>1.25</v>
      </c>
      <c r="O283" s="235"/>
      <c r="P283" s="288"/>
      <c r="Q283" s="288"/>
      <c r="R283" s="289" t="e">
        <f aca="false">B283</f>
        <v>#VALUE!</v>
      </c>
      <c r="S283" s="290" t="n">
        <f aca="false">T283-$S$16</f>
        <v>0.68</v>
      </c>
      <c r="T283" s="285" t="n">
        <f aca="false">D283</f>
        <v>0.75</v>
      </c>
      <c r="U283" s="291" t="n">
        <f aca="false">$U$16+T283</f>
        <v>0.82</v>
      </c>
      <c r="BP283" s="249" t="n">
        <f aca="false">BP282+BV283</f>
        <v>282</v>
      </c>
      <c r="BQ283" s="250" t="s">
        <v>478</v>
      </c>
      <c r="BR283" s="247" t="s">
        <v>195</v>
      </c>
      <c r="BS283" s="161" t="s">
        <v>196</v>
      </c>
      <c r="BT283" s="253" t="s">
        <v>197</v>
      </c>
      <c r="BU283" s="253"/>
      <c r="BV283" s="161" t="n">
        <v>1</v>
      </c>
      <c r="BW283" s="247" t="s">
        <v>1143</v>
      </c>
      <c r="BX283" s="0"/>
    </row>
    <row r="284" customFormat="false" ht="12.75" hidden="false" customHeight="false" outlineLevel="0" collapsed="false">
      <c r="A284" s="286"/>
      <c r="B284" s="287" t="e">
        <f aca="false">NextMonth(B283)</f>
        <v>#VALUE!</v>
      </c>
      <c r="C284" s="239" t="n">
        <v>0.065807317827131</v>
      </c>
      <c r="D284" s="239" t="n">
        <v>0.4</v>
      </c>
      <c r="E284" s="239" t="n">
        <v>0.4</v>
      </c>
      <c r="F284" s="239" t="n">
        <v>0.1625</v>
      </c>
      <c r="G284" s="239" t="n">
        <v>0.17</v>
      </c>
      <c r="H284" s="239" t="n">
        <v>0.1775</v>
      </c>
      <c r="I284" s="262" t="n">
        <v>5.985</v>
      </c>
      <c r="J284" s="239" t="n">
        <v>5.99</v>
      </c>
      <c r="K284" s="239" t="n">
        <v>5.995</v>
      </c>
      <c r="L284" s="239" t="n">
        <v>0.3125</v>
      </c>
      <c r="M284" s="239" t="n">
        <v>1.25</v>
      </c>
      <c r="O284" s="235"/>
      <c r="P284" s="288"/>
      <c r="Q284" s="288"/>
      <c r="R284" s="289" t="e">
        <f aca="false">B284</f>
        <v>#VALUE!</v>
      </c>
      <c r="S284" s="290" t="n">
        <f aca="false">T284-$S$16</f>
        <v>0.33</v>
      </c>
      <c r="T284" s="285" t="n">
        <f aca="false">D284</f>
        <v>0.4</v>
      </c>
      <c r="U284" s="291" t="n">
        <f aca="false">$U$16+T284</f>
        <v>0.47</v>
      </c>
      <c r="BP284" s="249" t="n">
        <f aca="false">BP283+BV284</f>
        <v>283</v>
      </c>
      <c r="BQ284" s="250" t="s">
        <v>482</v>
      </c>
      <c r="BR284" s="247" t="s">
        <v>195</v>
      </c>
      <c r="BS284" s="161" t="s">
        <v>196</v>
      </c>
      <c r="BT284" s="253" t="s">
        <v>197</v>
      </c>
      <c r="BU284" s="253"/>
      <c r="BV284" s="161" t="n">
        <v>1</v>
      </c>
      <c r="BW284" s="247" t="s">
        <v>1144</v>
      </c>
      <c r="BX284" s="0"/>
    </row>
    <row r="285" customFormat="false" ht="12.75" hidden="false" customHeight="false" outlineLevel="0" collapsed="false">
      <c r="A285" s="286"/>
      <c r="B285" s="287" t="e">
        <f aca="false">NextMonth(B284)</f>
        <v>#VALUE!</v>
      </c>
      <c r="C285" s="239" t="n">
        <v>0.065801602750757</v>
      </c>
      <c r="D285" s="239" t="n">
        <v>0.4</v>
      </c>
      <c r="E285" s="239" t="n">
        <v>0.4</v>
      </c>
      <c r="F285" s="239" t="n">
        <v>0.1625</v>
      </c>
      <c r="G285" s="239" t="n">
        <v>0.17</v>
      </c>
      <c r="H285" s="239" t="n">
        <v>0.1775</v>
      </c>
      <c r="I285" s="262" t="n">
        <v>5.95</v>
      </c>
      <c r="J285" s="239" t="n">
        <v>5.955</v>
      </c>
      <c r="K285" s="239" t="n">
        <v>5.96</v>
      </c>
      <c r="L285" s="239" t="n">
        <v>0.27</v>
      </c>
      <c r="M285" s="239" t="n">
        <v>0.905</v>
      </c>
      <c r="O285" s="235"/>
      <c r="P285" s="288"/>
      <c r="Q285" s="288"/>
      <c r="R285" s="289" t="e">
        <f aca="false">B285</f>
        <v>#VALUE!</v>
      </c>
      <c r="S285" s="290" t="n">
        <f aca="false">T285-$S$16</f>
        <v>0.33</v>
      </c>
      <c r="T285" s="285" t="n">
        <f aca="false">D285</f>
        <v>0.4</v>
      </c>
      <c r="U285" s="291" t="n">
        <f aca="false">$U$16+T285</f>
        <v>0.47</v>
      </c>
      <c r="BP285" s="249" t="n">
        <f aca="false">BP284+BV285</f>
        <v>284</v>
      </c>
      <c r="BQ285" s="250" t="s">
        <v>486</v>
      </c>
      <c r="BR285" s="247" t="s">
        <v>195</v>
      </c>
      <c r="BS285" s="161" t="s">
        <v>196</v>
      </c>
      <c r="BT285" s="253" t="s">
        <v>197</v>
      </c>
      <c r="BU285" s="253"/>
      <c r="BV285" s="161" t="n">
        <v>1</v>
      </c>
      <c r="BW285" s="247" t="s">
        <v>1145</v>
      </c>
      <c r="BX285" s="0"/>
    </row>
    <row r="286" customFormat="false" ht="12.75" hidden="false" customHeight="false" outlineLevel="0" collapsed="false">
      <c r="A286" s="286"/>
      <c r="B286" s="287" t="e">
        <f aca="false">NextMonth(B285)</f>
        <v>#VALUE!</v>
      </c>
      <c r="C286" s="239" t="n">
        <v>0.065795697171849</v>
      </c>
      <c r="D286" s="239" t="n">
        <v>0.4</v>
      </c>
      <c r="E286" s="239" t="n">
        <v>0.4</v>
      </c>
      <c r="F286" s="239" t="n">
        <v>0.1625</v>
      </c>
      <c r="G286" s="239" t="n">
        <v>0.17</v>
      </c>
      <c r="H286" s="239" t="n">
        <v>0.1775</v>
      </c>
      <c r="I286" s="262" t="n">
        <v>5.97</v>
      </c>
      <c r="J286" s="239" t="n">
        <v>5.975</v>
      </c>
      <c r="K286" s="239" t="n">
        <v>5.98</v>
      </c>
      <c r="L286" s="239" t="n">
        <v>0.205</v>
      </c>
      <c r="M286" s="239" t="n">
        <v>0.365</v>
      </c>
      <c r="O286" s="235"/>
      <c r="P286" s="288"/>
      <c r="Q286" s="288"/>
      <c r="R286" s="289" t="e">
        <f aca="false">B286</f>
        <v>#VALUE!</v>
      </c>
      <c r="S286" s="290" t="n">
        <f aca="false">T286-$S$16</f>
        <v>0.33</v>
      </c>
      <c r="T286" s="285" t="n">
        <f aca="false">D286</f>
        <v>0.4</v>
      </c>
      <c r="U286" s="291" t="n">
        <f aca="false">$U$16+T286</f>
        <v>0.47</v>
      </c>
      <c r="BP286" s="249" t="n">
        <f aca="false">BP285+BV286</f>
        <v>285</v>
      </c>
      <c r="BQ286" s="250" t="s">
        <v>490</v>
      </c>
      <c r="BR286" s="247" t="s">
        <v>195</v>
      </c>
      <c r="BS286" s="161" t="s">
        <v>196</v>
      </c>
      <c r="BT286" s="253" t="s">
        <v>197</v>
      </c>
      <c r="BU286" s="253"/>
      <c r="BV286" s="161" t="n">
        <v>1</v>
      </c>
      <c r="BW286" s="247" t="s">
        <v>1146</v>
      </c>
      <c r="BX286" s="0"/>
    </row>
    <row r="287" customFormat="false" ht="12.75" hidden="false" customHeight="false" outlineLevel="0" collapsed="false">
      <c r="A287" s="286"/>
      <c r="B287" s="287" t="e">
        <f aca="false">NextMonth(B286)</f>
        <v>#VALUE!</v>
      </c>
      <c r="C287" s="239" t="n">
        <v>0.065789982095498</v>
      </c>
      <c r="D287" s="239" t="n">
        <v>0.4</v>
      </c>
      <c r="E287" s="239" t="n">
        <v>0.4</v>
      </c>
      <c r="F287" s="239" t="n">
        <v>0.1625</v>
      </c>
      <c r="G287" s="239" t="n">
        <v>0.17</v>
      </c>
      <c r="H287" s="239" t="n">
        <v>0.1775</v>
      </c>
      <c r="I287" s="262" t="n">
        <v>5.963</v>
      </c>
      <c r="J287" s="239" t="n">
        <v>5.968</v>
      </c>
      <c r="K287" s="239" t="n">
        <v>5.973</v>
      </c>
      <c r="L287" s="239" t="n">
        <v>0.1925</v>
      </c>
      <c r="M287" s="239" t="n">
        <v>0.2975</v>
      </c>
      <c r="O287" s="235"/>
      <c r="P287" s="288"/>
      <c r="Q287" s="288"/>
      <c r="R287" s="289" t="e">
        <f aca="false">B287</f>
        <v>#VALUE!</v>
      </c>
      <c r="S287" s="290" t="n">
        <f aca="false">T287-$S$16</f>
        <v>0.33</v>
      </c>
      <c r="T287" s="285" t="n">
        <f aca="false">D287</f>
        <v>0.4</v>
      </c>
      <c r="U287" s="291" t="n">
        <f aca="false">$U$16+T287</f>
        <v>0.47</v>
      </c>
      <c r="BP287" s="249" t="n">
        <f aca="false">BP286+BV287</f>
        <v>286</v>
      </c>
      <c r="BQ287" s="250" t="s">
        <v>494</v>
      </c>
      <c r="BR287" s="247" t="s">
        <v>195</v>
      </c>
      <c r="BS287" s="161" t="s">
        <v>196</v>
      </c>
      <c r="BT287" s="253" t="s">
        <v>197</v>
      </c>
      <c r="BU287" s="253"/>
      <c r="BV287" s="161" t="n">
        <v>1</v>
      </c>
      <c r="BW287" s="247" t="s">
        <v>1147</v>
      </c>
      <c r="BX287" s="0"/>
    </row>
    <row r="288" customFormat="false" ht="12.75" hidden="false" customHeight="false" outlineLevel="0" collapsed="false">
      <c r="A288" s="286"/>
      <c r="B288" s="287" t="e">
        <f aca="false">NextMonth(B287)</f>
        <v>#VALUE!</v>
      </c>
      <c r="C288" s="239" t="n">
        <v>0.065784076516612</v>
      </c>
      <c r="D288" s="239" t="n">
        <v>0.5</v>
      </c>
      <c r="E288" s="239" t="n">
        <v>0.5</v>
      </c>
      <c r="F288" s="239" t="n">
        <v>0.1625</v>
      </c>
      <c r="G288" s="239" t="n">
        <v>0.17</v>
      </c>
      <c r="H288" s="239" t="n">
        <v>0.1775</v>
      </c>
      <c r="I288" s="262" t="n">
        <v>5.965</v>
      </c>
      <c r="J288" s="239" t="n">
        <v>5.97</v>
      </c>
      <c r="K288" s="239" t="n">
        <v>5.975</v>
      </c>
      <c r="L288" s="239" t="n">
        <v>0.1925</v>
      </c>
      <c r="M288" s="239" t="n">
        <v>0.2975</v>
      </c>
      <c r="O288" s="235"/>
      <c r="P288" s="288"/>
      <c r="Q288" s="288"/>
      <c r="R288" s="289" t="e">
        <f aca="false">B288</f>
        <v>#VALUE!</v>
      </c>
      <c r="S288" s="290" t="n">
        <f aca="false">T288-$S$16</f>
        <v>0.43</v>
      </c>
      <c r="T288" s="285" t="n">
        <f aca="false">D288</f>
        <v>0.5</v>
      </c>
      <c r="U288" s="291" t="n">
        <f aca="false">$U$16+T288</f>
        <v>0.57</v>
      </c>
      <c r="BP288" s="249" t="n">
        <f aca="false">BP287+BV288</f>
        <v>287</v>
      </c>
      <c r="BQ288" s="250" t="s">
        <v>498</v>
      </c>
      <c r="BR288" s="247" t="s">
        <v>195</v>
      </c>
      <c r="BS288" s="161" t="s">
        <v>196</v>
      </c>
      <c r="BT288" s="253" t="s">
        <v>197</v>
      </c>
      <c r="BU288" s="253"/>
      <c r="BV288" s="161" t="n">
        <v>1</v>
      </c>
      <c r="BW288" s="247" t="s">
        <v>1148</v>
      </c>
      <c r="BX288" s="0"/>
    </row>
    <row r="289" customFormat="false" ht="12.75" hidden="false" customHeight="false" outlineLevel="0" collapsed="false">
      <c r="A289" s="286"/>
      <c r="B289" s="287" t="e">
        <f aca="false">NextMonth(B288)</f>
        <v>#VALUE!</v>
      </c>
      <c r="C289" s="239" t="n">
        <v>0.065778170937739</v>
      </c>
      <c r="D289" s="239" t="n">
        <v>0.55</v>
      </c>
      <c r="E289" s="239" t="n">
        <v>0.55</v>
      </c>
      <c r="F289" s="239" t="n">
        <v>0.1625</v>
      </c>
      <c r="G289" s="239" t="n">
        <v>0.17</v>
      </c>
      <c r="H289" s="239" t="n">
        <v>0.1775</v>
      </c>
      <c r="I289" s="262" t="n">
        <v>5.982</v>
      </c>
      <c r="J289" s="239" t="n">
        <v>5.987</v>
      </c>
      <c r="K289" s="239" t="n">
        <v>5.992</v>
      </c>
      <c r="L289" s="239" t="n">
        <v>0.1925</v>
      </c>
      <c r="M289" s="239" t="n">
        <v>0.31</v>
      </c>
      <c r="O289" s="235"/>
      <c r="P289" s="288"/>
      <c r="Q289" s="288"/>
      <c r="R289" s="289" t="e">
        <f aca="false">B289</f>
        <v>#VALUE!</v>
      </c>
      <c r="S289" s="290" t="n">
        <f aca="false">T289-$S$16</f>
        <v>0.48</v>
      </c>
      <c r="T289" s="285" t="n">
        <f aca="false">D289</f>
        <v>0.55</v>
      </c>
      <c r="U289" s="291" t="n">
        <f aca="false">$U$16+T289</f>
        <v>0.62</v>
      </c>
      <c r="BP289" s="249" t="n">
        <f aca="false">BP288+BV289</f>
        <v>288</v>
      </c>
      <c r="BQ289" s="250" t="s">
        <v>502</v>
      </c>
      <c r="BR289" s="247" t="s">
        <v>195</v>
      </c>
      <c r="BS289" s="161" t="s">
        <v>196</v>
      </c>
      <c r="BT289" s="253" t="s">
        <v>197</v>
      </c>
      <c r="BU289" s="253"/>
      <c r="BV289" s="161" t="n">
        <v>1</v>
      </c>
      <c r="BW289" s="247" t="s">
        <v>1149</v>
      </c>
      <c r="BX289" s="0"/>
    </row>
    <row r="290" customFormat="false" ht="12.75" hidden="false" customHeight="false" outlineLevel="0" collapsed="false">
      <c r="A290" s="286"/>
      <c r="B290" s="287" t="e">
        <f aca="false">NextMonth(B289)</f>
        <v>#VALUE!</v>
      </c>
      <c r="C290" s="239" t="n">
        <v>0.065772455861421</v>
      </c>
      <c r="D290" s="239" t="n">
        <v>0.55</v>
      </c>
      <c r="E290" s="239" t="n">
        <v>0.55</v>
      </c>
      <c r="F290" s="239" t="n">
        <v>0.1625</v>
      </c>
      <c r="G290" s="239" t="n">
        <v>0.17</v>
      </c>
      <c r="H290" s="239" t="n">
        <v>0.1775</v>
      </c>
      <c r="I290" s="262" t="n">
        <v>5.992</v>
      </c>
      <c r="J290" s="239" t="n">
        <v>5.997</v>
      </c>
      <c r="K290" s="239" t="n">
        <v>6.002</v>
      </c>
      <c r="L290" s="239" t="n">
        <v>0.1925</v>
      </c>
      <c r="M290" s="239" t="n">
        <v>0.31</v>
      </c>
      <c r="O290" s="235"/>
      <c r="P290" s="288"/>
      <c r="Q290" s="288"/>
      <c r="R290" s="289" t="e">
        <f aca="false">B290</f>
        <v>#VALUE!</v>
      </c>
      <c r="S290" s="290" t="n">
        <f aca="false">T290-$S$16</f>
        <v>0.48</v>
      </c>
      <c r="T290" s="285" t="n">
        <f aca="false">D290</f>
        <v>0.55</v>
      </c>
      <c r="U290" s="291" t="n">
        <f aca="false">$U$16+T290</f>
        <v>0.62</v>
      </c>
      <c r="BP290" s="249" t="n">
        <f aca="false">BP289+BV290</f>
        <v>289</v>
      </c>
      <c r="BQ290" s="250" t="s">
        <v>506</v>
      </c>
      <c r="BR290" s="247" t="s">
        <v>195</v>
      </c>
      <c r="BS290" s="161" t="s">
        <v>196</v>
      </c>
      <c r="BT290" s="253" t="s">
        <v>197</v>
      </c>
      <c r="BU290" s="253"/>
      <c r="BV290" s="161" t="n">
        <v>1</v>
      </c>
      <c r="BW290" s="247" t="s">
        <v>1150</v>
      </c>
      <c r="BX290" s="0"/>
    </row>
    <row r="291" customFormat="false" ht="12.75" hidden="false" customHeight="false" outlineLevel="0" collapsed="false">
      <c r="A291" s="286"/>
      <c r="B291" s="287" t="e">
        <f aca="false">NextMonth(B290)</f>
        <v>#VALUE!</v>
      </c>
      <c r="C291" s="239" t="n">
        <v>0.06576655028257</v>
      </c>
      <c r="D291" s="239" t="n">
        <v>0.8</v>
      </c>
      <c r="E291" s="239" t="n">
        <v>0.8</v>
      </c>
      <c r="F291" s="239" t="n">
        <v>0.1625</v>
      </c>
      <c r="G291" s="239" t="n">
        <v>0.17</v>
      </c>
      <c r="H291" s="239" t="n">
        <v>0.1775</v>
      </c>
      <c r="I291" s="262" t="n">
        <v>6.137</v>
      </c>
      <c r="J291" s="239" t="n">
        <v>6.142</v>
      </c>
      <c r="K291" s="239" t="n">
        <v>6.147</v>
      </c>
      <c r="L291" s="239" t="n">
        <v>0.1925</v>
      </c>
      <c r="M291" s="239" t="n">
        <v>0.3</v>
      </c>
      <c r="O291" s="235"/>
      <c r="P291" s="288"/>
      <c r="Q291" s="288"/>
      <c r="R291" s="289" t="e">
        <f aca="false">B291</f>
        <v>#VALUE!</v>
      </c>
      <c r="S291" s="290" t="n">
        <f aca="false">T291-$S$16</f>
        <v>0.73</v>
      </c>
      <c r="T291" s="285" t="n">
        <f aca="false">D291</f>
        <v>0.8</v>
      </c>
      <c r="U291" s="291" t="n">
        <f aca="false">$U$16+T291</f>
        <v>0.87</v>
      </c>
      <c r="BP291" s="249" t="n">
        <f aca="false">BP290+BV291</f>
        <v>290</v>
      </c>
      <c r="BQ291" s="250" t="s">
        <v>510</v>
      </c>
      <c r="BR291" s="247" t="s">
        <v>195</v>
      </c>
      <c r="BS291" s="161" t="s">
        <v>196</v>
      </c>
      <c r="BT291" s="253" t="s">
        <v>197</v>
      </c>
      <c r="BU291" s="253"/>
      <c r="BV291" s="161" t="n">
        <v>1</v>
      </c>
      <c r="BW291" s="247" t="s">
        <v>1151</v>
      </c>
      <c r="BX291" s="0"/>
    </row>
    <row r="292" customFormat="false" ht="12.75" hidden="false" customHeight="false" outlineLevel="0" collapsed="false">
      <c r="A292" s="286"/>
      <c r="B292" s="287" t="e">
        <f aca="false">NextMonth(B291)</f>
        <v>#VALUE!</v>
      </c>
      <c r="C292" s="239" t="n">
        <v>0.065760835206274</v>
      </c>
      <c r="D292" s="239" t="n">
        <v>1</v>
      </c>
      <c r="E292" s="239" t="n">
        <v>1</v>
      </c>
      <c r="F292" s="239" t="n">
        <v>0.1625</v>
      </c>
      <c r="G292" s="239" t="n">
        <v>0.17</v>
      </c>
      <c r="H292" s="239" t="n">
        <v>0.1775</v>
      </c>
      <c r="I292" s="262" t="n">
        <v>6.277</v>
      </c>
      <c r="J292" s="239" t="n">
        <v>6.282</v>
      </c>
      <c r="K292" s="239" t="n">
        <v>6.287</v>
      </c>
      <c r="L292" s="239" t="n">
        <v>0.1975</v>
      </c>
      <c r="M292" s="239" t="n">
        <v>0.37253</v>
      </c>
      <c r="O292" s="235"/>
      <c r="P292" s="288"/>
      <c r="Q292" s="288"/>
      <c r="R292" s="289" t="e">
        <f aca="false">B292</f>
        <v>#VALUE!</v>
      </c>
      <c r="S292" s="290" t="n">
        <f aca="false">T292-$S$16</f>
        <v>0.93</v>
      </c>
      <c r="T292" s="285" t="n">
        <f aca="false">D292</f>
        <v>1</v>
      </c>
      <c r="U292" s="291" t="n">
        <f aca="false">$U$16+T292</f>
        <v>1.07</v>
      </c>
      <c r="BP292" s="249" t="n">
        <f aca="false">BP291+BV292</f>
        <v>291</v>
      </c>
      <c r="BQ292" s="250" t="s">
        <v>514</v>
      </c>
      <c r="BR292" s="247" t="s">
        <v>195</v>
      </c>
      <c r="BS292" s="161" t="s">
        <v>196</v>
      </c>
      <c r="BT292" s="253" t="s">
        <v>197</v>
      </c>
      <c r="BU292" s="253"/>
      <c r="BV292" s="161" t="n">
        <v>1</v>
      </c>
      <c r="BW292" s="247" t="s">
        <v>1152</v>
      </c>
      <c r="BX292" s="0"/>
    </row>
    <row r="293" customFormat="false" ht="12.75" hidden="false" customHeight="false" outlineLevel="0" collapsed="false">
      <c r="A293" s="286"/>
      <c r="B293" s="287" t="e">
        <f aca="false">NextMonth(B292)</f>
        <v>#VALUE!</v>
      </c>
      <c r="C293" s="239" t="n">
        <v>0.065754929627446</v>
      </c>
      <c r="D293" s="239" t="n">
        <v>1</v>
      </c>
      <c r="E293" s="239" t="n">
        <v>1</v>
      </c>
      <c r="F293" s="239" t="n">
        <v>0.141</v>
      </c>
      <c r="G293" s="239" t="n">
        <v>0.1485</v>
      </c>
      <c r="H293" s="239" t="n">
        <v>0.156</v>
      </c>
      <c r="I293" s="262" t="n">
        <v>5.521</v>
      </c>
      <c r="J293" s="239" t="n">
        <v>5.526</v>
      </c>
      <c r="K293" s="239" t="n">
        <v>5.531</v>
      </c>
      <c r="L293" s="239" t="n">
        <v>0.2725</v>
      </c>
      <c r="M293" s="239" t="n">
        <v>0.66</v>
      </c>
      <c r="O293" s="235"/>
      <c r="P293" s="288"/>
      <c r="Q293" s="288"/>
      <c r="R293" s="289" t="e">
        <f aca="false">B293</f>
        <v>#VALUE!</v>
      </c>
      <c r="S293" s="290" t="n">
        <f aca="false">T293-$S$16</f>
        <v>0.93</v>
      </c>
      <c r="T293" s="285" t="n">
        <f aca="false">D293</f>
        <v>1</v>
      </c>
      <c r="U293" s="291" t="n">
        <f aca="false">$U$16+T293</f>
        <v>1.07</v>
      </c>
      <c r="BP293" s="249" t="n">
        <f aca="false">BP292+BV293</f>
        <v>292</v>
      </c>
      <c r="BQ293" s="250" t="s">
        <v>518</v>
      </c>
      <c r="BR293" s="247" t="s">
        <v>195</v>
      </c>
      <c r="BS293" s="161" t="s">
        <v>196</v>
      </c>
      <c r="BT293" s="253" t="s">
        <v>197</v>
      </c>
      <c r="BU293" s="253"/>
      <c r="BV293" s="161" t="n">
        <v>1</v>
      </c>
      <c r="BW293" s="247" t="s">
        <v>1153</v>
      </c>
      <c r="BX293" s="0"/>
    </row>
    <row r="294" customFormat="false" ht="12.75" hidden="false" customHeight="false" outlineLevel="0" collapsed="false">
      <c r="A294" s="286"/>
      <c r="B294" s="287" t="e">
        <f aca="false">NextMonth(B293)</f>
        <v>#VALUE!</v>
      </c>
      <c r="C294" s="239" t="n">
        <v>0.065749024048629</v>
      </c>
      <c r="D294" s="239" t="n">
        <v>1</v>
      </c>
      <c r="E294" s="239" t="n">
        <v>1</v>
      </c>
      <c r="F294" s="239" t="n">
        <v>0.1425</v>
      </c>
      <c r="G294" s="239" t="n">
        <v>0.15</v>
      </c>
      <c r="H294" s="239" t="n">
        <v>0.1575</v>
      </c>
      <c r="I294" s="262" t="n">
        <v>5.312</v>
      </c>
      <c r="J294" s="239" t="n">
        <v>5.317</v>
      </c>
      <c r="K294" s="239" t="n">
        <v>5.322</v>
      </c>
      <c r="L294" s="239" t="n">
        <v>0.3075</v>
      </c>
      <c r="M294" s="239" t="n">
        <v>1.03</v>
      </c>
      <c r="O294" s="235"/>
      <c r="P294" s="288"/>
      <c r="Q294" s="288"/>
      <c r="R294" s="289" t="e">
        <f aca="false">B294</f>
        <v>#VALUE!</v>
      </c>
      <c r="S294" s="290" t="n">
        <f aca="false">T294-$S$16</f>
        <v>0.93</v>
      </c>
      <c r="T294" s="285" t="n">
        <f aca="false">D294</f>
        <v>1</v>
      </c>
      <c r="U294" s="291" t="n">
        <f aca="false">$U$16+T294</f>
        <v>1.07</v>
      </c>
      <c r="BP294" s="249" t="n">
        <f aca="false">BP293+BV294</f>
        <v>293</v>
      </c>
      <c r="BQ294" s="250" t="s">
        <v>522</v>
      </c>
      <c r="BR294" s="247" t="s">
        <v>195</v>
      </c>
      <c r="BS294" s="161" t="s">
        <v>196</v>
      </c>
      <c r="BT294" s="253" t="s">
        <v>197</v>
      </c>
      <c r="BU294" s="253"/>
      <c r="BV294" s="161" t="n">
        <v>1</v>
      </c>
      <c r="BW294" s="247" t="s">
        <v>1154</v>
      </c>
      <c r="BX294" s="0"/>
    </row>
    <row r="295" customFormat="false" ht="12.75" hidden="false" customHeight="false" outlineLevel="0" collapsed="false">
      <c r="A295" s="286"/>
      <c r="B295" s="287" t="e">
        <f aca="false">NextMonth(B294)</f>
        <v>#VALUE!</v>
      </c>
      <c r="C295" s="239" t="n">
        <v>0.065743499474908</v>
      </c>
      <c r="D295" s="239" t="n">
        <v>0.75</v>
      </c>
      <c r="E295" s="239" t="n">
        <v>0.75</v>
      </c>
      <c r="F295" s="239" t="n">
        <v>0.1435</v>
      </c>
      <c r="G295" s="239" t="n">
        <v>0.151</v>
      </c>
      <c r="H295" s="239" t="n">
        <v>0.1585</v>
      </c>
      <c r="I295" s="262" t="n">
        <v>4.0045</v>
      </c>
      <c r="J295" s="239" t="n">
        <v>4.0095</v>
      </c>
      <c r="K295" s="239" t="n">
        <v>-0.177</v>
      </c>
      <c r="L295" s="239" t="n">
        <v>0.3125</v>
      </c>
      <c r="M295" s="239" t="n">
        <v>1.25</v>
      </c>
      <c r="O295" s="235"/>
      <c r="P295" s="288"/>
      <c r="Q295" s="288"/>
      <c r="R295" s="289" t="e">
        <f aca="false">B295</f>
        <v>#VALUE!</v>
      </c>
      <c r="S295" s="290" t="n">
        <f aca="false">T295-$S$16</f>
        <v>0.68</v>
      </c>
      <c r="T295" s="285" t="n">
        <f aca="false">D295</f>
        <v>0.75</v>
      </c>
      <c r="U295" s="291" t="n">
        <f aca="false">$U$16+T295</f>
        <v>0.82</v>
      </c>
      <c r="BP295" s="249" t="n">
        <f aca="false">BP294+BV295</f>
        <v>294</v>
      </c>
      <c r="BQ295" s="250" t="s">
        <v>526</v>
      </c>
      <c r="BR295" s="247" t="s">
        <v>195</v>
      </c>
      <c r="BS295" s="161" t="s">
        <v>196</v>
      </c>
      <c r="BT295" s="253" t="s">
        <v>197</v>
      </c>
      <c r="BU295" s="253"/>
      <c r="BV295" s="161" t="n">
        <v>1</v>
      </c>
      <c r="BW295" s="247" t="s">
        <v>1155</v>
      </c>
      <c r="BX295" s="0"/>
    </row>
    <row r="296" customFormat="false" ht="12.75" hidden="false" customHeight="false" outlineLevel="0" collapsed="false">
      <c r="A296" s="286"/>
      <c r="B296" s="287" t="e">
        <f aca="false">NextMonth(B295)</f>
        <v>#VALUE!</v>
      </c>
      <c r="C296" s="239" t="n">
        <v>0.065737593896114</v>
      </c>
      <c r="D296" s="239" t="n">
        <v>0.4</v>
      </c>
      <c r="E296" s="239" t="n">
        <v>0.4</v>
      </c>
      <c r="F296" s="239" t="n">
        <v>0.1435</v>
      </c>
      <c r="G296" s="239" t="n">
        <v>0.151</v>
      </c>
      <c r="H296" s="239" t="n">
        <v>0.1585</v>
      </c>
      <c r="I296" s="262" t="n">
        <v>4.0125</v>
      </c>
      <c r="J296" s="239" t="n">
        <v>4.0175</v>
      </c>
      <c r="K296" s="239" t="n">
        <v>-0.181</v>
      </c>
      <c r="L296" s="239" t="n">
        <v>0.3125</v>
      </c>
      <c r="M296" s="239" t="n">
        <v>1.25</v>
      </c>
      <c r="O296" s="235"/>
      <c r="P296" s="288"/>
      <c r="Q296" s="288"/>
      <c r="R296" s="289" t="e">
        <f aca="false">B296</f>
        <v>#VALUE!</v>
      </c>
      <c r="S296" s="290" t="n">
        <f aca="false">T296-$S$16</f>
        <v>0.33</v>
      </c>
      <c r="T296" s="285" t="n">
        <f aca="false">D296</f>
        <v>0.4</v>
      </c>
      <c r="U296" s="291" t="n">
        <f aca="false">$U$16+T296</f>
        <v>0.47</v>
      </c>
      <c r="BP296" s="249" t="n">
        <f aca="false">BP295+BV296</f>
        <v>295</v>
      </c>
      <c r="BQ296" s="250" t="s">
        <v>530</v>
      </c>
      <c r="BR296" s="247" t="s">
        <v>195</v>
      </c>
      <c r="BS296" s="161" t="s">
        <v>196</v>
      </c>
      <c r="BT296" s="253" t="s">
        <v>197</v>
      </c>
      <c r="BU296" s="253"/>
      <c r="BV296" s="161" t="n">
        <v>1</v>
      </c>
      <c r="BW296" s="247" t="s">
        <v>1156</v>
      </c>
      <c r="BX296" s="0"/>
    </row>
    <row r="297" customFormat="false" ht="12.75" hidden="false" customHeight="false" outlineLevel="0" collapsed="false">
      <c r="A297" s="286"/>
      <c r="B297" s="287" t="e">
        <f aca="false">NextMonth(B296)</f>
        <v>#VALUE!</v>
      </c>
      <c r="C297" s="239" t="n">
        <v>0.065731878819872</v>
      </c>
      <c r="D297" s="239" t="n">
        <v>0.4</v>
      </c>
      <c r="E297" s="239" t="n">
        <v>0.4</v>
      </c>
      <c r="F297" s="239" t="n">
        <v>0.1435</v>
      </c>
      <c r="G297" s="239" t="n">
        <v>0.151</v>
      </c>
      <c r="H297" s="239" t="n">
        <v>0.1585</v>
      </c>
      <c r="I297" s="262" t="n">
        <v>3.9905</v>
      </c>
      <c r="J297" s="239" t="n">
        <v>3.9955</v>
      </c>
      <c r="K297" s="239" t="n">
        <v>-0.19</v>
      </c>
      <c r="L297" s="239" t="n">
        <v>0.27</v>
      </c>
      <c r="M297" s="239" t="n">
        <v>0.905</v>
      </c>
      <c r="O297" s="235"/>
      <c r="P297" s="288"/>
      <c r="Q297" s="288"/>
      <c r="R297" s="289" t="e">
        <f aca="false">B297</f>
        <v>#VALUE!</v>
      </c>
      <c r="S297" s="290" t="n">
        <f aca="false">T297-$S$16</f>
        <v>0.33</v>
      </c>
      <c r="T297" s="285" t="n">
        <f aca="false">D297</f>
        <v>0.4</v>
      </c>
      <c r="U297" s="291" t="n">
        <f aca="false">$U$16+T297</f>
        <v>0.47</v>
      </c>
      <c r="BP297" s="249" t="n">
        <f aca="false">BP296+BV297</f>
        <v>296</v>
      </c>
      <c r="BQ297" s="250" t="s">
        <v>534</v>
      </c>
      <c r="BR297" s="247" t="s">
        <v>195</v>
      </c>
      <c r="BS297" s="161" t="s">
        <v>196</v>
      </c>
      <c r="BT297" s="253" t="s">
        <v>197</v>
      </c>
      <c r="BU297" s="253"/>
      <c r="BV297" s="161" t="n">
        <v>1</v>
      </c>
      <c r="BW297" s="247" t="s">
        <v>1157</v>
      </c>
      <c r="BX297" s="0"/>
    </row>
    <row r="298" customFormat="false" ht="12.75" hidden="false" customHeight="false" outlineLevel="0" collapsed="false">
      <c r="A298" s="286"/>
      <c r="B298" s="287" t="e">
        <f aca="false">NextMonth(B297)</f>
        <v>#VALUE!</v>
      </c>
      <c r="C298" s="239" t="n">
        <v>0.065725973241101</v>
      </c>
      <c r="D298" s="239" t="n">
        <v>0.4</v>
      </c>
      <c r="E298" s="239" t="n">
        <v>0.4</v>
      </c>
      <c r="F298" s="239" t="n">
        <v>0.1435</v>
      </c>
      <c r="G298" s="239" t="n">
        <v>0.151</v>
      </c>
      <c r="H298" s="239" t="n">
        <v>0.1585</v>
      </c>
      <c r="I298" s="262" t="n">
        <v>3.9945</v>
      </c>
      <c r="J298" s="239" t="n">
        <v>3.9995</v>
      </c>
      <c r="K298" s="239" t="n">
        <v>-0.195</v>
      </c>
      <c r="L298" s="239" t="n">
        <v>0.205</v>
      </c>
      <c r="M298" s="239" t="n">
        <v>0.365</v>
      </c>
      <c r="O298" s="235"/>
      <c r="P298" s="288"/>
      <c r="Q298" s="288"/>
      <c r="R298" s="289" t="e">
        <f aca="false">B298</f>
        <v>#VALUE!</v>
      </c>
      <c r="S298" s="290" t="n">
        <f aca="false">T298-$S$16</f>
        <v>0.33</v>
      </c>
      <c r="T298" s="285" t="n">
        <f aca="false">D298</f>
        <v>0.4</v>
      </c>
      <c r="U298" s="291" t="n">
        <f aca="false">$U$16+T298</f>
        <v>0.47</v>
      </c>
      <c r="BP298" s="249" t="n">
        <f aca="false">BP297+BV298</f>
        <v>297</v>
      </c>
      <c r="BQ298" s="250" t="s">
        <v>538</v>
      </c>
      <c r="BR298" s="247" t="s">
        <v>195</v>
      </c>
      <c r="BS298" s="161" t="s">
        <v>196</v>
      </c>
      <c r="BT298" s="253" t="s">
        <v>197</v>
      </c>
      <c r="BU298" s="253"/>
      <c r="BV298" s="161" t="n">
        <v>1</v>
      </c>
      <c r="BW298" s="247" t="s">
        <v>1158</v>
      </c>
      <c r="BX298" s="0"/>
    </row>
    <row r="299" customFormat="false" ht="12.75" hidden="false" customHeight="false" outlineLevel="0" collapsed="false">
      <c r="A299" s="286"/>
      <c r="B299" s="287" t="e">
        <f aca="false">NextMonth(B298)</f>
        <v>#VALUE!</v>
      </c>
      <c r="C299" s="239" t="n">
        <v>0.065720258164882</v>
      </c>
      <c r="D299" s="239" t="n">
        <v>0.4</v>
      </c>
      <c r="E299" s="239" t="n">
        <v>0.4</v>
      </c>
      <c r="F299" s="239" t="n">
        <v>0.1435</v>
      </c>
      <c r="G299" s="239" t="n">
        <v>0.151</v>
      </c>
      <c r="H299" s="239" t="n">
        <v>0.1585</v>
      </c>
      <c r="I299" s="262" t="n">
        <v>4.0265</v>
      </c>
      <c r="J299" s="239" t="n">
        <v>4.0315</v>
      </c>
      <c r="K299" s="239" t="n">
        <v>-0.203</v>
      </c>
      <c r="L299" s="239" t="n">
        <v>0.1925</v>
      </c>
      <c r="M299" s="239" t="n">
        <v>0.2975</v>
      </c>
      <c r="O299" s="235"/>
      <c r="P299" s="288"/>
      <c r="Q299" s="288"/>
      <c r="R299" s="289" t="e">
        <f aca="false">B299</f>
        <v>#VALUE!</v>
      </c>
      <c r="S299" s="290" t="n">
        <f aca="false">T299-$S$16</f>
        <v>0.33</v>
      </c>
      <c r="T299" s="285" t="n">
        <f aca="false">D299</f>
        <v>0.4</v>
      </c>
      <c r="U299" s="291" t="n">
        <f aca="false">$U$16+T299</f>
        <v>0.47</v>
      </c>
      <c r="BP299" s="249" t="n">
        <f aca="false">BP298+BV299</f>
        <v>298</v>
      </c>
      <c r="BQ299" s="250" t="s">
        <v>542</v>
      </c>
      <c r="BR299" s="247" t="s">
        <v>195</v>
      </c>
      <c r="BS299" s="161" t="s">
        <v>196</v>
      </c>
      <c r="BT299" s="253" t="s">
        <v>197</v>
      </c>
      <c r="BU299" s="253"/>
      <c r="BV299" s="161" t="n">
        <v>1</v>
      </c>
      <c r="BW299" s="247" t="s">
        <v>1159</v>
      </c>
      <c r="BX299" s="0"/>
    </row>
    <row r="300" customFormat="false" ht="12.75" hidden="false" customHeight="false" outlineLevel="0" collapsed="false">
      <c r="A300" s="286"/>
      <c r="B300" s="287" t="e">
        <f aca="false">NextMonth(B299)</f>
        <v>#VALUE!</v>
      </c>
      <c r="C300" s="239" t="n">
        <v>0.065714352586133</v>
      </c>
      <c r="D300" s="239" t="n">
        <v>0.5</v>
      </c>
      <c r="E300" s="239" t="n">
        <v>0.5</v>
      </c>
      <c r="F300" s="239" t="n">
        <v>0.1435</v>
      </c>
      <c r="G300" s="239" t="n">
        <v>0.151</v>
      </c>
      <c r="H300" s="239" t="n">
        <v>0.1585</v>
      </c>
      <c r="I300" s="262" t="n">
        <v>4.0895</v>
      </c>
      <c r="J300" s="239" t="n">
        <v>4.0945</v>
      </c>
      <c r="K300" s="239" t="n">
        <v>-0.198</v>
      </c>
      <c r="L300" s="239" t="n">
        <v>0.1925</v>
      </c>
      <c r="M300" s="239" t="n">
        <v>0.2975</v>
      </c>
      <c r="O300" s="235"/>
      <c r="P300" s="288"/>
      <c r="Q300" s="288"/>
      <c r="R300" s="289" t="e">
        <f aca="false">B300</f>
        <v>#VALUE!</v>
      </c>
      <c r="S300" s="290" t="n">
        <f aca="false">T300-$S$16</f>
        <v>0.43</v>
      </c>
      <c r="T300" s="285" t="n">
        <f aca="false">D300</f>
        <v>0.5</v>
      </c>
      <c r="U300" s="291" t="n">
        <f aca="false">$U$16+T300</f>
        <v>0.57</v>
      </c>
      <c r="BP300" s="249" t="n">
        <f aca="false">BP299+BV300</f>
        <v>299</v>
      </c>
      <c r="BQ300" s="250" t="s">
        <v>546</v>
      </c>
      <c r="BR300" s="247" t="s">
        <v>195</v>
      </c>
      <c r="BS300" s="161" t="s">
        <v>196</v>
      </c>
      <c r="BT300" s="253" t="s">
        <v>197</v>
      </c>
      <c r="BU300" s="253"/>
      <c r="BV300" s="161" t="n">
        <v>1</v>
      </c>
      <c r="BW300" s="247" t="s">
        <v>1160</v>
      </c>
      <c r="BX300" s="0"/>
    </row>
    <row r="301" customFormat="false" ht="12.75" hidden="false" customHeight="false" outlineLevel="0" collapsed="false">
      <c r="A301" s="286"/>
      <c r="B301" s="287" t="e">
        <f aca="false">NextMonth(B300)</f>
        <v>#VALUE!</v>
      </c>
      <c r="C301" s="239" t="n">
        <v>0.065708447007396</v>
      </c>
      <c r="D301" s="239" t="n">
        <v>0.55</v>
      </c>
      <c r="E301" s="239" t="n">
        <v>0.55</v>
      </c>
      <c r="F301" s="239" t="n">
        <v>0.1435</v>
      </c>
      <c r="G301" s="239" t="n">
        <v>0.151</v>
      </c>
      <c r="H301" s="239" t="n">
        <v>0.1585</v>
      </c>
      <c r="I301" s="262" t="n">
        <v>4.114</v>
      </c>
      <c r="J301" s="239" t="n">
        <v>4.119</v>
      </c>
      <c r="K301" s="239" t="n">
        <v>-0.205</v>
      </c>
      <c r="L301" s="239" t="n">
        <v>0.1925</v>
      </c>
      <c r="M301" s="239" t="n">
        <v>0.31</v>
      </c>
      <c r="O301" s="235"/>
      <c r="P301" s="288"/>
      <c r="Q301" s="288"/>
      <c r="R301" s="289" t="e">
        <f aca="false">B301</f>
        <v>#VALUE!</v>
      </c>
      <c r="S301" s="290" t="n">
        <f aca="false">T301-$S$16</f>
        <v>0.48</v>
      </c>
      <c r="T301" s="285" t="n">
        <f aca="false">D301</f>
        <v>0.55</v>
      </c>
      <c r="U301" s="291" t="n">
        <f aca="false">$U$16+T301</f>
        <v>0.62</v>
      </c>
      <c r="BP301" s="249" t="n">
        <f aca="false">BP300+BV301</f>
        <v>300</v>
      </c>
      <c r="BQ301" s="250" t="s">
        <v>550</v>
      </c>
      <c r="BR301" s="247" t="s">
        <v>195</v>
      </c>
      <c r="BS301" s="161" t="s">
        <v>196</v>
      </c>
      <c r="BT301" s="253" t="s">
        <v>197</v>
      </c>
      <c r="BU301" s="253"/>
      <c r="BV301" s="161" t="n">
        <v>1</v>
      </c>
      <c r="BW301" s="247" t="s">
        <v>1161</v>
      </c>
      <c r="BX301" s="0"/>
    </row>
    <row r="302" customFormat="false" ht="12.75" hidden="false" customHeight="false" outlineLevel="0" collapsed="false">
      <c r="A302" s="286"/>
      <c r="B302" s="287" t="e">
        <f aca="false">NextMonth(B301)</f>
        <v>#VALUE!</v>
      </c>
      <c r="C302" s="239" t="n">
        <v>0.06570273193121</v>
      </c>
      <c r="D302" s="239" t="n">
        <v>0.55</v>
      </c>
      <c r="E302" s="239" t="n">
        <v>0.55</v>
      </c>
      <c r="F302" s="239" t="n">
        <v>0.1435</v>
      </c>
      <c r="G302" s="239" t="n">
        <v>0.151</v>
      </c>
      <c r="H302" s="239" t="n">
        <v>0.1585</v>
      </c>
      <c r="I302" s="262" t="n">
        <v>4.085</v>
      </c>
      <c r="J302" s="239" t="n">
        <v>4.09</v>
      </c>
      <c r="K302" s="239" t="n">
        <v>-0.199</v>
      </c>
      <c r="L302" s="239" t="n">
        <v>0.1925</v>
      </c>
      <c r="M302" s="239" t="n">
        <v>0.31</v>
      </c>
      <c r="O302" s="235"/>
      <c r="P302" s="288"/>
      <c r="Q302" s="288"/>
      <c r="R302" s="289" t="e">
        <f aca="false">B302</f>
        <v>#VALUE!</v>
      </c>
      <c r="S302" s="290" t="n">
        <f aca="false">T302-$S$16</f>
        <v>0.48</v>
      </c>
      <c r="T302" s="285" t="n">
        <f aca="false">D302</f>
        <v>0.55</v>
      </c>
      <c r="U302" s="291" t="n">
        <f aca="false">$U$16+T302</f>
        <v>0.62</v>
      </c>
      <c r="BP302" s="249" t="n">
        <f aca="false">BP301+BV302</f>
        <v>301</v>
      </c>
      <c r="BQ302" s="250" t="s">
        <v>554</v>
      </c>
      <c r="BR302" s="247" t="s">
        <v>195</v>
      </c>
      <c r="BS302" s="161" t="s">
        <v>196</v>
      </c>
      <c r="BT302" s="253" t="s">
        <v>197</v>
      </c>
      <c r="BU302" s="253"/>
      <c r="BV302" s="161" t="n">
        <v>1</v>
      </c>
      <c r="BW302" s="247" t="s">
        <v>1162</v>
      </c>
      <c r="BX302" s="0"/>
    </row>
    <row r="303" customFormat="false" ht="12.75" hidden="false" customHeight="false" outlineLevel="0" collapsed="false">
      <c r="A303" s="286"/>
      <c r="B303" s="287" t="e">
        <f aca="false">NextMonth(B302)</f>
        <v>#VALUE!</v>
      </c>
      <c r="C303" s="239" t="n">
        <v>0.065696826352495</v>
      </c>
      <c r="D303" s="239" t="n">
        <v>0.8</v>
      </c>
      <c r="E303" s="239" t="n">
        <v>0.8</v>
      </c>
      <c r="F303" s="239" t="n">
        <v>0.1435</v>
      </c>
      <c r="G303" s="239" t="n">
        <v>0.151</v>
      </c>
      <c r="H303" s="239" t="n">
        <v>0.1585</v>
      </c>
      <c r="I303" s="262" t="n">
        <v>4.033</v>
      </c>
      <c r="J303" s="239" t="n">
        <v>4.038</v>
      </c>
      <c r="K303" s="239" t="n">
        <v>-0.19</v>
      </c>
      <c r="L303" s="239" t="n">
        <v>0.1925</v>
      </c>
      <c r="M303" s="239" t="n">
        <v>0.3</v>
      </c>
      <c r="O303" s="235"/>
      <c r="P303" s="288"/>
      <c r="Q303" s="288"/>
      <c r="R303" s="289" t="e">
        <f aca="false">B303</f>
        <v>#VALUE!</v>
      </c>
      <c r="S303" s="290" t="n">
        <f aca="false">T303-$S$16</f>
        <v>0.73</v>
      </c>
      <c r="T303" s="285" t="n">
        <f aca="false">D303</f>
        <v>0.8</v>
      </c>
      <c r="U303" s="291" t="n">
        <f aca="false">$U$16+T303</f>
        <v>0.87</v>
      </c>
      <c r="BP303" s="249" t="n">
        <f aca="false">BP302+BV303</f>
        <v>302</v>
      </c>
      <c r="BQ303" s="250" t="s">
        <v>558</v>
      </c>
      <c r="BR303" s="247" t="s">
        <v>195</v>
      </c>
      <c r="BS303" s="161" t="s">
        <v>196</v>
      </c>
      <c r="BT303" s="253" t="s">
        <v>197</v>
      </c>
      <c r="BU303" s="253"/>
      <c r="BV303" s="161" t="n">
        <v>1</v>
      </c>
      <c r="BW303" s="247" t="s">
        <v>1163</v>
      </c>
      <c r="BX303" s="0"/>
    </row>
    <row r="304" customFormat="false" ht="12.75" hidden="false" customHeight="false" outlineLevel="0" collapsed="false">
      <c r="A304" s="286"/>
      <c r="B304" s="287" t="e">
        <f aca="false">NextMonth(B303)</f>
        <v>#VALUE!</v>
      </c>
      <c r="C304" s="239" t="n">
        <v>0.065691111276331</v>
      </c>
      <c r="D304" s="239" t="n">
        <v>1</v>
      </c>
      <c r="E304" s="239" t="n">
        <v>1</v>
      </c>
      <c r="F304" s="239" t="n">
        <v>0.1435</v>
      </c>
      <c r="G304" s="239" t="n">
        <v>0.151</v>
      </c>
      <c r="H304" s="239" t="n">
        <v>0.1585</v>
      </c>
      <c r="I304" s="262" t="n">
        <v>3.996</v>
      </c>
      <c r="J304" s="239" t="n">
        <v>4.001</v>
      </c>
      <c r="K304" s="239" t="n">
        <v>-0.186</v>
      </c>
      <c r="L304" s="239" t="n">
        <v>0.1975</v>
      </c>
      <c r="M304" s="239" t="n">
        <v>0.37253</v>
      </c>
      <c r="O304" s="235"/>
      <c r="P304" s="288"/>
      <c r="Q304" s="288"/>
      <c r="R304" s="289" t="e">
        <f aca="false">B304</f>
        <v>#VALUE!</v>
      </c>
      <c r="S304" s="290" t="n">
        <f aca="false">T304-$S$16</f>
        <v>0.93</v>
      </c>
      <c r="T304" s="285" t="n">
        <f aca="false">D304</f>
        <v>1</v>
      </c>
      <c r="U304" s="291" t="n">
        <f aca="false">$U$16+T304</f>
        <v>1.07</v>
      </c>
      <c r="BP304" s="249" t="n">
        <f aca="false">BP303+BV304</f>
        <v>303</v>
      </c>
      <c r="BQ304" s="250" t="s">
        <v>562</v>
      </c>
      <c r="BR304" s="247" t="s">
        <v>195</v>
      </c>
      <c r="BS304" s="161" t="s">
        <v>196</v>
      </c>
      <c r="BT304" s="253" t="s">
        <v>197</v>
      </c>
      <c r="BU304" s="253"/>
      <c r="BV304" s="161" t="n">
        <v>1</v>
      </c>
      <c r="BW304" s="247" t="s">
        <v>1164</v>
      </c>
      <c r="BX304" s="0"/>
    </row>
    <row r="305" customFormat="false" ht="12.75" hidden="false" customHeight="false" outlineLevel="0" collapsed="false">
      <c r="A305" s="286"/>
      <c r="B305" s="287" t="e">
        <f aca="false">NextMonth(B304)</f>
        <v>#VALUE!</v>
      </c>
      <c r="C305" s="239" t="n">
        <v>0.065685205697639</v>
      </c>
      <c r="D305" s="239" t="n">
        <v>1</v>
      </c>
      <c r="E305" s="239" t="n">
        <v>1</v>
      </c>
      <c r="F305" s="239" t="n">
        <v>0.1435</v>
      </c>
      <c r="G305" s="239" t="n">
        <v>0.151</v>
      </c>
      <c r="H305" s="239" t="n">
        <v>0.1585</v>
      </c>
      <c r="I305" s="262" t="n">
        <v>4.058</v>
      </c>
      <c r="J305" s="239" t="n">
        <v>4.063</v>
      </c>
      <c r="K305" s="239" t="n">
        <v>-0.172</v>
      </c>
      <c r="L305" s="239" t="n">
        <v>0.2725</v>
      </c>
      <c r="M305" s="239" t="n">
        <v>0.66</v>
      </c>
      <c r="O305" s="235"/>
      <c r="P305" s="288"/>
      <c r="Q305" s="288"/>
      <c r="R305" s="289" t="e">
        <f aca="false">B305</f>
        <v>#VALUE!</v>
      </c>
      <c r="S305" s="290" t="n">
        <f aca="false">T305-$S$16</f>
        <v>0.93</v>
      </c>
      <c r="T305" s="285" t="n">
        <f aca="false">D305</f>
        <v>1</v>
      </c>
      <c r="U305" s="291" t="n">
        <f aca="false">$U$16+T305</f>
        <v>1.07</v>
      </c>
      <c r="BP305" s="249" t="n">
        <f aca="false">BP304+BV305</f>
        <v>304</v>
      </c>
      <c r="BQ305" s="250" t="s">
        <v>566</v>
      </c>
      <c r="BR305" s="247" t="s">
        <v>195</v>
      </c>
      <c r="BS305" s="161" t="s">
        <v>196</v>
      </c>
      <c r="BT305" s="253" t="s">
        <v>197</v>
      </c>
      <c r="BU305" s="253"/>
      <c r="BV305" s="161" t="n">
        <v>1</v>
      </c>
      <c r="BW305" s="247" t="s">
        <v>1165</v>
      </c>
      <c r="BX305" s="0"/>
    </row>
    <row r="306" customFormat="false" ht="12.75" hidden="false" customHeight="false" outlineLevel="0" collapsed="false">
      <c r="A306" s="286"/>
      <c r="B306" s="287" t="e">
        <f aca="false">NextMonth(B305)</f>
        <v>#VALUE!</v>
      </c>
      <c r="C306" s="239" t="n">
        <v>0.065679300118959</v>
      </c>
      <c r="D306" s="239" t="n">
        <v>1</v>
      </c>
      <c r="E306" s="239" t="n">
        <v>1</v>
      </c>
      <c r="F306" s="239" t="n">
        <v>0.1435</v>
      </c>
      <c r="G306" s="239" t="n">
        <v>0.151</v>
      </c>
      <c r="H306" s="239" t="n">
        <v>0.1585</v>
      </c>
      <c r="I306" s="262" t="n">
        <v>4.2825</v>
      </c>
      <c r="J306" s="239" t="n">
        <v>4.2875</v>
      </c>
      <c r="K306" s="239" t="n">
        <v>-0.172</v>
      </c>
      <c r="L306" s="239" t="n">
        <v>0.3075</v>
      </c>
      <c r="M306" s="239" t="n">
        <v>1.03</v>
      </c>
      <c r="O306" s="235"/>
      <c r="P306" s="288"/>
      <c r="Q306" s="288"/>
      <c r="R306" s="289" t="e">
        <f aca="false">B306</f>
        <v>#VALUE!</v>
      </c>
      <c r="S306" s="290" t="n">
        <f aca="false">T306-$S$16</f>
        <v>0.93</v>
      </c>
      <c r="T306" s="285" t="n">
        <f aca="false">D306</f>
        <v>1</v>
      </c>
      <c r="U306" s="291" t="n">
        <f aca="false">$U$16+T306</f>
        <v>1.07</v>
      </c>
      <c r="BP306" s="249" t="n">
        <f aca="false">BP305+BV306</f>
        <v>305</v>
      </c>
      <c r="BQ306" s="250" t="s">
        <v>570</v>
      </c>
      <c r="BR306" s="247" t="s">
        <v>195</v>
      </c>
      <c r="BS306" s="161" t="s">
        <v>196</v>
      </c>
      <c r="BT306" s="253" t="s">
        <v>197</v>
      </c>
      <c r="BU306" s="253"/>
      <c r="BV306" s="161" t="n">
        <v>1</v>
      </c>
      <c r="BW306" s="247" t="s">
        <v>1166</v>
      </c>
      <c r="BX306" s="0"/>
    </row>
    <row r="307" customFormat="false" ht="12.75" hidden="false" customHeight="false" outlineLevel="0" collapsed="false">
      <c r="A307" s="286"/>
      <c r="B307" s="287" t="e">
        <f aca="false">NextMonth(B306)</f>
        <v>#VALUE!</v>
      </c>
      <c r="C307" s="239" t="n">
        <v>0.065673966047903</v>
      </c>
      <c r="D307" s="239" t="n">
        <v>0.75</v>
      </c>
      <c r="E307" s="239" t="n">
        <v>0.75</v>
      </c>
      <c r="F307" s="239" t="n">
        <v>0.1435</v>
      </c>
      <c r="G307" s="239" t="n">
        <v>0.151</v>
      </c>
      <c r="H307" s="239" t="n">
        <v>0.1585</v>
      </c>
      <c r="I307" s="262" t="n">
        <v>4.5545</v>
      </c>
      <c r="J307" s="239" t="n">
        <v>4.5595</v>
      </c>
      <c r="K307" s="239" t="n">
        <v>-0.172</v>
      </c>
      <c r="L307" s="239" t="n">
        <v>0.3125</v>
      </c>
      <c r="M307" s="239" t="n">
        <v>1.25</v>
      </c>
      <c r="O307" s="235"/>
      <c r="P307" s="288"/>
      <c r="Q307" s="288"/>
      <c r="R307" s="289" t="e">
        <f aca="false">B307</f>
        <v>#VALUE!</v>
      </c>
      <c r="S307" s="290" t="n">
        <f aca="false">T307-$S$16</f>
        <v>0.68</v>
      </c>
      <c r="T307" s="285" t="n">
        <f aca="false">D307</f>
        <v>0.75</v>
      </c>
      <c r="U307" s="291" t="n">
        <f aca="false">$U$16+T307</f>
        <v>0.82</v>
      </c>
      <c r="BP307" s="249" t="n">
        <f aca="false">BP306+BV307</f>
        <v>306</v>
      </c>
      <c r="BQ307" s="250" t="s">
        <v>574</v>
      </c>
      <c r="BR307" s="247" t="s">
        <v>195</v>
      </c>
      <c r="BS307" s="161" t="s">
        <v>196</v>
      </c>
      <c r="BT307" s="253" t="s">
        <v>197</v>
      </c>
      <c r="BU307" s="253"/>
      <c r="BV307" s="161" t="n">
        <v>1</v>
      </c>
      <c r="BW307" s="247" t="s">
        <v>1167</v>
      </c>
      <c r="BX307" s="0"/>
    </row>
    <row r="308" customFormat="false" ht="12.75" hidden="false" customHeight="false" outlineLevel="0" collapsed="false">
      <c r="A308" s="286"/>
      <c r="B308" s="287" t="e">
        <f aca="false">NextMonth(B307)</f>
        <v>#VALUE!</v>
      </c>
      <c r="C308" s="239" t="n">
        <v>0.065668060469245</v>
      </c>
      <c r="D308" s="239" t="n">
        <v>0.4</v>
      </c>
      <c r="E308" s="239" t="n">
        <v>0.4</v>
      </c>
      <c r="F308" s="239" t="n">
        <v>0.1435</v>
      </c>
      <c r="G308" s="239" t="n">
        <v>0.151</v>
      </c>
      <c r="H308" s="239" t="n">
        <v>0.1585</v>
      </c>
      <c r="I308" s="262" t="n">
        <v>-0.005</v>
      </c>
      <c r="J308" s="239" t="n">
        <v>4.597</v>
      </c>
      <c r="K308" s="239" t="n">
        <v>-0.172</v>
      </c>
      <c r="L308" s="239" t="n">
        <v>0.3125</v>
      </c>
      <c r="M308" s="239" t="n">
        <v>1.25</v>
      </c>
      <c r="O308" s="235"/>
      <c r="P308" s="288"/>
      <c r="Q308" s="288"/>
      <c r="R308" s="289" t="e">
        <f aca="false">B308</f>
        <v>#VALUE!</v>
      </c>
      <c r="S308" s="290" t="n">
        <f aca="false">T308-$S$16</f>
        <v>0.33</v>
      </c>
      <c r="T308" s="285" t="n">
        <f aca="false">D308</f>
        <v>0.4</v>
      </c>
      <c r="U308" s="291" t="n">
        <f aca="false">$U$16+T308</f>
        <v>0.47</v>
      </c>
      <c r="BP308" s="249" t="n">
        <f aca="false">BP307+BV308</f>
        <v>307</v>
      </c>
      <c r="BQ308" s="250" t="s">
        <v>578</v>
      </c>
      <c r="BR308" s="247" t="s">
        <v>195</v>
      </c>
      <c r="BS308" s="161" t="s">
        <v>196</v>
      </c>
      <c r="BT308" s="253" t="s">
        <v>197</v>
      </c>
      <c r="BU308" s="253"/>
      <c r="BV308" s="161" t="n">
        <v>1</v>
      </c>
      <c r="BW308" s="247" t="s">
        <v>1168</v>
      </c>
      <c r="BX308" s="0"/>
    </row>
    <row r="309" customFormat="false" ht="12.75" hidden="false" customHeight="false" outlineLevel="0" collapsed="false">
      <c r="A309" s="286"/>
      <c r="B309" s="287" t="e">
        <f aca="false">NextMonth(B308)</f>
        <v>#VALUE!</v>
      </c>
      <c r="C309" s="239" t="n">
        <v>0.065662345393136</v>
      </c>
      <c r="D309" s="239" t="n">
        <v>0.4</v>
      </c>
      <c r="E309" s="239" t="n">
        <v>0.4</v>
      </c>
      <c r="F309" s="239" t="n">
        <v>0.1435</v>
      </c>
      <c r="G309" s="239" t="n">
        <v>0.151</v>
      </c>
      <c r="H309" s="239" t="n">
        <v>0.1585</v>
      </c>
      <c r="I309" s="262" t="n">
        <v>5.416</v>
      </c>
      <c r="J309" s="239" t="n">
        <v>5.421</v>
      </c>
      <c r="K309" s="239" t="n">
        <v>-0.172</v>
      </c>
      <c r="L309" s="239" t="n">
        <v>0.27</v>
      </c>
      <c r="M309" s="239" t="n">
        <v>0.905</v>
      </c>
      <c r="O309" s="235"/>
      <c r="P309" s="288"/>
      <c r="Q309" s="288"/>
      <c r="R309" s="289" t="e">
        <f aca="false">B309</f>
        <v>#VALUE!</v>
      </c>
      <c r="S309" s="290" t="n">
        <f aca="false">T309-$S$16</f>
        <v>0.33</v>
      </c>
      <c r="T309" s="285" t="n">
        <f aca="false">D309</f>
        <v>0.4</v>
      </c>
      <c r="U309" s="291" t="n">
        <f aca="false">$U$16+T309</f>
        <v>0.47</v>
      </c>
      <c r="BP309" s="249" t="n">
        <f aca="false">BP308+BV309</f>
        <v>308</v>
      </c>
      <c r="BQ309" s="250" t="s">
        <v>582</v>
      </c>
      <c r="BR309" s="247" t="s">
        <v>195</v>
      </c>
      <c r="BS309" s="161" t="s">
        <v>196</v>
      </c>
      <c r="BT309" s="253" t="s">
        <v>197</v>
      </c>
      <c r="BU309" s="253"/>
      <c r="BV309" s="161" t="n">
        <v>1</v>
      </c>
      <c r="BW309" s="247" t="s">
        <v>1169</v>
      </c>
      <c r="BX309" s="0"/>
    </row>
    <row r="310" customFormat="false" ht="12.75" hidden="false" customHeight="false" outlineLevel="0" collapsed="false">
      <c r="A310" s="286"/>
      <c r="B310" s="287" t="e">
        <f aca="false">NextMonth(B309)</f>
        <v>#VALUE!</v>
      </c>
      <c r="C310" s="239" t="n">
        <v>0.0656564398145</v>
      </c>
      <c r="D310" s="239" t="n">
        <v>0.4</v>
      </c>
      <c r="E310" s="239" t="n">
        <v>0.4</v>
      </c>
      <c r="F310" s="239" t="n">
        <v>0.1435</v>
      </c>
      <c r="G310" s="239" t="n">
        <v>0.151</v>
      </c>
      <c r="H310" s="239" t="n">
        <v>0.1585</v>
      </c>
      <c r="I310" s="262" t="n">
        <v>5.416</v>
      </c>
      <c r="J310" s="239" t="n">
        <v>5.421</v>
      </c>
      <c r="K310" s="239" t="n">
        <v>-0.172</v>
      </c>
      <c r="L310" s="239" t="n">
        <v>0.205</v>
      </c>
      <c r="M310" s="239" t="n">
        <v>0.365</v>
      </c>
      <c r="O310" s="235"/>
      <c r="P310" s="288"/>
      <c r="Q310" s="288"/>
      <c r="R310" s="289" t="e">
        <f aca="false">B310</f>
        <v>#VALUE!</v>
      </c>
      <c r="S310" s="290" t="n">
        <f aca="false">T310-$S$16</f>
        <v>0.33</v>
      </c>
      <c r="T310" s="285" t="n">
        <f aca="false">D310</f>
        <v>0.4</v>
      </c>
      <c r="U310" s="291" t="n">
        <f aca="false">$U$16+T310</f>
        <v>0.47</v>
      </c>
      <c r="BP310" s="249" t="n">
        <f aca="false">BP309+BV310</f>
        <v>309</v>
      </c>
      <c r="BQ310" s="250" t="s">
        <v>586</v>
      </c>
      <c r="BR310" s="247" t="s">
        <v>195</v>
      </c>
      <c r="BS310" s="161" t="s">
        <v>196</v>
      </c>
      <c r="BT310" s="253" t="s">
        <v>197</v>
      </c>
      <c r="BU310" s="253"/>
      <c r="BV310" s="161" t="n">
        <v>1</v>
      </c>
      <c r="BW310" s="247" t="s">
        <v>1170</v>
      </c>
      <c r="BX310" s="0"/>
    </row>
    <row r="311" customFormat="false" ht="12.75" hidden="false" customHeight="false" outlineLevel="0" collapsed="false">
      <c r="A311" s="286"/>
      <c r="B311" s="287" t="e">
        <f aca="false">NextMonth(B310)</f>
        <v>#VALUE!</v>
      </c>
      <c r="C311" s="239" t="n">
        <v>0.065650724738412</v>
      </c>
      <c r="D311" s="239" t="n">
        <v>0.4</v>
      </c>
      <c r="E311" s="239" t="n">
        <v>0.4</v>
      </c>
      <c r="F311" s="239" t="n">
        <v>0.1435</v>
      </c>
      <c r="G311" s="239" t="n">
        <v>0.151</v>
      </c>
      <c r="H311" s="239" t="n">
        <v>0.1585</v>
      </c>
      <c r="I311" s="262"/>
      <c r="K311" s="294"/>
      <c r="L311" s="239" t="n">
        <v>0.1925</v>
      </c>
      <c r="M311" s="239" t="n">
        <v>0.2975</v>
      </c>
      <c r="R311" s="289" t="e">
        <f aca="false">EOMONTH(R310,0)+1</f>
        <v>#VALUE!</v>
      </c>
      <c r="BP311" s="249" t="n">
        <f aca="false">BP310+BV311</f>
        <v>310</v>
      </c>
      <c r="BQ311" s="250" t="s">
        <v>590</v>
      </c>
      <c r="BR311" s="247" t="s">
        <v>195</v>
      </c>
      <c r="BS311" s="161" t="s">
        <v>196</v>
      </c>
      <c r="BT311" s="253" t="s">
        <v>197</v>
      </c>
      <c r="BU311" s="253"/>
      <c r="BV311" s="161" t="n">
        <v>1</v>
      </c>
      <c r="BW311" s="247" t="s">
        <v>1171</v>
      </c>
      <c r="BX311" s="0"/>
    </row>
    <row r="312" customFormat="false" ht="12.75" hidden="false" customHeight="false" outlineLevel="0" collapsed="false">
      <c r="A312" s="286"/>
      <c r="B312" s="287" t="e">
        <f aca="false">NextMonth(B311)</f>
        <v>#VALUE!</v>
      </c>
      <c r="C312" s="239" t="n">
        <v>0.0656448191598</v>
      </c>
      <c r="D312" s="239" t="n">
        <v>0.5</v>
      </c>
      <c r="E312" s="239" t="n">
        <v>0.5</v>
      </c>
      <c r="F312" s="239" t="n">
        <v>0.1435</v>
      </c>
      <c r="G312" s="239" t="n">
        <v>0.151</v>
      </c>
      <c r="H312" s="239" t="n">
        <v>0.1585</v>
      </c>
      <c r="I312" s="262"/>
      <c r="K312" s="294"/>
      <c r="L312" s="239" t="n">
        <v>0.1925</v>
      </c>
      <c r="M312" s="239" t="n">
        <v>0.2975</v>
      </c>
      <c r="R312" s="289" t="e">
        <f aca="false">EOMONTH(R311,0)+1</f>
        <v>#VALUE!</v>
      </c>
      <c r="BP312" s="249" t="n">
        <f aca="false">BP311+BV312</f>
        <v>311</v>
      </c>
      <c r="BQ312" s="250" t="s">
        <v>594</v>
      </c>
      <c r="BR312" s="247" t="s">
        <v>195</v>
      </c>
      <c r="BS312" s="161" t="s">
        <v>196</v>
      </c>
      <c r="BT312" s="253" t="s">
        <v>197</v>
      </c>
      <c r="BU312" s="253"/>
      <c r="BV312" s="161" t="n">
        <v>1</v>
      </c>
      <c r="BW312" s="247" t="s">
        <v>1172</v>
      </c>
      <c r="BX312" s="0"/>
    </row>
    <row r="313" customFormat="false" ht="12.75" hidden="false" customHeight="false" outlineLevel="0" collapsed="false">
      <c r="A313" s="286"/>
      <c r="B313" s="287" t="e">
        <f aca="false">NextMonth(B312)</f>
        <v>#VALUE!</v>
      </c>
      <c r="C313" s="239" t="n">
        <v>0.065638913581198</v>
      </c>
      <c r="D313" s="239" t="n">
        <v>0.55</v>
      </c>
      <c r="E313" s="239" t="n">
        <v>0.55</v>
      </c>
      <c r="F313" s="239" t="n">
        <v>0.1435</v>
      </c>
      <c r="G313" s="239" t="n">
        <v>0.151</v>
      </c>
      <c r="H313" s="239" t="n">
        <v>0.1585</v>
      </c>
      <c r="I313" s="262"/>
      <c r="K313" s="294"/>
      <c r="L313" s="239" t="n">
        <v>0.1925</v>
      </c>
      <c r="M313" s="239" t="n">
        <v>0.31</v>
      </c>
      <c r="R313" s="289" t="e">
        <f aca="false">EOMONTH(R312,0)+1</f>
        <v>#VALUE!</v>
      </c>
      <c r="BP313" s="249" t="n">
        <f aca="false">BP312+BV313</f>
        <v>312</v>
      </c>
      <c r="BQ313" s="250" t="s">
        <v>598</v>
      </c>
      <c r="BR313" s="247" t="s">
        <v>195</v>
      </c>
      <c r="BS313" s="161" t="s">
        <v>196</v>
      </c>
      <c r="BT313" s="253" t="s">
        <v>197</v>
      </c>
      <c r="BU313" s="253"/>
      <c r="BV313" s="161" t="n">
        <v>1</v>
      </c>
      <c r="BW313" s="247" t="s">
        <v>1173</v>
      </c>
      <c r="BX313" s="0"/>
    </row>
    <row r="314" customFormat="false" ht="12.75" hidden="false" customHeight="false" outlineLevel="0" collapsed="false">
      <c r="A314" s="286"/>
      <c r="B314" s="287" t="e">
        <f aca="false">NextMonth(B313)</f>
        <v>#VALUE!</v>
      </c>
      <c r="C314" s="239" t="n">
        <v>0.065633198505144</v>
      </c>
      <c r="D314" s="239" t="n">
        <v>0.55</v>
      </c>
      <c r="E314" s="239" t="n">
        <v>0.55</v>
      </c>
      <c r="F314" s="239" t="n">
        <v>0.1435</v>
      </c>
      <c r="G314" s="239" t="n">
        <v>0.151</v>
      </c>
      <c r="H314" s="239" t="n">
        <v>0.1585</v>
      </c>
      <c r="I314" s="262"/>
      <c r="K314" s="294"/>
      <c r="L314" s="239" t="n">
        <v>0.1925</v>
      </c>
      <c r="M314" s="239" t="n">
        <v>0.31</v>
      </c>
      <c r="R314" s="289" t="e">
        <f aca="false">EOMONTH(R313,0)+1</f>
        <v>#VALUE!</v>
      </c>
      <c r="BP314" s="249" t="n">
        <f aca="false">BP313+BV314</f>
        <v>313</v>
      </c>
      <c r="BQ314" s="250" t="s">
        <v>602</v>
      </c>
      <c r="BR314" s="247" t="s">
        <v>195</v>
      </c>
      <c r="BS314" s="161" t="s">
        <v>196</v>
      </c>
      <c r="BT314" s="253" t="s">
        <v>197</v>
      </c>
      <c r="BU314" s="253"/>
      <c r="BV314" s="161" t="n">
        <v>1</v>
      </c>
      <c r="BW314" s="247" t="s">
        <v>1174</v>
      </c>
      <c r="BX314" s="0"/>
    </row>
    <row r="315" customFormat="false" ht="12.75" hidden="false" customHeight="false" outlineLevel="0" collapsed="false">
      <c r="A315" s="286"/>
      <c r="B315" s="287" t="e">
        <f aca="false">NextMonth(B314)</f>
        <v>#VALUE!</v>
      </c>
      <c r="C315" s="239" t="n">
        <v>0.065627292926565</v>
      </c>
      <c r="D315" s="239" t="n">
        <v>0.8</v>
      </c>
      <c r="E315" s="239" t="n">
        <v>0.8</v>
      </c>
      <c r="F315" s="239" t="n">
        <v>0.1435</v>
      </c>
      <c r="G315" s="239" t="n">
        <v>0.151</v>
      </c>
      <c r="H315" s="239" t="n">
        <v>0.1585</v>
      </c>
      <c r="I315" s="262"/>
      <c r="K315" s="294"/>
      <c r="L315" s="239" t="n">
        <v>0.1925</v>
      </c>
      <c r="M315" s="239" t="n">
        <v>0.3</v>
      </c>
      <c r="R315" s="289" t="e">
        <f aca="false">EOMONTH(R314,0)+1</f>
        <v>#VALUE!</v>
      </c>
      <c r="BP315" s="249" t="n">
        <f aca="false">BP314+BV315</f>
        <v>314</v>
      </c>
      <c r="BQ315" s="250" t="s">
        <v>606</v>
      </c>
      <c r="BR315" s="247" t="s">
        <v>195</v>
      </c>
      <c r="BS315" s="161" t="s">
        <v>196</v>
      </c>
      <c r="BT315" s="253" t="s">
        <v>197</v>
      </c>
      <c r="BU315" s="253"/>
      <c r="BV315" s="161" t="n">
        <v>1</v>
      </c>
      <c r="BW315" s="247" t="s">
        <v>1175</v>
      </c>
      <c r="BX315" s="0"/>
    </row>
    <row r="316" customFormat="false" ht="12.75" hidden="false" customHeight="false" outlineLevel="0" collapsed="false">
      <c r="A316" s="286"/>
      <c r="B316" s="287" t="e">
        <f aca="false">NextMonth(B315)</f>
        <v>#VALUE!</v>
      </c>
      <c r="C316" s="239" t="n">
        <v>0.065621577850533</v>
      </c>
      <c r="D316" s="239" t="n">
        <v>1</v>
      </c>
      <c r="E316" s="239" t="n">
        <v>1</v>
      </c>
      <c r="F316" s="239" t="n">
        <v>0.1435</v>
      </c>
      <c r="G316" s="239" t="n">
        <v>0.151</v>
      </c>
      <c r="H316" s="239" t="n">
        <v>0.1585</v>
      </c>
      <c r="I316" s="262"/>
      <c r="K316" s="294"/>
      <c r="L316" s="239" t="n">
        <v>0.1975</v>
      </c>
      <c r="M316" s="239" t="n">
        <v>0.37253</v>
      </c>
      <c r="R316" s="289" t="e">
        <f aca="false">EOMONTH(R315,0)+1</f>
        <v>#VALUE!</v>
      </c>
      <c r="BP316" s="249" t="n">
        <f aca="false">BP315+BV316</f>
        <v>315</v>
      </c>
      <c r="BQ316" s="250" t="s">
        <v>610</v>
      </c>
      <c r="BR316" s="247" t="s">
        <v>195</v>
      </c>
      <c r="BS316" s="161" t="s">
        <v>196</v>
      </c>
      <c r="BT316" s="253" t="s">
        <v>197</v>
      </c>
      <c r="BU316" s="253"/>
      <c r="BV316" s="161" t="n">
        <v>1</v>
      </c>
      <c r="BW316" s="247" t="s">
        <v>1176</v>
      </c>
      <c r="BX316" s="0"/>
    </row>
    <row r="317" customFormat="false" ht="12.75" hidden="false" customHeight="false" outlineLevel="0" collapsed="false">
      <c r="A317" s="286"/>
      <c r="B317" s="287" t="e">
        <f aca="false">NextMonth(B316)</f>
        <v>#VALUE!</v>
      </c>
      <c r="C317" s="239" t="n">
        <v>0.065615672271977</v>
      </c>
      <c r="D317" s="239" t="n">
        <v>1</v>
      </c>
      <c r="E317" s="239" t="n">
        <v>1</v>
      </c>
      <c r="F317" s="239" t="n">
        <v>0.1435</v>
      </c>
      <c r="G317" s="239" t="n">
        <v>0.151</v>
      </c>
      <c r="H317" s="239" t="n">
        <v>0.1585</v>
      </c>
      <c r="I317" s="262"/>
      <c r="K317" s="294"/>
      <c r="L317" s="239" t="n">
        <v>0.2725</v>
      </c>
      <c r="M317" s="239" t="n">
        <v>0.66</v>
      </c>
      <c r="R317" s="289" t="e">
        <f aca="false">EOMONTH(R316,0)+1</f>
        <v>#VALUE!</v>
      </c>
      <c r="BP317" s="249" t="n">
        <f aca="false">BP316+BV317</f>
        <v>316</v>
      </c>
      <c r="BQ317" s="250" t="s">
        <v>614</v>
      </c>
      <c r="BR317" s="247" t="s">
        <v>195</v>
      </c>
      <c r="BS317" s="161" t="s">
        <v>196</v>
      </c>
      <c r="BT317" s="253" t="s">
        <v>197</v>
      </c>
      <c r="BU317" s="253"/>
      <c r="BV317" s="161" t="n">
        <v>1</v>
      </c>
      <c r="BW317" s="247" t="s">
        <v>1177</v>
      </c>
      <c r="BX317" s="0"/>
    </row>
    <row r="318" customFormat="false" ht="12.75" hidden="false" customHeight="false" outlineLevel="0" collapsed="false">
      <c r="A318" s="286"/>
      <c r="B318" s="287" t="e">
        <f aca="false">NextMonth(B317)</f>
        <v>#VALUE!</v>
      </c>
      <c r="C318" s="239" t="n">
        <v>0.065609766693433</v>
      </c>
      <c r="D318" s="239" t="n">
        <v>1</v>
      </c>
      <c r="E318" s="239" t="n">
        <v>1</v>
      </c>
      <c r="F318" s="239" t="n">
        <v>0.1435</v>
      </c>
      <c r="G318" s="239" t="n">
        <v>0.151</v>
      </c>
      <c r="H318" s="239" t="n">
        <v>0.1585</v>
      </c>
      <c r="I318" s="262"/>
      <c r="K318" s="294"/>
      <c r="L318" s="239" t="n">
        <v>0.3075</v>
      </c>
      <c r="M318" s="239" t="n">
        <v>1.03</v>
      </c>
      <c r="R318" s="289" t="e">
        <f aca="false">EOMONTH(R317,0)+1</f>
        <v>#VALUE!</v>
      </c>
      <c r="BP318" s="249" t="n">
        <f aca="false">BP317+BV318</f>
        <v>317</v>
      </c>
      <c r="BQ318" s="250" t="s">
        <v>618</v>
      </c>
      <c r="BR318" s="247" t="s">
        <v>195</v>
      </c>
      <c r="BS318" s="161" t="s">
        <v>196</v>
      </c>
      <c r="BT318" s="253" t="s">
        <v>197</v>
      </c>
      <c r="BU318" s="253"/>
      <c r="BV318" s="161" t="n">
        <v>1</v>
      </c>
      <c r="BW318" s="247" t="s">
        <v>1178</v>
      </c>
      <c r="BX318" s="0"/>
    </row>
    <row r="319" customFormat="false" ht="12.75" hidden="false" customHeight="false" outlineLevel="0" collapsed="false">
      <c r="A319" s="286"/>
      <c r="B319" s="287" t="e">
        <f aca="false">NextMonth(B318)</f>
        <v>#VALUE!</v>
      </c>
      <c r="C319" s="239" t="n">
        <v>0.0656044326225</v>
      </c>
      <c r="D319" s="239" t="n">
        <v>0.75</v>
      </c>
      <c r="E319" s="239" t="n">
        <v>0.75</v>
      </c>
      <c r="F319" s="239" t="n">
        <v>0.1435</v>
      </c>
      <c r="G319" s="239" t="n">
        <v>0.151</v>
      </c>
      <c r="H319" s="239" t="n">
        <v>0.1585</v>
      </c>
      <c r="I319" s="262"/>
      <c r="K319" s="294"/>
      <c r="L319" s="239" t="n">
        <v>0.3125</v>
      </c>
      <c r="M319" s="239" t="n">
        <v>1.25</v>
      </c>
      <c r="R319" s="289" t="e">
        <f aca="false">EOMONTH(R318,0)+1</f>
        <v>#VALUE!</v>
      </c>
      <c r="BP319" s="249" t="n">
        <f aca="false">BP318+BV319</f>
        <v>318</v>
      </c>
      <c r="BQ319" s="250" t="s">
        <v>622</v>
      </c>
      <c r="BR319" s="247" t="s">
        <v>195</v>
      </c>
      <c r="BS319" s="161" t="s">
        <v>196</v>
      </c>
      <c r="BT319" s="253" t="s">
        <v>197</v>
      </c>
      <c r="BU319" s="253"/>
      <c r="BV319" s="161" t="n">
        <v>1</v>
      </c>
      <c r="BW319" s="247" t="s">
        <v>1179</v>
      </c>
      <c r="BX319" s="0"/>
    </row>
    <row r="320" customFormat="false" ht="12.75" hidden="false" customHeight="false" outlineLevel="0" collapsed="false">
      <c r="A320" s="286"/>
      <c r="B320" s="287" t="e">
        <f aca="false">NextMonth(B319)</f>
        <v>#VALUE!</v>
      </c>
      <c r="C320" s="239" t="n">
        <v>0.065598527043978</v>
      </c>
      <c r="D320" s="239" t="n">
        <v>0.4</v>
      </c>
      <c r="E320" s="239" t="n">
        <v>0.4</v>
      </c>
      <c r="F320" s="239" t="n">
        <v>0.1435</v>
      </c>
      <c r="G320" s="239" t="n">
        <v>0.151</v>
      </c>
      <c r="H320" s="239" t="n">
        <v>0.1585</v>
      </c>
      <c r="I320" s="262"/>
      <c r="K320" s="294"/>
      <c r="L320" s="239" t="n">
        <v>0.3125</v>
      </c>
      <c r="M320" s="239" t="n">
        <v>1.25</v>
      </c>
      <c r="R320" s="289" t="e">
        <f aca="false">EOMONTH(R319,0)+1</f>
        <v>#VALUE!</v>
      </c>
      <c r="BP320" s="249" t="n">
        <f aca="false">BP319+BV320</f>
        <v>319</v>
      </c>
      <c r="BQ320" s="250" t="s">
        <v>626</v>
      </c>
      <c r="BR320" s="247" t="s">
        <v>195</v>
      </c>
      <c r="BS320" s="161" t="s">
        <v>196</v>
      </c>
      <c r="BT320" s="253" t="s">
        <v>197</v>
      </c>
      <c r="BU320" s="253"/>
      <c r="BV320" s="161" t="n">
        <v>1</v>
      </c>
      <c r="BW320" s="247" t="s">
        <v>1180</v>
      </c>
      <c r="BX320" s="0"/>
    </row>
    <row r="321" customFormat="false" ht="12.75" hidden="false" customHeight="false" outlineLevel="0" collapsed="false">
      <c r="A321" s="286"/>
      <c r="B321" s="287" t="e">
        <f aca="false">NextMonth(B320)</f>
        <v>#VALUE!</v>
      </c>
      <c r="C321" s="239" t="n">
        <v>0.065592811968</v>
      </c>
      <c r="D321" s="239" t="n">
        <v>0.4</v>
      </c>
      <c r="E321" s="239" t="n">
        <v>0.4</v>
      </c>
      <c r="F321" s="239" t="n">
        <v>0.1435</v>
      </c>
      <c r="G321" s="239" t="n">
        <v>0.151</v>
      </c>
      <c r="H321" s="239" t="n">
        <v>0.1585</v>
      </c>
      <c r="I321" s="262"/>
      <c r="K321" s="294"/>
      <c r="L321" s="239" t="n">
        <v>0.27</v>
      </c>
      <c r="M321" s="239" t="n">
        <v>0.905</v>
      </c>
      <c r="R321" s="289" t="e">
        <f aca="false">EOMONTH(R320,0)+1</f>
        <v>#VALUE!</v>
      </c>
      <c r="BP321" s="249" t="n">
        <f aca="false">BP320+BV321</f>
        <v>320</v>
      </c>
      <c r="BQ321" s="250" t="s">
        <v>630</v>
      </c>
      <c r="BR321" s="247" t="s">
        <v>195</v>
      </c>
      <c r="BS321" s="161" t="s">
        <v>196</v>
      </c>
      <c r="BT321" s="253" t="s">
        <v>197</v>
      </c>
      <c r="BU321" s="253"/>
      <c r="BV321" s="161" t="n">
        <v>1</v>
      </c>
      <c r="BW321" s="247" t="s">
        <v>1181</v>
      </c>
      <c r="BX321" s="0"/>
    </row>
    <row r="322" customFormat="false" ht="12.75" hidden="false" customHeight="false" outlineLevel="0" collapsed="false">
      <c r="A322" s="286"/>
      <c r="B322" s="287" t="e">
        <f aca="false">NextMonth(B321)</f>
        <v>#VALUE!</v>
      </c>
      <c r="C322" s="239" t="n">
        <v>0.0655869063895</v>
      </c>
      <c r="D322" s="239" t="n">
        <v>0.4</v>
      </c>
      <c r="E322" s="239" t="n">
        <v>0.4</v>
      </c>
      <c r="I322" s="262"/>
      <c r="K322" s="294"/>
      <c r="L322" s="239" t="n">
        <v>0.205</v>
      </c>
      <c r="M322" s="239" t="n">
        <v>0.365</v>
      </c>
      <c r="R322" s="289" t="e">
        <f aca="false">EOMONTH(R321,0)+1</f>
        <v>#VALUE!</v>
      </c>
      <c r="BP322" s="249" t="n">
        <f aca="false">BP321+BV322</f>
        <v>321</v>
      </c>
      <c r="BQ322" s="250" t="s">
        <v>634</v>
      </c>
      <c r="BR322" s="247" t="s">
        <v>195</v>
      </c>
      <c r="BS322" s="161" t="s">
        <v>196</v>
      </c>
      <c r="BT322" s="253" t="s">
        <v>197</v>
      </c>
      <c r="BU322" s="253"/>
      <c r="BV322" s="161" t="n">
        <v>1</v>
      </c>
      <c r="BW322" s="247" t="s">
        <v>1182</v>
      </c>
      <c r="BX322" s="0"/>
    </row>
    <row r="323" customFormat="false" ht="12.75" hidden="false" customHeight="false" outlineLevel="0" collapsed="false">
      <c r="A323" s="286"/>
      <c r="B323" s="287" t="e">
        <f aca="false">NextMonth(B322)</f>
        <v>#VALUE!</v>
      </c>
      <c r="C323" s="239" t="n">
        <v>0.065581191313545</v>
      </c>
      <c r="D323" s="239" t="n">
        <v>0.4</v>
      </c>
      <c r="E323" s="239" t="n">
        <v>0.4</v>
      </c>
      <c r="I323" s="262"/>
      <c r="K323" s="294"/>
      <c r="L323" s="239" t="n">
        <v>0.1925</v>
      </c>
      <c r="M323" s="239" t="n">
        <v>0.2975</v>
      </c>
      <c r="R323" s="289" t="e">
        <f aca="false">EOMONTH(R322,0)+1</f>
        <v>#VALUE!</v>
      </c>
      <c r="BP323" s="249" t="n">
        <f aca="false">BP322+BV323</f>
        <v>322</v>
      </c>
      <c r="BQ323" s="250" t="s">
        <v>638</v>
      </c>
      <c r="BR323" s="247" t="s">
        <v>195</v>
      </c>
      <c r="BS323" s="161" t="s">
        <v>196</v>
      </c>
      <c r="BT323" s="253" t="s">
        <v>197</v>
      </c>
      <c r="BU323" s="253"/>
      <c r="BV323" s="161" t="n">
        <v>1</v>
      </c>
      <c r="BW323" s="247" t="s">
        <v>1183</v>
      </c>
      <c r="BX323" s="0"/>
    </row>
    <row r="324" customFormat="false" ht="12.75" hidden="false" customHeight="false" outlineLevel="0" collapsed="false">
      <c r="A324" s="286"/>
      <c r="B324" s="287" t="e">
        <f aca="false">NextMonth(B323)</f>
        <v>#VALUE!</v>
      </c>
      <c r="C324" s="239" t="n">
        <v>0.065575285735068</v>
      </c>
      <c r="D324" s="239" t="n">
        <v>0.5</v>
      </c>
      <c r="E324" s="239" t="n">
        <v>0.5</v>
      </c>
      <c r="I324" s="262"/>
      <c r="K324" s="294"/>
      <c r="L324" s="239" t="n">
        <v>0.1925</v>
      </c>
      <c r="M324" s="239" t="n">
        <v>0.2975</v>
      </c>
      <c r="R324" s="289" t="e">
        <f aca="false">EOMONTH(R323,0)+1</f>
        <v>#VALUE!</v>
      </c>
      <c r="BP324" s="249" t="n">
        <f aca="false">BP323+BV324</f>
        <v>323</v>
      </c>
      <c r="BQ324" s="250" t="s">
        <v>642</v>
      </c>
      <c r="BR324" s="247" t="s">
        <v>195</v>
      </c>
      <c r="BS324" s="161" t="s">
        <v>196</v>
      </c>
      <c r="BT324" s="253" t="s">
        <v>197</v>
      </c>
      <c r="BU324" s="253"/>
      <c r="BV324" s="161" t="n">
        <v>1</v>
      </c>
      <c r="BW324" s="247" t="s">
        <v>1184</v>
      </c>
      <c r="BX324" s="0"/>
    </row>
    <row r="325" customFormat="false" ht="12.75" hidden="false" customHeight="false" outlineLevel="0" collapsed="false">
      <c r="A325" s="286"/>
      <c r="B325" s="287" t="e">
        <f aca="false">NextMonth(B324)</f>
        <v>#VALUE!</v>
      </c>
      <c r="C325" s="239" t="n">
        <v>0.065569380156603</v>
      </c>
      <c r="D325" s="239" t="n">
        <v>0.55</v>
      </c>
      <c r="E325" s="239" t="n">
        <v>0.55</v>
      </c>
      <c r="I325" s="262"/>
      <c r="K325" s="294"/>
      <c r="L325" s="239" t="n">
        <v>0.1925</v>
      </c>
      <c r="M325" s="239" t="n">
        <v>0.31</v>
      </c>
      <c r="R325" s="289" t="e">
        <f aca="false">EOMONTH(R324,0)+1</f>
        <v>#VALUE!</v>
      </c>
      <c r="BP325" s="249" t="n">
        <f aca="false">BP324+BV325</f>
        <v>324</v>
      </c>
      <c r="BQ325" s="250" t="s">
        <v>646</v>
      </c>
      <c r="BR325" s="247" t="s">
        <v>195</v>
      </c>
      <c r="BS325" s="161" t="s">
        <v>196</v>
      </c>
      <c r="BT325" s="253" t="s">
        <v>197</v>
      </c>
      <c r="BU325" s="253"/>
      <c r="BV325" s="161" t="n">
        <v>1</v>
      </c>
      <c r="BW325" s="247" t="s">
        <v>1185</v>
      </c>
      <c r="BX325" s="0"/>
    </row>
    <row r="326" customFormat="false" ht="12.75" hidden="false" customHeight="false" outlineLevel="0" collapsed="false">
      <c r="A326" s="286"/>
      <c r="B326" s="287" t="e">
        <f aca="false">NextMonth(B325)</f>
        <v>#VALUE!</v>
      </c>
      <c r="C326" s="239" t="n">
        <v>0.06556366508068</v>
      </c>
      <c r="D326" s="239" t="n">
        <v>0.55</v>
      </c>
      <c r="E326" s="239" t="n">
        <v>0.55</v>
      </c>
      <c r="I326" s="262"/>
      <c r="K326" s="294"/>
      <c r="L326" s="239" t="n">
        <v>0.1925</v>
      </c>
      <c r="M326" s="239" t="n">
        <v>0.31</v>
      </c>
      <c r="R326" s="289" t="e">
        <f aca="false">EOMONTH(R325,0)+1</f>
        <v>#VALUE!</v>
      </c>
      <c r="BP326" s="249" t="n">
        <f aca="false">BP325+BV326</f>
        <v>325</v>
      </c>
      <c r="BQ326" s="250" t="s">
        <v>650</v>
      </c>
      <c r="BR326" s="247" t="s">
        <v>195</v>
      </c>
      <c r="BS326" s="161" t="s">
        <v>196</v>
      </c>
      <c r="BT326" s="253" t="s">
        <v>197</v>
      </c>
      <c r="BU326" s="253"/>
      <c r="BV326" s="161" t="n">
        <v>1</v>
      </c>
      <c r="BW326" s="247" t="s">
        <v>1186</v>
      </c>
      <c r="BX326" s="0"/>
    </row>
    <row r="327" customFormat="false" ht="12.75" hidden="false" customHeight="false" outlineLevel="0" collapsed="false">
      <c r="A327" s="286"/>
      <c r="B327" s="287" t="e">
        <f aca="false">NextMonth(B326)</f>
        <v>#VALUE!</v>
      </c>
      <c r="C327" s="239" t="n">
        <v>0.065557759502238</v>
      </c>
      <c r="D327" s="239" t="n">
        <v>0.8</v>
      </c>
      <c r="E327" s="239" t="n">
        <v>0.8</v>
      </c>
      <c r="I327" s="262"/>
      <c r="K327" s="294"/>
      <c r="L327" s="239" t="n">
        <v>0.1925</v>
      </c>
      <c r="M327" s="239" t="n">
        <v>0.3</v>
      </c>
      <c r="R327" s="289" t="e">
        <f aca="false">EOMONTH(R326,0)+1</f>
        <v>#VALUE!</v>
      </c>
      <c r="BP327" s="249" t="n">
        <f aca="false">BP326+BV327</f>
        <v>326</v>
      </c>
      <c r="BQ327" s="250" t="s">
        <v>654</v>
      </c>
      <c r="BR327" s="247" t="s">
        <v>195</v>
      </c>
      <c r="BS327" s="161" t="s">
        <v>196</v>
      </c>
      <c r="BT327" s="253" t="s">
        <v>197</v>
      </c>
      <c r="BU327" s="253"/>
      <c r="BV327" s="161" t="n">
        <v>1</v>
      </c>
      <c r="BW327" s="247" t="s">
        <v>1187</v>
      </c>
      <c r="BX327" s="0"/>
    </row>
    <row r="328" customFormat="false" ht="12.75" hidden="false" customHeight="false" outlineLevel="0" collapsed="false">
      <c r="A328" s="286"/>
      <c r="B328" s="287" t="e">
        <f aca="false">NextMonth(B327)</f>
        <v>#VALUE!</v>
      </c>
      <c r="C328" s="239" t="n">
        <v>0.065552044426337</v>
      </c>
      <c r="D328" s="239" t="n">
        <v>1</v>
      </c>
      <c r="E328" s="239" t="n">
        <v>1</v>
      </c>
      <c r="I328" s="262"/>
      <c r="K328" s="294"/>
      <c r="L328" s="239" t="n">
        <v>0.1975</v>
      </c>
      <c r="M328" s="239" t="n">
        <v>0.37253</v>
      </c>
      <c r="R328" s="289" t="e">
        <f aca="false">EOMONTH(R327,0)+1</f>
        <v>#VALUE!</v>
      </c>
      <c r="BP328" s="249" t="n">
        <f aca="false">BP327+BV328</f>
        <v>327</v>
      </c>
      <c r="BQ328" s="250" t="s">
        <v>658</v>
      </c>
      <c r="BR328" s="247" t="s">
        <v>195</v>
      </c>
      <c r="BS328" s="161" t="s">
        <v>196</v>
      </c>
      <c r="BT328" s="253" t="s">
        <v>197</v>
      </c>
      <c r="BU328" s="253"/>
      <c r="BV328" s="161" t="n">
        <v>1</v>
      </c>
      <c r="BW328" s="247" t="s">
        <v>1188</v>
      </c>
      <c r="BX328" s="0"/>
    </row>
    <row r="329" customFormat="false" ht="12.75" hidden="false" customHeight="false" outlineLevel="0" collapsed="false">
      <c r="A329" s="286"/>
      <c r="B329" s="287" t="e">
        <f aca="false">NextMonth(B328)</f>
        <v>#VALUE!</v>
      </c>
      <c r="C329" s="239" t="n">
        <v>0.065546138847917</v>
      </c>
      <c r="D329" s="239" t="n">
        <v>1</v>
      </c>
      <c r="E329" s="239" t="n">
        <v>1</v>
      </c>
      <c r="I329" s="262"/>
      <c r="K329" s="294"/>
      <c r="L329" s="239" t="n">
        <v>0.2725</v>
      </c>
      <c r="M329" s="239" t="n">
        <v>0.66</v>
      </c>
      <c r="R329" s="289" t="e">
        <f aca="false">EOMONTH(R328,0)+1</f>
        <v>#VALUE!</v>
      </c>
      <c r="BP329" s="249" t="n">
        <f aca="false">BP328+BV329</f>
        <v>328</v>
      </c>
      <c r="BQ329" s="250" t="s">
        <v>661</v>
      </c>
      <c r="BR329" s="247" t="s">
        <v>195</v>
      </c>
      <c r="BS329" s="161" t="s">
        <v>196</v>
      </c>
      <c r="BT329" s="253" t="s">
        <v>197</v>
      </c>
      <c r="BU329" s="253"/>
      <c r="BV329" s="161" t="n">
        <v>1</v>
      </c>
      <c r="BW329" s="247" t="s">
        <v>1189</v>
      </c>
      <c r="BX329" s="0"/>
    </row>
    <row r="330" customFormat="false" ht="12.75" hidden="false" customHeight="false" outlineLevel="0" collapsed="false">
      <c r="A330" s="286"/>
      <c r="B330" s="287" t="e">
        <f aca="false">NextMonth(B329)</f>
        <v>#VALUE!</v>
      </c>
      <c r="C330" s="239" t="n">
        <v>0.06554023326951</v>
      </c>
      <c r="D330" s="239" t="n">
        <v>1</v>
      </c>
      <c r="E330" s="239" t="n">
        <v>1</v>
      </c>
      <c r="I330" s="262"/>
      <c r="K330" s="294"/>
      <c r="L330" s="239" t="n">
        <v>0.3075</v>
      </c>
      <c r="M330" s="239" t="n">
        <v>1.03</v>
      </c>
      <c r="R330" s="289" t="e">
        <f aca="false">EOMONTH(R329,0)+1</f>
        <v>#VALUE!</v>
      </c>
      <c r="BP330" s="249" t="n">
        <f aca="false">BP329+BV330</f>
        <v>329</v>
      </c>
      <c r="BQ330" s="250" t="s">
        <v>665</v>
      </c>
      <c r="BR330" s="247" t="s">
        <v>195</v>
      </c>
      <c r="BS330" s="161" t="s">
        <v>196</v>
      </c>
      <c r="BT330" s="253" t="s">
        <v>197</v>
      </c>
      <c r="BU330" s="253"/>
      <c r="BV330" s="161" t="n">
        <v>1</v>
      </c>
      <c r="BW330" s="247" t="s">
        <v>1190</v>
      </c>
      <c r="BX330" s="0"/>
    </row>
    <row r="331" customFormat="false" ht="12.75" hidden="false" customHeight="false" outlineLevel="0" collapsed="false">
      <c r="A331" s="286"/>
      <c r="B331" s="287" t="e">
        <f aca="false">NextMonth(B330)</f>
        <v>#VALUE!</v>
      </c>
      <c r="C331" s="239" t="n">
        <v>0.065534899198699</v>
      </c>
      <c r="D331" s="239" t="n">
        <v>0.75</v>
      </c>
      <c r="E331" s="239" t="n">
        <v>0.75</v>
      </c>
      <c r="I331" s="262"/>
      <c r="K331" s="294"/>
      <c r="L331" s="239" t="n">
        <v>0.3125</v>
      </c>
      <c r="M331" s="239" t="n">
        <v>1.25</v>
      </c>
      <c r="R331" s="289" t="e">
        <f aca="false">EOMONTH(R330,0)+1</f>
        <v>#VALUE!</v>
      </c>
      <c r="BP331" s="249" t="n">
        <f aca="false">BP330+BV331</f>
        <v>330</v>
      </c>
      <c r="BQ331" s="250" t="s">
        <v>669</v>
      </c>
      <c r="BR331" s="247" t="s">
        <v>195</v>
      </c>
      <c r="BS331" s="161" t="s">
        <v>196</v>
      </c>
      <c r="BT331" s="253" t="s">
        <v>197</v>
      </c>
      <c r="BU331" s="253"/>
      <c r="BV331" s="161" t="n">
        <v>1</v>
      </c>
      <c r="BW331" s="247" t="s">
        <v>1191</v>
      </c>
      <c r="BX331" s="0"/>
    </row>
    <row r="332" customFormat="false" ht="12.75" hidden="false" customHeight="false" outlineLevel="0" collapsed="false">
      <c r="A332" s="286"/>
      <c r="B332" s="287" t="e">
        <f aca="false">NextMonth(B331)</f>
        <v>#VALUE!</v>
      </c>
      <c r="C332" s="239" t="n">
        <v>0.065528993620314</v>
      </c>
      <c r="D332" s="239" t="n">
        <v>0.4</v>
      </c>
      <c r="E332" s="239" t="n">
        <v>0.4</v>
      </c>
      <c r="I332" s="262"/>
      <c r="K332" s="294"/>
      <c r="L332" s="239" t="n">
        <v>0.3125</v>
      </c>
      <c r="M332" s="239" t="n">
        <v>1.25</v>
      </c>
      <c r="R332" s="289" t="e">
        <f aca="false">EOMONTH(R331,0)+1</f>
        <v>#VALUE!</v>
      </c>
      <c r="BP332" s="249" t="n">
        <f aca="false">BP331+BV332</f>
        <v>331</v>
      </c>
      <c r="BQ332" s="250" t="s">
        <v>673</v>
      </c>
      <c r="BR332" s="247" t="s">
        <v>195</v>
      </c>
      <c r="BS332" s="161" t="s">
        <v>196</v>
      </c>
      <c r="BT332" s="253" t="s">
        <v>197</v>
      </c>
      <c r="BU332" s="253"/>
      <c r="BV332" s="161" t="n">
        <v>1</v>
      </c>
      <c r="BW332" s="247" t="s">
        <v>1192</v>
      </c>
      <c r="BX332" s="0"/>
    </row>
    <row r="333" customFormat="false" ht="12.75" hidden="false" customHeight="false" outlineLevel="0" collapsed="false">
      <c r="A333" s="286"/>
      <c r="B333" s="287" t="e">
        <f aca="false">NextMonth(B332)</f>
        <v>#VALUE!</v>
      </c>
      <c r="C333" s="239" t="n">
        <v>0.065523278544467</v>
      </c>
      <c r="D333" s="239" t="n">
        <v>0.4</v>
      </c>
      <c r="E333" s="239" t="n">
        <v>0.4</v>
      </c>
      <c r="I333" s="262"/>
      <c r="K333" s="294"/>
      <c r="L333" s="239" t="n">
        <v>0.27</v>
      </c>
      <c r="M333" s="239" t="n">
        <v>0.905</v>
      </c>
      <c r="R333" s="289" t="e">
        <f aca="false">EOMONTH(R332,0)+1</f>
        <v>#VALUE!</v>
      </c>
      <c r="BP333" s="249" t="n">
        <f aca="false">BP332+BV333</f>
        <v>332</v>
      </c>
      <c r="BQ333" s="250" t="s">
        <v>677</v>
      </c>
      <c r="BR333" s="247" t="s">
        <v>195</v>
      </c>
      <c r="BS333" s="161" t="s">
        <v>196</v>
      </c>
      <c r="BT333" s="253" t="s">
        <v>197</v>
      </c>
      <c r="BU333" s="253"/>
      <c r="BV333" s="161" t="n">
        <v>1</v>
      </c>
      <c r="BW333" s="247" t="s">
        <v>1193</v>
      </c>
      <c r="BX333" s="0"/>
    </row>
    <row r="334" customFormat="false" ht="12.75" hidden="false" customHeight="false" outlineLevel="0" collapsed="false">
      <c r="A334" s="286"/>
      <c r="B334" s="287" t="e">
        <f aca="false">NextMonth(B333)</f>
        <v>#VALUE!</v>
      </c>
      <c r="C334" s="239" t="n">
        <v>0.065517372966104</v>
      </c>
      <c r="D334" s="239" t="n">
        <v>0.4</v>
      </c>
      <c r="E334" s="239" t="n">
        <v>0.4</v>
      </c>
      <c r="I334" s="262"/>
      <c r="K334" s="294"/>
      <c r="L334" s="239" t="n">
        <v>0.205</v>
      </c>
      <c r="M334" s="239" t="n">
        <v>0.365</v>
      </c>
      <c r="R334" s="289" t="e">
        <f aca="false">EOMONTH(R333,0)+1</f>
        <v>#VALUE!</v>
      </c>
      <c r="BP334" s="249" t="n">
        <f aca="false">BP333+BV334</f>
        <v>333</v>
      </c>
      <c r="BQ334" s="250" t="s">
        <v>681</v>
      </c>
      <c r="BR334" s="247" t="s">
        <v>195</v>
      </c>
      <c r="BS334" s="161" t="s">
        <v>196</v>
      </c>
      <c r="BT334" s="253" t="s">
        <v>197</v>
      </c>
      <c r="BU334" s="253"/>
      <c r="BV334" s="161" t="n">
        <v>1</v>
      </c>
      <c r="BW334" s="247" t="s">
        <v>1194</v>
      </c>
      <c r="BX334" s="0"/>
    </row>
    <row r="335" customFormat="false" ht="12.75" hidden="false" customHeight="false" outlineLevel="0" collapsed="false">
      <c r="A335" s="286"/>
      <c r="B335" s="287" t="e">
        <f aca="false">NextMonth(B334)</f>
        <v>#VALUE!</v>
      </c>
      <c r="C335" s="239" t="n">
        <v>0.065511657890279</v>
      </c>
      <c r="D335" s="239" t="n">
        <v>0.4</v>
      </c>
      <c r="E335" s="239" t="n">
        <v>0.4</v>
      </c>
      <c r="I335" s="262"/>
      <c r="K335" s="294"/>
      <c r="L335" s="239" t="n">
        <v>0.1925</v>
      </c>
      <c r="M335" s="239" t="n">
        <v>0.2975</v>
      </c>
      <c r="R335" s="289" t="e">
        <f aca="false">EOMONTH(R334,0)+1</f>
        <v>#VALUE!</v>
      </c>
      <c r="BP335" s="249" t="n">
        <f aca="false">BP334+BV335</f>
        <v>334</v>
      </c>
      <c r="BQ335" s="250" t="s">
        <v>685</v>
      </c>
      <c r="BR335" s="247" t="s">
        <v>195</v>
      </c>
      <c r="BS335" s="161" t="s">
        <v>196</v>
      </c>
      <c r="BT335" s="253" t="s">
        <v>197</v>
      </c>
      <c r="BU335" s="253"/>
      <c r="BV335" s="161" t="n">
        <v>1</v>
      </c>
      <c r="BW335" s="247" t="s">
        <v>1195</v>
      </c>
      <c r="BX335" s="0"/>
    </row>
    <row r="336" customFormat="false" ht="12.75" hidden="false" customHeight="false" outlineLevel="0" collapsed="false">
      <c r="A336" s="286"/>
      <c r="B336" s="287" t="e">
        <f aca="false">NextMonth(B335)</f>
        <v>#VALUE!</v>
      </c>
      <c r="C336" s="239" t="n">
        <v>0.065505752311939</v>
      </c>
      <c r="D336" s="239" t="n">
        <v>0.5</v>
      </c>
      <c r="E336" s="239" t="n">
        <v>0.5</v>
      </c>
      <c r="I336" s="262"/>
      <c r="K336" s="294"/>
      <c r="L336" s="239" t="n">
        <v>0.1925</v>
      </c>
      <c r="M336" s="239" t="n">
        <v>0.2975</v>
      </c>
      <c r="R336" s="289" t="e">
        <f aca="false">EOMONTH(R335,0)+1</f>
        <v>#VALUE!</v>
      </c>
      <c r="BP336" s="249" t="n">
        <f aca="false">BP335+BV336</f>
        <v>335</v>
      </c>
      <c r="BQ336" s="250" t="s">
        <v>689</v>
      </c>
      <c r="BR336" s="247" t="s">
        <v>195</v>
      </c>
      <c r="BS336" s="161" t="s">
        <v>196</v>
      </c>
      <c r="BT336" s="253" t="s">
        <v>197</v>
      </c>
      <c r="BU336" s="253"/>
      <c r="BV336" s="161" t="n">
        <v>1</v>
      </c>
      <c r="BW336" s="247" t="s">
        <v>1196</v>
      </c>
      <c r="BX336" s="0"/>
    </row>
    <row r="337" customFormat="false" ht="12.75" hidden="false" customHeight="false" outlineLevel="0" collapsed="false">
      <c r="A337" s="286"/>
      <c r="B337" s="287" t="e">
        <f aca="false">NextMonth(B336)</f>
        <v>#VALUE!</v>
      </c>
      <c r="C337" s="239" t="n">
        <v>0.06549984673361</v>
      </c>
      <c r="D337" s="239" t="n">
        <v>0.55</v>
      </c>
      <c r="E337" s="239" t="n">
        <v>0.55</v>
      </c>
      <c r="I337" s="262"/>
      <c r="K337" s="294"/>
      <c r="L337" s="239" t="n">
        <v>0.1925</v>
      </c>
      <c r="M337" s="239" t="n">
        <v>0.31</v>
      </c>
      <c r="R337" s="289" t="e">
        <f aca="false">EOMONTH(R336,0)+1</f>
        <v>#VALUE!</v>
      </c>
      <c r="BP337" s="249" t="n">
        <f aca="false">BP336+BV337</f>
        <v>336</v>
      </c>
      <c r="BQ337" s="250" t="s">
        <v>693</v>
      </c>
      <c r="BR337" s="247" t="s">
        <v>195</v>
      </c>
      <c r="BS337" s="161" t="s">
        <v>196</v>
      </c>
      <c r="BT337" s="253" t="s">
        <v>197</v>
      </c>
      <c r="BU337" s="253"/>
      <c r="BV337" s="161" t="n">
        <v>1</v>
      </c>
      <c r="BW337" s="247" t="s">
        <v>1197</v>
      </c>
      <c r="BX337" s="0"/>
    </row>
    <row r="338" customFormat="false" ht="12.75" hidden="false" customHeight="false" outlineLevel="0" collapsed="false">
      <c r="A338" s="286"/>
      <c r="B338" s="287" t="e">
        <f aca="false">NextMonth(B337)</f>
        <v>#VALUE!</v>
      </c>
      <c r="C338" s="239" t="n">
        <v>0.065494131657819</v>
      </c>
      <c r="D338" s="239" t="n">
        <v>0.55</v>
      </c>
      <c r="E338" s="239" t="n">
        <v>0.55</v>
      </c>
      <c r="I338" s="262"/>
      <c r="K338" s="294"/>
      <c r="L338" s="239" t="n">
        <v>0.1925</v>
      </c>
      <c r="M338" s="239" t="n">
        <v>0.31</v>
      </c>
      <c r="R338" s="289" t="e">
        <f aca="false">EOMONTH(R337,0)+1</f>
        <v>#VALUE!</v>
      </c>
      <c r="BP338" s="249" t="n">
        <f aca="false">BP337+BV338</f>
        <v>337</v>
      </c>
      <c r="BQ338" s="250" t="s">
        <v>697</v>
      </c>
      <c r="BR338" s="247" t="s">
        <v>195</v>
      </c>
      <c r="BS338" s="161" t="s">
        <v>196</v>
      </c>
      <c r="BT338" s="253" t="s">
        <v>197</v>
      </c>
      <c r="BU338" s="253"/>
      <c r="BV338" s="161" t="n">
        <v>1</v>
      </c>
      <c r="BW338" s="247" t="s">
        <v>1198</v>
      </c>
      <c r="BX338" s="0"/>
    </row>
    <row r="339" customFormat="false" ht="12.75" hidden="false" customHeight="false" outlineLevel="0" collapsed="false">
      <c r="A339" s="286"/>
      <c r="B339" s="287" t="e">
        <f aca="false">NextMonth(B338)</f>
        <v>#VALUE!</v>
      </c>
      <c r="C339" s="239" t="n">
        <v>0.065488226079513</v>
      </c>
      <c r="D339" s="239" t="n">
        <v>0.8</v>
      </c>
      <c r="E339" s="239" t="n">
        <v>0.8</v>
      </c>
      <c r="I339" s="262"/>
      <c r="K339" s="294"/>
      <c r="L339" s="239" t="n">
        <v>0.1925</v>
      </c>
      <c r="M339" s="239" t="n">
        <v>0.3</v>
      </c>
      <c r="R339" s="289" t="e">
        <f aca="false">EOMONTH(R338,0)+1</f>
        <v>#VALUE!</v>
      </c>
      <c r="BP339" s="249" t="n">
        <f aca="false">BP338+BV339</f>
        <v>338</v>
      </c>
      <c r="BQ339" s="250" t="s">
        <v>701</v>
      </c>
      <c r="BR339" s="247" t="s">
        <v>195</v>
      </c>
      <c r="BS339" s="161" t="s">
        <v>196</v>
      </c>
      <c r="BT339" s="253" t="s">
        <v>197</v>
      </c>
      <c r="BU339" s="253"/>
      <c r="BV339" s="161" t="n">
        <v>1</v>
      </c>
      <c r="BW339" s="247" t="s">
        <v>1199</v>
      </c>
      <c r="BX339" s="0"/>
    </row>
    <row r="340" customFormat="false" ht="12.75" hidden="false" customHeight="false" outlineLevel="0" collapsed="false">
      <c r="A340" s="286"/>
      <c r="B340" s="287" t="e">
        <f aca="false">NextMonth(B339)</f>
        <v>#VALUE!</v>
      </c>
      <c r="C340" s="239" t="n">
        <v>0.065482511003743</v>
      </c>
      <c r="D340" s="239" t="n">
        <v>1</v>
      </c>
      <c r="E340" s="239" t="n">
        <v>1</v>
      </c>
      <c r="I340" s="262"/>
      <c r="K340" s="294"/>
      <c r="L340" s="239" t="n">
        <v>0.1975</v>
      </c>
      <c r="M340" s="239" t="n">
        <v>0.37253</v>
      </c>
      <c r="R340" s="289" t="e">
        <f aca="false">EOMONTH(R339,0)+1</f>
        <v>#VALUE!</v>
      </c>
      <c r="BP340" s="249" t="n">
        <f aca="false">BP339+BV340</f>
        <v>339</v>
      </c>
      <c r="BQ340" s="250" t="s">
        <v>705</v>
      </c>
      <c r="BR340" s="247" t="s">
        <v>195</v>
      </c>
      <c r="BS340" s="161" t="s">
        <v>196</v>
      </c>
      <c r="BT340" s="253" t="s">
        <v>197</v>
      </c>
      <c r="BU340" s="253"/>
      <c r="BV340" s="161" t="n">
        <v>1</v>
      </c>
      <c r="BW340" s="247" t="s">
        <v>1200</v>
      </c>
      <c r="BX340" s="0"/>
    </row>
    <row r="341" customFormat="false" ht="12.75" hidden="false" customHeight="false" outlineLevel="0" collapsed="false">
      <c r="A341" s="286"/>
      <c r="B341" s="287" t="e">
        <f aca="false">NextMonth(B340)</f>
        <v>#VALUE!</v>
      </c>
      <c r="C341" s="239" t="n">
        <v>0.06547660542546</v>
      </c>
      <c r="D341" s="239" t="n">
        <v>1</v>
      </c>
      <c r="E341" s="239" t="n">
        <v>1</v>
      </c>
      <c r="I341" s="262"/>
      <c r="K341" s="294"/>
      <c r="L341" s="239" t="n">
        <v>0.2725</v>
      </c>
      <c r="M341" s="239" t="n">
        <v>0.66</v>
      </c>
      <c r="R341" s="289" t="e">
        <f aca="false">EOMONTH(R340,0)+1</f>
        <v>#VALUE!</v>
      </c>
      <c r="BP341" s="249" t="n">
        <f aca="false">BP340+BV341</f>
        <v>340</v>
      </c>
      <c r="BQ341" s="250" t="s">
        <v>709</v>
      </c>
      <c r="BR341" s="247" t="s">
        <v>195</v>
      </c>
      <c r="BS341" s="161" t="s">
        <v>196</v>
      </c>
      <c r="BT341" s="253" t="s">
        <v>197</v>
      </c>
      <c r="BU341" s="253"/>
      <c r="BV341" s="161" t="n">
        <v>1</v>
      </c>
      <c r="BW341" s="247" t="s">
        <v>1201</v>
      </c>
      <c r="BX341" s="0"/>
    </row>
    <row r="342" customFormat="false" ht="12.75" hidden="false" customHeight="false" outlineLevel="0" collapsed="false">
      <c r="A342" s="286"/>
      <c r="B342" s="287" t="e">
        <f aca="false">NextMonth(B341)</f>
        <v>#VALUE!</v>
      </c>
      <c r="C342" s="239" t="n">
        <v>0.065470699847188</v>
      </c>
      <c r="D342" s="239" t="n">
        <v>1</v>
      </c>
      <c r="E342" s="239" t="n">
        <v>1</v>
      </c>
      <c r="I342" s="262"/>
      <c r="K342" s="294"/>
      <c r="L342" s="239" t="n">
        <v>0.3075</v>
      </c>
      <c r="M342" s="239" t="n">
        <v>1.03</v>
      </c>
      <c r="R342" s="289" t="e">
        <f aca="false">EOMONTH(R341,0)+1</f>
        <v>#VALUE!</v>
      </c>
      <c r="BP342" s="249" t="n">
        <f aca="false">BP341+BV342</f>
        <v>341</v>
      </c>
      <c r="BQ342" s="250" t="s">
        <v>713</v>
      </c>
      <c r="BR342" s="247" t="s">
        <v>195</v>
      </c>
      <c r="BS342" s="161" t="s">
        <v>196</v>
      </c>
      <c r="BT342" s="253" t="s">
        <v>197</v>
      </c>
      <c r="BU342" s="253"/>
      <c r="BV342" s="161" t="n">
        <v>1</v>
      </c>
      <c r="BW342" s="247" t="s">
        <v>1202</v>
      </c>
      <c r="BX342" s="0"/>
    </row>
    <row r="343" customFormat="false" ht="12.75" hidden="false" customHeight="false" outlineLevel="0" collapsed="false">
      <c r="A343" s="286"/>
      <c r="B343" s="287" t="e">
        <f aca="false">NextMonth(B342)</f>
        <v>#VALUE!</v>
      </c>
      <c r="C343" s="239" t="n">
        <v>0.065465175273977</v>
      </c>
      <c r="D343" s="239" t="n">
        <v>0.5</v>
      </c>
      <c r="E343" s="239" t="n">
        <v>0.5</v>
      </c>
      <c r="I343" s="262"/>
      <c r="K343" s="294"/>
      <c r="L343" s="239" t="n">
        <v>0.3125</v>
      </c>
      <c r="M343" s="239" t="n">
        <v>1.25</v>
      </c>
      <c r="R343" s="289" t="e">
        <f aca="false">EOMONTH(R342,0)+1</f>
        <v>#VALUE!</v>
      </c>
      <c r="BP343" s="249" t="n">
        <f aca="false">BP342+BV343</f>
        <v>342</v>
      </c>
      <c r="BQ343" s="250" t="s">
        <v>717</v>
      </c>
      <c r="BR343" s="247" t="s">
        <v>195</v>
      </c>
      <c r="BS343" s="161" t="s">
        <v>196</v>
      </c>
      <c r="BT343" s="253" t="s">
        <v>197</v>
      </c>
      <c r="BU343" s="253"/>
      <c r="BV343" s="161" t="n">
        <v>1</v>
      </c>
      <c r="BW343" s="247" t="s">
        <v>1203</v>
      </c>
      <c r="BX343" s="0"/>
    </row>
    <row r="344" customFormat="false" ht="12.75" hidden="false" customHeight="false" outlineLevel="0" collapsed="false">
      <c r="A344" s="286"/>
      <c r="B344" s="287" t="e">
        <f aca="false">NextMonth(B343)</f>
        <v>#VALUE!</v>
      </c>
      <c r="C344" s="239" t="n">
        <v>0.065459269695727</v>
      </c>
      <c r="D344" s="239" t="n">
        <v>0.55</v>
      </c>
      <c r="E344" s="239" t="n">
        <v>0.55</v>
      </c>
      <c r="I344" s="262"/>
      <c r="K344" s="294"/>
      <c r="L344" s="239" t="n">
        <v>0.3125</v>
      </c>
      <c r="M344" s="239" t="n">
        <v>1.25</v>
      </c>
      <c r="R344" s="289" t="e">
        <f aca="false">EOMONTH(R343,0)+1</f>
        <v>#VALUE!</v>
      </c>
      <c r="BP344" s="249" t="n">
        <f aca="false">BP343+BV344</f>
        <v>343</v>
      </c>
      <c r="BQ344" s="250" t="s">
        <v>721</v>
      </c>
      <c r="BR344" s="247" t="s">
        <v>195</v>
      </c>
      <c r="BS344" s="161" t="s">
        <v>196</v>
      </c>
      <c r="BT344" s="253" t="s">
        <v>197</v>
      </c>
      <c r="BU344" s="253"/>
      <c r="BV344" s="161" t="n">
        <v>1</v>
      </c>
      <c r="BW344" s="247" t="s">
        <v>1204</v>
      </c>
      <c r="BX344" s="0"/>
    </row>
    <row r="345" customFormat="false" ht="12.75" hidden="false" customHeight="false" outlineLevel="0" collapsed="false">
      <c r="A345" s="286"/>
      <c r="B345" s="287" t="e">
        <f aca="false">NextMonth(B344)</f>
        <v>#VALUE!</v>
      </c>
      <c r="C345" s="239" t="n">
        <v>0.065453554620013</v>
      </c>
      <c r="D345" s="239" t="n">
        <v>0.55</v>
      </c>
      <c r="E345" s="239" t="n">
        <v>0.55</v>
      </c>
      <c r="I345" s="262"/>
      <c r="K345" s="294"/>
      <c r="L345" s="239" t="n">
        <v>0.27</v>
      </c>
      <c r="M345" s="239" t="n">
        <v>0.905</v>
      </c>
      <c r="R345" s="289" t="e">
        <f aca="false">EOMONTH(R344,0)+1</f>
        <v>#VALUE!</v>
      </c>
      <c r="BP345" s="249" t="n">
        <f aca="false">BP344+BV345</f>
        <v>344</v>
      </c>
      <c r="BQ345" s="250" t="s">
        <v>725</v>
      </c>
      <c r="BR345" s="247" t="s">
        <v>195</v>
      </c>
      <c r="BS345" s="161" t="s">
        <v>196</v>
      </c>
      <c r="BT345" s="253" t="s">
        <v>197</v>
      </c>
      <c r="BU345" s="253"/>
      <c r="BV345" s="161" t="n">
        <v>1</v>
      </c>
      <c r="BW345" s="247" t="s">
        <v>1205</v>
      </c>
      <c r="BX345" s="0"/>
    </row>
    <row r="346" customFormat="false" ht="12.75" hidden="false" customHeight="false" outlineLevel="0" collapsed="false">
      <c r="A346" s="286"/>
      <c r="B346" s="287" t="e">
        <f aca="false">NextMonth(B345)</f>
        <v>#VALUE!</v>
      </c>
      <c r="C346" s="239" t="n">
        <v>0.065447649041786</v>
      </c>
      <c r="D346" s="239" t="n">
        <v>0.6</v>
      </c>
      <c r="E346" s="239" t="n">
        <v>0.6</v>
      </c>
      <c r="I346" s="262"/>
      <c r="K346" s="294"/>
      <c r="L346" s="239" t="n">
        <v>0.205</v>
      </c>
      <c r="M346" s="239" t="n">
        <v>0.365</v>
      </c>
      <c r="R346" s="289" t="e">
        <f aca="false">EOMONTH(R345,0)+1</f>
        <v>#VALUE!</v>
      </c>
      <c r="BP346" s="249" t="n">
        <f aca="false">BP345+BV346</f>
        <v>345</v>
      </c>
      <c r="BQ346" s="250" t="s">
        <v>729</v>
      </c>
      <c r="BR346" s="247" t="s">
        <v>195</v>
      </c>
      <c r="BS346" s="161" t="s">
        <v>196</v>
      </c>
      <c r="BT346" s="253" t="s">
        <v>197</v>
      </c>
      <c r="BU346" s="253"/>
      <c r="BV346" s="161" t="n">
        <v>1</v>
      </c>
      <c r="BW346" s="247" t="s">
        <v>1206</v>
      </c>
      <c r="BX346" s="0"/>
    </row>
    <row r="347" customFormat="false" ht="12.75" hidden="false" customHeight="false" outlineLevel="0" collapsed="false">
      <c r="A347" s="286"/>
      <c r="B347" s="287" t="e">
        <f aca="false">NextMonth(B346)</f>
        <v>#VALUE!</v>
      </c>
      <c r="C347" s="239" t="n">
        <v>0.065441933966093</v>
      </c>
      <c r="D347" s="239" t="n">
        <v>0.8</v>
      </c>
      <c r="E347" s="239" t="n">
        <v>0.8</v>
      </c>
      <c r="I347" s="262"/>
      <c r="K347" s="294"/>
      <c r="L347" s="239" t="n">
        <v>0.1925</v>
      </c>
      <c r="M347" s="239" t="n">
        <v>0.2975</v>
      </c>
      <c r="R347" s="289" t="e">
        <f aca="false">EOMONTH(R346,0)+1</f>
        <v>#VALUE!</v>
      </c>
      <c r="BP347" s="249" t="n">
        <f aca="false">BP346+BV347</f>
        <v>346</v>
      </c>
      <c r="BQ347" s="250" t="s">
        <v>733</v>
      </c>
      <c r="BR347" s="247" t="s">
        <v>195</v>
      </c>
      <c r="BS347" s="161" t="s">
        <v>196</v>
      </c>
      <c r="BT347" s="253" t="s">
        <v>197</v>
      </c>
      <c r="BU347" s="253"/>
      <c r="BV347" s="161" t="n">
        <v>1</v>
      </c>
      <c r="BW347" s="247" t="s">
        <v>1207</v>
      </c>
      <c r="BX347" s="0"/>
    </row>
    <row r="348" customFormat="false" ht="12.75" hidden="false" customHeight="false" outlineLevel="0" collapsed="false">
      <c r="A348" s="286"/>
      <c r="B348" s="287" t="e">
        <f aca="false">NextMonth(B347)</f>
        <v>#VALUE!</v>
      </c>
      <c r="C348" s="239" t="n">
        <v>0.065436028387889</v>
      </c>
      <c r="D348" s="239" t="n">
        <v>1</v>
      </c>
      <c r="E348" s="239" t="n">
        <v>1</v>
      </c>
      <c r="I348" s="262"/>
      <c r="K348" s="294"/>
      <c r="L348" s="239" t="n">
        <v>0.1925</v>
      </c>
      <c r="M348" s="239" t="n">
        <v>0.2975</v>
      </c>
      <c r="R348" s="289" t="e">
        <f aca="false">EOMONTH(R347,0)+1</f>
        <v>#VALUE!</v>
      </c>
      <c r="BP348" s="249" t="n">
        <f aca="false">BP347+BV348</f>
        <v>347</v>
      </c>
      <c r="BQ348" s="250" t="s">
        <v>737</v>
      </c>
      <c r="BR348" s="247" t="s">
        <v>195</v>
      </c>
      <c r="BS348" s="161" t="s">
        <v>196</v>
      </c>
      <c r="BT348" s="253" t="s">
        <v>197</v>
      </c>
      <c r="BU348" s="253"/>
      <c r="BV348" s="161" t="n">
        <v>1</v>
      </c>
      <c r="BW348" s="247" t="s">
        <v>1208</v>
      </c>
      <c r="BX348" s="0"/>
    </row>
    <row r="349" customFormat="false" ht="12.75" hidden="false" customHeight="false" outlineLevel="0" collapsed="false">
      <c r="A349" s="286"/>
      <c r="B349" s="287" t="e">
        <f aca="false">NextMonth(B348)</f>
        <v>#VALUE!</v>
      </c>
      <c r="C349" s="239" t="n">
        <v>0.065430122809697</v>
      </c>
      <c r="D349" s="239" t="n">
        <v>1</v>
      </c>
      <c r="E349" s="239" t="n">
        <v>1</v>
      </c>
      <c r="I349" s="262"/>
      <c r="K349" s="294"/>
      <c r="L349" s="239" t="n">
        <v>0.1925</v>
      </c>
      <c r="M349" s="239" t="n">
        <v>0.31</v>
      </c>
      <c r="R349" s="289" t="e">
        <f aca="false">EOMONTH(R348,0)+1</f>
        <v>#VALUE!</v>
      </c>
      <c r="BP349" s="249" t="n">
        <f aca="false">BP348+BV349</f>
        <v>348</v>
      </c>
      <c r="BQ349" s="250" t="s">
        <v>741</v>
      </c>
      <c r="BR349" s="247" t="s">
        <v>195</v>
      </c>
      <c r="BS349" s="161" t="s">
        <v>196</v>
      </c>
      <c r="BT349" s="253" t="s">
        <v>197</v>
      </c>
      <c r="BU349" s="253"/>
      <c r="BV349" s="161" t="n">
        <v>1</v>
      </c>
      <c r="BW349" s="247" t="s">
        <v>1209</v>
      </c>
      <c r="BX349" s="0"/>
    </row>
    <row r="350" customFormat="false" ht="12.75" hidden="false" customHeight="false" outlineLevel="0" collapsed="false">
      <c r="A350" s="286"/>
      <c r="B350" s="287" t="e">
        <f aca="false">NextMonth(B349)</f>
        <v>#VALUE!</v>
      </c>
      <c r="C350" s="239" t="n">
        <v>0.065424407734038</v>
      </c>
      <c r="D350" s="239" t="n">
        <v>1.15</v>
      </c>
      <c r="E350" s="239" t="n">
        <v>1.15</v>
      </c>
      <c r="I350" s="262"/>
      <c r="K350" s="294"/>
      <c r="L350" s="239" t="n">
        <v>0.1925</v>
      </c>
      <c r="M350" s="239" t="n">
        <v>0.31</v>
      </c>
      <c r="R350" s="289" t="e">
        <f aca="false">EOMONTH(R349,0)+1</f>
        <v>#VALUE!</v>
      </c>
      <c r="BP350" s="249" t="n">
        <f aca="false">BP349+BV350</f>
        <v>349</v>
      </c>
      <c r="BQ350" s="250" t="s">
        <v>745</v>
      </c>
      <c r="BR350" s="247" t="s">
        <v>195</v>
      </c>
      <c r="BS350" s="161" t="s">
        <v>196</v>
      </c>
      <c r="BT350" s="253" t="s">
        <v>197</v>
      </c>
      <c r="BU350" s="253"/>
      <c r="BV350" s="161" t="n">
        <v>1</v>
      </c>
      <c r="BW350" s="247" t="s">
        <v>1210</v>
      </c>
      <c r="BX350" s="0"/>
    </row>
    <row r="351" customFormat="false" ht="12.75" hidden="false" customHeight="false" outlineLevel="0" collapsed="false">
      <c r="A351" s="286"/>
      <c r="B351" s="287" t="e">
        <f aca="false">NextMonth(B350)</f>
        <v>#VALUE!</v>
      </c>
      <c r="C351" s="239" t="n">
        <v>0.065418502155868</v>
      </c>
      <c r="D351" s="239" t="n">
        <v>1</v>
      </c>
      <c r="I351" s="262"/>
      <c r="K351" s="294"/>
      <c r="L351" s="239" t="n">
        <v>0.1925</v>
      </c>
      <c r="M351" s="239" t="n">
        <v>0.3</v>
      </c>
      <c r="R351" s="289" t="e">
        <f aca="false">EOMONTH(R350,0)+1</f>
        <v>#VALUE!</v>
      </c>
      <c r="BP351" s="249" t="n">
        <f aca="false">BP350+BV351</f>
        <v>350</v>
      </c>
      <c r="BQ351" s="250" t="s">
        <v>749</v>
      </c>
      <c r="BR351" s="247" t="s">
        <v>195</v>
      </c>
      <c r="BS351" s="161" t="s">
        <v>196</v>
      </c>
      <c r="BT351" s="253" t="s">
        <v>197</v>
      </c>
      <c r="BU351" s="253"/>
      <c r="BV351" s="161" t="n">
        <v>1</v>
      </c>
      <c r="BW351" s="247" t="s">
        <v>1211</v>
      </c>
      <c r="BX351" s="0"/>
    </row>
    <row r="352" customFormat="false" ht="12.75" hidden="false" customHeight="false" outlineLevel="0" collapsed="false">
      <c r="A352" s="286"/>
      <c r="B352" s="287" t="e">
        <f aca="false">NextMonth(B351)</f>
        <v>#VALUE!</v>
      </c>
      <c r="C352" s="239" t="n">
        <v>0.06541278708023</v>
      </c>
      <c r="D352" s="239" t="n">
        <v>1.05</v>
      </c>
      <c r="I352" s="262"/>
      <c r="K352" s="294"/>
      <c r="L352" s="239" t="n">
        <v>0.1975</v>
      </c>
      <c r="M352" s="239" t="n">
        <v>0.37253</v>
      </c>
      <c r="R352" s="289" t="e">
        <f aca="false">EOMONTH(R351,0)+1</f>
        <v>#VALUE!</v>
      </c>
      <c r="BP352" s="249" t="n">
        <f aca="false">BP351+BV352</f>
        <v>351</v>
      </c>
      <c r="BQ352" s="250" t="s">
        <v>753</v>
      </c>
      <c r="BR352" s="247" t="s">
        <v>195</v>
      </c>
      <c r="BS352" s="161" t="s">
        <v>196</v>
      </c>
      <c r="BT352" s="253" t="s">
        <v>197</v>
      </c>
      <c r="BU352" s="253"/>
      <c r="BV352" s="161" t="n">
        <v>1</v>
      </c>
      <c r="BW352" s="247" t="s">
        <v>1212</v>
      </c>
      <c r="BX352" s="0"/>
    </row>
    <row r="353" customFormat="false" ht="12.75" hidden="false" customHeight="false" outlineLevel="0" collapsed="false">
      <c r="A353" s="286"/>
      <c r="B353" s="287" t="e">
        <f aca="false">NextMonth(B352)</f>
        <v>#VALUE!</v>
      </c>
      <c r="C353" s="239" t="n">
        <v>0.065406881502084</v>
      </c>
      <c r="D353" s="239" t="n">
        <v>1</v>
      </c>
      <c r="I353" s="262"/>
      <c r="K353" s="294"/>
      <c r="L353" s="239" t="n">
        <v>0.2725</v>
      </c>
      <c r="M353" s="239" t="n">
        <v>0.66</v>
      </c>
      <c r="R353" s="289" t="e">
        <f aca="false">EOMONTH(R352,0)+1</f>
        <v>#VALUE!</v>
      </c>
      <c r="BP353" s="249" t="n">
        <f aca="false">BP352+BV353</f>
        <v>352</v>
      </c>
      <c r="BQ353" s="250" t="s">
        <v>757</v>
      </c>
      <c r="BR353" s="247" t="s">
        <v>195</v>
      </c>
      <c r="BS353" s="161" t="s">
        <v>196</v>
      </c>
      <c r="BT353" s="253" t="s">
        <v>197</v>
      </c>
      <c r="BU353" s="253"/>
      <c r="BV353" s="161" t="n">
        <v>1</v>
      </c>
      <c r="BW353" s="247" t="s">
        <v>1213</v>
      </c>
      <c r="BX353" s="0"/>
    </row>
    <row r="354" customFormat="false" ht="12.75" hidden="false" customHeight="false" outlineLevel="0" collapsed="false">
      <c r="A354" s="286"/>
      <c r="B354" s="287" t="e">
        <f aca="false">NextMonth(B353)</f>
        <v>#VALUE!</v>
      </c>
      <c r="C354" s="239" t="n">
        <v>0.065400975923949</v>
      </c>
      <c r="I354" s="262"/>
      <c r="K354" s="294"/>
      <c r="L354" s="239" t="n">
        <v>0.3075</v>
      </c>
      <c r="M354" s="239" t="n">
        <v>1.03</v>
      </c>
      <c r="R354" s="289" t="e">
        <f aca="false">EOMONTH(R353,0)+1</f>
        <v>#VALUE!</v>
      </c>
      <c r="BP354" s="249" t="n">
        <f aca="false">BP353+BV354</f>
        <v>353</v>
      </c>
      <c r="BQ354" s="250" t="s">
        <v>761</v>
      </c>
      <c r="BR354" s="247" t="s">
        <v>195</v>
      </c>
      <c r="BS354" s="161" t="s">
        <v>196</v>
      </c>
      <c r="BT354" s="253" t="s">
        <v>197</v>
      </c>
      <c r="BU354" s="253"/>
      <c r="BV354" s="161" t="n">
        <v>1</v>
      </c>
      <c r="BW354" s="247" t="s">
        <v>1214</v>
      </c>
      <c r="BX354" s="0"/>
    </row>
    <row r="355" customFormat="false" ht="12.75" hidden="false" customHeight="false" outlineLevel="0" collapsed="false">
      <c r="A355" s="286"/>
      <c r="B355" s="287" t="e">
        <f aca="false">NextMonth(B354)</f>
        <v>#VALUE!</v>
      </c>
      <c r="C355" s="239" t="n">
        <v>0.065395641853385</v>
      </c>
      <c r="I355" s="262"/>
      <c r="K355" s="294"/>
      <c r="L355" s="239" t="n">
        <v>0.3125</v>
      </c>
      <c r="M355" s="239" t="n">
        <v>1.25</v>
      </c>
      <c r="R355" s="289" t="e">
        <f aca="false">EOMONTH(R354,0)+1</f>
        <v>#VALUE!</v>
      </c>
      <c r="BP355" s="249" t="n">
        <f aca="false">BP354+BV355</f>
        <v>354</v>
      </c>
      <c r="BQ355" s="250" t="s">
        <v>765</v>
      </c>
      <c r="BR355" s="247" t="s">
        <v>195</v>
      </c>
      <c r="BS355" s="161" t="s">
        <v>196</v>
      </c>
      <c r="BT355" s="253" t="s">
        <v>197</v>
      </c>
      <c r="BU355" s="253"/>
      <c r="BV355" s="161" t="n">
        <v>1</v>
      </c>
      <c r="BW355" s="247" t="s">
        <v>1215</v>
      </c>
      <c r="BX355" s="0"/>
    </row>
    <row r="356" customFormat="false" ht="12.75" hidden="false" customHeight="false" outlineLevel="0" collapsed="false">
      <c r="A356" s="286"/>
      <c r="B356" s="287" t="e">
        <f aca="false">NextMonth(B355)</f>
        <v>#VALUE!</v>
      </c>
      <c r="C356" s="239" t="n">
        <v>0.065389736275271</v>
      </c>
      <c r="I356" s="262"/>
      <c r="L356" s="239" t="n">
        <v>0.3125</v>
      </c>
      <c r="M356" s="239" t="n">
        <v>1.25</v>
      </c>
      <c r="R356" s="289" t="e">
        <f aca="false">EOMONTH(R355,0)+1</f>
        <v>#VALUE!</v>
      </c>
      <c r="BP356" s="249" t="n">
        <f aca="false">BP355+BV356</f>
        <v>355</v>
      </c>
      <c r="BQ356" s="250" t="s">
        <v>769</v>
      </c>
      <c r="BR356" s="247" t="s">
        <v>195</v>
      </c>
      <c r="BS356" s="161" t="s">
        <v>196</v>
      </c>
      <c r="BT356" s="253" t="s">
        <v>197</v>
      </c>
      <c r="BU356" s="253"/>
      <c r="BV356" s="161" t="n">
        <v>1</v>
      </c>
      <c r="BW356" s="247" t="s">
        <v>1216</v>
      </c>
      <c r="BX356" s="0"/>
    </row>
    <row r="357" customFormat="false" ht="12.75" hidden="false" customHeight="false" outlineLevel="0" collapsed="false">
      <c r="A357" s="286"/>
      <c r="B357" s="287" t="e">
        <f aca="false">NextMonth(B356)</f>
        <v>#VALUE!</v>
      </c>
      <c r="C357" s="239" t="n">
        <v>0.065384021199689</v>
      </c>
      <c r="I357" s="262"/>
      <c r="L357" s="239" t="n">
        <v>0.27</v>
      </c>
      <c r="M357" s="239" t="n">
        <v>0.905</v>
      </c>
      <c r="R357" s="289" t="e">
        <f aca="false">EOMONTH(R356,0)+1</f>
        <v>#VALUE!</v>
      </c>
      <c r="BP357" s="249" t="n">
        <f aca="false">BP356+BV357</f>
        <v>356</v>
      </c>
      <c r="BQ357" s="250" t="s">
        <v>773</v>
      </c>
      <c r="BR357" s="247" t="s">
        <v>195</v>
      </c>
      <c r="BS357" s="161" t="s">
        <v>196</v>
      </c>
      <c r="BT357" s="253" t="s">
        <v>197</v>
      </c>
      <c r="BU357" s="253"/>
      <c r="BV357" s="161" t="n">
        <v>1</v>
      </c>
      <c r="BW357" s="247" t="s">
        <v>1217</v>
      </c>
      <c r="BX357" s="0"/>
    </row>
    <row r="358" customFormat="false" ht="12.75" hidden="false" customHeight="false" outlineLevel="0" collapsed="false">
      <c r="A358" s="286"/>
      <c r="B358" s="287" t="e">
        <f aca="false">NextMonth(B357)</f>
        <v>#VALUE!</v>
      </c>
      <c r="C358" s="239" t="n">
        <v>0.065378115621598</v>
      </c>
      <c r="I358" s="262"/>
      <c r="L358" s="239" t="n">
        <v>0.205</v>
      </c>
      <c r="M358" s="239" t="n">
        <v>0.365</v>
      </c>
      <c r="R358" s="289" t="e">
        <f aca="false">EOMONTH(R357,0)+1</f>
        <v>#VALUE!</v>
      </c>
      <c r="BP358" s="249" t="n">
        <f aca="false">BP357+BV358</f>
        <v>357</v>
      </c>
      <c r="BQ358" s="250" t="s">
        <v>777</v>
      </c>
      <c r="BR358" s="247" t="s">
        <v>195</v>
      </c>
      <c r="BS358" s="161" t="s">
        <v>196</v>
      </c>
      <c r="BT358" s="253" t="s">
        <v>197</v>
      </c>
      <c r="BU358" s="253"/>
      <c r="BV358" s="161" t="n">
        <v>1</v>
      </c>
      <c r="BW358" s="247" t="s">
        <v>1218</v>
      </c>
      <c r="BX358" s="0"/>
    </row>
    <row r="359" customFormat="false" ht="12.75" hidden="false" customHeight="false" outlineLevel="0" collapsed="false">
      <c r="A359" s="286"/>
      <c r="B359" s="287" t="e">
        <f aca="false">NextMonth(B358)</f>
        <v>#VALUE!</v>
      </c>
      <c r="C359" s="239" t="n">
        <v>0.065372400546037</v>
      </c>
      <c r="I359" s="262"/>
      <c r="L359" s="239" t="n">
        <v>0.1925</v>
      </c>
      <c r="M359" s="239" t="n">
        <v>0.2975</v>
      </c>
      <c r="R359" s="289" t="e">
        <f aca="false">EOMONTH(R358,0)+1</f>
        <v>#VALUE!</v>
      </c>
      <c r="BP359" s="249" t="n">
        <f aca="false">BP358+BV359</f>
        <v>358</v>
      </c>
      <c r="BQ359" s="250" t="s">
        <v>781</v>
      </c>
      <c r="BR359" s="247" t="s">
        <v>195</v>
      </c>
      <c r="BS359" s="161" t="s">
        <v>196</v>
      </c>
      <c r="BT359" s="253" t="s">
        <v>197</v>
      </c>
      <c r="BU359" s="253"/>
      <c r="BV359" s="161" t="n">
        <v>1</v>
      </c>
      <c r="BW359" s="247" t="s">
        <v>1219</v>
      </c>
      <c r="BX359" s="0"/>
    </row>
    <row r="360" customFormat="false" ht="12.75" hidden="false" customHeight="false" outlineLevel="0" collapsed="false">
      <c r="A360" s="286"/>
      <c r="B360" s="287" t="e">
        <f aca="false">NextMonth(B359)</f>
        <v>#VALUE!</v>
      </c>
      <c r="C360" s="239" t="n">
        <v>0.065366494967969</v>
      </c>
      <c r="I360" s="262"/>
      <c r="L360" s="239" t="n">
        <v>0.1925</v>
      </c>
      <c r="M360" s="239" t="n">
        <v>0.2975</v>
      </c>
      <c r="R360" s="289" t="e">
        <f aca="false">EOMONTH(R359,0)+1</f>
        <v>#VALUE!</v>
      </c>
      <c r="BP360" s="249" t="n">
        <f aca="false">BP359+BV360</f>
        <v>359</v>
      </c>
      <c r="BQ360" s="250" t="s">
        <v>1220</v>
      </c>
      <c r="BR360" s="247" t="s">
        <v>195</v>
      </c>
      <c r="BS360" s="161" t="s">
        <v>196</v>
      </c>
      <c r="BT360" s="253" t="s">
        <v>197</v>
      </c>
      <c r="BU360" s="253"/>
      <c r="BV360" s="161" t="n">
        <v>1</v>
      </c>
      <c r="BW360" s="247" t="s">
        <v>1221</v>
      </c>
      <c r="BX360" s="0"/>
    </row>
    <row r="361" customFormat="false" ht="12.75" hidden="false" customHeight="false" outlineLevel="0" collapsed="false">
      <c r="A361" s="286"/>
      <c r="B361" s="287" t="e">
        <f aca="false">NextMonth(B360)</f>
        <v>#VALUE!</v>
      </c>
      <c r="C361" s="239" t="n">
        <v>0.065360589389913</v>
      </c>
      <c r="I361" s="262"/>
      <c r="L361" s="239" t="n">
        <v>0.1925</v>
      </c>
      <c r="M361" s="239" t="n">
        <v>0.31</v>
      </c>
      <c r="R361" s="289" t="e">
        <f aca="false">EOMONTH(R360,0)+1</f>
        <v>#VALUE!</v>
      </c>
      <c r="BP361" s="249" t="n">
        <f aca="false">BP360+BV361</f>
        <v>360</v>
      </c>
      <c r="BQ361" s="250" t="s">
        <v>793</v>
      </c>
      <c r="BR361" s="247" t="s">
        <v>195</v>
      </c>
      <c r="BS361" s="161" t="s">
        <v>196</v>
      </c>
      <c r="BT361" s="253" t="s">
        <v>197</v>
      </c>
      <c r="BU361" s="253"/>
      <c r="BV361" s="161" t="n">
        <v>1</v>
      </c>
      <c r="BW361" s="247" t="s">
        <v>1222</v>
      </c>
      <c r="BX361" s="0"/>
    </row>
    <row r="362" customFormat="false" ht="12.75" hidden="false" customHeight="false" outlineLevel="0" collapsed="false">
      <c r="A362" s="286"/>
      <c r="B362" s="287" t="e">
        <f aca="false">NextMonth(B361)</f>
        <v>#VALUE!</v>
      </c>
      <c r="C362" s="239" t="n">
        <v>0.065354874314385</v>
      </c>
      <c r="I362" s="262"/>
      <c r="L362" s="239" t="n">
        <v>0.1925</v>
      </c>
      <c r="M362" s="239" t="n">
        <v>0.31</v>
      </c>
      <c r="R362" s="289" t="e">
        <f aca="false">EOMONTH(R361,0)+1</f>
        <v>#VALUE!</v>
      </c>
      <c r="BP362" s="249" t="n">
        <f aca="false">BP361+BV362</f>
        <v>361</v>
      </c>
      <c r="BQ362" s="250" t="s">
        <v>797</v>
      </c>
      <c r="BR362" s="247" t="s">
        <v>195</v>
      </c>
      <c r="BS362" s="161" t="s">
        <v>196</v>
      </c>
      <c r="BT362" s="253" t="s">
        <v>197</v>
      </c>
      <c r="BU362" s="253"/>
      <c r="BV362" s="161" t="n">
        <v>1</v>
      </c>
      <c r="BW362" s="247" t="s">
        <v>1223</v>
      </c>
      <c r="BX362" s="0"/>
    </row>
    <row r="363" customFormat="false" ht="12.75" hidden="false" customHeight="false" outlineLevel="0" collapsed="false">
      <c r="A363" s="286"/>
      <c r="B363" s="287" t="e">
        <f aca="false">NextMonth(B362)</f>
        <v>#VALUE!</v>
      </c>
      <c r="C363" s="239" t="n">
        <v>0.065348968736352</v>
      </c>
      <c r="I363" s="262"/>
      <c r="L363" s="239" t="n">
        <v>0.1925</v>
      </c>
      <c r="M363" s="239" t="n">
        <v>0.3</v>
      </c>
      <c r="R363" s="289" t="e">
        <f aca="false">EOMONTH(R362,0)+1</f>
        <v>#VALUE!</v>
      </c>
      <c r="BP363" s="249" t="n">
        <f aca="false">BP362+BV363</f>
        <v>362</v>
      </c>
      <c r="BQ363" s="250" t="s">
        <v>801</v>
      </c>
      <c r="BR363" s="247" t="s">
        <v>195</v>
      </c>
      <c r="BS363" s="161" t="s">
        <v>196</v>
      </c>
      <c r="BT363" s="253" t="s">
        <v>197</v>
      </c>
      <c r="BU363" s="253"/>
      <c r="BV363" s="161" t="n">
        <v>1</v>
      </c>
      <c r="BW363" s="247" t="s">
        <v>1224</v>
      </c>
      <c r="BX363" s="0"/>
    </row>
    <row r="364" customFormat="false" ht="12.75" hidden="false" customHeight="false" outlineLevel="0" collapsed="false">
      <c r="A364" s="286"/>
      <c r="B364" s="287" t="e">
        <f aca="false">NextMonth(B363)</f>
        <v>#VALUE!</v>
      </c>
      <c r="C364" s="239" t="n">
        <v>0.065343253660846</v>
      </c>
      <c r="I364" s="262"/>
      <c r="L364" s="239" t="n">
        <v>0.1975</v>
      </c>
      <c r="M364" s="239" t="n">
        <v>0.37253</v>
      </c>
      <c r="R364" s="289" t="e">
        <f aca="false">EOMONTH(R363,0)+1</f>
        <v>#VALUE!</v>
      </c>
      <c r="BP364" s="249" t="n">
        <f aca="false">BP363+BV364</f>
        <v>363</v>
      </c>
      <c r="BQ364" s="250" t="s">
        <v>805</v>
      </c>
      <c r="BR364" s="247" t="s">
        <v>195</v>
      </c>
      <c r="BS364" s="161" t="s">
        <v>196</v>
      </c>
      <c r="BT364" s="253" t="s">
        <v>197</v>
      </c>
      <c r="BU364" s="253"/>
      <c r="BV364" s="161" t="n">
        <v>1</v>
      </c>
      <c r="BW364" s="247" t="s">
        <v>1225</v>
      </c>
      <c r="BX364" s="0"/>
    </row>
    <row r="365" customFormat="false" ht="12.75" hidden="false" customHeight="false" outlineLevel="0" collapsed="false">
      <c r="A365" s="286"/>
      <c r="B365" s="287" t="e">
        <f aca="false">NextMonth(B364)</f>
        <v>#VALUE!</v>
      </c>
      <c r="C365" s="239" t="n">
        <v>0.065337348082835</v>
      </c>
      <c r="I365" s="262"/>
      <c r="L365" s="239" t="n">
        <v>0.2725</v>
      </c>
      <c r="M365" s="239" t="n">
        <v>0.66</v>
      </c>
      <c r="R365" s="289" t="e">
        <f aca="false">EOMONTH(R364,0)+1</f>
        <v>#VALUE!</v>
      </c>
      <c r="BP365" s="249" t="n">
        <f aca="false">BP364+BV365</f>
        <v>364</v>
      </c>
      <c r="BQ365" s="250" t="s">
        <v>809</v>
      </c>
      <c r="BR365" s="247" t="s">
        <v>195</v>
      </c>
      <c r="BS365" s="161" t="s">
        <v>196</v>
      </c>
      <c r="BT365" s="253" t="s">
        <v>197</v>
      </c>
      <c r="BU365" s="253"/>
      <c r="BV365" s="161" t="n">
        <v>1</v>
      </c>
      <c r="BW365" s="247" t="s">
        <v>1226</v>
      </c>
      <c r="BX365" s="0"/>
    </row>
    <row r="366" customFormat="false" ht="12.75" hidden="false" customHeight="false" outlineLevel="0" collapsed="false">
      <c r="A366" s="286"/>
      <c r="B366" s="287" t="e">
        <f aca="false">NextMonth(B365)</f>
        <v>#VALUE!</v>
      </c>
      <c r="C366" s="239" t="n">
        <v>0.065331442504836</v>
      </c>
      <c r="I366" s="262"/>
      <c r="L366" s="239" t="n">
        <v>0.3075</v>
      </c>
      <c r="M366" s="239" t="n">
        <v>1.03</v>
      </c>
      <c r="R366" s="289" t="e">
        <f aca="false">EOMONTH(R365,0)+1</f>
        <v>#VALUE!</v>
      </c>
      <c r="BP366" s="249" t="n">
        <f aca="false">BP365+BV366</f>
        <v>365</v>
      </c>
      <c r="BQ366" s="250" t="s">
        <v>813</v>
      </c>
      <c r="BR366" s="247" t="s">
        <v>195</v>
      </c>
      <c r="BS366" s="161" t="s">
        <v>196</v>
      </c>
      <c r="BT366" s="253" t="s">
        <v>197</v>
      </c>
      <c r="BU366" s="253"/>
      <c r="BV366" s="161" t="n">
        <v>1</v>
      </c>
      <c r="BW366" s="247" t="s">
        <v>1227</v>
      </c>
      <c r="BX366" s="0"/>
    </row>
    <row r="367" customFormat="false" ht="12.75" hidden="false" customHeight="false" outlineLevel="0" collapsed="false">
      <c r="A367" s="286"/>
      <c r="B367" s="287" t="e">
        <f aca="false">NextMonth(B366)</f>
        <v>#VALUE!</v>
      </c>
      <c r="C367" s="239" t="n">
        <v>0.065326108434395</v>
      </c>
      <c r="I367" s="262"/>
      <c r="L367" s="239" t="n">
        <v>0</v>
      </c>
      <c r="M367" s="239" t="n">
        <v>0</v>
      </c>
      <c r="R367" s="289" t="e">
        <f aca="false">EOMONTH(R366,0)+1</f>
        <v>#VALUE!</v>
      </c>
      <c r="BP367" s="249" t="n">
        <f aca="false">BP366+BV367</f>
        <v>366</v>
      </c>
      <c r="BQ367" s="250" t="s">
        <v>817</v>
      </c>
      <c r="BR367" s="247" t="s">
        <v>195</v>
      </c>
      <c r="BS367" s="161" t="s">
        <v>196</v>
      </c>
      <c r="BT367" s="253" t="s">
        <v>197</v>
      </c>
      <c r="BU367" s="253"/>
      <c r="BV367" s="161" t="n">
        <v>1</v>
      </c>
      <c r="BW367" s="247" t="s">
        <v>1228</v>
      </c>
      <c r="BX367" s="0"/>
    </row>
    <row r="368" customFormat="false" ht="12.75" hidden="false" customHeight="false" outlineLevel="0" collapsed="false">
      <c r="A368" s="286"/>
      <c r="B368" s="287" t="e">
        <f aca="false">NextMonth(B367)</f>
        <v>#VALUE!</v>
      </c>
      <c r="C368" s="239" t="n">
        <v>0.065320202856417</v>
      </c>
      <c r="I368" s="262"/>
      <c r="L368" s="239" t="n">
        <v>0</v>
      </c>
      <c r="M368" s="239" t="n">
        <v>0</v>
      </c>
      <c r="R368" s="289" t="e">
        <f aca="false">EOMONTH(R367,0)+1</f>
        <v>#VALUE!</v>
      </c>
      <c r="BP368" s="249" t="n">
        <f aca="false">BP367+BV368</f>
        <v>367</v>
      </c>
      <c r="BQ368" s="250" t="s">
        <v>821</v>
      </c>
      <c r="BR368" s="247" t="s">
        <v>195</v>
      </c>
      <c r="BS368" s="161" t="s">
        <v>196</v>
      </c>
      <c r="BT368" s="253" t="s">
        <v>197</v>
      </c>
      <c r="BU368" s="253"/>
      <c r="BV368" s="161" t="n">
        <v>1</v>
      </c>
      <c r="BW368" s="247" t="s">
        <v>1229</v>
      </c>
      <c r="BX368" s="0"/>
    </row>
    <row r="369" customFormat="false" ht="12.75" hidden="false" customHeight="false" outlineLevel="0" collapsed="false">
      <c r="A369" s="286"/>
      <c r="B369" s="287" t="e">
        <f aca="false">NextMonth(B368)</f>
        <v>#VALUE!</v>
      </c>
      <c r="C369" s="239" t="n">
        <v>0.065314487780966</v>
      </c>
      <c r="I369" s="262"/>
      <c r="L369" s="239" t="n">
        <v>0</v>
      </c>
      <c r="M369" s="239" t="n">
        <v>0</v>
      </c>
      <c r="R369" s="289" t="e">
        <f aca="false">EOMONTH(R368,0)+1</f>
        <v>#VALUE!</v>
      </c>
      <c r="BP369" s="249" t="n">
        <f aca="false">BP368+BV369</f>
        <v>368</v>
      </c>
      <c r="BQ369" s="250" t="s">
        <v>825</v>
      </c>
      <c r="BR369" s="247" t="s">
        <v>195</v>
      </c>
      <c r="BS369" s="161" t="s">
        <v>196</v>
      </c>
      <c r="BT369" s="253" t="s">
        <v>197</v>
      </c>
      <c r="BU369" s="253"/>
      <c r="BV369" s="161" t="n">
        <v>1</v>
      </c>
      <c r="BW369" s="247" t="s">
        <v>1230</v>
      </c>
      <c r="BX369" s="0"/>
    </row>
    <row r="370" customFormat="false" ht="12.75" hidden="false" customHeight="false" outlineLevel="0" collapsed="false">
      <c r="A370" s="286"/>
      <c r="B370" s="287" t="e">
        <f aca="false">NextMonth(B369)</f>
        <v>#VALUE!</v>
      </c>
      <c r="C370" s="239" t="n">
        <v>0.065308582203012</v>
      </c>
      <c r="I370" s="262"/>
      <c r="L370" s="239" t="n">
        <v>0</v>
      </c>
      <c r="M370" s="239" t="n">
        <v>0</v>
      </c>
      <c r="R370" s="289" t="e">
        <f aca="false">EOMONTH(R369,0)+1</f>
        <v>#VALUE!</v>
      </c>
      <c r="BP370" s="249" t="n">
        <f aca="false">BP369+BV370</f>
        <v>369</v>
      </c>
      <c r="BQ370" s="250" t="s">
        <v>829</v>
      </c>
      <c r="BR370" s="247" t="s">
        <v>195</v>
      </c>
      <c r="BS370" s="161" t="s">
        <v>196</v>
      </c>
      <c r="BT370" s="253" t="s">
        <v>197</v>
      </c>
      <c r="BU370" s="253"/>
      <c r="BV370" s="161" t="n">
        <v>1</v>
      </c>
      <c r="BW370" s="247" t="s">
        <v>1231</v>
      </c>
      <c r="BX370" s="0"/>
    </row>
    <row r="371" customFormat="false" ht="12.75" hidden="false" customHeight="false" outlineLevel="0" collapsed="false">
      <c r="A371" s="286"/>
      <c r="B371" s="287" t="e">
        <f aca="false">NextMonth(B370)</f>
        <v>#VALUE!</v>
      </c>
      <c r="C371" s="239" t="n">
        <v>0.065302867127583</v>
      </c>
      <c r="I371" s="262"/>
      <c r="L371" s="239" t="n">
        <v>0</v>
      </c>
      <c r="M371" s="239" t="n">
        <v>0</v>
      </c>
      <c r="R371" s="289" t="e">
        <f aca="false">EOMONTH(R370,0)+1</f>
        <v>#VALUE!</v>
      </c>
      <c r="BP371" s="249" t="n">
        <f aca="false">BP370+BV371</f>
        <v>370</v>
      </c>
      <c r="BQ371" s="250" t="s">
        <v>833</v>
      </c>
      <c r="BR371" s="247" t="s">
        <v>195</v>
      </c>
      <c r="BS371" s="161" t="s">
        <v>196</v>
      </c>
      <c r="BT371" s="253" t="s">
        <v>197</v>
      </c>
      <c r="BU371" s="253"/>
      <c r="BV371" s="161" t="n">
        <v>1</v>
      </c>
      <c r="BW371" s="247" t="s">
        <v>1232</v>
      </c>
      <c r="BX371" s="0"/>
    </row>
    <row r="372" customFormat="false" ht="12.75" hidden="false" customHeight="false" outlineLevel="0" collapsed="false">
      <c r="A372" s="286"/>
      <c r="B372" s="287" t="e">
        <f aca="false">NextMonth(B371)</f>
        <v>#VALUE!</v>
      </c>
      <c r="C372" s="239" t="n">
        <v>0.065296961549651</v>
      </c>
      <c r="I372" s="262"/>
      <c r="L372" s="239" t="n">
        <v>0</v>
      </c>
      <c r="M372" s="239" t="n">
        <v>0</v>
      </c>
      <c r="R372" s="289" t="e">
        <f aca="false">EOMONTH(R371,0)+1</f>
        <v>#VALUE!</v>
      </c>
      <c r="BP372" s="249" t="n">
        <f aca="false">BP371+BV372</f>
        <v>371</v>
      </c>
      <c r="BQ372" s="250" t="s">
        <v>837</v>
      </c>
      <c r="BR372" s="247" t="s">
        <v>195</v>
      </c>
      <c r="BS372" s="161" t="s">
        <v>196</v>
      </c>
      <c r="BT372" s="253" t="s">
        <v>197</v>
      </c>
      <c r="BU372" s="253"/>
      <c r="BV372" s="161" t="n">
        <v>1</v>
      </c>
      <c r="BW372" s="247" t="s">
        <v>1233</v>
      </c>
      <c r="BX372" s="0"/>
    </row>
    <row r="373" customFormat="false" ht="12.75" hidden="false" customHeight="false" outlineLevel="0" collapsed="false">
      <c r="A373" s="286"/>
      <c r="B373" s="287" t="e">
        <f aca="false">NextMonth(B372)</f>
        <v>#VALUE!</v>
      </c>
      <c r="C373" s="239" t="n">
        <v>0.065291055971731</v>
      </c>
      <c r="I373" s="262"/>
      <c r="L373" s="239" t="n">
        <v>0</v>
      </c>
      <c r="M373" s="239" t="n">
        <v>0</v>
      </c>
      <c r="R373" s="289" t="e">
        <f aca="false">EOMONTH(R372,0)+1</f>
        <v>#VALUE!</v>
      </c>
      <c r="BP373" s="249" t="n">
        <f aca="false">BP372+BV373</f>
        <v>372</v>
      </c>
      <c r="BQ373" s="250" t="s">
        <v>841</v>
      </c>
      <c r="BR373" s="247" t="s">
        <v>195</v>
      </c>
      <c r="BS373" s="161" t="s">
        <v>196</v>
      </c>
      <c r="BT373" s="253" t="s">
        <v>197</v>
      </c>
      <c r="BU373" s="253"/>
      <c r="BV373" s="161" t="n">
        <v>1</v>
      </c>
      <c r="BW373" s="247" t="s">
        <v>1234</v>
      </c>
      <c r="BX373" s="0"/>
    </row>
    <row r="374" customFormat="false" ht="12.75" hidden="false" customHeight="false" outlineLevel="0" collapsed="false">
      <c r="A374" s="286"/>
      <c r="B374" s="287" t="e">
        <f aca="false">NextMonth(B373)</f>
        <v>#VALUE!</v>
      </c>
      <c r="C374" s="239" t="n">
        <v>0.065285340896335</v>
      </c>
      <c r="I374" s="262"/>
      <c r="R374" s="289" t="e">
        <f aca="false">EOMONTH(R373,0)+1</f>
        <v>#VALUE!</v>
      </c>
      <c r="BP374" s="249" t="n">
        <f aca="false">BP373+BV374</f>
        <v>373</v>
      </c>
      <c r="BQ374" s="250" t="s">
        <v>845</v>
      </c>
      <c r="BR374" s="247" t="s">
        <v>195</v>
      </c>
      <c r="BS374" s="161" t="s">
        <v>196</v>
      </c>
      <c r="BT374" s="253" t="s">
        <v>197</v>
      </c>
      <c r="BU374" s="253"/>
      <c r="BV374" s="161" t="n">
        <v>1</v>
      </c>
      <c r="BW374" s="247" t="s">
        <v>1235</v>
      </c>
      <c r="BX374" s="0"/>
    </row>
    <row r="375" customFormat="false" ht="12.75" hidden="false" customHeight="false" outlineLevel="0" collapsed="false">
      <c r="A375" s="286"/>
      <c r="B375" s="287" t="e">
        <f aca="false">NextMonth(B374)</f>
        <v>#VALUE!</v>
      </c>
      <c r="C375" s="239" t="n">
        <v>0.065279435318437</v>
      </c>
      <c r="I375" s="262"/>
      <c r="R375" s="289" t="e">
        <f aca="false">EOMONTH(R374,0)+1</f>
        <v>#VALUE!</v>
      </c>
      <c r="BP375" s="249" t="n">
        <f aca="false">BP374+BV375</f>
        <v>374</v>
      </c>
      <c r="BQ375" s="250" t="s">
        <v>849</v>
      </c>
      <c r="BR375" s="247" t="s">
        <v>195</v>
      </c>
      <c r="BS375" s="161" t="s">
        <v>196</v>
      </c>
      <c r="BT375" s="253" t="s">
        <v>197</v>
      </c>
      <c r="BU375" s="253"/>
      <c r="BV375" s="161" t="n">
        <v>1</v>
      </c>
      <c r="BW375" s="247" t="s">
        <v>1236</v>
      </c>
      <c r="BX375" s="0"/>
    </row>
    <row r="376" customFormat="false" ht="12.75" hidden="false" customHeight="false" outlineLevel="0" collapsed="false">
      <c r="A376" s="286"/>
      <c r="B376" s="287" t="e">
        <f aca="false">NextMonth(B375)</f>
        <v>#VALUE!</v>
      </c>
      <c r="C376" s="239" t="n">
        <v>0.065273720243064</v>
      </c>
      <c r="I376" s="262"/>
      <c r="R376" s="289" t="e">
        <f aca="false">EOMONTH(R375,0)+1</f>
        <v>#VALUE!</v>
      </c>
      <c r="BP376" s="249" t="n">
        <f aca="false">BP375+BV376</f>
        <v>375</v>
      </c>
      <c r="BQ376" s="250" t="s">
        <v>853</v>
      </c>
      <c r="BR376" s="247" t="s">
        <v>195</v>
      </c>
      <c r="BS376" s="161" t="s">
        <v>196</v>
      </c>
      <c r="BT376" s="253" t="s">
        <v>197</v>
      </c>
      <c r="BU376" s="253"/>
      <c r="BV376" s="161" t="n">
        <v>1</v>
      </c>
      <c r="BW376" s="247" t="s">
        <v>1237</v>
      </c>
      <c r="BX376" s="0"/>
    </row>
    <row r="377" customFormat="false" ht="12.75" hidden="false" customHeight="false" outlineLevel="0" collapsed="false">
      <c r="A377" s="286"/>
      <c r="B377" s="287" t="e">
        <f aca="false">NextMonth(B376)</f>
        <v>#VALUE!</v>
      </c>
      <c r="C377" s="239" t="n">
        <v>0.074535399994689</v>
      </c>
      <c r="I377" s="262"/>
      <c r="R377" s="289" t="e">
        <f aca="false">EOMONTH(R376,0)+1</f>
        <v>#VALUE!</v>
      </c>
      <c r="BP377" s="249" t="n">
        <f aca="false">BP376+BV377</f>
        <v>376</v>
      </c>
      <c r="BQ377" s="250" t="s">
        <v>857</v>
      </c>
      <c r="BR377" s="247" t="s">
        <v>195</v>
      </c>
      <c r="BS377" s="161" t="s">
        <v>196</v>
      </c>
      <c r="BT377" s="253" t="s">
        <v>197</v>
      </c>
      <c r="BU377" s="253"/>
      <c r="BV377" s="161" t="n">
        <v>1</v>
      </c>
      <c r="BW377" s="247" t="s">
        <v>1238</v>
      </c>
      <c r="BX377" s="0"/>
    </row>
    <row r="378" customFormat="false" ht="12.75" hidden="false" customHeight="false" outlineLevel="0" collapsed="false">
      <c r="I378" s="262"/>
      <c r="R378" s="289" t="e">
        <f aca="false">EOMONTH(R377,0)+1</f>
        <v>#VALUE!</v>
      </c>
      <c r="BP378" s="249" t="n">
        <f aca="false">BP377+BV378</f>
        <v>377</v>
      </c>
      <c r="BQ378" s="250" t="s">
        <v>861</v>
      </c>
      <c r="BR378" s="247" t="s">
        <v>195</v>
      </c>
      <c r="BS378" s="161" t="s">
        <v>196</v>
      </c>
      <c r="BT378" s="253" t="s">
        <v>197</v>
      </c>
      <c r="BU378" s="253"/>
      <c r="BV378" s="161" t="n">
        <v>1</v>
      </c>
      <c r="BW378" s="247" t="s">
        <v>1239</v>
      </c>
      <c r="BX378" s="0"/>
    </row>
    <row r="379" customFormat="false" ht="12.75" hidden="false" customHeight="false" outlineLevel="0" collapsed="false">
      <c r="I379" s="262"/>
      <c r="R379" s="289" t="e">
        <f aca="false">EOMONTH(R378,0)+1</f>
        <v>#VALUE!</v>
      </c>
      <c r="BP379" s="249" t="n">
        <f aca="false">BP378+BV379</f>
        <v>378</v>
      </c>
      <c r="BQ379" s="250" t="s">
        <v>865</v>
      </c>
      <c r="BR379" s="247" t="s">
        <v>195</v>
      </c>
      <c r="BS379" s="161" t="s">
        <v>196</v>
      </c>
      <c r="BT379" s="253" t="s">
        <v>197</v>
      </c>
      <c r="BU379" s="253"/>
      <c r="BV379" s="161" t="n">
        <v>1</v>
      </c>
      <c r="BW379" s="247" t="s">
        <v>1240</v>
      </c>
      <c r="BX379" s="0"/>
    </row>
    <row r="380" customFormat="false" ht="12.75" hidden="false" customHeight="false" outlineLevel="0" collapsed="false">
      <c r="I380" s="262"/>
      <c r="R380" s="289" t="e">
        <f aca="false">EOMONTH(R379,0)+1</f>
        <v>#VALUE!</v>
      </c>
      <c r="BP380" s="249" t="n">
        <f aca="false">BP379+BV380</f>
        <v>379</v>
      </c>
      <c r="BQ380" s="250" t="s">
        <v>869</v>
      </c>
      <c r="BR380" s="247" t="s">
        <v>195</v>
      </c>
      <c r="BS380" s="161" t="s">
        <v>196</v>
      </c>
      <c r="BT380" s="253" t="s">
        <v>197</v>
      </c>
      <c r="BU380" s="253"/>
      <c r="BV380" s="161" t="n">
        <v>1</v>
      </c>
      <c r="BW380" s="247" t="s">
        <v>1241</v>
      </c>
      <c r="BX380" s="0"/>
    </row>
    <row r="381" customFormat="false" ht="12.75" hidden="false" customHeight="false" outlineLevel="0" collapsed="false">
      <c r="I381" s="262"/>
      <c r="R381" s="289" t="e">
        <f aca="false">EOMONTH(R380,0)+1</f>
        <v>#VALUE!</v>
      </c>
      <c r="BP381" s="249" t="n">
        <f aca="false">BP380+BV381</f>
        <v>380</v>
      </c>
      <c r="BQ381" s="250" t="s">
        <v>885</v>
      </c>
      <c r="BR381" s="247" t="s">
        <v>195</v>
      </c>
      <c r="BS381" s="161" t="s">
        <v>196</v>
      </c>
      <c r="BT381" s="253" t="s">
        <v>197</v>
      </c>
      <c r="BU381" s="253"/>
      <c r="BV381" s="161" t="n">
        <v>1</v>
      </c>
      <c r="BW381" s="247" t="s">
        <v>1242</v>
      </c>
      <c r="BX381" s="0"/>
    </row>
    <row r="382" customFormat="false" ht="12.75" hidden="false" customHeight="false" outlineLevel="0" collapsed="false">
      <c r="I382" s="262"/>
      <c r="R382" s="289" t="e">
        <f aca="false">EOMONTH(R381,0)+1</f>
        <v>#VALUE!</v>
      </c>
      <c r="BP382" s="249" t="n">
        <f aca="false">BP381+BV382</f>
        <v>381</v>
      </c>
      <c r="BQ382" s="250" t="s">
        <v>889</v>
      </c>
      <c r="BR382" s="247" t="s">
        <v>195</v>
      </c>
      <c r="BS382" s="161" t="s">
        <v>196</v>
      </c>
      <c r="BT382" s="253" t="s">
        <v>197</v>
      </c>
      <c r="BU382" s="253"/>
      <c r="BV382" s="161" t="n">
        <v>1</v>
      </c>
      <c r="BW382" s="247" t="s">
        <v>1243</v>
      </c>
      <c r="BX382" s="0"/>
    </row>
    <row r="383" customFormat="false" ht="12.75" hidden="false" customHeight="false" outlineLevel="0" collapsed="false">
      <c r="I383" s="262"/>
      <c r="R383" s="289" t="e">
        <f aca="false">EOMONTH(R382,0)+1</f>
        <v>#VALUE!</v>
      </c>
      <c r="BP383" s="249" t="n">
        <f aca="false">BP382+BV383</f>
        <v>382</v>
      </c>
      <c r="BQ383" s="250" t="s">
        <v>893</v>
      </c>
      <c r="BR383" s="247" t="s">
        <v>195</v>
      </c>
      <c r="BS383" s="161" t="s">
        <v>196</v>
      </c>
      <c r="BT383" s="253" t="s">
        <v>197</v>
      </c>
      <c r="BU383" s="253"/>
      <c r="BV383" s="161" t="n">
        <v>1</v>
      </c>
      <c r="BW383" s="247" t="s">
        <v>1244</v>
      </c>
      <c r="BX383" s="0"/>
    </row>
    <row r="384" customFormat="false" ht="12.75" hidden="false" customHeight="false" outlineLevel="0" collapsed="false">
      <c r="I384" s="262"/>
      <c r="R384" s="289" t="e">
        <f aca="false">EOMONTH(R383,0)+1</f>
        <v>#VALUE!</v>
      </c>
      <c r="BP384" s="249" t="n">
        <f aca="false">BP383+BV384</f>
        <v>383</v>
      </c>
      <c r="BQ384" s="250" t="s">
        <v>897</v>
      </c>
      <c r="BR384" s="247" t="s">
        <v>195</v>
      </c>
      <c r="BS384" s="161" t="s">
        <v>196</v>
      </c>
      <c r="BT384" s="253" t="s">
        <v>197</v>
      </c>
      <c r="BU384" s="253"/>
      <c r="BV384" s="161" t="n">
        <v>1</v>
      </c>
      <c r="BW384" s="247" t="s">
        <v>1245</v>
      </c>
      <c r="BX384" s="0"/>
    </row>
    <row r="385" customFormat="false" ht="12.75" hidden="false" customHeight="false" outlineLevel="0" collapsed="false">
      <c r="I385" s="262"/>
      <c r="R385" s="289" t="e">
        <f aca="false">EOMONTH(R384,0)+1</f>
        <v>#VALUE!</v>
      </c>
      <c r="BP385" s="249" t="n">
        <f aca="false">BP384+BV385</f>
        <v>384</v>
      </c>
      <c r="BQ385" s="250" t="s">
        <v>901</v>
      </c>
      <c r="BR385" s="247" t="s">
        <v>195</v>
      </c>
      <c r="BS385" s="161" t="s">
        <v>196</v>
      </c>
      <c r="BT385" s="253" t="s">
        <v>197</v>
      </c>
      <c r="BU385" s="253"/>
      <c r="BV385" s="161" t="n">
        <v>1</v>
      </c>
      <c r="BW385" s="247" t="s">
        <v>1246</v>
      </c>
      <c r="BX385" s="0"/>
    </row>
    <row r="386" customFormat="false" ht="12.75" hidden="false" customHeight="false" outlineLevel="0" collapsed="false">
      <c r="I386" s="262"/>
      <c r="R386" s="289" t="e">
        <f aca="false">EOMONTH(R385,0)+1</f>
        <v>#VALUE!</v>
      </c>
      <c r="BP386" s="249" t="n">
        <f aca="false">BP385+BV386</f>
        <v>385</v>
      </c>
      <c r="BQ386" s="250" t="s">
        <v>905</v>
      </c>
      <c r="BR386" s="247" t="s">
        <v>195</v>
      </c>
      <c r="BS386" s="161" t="s">
        <v>196</v>
      </c>
      <c r="BT386" s="253" t="s">
        <v>197</v>
      </c>
      <c r="BU386" s="253"/>
      <c r="BV386" s="161" t="n">
        <v>1</v>
      </c>
      <c r="BW386" s="247" t="s">
        <v>1247</v>
      </c>
      <c r="BX386" s="0"/>
    </row>
    <row r="387" customFormat="false" ht="12.75" hidden="false" customHeight="false" outlineLevel="0" collapsed="false">
      <c r="I387" s="262"/>
      <c r="R387" s="289" t="e">
        <f aca="false">EOMONTH(R386,0)+1</f>
        <v>#VALUE!</v>
      </c>
      <c r="BP387" s="249" t="n">
        <f aca="false">BP386+BV387</f>
        <v>386</v>
      </c>
      <c r="BQ387" s="250" t="s">
        <v>909</v>
      </c>
      <c r="BR387" s="247" t="s">
        <v>195</v>
      </c>
      <c r="BS387" s="161" t="s">
        <v>196</v>
      </c>
      <c r="BT387" s="253" t="s">
        <v>197</v>
      </c>
      <c r="BU387" s="253"/>
      <c r="BV387" s="161" t="n">
        <v>1</v>
      </c>
      <c r="BW387" s="247" t="s">
        <v>1248</v>
      </c>
      <c r="BX387" s="0"/>
    </row>
    <row r="388" customFormat="false" ht="12.75" hidden="false" customHeight="false" outlineLevel="0" collapsed="false">
      <c r="I388" s="262"/>
      <c r="R388" s="289" t="e">
        <f aca="false">EOMONTH(R387,0)+1</f>
        <v>#VALUE!</v>
      </c>
      <c r="BP388" s="249" t="n">
        <f aca="false">BP387+BV388</f>
        <v>387</v>
      </c>
      <c r="BQ388" s="250" t="s">
        <v>913</v>
      </c>
      <c r="BR388" s="247" t="s">
        <v>195</v>
      </c>
      <c r="BS388" s="161" t="s">
        <v>196</v>
      </c>
      <c r="BT388" s="253" t="s">
        <v>197</v>
      </c>
      <c r="BU388" s="253"/>
      <c r="BV388" s="161" t="n">
        <v>1</v>
      </c>
      <c r="BW388" s="247" t="s">
        <v>1249</v>
      </c>
      <c r="BX388" s="0"/>
    </row>
    <row r="389" customFormat="false" ht="12.75" hidden="false" customHeight="false" outlineLevel="0" collapsed="false">
      <c r="I389" s="262"/>
      <c r="R389" s="289" t="e">
        <f aca="false">EOMONTH(R388,0)+1</f>
        <v>#VALUE!</v>
      </c>
      <c r="BP389" s="249" t="n">
        <f aca="false">BP388+BV389</f>
        <v>388</v>
      </c>
      <c r="BQ389" s="250" t="s">
        <v>917</v>
      </c>
      <c r="BR389" s="247" t="s">
        <v>195</v>
      </c>
      <c r="BS389" s="161" t="s">
        <v>196</v>
      </c>
      <c r="BT389" s="253" t="s">
        <v>197</v>
      </c>
      <c r="BU389" s="253"/>
      <c r="BV389" s="161" t="n">
        <v>1</v>
      </c>
      <c r="BW389" s="247" t="s">
        <v>1250</v>
      </c>
      <c r="BX389" s="0"/>
    </row>
    <row r="390" customFormat="false" ht="12.75" hidden="false" customHeight="false" outlineLevel="0" collapsed="false">
      <c r="I390" s="262"/>
      <c r="R390" s="289" t="e">
        <f aca="false">EOMONTH(R389,0)+1</f>
        <v>#VALUE!</v>
      </c>
      <c r="BP390" s="249" t="n">
        <f aca="false">BP389+BV390</f>
        <v>389</v>
      </c>
      <c r="BQ390" s="250" t="s">
        <v>921</v>
      </c>
      <c r="BR390" s="247" t="s">
        <v>195</v>
      </c>
      <c r="BS390" s="161" t="s">
        <v>196</v>
      </c>
      <c r="BT390" s="253" t="s">
        <v>197</v>
      </c>
      <c r="BU390" s="253"/>
      <c r="BV390" s="161" t="n">
        <v>1</v>
      </c>
      <c r="BW390" s="247" t="s">
        <v>1251</v>
      </c>
      <c r="BX390" s="0"/>
    </row>
    <row r="391" customFormat="false" ht="12.75" hidden="false" customHeight="false" outlineLevel="0" collapsed="false">
      <c r="I391" s="262"/>
      <c r="R391" s="289" t="e">
        <f aca="false">EOMONTH(R390,0)+1</f>
        <v>#VALUE!</v>
      </c>
      <c r="BP391" s="249" t="n">
        <f aca="false">BP390+BV391</f>
        <v>390</v>
      </c>
      <c r="BQ391" s="250" t="s">
        <v>925</v>
      </c>
      <c r="BR391" s="247" t="s">
        <v>195</v>
      </c>
      <c r="BS391" s="161" t="s">
        <v>196</v>
      </c>
      <c r="BT391" s="253" t="s">
        <v>197</v>
      </c>
      <c r="BU391" s="253"/>
      <c r="BV391" s="161" t="n">
        <v>1</v>
      </c>
      <c r="BW391" s="247" t="s">
        <v>1252</v>
      </c>
      <c r="BX391" s="0"/>
    </row>
    <row r="392" customFormat="false" ht="12.75" hidden="false" customHeight="false" outlineLevel="0" collapsed="false">
      <c r="I392" s="262"/>
      <c r="R392" s="289" t="e">
        <f aca="false">EOMONTH(R391,0)+1</f>
        <v>#VALUE!</v>
      </c>
      <c r="BP392" s="249" t="n">
        <f aca="false">BP391+BV392</f>
        <v>391</v>
      </c>
      <c r="BQ392" s="250" t="s">
        <v>929</v>
      </c>
      <c r="BR392" s="247" t="s">
        <v>195</v>
      </c>
      <c r="BS392" s="161" t="s">
        <v>196</v>
      </c>
      <c r="BT392" s="253" t="s">
        <v>197</v>
      </c>
      <c r="BU392" s="253"/>
      <c r="BV392" s="161" t="n">
        <v>1</v>
      </c>
      <c r="BW392" s="247" t="s">
        <v>1253</v>
      </c>
      <c r="BX392" s="0"/>
    </row>
    <row r="393" customFormat="false" ht="12.75" hidden="false" customHeight="false" outlineLevel="0" collapsed="false">
      <c r="I393" s="262"/>
      <c r="R393" s="289" t="e">
        <f aca="false">EOMONTH(R392,0)+1</f>
        <v>#VALUE!</v>
      </c>
      <c r="BP393" s="249" t="n">
        <f aca="false">BP392+BV393</f>
        <v>392</v>
      </c>
      <c r="BQ393" s="250" t="s">
        <v>933</v>
      </c>
      <c r="BR393" s="247" t="s">
        <v>195</v>
      </c>
      <c r="BS393" s="161" t="s">
        <v>196</v>
      </c>
      <c r="BT393" s="253" t="s">
        <v>197</v>
      </c>
      <c r="BU393" s="253"/>
      <c r="BV393" s="161" t="n">
        <v>1</v>
      </c>
      <c r="BW393" s="247" t="s">
        <v>1254</v>
      </c>
      <c r="BX393" s="0"/>
    </row>
    <row r="394" customFormat="false" ht="12.75" hidden="false" customHeight="false" outlineLevel="0" collapsed="false">
      <c r="I394" s="262"/>
      <c r="R394" s="289" t="e">
        <f aca="false">EOMONTH(R393,0)+1</f>
        <v>#VALUE!</v>
      </c>
      <c r="BP394" s="249" t="n">
        <f aca="false">BP393+BV394</f>
        <v>393</v>
      </c>
      <c r="BQ394" s="250" t="s">
        <v>937</v>
      </c>
      <c r="BR394" s="247" t="s">
        <v>195</v>
      </c>
      <c r="BS394" s="161" t="s">
        <v>196</v>
      </c>
      <c r="BT394" s="253" t="s">
        <v>197</v>
      </c>
      <c r="BU394" s="253"/>
      <c r="BV394" s="161" t="n">
        <v>1</v>
      </c>
      <c r="BW394" s="247" t="s">
        <v>1255</v>
      </c>
      <c r="BX394" s="0"/>
    </row>
    <row r="395" customFormat="false" ht="12.75" hidden="false" customHeight="false" outlineLevel="0" collapsed="false">
      <c r="I395" s="262"/>
      <c r="R395" s="289" t="e">
        <f aca="false">EOMONTH(R394,0)+1</f>
        <v>#VALUE!</v>
      </c>
      <c r="BP395" s="249" t="n">
        <f aca="false">BP394+BV395</f>
        <v>394</v>
      </c>
      <c r="BQ395" s="250" t="s">
        <v>941</v>
      </c>
      <c r="BR395" s="247" t="s">
        <v>195</v>
      </c>
      <c r="BS395" s="161" t="s">
        <v>196</v>
      </c>
      <c r="BT395" s="253" t="s">
        <v>197</v>
      </c>
      <c r="BU395" s="253"/>
      <c r="BV395" s="161" t="n">
        <v>1</v>
      </c>
      <c r="BW395" s="247" t="s">
        <v>1256</v>
      </c>
      <c r="BX395" s="0"/>
    </row>
    <row r="396" customFormat="false" ht="12.75" hidden="false" customHeight="false" outlineLevel="0" collapsed="false">
      <c r="I396" s="262"/>
      <c r="R396" s="289" t="e">
        <f aca="false">EOMONTH(R395,0)+1</f>
        <v>#VALUE!</v>
      </c>
      <c r="BP396" s="249" t="n">
        <f aca="false">BP395+BV396</f>
        <v>395</v>
      </c>
      <c r="BQ396" s="250" t="s">
        <v>945</v>
      </c>
      <c r="BR396" s="247" t="s">
        <v>195</v>
      </c>
      <c r="BS396" s="161" t="s">
        <v>196</v>
      </c>
      <c r="BT396" s="253" t="s">
        <v>197</v>
      </c>
      <c r="BU396" s="253"/>
      <c r="BV396" s="161" t="n">
        <v>1</v>
      </c>
      <c r="BW396" s="247" t="s">
        <v>1257</v>
      </c>
      <c r="BX396" s="0"/>
    </row>
    <row r="397" customFormat="false" ht="12.75" hidden="false" customHeight="false" outlineLevel="0" collapsed="false">
      <c r="I397" s="262"/>
      <c r="R397" s="289" t="e">
        <f aca="false">EOMONTH(R396,0)+1</f>
        <v>#VALUE!</v>
      </c>
      <c r="BP397" s="249" t="n">
        <f aca="false">BP396+BV397</f>
        <v>396</v>
      </c>
      <c r="BQ397" s="250" t="s">
        <v>949</v>
      </c>
      <c r="BR397" s="247" t="s">
        <v>195</v>
      </c>
      <c r="BS397" s="161" t="s">
        <v>196</v>
      </c>
      <c r="BT397" s="253" t="s">
        <v>197</v>
      </c>
      <c r="BU397" s="253"/>
      <c r="BV397" s="161" t="n">
        <v>1</v>
      </c>
      <c r="BW397" s="247" t="s">
        <v>1258</v>
      </c>
      <c r="BX397" s="0"/>
    </row>
    <row r="398" customFormat="false" ht="12.75" hidden="false" customHeight="false" outlineLevel="0" collapsed="false">
      <c r="I398" s="262"/>
      <c r="R398" s="289" t="e">
        <f aca="false">EOMONTH(R397,0)+1</f>
        <v>#VALUE!</v>
      </c>
      <c r="BP398" s="249" t="n">
        <f aca="false">BP397+BV398</f>
        <v>397</v>
      </c>
      <c r="BQ398" s="250" t="s">
        <v>953</v>
      </c>
      <c r="BR398" s="247" t="s">
        <v>195</v>
      </c>
      <c r="BS398" s="161" t="s">
        <v>196</v>
      </c>
      <c r="BT398" s="253" t="s">
        <v>197</v>
      </c>
      <c r="BU398" s="253"/>
      <c r="BV398" s="161" t="n">
        <v>1</v>
      </c>
      <c r="BW398" s="247" t="s">
        <v>1259</v>
      </c>
      <c r="BX398" s="0"/>
    </row>
    <row r="399" customFormat="false" ht="12.75" hidden="false" customHeight="false" outlineLevel="0" collapsed="false">
      <c r="I399" s="262"/>
      <c r="BP399" s="249" t="n">
        <f aca="false">BP398+BV399</f>
        <v>398</v>
      </c>
      <c r="BQ399" s="250" t="s">
        <v>957</v>
      </c>
      <c r="BR399" s="247" t="s">
        <v>195</v>
      </c>
      <c r="BS399" s="161" t="s">
        <v>196</v>
      </c>
      <c r="BT399" s="253" t="s">
        <v>197</v>
      </c>
      <c r="BU399" s="253"/>
      <c r="BV399" s="161" t="n">
        <v>1</v>
      </c>
      <c r="BW399" s="247" t="s">
        <v>1260</v>
      </c>
      <c r="BX399" s="0"/>
    </row>
    <row r="400" customFormat="false" ht="12.75" hidden="false" customHeight="false" outlineLevel="0" collapsed="false">
      <c r="I400" s="262"/>
      <c r="BP400" s="249" t="n">
        <f aca="false">BP399+BV400</f>
        <v>399</v>
      </c>
      <c r="BQ400" s="250" t="s">
        <v>961</v>
      </c>
      <c r="BR400" s="247" t="s">
        <v>195</v>
      </c>
      <c r="BS400" s="161" t="s">
        <v>196</v>
      </c>
      <c r="BT400" s="253" t="s">
        <v>197</v>
      </c>
      <c r="BU400" s="253"/>
      <c r="BV400" s="161" t="n">
        <v>1</v>
      </c>
      <c r="BW400" s="247" t="s">
        <v>1261</v>
      </c>
      <c r="BX400" s="0"/>
    </row>
    <row r="401" customFormat="false" ht="12.75" hidden="false" customHeight="false" outlineLevel="0" collapsed="false">
      <c r="I401" s="262"/>
      <c r="BP401" s="249" t="n">
        <f aca="false">BP400+BV401</f>
        <v>400</v>
      </c>
      <c r="BQ401" s="250" t="s">
        <v>965</v>
      </c>
      <c r="BR401" s="247" t="s">
        <v>195</v>
      </c>
      <c r="BS401" s="161" t="s">
        <v>196</v>
      </c>
      <c r="BT401" s="253" t="s">
        <v>197</v>
      </c>
      <c r="BU401" s="253"/>
      <c r="BV401" s="161" t="n">
        <v>1</v>
      </c>
      <c r="BW401" s="247" t="s">
        <v>1262</v>
      </c>
      <c r="BX401" s="0"/>
    </row>
    <row r="402" customFormat="false" ht="12.75" hidden="false" customHeight="false" outlineLevel="0" collapsed="false">
      <c r="I402" s="262"/>
      <c r="BP402" s="249" t="n">
        <f aca="false">BP401+BV402</f>
        <v>401</v>
      </c>
      <c r="BQ402" s="250" t="s">
        <v>1263</v>
      </c>
      <c r="BR402" s="247" t="s">
        <v>195</v>
      </c>
      <c r="BS402" s="161" t="s">
        <v>196</v>
      </c>
      <c r="BT402" s="253" t="s">
        <v>197</v>
      </c>
      <c r="BU402" s="253"/>
      <c r="BV402" s="161" t="n">
        <v>1</v>
      </c>
      <c r="BW402" s="247" t="s">
        <v>1264</v>
      </c>
      <c r="BX402" s="0"/>
    </row>
    <row r="403" customFormat="false" ht="12.75" hidden="false" customHeight="false" outlineLevel="0" collapsed="false">
      <c r="I403" s="262"/>
      <c r="BP403" s="249" t="n">
        <f aca="false">BP402+BV403</f>
        <v>402</v>
      </c>
      <c r="BQ403" s="250" t="s">
        <v>969</v>
      </c>
      <c r="BR403" s="247" t="s">
        <v>195</v>
      </c>
      <c r="BS403" s="161" t="s">
        <v>196</v>
      </c>
      <c r="BT403" s="253" t="s">
        <v>197</v>
      </c>
      <c r="BU403" s="253"/>
      <c r="BV403" s="161" t="n">
        <v>1</v>
      </c>
      <c r="BW403" s="247" t="s">
        <v>1265</v>
      </c>
      <c r="BX403" s="0"/>
    </row>
    <row r="404" customFormat="false" ht="12.75" hidden="false" customHeight="false" outlineLevel="0" collapsed="false">
      <c r="I404" s="262"/>
      <c r="BP404" s="249" t="n">
        <f aca="false">BP403+BV404</f>
        <v>403</v>
      </c>
      <c r="BQ404" s="250" t="s">
        <v>973</v>
      </c>
      <c r="BR404" s="247" t="s">
        <v>195</v>
      </c>
      <c r="BS404" s="161" t="s">
        <v>196</v>
      </c>
      <c r="BT404" s="253" t="s">
        <v>197</v>
      </c>
      <c r="BU404" s="253"/>
      <c r="BV404" s="161" t="n">
        <v>1</v>
      </c>
      <c r="BW404" s="247" t="s">
        <v>1266</v>
      </c>
      <c r="BX404" s="0"/>
    </row>
    <row r="405" customFormat="false" ht="12.75" hidden="false" customHeight="false" outlineLevel="0" collapsed="false">
      <c r="I405" s="262"/>
      <c r="BP405" s="249" t="n">
        <f aca="false">BP404+BV405</f>
        <v>404</v>
      </c>
      <c r="BQ405" s="250" t="s">
        <v>1267</v>
      </c>
      <c r="BR405" s="247" t="s">
        <v>195</v>
      </c>
      <c r="BS405" s="161" t="s">
        <v>196</v>
      </c>
      <c r="BT405" s="253" t="s">
        <v>197</v>
      </c>
      <c r="BU405" s="253"/>
      <c r="BV405" s="161" t="n">
        <v>1</v>
      </c>
      <c r="BW405" s="247" t="s">
        <v>1268</v>
      </c>
      <c r="BX405" s="0"/>
    </row>
    <row r="406" customFormat="false" ht="12.75" hidden="false" customHeight="false" outlineLevel="0" collapsed="false">
      <c r="I406" s="262"/>
      <c r="BP406" s="249" t="n">
        <f aca="false">BP405+BV406</f>
        <v>405</v>
      </c>
      <c r="BQ406" s="250" t="s">
        <v>977</v>
      </c>
      <c r="BR406" s="247" t="s">
        <v>195</v>
      </c>
      <c r="BS406" s="161" t="s">
        <v>196</v>
      </c>
      <c r="BT406" s="253" t="s">
        <v>197</v>
      </c>
      <c r="BU406" s="253"/>
      <c r="BV406" s="161" t="n">
        <v>1</v>
      </c>
      <c r="BW406" s="247" t="s">
        <v>1269</v>
      </c>
      <c r="BX406" s="0"/>
    </row>
    <row r="407" customFormat="false" ht="12.75" hidden="false" customHeight="false" outlineLevel="0" collapsed="false">
      <c r="I407" s="262"/>
      <c r="BP407" s="249" t="n">
        <f aca="false">BP406+BV407</f>
        <v>406</v>
      </c>
      <c r="BQ407" s="250" t="s">
        <v>981</v>
      </c>
      <c r="BR407" s="247" t="s">
        <v>195</v>
      </c>
      <c r="BS407" s="161" t="s">
        <v>196</v>
      </c>
      <c r="BT407" s="253" t="s">
        <v>197</v>
      </c>
      <c r="BU407" s="253"/>
      <c r="BV407" s="161" t="n">
        <v>1</v>
      </c>
      <c r="BW407" s="247" t="s">
        <v>1270</v>
      </c>
      <c r="BX407" s="0"/>
    </row>
    <row r="408" customFormat="false" ht="12.75" hidden="false" customHeight="false" outlineLevel="0" collapsed="false">
      <c r="I408" s="262"/>
      <c r="BP408" s="249" t="n">
        <f aca="false">BP407+BV408</f>
        <v>407</v>
      </c>
      <c r="BQ408" s="250" t="s">
        <v>1271</v>
      </c>
      <c r="BR408" s="247" t="s">
        <v>195</v>
      </c>
      <c r="BS408" s="161" t="s">
        <v>196</v>
      </c>
      <c r="BT408" s="253" t="s">
        <v>197</v>
      </c>
      <c r="BU408" s="253"/>
      <c r="BV408" s="161" t="n">
        <v>1</v>
      </c>
      <c r="BW408" s="247" t="s">
        <v>1272</v>
      </c>
      <c r="BX408" s="0"/>
    </row>
    <row r="409" customFormat="false" ht="12.75" hidden="false" customHeight="false" outlineLevel="0" collapsed="false">
      <c r="I409" s="262"/>
      <c r="BP409" s="249" t="n">
        <f aca="false">BP408+BV409</f>
        <v>408</v>
      </c>
      <c r="BQ409" s="250" t="s">
        <v>985</v>
      </c>
      <c r="BR409" s="247" t="s">
        <v>195</v>
      </c>
      <c r="BS409" s="161" t="s">
        <v>196</v>
      </c>
      <c r="BT409" s="253" t="s">
        <v>197</v>
      </c>
      <c r="BU409" s="253"/>
      <c r="BV409" s="161" t="n">
        <v>1</v>
      </c>
      <c r="BW409" s="247" t="s">
        <v>1273</v>
      </c>
      <c r="BX409" s="0"/>
    </row>
    <row r="410" customFormat="false" ht="12" hidden="false" customHeight="false" outlineLevel="0" collapsed="false">
      <c r="I410" s="262"/>
    </row>
    <row r="411" customFormat="false" ht="12" hidden="false" customHeight="false" outlineLevel="0" collapsed="false">
      <c r="I411" s="262"/>
    </row>
    <row r="412" customFormat="false" ht="12" hidden="false" customHeight="false" outlineLevel="0" collapsed="false">
      <c r="I412" s="262"/>
    </row>
    <row r="413" customFormat="false" ht="12" hidden="false" customHeight="false" outlineLevel="0" collapsed="false">
      <c r="I413" s="262"/>
    </row>
    <row r="414" customFormat="false" ht="12" hidden="false" customHeight="false" outlineLevel="0" collapsed="false">
      <c r="I414" s="262"/>
    </row>
    <row r="415" customFormat="false" ht="12" hidden="false" customHeight="false" outlineLevel="0" collapsed="false">
      <c r="I415" s="262"/>
    </row>
    <row r="416" customFormat="false" ht="12" hidden="false" customHeight="false" outlineLevel="0" collapsed="false">
      <c r="I416" s="262"/>
    </row>
    <row r="417" customFormat="false" ht="12" hidden="false" customHeight="false" outlineLevel="0" collapsed="false">
      <c r="I417" s="262"/>
    </row>
    <row r="418" customFormat="false" ht="12" hidden="false" customHeight="false" outlineLevel="0" collapsed="false">
      <c r="I418" s="262"/>
    </row>
    <row r="419" customFormat="false" ht="12" hidden="false" customHeight="false" outlineLevel="0" collapsed="false">
      <c r="I419" s="262"/>
    </row>
    <row r="420" customFormat="false" ht="12" hidden="false" customHeight="false" outlineLevel="0" collapsed="false">
      <c r="I420" s="262"/>
    </row>
    <row r="421" customFormat="false" ht="12" hidden="false" customHeight="false" outlineLevel="0" collapsed="false">
      <c r="I421" s="262"/>
    </row>
    <row r="422" customFormat="false" ht="12" hidden="false" customHeight="false" outlineLevel="0" collapsed="false">
      <c r="I422" s="262"/>
    </row>
    <row r="423" customFormat="false" ht="12" hidden="false" customHeight="false" outlineLevel="0" collapsed="false">
      <c r="I423" s="262"/>
    </row>
    <row r="424" customFormat="false" ht="12" hidden="false" customHeight="false" outlineLevel="0" collapsed="false">
      <c r="I424" s="262"/>
    </row>
    <row r="425" customFormat="false" ht="12" hidden="false" customHeight="false" outlineLevel="0" collapsed="false">
      <c r="I425" s="262"/>
    </row>
    <row r="426" customFormat="false" ht="12" hidden="false" customHeight="false" outlineLevel="0" collapsed="false">
      <c r="I426" s="262"/>
    </row>
    <row r="427" customFormat="false" ht="12" hidden="false" customHeight="false" outlineLevel="0" collapsed="false">
      <c r="I427" s="262"/>
    </row>
    <row r="428" customFormat="false" ht="12" hidden="false" customHeight="false" outlineLevel="0" collapsed="false">
      <c r="I428" s="262"/>
    </row>
    <row r="429" customFormat="false" ht="12" hidden="false" customHeight="false" outlineLevel="0" collapsed="false">
      <c r="I429" s="262"/>
    </row>
    <row r="430" customFormat="false" ht="12" hidden="false" customHeight="false" outlineLevel="0" collapsed="false">
      <c r="I430" s="262"/>
    </row>
    <row r="431" customFormat="false" ht="12" hidden="false" customHeight="false" outlineLevel="0" collapsed="false">
      <c r="I431" s="262"/>
    </row>
    <row r="432" customFormat="false" ht="12" hidden="false" customHeight="false" outlineLevel="0" collapsed="false">
      <c r="I432" s="262"/>
    </row>
    <row r="433" customFormat="false" ht="12" hidden="false" customHeight="false" outlineLevel="0" collapsed="false">
      <c r="I433" s="262"/>
    </row>
    <row r="434" customFormat="false" ht="12" hidden="false" customHeight="false" outlineLevel="0" collapsed="false">
      <c r="I434" s="262"/>
    </row>
    <row r="435" customFormat="false" ht="12" hidden="false" customHeight="false" outlineLevel="0" collapsed="false">
      <c r="I435" s="262"/>
    </row>
    <row r="436" customFormat="false" ht="12" hidden="false" customHeight="false" outlineLevel="0" collapsed="false">
      <c r="I436" s="262"/>
    </row>
    <row r="437" customFormat="false" ht="12" hidden="false" customHeight="false" outlineLevel="0" collapsed="false">
      <c r="I437" s="262"/>
    </row>
    <row r="438" customFormat="false" ht="12" hidden="false" customHeight="false" outlineLevel="0" collapsed="false">
      <c r="I438" s="262"/>
    </row>
    <row r="439" customFormat="false" ht="12" hidden="false" customHeight="false" outlineLevel="0" collapsed="false">
      <c r="I439" s="262"/>
    </row>
    <row r="440" customFormat="false" ht="12" hidden="false" customHeight="false" outlineLevel="0" collapsed="false">
      <c r="I440" s="262"/>
    </row>
    <row r="441" customFormat="false" ht="12" hidden="false" customHeight="false" outlineLevel="0" collapsed="false">
      <c r="I441" s="262"/>
    </row>
    <row r="442" customFormat="false" ht="12" hidden="false" customHeight="false" outlineLevel="0" collapsed="false">
      <c r="I442" s="262"/>
    </row>
    <row r="443" customFormat="false" ht="12" hidden="false" customHeight="false" outlineLevel="0" collapsed="false">
      <c r="I443" s="262"/>
    </row>
    <row r="444" customFormat="false" ht="12" hidden="false" customHeight="false" outlineLevel="0" collapsed="false">
      <c r="I444" s="262"/>
    </row>
    <row r="445" customFormat="false" ht="12" hidden="false" customHeight="false" outlineLevel="0" collapsed="false">
      <c r="I445" s="262"/>
    </row>
    <row r="446" customFormat="false" ht="12" hidden="false" customHeight="false" outlineLevel="0" collapsed="false">
      <c r="I446" s="262"/>
    </row>
    <row r="447" customFormat="false" ht="12" hidden="false" customHeight="false" outlineLevel="0" collapsed="false">
      <c r="I447" s="262"/>
    </row>
    <row r="448" customFormat="false" ht="12" hidden="false" customHeight="false" outlineLevel="0" collapsed="false">
      <c r="I448" s="262"/>
    </row>
    <row r="449" customFormat="false" ht="12" hidden="false" customHeight="false" outlineLevel="0" collapsed="false">
      <c r="I449" s="262"/>
    </row>
    <row r="450" customFormat="false" ht="12" hidden="false" customHeight="false" outlineLevel="0" collapsed="false">
      <c r="I450" s="262"/>
    </row>
    <row r="451" customFormat="false" ht="12" hidden="false" customHeight="false" outlineLevel="0" collapsed="false">
      <c r="I451" s="262"/>
    </row>
    <row r="452" customFormat="false" ht="12" hidden="false" customHeight="false" outlineLevel="0" collapsed="false">
      <c r="I452" s="262"/>
    </row>
    <row r="453" customFormat="false" ht="12" hidden="false" customHeight="false" outlineLevel="0" collapsed="false">
      <c r="I453" s="262"/>
    </row>
    <row r="454" customFormat="false" ht="12" hidden="false" customHeight="false" outlineLevel="0" collapsed="false">
      <c r="I454" s="262"/>
    </row>
    <row r="455" customFormat="false" ht="12" hidden="false" customHeight="false" outlineLevel="0" collapsed="false">
      <c r="I455" s="262"/>
    </row>
    <row r="456" customFormat="false" ht="12" hidden="false" customHeight="false" outlineLevel="0" collapsed="false">
      <c r="I456" s="262"/>
    </row>
    <row r="457" customFormat="false" ht="12" hidden="false" customHeight="false" outlineLevel="0" collapsed="false">
      <c r="I457" s="262"/>
    </row>
    <row r="458" customFormat="false" ht="12" hidden="false" customHeight="false" outlineLevel="0" collapsed="false">
      <c r="I458" s="262"/>
    </row>
    <row r="459" customFormat="false" ht="12" hidden="false" customHeight="false" outlineLevel="0" collapsed="false">
      <c r="I459" s="262"/>
    </row>
    <row r="460" customFormat="false" ht="12" hidden="false" customHeight="false" outlineLevel="0" collapsed="false">
      <c r="I460" s="262"/>
    </row>
    <row r="461" customFormat="false" ht="12" hidden="false" customHeight="false" outlineLevel="0" collapsed="false">
      <c r="I461" s="262"/>
    </row>
    <row r="462" customFormat="false" ht="12" hidden="false" customHeight="false" outlineLevel="0" collapsed="false">
      <c r="I462" s="262"/>
    </row>
    <row r="463" customFormat="false" ht="12" hidden="false" customHeight="false" outlineLevel="0" collapsed="false">
      <c r="I463" s="262"/>
    </row>
    <row r="464" customFormat="false" ht="12" hidden="false" customHeight="false" outlineLevel="0" collapsed="false">
      <c r="I464" s="262"/>
    </row>
    <row r="465" customFormat="false" ht="12" hidden="false" customHeight="false" outlineLevel="0" collapsed="false">
      <c r="I465" s="262"/>
    </row>
    <row r="466" customFormat="false" ht="12" hidden="false" customHeight="false" outlineLevel="0" collapsed="false">
      <c r="I466" s="262"/>
    </row>
    <row r="467" customFormat="false" ht="12" hidden="false" customHeight="false" outlineLevel="0" collapsed="false">
      <c r="I467" s="262"/>
    </row>
    <row r="468" customFormat="false" ht="12" hidden="false" customHeight="false" outlineLevel="0" collapsed="false">
      <c r="I468" s="262"/>
    </row>
    <row r="469" customFormat="false" ht="12" hidden="false" customHeight="false" outlineLevel="0" collapsed="false">
      <c r="I469" s="262"/>
    </row>
    <row r="470" customFormat="false" ht="12" hidden="false" customHeight="false" outlineLevel="0" collapsed="false">
      <c r="I470" s="262"/>
    </row>
    <row r="471" customFormat="false" ht="12" hidden="false" customHeight="false" outlineLevel="0" collapsed="false">
      <c r="I471" s="262"/>
    </row>
    <row r="472" customFormat="false" ht="12" hidden="false" customHeight="false" outlineLevel="0" collapsed="false">
      <c r="I472" s="262"/>
    </row>
    <row r="473" customFormat="false" ht="12" hidden="false" customHeight="false" outlineLevel="0" collapsed="false">
      <c r="I473" s="262"/>
    </row>
    <row r="474" customFormat="false" ht="12" hidden="false" customHeight="false" outlineLevel="0" collapsed="false">
      <c r="I474" s="262"/>
    </row>
    <row r="475" customFormat="false" ht="12" hidden="false" customHeight="false" outlineLevel="0" collapsed="false">
      <c r="I475" s="262"/>
    </row>
    <row r="476" customFormat="false" ht="12" hidden="false" customHeight="false" outlineLevel="0" collapsed="false">
      <c r="I476" s="262"/>
    </row>
    <row r="477" customFormat="false" ht="12" hidden="false" customHeight="false" outlineLevel="0" collapsed="false">
      <c r="I477" s="262"/>
    </row>
    <row r="478" customFormat="false" ht="12" hidden="false" customHeight="false" outlineLevel="0" collapsed="false">
      <c r="I478" s="262"/>
    </row>
    <row r="479" customFormat="false" ht="12" hidden="false" customHeight="false" outlineLevel="0" collapsed="false">
      <c r="I479" s="262"/>
    </row>
    <row r="480" customFormat="false" ht="12" hidden="false" customHeight="false" outlineLevel="0" collapsed="false">
      <c r="I480" s="262"/>
    </row>
    <row r="481" customFormat="false" ht="12" hidden="false" customHeight="false" outlineLevel="0" collapsed="false">
      <c r="I481" s="262"/>
    </row>
    <row r="482" customFormat="false" ht="12" hidden="false" customHeight="false" outlineLevel="0" collapsed="false">
      <c r="I482" s="262"/>
    </row>
    <row r="483" customFormat="false" ht="12" hidden="false" customHeight="false" outlineLevel="0" collapsed="false">
      <c r="I483" s="262"/>
    </row>
    <row r="484" customFormat="false" ht="12" hidden="false" customHeight="false" outlineLevel="0" collapsed="false">
      <c r="I484" s="262"/>
    </row>
    <row r="485" customFormat="false" ht="12" hidden="false" customHeight="false" outlineLevel="0" collapsed="false">
      <c r="I485" s="262"/>
    </row>
    <row r="486" customFormat="false" ht="12" hidden="false" customHeight="false" outlineLevel="0" collapsed="false">
      <c r="I486" s="262"/>
    </row>
  </sheetData>
  <mergeCells count="1">
    <mergeCell ref="CL2:CN2"/>
  </mergeCells>
  <printOptions headings="false" gridLines="false" gridLinesSet="true" horizontalCentered="false" verticalCentered="false"/>
  <pageMargins left="0.2" right="0.229861111111111" top="0.170138888888889" bottom="0.190277777777778" header="0.511811023622047" footer="0.511811023622047"/>
  <pageSetup paperSize="1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S12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3" topLeftCell="AC4" activePane="bottomRight" state="frozen"/>
      <selection pane="topLeft" activeCell="A1" activeCellId="0" sqref="A1"/>
      <selection pane="topRight" activeCell="AC1" activeCellId="0" sqref="AC1"/>
      <selection pane="bottomLeft" activeCell="A4" activeCellId="0" sqref="A4"/>
      <selection pane="bottomRight" activeCell="AG11" activeCellId="0" sqref="AG11:AG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7.14"/>
    <col collapsed="false" customWidth="true" hidden="false" outlineLevel="0" max="2" min="2" style="295" width="4.99"/>
    <col collapsed="false" customWidth="true" hidden="false" outlineLevel="0" max="3" min="3" style="0" width="9.99"/>
    <col collapsed="false" customWidth="true" hidden="false" outlineLevel="0" max="4" min="4" style="0" width="12.42"/>
    <col collapsed="false" customWidth="true" hidden="false" outlineLevel="0" max="5" min="5" style="0" width="9.56"/>
    <col collapsed="false" customWidth="true" hidden="false" outlineLevel="0" max="6" min="6" style="0" width="9.99"/>
    <col collapsed="false" customWidth="true" hidden="false" outlineLevel="0" max="7" min="7" style="0" width="12.42"/>
    <col collapsed="false" customWidth="true" hidden="false" outlineLevel="0" max="8" min="8" style="0" width="9.56"/>
    <col collapsed="false" customWidth="true" hidden="false" outlineLevel="0" max="9" min="9" style="0" width="9.99"/>
    <col collapsed="false" customWidth="true" hidden="false" outlineLevel="0" max="10" min="10" style="0" width="12.42"/>
    <col collapsed="false" customWidth="true" hidden="false" outlineLevel="0" max="11" min="11" style="0" width="9.56"/>
    <col collapsed="false" customWidth="true" hidden="false" outlineLevel="0" max="12" min="12" style="0" width="11.13"/>
    <col collapsed="false" customWidth="true" hidden="false" outlineLevel="0" max="13" min="13" style="0" width="12.42"/>
    <col collapsed="false" customWidth="true" hidden="false" outlineLevel="0" max="14" min="14" style="0" width="9.56"/>
    <col collapsed="false" customWidth="true" hidden="false" outlineLevel="0" max="15" min="15" style="0" width="9.99"/>
    <col collapsed="false" customWidth="true" hidden="false" outlineLevel="0" max="16" min="16" style="0" width="12.42"/>
    <col collapsed="false" customWidth="true" hidden="false" outlineLevel="0" max="17" min="17" style="0" width="9.28"/>
    <col collapsed="false" customWidth="true" hidden="false" outlineLevel="0" max="18" min="18" style="0" width="9.99"/>
    <col collapsed="false" customWidth="true" hidden="false" outlineLevel="0" max="19" min="19" style="0" width="12.42"/>
    <col collapsed="false" customWidth="true" hidden="false" outlineLevel="0" max="20" min="20" style="0" width="9.56"/>
    <col collapsed="false" customWidth="true" hidden="false" outlineLevel="0" max="21" min="21" style="73" width="8.28"/>
    <col collapsed="false" customWidth="true" hidden="false" outlineLevel="0" max="22" min="22" style="73" width="11.99"/>
    <col collapsed="false" customWidth="true" hidden="false" outlineLevel="0" max="24" min="23" style="73" width="12.42"/>
    <col collapsed="false" customWidth="true" hidden="false" outlineLevel="0" max="25" min="25" style="73" width="11.13"/>
    <col collapsed="false" customWidth="true" hidden="false" outlineLevel="0" max="27" min="26" style="73" width="12.42"/>
    <col collapsed="false" customWidth="true" hidden="false" outlineLevel="0" max="28" min="28" style="73" width="11.13"/>
    <col collapsed="false" customWidth="true" hidden="false" outlineLevel="0" max="29" min="29" style="0" width="12.42"/>
    <col collapsed="false" customWidth="true" hidden="false" outlineLevel="0" max="31" min="30" style="0" width="12.28"/>
    <col collapsed="false" customWidth="true" hidden="false" outlineLevel="0" max="33" min="33" style="0" width="9.28"/>
    <col collapsed="false" customWidth="true" hidden="false" outlineLevel="0" max="35" min="35" style="0" width="8.7"/>
    <col collapsed="false" customWidth="true" hidden="false" outlineLevel="0" max="36" min="36" style="0" width="7.99"/>
    <col collapsed="false" customWidth="true" hidden="false" outlineLevel="0" max="39" min="39" style="295" width="9.14"/>
    <col collapsed="false" customWidth="true" hidden="false" outlineLevel="0" max="69" min="69" style="0" width="6.28"/>
    <col collapsed="false" customWidth="true" hidden="false" outlineLevel="0" max="70" min="70" style="0" width="5.56"/>
    <col collapsed="false" customWidth="true" hidden="false" outlineLevel="0" max="71" min="71" style="0" width="7.42"/>
  </cols>
  <sheetData>
    <row r="1" customFormat="false" ht="12.75" hidden="false" customHeight="false" outlineLevel="0" collapsed="false">
      <c r="A1" s="296"/>
      <c r="B1" s="296"/>
      <c r="C1" s="297" t="s">
        <v>1274</v>
      </c>
      <c r="D1" s="297"/>
      <c r="E1" s="297"/>
      <c r="F1" s="297"/>
      <c r="G1" s="297"/>
      <c r="H1" s="297"/>
      <c r="I1" s="297"/>
      <c r="J1" s="297"/>
      <c r="K1" s="297"/>
      <c r="L1" s="298" t="s">
        <v>1275</v>
      </c>
      <c r="M1" s="298"/>
      <c r="N1" s="298"/>
      <c r="O1" s="298"/>
      <c r="P1" s="298"/>
      <c r="Q1" s="298"/>
      <c r="R1" s="298"/>
      <c r="S1" s="298"/>
      <c r="T1" s="298"/>
      <c r="U1" s="299" t="s">
        <v>1276</v>
      </c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300" t="s">
        <v>1277</v>
      </c>
      <c r="AG1" s="300"/>
      <c r="AH1" s="300"/>
      <c r="AI1" s="300"/>
      <c r="AJ1" s="300"/>
      <c r="AK1" s="300"/>
      <c r="AL1" s="300"/>
      <c r="AM1" s="300"/>
      <c r="BQ1" s="301" t="s">
        <v>1278</v>
      </c>
      <c r="BR1" s="301"/>
      <c r="BS1" s="301"/>
    </row>
    <row r="2" customFormat="false" ht="12.75" hidden="false" customHeight="false" outlineLevel="0" collapsed="false">
      <c r="A2" s="302"/>
      <c r="B2" s="303"/>
      <c r="C2" s="304" t="s">
        <v>1279</v>
      </c>
      <c r="D2" s="304" t="s">
        <v>1279</v>
      </c>
      <c r="E2" s="304" t="s">
        <v>1279</v>
      </c>
      <c r="F2" s="304" t="s">
        <v>1280</v>
      </c>
      <c r="G2" s="304" t="s">
        <v>1280</v>
      </c>
      <c r="H2" s="304" t="s">
        <v>1280</v>
      </c>
      <c r="I2" s="304" t="s">
        <v>1281</v>
      </c>
      <c r="J2" s="304" t="s">
        <v>1281</v>
      </c>
      <c r="K2" s="304" t="s">
        <v>1281</v>
      </c>
      <c r="L2" s="305" t="s">
        <v>1279</v>
      </c>
      <c r="M2" s="305" t="s">
        <v>1279</v>
      </c>
      <c r="N2" s="305" t="s">
        <v>1279</v>
      </c>
      <c r="O2" s="305" t="s">
        <v>1280</v>
      </c>
      <c r="P2" s="305" t="s">
        <v>1280</v>
      </c>
      <c r="Q2" s="305" t="s">
        <v>1282</v>
      </c>
      <c r="R2" s="305" t="s">
        <v>1281</v>
      </c>
      <c r="S2" s="305" t="s">
        <v>1281</v>
      </c>
      <c r="T2" s="305" t="s">
        <v>1281</v>
      </c>
      <c r="U2" s="306"/>
      <c r="V2" s="307" t="s">
        <v>1279</v>
      </c>
      <c r="W2" s="307" t="s">
        <v>1279</v>
      </c>
      <c r="X2" s="307" t="s">
        <v>1279</v>
      </c>
      <c r="Y2" s="307" t="s">
        <v>1280</v>
      </c>
      <c r="Z2" s="307" t="s">
        <v>1280</v>
      </c>
      <c r="AA2" s="307" t="s">
        <v>1282</v>
      </c>
      <c r="AB2" s="307" t="s">
        <v>1281</v>
      </c>
      <c r="AC2" s="307" t="s">
        <v>1281</v>
      </c>
      <c r="AD2" s="307" t="s">
        <v>1281</v>
      </c>
      <c r="AE2" s="307" t="s">
        <v>1283</v>
      </c>
      <c r="AF2" s="308" t="s">
        <v>47</v>
      </c>
      <c r="AG2" s="308" t="s">
        <v>47</v>
      </c>
      <c r="AH2" s="308" t="s">
        <v>47</v>
      </c>
      <c r="AI2" s="308" t="s">
        <v>1284</v>
      </c>
      <c r="AJ2" s="308" t="s">
        <v>1284</v>
      </c>
      <c r="AK2" s="308" t="s">
        <v>1284</v>
      </c>
      <c r="AL2" s="308" t="s">
        <v>1285</v>
      </c>
      <c r="AM2" s="309" t="s">
        <v>1286</v>
      </c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Q2" s="311" t="s">
        <v>1287</v>
      </c>
      <c r="BR2" s="311" t="s">
        <v>1280</v>
      </c>
      <c r="BS2" s="312" t="s">
        <v>1281</v>
      </c>
    </row>
    <row r="3" customFormat="false" ht="12.75" hidden="false" customHeight="false" outlineLevel="0" collapsed="false">
      <c r="A3" s="313" t="s">
        <v>1288</v>
      </c>
      <c r="B3" s="314" t="s">
        <v>1289</v>
      </c>
      <c r="C3" s="304" t="s">
        <v>1290</v>
      </c>
      <c r="D3" s="304" t="s">
        <v>1291</v>
      </c>
      <c r="E3" s="304" t="s">
        <v>1292</v>
      </c>
      <c r="F3" s="304" t="s">
        <v>1290</v>
      </c>
      <c r="G3" s="304" t="s">
        <v>1291</v>
      </c>
      <c r="H3" s="304" t="s">
        <v>1292</v>
      </c>
      <c r="I3" s="304" t="s">
        <v>1290</v>
      </c>
      <c r="J3" s="304" t="s">
        <v>1291</v>
      </c>
      <c r="K3" s="304" t="s">
        <v>1292</v>
      </c>
      <c r="L3" s="305" t="s">
        <v>1290</v>
      </c>
      <c r="M3" s="305" t="s">
        <v>1291</v>
      </c>
      <c r="N3" s="305" t="s">
        <v>1292</v>
      </c>
      <c r="O3" s="305" t="s">
        <v>1290</v>
      </c>
      <c r="P3" s="305" t="s">
        <v>1291</v>
      </c>
      <c r="Q3" s="305" t="s">
        <v>1292</v>
      </c>
      <c r="R3" s="305" t="s">
        <v>1290</v>
      </c>
      <c r="S3" s="305" t="s">
        <v>1291</v>
      </c>
      <c r="T3" s="305" t="s">
        <v>1292</v>
      </c>
      <c r="U3" s="307" t="s">
        <v>1293</v>
      </c>
      <c r="V3" s="307" t="s">
        <v>1290</v>
      </c>
      <c r="W3" s="307" t="s">
        <v>1291</v>
      </c>
      <c r="X3" s="307" t="s">
        <v>1292</v>
      </c>
      <c r="Y3" s="307" t="s">
        <v>1290</v>
      </c>
      <c r="Z3" s="307" t="s">
        <v>1291</v>
      </c>
      <c r="AA3" s="307" t="s">
        <v>1292</v>
      </c>
      <c r="AB3" s="307" t="s">
        <v>1290</v>
      </c>
      <c r="AC3" s="307" t="s">
        <v>1291</v>
      </c>
      <c r="AD3" s="307" t="s">
        <v>1292</v>
      </c>
      <c r="AE3" s="307" t="s">
        <v>1294</v>
      </c>
      <c r="AF3" s="308" t="s">
        <v>1295</v>
      </c>
      <c r="AG3" s="308" t="s">
        <v>1296</v>
      </c>
      <c r="AH3" s="308" t="s">
        <v>1297</v>
      </c>
      <c r="AI3" s="308" t="s">
        <v>1295</v>
      </c>
      <c r="AJ3" s="308" t="s">
        <v>1298</v>
      </c>
      <c r="AK3" s="308" t="s">
        <v>1297</v>
      </c>
      <c r="AL3" s="308" t="s">
        <v>1299</v>
      </c>
      <c r="AM3" s="309" t="s">
        <v>65</v>
      </c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Q3" s="311" t="s">
        <v>1300</v>
      </c>
      <c r="BR3" s="311" t="s">
        <v>1300</v>
      </c>
      <c r="BS3" s="312" t="s">
        <v>1301</v>
      </c>
    </row>
    <row r="4" customFormat="false" ht="12.75" hidden="false" customHeight="false" outlineLevel="0" collapsed="false">
      <c r="A4" s="315" t="n">
        <f aca="false">Inputs!M4</f>
        <v>37257</v>
      </c>
      <c r="B4" s="316" t="n">
        <f aca="false">IF(A4="N/A"," ",YEAR(A4))</f>
        <v>2002</v>
      </c>
      <c r="C4" s="317" t="n">
        <f aca="false">IF($A4="N/A"," ",IF(Dayrun1=10,0,IF(Scaler1=1,(VLOOKUP(A4,ScaledPrice1,4)),(VLOOKUP(A4,ScaledPrice1,2)))))</f>
        <v>32.4166677565802</v>
      </c>
      <c r="D4" s="317" t="n">
        <f aca="false">IF(A4="N/A"," ",IF(Dayrun1&gt;=7,0,IF(Scaler1=2,VLOOKUP(A4,ScaledPrice1,2),(VLOOKUP(A4,ScaledPrice1,2))*(2-(VLOOKUP(A4,ScaledPrice1,3))))))</f>
        <v>32.4166677565802</v>
      </c>
      <c r="E4" s="317" t="n">
        <f aca="false">IF($A4="N/A"," ",IF(AND(Dayrun1&gt;=4,Dayrun1&lt;=9),0,VLOOKUP($A4,ScaledPrice1,9)))</f>
        <v>18.25</v>
      </c>
      <c r="F4" s="317" t="n">
        <f aca="false">IF(A4="N/A"," ",IF(OR(Dayrun1=2,Dayrun1=3,Dayrun1=5,Dayrun1=6,Dayrun1=8,Dayrun1=9),VLOOKUP(A4,ScaledPrice1,IF(Scaler1=1,6,5)),0))</f>
        <v>29.320001373291</v>
      </c>
      <c r="G4" s="317" t="n">
        <f aca="false">IF(A4="N/A"," ",IF(OR(Dayrun1=2,Dayrun1=3,Dayrun1=5,Dayrun1=6),IF(Scaler1=2,F4,(VLOOKUP(A4,ScaledPrice1,5))*(2-(VLOOKUP(A4,ScaledPrice1,3)))),0))</f>
        <v>29.320001373291</v>
      </c>
      <c r="H4" s="317" t="n">
        <f aca="false">IF($A4="N/A"," ",IF(OR(Dayrun1=2,Dayrun1=3,Dayrun1=10),VLOOKUP($A4,ScaledPrice1,9),0))</f>
        <v>18.25</v>
      </c>
      <c r="I4" s="317" t="n">
        <f aca="false">IF(A4="N/A"," ",IF(OR(Dayrun1=3,Dayrun1=6,Dayrun1=9),(VLOOKUP(A4,ScaledPrice1,IF(Scaler1=2,7,8))),0))</f>
        <v>19.820001373291</v>
      </c>
      <c r="J4" s="317" t="n">
        <f aca="false">IF(A4="N/A"," ",IF(OR(Dayrun1=3,Dayrun1=6),IF(Scaler1=2,I4,(VLOOKUP(A4,ScaledPrice1,7))*(2-(VLOOKUP(A4,ScaledPrice1,3)))),0))</f>
        <v>19.820001373291</v>
      </c>
      <c r="K4" s="317" t="n">
        <f aca="false">IF($A4="N/A"," ",IF(OR(Dayrun1=3,Dayrun1=10),VLOOKUP($A4,ScaledPrice1,9),0))</f>
        <v>18.25</v>
      </c>
      <c r="L4" s="318" t="n">
        <f aca="false">IF($A4="N/A"," ",IF(Pricetype1=2,MAX(C4,0),IF(OR(Pricetype1=1,Pricetype1=4),IF(C4=0,0,(EURO(C4,Strikeprice1,0,0,($AH4+IF(Smile=TRUE(),VLOOKUP(MAX(-5,Strikeprice1-C4),Volsmile,2),0)),($A4-DateToday)+15,IF(Pricetype1=1,1,0),0))),C4)))</f>
        <v>32.4166677565802</v>
      </c>
      <c r="M4" s="318" t="n">
        <f aca="false">IF($A4="N/A"," ",IF(Pricetype1=2,MAX(D4,0),IF(OR(Pricetype1=1,Pricetype1=4),IF(D4=0,0,(EURO(D4,Strikeprice1,0,0,($AH4+IF(Smile=TRUE(),VLOOKUP(MAX(-5,Strikeprice1-D4),Volsmile,2),0)),($A4-DateToday)+15,IF(Pricetype1=1,1,0),0))),D4)))</f>
        <v>32.4166677565802</v>
      </c>
      <c r="N4" s="318" t="n">
        <f aca="false">IF($A4="N/A"," ",IF(Pricetype1=2,MAX(E4,0),IF(OR(Pricetype1=1,Pricetype1=4),IF(E4=0,0,(EURO(E4,Strikeprice1,0,0,($AK4+IF(Smile=TRUE(),VLOOKUP(MAX(-5,Strikeprice1-E4),Volsmile,2),0)),($A4-DateToday)+15,IF(Pricetype1=1,1,0),0))),E4)))</f>
        <v>18.25</v>
      </c>
      <c r="O4" s="318" t="n">
        <f aca="false">IF($A4="N/A"," ",IF(Pricetype1=2,MAX(F4,0),IF(OR(Pricetype1=1,Pricetype1=4),IF(F4=0,0,(EURO(F4,Strikeprice1,0,0,($AK4+IF(Smile=TRUE(),VLOOKUP(MAX(-5,Strikeprice1-F4),Volsmile,2),0)),($A4-DateToday)+15,IF(Pricetype1=1,1,0),0))),F4)))</f>
        <v>29.320001373291</v>
      </c>
      <c r="P4" s="318" t="n">
        <f aca="false">IF($A4="N/A"," ",IF(Pricetype1=2,MAX(G4,0),IF(OR(Pricetype1=1,Pricetype1=4),IF(G4=0,0,(EURO(G4,Strikeprice1,0,0,($AK4+IF(Smile=TRUE(),VLOOKUP(MAX(-5,Strikeprice1-G4),Volsmile,2),0)),($A4-DateToday)+15,IF(Pricetype1=1,1,0),0))),G4)))</f>
        <v>29.320001373291</v>
      </c>
      <c r="Q4" s="318" t="n">
        <f aca="false">IF($A4="N/A"," ",IF(Pricetype1=2,MAX(H4,0),IF(OR(Pricetype1=1,Pricetype1=4),IF(H4=0,0,(EURO(H4,Strikeprice1,0,0,($AK4+IF(Smile=TRUE(),VLOOKUP(MAX(-5,Strikeprice1-H4),Volsmile,2),0)),($A4-DateToday)+15,IF(Pricetype1=1,1,0),0))),H4)))</f>
        <v>18.25</v>
      </c>
      <c r="R4" s="318" t="n">
        <f aca="false">IF($A4="N/A"," ",IF(Pricetype1=2,MAX(I4,0),IF(OR(Pricetype1=1,Pricetype1=4),IF(I4=0,0,(EURO(I4,Strikeprice1,0,0,($AK4+IF(Smile=TRUE(),VLOOKUP(MAX(-5,Strikeprice1-I4),Volsmile,2),0)),($A4-DateToday)+15,IF(Pricetype1=1,1,0),0))),I4)))</f>
        <v>19.820001373291</v>
      </c>
      <c r="S4" s="318" t="n">
        <f aca="false">IF($A4="N/A"," ",IF(Pricetype1=2,MAX(J4,0),IF(OR(Pricetype1=1,Pricetype1=4),IF(J4=0,0,(EURO(J4,Strikeprice1,0,0,($AK4+IF(Smile=TRUE(),VLOOKUP(MAX(-5,Strikeprice1-J4),Volsmile,2),0)),($A4-DateToday)+15,IF(Pricetype1=1,1,0),0))),J4)))</f>
        <v>19.820001373291</v>
      </c>
      <c r="T4" s="318" t="n">
        <f aca="false">IF($A4="N/A"," ",IF(Pricetype1=2,MAX(K4,0),IF(OR(Pricetype1=1,Pricetype1=4),IF(K4=0,0,(EURO(K4,Strikeprice1,0,0,($AK4+IF(Smile=TRUE(),VLOOKUP(MAX(-5,Strikeprice1-K4),Volsmile,2),0)),($A4-DateToday)+15,IF(Pricetype1=1,1,0),0))),K4)))</f>
        <v>18.25</v>
      </c>
      <c r="U4" s="319" t="e">
        <f aca="false">IF($A4="N/A"," ",Volume1*$AM4)</f>
        <v>#N/A</v>
      </c>
      <c r="V4" s="320" t="e">
        <f aca="false">IF($A4="N/A"," ",$U4*(8*($BQ4))*L4)</f>
        <v>#N/A</v>
      </c>
      <c r="W4" s="320" t="e">
        <f aca="false">IF($A4="N/A"," ",$U4*(8*($BQ4))*M4)</f>
        <v>#N/A</v>
      </c>
      <c r="X4" s="320" t="e">
        <f aca="false">IF($A4="N/A"," ",$U4*(8*($BQ4))*N4)</f>
        <v>#N/A</v>
      </c>
      <c r="Y4" s="320" t="e">
        <f aca="false">IF($A4="N/A"," ",$U4*(8*($BR4))*O4)</f>
        <v>#N/A</v>
      </c>
      <c r="Z4" s="320" t="e">
        <f aca="false">IF($A4="N/A"," ",$U4*(8*($BR4))*P4)</f>
        <v>#N/A</v>
      </c>
      <c r="AA4" s="320" t="e">
        <f aca="false">IF($A4="N/A"," ",$U4*(8*($BR4))*Q4)</f>
        <v>#N/A</v>
      </c>
      <c r="AB4" s="320" t="e">
        <f aca="false">IF($A4="N/A"," ",$U4*(8*($BS4))*R4)</f>
        <v>#N/A</v>
      </c>
      <c r="AC4" s="320" t="e">
        <f aca="false">IF($A4="N/A"," ",$U4*(8*($BS4))*S4)</f>
        <v>#N/A</v>
      </c>
      <c r="AD4" s="320" t="e">
        <f aca="false">IF($A4="N/A"," ",$U4*(8*($BS4))*T4)</f>
        <v>#N/A</v>
      </c>
      <c r="AE4" s="320" t="e">
        <f aca="false">IF($A4="N/A"," ",SUM(V4:AD4))</f>
        <v>#N/A</v>
      </c>
      <c r="AF4" s="321" t="n">
        <f aca="false">IF($A4="N/A"," ",(VLOOKUP($A4,PowerVolTable,(IF(VolBMO1=2,7,IF(VolBMO1=1,6,8))),FALSE())))</f>
        <v>0.35</v>
      </c>
      <c r="AG4" s="321" t="n">
        <f aca="false">IF($A4="N/A"," ",(VLOOKUP($A4,IntraPowerVol,(IF(VolBMO1=2,3,IF(VolBMO1=1,2,4))),FALSE())*VLOOKUP(MONTH($A4),Volscale,2)))</f>
        <v>0.75</v>
      </c>
      <c r="AH4" s="321" t="n">
        <f aca="false">IF($A4="N/A"," ",IF(VolType1=1,AG4,AF4))</f>
        <v>0.75</v>
      </c>
      <c r="AI4" s="321" t="n">
        <f aca="false">IF($A4="N/A"," ",(VLOOKUP($A4,OffPwrVolTable,(IF(VolBMO1=2,7,IF(VolBMO1=1,6,8))),FALSE())))</f>
        <v>0.175</v>
      </c>
      <c r="AJ4" s="321" t="n">
        <f aca="false">IF($A4="N/A"," ",(VLOOKUP($A4,OffPwrVolTable,(IF(VolBMO1=2,3,IF(VolBMO1=1,2,4))),FALSE())*VLOOKUP(MONTH($A4),Volscale,2)))</f>
        <v>0.45</v>
      </c>
      <c r="AK4" s="321" t="n">
        <f aca="false">IF($A4="N/A"," ",IF(VolType1=1,AJ4,AI4))</f>
        <v>0.45</v>
      </c>
      <c r="AL4" s="321" t="e">
        <f aca="false">IF($A4="N/A"," ",IF(PV=1,0,'Pricing Inputs1'!R37))</f>
        <v>#N/A</v>
      </c>
      <c r="AM4" s="322" t="e">
        <f aca="false">IF($A4="N/A"," ",(1+AL4/2)^(-2*((EOMONTH(A4,0)+20)-DateToday)/365.25))</f>
        <v>#N/A</v>
      </c>
      <c r="BQ4" s="0" t="n">
        <f aca="false">IF($A4="N/A"," ",(VLOOKUP($A4,NumberofDaysTable,2)))</f>
        <v>22</v>
      </c>
      <c r="BR4" s="0" t="n">
        <f aca="false">IF($A4="N/A"," ",(VLOOKUP($A4,NumberofDaysTable,3)))</f>
        <v>4</v>
      </c>
      <c r="BS4" s="0" t="n">
        <f aca="false">IF($A4="N/A"," ",(VLOOKUP($A4,NumberofDaysTable,4)))</f>
        <v>5</v>
      </c>
    </row>
    <row r="5" customFormat="false" ht="12.75" hidden="false" customHeight="false" outlineLevel="0" collapsed="false">
      <c r="A5" s="315" t="n">
        <f aca="false">IF(A4="N/A","N/A",IF(EDATE(A4,1)&gt;Inputs!$M$5,"N/A",EDATE(A4,1)))</f>
        <v>37288</v>
      </c>
      <c r="B5" s="316" t="n">
        <f aca="false">IF(A5="N/A"," ",YEAR(A5))</f>
        <v>2002</v>
      </c>
      <c r="C5" s="317" t="n">
        <f aca="false">IF($A5="N/A"," ",IF(Dayrun1=10,0,IF(Scaler1=1,(VLOOKUP(A5,ScaledPrice1,4)),(VLOOKUP(A5,ScaledPrice1,2)))))</f>
        <v>32.0666654677618</v>
      </c>
      <c r="D5" s="317" t="n">
        <f aca="false">IF(A5="N/A"," ",IF(Dayrun1&gt;=7,0,IF(Scaler1=2,VLOOKUP(A5,ScaledPrice1,2),(VLOOKUP(A5,ScaledPrice1,2))*(2-(VLOOKUP(A5,ScaledPrice1,3))))))</f>
        <v>32.0666654677618</v>
      </c>
      <c r="E5" s="317" t="n">
        <f aca="false">IF($A5="N/A"," ",IF(AND(Dayrun1&gt;=4,Dayrun1&lt;=9),0,VLOOKUP($A5,ScaledPrice1,9)))</f>
        <v>16.75</v>
      </c>
      <c r="F5" s="317" t="n">
        <f aca="false">IF(A5="N/A"," ",IF(OR(Dayrun1=2,Dayrun1=3,Dayrun1=5,Dayrun1=6,Dayrun1=8,Dayrun1=9),VLOOKUP(A5,ScaledPrice1,IF(Scaler1=1,6,5)),0))</f>
        <v>26.9160012817383</v>
      </c>
      <c r="G5" s="317" t="n">
        <f aca="false">IF(A5="N/A"," ",IF(OR(Dayrun1=2,Dayrun1=3,Dayrun1=5,Dayrun1=6),IF(Scaler1=2,F5,(VLOOKUP(A5,ScaledPrice1,5))*(2-(VLOOKUP(A5,ScaledPrice1,3)))),0))</f>
        <v>26.9160012817383</v>
      </c>
      <c r="H5" s="317" t="n">
        <f aca="false">IF($A5="N/A"," ",IF(OR(Dayrun1=2,Dayrun1=3,Dayrun1=10),VLOOKUP($A5,ScaledPrice1,9),0))</f>
        <v>16.75</v>
      </c>
      <c r="I5" s="317" t="n">
        <f aca="false">IF(A5="N/A"," ",IF(OR(Dayrun1=3,Dayrun1=6,Dayrun1=9),(VLOOKUP(A5,ScaledPrice1,IF(Scaler1=2,7,8))),0))</f>
        <v>18.4165010070801</v>
      </c>
      <c r="J5" s="317" t="n">
        <f aca="false">IF(A5="N/A"," ",IF(OR(Dayrun1=3,Dayrun1=6),IF(Scaler1=2,I5,(VLOOKUP(A5,ScaledPrice1,7))*(2-(VLOOKUP(A5,ScaledPrice1,3)))),0))</f>
        <v>18.4165010070801</v>
      </c>
      <c r="K5" s="317" t="n">
        <f aca="false">IF($A5="N/A"," ",IF(OR(Dayrun1=3,Dayrun1=10),VLOOKUP($A5,ScaledPrice1,9),0))</f>
        <v>16.75</v>
      </c>
      <c r="L5" s="318" t="n">
        <f aca="false">IF($A5="N/A"," ",IF(Pricetype1=2,MAX(C5,0),IF(OR(Pricetype1=1,Pricetype1=4),IF(C5=0,0,(EURO(C5,Strikeprice1,0,0,($AH5+IF(Smile=TRUE(),VLOOKUP(MAX(-5,Strikeprice1-C5),Volsmile,2),0)),($A5-DateToday)+15,IF(Pricetype1=1,1,0),0))),C5)))</f>
        <v>32.0666654677618</v>
      </c>
      <c r="M5" s="318" t="n">
        <f aca="false">IF($A5="N/A"," ",IF(Pricetype1=2,MAX(D5,0),IF(OR(Pricetype1=1,Pricetype1=4),IF(D5=0,0,(EURO(D5,Strikeprice1,0,0,($AH5+IF(Smile=TRUE(),VLOOKUP(MAX(-5,Strikeprice1-D5),Volsmile,2),0)),($A5-DateToday)+15,IF(Pricetype1=1,1,0),0))),D5)))</f>
        <v>32.0666654677618</v>
      </c>
      <c r="N5" s="318" t="n">
        <f aca="false">IF($A5="N/A"," ",IF(Pricetype1=2,MAX(E5,0),IF(OR(Pricetype1=1,Pricetype1=4),IF(E5=0,0,(EURO(E5,Strikeprice1,0,0,($AK5+IF(Smile=TRUE(),VLOOKUP(MAX(-5,Strikeprice1-E5),Volsmile,2),0)),($A5-DateToday)+15,IF(Pricetype1=1,1,0),0))),E5)))</f>
        <v>16.75</v>
      </c>
      <c r="O5" s="318" t="n">
        <f aca="false">IF($A5="N/A"," ",IF(Pricetype1=2,MAX(F5,0),IF(OR(Pricetype1=1,Pricetype1=4),IF(F5=0,0,(EURO(F5,Strikeprice1,0,0,($AK5+IF(Smile=TRUE(),VLOOKUP(MAX(-5,Strikeprice1-F5),Volsmile,2),0)),($A5-DateToday)+15,IF(Pricetype1=1,1,0),0))),F5)))</f>
        <v>26.9160012817383</v>
      </c>
      <c r="P5" s="318" t="n">
        <f aca="false">IF($A5="N/A"," ",IF(Pricetype1=2,MAX(G5,0),IF(OR(Pricetype1=1,Pricetype1=4),IF(G5=0,0,(EURO(G5,Strikeprice1,0,0,($AK5+IF(Smile=TRUE(),VLOOKUP(MAX(-5,Strikeprice1-G5),Volsmile,2),0)),($A5-DateToday)+15,IF(Pricetype1=1,1,0),0))),G5)))</f>
        <v>26.9160012817383</v>
      </c>
      <c r="Q5" s="318" t="n">
        <f aca="false">IF($A5="N/A"," ",IF(Pricetype1=2,MAX(H5,0),IF(OR(Pricetype1=1,Pricetype1=4),IF(H5=0,0,(EURO(H5,Strikeprice1,0,0,($AK5+IF(Smile=TRUE(),VLOOKUP(MAX(-5,Strikeprice1-H5),Volsmile,2),0)),($A5-DateToday)+15,IF(Pricetype1=1,1,0),0))),H5)))</f>
        <v>16.75</v>
      </c>
      <c r="R5" s="318" t="n">
        <f aca="false">IF($A5="N/A"," ",IF(Pricetype1=2,MAX(I5,0),IF(OR(Pricetype1=1,Pricetype1=4),IF(I5=0,0,(EURO(I5,Strikeprice1,0,0,($AK5+IF(Smile=TRUE(),VLOOKUP(MAX(-5,Strikeprice1-I5),Volsmile,2),0)),($A5-DateToday)+15,IF(Pricetype1=1,1,0),0))),I5)))</f>
        <v>18.4165010070801</v>
      </c>
      <c r="S5" s="318" t="n">
        <f aca="false">IF($A5="N/A"," ",IF(Pricetype1=2,MAX(J5,0),IF(OR(Pricetype1=1,Pricetype1=4),IF(J5=0,0,(EURO(J5,Strikeprice1,0,0,($AK5+IF(Smile=TRUE(),VLOOKUP(MAX(-5,Strikeprice1-J5),Volsmile,2),0)),($A5-DateToday)+15,IF(Pricetype1=1,1,0),0))),J5)))</f>
        <v>18.4165010070801</v>
      </c>
      <c r="T5" s="318" t="n">
        <f aca="false">IF($A5="N/A"," ",IF(Pricetype1=2,MAX(K5,0),IF(OR(Pricetype1=1,Pricetype1=4),IF(K5=0,0,(EURO(K5,Strikeprice1,0,0,($AK5+IF(Smile=TRUE(),VLOOKUP(MAX(-5,Strikeprice1-K5),Volsmile,2),0)),($A5-DateToday)+15,IF(Pricetype1=1,1,0),0))),K5)))</f>
        <v>16.75</v>
      </c>
      <c r="U5" s="319" t="e">
        <f aca="false">IF($A5="N/A"," ",Volume1*$AM5)</f>
        <v>#N/A</v>
      </c>
      <c r="V5" s="320" t="e">
        <f aca="false">IF($A5="N/A"," ",$U5*(8*($BQ5))*L5)</f>
        <v>#N/A</v>
      </c>
      <c r="W5" s="320" t="e">
        <f aca="false">IF($A5="N/A"," ",$U5*(8*($BQ5))*M5)</f>
        <v>#N/A</v>
      </c>
      <c r="X5" s="320" t="e">
        <f aca="false">IF($A5="N/A"," ",$U5*(8*($BQ5))*N5)</f>
        <v>#N/A</v>
      </c>
      <c r="Y5" s="320" t="e">
        <f aca="false">IF($A5="N/A"," ",$U5*(8*($BR5))*O5)</f>
        <v>#N/A</v>
      </c>
      <c r="Z5" s="320" t="e">
        <f aca="false">IF($A5="N/A"," ",$U5*(8*($BR5))*P5)</f>
        <v>#N/A</v>
      </c>
      <c r="AA5" s="320" t="e">
        <f aca="false">IF($A5="N/A"," ",$U5*(8*($BR5))*Q5)</f>
        <v>#N/A</v>
      </c>
      <c r="AB5" s="320" t="e">
        <f aca="false">IF($A5="N/A"," ",$U5*(8*($BS5))*R5)</f>
        <v>#N/A</v>
      </c>
      <c r="AC5" s="320" t="e">
        <f aca="false">IF($A5="N/A"," ",$U5*(8*($BS5))*S5)</f>
        <v>#N/A</v>
      </c>
      <c r="AD5" s="320" t="e">
        <f aca="false">IF($A5="N/A"," ",$U5*(8*($BS5))*T5)</f>
        <v>#N/A</v>
      </c>
      <c r="AE5" s="320" t="e">
        <f aca="false">IF($A5="N/A"," ",SUM(V5:AD5))</f>
        <v>#N/A</v>
      </c>
      <c r="AF5" s="321" t="n">
        <f aca="false">IF(A5="N/A"," ",(VLOOKUP(A5,PowerVolTable,(IF(VolBMO1=2,7,IF(VolBMO1=1,6,8))),FALSE())))</f>
        <v>0.35</v>
      </c>
      <c r="AG5" s="321" t="n">
        <f aca="false">IF(A5="N/A"," ",(VLOOKUP(A5,IntraPowerVol,(IF(VolBMO1=2,3,IF(VolBMO1=1,2,4))),FALSE())*VLOOKUP(MONTH($A5),Volscale,2)))</f>
        <v>0.75</v>
      </c>
      <c r="AH5" s="321" t="n">
        <f aca="false">IF($A5="N/A"," ",IF(VolType1=1,AG5,AF5))</f>
        <v>0.75</v>
      </c>
      <c r="AI5" s="321" t="n">
        <f aca="false">IF($A5="N/A"," ",(VLOOKUP($A5,OffPwrVolTable,(IF(VolBMO1=2,7,IF(VolBMO1=1,6,8))),FALSE())))</f>
        <v>0.175</v>
      </c>
      <c r="AJ5" s="321" t="n">
        <f aca="false">IF($A5="N/A"," ",(VLOOKUP($A5,OffPwrVolTable,(IF(VolBMO1=2,3,IF(VolBMO1=1,2,4))),FALSE())*VLOOKUP(MONTH($A5),Volscale,2)))</f>
        <v>0.45</v>
      </c>
      <c r="AK5" s="321" t="n">
        <f aca="false">IF($A5="N/A"," ",IF(VolType1=1,AJ5,AI5))</f>
        <v>0.45</v>
      </c>
      <c r="AL5" s="321" t="e">
        <f aca="false">IF($A5="N/A"," ",IF(PV=1,0,'Pricing Inputs1'!R38))</f>
        <v>#N/A</v>
      </c>
      <c r="AM5" s="323" t="e">
        <f aca="false">IF($A5="N/A"," ",(1+AL5/2)^(-2*((EOMONTH(A5,0)+20)-DateToday)/365.25))</f>
        <v>#N/A</v>
      </c>
      <c r="BQ5" s="0" t="n">
        <f aca="false">IF($A5="N/A"," ",(VLOOKUP($A5,NumberofDaysTable,2)))</f>
        <v>20</v>
      </c>
      <c r="BR5" s="0" t="n">
        <f aca="false">IF($A5="N/A"," ",(VLOOKUP($A5,NumberofDaysTable,3)))</f>
        <v>4</v>
      </c>
      <c r="BS5" s="0" t="n">
        <f aca="false">IF($A5="N/A"," ",(VLOOKUP($A5,NumberofDaysTable,4)))</f>
        <v>4</v>
      </c>
    </row>
    <row r="6" customFormat="false" ht="12.75" hidden="false" customHeight="false" outlineLevel="0" collapsed="false">
      <c r="A6" s="315" t="n">
        <f aca="false">IF(A5="N/A","N/A",IF(EDATE(A5,1)&gt;Inputs!$M$5,"N/A",EDATE(A5,1)))</f>
        <v>37316</v>
      </c>
      <c r="B6" s="316" t="n">
        <f aca="false">IF(A6="N/A"," ",YEAR(A6))</f>
        <v>2002</v>
      </c>
      <c r="C6" s="317" t="n">
        <f aca="false">IF($A6="N/A"," ",IF(Dayrun1=10,0,IF(Scaler1=1,(VLOOKUP(A6,ScaledPrice1,4)),(VLOOKUP(A6,ScaledPrice1,2)))))</f>
        <v>31.0197670515194</v>
      </c>
      <c r="D6" s="317" t="n">
        <f aca="false">IF(A6="N/A"," ",IF(Dayrun1&gt;=7,0,IF(Scaler1=2,VLOOKUP(A6,ScaledPrice1,2),(VLOOKUP(A6,ScaledPrice1,2))*(2-(VLOOKUP(A6,ScaledPrice1,3))))))</f>
        <v>31.0197670515194</v>
      </c>
      <c r="E6" s="317" t="n">
        <f aca="false">IF($A6="N/A"," ",IF(AND(Dayrun1&gt;=4,Dayrun1&lt;=9),0,VLOOKUP($A6,ScaledPrice1,9)))</f>
        <v>17.75</v>
      </c>
      <c r="F6" s="317" t="n">
        <f aca="false">IF(A6="N/A"," ",IF(OR(Dayrun1=2,Dayrun1=3,Dayrun1=5,Dayrun1=6,Dayrun1=8,Dayrun1=9),VLOOKUP(A6,ScaledPrice1,IF(Scaler1=1,6,5)),0))</f>
        <v>21.9199990844727</v>
      </c>
      <c r="G6" s="317" t="n">
        <f aca="false">IF(A6="N/A"," ",IF(OR(Dayrun1=2,Dayrun1=3,Dayrun1=5,Dayrun1=6),IF(Scaler1=2,F6,(VLOOKUP(A6,ScaledPrice1,5))*(2-(VLOOKUP(A6,ScaledPrice1,3)))),0))</f>
        <v>21.9199990844727</v>
      </c>
      <c r="H6" s="317" t="n">
        <f aca="false">IF($A6="N/A"," ",IF(OR(Dayrun1=2,Dayrun1=3,Dayrun1=10),VLOOKUP($A6,ScaledPrice1,9),0))</f>
        <v>17.75</v>
      </c>
      <c r="I6" s="317" t="n">
        <f aca="false">IF(A6="N/A"," ",IF(OR(Dayrun1=3,Dayrun1=6,Dayrun1=9),(VLOOKUP(A6,ScaledPrice1,IF(Scaler1=2,7,8))),0))</f>
        <v>16.4200009918213</v>
      </c>
      <c r="J6" s="317" t="n">
        <f aca="false">IF(A6="N/A"," ",IF(OR(Dayrun1=3,Dayrun1=6),IF(Scaler1=2,I6,(VLOOKUP(A6,ScaledPrice1,7))*(2-(VLOOKUP(A6,ScaledPrice1,3)))),0))</f>
        <v>16.4200009918213</v>
      </c>
      <c r="K6" s="317" t="n">
        <f aca="false">IF($A6="N/A"," ",IF(OR(Dayrun1=3,Dayrun1=10),VLOOKUP($A6,ScaledPrice1,9),0))</f>
        <v>17.75</v>
      </c>
      <c r="L6" s="318" t="n">
        <f aca="false">IF($A6="N/A"," ",IF(Pricetype1=2,MAX(C6,0),IF(OR(Pricetype1=1,Pricetype1=4),IF(C6=0,0,(EURO(C6,Strikeprice1,0,0,($AH6+IF(Smile=TRUE(),VLOOKUP(MAX(-5,Strikeprice1-C6),Volsmile,2),0)),($A6-DateToday)+15,IF(Pricetype1=1,1,0),0))),C6)))</f>
        <v>31.0197670515194</v>
      </c>
      <c r="M6" s="318" t="n">
        <f aca="false">IF($A6="N/A"," ",IF(Pricetype1=2,MAX(D6,0),IF(OR(Pricetype1=1,Pricetype1=4),IF(D6=0,0,(EURO(D6,Strikeprice1,0,0,($AH6+IF(Smile=TRUE(),VLOOKUP(MAX(-5,Strikeprice1-D6),Volsmile,2),0)),($A6-DateToday)+15,IF(Pricetype1=1,1,0),0))),D6)))</f>
        <v>31.0197670515194</v>
      </c>
      <c r="N6" s="318" t="n">
        <f aca="false">IF($A6="N/A"," ",IF(Pricetype1=2,MAX(E6,0),IF(OR(Pricetype1=1,Pricetype1=4),IF(E6=0,0,(EURO(E6,Strikeprice1,0,0,($AK6+IF(Smile=TRUE(),VLOOKUP(MAX(-5,Strikeprice1-E6),Volsmile,2),0)),($A6-DateToday)+15,IF(Pricetype1=1,1,0),0))),E6)))</f>
        <v>17.75</v>
      </c>
      <c r="O6" s="318" t="n">
        <f aca="false">IF($A6="N/A"," ",IF(Pricetype1=2,MAX(F6,0),IF(OR(Pricetype1=1,Pricetype1=4),IF(F6=0,0,(EURO(F6,Strikeprice1,0,0,($AK6+IF(Smile=TRUE(),VLOOKUP(MAX(-5,Strikeprice1-F6),Volsmile,2),0)),($A6-DateToday)+15,IF(Pricetype1=1,1,0),0))),F6)))</f>
        <v>21.9199990844727</v>
      </c>
      <c r="P6" s="318" t="n">
        <f aca="false">IF($A6="N/A"," ",IF(Pricetype1=2,MAX(G6,0),IF(OR(Pricetype1=1,Pricetype1=4),IF(G6=0,0,(EURO(G6,Strikeprice1,0,0,($AK6+IF(Smile=TRUE(),VLOOKUP(MAX(-5,Strikeprice1-G6),Volsmile,2),0)),($A6-DateToday)+15,IF(Pricetype1=1,1,0),0))),G6)))</f>
        <v>21.9199990844727</v>
      </c>
      <c r="Q6" s="318" t="n">
        <f aca="false">IF($A6="N/A"," ",IF(Pricetype1=2,MAX(H6,0),IF(OR(Pricetype1=1,Pricetype1=4),IF(H6=0,0,(EURO(H6,Strikeprice1,0,0,($AK6+IF(Smile=TRUE(),VLOOKUP(MAX(-5,Strikeprice1-H6),Volsmile,2),0)),($A6-DateToday)+15,IF(Pricetype1=1,1,0),0))),H6)))</f>
        <v>17.75</v>
      </c>
      <c r="R6" s="318" t="n">
        <f aca="false">IF($A6="N/A"," ",IF(Pricetype1=2,MAX(I6,0),IF(OR(Pricetype1=1,Pricetype1=4),IF(I6=0,0,(EURO(I6,Strikeprice1,0,0,($AK6+IF(Smile=TRUE(),VLOOKUP(MAX(-5,Strikeprice1-I6),Volsmile,2),0)),($A6-DateToday)+15,IF(Pricetype1=1,1,0),0))),I6)))</f>
        <v>16.4200009918213</v>
      </c>
      <c r="S6" s="318" t="n">
        <f aca="false">IF($A6="N/A"," ",IF(Pricetype1=2,MAX(J6,0),IF(OR(Pricetype1=1,Pricetype1=4),IF(J6=0,0,(EURO(J6,Strikeprice1,0,0,($AK6+IF(Smile=TRUE(),VLOOKUP(MAX(-5,Strikeprice1-J6),Volsmile,2),0)),($A6-DateToday)+15,IF(Pricetype1=1,1,0),0))),J6)))</f>
        <v>16.4200009918213</v>
      </c>
      <c r="T6" s="318" t="n">
        <f aca="false">IF($A6="N/A"," ",IF(Pricetype1=2,MAX(K6,0),IF(OR(Pricetype1=1,Pricetype1=4),IF(K6=0,0,(EURO(K6,Strikeprice1,0,0,($AK6+IF(Smile=TRUE(),VLOOKUP(MAX(-5,Strikeprice1-K6),Volsmile,2),0)),($A6-DateToday)+15,IF(Pricetype1=1,1,0),0))),K6)))</f>
        <v>17.75</v>
      </c>
      <c r="U6" s="319" t="e">
        <f aca="false">IF($A6="N/A"," ",Volume1*$AM6)</f>
        <v>#N/A</v>
      </c>
      <c r="V6" s="320" t="e">
        <f aca="false">IF($A6="N/A"," ",$U6*(8*($BQ6))*L6)</f>
        <v>#N/A</v>
      </c>
      <c r="W6" s="320" t="e">
        <f aca="false">IF($A6="N/A"," ",$U6*(8*($BQ6))*M6)</f>
        <v>#N/A</v>
      </c>
      <c r="X6" s="320" t="e">
        <f aca="false">IF($A6="N/A"," ",$U6*(8*($BQ6))*N6)</f>
        <v>#N/A</v>
      </c>
      <c r="Y6" s="320" t="e">
        <f aca="false">IF($A6="N/A"," ",$U6*(8*($BR6))*O6)</f>
        <v>#N/A</v>
      </c>
      <c r="Z6" s="320" t="e">
        <f aca="false">IF($A6="N/A"," ",$U6*(8*($BR6))*P6)</f>
        <v>#N/A</v>
      </c>
      <c r="AA6" s="320" t="e">
        <f aca="false">IF($A6="N/A"," ",$U6*(8*($BR6))*Q6)</f>
        <v>#N/A</v>
      </c>
      <c r="AB6" s="320" t="e">
        <f aca="false">IF($A6="N/A"," ",$U6*(8*($BS6))*R6)</f>
        <v>#N/A</v>
      </c>
      <c r="AC6" s="320" t="e">
        <f aca="false">IF($A6="N/A"," ",$U6*(8*($BS6))*S6)</f>
        <v>#N/A</v>
      </c>
      <c r="AD6" s="320" t="e">
        <f aca="false">IF($A6="N/A"," ",$U6*(8*($BS6))*T6)</f>
        <v>#N/A</v>
      </c>
      <c r="AE6" s="320" t="e">
        <f aca="false">IF($A6="N/A"," ",SUM(V6:AD6))</f>
        <v>#N/A</v>
      </c>
      <c r="AF6" s="321" t="n">
        <f aca="false">IF(A6="N/A"," ",(VLOOKUP(A6,PowerVolTable,(IF(VolBMO1=2,7,IF(VolBMO1=1,6,8))),FALSE())))</f>
        <v>0.35</v>
      </c>
      <c r="AG6" s="321" t="n">
        <f aca="false">IF(A6="N/A"," ",(VLOOKUP(A6,IntraPowerVol,(IF(VolBMO1=2,3,IF(VolBMO1=1,2,4))),FALSE())*VLOOKUP(MONTH($A6),Volscale,2)))</f>
        <v>0.7</v>
      </c>
      <c r="AH6" s="321" t="n">
        <f aca="false">IF($A6="N/A"," ",IF(VolType1=1,AG6,AF6))</f>
        <v>0.7</v>
      </c>
      <c r="AI6" s="321" t="n">
        <f aca="false">IF($A6="N/A"," ",(VLOOKUP($A6,OffPwrVolTable,(IF(VolBMO1=2,7,IF(VolBMO1=1,6,8))),FALSE())))</f>
        <v>0.175</v>
      </c>
      <c r="AJ6" s="321" t="n">
        <f aca="false">IF($A6="N/A"," ",(VLOOKUP($A6,OffPwrVolTable,(IF(VolBMO1=2,3,IF(VolBMO1=1,2,4))),FALSE())*VLOOKUP(MONTH($A6),Volscale,2)))</f>
        <v>0.42</v>
      </c>
      <c r="AK6" s="321" t="n">
        <f aca="false">IF($A6="N/A"," ",IF(VolType1=1,AJ6,AI6))</f>
        <v>0.42</v>
      </c>
      <c r="AL6" s="321" t="e">
        <f aca="false">IF($A6="N/A"," ",IF(PV=1,0,'Pricing Inputs1'!R39))</f>
        <v>#N/A</v>
      </c>
      <c r="AM6" s="323" t="e">
        <f aca="false">IF($A6="N/A"," ",(1+AL6/2)^(-2*((EOMONTH(A6,0)+20)-DateToday)/365.25))</f>
        <v>#N/A</v>
      </c>
      <c r="BQ6" s="0" t="n">
        <f aca="false">IF($A6="N/A"," ",(VLOOKUP($A6,NumberofDaysTable,2)))</f>
        <v>21</v>
      </c>
      <c r="BR6" s="0" t="n">
        <f aca="false">IF($A6="N/A"," ",(VLOOKUP($A6,NumberofDaysTable,3)))</f>
        <v>5</v>
      </c>
      <c r="BS6" s="0" t="n">
        <f aca="false">IF($A6="N/A"," ",(VLOOKUP($A6,NumberofDaysTable,4)))</f>
        <v>5</v>
      </c>
    </row>
    <row r="7" customFormat="false" ht="12.75" hidden="false" customHeight="false" outlineLevel="0" collapsed="false">
      <c r="A7" s="315" t="n">
        <f aca="false">IF(A6="N/A","N/A",IF(EDATE(A6,1)&gt;Inputs!$M$5,"N/A",EDATE(A6,1)))</f>
        <v>37347</v>
      </c>
      <c r="B7" s="316" t="n">
        <f aca="false">IF(A7="N/A"," ",YEAR(A7))</f>
        <v>2002</v>
      </c>
      <c r="C7" s="317" t="n">
        <f aca="false">IF($A7="N/A"," ",IF(Dayrun1=10,0,IF(Scaler1=1,(VLOOKUP(A7,ScaledPrice1,4)),(VLOOKUP(A7,ScaledPrice1,2)))))</f>
        <v>31.4697678144588</v>
      </c>
      <c r="D7" s="317" t="n">
        <f aca="false">IF(A7="N/A"," ",IF(Dayrun1&gt;=7,0,IF(Scaler1=2,VLOOKUP(A7,ScaledPrice1,2),(VLOOKUP(A7,ScaledPrice1,2))*(2-(VLOOKUP(A7,ScaledPrice1,3))))))</f>
        <v>31.4697678144588</v>
      </c>
      <c r="E7" s="317" t="n">
        <f aca="false">IF($A7="N/A"," ",IF(AND(Dayrun1&gt;=4,Dayrun1&lt;=9),0,VLOOKUP($A7,ScaledPrice1,9)))</f>
        <v>15.7500009536743</v>
      </c>
      <c r="F7" s="317" t="n">
        <f aca="false">IF(A7="N/A"," ",IF(OR(Dayrun1=2,Dayrun1=3,Dayrun1=5,Dayrun1=6,Dayrun1=8,Dayrun1=9),VLOOKUP(A7,ScaledPrice1,IF(Scaler1=1,6,5)),0))</f>
        <v>21.9199990844727</v>
      </c>
      <c r="G7" s="317" t="n">
        <f aca="false">IF(A7="N/A"," ",IF(OR(Dayrun1=2,Dayrun1=3,Dayrun1=5,Dayrun1=6),IF(Scaler1=2,F7,(VLOOKUP(A7,ScaledPrice1,5))*(2-(VLOOKUP(A7,ScaledPrice1,3)))),0))</f>
        <v>21.9199990844727</v>
      </c>
      <c r="H7" s="317" t="n">
        <f aca="false">IF($A7="N/A"," ",IF(OR(Dayrun1=2,Dayrun1=3,Dayrun1=10),VLOOKUP($A7,ScaledPrice1,9),0))</f>
        <v>15.7500009536743</v>
      </c>
      <c r="I7" s="317" t="n">
        <f aca="false">IF(A7="N/A"," ",IF(OR(Dayrun1=3,Dayrun1=6,Dayrun1=9),(VLOOKUP(A7,ScaledPrice1,IF(Scaler1=2,7,8))),0))</f>
        <v>16.4150018310547</v>
      </c>
      <c r="J7" s="317" t="n">
        <f aca="false">IF(A7="N/A"," ",IF(OR(Dayrun1=3,Dayrun1=6),IF(Scaler1=2,I7,(VLOOKUP(A7,ScaledPrice1,7))*(2-(VLOOKUP(A7,ScaledPrice1,3)))),0))</f>
        <v>16.4150018310547</v>
      </c>
      <c r="K7" s="317" t="n">
        <f aca="false">IF($A7="N/A"," ",IF(OR(Dayrun1=3,Dayrun1=10),VLOOKUP($A7,ScaledPrice1,9),0))</f>
        <v>15.7500009536743</v>
      </c>
      <c r="L7" s="318" t="n">
        <f aca="false">IF($A7="N/A"," ",IF(Pricetype1=2,MAX(C7,0),IF(OR(Pricetype1=1,Pricetype1=4),IF(C7=0,0,(EURO(C7,Strikeprice1,0,0,($AH7+IF(Smile=TRUE(),VLOOKUP(MAX(-5,Strikeprice1-C7),Volsmile,2),0)),($A7-DateToday)+15,IF(Pricetype1=1,1,0),0))),C7)))</f>
        <v>31.4697678144588</v>
      </c>
      <c r="M7" s="318" t="n">
        <f aca="false">IF($A7="N/A"," ",IF(Pricetype1=2,MAX(D7,0),IF(OR(Pricetype1=1,Pricetype1=4),IF(D7=0,0,(EURO(D7,Strikeprice1,0,0,($AH7+IF(Smile=TRUE(),VLOOKUP(MAX(-5,Strikeprice1-D7),Volsmile,2),0)),($A7-DateToday)+15,IF(Pricetype1=1,1,0),0))),D7)))</f>
        <v>31.4697678144588</v>
      </c>
      <c r="N7" s="318" t="n">
        <f aca="false">IF($A7="N/A"," ",IF(Pricetype1=2,MAX(E7,0),IF(OR(Pricetype1=1,Pricetype1=4),IF(E7=0,0,(EURO(E7,Strikeprice1,0,0,($AK7+IF(Smile=TRUE(),VLOOKUP(MAX(-5,Strikeprice1-E7),Volsmile,2),0)),($A7-DateToday)+15,IF(Pricetype1=1,1,0),0))),E7)))</f>
        <v>15.7500009536743</v>
      </c>
      <c r="O7" s="318" t="n">
        <f aca="false">IF($A7="N/A"," ",IF(Pricetype1=2,MAX(F7,0),IF(OR(Pricetype1=1,Pricetype1=4),IF(F7=0,0,(EURO(F7,Strikeprice1,0,0,($AK7+IF(Smile=TRUE(),VLOOKUP(MAX(-5,Strikeprice1-F7),Volsmile,2),0)),($A7-DateToday)+15,IF(Pricetype1=1,1,0),0))),F7)))</f>
        <v>21.9199990844727</v>
      </c>
      <c r="P7" s="318" t="n">
        <f aca="false">IF($A7="N/A"," ",IF(Pricetype1=2,MAX(G7,0),IF(OR(Pricetype1=1,Pricetype1=4),IF(G7=0,0,(EURO(G7,Strikeprice1,0,0,($AK7+IF(Smile=TRUE(),VLOOKUP(MAX(-5,Strikeprice1-G7),Volsmile,2),0)),($A7-DateToday)+15,IF(Pricetype1=1,1,0),0))),G7)))</f>
        <v>21.9199990844727</v>
      </c>
      <c r="Q7" s="318" t="n">
        <f aca="false">IF($A7="N/A"," ",IF(Pricetype1=2,MAX(H7,0),IF(OR(Pricetype1=1,Pricetype1=4),IF(H7=0,0,(EURO(H7,Strikeprice1,0,0,($AK7+IF(Smile=TRUE(),VLOOKUP(MAX(-5,Strikeprice1-H7),Volsmile,2),0)),($A7-DateToday)+15,IF(Pricetype1=1,1,0),0))),H7)))</f>
        <v>15.7500009536743</v>
      </c>
      <c r="R7" s="318" t="n">
        <f aca="false">IF($A7="N/A"," ",IF(Pricetype1=2,MAX(I7,0),IF(OR(Pricetype1=1,Pricetype1=4),IF(I7=0,0,(EURO(I7,Strikeprice1,0,0,($AK7+IF(Smile=TRUE(),VLOOKUP(MAX(-5,Strikeprice1-I7),Volsmile,2),0)),($A7-DateToday)+15,IF(Pricetype1=1,1,0),0))),I7)))</f>
        <v>16.4150018310547</v>
      </c>
      <c r="S7" s="318" t="n">
        <f aca="false">IF($A7="N/A"," ",IF(Pricetype1=2,MAX(J7,0),IF(OR(Pricetype1=1,Pricetype1=4),IF(J7=0,0,(EURO(J7,Strikeprice1,0,0,($AK7+IF(Smile=TRUE(),VLOOKUP(MAX(-5,Strikeprice1-J7),Volsmile,2),0)),($A7-DateToday)+15,IF(Pricetype1=1,1,0),0))),J7)))</f>
        <v>16.4150018310547</v>
      </c>
      <c r="T7" s="318" t="n">
        <f aca="false">IF($A7="N/A"," ",IF(Pricetype1=2,MAX(K7,0),IF(OR(Pricetype1=1,Pricetype1=4),IF(K7=0,0,(EURO(K7,Strikeprice1,0,0,($AK7+IF(Smile=TRUE(),VLOOKUP(MAX(-5,Strikeprice1-K7),Volsmile,2),0)),($A7-DateToday)+15,IF(Pricetype1=1,1,0),0))),K7)))</f>
        <v>15.7500009536743</v>
      </c>
      <c r="U7" s="319" t="e">
        <f aca="false">IF($A7="N/A"," ",Volume1*$AM7)</f>
        <v>#N/A</v>
      </c>
      <c r="V7" s="320" t="e">
        <f aca="false">IF($A7="N/A"," ",$U7*(8*($BQ7))*L7)</f>
        <v>#N/A</v>
      </c>
      <c r="W7" s="320" t="e">
        <f aca="false">IF($A7="N/A"," ",$U7*(8*($BQ7))*M7)</f>
        <v>#N/A</v>
      </c>
      <c r="X7" s="320" t="e">
        <f aca="false">IF($A7="N/A"," ",$U7*(8*($BQ7))*N7)</f>
        <v>#N/A</v>
      </c>
      <c r="Y7" s="320" t="e">
        <f aca="false">IF($A7="N/A"," ",$U7*(8*($BR7))*O7)</f>
        <v>#N/A</v>
      </c>
      <c r="Z7" s="320" t="e">
        <f aca="false">IF($A7="N/A"," ",$U7*(8*($BR7))*P7)</f>
        <v>#N/A</v>
      </c>
      <c r="AA7" s="320" t="e">
        <f aca="false">IF($A7="N/A"," ",$U7*(8*($BR7))*Q7)</f>
        <v>#N/A</v>
      </c>
      <c r="AB7" s="320" t="e">
        <f aca="false">IF($A7="N/A"," ",$U7*(8*($BS7))*R7)</f>
        <v>#N/A</v>
      </c>
      <c r="AC7" s="320" t="e">
        <f aca="false">IF($A7="N/A"," ",$U7*(8*($BS7))*S7)</f>
        <v>#N/A</v>
      </c>
      <c r="AD7" s="320" t="e">
        <f aca="false">IF($A7="N/A"," ",$U7*(8*($BS7))*T7)</f>
        <v>#N/A</v>
      </c>
      <c r="AE7" s="320" t="e">
        <f aca="false">IF($A7="N/A"," ",SUM(V7:AD7))</f>
        <v>#N/A</v>
      </c>
      <c r="AF7" s="321" t="n">
        <f aca="false">IF(A7="N/A"," ",(VLOOKUP(A7,PowerVolTable,(IF(VolBMO1=2,7,IF(VolBMO1=1,6,8))),FALSE())))</f>
        <v>0.35</v>
      </c>
      <c r="AG7" s="321" t="n">
        <f aca="false">IF(A7="N/A"," ",(VLOOKUP(A7,IntraPowerVol,(IF(VolBMO1=2,3,IF(VolBMO1=1,2,4))),FALSE())*VLOOKUP(MONTH($A7),Volscale,2)))</f>
        <v>0.7</v>
      </c>
      <c r="AH7" s="321" t="n">
        <f aca="false">IF($A7="N/A"," ",IF(VolType1=1,AG7,AF7))</f>
        <v>0.7</v>
      </c>
      <c r="AI7" s="321" t="n">
        <f aca="false">IF($A7="N/A"," ",(VLOOKUP($A7,OffPwrVolTable,(IF(VolBMO1=2,7,IF(VolBMO1=1,6,8))),FALSE())))</f>
        <v>0.175</v>
      </c>
      <c r="AJ7" s="321" t="n">
        <f aca="false">IF($A7="N/A"," ",(VLOOKUP($A7,OffPwrVolTable,(IF(VolBMO1=2,3,IF(VolBMO1=1,2,4))),FALSE())*VLOOKUP(MONTH($A7),Volscale,2)))</f>
        <v>0.42</v>
      </c>
      <c r="AK7" s="321" t="n">
        <f aca="false">IF($A7="N/A"," ",IF(VolType1=1,AJ7,AI7))</f>
        <v>0.42</v>
      </c>
      <c r="AL7" s="321" t="e">
        <f aca="false">IF($A7="N/A"," ",IF(PV=1,0,'Pricing Inputs1'!R40))</f>
        <v>#N/A</v>
      </c>
      <c r="AM7" s="323" t="e">
        <f aca="false">IF($A7="N/A"," ",(1+AL7/2)^(-2*((EOMONTH(A7,0)+20)-DateToday)/365.25))</f>
        <v>#N/A</v>
      </c>
      <c r="BQ7" s="0" t="n">
        <f aca="false">IF($A7="N/A"," ",(VLOOKUP($A7,NumberofDaysTable,2)))</f>
        <v>22</v>
      </c>
      <c r="BR7" s="0" t="n">
        <f aca="false">IF($A7="N/A"," ",(VLOOKUP($A7,NumberofDaysTable,3)))</f>
        <v>4</v>
      </c>
      <c r="BS7" s="0" t="n">
        <f aca="false">IF($A7="N/A"," ",(VLOOKUP($A7,NumberofDaysTable,4)))</f>
        <v>4</v>
      </c>
    </row>
    <row r="8" customFormat="false" ht="12.75" hidden="false" customHeight="false" outlineLevel="0" collapsed="false">
      <c r="A8" s="315" t="n">
        <f aca="false">IF(A7="N/A","N/A",IF(EDATE(A7,1)&gt;Inputs!$M$5,"N/A",EDATE(A7,1)))</f>
        <v>37377</v>
      </c>
      <c r="B8" s="316" t="n">
        <f aca="false">IF(A8="N/A"," ",YEAR(A8))</f>
        <v>2002</v>
      </c>
      <c r="C8" s="317" t="n">
        <f aca="false">IF($A8="N/A"," ",IF(Dayrun1=10,0,IF(Scaler1=1,(VLOOKUP(A8,ScaledPrice1,4)),(VLOOKUP(A8,ScaledPrice1,2)))))</f>
        <v>34.625</v>
      </c>
      <c r="D8" s="317" t="n">
        <f aca="false">IF(A8="N/A"," ",IF(Dayrun1&gt;=7,0,IF(Scaler1=2,VLOOKUP(A8,ScaledPrice1,2),(VLOOKUP(A8,ScaledPrice1,2))*(2-(VLOOKUP(A8,ScaledPrice1,3))))))</f>
        <v>34.625</v>
      </c>
      <c r="E8" s="317" t="n">
        <f aca="false">IF($A8="N/A"," ",IF(AND(Dayrun1&gt;=4,Dayrun1&lt;=9),0,VLOOKUP($A8,ScaledPrice1,9)))</f>
        <v>17.75</v>
      </c>
      <c r="F8" s="317" t="n">
        <f aca="false">IF(A8="N/A"," ",IF(OR(Dayrun1=2,Dayrun1=3,Dayrun1=5,Dayrun1=6,Dayrun1=8,Dayrun1=9),VLOOKUP(A8,ScaledPrice1,IF(Scaler1=1,6,5)),0))</f>
        <v>23.9199990844727</v>
      </c>
      <c r="G8" s="317" t="n">
        <f aca="false">IF(A8="N/A"," ",IF(OR(Dayrun1=2,Dayrun1=3,Dayrun1=5,Dayrun1=6),IF(Scaler1=2,F8,(VLOOKUP(A8,ScaledPrice1,5))*(2-(VLOOKUP(A8,ScaledPrice1,3)))),0))</f>
        <v>23.9199990844727</v>
      </c>
      <c r="H8" s="317" t="n">
        <f aca="false">IF($A8="N/A"," ",IF(OR(Dayrun1=2,Dayrun1=3,Dayrun1=10),VLOOKUP($A8,ScaledPrice1,9),0))</f>
        <v>17.75</v>
      </c>
      <c r="I8" s="317" t="n">
        <f aca="false">IF(A8="N/A"," ",IF(OR(Dayrun1=3,Dayrun1=6,Dayrun1=9),(VLOOKUP(A8,ScaledPrice1,IF(Scaler1=2,7,8))),0))</f>
        <v>17.4249982452393</v>
      </c>
      <c r="J8" s="317" t="n">
        <f aca="false">IF(A8="N/A"," ",IF(OR(Dayrun1=3,Dayrun1=6),IF(Scaler1=2,I8,(VLOOKUP(A8,ScaledPrice1,7))*(2-(VLOOKUP(A8,ScaledPrice1,3)))),0))</f>
        <v>17.4249982452393</v>
      </c>
      <c r="K8" s="317" t="n">
        <f aca="false">IF($A8="N/A"," ",IF(OR(Dayrun1=3,Dayrun1=10),VLOOKUP($A8,ScaledPrice1,9),0))</f>
        <v>17.75</v>
      </c>
      <c r="L8" s="318" t="n">
        <f aca="false">IF($A8="N/A"," ",IF(Pricetype1=2,MAX(C8,0),IF(OR(Pricetype1=1,Pricetype1=4),IF(C8=0,0,(EURO(C8,Strikeprice1,0,0,($AH8+IF(Smile=TRUE(),VLOOKUP(MAX(-5,Strikeprice1-C8),Volsmile,2),0)),($A8-DateToday)+15,IF(Pricetype1=1,1,0),0))),C8)))</f>
        <v>34.625</v>
      </c>
      <c r="M8" s="318" t="n">
        <f aca="false">IF($A8="N/A"," ",IF(Pricetype1=2,MAX(D8,0),IF(OR(Pricetype1=1,Pricetype1=4),IF(D8=0,0,(EURO(D8,Strikeprice1,0,0,($AH8+IF(Smile=TRUE(),VLOOKUP(MAX(-5,Strikeprice1-D8),Volsmile,2),0)),($A8-DateToday)+15,IF(Pricetype1=1,1,0),0))),D8)))</f>
        <v>34.625</v>
      </c>
      <c r="N8" s="318" t="n">
        <f aca="false">IF($A8="N/A"," ",IF(Pricetype1=2,MAX(E8,0),IF(OR(Pricetype1=1,Pricetype1=4),IF(E8=0,0,(EURO(E8,Strikeprice1,0,0,($AK8+IF(Smile=TRUE(),VLOOKUP(MAX(-5,Strikeprice1-E8),Volsmile,2),0)),($A8-DateToday)+15,IF(Pricetype1=1,1,0),0))),E8)))</f>
        <v>17.75</v>
      </c>
      <c r="O8" s="318" t="n">
        <f aca="false">IF($A8="N/A"," ",IF(Pricetype1=2,MAX(F8,0),IF(OR(Pricetype1=1,Pricetype1=4),IF(F8=0,0,(EURO(F8,Strikeprice1,0,0,($AK8+IF(Smile=TRUE(),VLOOKUP(MAX(-5,Strikeprice1-F8),Volsmile,2),0)),($A8-DateToday)+15,IF(Pricetype1=1,1,0),0))),F8)))</f>
        <v>23.9199990844727</v>
      </c>
      <c r="P8" s="318" t="n">
        <f aca="false">IF($A8="N/A"," ",IF(Pricetype1=2,MAX(G8,0),IF(OR(Pricetype1=1,Pricetype1=4),IF(G8=0,0,(EURO(G8,Strikeprice1,0,0,($AK8+IF(Smile=TRUE(),VLOOKUP(MAX(-5,Strikeprice1-G8),Volsmile,2),0)),($A8-DateToday)+15,IF(Pricetype1=1,1,0),0))),G8)))</f>
        <v>23.9199990844727</v>
      </c>
      <c r="Q8" s="318" t="n">
        <f aca="false">IF($A8="N/A"," ",IF(Pricetype1=2,MAX(H8,0),IF(OR(Pricetype1=1,Pricetype1=4),IF(H8=0,0,(EURO(H8,Strikeprice1,0,0,($AK8+IF(Smile=TRUE(),VLOOKUP(MAX(-5,Strikeprice1-H8),Volsmile,2),0)),($A8-DateToday)+15,IF(Pricetype1=1,1,0),0))),H8)))</f>
        <v>17.75</v>
      </c>
      <c r="R8" s="318" t="n">
        <f aca="false">IF($A8="N/A"," ",IF(Pricetype1=2,MAX(I8,0),IF(OR(Pricetype1=1,Pricetype1=4),IF(I8=0,0,(EURO(I8,Strikeprice1,0,0,($AK8+IF(Smile=TRUE(),VLOOKUP(MAX(-5,Strikeprice1-I8),Volsmile,2),0)),($A8-DateToday)+15,IF(Pricetype1=1,1,0),0))),I8)))</f>
        <v>17.4249982452393</v>
      </c>
      <c r="S8" s="318" t="n">
        <f aca="false">IF($A8="N/A"," ",IF(Pricetype1=2,MAX(J8,0),IF(OR(Pricetype1=1,Pricetype1=4),IF(J8=0,0,(EURO(J8,Strikeprice1,0,0,($AK8+IF(Smile=TRUE(),VLOOKUP(MAX(-5,Strikeprice1-J8),Volsmile,2),0)),($A8-DateToday)+15,IF(Pricetype1=1,1,0),0))),J8)))</f>
        <v>17.4249982452393</v>
      </c>
      <c r="T8" s="318" t="n">
        <f aca="false">IF($A8="N/A"," ",IF(Pricetype1=2,MAX(K8,0),IF(OR(Pricetype1=1,Pricetype1=4),IF(K8=0,0,(EURO(K8,Strikeprice1,0,0,($AK8+IF(Smile=TRUE(),VLOOKUP(MAX(-5,Strikeprice1-K8),Volsmile,2),0)),($A8-DateToday)+15,IF(Pricetype1=1,1,0),0))),K8)))</f>
        <v>17.75</v>
      </c>
      <c r="U8" s="319" t="e">
        <f aca="false">IF($A8="N/A"," ",Volume1*$AM8)</f>
        <v>#N/A</v>
      </c>
      <c r="V8" s="320" t="e">
        <f aca="false">IF($A8="N/A"," ",$U8*(8*($BQ8))*L8)</f>
        <v>#N/A</v>
      </c>
      <c r="W8" s="320" t="e">
        <f aca="false">IF($A8="N/A"," ",$U8*(8*($BQ8))*M8)</f>
        <v>#N/A</v>
      </c>
      <c r="X8" s="320" t="e">
        <f aca="false">IF($A8="N/A"," ",$U8*(8*($BQ8))*N8)</f>
        <v>#N/A</v>
      </c>
      <c r="Y8" s="320" t="e">
        <f aca="false">IF($A8="N/A"," ",$U8*(8*($BR8))*O8)</f>
        <v>#N/A</v>
      </c>
      <c r="Z8" s="320" t="e">
        <f aca="false">IF($A8="N/A"," ",$U8*(8*($BR8))*P8)</f>
        <v>#N/A</v>
      </c>
      <c r="AA8" s="320" t="e">
        <f aca="false">IF($A8="N/A"," ",$U8*(8*($BR8))*Q8)</f>
        <v>#N/A</v>
      </c>
      <c r="AB8" s="320" t="e">
        <f aca="false">IF($A8="N/A"," ",$U8*(8*($BS8))*R8)</f>
        <v>#N/A</v>
      </c>
      <c r="AC8" s="320" t="e">
        <f aca="false">IF($A8="N/A"," ",$U8*(8*($BS8))*S8)</f>
        <v>#N/A</v>
      </c>
      <c r="AD8" s="320" t="e">
        <f aca="false">IF($A8="N/A"," ",$U8*(8*($BS8))*T8)</f>
        <v>#N/A</v>
      </c>
      <c r="AE8" s="320" t="e">
        <f aca="false">IF($A8="N/A"," ",SUM(V8:AD8))</f>
        <v>#N/A</v>
      </c>
      <c r="AF8" s="321" t="n">
        <f aca="false">IF(A8="N/A"," ",(VLOOKUP(A8,PowerVolTable,(IF(VolBMO1=2,7,IF(VolBMO1=1,6,8))),FALSE())))</f>
        <v>0.35</v>
      </c>
      <c r="AG8" s="321" t="n">
        <f aca="false">IF(A8="N/A"," ",(VLOOKUP(A8,IntraPowerVol,(IF(VolBMO1=2,3,IF(VolBMO1=1,2,4))),FALSE())*VLOOKUP(MONTH($A8),Volscale,2)))</f>
        <v>0.7</v>
      </c>
      <c r="AH8" s="321" t="n">
        <f aca="false">IF($A8="N/A"," ",IF(VolType1=1,AG8,AF8))</f>
        <v>0.7</v>
      </c>
      <c r="AI8" s="321" t="n">
        <f aca="false">IF($A8="N/A"," ",(VLOOKUP($A8,OffPwrVolTable,(IF(VolBMO1=2,7,IF(VolBMO1=1,6,8))),FALSE())))</f>
        <v>0.175</v>
      </c>
      <c r="AJ8" s="321" t="n">
        <f aca="false">IF($A8="N/A"," ",(VLOOKUP($A8,OffPwrVolTable,(IF(VolBMO1=2,3,IF(VolBMO1=1,2,4))),FALSE())*VLOOKUP(MONTH($A8),Volscale,2)))</f>
        <v>0.42</v>
      </c>
      <c r="AK8" s="321" t="n">
        <f aca="false">IF($A8="N/A"," ",IF(VolType1=1,AJ8,AI8))</f>
        <v>0.42</v>
      </c>
      <c r="AL8" s="321" t="e">
        <f aca="false">IF($A8="N/A"," ",IF(PV=1,0,'Pricing Inputs1'!R41))</f>
        <v>#N/A</v>
      </c>
      <c r="AM8" s="323" t="e">
        <f aca="false">IF($A8="N/A"," ",(1+AL8/2)^(-2*((EOMONTH(A8,0)+20)-DateToday)/365.25))</f>
        <v>#N/A</v>
      </c>
      <c r="BQ8" s="0" t="n">
        <f aca="false">IF($A8="N/A"," ",(VLOOKUP($A8,NumberofDaysTable,2)))</f>
        <v>22</v>
      </c>
      <c r="BR8" s="0" t="n">
        <f aca="false">IF($A8="N/A"," ",(VLOOKUP($A8,NumberofDaysTable,3)))</f>
        <v>4</v>
      </c>
      <c r="BS8" s="0" t="n">
        <f aca="false">IF($A8="N/A"," ",(VLOOKUP($A8,NumberofDaysTable,4)))</f>
        <v>5</v>
      </c>
    </row>
    <row r="9" customFormat="false" ht="12.75" hidden="false" customHeight="false" outlineLevel="0" collapsed="false">
      <c r="A9" s="315" t="n">
        <f aca="false">IF(A8="N/A","N/A",IF(EDATE(A8,1)&gt;Inputs!$M$5,"N/A",EDATE(A8,1)))</f>
        <v>37408</v>
      </c>
      <c r="B9" s="316" t="n">
        <f aca="false">IF(A9="N/A"," ",YEAR(A9))</f>
        <v>2002</v>
      </c>
      <c r="C9" s="317" t="n">
        <f aca="false">IF($A9="N/A"," ",IF(Dayrun1=10,0,IF(Scaler1=1,(VLOOKUP(A9,ScaledPrice1,4)),(VLOOKUP(A9,ScaledPrice1,2)))))</f>
        <v>44.75</v>
      </c>
      <c r="D9" s="317" t="n">
        <f aca="false">IF(A9="N/A"," ",IF(Dayrun1&gt;=7,0,IF(Scaler1=2,VLOOKUP(A9,ScaledPrice1,2),(VLOOKUP(A9,ScaledPrice1,2))*(2-(VLOOKUP(A9,ScaledPrice1,3))))))</f>
        <v>44.75</v>
      </c>
      <c r="E9" s="317" t="n">
        <f aca="false">IF($A9="N/A"," ",IF(AND(Dayrun1&gt;=4,Dayrun1&lt;=9),0,VLOOKUP($A9,ScaledPrice1,9)))</f>
        <v>20.75</v>
      </c>
      <c r="F9" s="317" t="n">
        <f aca="false">IF(A9="N/A"," ",IF(OR(Dayrun1=2,Dayrun1=3,Dayrun1=5,Dayrun1=6,Dayrun1=8,Dayrun1=9),VLOOKUP(A9,ScaledPrice1,IF(Scaler1=1,6,5)),0))</f>
        <v>30.9199990844727</v>
      </c>
      <c r="G9" s="317" t="n">
        <f aca="false">IF(A9="N/A"," ",IF(OR(Dayrun1=2,Dayrun1=3,Dayrun1=5,Dayrun1=6),IF(Scaler1=2,F9,(VLOOKUP(A9,ScaledPrice1,5))*(2-(VLOOKUP(A9,ScaledPrice1,3)))),0))</f>
        <v>30.9199990844727</v>
      </c>
      <c r="H9" s="317" t="n">
        <f aca="false">IF($A9="N/A"," ",IF(OR(Dayrun1=2,Dayrun1=3,Dayrun1=10),VLOOKUP($A9,ScaledPrice1,9),0))</f>
        <v>20.75</v>
      </c>
      <c r="I9" s="317" t="n">
        <f aca="false">IF(A9="N/A"," ",IF(OR(Dayrun1=3,Dayrun1=6,Dayrun1=9),(VLOOKUP(A9,ScaledPrice1,IF(Scaler1=2,7,8))),0))</f>
        <v>21.4199990844727</v>
      </c>
      <c r="J9" s="317" t="n">
        <f aca="false">IF(A9="N/A"," ",IF(OR(Dayrun1=3,Dayrun1=6),IF(Scaler1=2,I9,(VLOOKUP(A9,ScaledPrice1,7))*(2-(VLOOKUP(A9,ScaledPrice1,3)))),0))</f>
        <v>21.4199990844727</v>
      </c>
      <c r="K9" s="317" t="n">
        <f aca="false">IF($A9="N/A"," ",IF(OR(Dayrun1=3,Dayrun1=10),VLOOKUP($A9,ScaledPrice1,9),0))</f>
        <v>20.75</v>
      </c>
      <c r="L9" s="318" t="n">
        <f aca="false">IF($A9="N/A"," ",IF(Pricetype1=2,MAX(C9,0),IF(OR(Pricetype1=1,Pricetype1=4),IF(C9=0,0,(EURO(C9,Strikeprice1,0,0,($AH9+IF(Smile=TRUE(),VLOOKUP(MAX(-5,Strikeprice1-C9),Volsmile,2),0)),($A9-DateToday)+15,IF(Pricetype1=1,1,0),0))),C9)))</f>
        <v>44.75</v>
      </c>
      <c r="M9" s="318" t="n">
        <f aca="false">IF($A9="N/A"," ",IF(Pricetype1=2,MAX(D9,0),IF(OR(Pricetype1=1,Pricetype1=4),IF(D9=0,0,(EURO(D9,Strikeprice1,0,0,($AH9+IF(Smile=TRUE(),VLOOKUP(MAX(-5,Strikeprice1-D9),Volsmile,2),0)),($A9-DateToday)+15,IF(Pricetype1=1,1,0),0))),D9)))</f>
        <v>44.75</v>
      </c>
      <c r="N9" s="318" t="n">
        <f aca="false">IF($A9="N/A"," ",IF(Pricetype1=2,MAX(E9,0),IF(OR(Pricetype1=1,Pricetype1=4),IF(E9=0,0,(EURO(E9,Strikeprice1,0,0,($AK9+IF(Smile=TRUE(),VLOOKUP(MAX(-5,Strikeprice1-E9),Volsmile,2),0)),($A9-DateToday)+15,IF(Pricetype1=1,1,0),0))),E9)))</f>
        <v>20.75</v>
      </c>
      <c r="O9" s="318" t="n">
        <f aca="false">IF($A9="N/A"," ",IF(Pricetype1=2,MAX(F9,0),IF(OR(Pricetype1=1,Pricetype1=4),IF(F9=0,0,(EURO(F9,Strikeprice1,0,0,($AK9+IF(Smile=TRUE(),VLOOKUP(MAX(-5,Strikeprice1-F9),Volsmile,2),0)),($A9-DateToday)+15,IF(Pricetype1=1,1,0),0))),F9)))</f>
        <v>30.9199990844727</v>
      </c>
      <c r="P9" s="318" t="n">
        <f aca="false">IF($A9="N/A"," ",IF(Pricetype1=2,MAX(G9,0),IF(OR(Pricetype1=1,Pricetype1=4),IF(G9=0,0,(EURO(G9,Strikeprice1,0,0,($AK9+IF(Smile=TRUE(),VLOOKUP(MAX(-5,Strikeprice1-G9),Volsmile,2),0)),($A9-DateToday)+15,IF(Pricetype1=1,1,0),0))),G9)))</f>
        <v>30.9199990844727</v>
      </c>
      <c r="Q9" s="318" t="n">
        <f aca="false">IF($A9="N/A"," ",IF(Pricetype1=2,MAX(H9,0),IF(OR(Pricetype1=1,Pricetype1=4),IF(H9=0,0,(EURO(H9,Strikeprice1,0,0,($AK9+IF(Smile=TRUE(),VLOOKUP(MAX(-5,Strikeprice1-H9),Volsmile,2),0)),($A9-DateToday)+15,IF(Pricetype1=1,1,0),0))),H9)))</f>
        <v>20.75</v>
      </c>
      <c r="R9" s="318" t="n">
        <f aca="false">IF($A9="N/A"," ",IF(Pricetype1=2,MAX(I9,0),IF(OR(Pricetype1=1,Pricetype1=4),IF(I9=0,0,(EURO(I9,Strikeprice1,0,0,($AK9+IF(Smile=TRUE(),VLOOKUP(MAX(-5,Strikeprice1-I9),Volsmile,2),0)),($A9-DateToday)+15,IF(Pricetype1=1,1,0),0))),I9)))</f>
        <v>21.4199990844727</v>
      </c>
      <c r="S9" s="318" t="n">
        <f aca="false">IF($A9="N/A"," ",IF(Pricetype1=2,MAX(J9,0),IF(OR(Pricetype1=1,Pricetype1=4),IF(J9=0,0,(EURO(J9,Strikeprice1,0,0,($AK9+IF(Smile=TRUE(),VLOOKUP(MAX(-5,Strikeprice1-J9),Volsmile,2),0)),($A9-DateToday)+15,IF(Pricetype1=1,1,0),0))),J9)))</f>
        <v>21.4199990844727</v>
      </c>
      <c r="T9" s="318" t="n">
        <f aca="false">IF($A9="N/A"," ",IF(Pricetype1=2,MAX(K9,0),IF(OR(Pricetype1=1,Pricetype1=4),IF(K9=0,0,(EURO(K9,Strikeprice1,0,0,($AK9+IF(Smile=TRUE(),VLOOKUP(MAX(-5,Strikeprice1-K9),Volsmile,2),0)),($A9-DateToday)+15,IF(Pricetype1=1,1,0),0))),K9)))</f>
        <v>20.75</v>
      </c>
      <c r="U9" s="319" t="e">
        <f aca="false">IF($A9="N/A"," ",Volume1*$AM9)</f>
        <v>#N/A</v>
      </c>
      <c r="V9" s="320" t="e">
        <f aca="false">IF($A9="N/A"," ",$U9*(8*($BQ9))*L9)</f>
        <v>#N/A</v>
      </c>
      <c r="W9" s="320" t="e">
        <f aca="false">IF($A9="N/A"," ",$U9*(8*($BQ9))*M9)</f>
        <v>#N/A</v>
      </c>
      <c r="X9" s="320" t="e">
        <f aca="false">IF($A9="N/A"," ",$U9*(8*($BQ9))*N9)</f>
        <v>#N/A</v>
      </c>
      <c r="Y9" s="320" t="e">
        <f aca="false">IF($A9="N/A"," ",$U9*(8*($BR9))*O9)</f>
        <v>#N/A</v>
      </c>
      <c r="Z9" s="320" t="e">
        <f aca="false">IF($A9="N/A"," ",$U9*(8*($BR9))*P9)</f>
        <v>#N/A</v>
      </c>
      <c r="AA9" s="320" t="e">
        <f aca="false">IF($A9="N/A"," ",$U9*(8*($BR9))*Q9)</f>
        <v>#N/A</v>
      </c>
      <c r="AB9" s="320" t="e">
        <f aca="false">IF($A9="N/A"," ",$U9*(8*($BS9))*R9)</f>
        <v>#N/A</v>
      </c>
      <c r="AC9" s="320" t="e">
        <f aca="false">IF($A9="N/A"," ",$U9*(8*($BS9))*S9)</f>
        <v>#N/A</v>
      </c>
      <c r="AD9" s="320" t="e">
        <f aca="false">IF($A9="N/A"," ",$U9*(8*($BS9))*T9)</f>
        <v>#N/A</v>
      </c>
      <c r="AE9" s="320" t="e">
        <f aca="false">IF($A9="N/A"," ",SUM(V9:AD9))</f>
        <v>#N/A</v>
      </c>
      <c r="AF9" s="321" t="n">
        <f aca="false">IF(A9="N/A"," ",(VLOOKUP(A9,PowerVolTable,(IF(VolBMO1=2,7,IF(VolBMO1=1,6,8))),FALSE())))</f>
        <v>0.35</v>
      </c>
      <c r="AG9" s="321" t="n">
        <f aca="false">IF(A9="N/A"," ",(VLOOKUP(A9,IntraPowerVol,(IF(VolBMO1=2,3,IF(VolBMO1=1,2,4))),FALSE())*VLOOKUP(MONTH($A9),Volscale,2)))</f>
        <v>0.75</v>
      </c>
      <c r="AH9" s="321" t="n">
        <f aca="false">IF($A9="N/A"," ",IF(VolType1=1,AG9,AF9))</f>
        <v>0.75</v>
      </c>
      <c r="AI9" s="321" t="n">
        <f aca="false">IF($A9="N/A"," ",(VLOOKUP($A9,OffPwrVolTable,(IF(VolBMO1=2,7,IF(VolBMO1=1,6,8))),FALSE())))</f>
        <v>0.175</v>
      </c>
      <c r="AJ9" s="321" t="n">
        <f aca="false">IF($A9="N/A"," ",(VLOOKUP($A9,OffPwrVolTable,(IF(VolBMO1=2,3,IF(VolBMO1=1,2,4))),FALSE())*VLOOKUP(MONTH($A9),Volscale,2)))</f>
        <v>0.45</v>
      </c>
      <c r="AK9" s="321" t="n">
        <f aca="false">IF($A9="N/A"," ",IF(VolType1=1,AJ9,AI9))</f>
        <v>0.45</v>
      </c>
      <c r="AL9" s="321" t="e">
        <f aca="false">IF($A9="N/A"," ",IF(PV=1,0,'Pricing Inputs1'!R42))</f>
        <v>#N/A</v>
      </c>
      <c r="AM9" s="323" t="e">
        <f aca="false">IF($A9="N/A"," ",(1+AL9/2)^(-2*((EOMONTH(A9,0)+20)-DateToday)/365.25))</f>
        <v>#N/A</v>
      </c>
      <c r="BQ9" s="0" t="n">
        <f aca="false">IF($A9="N/A"," ",(VLOOKUP($A9,NumberofDaysTable,2)))</f>
        <v>20</v>
      </c>
      <c r="BR9" s="0" t="n">
        <f aca="false">IF($A9="N/A"," ",(VLOOKUP($A9,NumberofDaysTable,3)))</f>
        <v>5</v>
      </c>
      <c r="BS9" s="0" t="n">
        <f aca="false">IF($A9="N/A"," ",(VLOOKUP($A9,NumberofDaysTable,4)))</f>
        <v>5</v>
      </c>
    </row>
    <row r="10" customFormat="false" ht="12.75" hidden="false" customHeight="false" outlineLevel="0" collapsed="false">
      <c r="A10" s="315" t="n">
        <f aca="false">IF(A9="N/A","N/A",IF(EDATE(A9,1)&gt;Inputs!$M$5,"N/A",EDATE(A9,1)))</f>
        <v>37438</v>
      </c>
      <c r="B10" s="316" t="n">
        <f aca="false">IF(A10="N/A"," ",YEAR(A10))</f>
        <v>2002</v>
      </c>
      <c r="C10" s="317" t="n">
        <f aca="false">IF($A10="N/A"," ",IF(Dayrun1=10,0,IF(Scaler1=1,(VLOOKUP(A10,ScaledPrice1,4)),(VLOOKUP(A10,ScaledPrice1,2)))))</f>
        <v>62.25</v>
      </c>
      <c r="D10" s="317" t="n">
        <f aca="false">IF(A10="N/A"," ",IF(Dayrun1&gt;=7,0,IF(Scaler1=2,VLOOKUP(A10,ScaledPrice1,2),(VLOOKUP(A10,ScaledPrice1,2))*(2-(VLOOKUP(A10,ScaledPrice1,3))))))</f>
        <v>62.25</v>
      </c>
      <c r="E10" s="317" t="n">
        <f aca="false">IF($A10="N/A"," ",IF(AND(Dayrun1&gt;=4,Dayrun1&lt;=9),0,VLOOKUP($A10,ScaledPrice1,9)))</f>
        <v>21.25</v>
      </c>
      <c r="F10" s="317" t="n">
        <f aca="false">IF(A10="N/A"," ",IF(OR(Dayrun1=2,Dayrun1=3,Dayrun1=5,Dayrun1=6,Dayrun1=8,Dayrun1=9),VLOOKUP(A10,ScaledPrice1,IF(Scaler1=1,6,5)),0))</f>
        <v>36.9199990844727</v>
      </c>
      <c r="G10" s="317" t="n">
        <f aca="false">IF(A10="N/A"," ",IF(OR(Dayrun1=2,Dayrun1=3,Dayrun1=5,Dayrun1=6),IF(Scaler1=2,F10,(VLOOKUP(A10,ScaledPrice1,5))*(2-(VLOOKUP(A10,ScaledPrice1,3)))),0))</f>
        <v>36.9199990844727</v>
      </c>
      <c r="H10" s="317" t="n">
        <f aca="false">IF($A10="N/A"," ",IF(OR(Dayrun1=2,Dayrun1=3,Dayrun1=10),VLOOKUP($A10,ScaledPrice1,9),0))</f>
        <v>21.25</v>
      </c>
      <c r="I10" s="317" t="n">
        <f aca="false">IF(A10="N/A"," ",IF(OR(Dayrun1=3,Dayrun1=6,Dayrun1=9),(VLOOKUP(A10,ScaledPrice1,IF(Scaler1=2,7,8))),0))</f>
        <v>27.4199990844727</v>
      </c>
      <c r="J10" s="317" t="n">
        <f aca="false">IF(A10="N/A"," ",IF(OR(Dayrun1=3,Dayrun1=6),IF(Scaler1=2,I10,(VLOOKUP(A10,ScaledPrice1,7))*(2-(VLOOKUP(A10,ScaledPrice1,3)))),0))</f>
        <v>27.4199990844727</v>
      </c>
      <c r="K10" s="317" t="n">
        <f aca="false">IF($A10="N/A"," ",IF(OR(Dayrun1=3,Dayrun1=10),VLOOKUP($A10,ScaledPrice1,9),0))</f>
        <v>21.25</v>
      </c>
      <c r="L10" s="318" t="n">
        <f aca="false">IF($A10="N/A"," ",IF(Pricetype1=2,MAX(C10,0),IF(OR(Pricetype1=1,Pricetype1=4),IF(C10=0,0,(EURO(C10,Strikeprice1,0,0,($AH10+IF(Smile=TRUE(),VLOOKUP(MAX(-5,Strikeprice1-C10),Volsmile,2),0)),($A10-DateToday)+15,IF(Pricetype1=1,1,0),0))),C10)))</f>
        <v>62.25</v>
      </c>
      <c r="M10" s="318" t="n">
        <f aca="false">IF($A10="N/A"," ",IF(Pricetype1=2,MAX(D10,0),IF(OR(Pricetype1=1,Pricetype1=4),IF(D10=0,0,(EURO(D10,Strikeprice1,0,0,($AH10+IF(Smile=TRUE(),VLOOKUP(MAX(-5,Strikeprice1-D10),Volsmile,2),0)),($A10-DateToday)+15,IF(Pricetype1=1,1,0),0))),D10)))</f>
        <v>62.25</v>
      </c>
      <c r="N10" s="318" t="n">
        <f aca="false">IF($A10="N/A"," ",IF(Pricetype1=2,MAX(E10,0),IF(OR(Pricetype1=1,Pricetype1=4),IF(E10=0,0,(EURO(E10,Strikeprice1,0,0,($AK10+IF(Smile=TRUE(),VLOOKUP(MAX(-5,Strikeprice1-E10),Volsmile,2),0)),($A10-DateToday)+15,IF(Pricetype1=1,1,0),0))),E10)))</f>
        <v>21.25</v>
      </c>
      <c r="O10" s="318" t="n">
        <f aca="false">IF($A10="N/A"," ",IF(Pricetype1=2,MAX(F10,0),IF(OR(Pricetype1=1,Pricetype1=4),IF(F10=0,0,(EURO(F10,Strikeprice1,0,0,($AK10+IF(Smile=TRUE(),VLOOKUP(MAX(-5,Strikeprice1-F10),Volsmile,2),0)),($A10-DateToday)+15,IF(Pricetype1=1,1,0),0))),F10)))</f>
        <v>36.9199990844727</v>
      </c>
      <c r="P10" s="318" t="n">
        <f aca="false">IF($A10="N/A"," ",IF(Pricetype1=2,MAX(G10,0),IF(OR(Pricetype1=1,Pricetype1=4),IF(G10=0,0,(EURO(G10,Strikeprice1,0,0,($AK10+IF(Smile=TRUE(),VLOOKUP(MAX(-5,Strikeprice1-G10),Volsmile,2),0)),($A10-DateToday)+15,IF(Pricetype1=1,1,0),0))),G10)))</f>
        <v>36.9199990844727</v>
      </c>
      <c r="Q10" s="318" t="n">
        <f aca="false">IF($A10="N/A"," ",IF(Pricetype1=2,MAX(H10,0),IF(OR(Pricetype1=1,Pricetype1=4),IF(H10=0,0,(EURO(H10,Strikeprice1,0,0,($AK10+IF(Smile=TRUE(),VLOOKUP(MAX(-5,Strikeprice1-H10),Volsmile,2),0)),($A10-DateToday)+15,IF(Pricetype1=1,1,0),0))),H10)))</f>
        <v>21.25</v>
      </c>
      <c r="R10" s="318" t="n">
        <f aca="false">IF($A10="N/A"," ",IF(Pricetype1=2,MAX(I10,0),IF(OR(Pricetype1=1,Pricetype1=4),IF(I10=0,0,(EURO(I10,Strikeprice1,0,0,($AK10+IF(Smile=TRUE(),VLOOKUP(MAX(-5,Strikeprice1-I10),Volsmile,2),0)),($A10-DateToday)+15,IF(Pricetype1=1,1,0),0))),I10)))</f>
        <v>27.4199990844727</v>
      </c>
      <c r="S10" s="318" t="n">
        <f aca="false">IF($A10="N/A"," ",IF(Pricetype1=2,MAX(J10,0),IF(OR(Pricetype1=1,Pricetype1=4),IF(J10=0,0,(EURO(J10,Strikeprice1,0,0,($AK10+IF(Smile=TRUE(),VLOOKUP(MAX(-5,Strikeprice1-J10),Volsmile,2),0)),($A10-DateToday)+15,IF(Pricetype1=1,1,0),0))),J10)))</f>
        <v>27.4199990844727</v>
      </c>
      <c r="T10" s="318" t="n">
        <f aca="false">IF($A10="N/A"," ",IF(Pricetype1=2,MAX(K10,0),IF(OR(Pricetype1=1,Pricetype1=4),IF(K10=0,0,(EURO(K10,Strikeprice1,0,0,($AK10+IF(Smile=TRUE(),VLOOKUP(MAX(-5,Strikeprice1-K10),Volsmile,2),0)),($A10-DateToday)+15,IF(Pricetype1=1,1,0),0))),K10)))</f>
        <v>21.25</v>
      </c>
      <c r="U10" s="319" t="e">
        <f aca="false">IF($A10="N/A"," ",Volume1*$AM10)</f>
        <v>#N/A</v>
      </c>
      <c r="V10" s="320" t="e">
        <f aca="false">IF($A10="N/A"," ",$U10*(8*($BQ10))*L10)</f>
        <v>#N/A</v>
      </c>
      <c r="W10" s="320" t="e">
        <f aca="false">IF($A10="N/A"," ",$U10*(8*($BQ10))*M10)</f>
        <v>#N/A</v>
      </c>
      <c r="X10" s="320" t="e">
        <f aca="false">IF($A10="N/A"," ",$U10*(8*($BQ10))*N10)</f>
        <v>#N/A</v>
      </c>
      <c r="Y10" s="320" t="e">
        <f aca="false">IF($A10="N/A"," ",$U10*(8*($BR10))*O10)</f>
        <v>#N/A</v>
      </c>
      <c r="Z10" s="320" t="e">
        <f aca="false">IF($A10="N/A"," ",$U10*(8*($BR10))*P10)</f>
        <v>#N/A</v>
      </c>
      <c r="AA10" s="320" t="e">
        <f aca="false">IF($A10="N/A"," ",$U10*(8*($BR10))*Q10)</f>
        <v>#N/A</v>
      </c>
      <c r="AB10" s="320" t="e">
        <f aca="false">IF($A10="N/A"," ",$U10*(8*($BS10))*R10)</f>
        <v>#N/A</v>
      </c>
      <c r="AC10" s="320" t="e">
        <f aca="false">IF($A10="N/A"," ",$U10*(8*($BS10))*S10)</f>
        <v>#N/A</v>
      </c>
      <c r="AD10" s="320" t="e">
        <f aca="false">IF($A10="N/A"," ",$U10*(8*($BS10))*T10)</f>
        <v>#N/A</v>
      </c>
      <c r="AE10" s="320" t="e">
        <f aca="false">IF($A10="N/A"," ",SUM(V10:AD10))</f>
        <v>#N/A</v>
      </c>
      <c r="AF10" s="321" t="n">
        <f aca="false">IF(A10="N/A"," ",(VLOOKUP(A10,PowerVolTable,(IF(VolBMO1=2,7,IF(VolBMO1=1,6,8))),FALSE())))</f>
        <v>0.45</v>
      </c>
      <c r="AG10" s="321" t="n">
        <f aca="false">IF(A10="N/A"," ",(VLOOKUP(A10,IntraPowerVol,(IF(VolBMO1=2,3,IF(VolBMO1=1,2,4))),FALSE())*VLOOKUP(MONTH($A10),Volscale,2)))</f>
        <v>0.9</v>
      </c>
      <c r="AH10" s="321" t="n">
        <f aca="false">IF($A10="N/A"," ",IF(VolType1=1,AG10,AF10))</f>
        <v>0.9</v>
      </c>
      <c r="AI10" s="321" t="n">
        <f aca="false">IF($A10="N/A"," ",(VLOOKUP($A10,OffPwrVolTable,(IF(VolBMO1=2,7,IF(VolBMO1=1,6,8))),FALSE())))</f>
        <v>0.225</v>
      </c>
      <c r="AJ10" s="321" t="n">
        <f aca="false">IF($A10="N/A"," ",(VLOOKUP($A10,OffPwrVolTable,(IF(VolBMO1=2,3,IF(VolBMO1=1,2,4))),FALSE())*VLOOKUP(MONTH($A10),Volscale,2)))</f>
        <v>0.54</v>
      </c>
      <c r="AK10" s="321" t="n">
        <f aca="false">IF($A10="N/A"," ",IF(VolType1=1,AJ10,AI10))</f>
        <v>0.54</v>
      </c>
      <c r="AL10" s="321" t="e">
        <f aca="false">IF($A10="N/A"," ",IF(PV=1,0,'Pricing Inputs1'!R43))</f>
        <v>#N/A</v>
      </c>
      <c r="AM10" s="323" t="e">
        <f aca="false">IF($A10="N/A"," ",(1+AL10/2)^(-2*((EOMONTH(A10,0)+20)-DateToday)/365.25))</f>
        <v>#N/A</v>
      </c>
      <c r="BQ10" s="0" t="n">
        <f aca="false">IF($A10="N/A"," ",(VLOOKUP($A10,NumberofDaysTable,2)))</f>
        <v>22</v>
      </c>
      <c r="BR10" s="0" t="n">
        <f aca="false">IF($A10="N/A"," ",(VLOOKUP($A10,NumberofDaysTable,3)))</f>
        <v>4</v>
      </c>
      <c r="BS10" s="0" t="n">
        <f aca="false">IF($A10="N/A"," ",(VLOOKUP($A10,NumberofDaysTable,4)))</f>
        <v>5</v>
      </c>
    </row>
    <row r="11" customFormat="false" ht="12.75" hidden="false" customHeight="false" outlineLevel="0" collapsed="false">
      <c r="A11" s="315" t="n">
        <f aca="false">IF(A10="N/A","N/A",IF(EDATE(A10,1)&gt;Inputs!$M$5,"N/A",EDATE(A10,1)))</f>
        <v>37469</v>
      </c>
      <c r="B11" s="316" t="n">
        <f aca="false">IF(A11="N/A"," ",YEAR(A11))</f>
        <v>2002</v>
      </c>
      <c r="C11" s="317" t="n">
        <f aca="false">IF($A11="N/A"," ",IF(Dayrun1=10,0,IF(Scaler1=1,(VLOOKUP(A11,ScaledPrice1,4)),(VLOOKUP(A11,ScaledPrice1,2)))))</f>
        <v>62.25</v>
      </c>
      <c r="D11" s="317" t="n">
        <f aca="false">IF(A11="N/A"," ",IF(Dayrun1&gt;=7,0,IF(Scaler1=2,VLOOKUP(A11,ScaledPrice1,2),(VLOOKUP(A11,ScaledPrice1,2))*(2-(VLOOKUP(A11,ScaledPrice1,3))))))</f>
        <v>62.25</v>
      </c>
      <c r="E11" s="317" t="n">
        <f aca="false">IF($A11="N/A"," ",IF(AND(Dayrun1&gt;=4,Dayrun1&lt;=9),0,VLOOKUP($A11,ScaledPrice1,9)))</f>
        <v>22.25</v>
      </c>
      <c r="F11" s="317" t="n">
        <f aca="false">IF(A11="N/A"," ",IF(OR(Dayrun1=2,Dayrun1=3,Dayrun1=5,Dayrun1=6,Dayrun1=8,Dayrun1=9),VLOOKUP(A11,ScaledPrice1,IF(Scaler1=1,6,5)),0))</f>
        <v>34.9200028991699</v>
      </c>
      <c r="G11" s="317" t="n">
        <f aca="false">IF(A11="N/A"," ",IF(OR(Dayrun1=2,Dayrun1=3,Dayrun1=5,Dayrun1=6),IF(Scaler1=2,F11,(VLOOKUP(A11,ScaledPrice1,5))*(2-(VLOOKUP(A11,ScaledPrice1,3)))),0))</f>
        <v>34.9200028991699</v>
      </c>
      <c r="H11" s="317" t="n">
        <f aca="false">IF($A11="N/A"," ",IF(OR(Dayrun1=2,Dayrun1=3,Dayrun1=10),VLOOKUP($A11,ScaledPrice1,9),0))</f>
        <v>22.25</v>
      </c>
      <c r="I11" s="317" t="n">
        <f aca="false">IF(A11="N/A"," ",IF(OR(Dayrun1=3,Dayrun1=6,Dayrun1=9),(VLOOKUP(A11,ScaledPrice1,IF(Scaler1=2,7,8))),0))</f>
        <v>27.4199990844727</v>
      </c>
      <c r="J11" s="317" t="n">
        <f aca="false">IF(A11="N/A"," ",IF(OR(Dayrun1=3,Dayrun1=6),IF(Scaler1=2,I11,(VLOOKUP(A11,ScaledPrice1,7))*(2-(VLOOKUP(A11,ScaledPrice1,3)))),0))</f>
        <v>27.4199990844727</v>
      </c>
      <c r="K11" s="317" t="n">
        <f aca="false">IF($A11="N/A"," ",IF(OR(Dayrun1=3,Dayrun1=10),VLOOKUP($A11,ScaledPrice1,9),0))</f>
        <v>22.25</v>
      </c>
      <c r="L11" s="318" t="n">
        <f aca="false">IF($A11="N/A"," ",IF(Pricetype1=2,MAX(C11,0),IF(OR(Pricetype1=1,Pricetype1=4),IF(C11=0,0,(EURO(C11,Strikeprice1,0,0,($AH11+IF(Smile=TRUE(),VLOOKUP(MAX(-5,Strikeprice1-C11),Volsmile,2),0)),($A11-DateToday)+15,IF(Pricetype1=1,1,0),0))),C11)))</f>
        <v>62.25</v>
      </c>
      <c r="M11" s="318" t="n">
        <f aca="false">IF($A11="N/A"," ",IF(Pricetype1=2,MAX(D11,0),IF(OR(Pricetype1=1,Pricetype1=4),IF(D11=0,0,(EURO(D11,Strikeprice1,0,0,($AH11+IF(Smile=TRUE(),VLOOKUP(MAX(-5,Strikeprice1-D11),Volsmile,2),0)),($A11-DateToday)+15,IF(Pricetype1=1,1,0),0))),D11)))</f>
        <v>62.25</v>
      </c>
      <c r="N11" s="318" t="n">
        <f aca="false">IF($A11="N/A"," ",IF(Pricetype1=2,MAX(E11,0),IF(OR(Pricetype1=1,Pricetype1=4),IF(E11=0,0,(EURO(E11,Strikeprice1,0,0,($AK11+IF(Smile=TRUE(),VLOOKUP(MAX(-5,Strikeprice1-E11),Volsmile,2),0)),($A11-DateToday)+15,IF(Pricetype1=1,1,0),0))),E11)))</f>
        <v>22.25</v>
      </c>
      <c r="O11" s="318" t="n">
        <f aca="false">IF($A11="N/A"," ",IF(Pricetype1=2,MAX(F11,0),IF(OR(Pricetype1=1,Pricetype1=4),IF(F11=0,0,(EURO(F11,Strikeprice1,0,0,($AK11+IF(Smile=TRUE(),VLOOKUP(MAX(-5,Strikeprice1-F11),Volsmile,2),0)),($A11-DateToday)+15,IF(Pricetype1=1,1,0),0))),F11)))</f>
        <v>34.9200028991699</v>
      </c>
      <c r="P11" s="318" t="n">
        <f aca="false">IF($A11="N/A"," ",IF(Pricetype1=2,MAX(G11,0),IF(OR(Pricetype1=1,Pricetype1=4),IF(G11=0,0,(EURO(G11,Strikeprice1,0,0,($AK11+IF(Smile=TRUE(),VLOOKUP(MAX(-5,Strikeprice1-G11),Volsmile,2),0)),($A11-DateToday)+15,IF(Pricetype1=1,1,0),0))),G11)))</f>
        <v>34.9200028991699</v>
      </c>
      <c r="Q11" s="318" t="n">
        <f aca="false">IF($A11="N/A"," ",IF(Pricetype1=2,MAX(H11,0),IF(OR(Pricetype1=1,Pricetype1=4),IF(H11=0,0,(EURO(H11,Strikeprice1,0,0,($AK11+IF(Smile=TRUE(),VLOOKUP(MAX(-5,Strikeprice1-H11),Volsmile,2),0)),($A11-DateToday)+15,IF(Pricetype1=1,1,0),0))),H11)))</f>
        <v>22.25</v>
      </c>
      <c r="R11" s="318" t="n">
        <f aca="false">IF($A11="N/A"," ",IF(Pricetype1=2,MAX(I11,0),IF(OR(Pricetype1=1,Pricetype1=4),IF(I11=0,0,(EURO(I11,Strikeprice1,0,0,($AK11+IF(Smile=TRUE(),VLOOKUP(MAX(-5,Strikeprice1-I11),Volsmile,2),0)),($A11-DateToday)+15,IF(Pricetype1=1,1,0),0))),I11)))</f>
        <v>27.4199990844727</v>
      </c>
      <c r="S11" s="318" t="n">
        <f aca="false">IF($A11="N/A"," ",IF(Pricetype1=2,MAX(J11,0),IF(OR(Pricetype1=1,Pricetype1=4),IF(J11=0,0,(EURO(J11,Strikeprice1,0,0,($AK11+IF(Smile=TRUE(),VLOOKUP(MAX(-5,Strikeprice1-J11),Volsmile,2),0)),($A11-DateToday)+15,IF(Pricetype1=1,1,0),0))),J11)))</f>
        <v>27.4199990844727</v>
      </c>
      <c r="T11" s="318" t="n">
        <f aca="false">IF($A11="N/A"," ",IF(Pricetype1=2,MAX(K11,0),IF(OR(Pricetype1=1,Pricetype1=4),IF(K11=0,0,(EURO(K11,Strikeprice1,0,0,($AK11+IF(Smile=TRUE(),VLOOKUP(MAX(-5,Strikeprice1-K11),Volsmile,2),0)),($A11-DateToday)+15,IF(Pricetype1=1,1,0),0))),K11)))</f>
        <v>22.25</v>
      </c>
      <c r="U11" s="319" t="e">
        <f aca="false">IF($A11="N/A"," ",Volume1*$AM11)</f>
        <v>#N/A</v>
      </c>
      <c r="V11" s="320" t="e">
        <f aca="false">IF($A11="N/A"," ",$U11*(8*($BQ11))*L11)</f>
        <v>#N/A</v>
      </c>
      <c r="W11" s="320" t="e">
        <f aca="false">IF($A11="N/A"," ",$U11*(8*($BQ11))*M11)</f>
        <v>#N/A</v>
      </c>
      <c r="X11" s="320" t="e">
        <f aca="false">IF($A11="N/A"," ",$U11*(8*($BQ11))*N11)</f>
        <v>#N/A</v>
      </c>
      <c r="Y11" s="320" t="e">
        <f aca="false">IF($A11="N/A"," ",$U11*(8*($BR11))*O11)</f>
        <v>#N/A</v>
      </c>
      <c r="Z11" s="320" t="e">
        <f aca="false">IF($A11="N/A"," ",$U11*(8*($BR11))*P11)</f>
        <v>#N/A</v>
      </c>
      <c r="AA11" s="320" t="e">
        <f aca="false">IF($A11="N/A"," ",$U11*(8*($BR11))*Q11)</f>
        <v>#N/A</v>
      </c>
      <c r="AB11" s="320" t="e">
        <f aca="false">IF($A11="N/A"," ",$U11*(8*($BS11))*R11)</f>
        <v>#N/A</v>
      </c>
      <c r="AC11" s="320" t="e">
        <f aca="false">IF($A11="N/A"," ",$U11*(8*($BS11))*S11)</f>
        <v>#N/A</v>
      </c>
      <c r="AD11" s="320" t="e">
        <f aca="false">IF($A11="N/A"," ",$U11*(8*($BS11))*T11)</f>
        <v>#N/A</v>
      </c>
      <c r="AE11" s="320" t="e">
        <f aca="false">IF($A11="N/A"," ",SUM(V11:AD11))</f>
        <v>#N/A</v>
      </c>
      <c r="AF11" s="321" t="n">
        <f aca="false">IF(A11="N/A"," ",(VLOOKUP(A11,PowerVolTable,(IF(VolBMO1=2,7,IF(VolBMO1=1,6,8))),FALSE())))</f>
        <v>0.45</v>
      </c>
      <c r="AG11" s="321" t="n">
        <f aca="false">IF(A11="N/A"," ",(VLOOKUP(A11,IntraPowerVol,(IF(VolBMO1=2,3,IF(VolBMO1=1,2,4))),FALSE())*VLOOKUP(MONTH($A11),Volscale,2)))</f>
        <v>0.9</v>
      </c>
      <c r="AH11" s="321" t="n">
        <f aca="false">IF($A11="N/A"," ",IF(VolType1=1,AG11,AF11))</f>
        <v>0.9</v>
      </c>
      <c r="AI11" s="321" t="n">
        <f aca="false">IF($A11="N/A"," ",(VLOOKUP($A11,OffPwrVolTable,(IF(VolBMO1=2,7,IF(VolBMO1=1,6,8))),FALSE())))</f>
        <v>0.225</v>
      </c>
      <c r="AJ11" s="321" t="n">
        <f aca="false">IF($A11="N/A"," ",(VLOOKUP($A11,OffPwrVolTable,(IF(VolBMO1=2,3,IF(VolBMO1=1,2,4))),FALSE())*VLOOKUP(MONTH($A11),Volscale,2)))</f>
        <v>0.54</v>
      </c>
      <c r="AK11" s="321" t="n">
        <f aca="false">IF($A11="N/A"," ",IF(VolType1=1,AJ11,AI11))</f>
        <v>0.54</v>
      </c>
      <c r="AL11" s="321" t="e">
        <f aca="false">IF($A11="N/A"," ",IF(PV=1,0,'Pricing Inputs1'!R44))</f>
        <v>#N/A</v>
      </c>
      <c r="AM11" s="323" t="e">
        <f aca="false">IF($A11="N/A"," ",(1+AL11/2)^(-2*((EOMONTH(A11,0)+20)-DateToday)/365.25))</f>
        <v>#N/A</v>
      </c>
      <c r="BQ11" s="0" t="n">
        <f aca="false">IF($A11="N/A"," ",(VLOOKUP($A11,NumberofDaysTable,2)))</f>
        <v>22</v>
      </c>
      <c r="BR11" s="0" t="n">
        <f aca="false">IF($A11="N/A"," ",(VLOOKUP($A11,NumberofDaysTable,3)))</f>
        <v>5</v>
      </c>
      <c r="BS11" s="0" t="n">
        <f aca="false">IF($A11="N/A"," ",(VLOOKUP($A11,NumberofDaysTable,4)))</f>
        <v>4</v>
      </c>
    </row>
    <row r="12" customFormat="false" ht="12.75" hidden="false" customHeight="false" outlineLevel="0" collapsed="false">
      <c r="A12" s="315" t="n">
        <f aca="false">IF(A11="N/A","N/A",IF(EDATE(A11,1)&gt;Inputs!$M$5,"N/A",EDATE(A11,1)))</f>
        <v>37500</v>
      </c>
      <c r="B12" s="316" t="n">
        <f aca="false">IF(A12="N/A"," ",YEAR(A12))</f>
        <v>2002</v>
      </c>
      <c r="C12" s="317" t="n">
        <f aca="false">IF($A12="N/A"," ",IF(Dayrun1=10,0,IF(Scaler1=1,(VLOOKUP(A12,ScaledPrice1,4)),(VLOOKUP(A12,ScaledPrice1,2)))))</f>
        <v>29.25</v>
      </c>
      <c r="D12" s="317" t="n">
        <f aca="false">IF(A12="N/A"," ",IF(Dayrun1&gt;=7,0,IF(Scaler1=2,VLOOKUP(A12,ScaledPrice1,2),(VLOOKUP(A12,ScaledPrice1,2))*(2-(VLOOKUP(A12,ScaledPrice1,3))))))</f>
        <v>29.25</v>
      </c>
      <c r="E12" s="317" t="n">
        <f aca="false">IF($A12="N/A"," ",IF(AND(Dayrun1&gt;=4,Dayrun1&lt;=9),0,VLOOKUP($A12,ScaledPrice1,9)))</f>
        <v>16.25</v>
      </c>
      <c r="F12" s="317" t="n">
        <f aca="false">IF(A12="N/A"," ",IF(OR(Dayrun1=2,Dayrun1=3,Dayrun1=5,Dayrun1=6,Dayrun1=8,Dayrun1=9),VLOOKUP(A12,ScaledPrice1,IF(Scaler1=1,6,5)),0))</f>
        <v>26.9199990844727</v>
      </c>
      <c r="G12" s="317" t="n">
        <f aca="false">IF(A12="N/A"," ",IF(OR(Dayrun1=2,Dayrun1=3,Dayrun1=5,Dayrun1=6),IF(Scaler1=2,F12,(VLOOKUP(A12,ScaledPrice1,5))*(2-(VLOOKUP(A12,ScaledPrice1,3)))),0))</f>
        <v>26.9199990844727</v>
      </c>
      <c r="H12" s="317" t="n">
        <f aca="false">IF($A12="N/A"," ",IF(OR(Dayrun1=2,Dayrun1=3,Dayrun1=10),VLOOKUP($A12,ScaledPrice1,9),0))</f>
        <v>16.25</v>
      </c>
      <c r="I12" s="317" t="n">
        <f aca="false">IF(A12="N/A"," ",IF(OR(Dayrun1=3,Dayrun1=6,Dayrun1=9),(VLOOKUP(A12,ScaledPrice1,IF(Scaler1=2,7,8))),0))</f>
        <v>21.4199990844727</v>
      </c>
      <c r="J12" s="317" t="n">
        <f aca="false">IF(A12="N/A"," ",IF(OR(Dayrun1=3,Dayrun1=6),IF(Scaler1=2,I12,(VLOOKUP(A12,ScaledPrice1,7))*(2-(VLOOKUP(A12,ScaledPrice1,3)))),0))</f>
        <v>21.4199990844727</v>
      </c>
      <c r="K12" s="317" t="n">
        <f aca="false">IF($A12="N/A"," ",IF(OR(Dayrun1=3,Dayrun1=10),VLOOKUP($A12,ScaledPrice1,9),0))</f>
        <v>16.25</v>
      </c>
      <c r="L12" s="318" t="n">
        <f aca="false">IF($A12="N/A"," ",IF(Pricetype1=2,MAX(C12,0),IF(OR(Pricetype1=1,Pricetype1=4),IF(C12=0,0,(EURO(C12,Strikeprice1,0,0,($AH12+IF(Smile=TRUE(),VLOOKUP(MAX(-5,Strikeprice1-C12),Volsmile,2),0)),($A12-DateToday)+15,IF(Pricetype1=1,1,0),0))),C12)))</f>
        <v>29.25</v>
      </c>
      <c r="M12" s="318" t="n">
        <f aca="false">IF($A12="N/A"," ",IF(Pricetype1=2,MAX(D12,0),IF(OR(Pricetype1=1,Pricetype1=4),IF(D12=0,0,(EURO(D12,Strikeprice1,0,0,($AH12+IF(Smile=TRUE(),VLOOKUP(MAX(-5,Strikeprice1-D12),Volsmile,2),0)),($A12-DateToday)+15,IF(Pricetype1=1,1,0),0))),D12)))</f>
        <v>29.25</v>
      </c>
      <c r="N12" s="318" t="n">
        <f aca="false">IF($A12="N/A"," ",IF(Pricetype1=2,MAX(E12,0),IF(OR(Pricetype1=1,Pricetype1=4),IF(E12=0,0,(EURO(E12,Strikeprice1,0,0,($AK12+IF(Smile=TRUE(),VLOOKUP(MAX(-5,Strikeprice1-E12),Volsmile,2),0)),($A12-DateToday)+15,IF(Pricetype1=1,1,0),0))),E12)))</f>
        <v>16.25</v>
      </c>
      <c r="O12" s="318" t="n">
        <f aca="false">IF($A12="N/A"," ",IF(Pricetype1=2,MAX(F12,0),IF(OR(Pricetype1=1,Pricetype1=4),IF(F12=0,0,(EURO(F12,Strikeprice1,0,0,($AK12+IF(Smile=TRUE(),VLOOKUP(MAX(-5,Strikeprice1-F12),Volsmile,2),0)),($A12-DateToday)+15,IF(Pricetype1=1,1,0),0))),F12)))</f>
        <v>26.9199990844727</v>
      </c>
      <c r="P12" s="318" t="n">
        <f aca="false">IF($A12="N/A"," ",IF(Pricetype1=2,MAX(G12,0),IF(OR(Pricetype1=1,Pricetype1=4),IF(G12=0,0,(EURO(G12,Strikeprice1,0,0,($AK12+IF(Smile=TRUE(),VLOOKUP(MAX(-5,Strikeprice1-G12),Volsmile,2),0)),($A12-DateToday)+15,IF(Pricetype1=1,1,0),0))),G12)))</f>
        <v>26.9199990844727</v>
      </c>
      <c r="Q12" s="318" t="n">
        <f aca="false">IF($A12="N/A"," ",IF(Pricetype1=2,MAX(H12,0),IF(OR(Pricetype1=1,Pricetype1=4),IF(H12=0,0,(EURO(H12,Strikeprice1,0,0,($AK12+IF(Smile=TRUE(),VLOOKUP(MAX(-5,Strikeprice1-H12),Volsmile,2),0)),($A12-DateToday)+15,IF(Pricetype1=1,1,0),0))),H12)))</f>
        <v>16.25</v>
      </c>
      <c r="R12" s="318" t="n">
        <f aca="false">IF($A12="N/A"," ",IF(Pricetype1=2,MAX(I12,0),IF(OR(Pricetype1=1,Pricetype1=4),IF(I12=0,0,(EURO(I12,Strikeprice1,0,0,($AK12+IF(Smile=TRUE(),VLOOKUP(MAX(-5,Strikeprice1-I12),Volsmile,2),0)),($A12-DateToday)+15,IF(Pricetype1=1,1,0),0))),I12)))</f>
        <v>21.4199990844727</v>
      </c>
      <c r="S12" s="318" t="n">
        <f aca="false">IF($A12="N/A"," ",IF(Pricetype1=2,MAX(J12,0),IF(OR(Pricetype1=1,Pricetype1=4),IF(J12=0,0,(EURO(J12,Strikeprice1,0,0,($AK12+IF(Smile=TRUE(),VLOOKUP(MAX(-5,Strikeprice1-J12),Volsmile,2),0)),($A12-DateToday)+15,IF(Pricetype1=1,1,0),0))),J12)))</f>
        <v>21.4199990844727</v>
      </c>
      <c r="T12" s="318" t="n">
        <f aca="false">IF($A12="N/A"," ",IF(Pricetype1=2,MAX(K12,0),IF(OR(Pricetype1=1,Pricetype1=4),IF(K12=0,0,(EURO(K12,Strikeprice1,0,0,($AK12+IF(Smile=TRUE(),VLOOKUP(MAX(-5,Strikeprice1-K12),Volsmile,2),0)),($A12-DateToday)+15,IF(Pricetype1=1,1,0),0))),K12)))</f>
        <v>16.25</v>
      </c>
      <c r="U12" s="319" t="e">
        <f aca="false">IF($A12="N/A"," ",Volume1*$AM12)</f>
        <v>#N/A</v>
      </c>
      <c r="V12" s="320" t="e">
        <f aca="false">IF($A12="N/A"," ",$U12*(8*($BQ12))*L12)</f>
        <v>#N/A</v>
      </c>
      <c r="W12" s="320" t="e">
        <f aca="false">IF($A12="N/A"," ",$U12*(8*($BQ12))*M12)</f>
        <v>#N/A</v>
      </c>
      <c r="X12" s="320" t="e">
        <f aca="false">IF($A12="N/A"," ",$U12*(8*($BQ12))*N12)</f>
        <v>#N/A</v>
      </c>
      <c r="Y12" s="320" t="e">
        <f aca="false">IF($A12="N/A"," ",$U12*(8*($BR12))*O12)</f>
        <v>#N/A</v>
      </c>
      <c r="Z12" s="320" t="e">
        <f aca="false">IF($A12="N/A"," ",$U12*(8*($BR12))*P12)</f>
        <v>#N/A</v>
      </c>
      <c r="AA12" s="320" t="e">
        <f aca="false">IF($A12="N/A"," ",$U12*(8*($BR12))*Q12)</f>
        <v>#N/A</v>
      </c>
      <c r="AB12" s="320" t="e">
        <f aca="false">IF($A12="N/A"," ",$U12*(8*($BS12))*R12)</f>
        <v>#N/A</v>
      </c>
      <c r="AC12" s="320" t="e">
        <f aca="false">IF($A12="N/A"," ",$U12*(8*($BS12))*S12)</f>
        <v>#N/A</v>
      </c>
      <c r="AD12" s="320" t="e">
        <f aca="false">IF($A12="N/A"," ",$U12*(8*($BS12))*T12)</f>
        <v>#N/A</v>
      </c>
      <c r="AE12" s="320" t="e">
        <f aca="false">IF($A12="N/A"," ",SUM(V12:AD12))</f>
        <v>#N/A</v>
      </c>
      <c r="AF12" s="321" t="n">
        <f aca="false">IF(A12="N/A"," ",(VLOOKUP(A12,PowerVolTable,(IF(VolBMO1=2,7,IF(VolBMO1=1,6,8))),FALSE())))</f>
        <v>0.3</v>
      </c>
      <c r="AG12" s="321" t="n">
        <f aca="false">IF(A12="N/A"," ",(VLOOKUP(A12,IntraPowerVol,(IF(VolBMO1=2,3,IF(VolBMO1=1,2,4))),FALSE())*VLOOKUP(MONTH($A12),Volscale,2)))</f>
        <v>0.5</v>
      </c>
      <c r="AH12" s="321" t="n">
        <f aca="false">IF($A12="N/A"," ",IF(VolType1=1,AG12,AF12))</f>
        <v>0.5</v>
      </c>
      <c r="AI12" s="321" t="n">
        <f aca="false">IF($A12="N/A"," ",(VLOOKUP($A12,OffPwrVolTable,(IF(VolBMO1=2,7,IF(VolBMO1=1,6,8))),FALSE())))</f>
        <v>0.15</v>
      </c>
      <c r="AJ12" s="321" t="n">
        <f aca="false">IF($A12="N/A"," ",(VLOOKUP($A12,OffPwrVolTable,(IF(VolBMO1=2,3,IF(VolBMO1=1,2,4))),FALSE())*VLOOKUP(MONTH($A12),Volscale,2)))</f>
        <v>0.3</v>
      </c>
      <c r="AK12" s="321" t="n">
        <f aca="false">IF($A12="N/A"," ",IF(VolType1=1,AJ12,AI12))</f>
        <v>0.3</v>
      </c>
      <c r="AL12" s="321" t="e">
        <f aca="false">IF($A12="N/A"," ",IF(PV=1,0,'Pricing Inputs1'!R45))</f>
        <v>#N/A</v>
      </c>
      <c r="AM12" s="323" t="e">
        <f aca="false">IF($A12="N/A"," ",(1+AL12/2)^(-2*((EOMONTH(A12,0)+20)-DateToday)/365.25))</f>
        <v>#N/A</v>
      </c>
      <c r="BQ12" s="0" t="n">
        <f aca="false">IF($A12="N/A"," ",(VLOOKUP($A12,NumberofDaysTable,2)))</f>
        <v>20</v>
      </c>
      <c r="BR12" s="0" t="n">
        <f aca="false">IF($A12="N/A"," ",(VLOOKUP($A12,NumberofDaysTable,3)))</f>
        <v>4</v>
      </c>
      <c r="BS12" s="0" t="n">
        <f aca="false">IF($A12="N/A"," ",(VLOOKUP($A12,NumberofDaysTable,4)))</f>
        <v>6</v>
      </c>
    </row>
    <row r="13" customFormat="false" ht="12.75" hidden="false" customHeight="false" outlineLevel="0" collapsed="false">
      <c r="A13" s="315" t="n">
        <f aca="false">IF(A12="N/A","N/A",IF(EDATE(A12,1)&gt;Inputs!$M$5,"N/A",EDATE(A12,1)))</f>
        <v>37530</v>
      </c>
      <c r="B13" s="316" t="n">
        <f aca="false">IF(A13="N/A"," ",YEAR(A13))</f>
        <v>2002</v>
      </c>
      <c r="C13" s="317" t="n">
        <f aca="false">IF($A13="N/A"," ",IF(Dayrun1=10,0,IF(Scaler1=1,(VLOOKUP(A13,ScaledPrice1,4)),(VLOOKUP(A13,ScaledPrice1,2)))))</f>
        <v>29.5562492907047</v>
      </c>
      <c r="D13" s="317" t="n">
        <f aca="false">IF(A13="N/A"," ",IF(Dayrun1&gt;=7,0,IF(Scaler1=2,VLOOKUP(A13,ScaledPrice1,2),(VLOOKUP(A13,ScaledPrice1,2))*(2-(VLOOKUP(A13,ScaledPrice1,3))))))</f>
        <v>29.5562492907047</v>
      </c>
      <c r="E13" s="317" t="n">
        <f aca="false">IF($A13="N/A"," ",IF(AND(Dayrun1&gt;=4,Dayrun1&lt;=9),0,VLOOKUP($A13,ScaledPrice1,9)))</f>
        <v>15.750002861023</v>
      </c>
      <c r="F13" s="317" t="n">
        <f aca="false">IF(A13="N/A"," ",IF(OR(Dayrun1=2,Dayrun1=3,Dayrun1=5,Dayrun1=6,Dayrun1=8,Dayrun1=9),VLOOKUP(A13,ScaledPrice1,IF(Scaler1=1,6,5)),0))</f>
        <v>21.9159993743897</v>
      </c>
      <c r="G13" s="317" t="n">
        <f aca="false">IF(A13="N/A"," ",IF(OR(Dayrun1=2,Dayrun1=3,Dayrun1=5,Dayrun1=6),IF(Scaler1=2,F13,(VLOOKUP(A13,ScaledPrice1,5))*(2-(VLOOKUP(A13,ScaledPrice1,3)))),0))</f>
        <v>21.9159993743897</v>
      </c>
      <c r="H13" s="317" t="n">
        <f aca="false">IF($A13="N/A"," ",IF(OR(Dayrun1=2,Dayrun1=3,Dayrun1=10),VLOOKUP($A13,ScaledPrice1,9),0))</f>
        <v>15.750002861023</v>
      </c>
      <c r="I13" s="317" t="n">
        <f aca="false">IF(A13="N/A"," ",IF(OR(Dayrun1=3,Dayrun1=6,Dayrun1=9),(VLOOKUP(A13,ScaledPrice1,IF(Scaler1=2,7,8))),0))</f>
        <v>16.4165010070801</v>
      </c>
      <c r="J13" s="317" t="n">
        <f aca="false">IF(A13="N/A"," ",IF(OR(Dayrun1=3,Dayrun1=6),IF(Scaler1=2,I13,(VLOOKUP(A13,ScaledPrice1,7))*(2-(VLOOKUP(A13,ScaledPrice1,3)))),0))</f>
        <v>16.4165010070801</v>
      </c>
      <c r="K13" s="317" t="n">
        <f aca="false">IF($A13="N/A"," ",IF(OR(Dayrun1=3,Dayrun1=10),VLOOKUP($A13,ScaledPrice1,9),0))</f>
        <v>15.750002861023</v>
      </c>
      <c r="L13" s="318" t="n">
        <f aca="false">IF($A13="N/A"," ",IF(Pricetype1=2,MAX(C13,0),IF(OR(Pricetype1=1,Pricetype1=4),IF(C13=0,0,(EURO(C13,Strikeprice1,0,0,($AH13+IF(Smile=TRUE(),VLOOKUP(MAX(-5,Strikeprice1-C13),Volsmile,2),0)),($A13-DateToday)+15,IF(Pricetype1=1,1,0),0))),C13)))</f>
        <v>29.5562492907047</v>
      </c>
      <c r="M13" s="318" t="n">
        <f aca="false">IF($A13="N/A"," ",IF(Pricetype1=2,MAX(D13,0),IF(OR(Pricetype1=1,Pricetype1=4),IF(D13=0,0,(EURO(D13,Strikeprice1,0,0,($AH13+IF(Smile=TRUE(),VLOOKUP(MAX(-5,Strikeprice1-D13),Volsmile,2),0)),($A13-DateToday)+15,IF(Pricetype1=1,1,0),0))),D13)))</f>
        <v>29.5562492907047</v>
      </c>
      <c r="N13" s="318" t="n">
        <f aca="false">IF($A13="N/A"," ",IF(Pricetype1=2,MAX(E13,0),IF(OR(Pricetype1=1,Pricetype1=4),IF(E13=0,0,(EURO(E13,Strikeprice1,0,0,($AK13+IF(Smile=TRUE(),VLOOKUP(MAX(-5,Strikeprice1-E13),Volsmile,2),0)),($A13-DateToday)+15,IF(Pricetype1=1,1,0),0))),E13)))</f>
        <v>15.750002861023</v>
      </c>
      <c r="O13" s="318" t="n">
        <f aca="false">IF($A13="N/A"," ",IF(Pricetype1=2,MAX(F13,0),IF(OR(Pricetype1=1,Pricetype1=4),IF(F13=0,0,(EURO(F13,Strikeprice1,0,0,($AK13+IF(Smile=TRUE(),VLOOKUP(MAX(-5,Strikeprice1-F13),Volsmile,2),0)),($A13-DateToday)+15,IF(Pricetype1=1,1,0),0))),F13)))</f>
        <v>21.9159993743897</v>
      </c>
      <c r="P13" s="318" t="n">
        <f aca="false">IF($A13="N/A"," ",IF(Pricetype1=2,MAX(G13,0),IF(OR(Pricetype1=1,Pricetype1=4),IF(G13=0,0,(EURO(G13,Strikeprice1,0,0,($AK13+IF(Smile=TRUE(),VLOOKUP(MAX(-5,Strikeprice1-G13),Volsmile,2),0)),($A13-DateToday)+15,IF(Pricetype1=1,1,0),0))),G13)))</f>
        <v>21.9159993743897</v>
      </c>
      <c r="Q13" s="318" t="n">
        <f aca="false">IF($A13="N/A"," ",IF(Pricetype1=2,MAX(H13,0),IF(OR(Pricetype1=1,Pricetype1=4),IF(H13=0,0,(EURO(H13,Strikeprice1,0,0,($AK13+IF(Smile=TRUE(),VLOOKUP(MAX(-5,Strikeprice1-H13),Volsmile,2),0)),($A13-DateToday)+15,IF(Pricetype1=1,1,0),0))),H13)))</f>
        <v>15.750002861023</v>
      </c>
      <c r="R13" s="318" t="n">
        <f aca="false">IF($A13="N/A"," ",IF(Pricetype1=2,MAX(I13,0),IF(OR(Pricetype1=1,Pricetype1=4),IF(I13=0,0,(EURO(I13,Strikeprice1,0,0,($AK13+IF(Smile=TRUE(),VLOOKUP(MAX(-5,Strikeprice1-I13),Volsmile,2),0)),($A13-DateToday)+15,IF(Pricetype1=1,1,0),0))),I13)))</f>
        <v>16.4165010070801</v>
      </c>
      <c r="S13" s="318" t="n">
        <f aca="false">IF($A13="N/A"," ",IF(Pricetype1=2,MAX(J13,0),IF(OR(Pricetype1=1,Pricetype1=4),IF(J13=0,0,(EURO(J13,Strikeprice1,0,0,($AK13+IF(Smile=TRUE(),VLOOKUP(MAX(-5,Strikeprice1-J13),Volsmile,2),0)),($A13-DateToday)+15,IF(Pricetype1=1,1,0),0))),J13)))</f>
        <v>16.4165010070801</v>
      </c>
      <c r="T13" s="318" t="n">
        <f aca="false">IF($A13="N/A"," ",IF(Pricetype1=2,MAX(K13,0),IF(OR(Pricetype1=1,Pricetype1=4),IF(K13=0,0,(EURO(K13,Strikeprice1,0,0,($AK13+IF(Smile=TRUE(),VLOOKUP(MAX(-5,Strikeprice1-K13),Volsmile,2),0)),($A13-DateToday)+15,IF(Pricetype1=1,1,0),0))),K13)))</f>
        <v>15.750002861023</v>
      </c>
      <c r="U13" s="319" t="e">
        <f aca="false">IF($A13="N/A"," ",Volume1*$AM13)</f>
        <v>#N/A</v>
      </c>
      <c r="V13" s="320" t="e">
        <f aca="false">IF($A13="N/A"," ",$U13*(8*($BQ13))*L13)</f>
        <v>#N/A</v>
      </c>
      <c r="W13" s="320" t="e">
        <f aca="false">IF($A13="N/A"," ",$U13*(8*($BQ13))*M13)</f>
        <v>#N/A</v>
      </c>
      <c r="X13" s="320" t="e">
        <f aca="false">IF($A13="N/A"," ",$U13*(8*($BQ13))*N13)</f>
        <v>#N/A</v>
      </c>
      <c r="Y13" s="320" t="e">
        <f aca="false">IF($A13="N/A"," ",$U13*(8*($BR13))*O13)</f>
        <v>#N/A</v>
      </c>
      <c r="Z13" s="320" t="e">
        <f aca="false">IF($A13="N/A"," ",$U13*(8*($BR13))*P13)</f>
        <v>#N/A</v>
      </c>
      <c r="AA13" s="320" t="e">
        <f aca="false">IF($A13="N/A"," ",$U13*(8*($BR13))*Q13)</f>
        <v>#N/A</v>
      </c>
      <c r="AB13" s="320" t="e">
        <f aca="false">IF($A13="N/A"," ",$U13*(8*($BS13))*R13)</f>
        <v>#N/A</v>
      </c>
      <c r="AC13" s="320" t="e">
        <f aca="false">IF($A13="N/A"," ",$U13*(8*($BS13))*S13)</f>
        <v>#N/A</v>
      </c>
      <c r="AD13" s="320" t="e">
        <f aca="false">IF($A13="N/A"," ",$U13*(8*($BS13))*T13)</f>
        <v>#N/A</v>
      </c>
      <c r="AE13" s="320" t="e">
        <f aca="false">IF($A13="N/A"," ",SUM(V13:AD13))</f>
        <v>#N/A</v>
      </c>
      <c r="AF13" s="321" t="n">
        <f aca="false">IF(A13="N/A"," ",(VLOOKUP(A13,PowerVolTable,(IF(VolBMO1=2,7,IF(VolBMO1=1,6,8))),FALSE())))</f>
        <v>0.3</v>
      </c>
      <c r="AG13" s="321" t="n">
        <f aca="false">IF(A13="N/A"," ",(VLOOKUP(A13,IntraPowerVol,(IF(VolBMO1=2,3,IF(VolBMO1=1,2,4))),FALSE())*VLOOKUP(MONTH($A13),Volscale,2)))</f>
        <v>0.5</v>
      </c>
      <c r="AH13" s="321" t="n">
        <f aca="false">IF($A13="N/A"," ",IF(VolType1=1,AG13,AF13))</f>
        <v>0.5</v>
      </c>
      <c r="AI13" s="321" t="n">
        <f aca="false">IF($A13="N/A"," ",(VLOOKUP($A13,OffPwrVolTable,(IF(VolBMO1=2,7,IF(VolBMO1=1,6,8))),FALSE())))</f>
        <v>0.15</v>
      </c>
      <c r="AJ13" s="321" t="n">
        <f aca="false">IF($A13="N/A"," ",(VLOOKUP($A13,OffPwrVolTable,(IF(VolBMO1=2,3,IF(VolBMO1=1,2,4))),FALSE())*VLOOKUP(MONTH($A13),Volscale,2)))</f>
        <v>0.3</v>
      </c>
      <c r="AK13" s="321" t="n">
        <f aca="false">IF($A13="N/A"," ",IF(VolType1=1,AJ13,AI13))</f>
        <v>0.3</v>
      </c>
      <c r="AL13" s="321" t="e">
        <f aca="false">IF($A13="N/A"," ",IF(PV=1,0,'Pricing Inputs1'!R46))</f>
        <v>#N/A</v>
      </c>
      <c r="AM13" s="323" t="e">
        <f aca="false">IF($A13="N/A"," ",(1+AL13/2)^(-2*((EOMONTH(A13,0)+20)-DateToday)/365.25))</f>
        <v>#N/A</v>
      </c>
      <c r="BQ13" s="0" t="n">
        <f aca="false">IF($A13="N/A"," ",(VLOOKUP($A13,NumberofDaysTable,2)))</f>
        <v>23</v>
      </c>
      <c r="BR13" s="0" t="n">
        <f aca="false">IF($A13="N/A"," ",(VLOOKUP($A13,NumberofDaysTable,3)))</f>
        <v>4</v>
      </c>
      <c r="BS13" s="0" t="n">
        <f aca="false">IF($A13="N/A"," ",(VLOOKUP($A13,NumberofDaysTable,4)))</f>
        <v>4</v>
      </c>
    </row>
    <row r="14" customFormat="false" ht="12.75" hidden="false" customHeight="false" outlineLevel="0" collapsed="false">
      <c r="A14" s="315" t="n">
        <f aca="false">IF(A13="N/A","N/A",IF(EDATE(A13,1)&gt;Inputs!$M$5,"N/A",EDATE(A13,1)))</f>
        <v>37561</v>
      </c>
      <c r="B14" s="316" t="n">
        <f aca="false">IF(A14="N/A"," ",YEAR(A14))</f>
        <v>2002</v>
      </c>
      <c r="C14" s="317" t="n">
        <f aca="false">IF($A14="N/A"," ",IF(Dayrun1=10,0,IF(Scaler1=1,(VLOOKUP(A14,ScaledPrice1,4)),(VLOOKUP(A14,ScaledPrice1,2)))))</f>
        <v>29.7562519609928</v>
      </c>
      <c r="D14" s="317" t="n">
        <f aca="false">IF(A14="N/A"," ",IF(Dayrun1&gt;=7,0,IF(Scaler1=2,VLOOKUP(A14,ScaledPrice1,2),(VLOOKUP(A14,ScaledPrice1,2))*(2-(VLOOKUP(A14,ScaledPrice1,3))))))</f>
        <v>29.7562519609928</v>
      </c>
      <c r="E14" s="317" t="n">
        <f aca="false">IF($A14="N/A"," ",IF(AND(Dayrun1&gt;=4,Dayrun1&lt;=9),0,VLOOKUP($A14,ScaledPrice1,9)))</f>
        <v>16.75</v>
      </c>
      <c r="F14" s="317" t="n">
        <f aca="false">IF(A14="N/A"," ",IF(OR(Dayrun1=2,Dayrun1=3,Dayrun1=5,Dayrun1=6,Dayrun1=8,Dayrun1=9),VLOOKUP(A14,ScaledPrice1,IF(Scaler1=1,6,5)),0))</f>
        <v>23.9199990844727</v>
      </c>
      <c r="G14" s="317" t="n">
        <f aca="false">IF(A14="N/A"," ",IF(OR(Dayrun1=2,Dayrun1=3,Dayrun1=5,Dayrun1=6),IF(Scaler1=2,F14,(VLOOKUP(A14,ScaledPrice1,5))*(2-(VLOOKUP(A14,ScaledPrice1,3)))),0))</f>
        <v>23.9199990844727</v>
      </c>
      <c r="H14" s="317" t="n">
        <f aca="false">IF($A14="N/A"," ",IF(OR(Dayrun1=2,Dayrun1=3,Dayrun1=10),VLOOKUP($A14,ScaledPrice1,9),0))</f>
        <v>16.75</v>
      </c>
      <c r="I14" s="317" t="n">
        <f aca="false">IF(A14="N/A"," ",IF(OR(Dayrun1=3,Dayrun1=6,Dayrun1=9),(VLOOKUP(A14,ScaledPrice1,IF(Scaler1=2,7,8))),0))</f>
        <v>16.4200009918213</v>
      </c>
      <c r="J14" s="317" t="n">
        <f aca="false">IF(A14="N/A"," ",IF(OR(Dayrun1=3,Dayrun1=6),IF(Scaler1=2,I14,(VLOOKUP(A14,ScaledPrice1,7))*(2-(VLOOKUP(A14,ScaledPrice1,3)))),0))</f>
        <v>16.4200009918213</v>
      </c>
      <c r="K14" s="317" t="n">
        <f aca="false">IF($A14="N/A"," ",IF(OR(Dayrun1=3,Dayrun1=10),VLOOKUP($A14,ScaledPrice1,9),0))</f>
        <v>16.75</v>
      </c>
      <c r="L14" s="318" t="n">
        <f aca="false">IF($A14="N/A"," ",IF(Pricetype1=2,MAX(C14,0),IF(OR(Pricetype1=1,Pricetype1=4),IF(C14=0,0,(EURO(C14,Strikeprice1,0,0,($AH14+IF(Smile=TRUE(),VLOOKUP(MAX(-5,Strikeprice1-C14),Volsmile,2),0)),($A14-DateToday)+15,IF(Pricetype1=1,1,0),0))),C14)))</f>
        <v>29.7562519609928</v>
      </c>
      <c r="M14" s="318" t="n">
        <f aca="false">IF($A14="N/A"," ",IF(Pricetype1=2,MAX(D14,0),IF(OR(Pricetype1=1,Pricetype1=4),IF(D14=0,0,(EURO(D14,Strikeprice1,0,0,($AH14+IF(Smile=TRUE(),VLOOKUP(MAX(-5,Strikeprice1-D14),Volsmile,2),0)),($A14-DateToday)+15,IF(Pricetype1=1,1,0),0))),D14)))</f>
        <v>29.7562519609928</v>
      </c>
      <c r="N14" s="318" t="n">
        <f aca="false">IF($A14="N/A"," ",IF(Pricetype1=2,MAX(E14,0),IF(OR(Pricetype1=1,Pricetype1=4),IF(E14=0,0,(EURO(E14,Strikeprice1,0,0,($AK14+IF(Smile=TRUE(),VLOOKUP(MAX(-5,Strikeprice1-E14),Volsmile,2),0)),($A14-DateToday)+15,IF(Pricetype1=1,1,0),0))),E14)))</f>
        <v>16.75</v>
      </c>
      <c r="O14" s="318" t="n">
        <f aca="false">IF($A14="N/A"," ",IF(Pricetype1=2,MAX(F14,0),IF(OR(Pricetype1=1,Pricetype1=4),IF(F14=0,0,(EURO(F14,Strikeprice1,0,0,($AK14+IF(Smile=TRUE(),VLOOKUP(MAX(-5,Strikeprice1-F14),Volsmile,2),0)),($A14-DateToday)+15,IF(Pricetype1=1,1,0),0))),F14)))</f>
        <v>23.9199990844727</v>
      </c>
      <c r="P14" s="318" t="n">
        <f aca="false">IF($A14="N/A"," ",IF(Pricetype1=2,MAX(G14,0),IF(OR(Pricetype1=1,Pricetype1=4),IF(G14=0,0,(EURO(G14,Strikeprice1,0,0,($AK14+IF(Smile=TRUE(),VLOOKUP(MAX(-5,Strikeprice1-G14),Volsmile,2),0)),($A14-DateToday)+15,IF(Pricetype1=1,1,0),0))),G14)))</f>
        <v>23.9199990844727</v>
      </c>
      <c r="Q14" s="318" t="n">
        <f aca="false">IF($A14="N/A"," ",IF(Pricetype1=2,MAX(H14,0),IF(OR(Pricetype1=1,Pricetype1=4),IF(H14=0,0,(EURO(H14,Strikeprice1,0,0,($AK14+IF(Smile=TRUE(),VLOOKUP(MAX(-5,Strikeprice1-H14),Volsmile,2),0)),($A14-DateToday)+15,IF(Pricetype1=1,1,0),0))),H14)))</f>
        <v>16.75</v>
      </c>
      <c r="R14" s="318" t="n">
        <f aca="false">IF($A14="N/A"," ",IF(Pricetype1=2,MAX(I14,0),IF(OR(Pricetype1=1,Pricetype1=4),IF(I14=0,0,(EURO(I14,Strikeprice1,0,0,($AK14+IF(Smile=TRUE(),VLOOKUP(MAX(-5,Strikeprice1-I14),Volsmile,2),0)),($A14-DateToday)+15,IF(Pricetype1=1,1,0),0))),I14)))</f>
        <v>16.4200009918213</v>
      </c>
      <c r="S14" s="318" t="n">
        <f aca="false">IF($A14="N/A"," ",IF(Pricetype1=2,MAX(J14,0),IF(OR(Pricetype1=1,Pricetype1=4),IF(J14=0,0,(EURO(J14,Strikeprice1,0,0,($AK14+IF(Smile=TRUE(),VLOOKUP(MAX(-5,Strikeprice1-J14),Volsmile,2),0)),($A14-DateToday)+15,IF(Pricetype1=1,1,0),0))),J14)))</f>
        <v>16.4200009918213</v>
      </c>
      <c r="T14" s="318" t="n">
        <f aca="false">IF($A14="N/A"," ",IF(Pricetype1=2,MAX(K14,0),IF(OR(Pricetype1=1,Pricetype1=4),IF(K14=0,0,(EURO(K14,Strikeprice1,0,0,($AK14+IF(Smile=TRUE(),VLOOKUP(MAX(-5,Strikeprice1-K14),Volsmile,2),0)),($A14-DateToday)+15,IF(Pricetype1=1,1,0),0))),K14)))</f>
        <v>16.75</v>
      </c>
      <c r="U14" s="319" t="e">
        <f aca="false">IF($A14="N/A"," ",Volume1*$AM14)</f>
        <v>#N/A</v>
      </c>
      <c r="V14" s="320" t="e">
        <f aca="false">IF($A14="N/A"," ",$U14*(8*($BQ14))*L14)</f>
        <v>#N/A</v>
      </c>
      <c r="W14" s="320" t="e">
        <f aca="false">IF($A14="N/A"," ",$U14*(8*($BQ14))*M14)</f>
        <v>#N/A</v>
      </c>
      <c r="X14" s="320" t="e">
        <f aca="false">IF($A14="N/A"," ",$U14*(8*($BQ14))*N14)</f>
        <v>#N/A</v>
      </c>
      <c r="Y14" s="320" t="e">
        <f aca="false">IF($A14="N/A"," ",$U14*(8*($BR14))*O14)</f>
        <v>#N/A</v>
      </c>
      <c r="Z14" s="320" t="e">
        <f aca="false">IF($A14="N/A"," ",$U14*(8*($BR14))*P14)</f>
        <v>#N/A</v>
      </c>
      <c r="AA14" s="320" t="e">
        <f aca="false">IF($A14="N/A"," ",$U14*(8*($BR14))*Q14)</f>
        <v>#N/A</v>
      </c>
      <c r="AB14" s="320" t="e">
        <f aca="false">IF($A14="N/A"," ",$U14*(8*($BS14))*R14)</f>
        <v>#N/A</v>
      </c>
      <c r="AC14" s="320" t="e">
        <f aca="false">IF($A14="N/A"," ",$U14*(8*($BS14))*S14)</f>
        <v>#N/A</v>
      </c>
      <c r="AD14" s="320" t="e">
        <f aca="false">IF($A14="N/A"," ",$U14*(8*($BS14))*T14)</f>
        <v>#N/A</v>
      </c>
      <c r="AE14" s="320" t="e">
        <f aca="false">IF($A14="N/A"," ",SUM(V14:AD14))</f>
        <v>#N/A</v>
      </c>
      <c r="AF14" s="321" t="n">
        <f aca="false">IF(A14="N/A"," ",(VLOOKUP(A14,PowerVolTable,(IF(VolBMO1=2,7,IF(VolBMO1=1,6,8))),FALSE())))</f>
        <v>0.3</v>
      </c>
      <c r="AG14" s="321" t="n">
        <f aca="false">IF(A14="N/A"," ",(VLOOKUP(A14,IntraPowerVol,(IF(VolBMO1=2,3,IF(VolBMO1=1,2,4))),FALSE())*VLOOKUP(MONTH($A14),Volscale,2)))</f>
        <v>0.5</v>
      </c>
      <c r="AH14" s="321" t="n">
        <f aca="false">IF($A14="N/A"," ",IF(VolType1=1,AG14,AF14))</f>
        <v>0.5</v>
      </c>
      <c r="AI14" s="321" t="n">
        <f aca="false">IF($A14="N/A"," ",(VLOOKUP($A14,OffPwrVolTable,(IF(VolBMO1=2,7,IF(VolBMO1=1,6,8))),FALSE())))</f>
        <v>0.15</v>
      </c>
      <c r="AJ14" s="321" t="n">
        <f aca="false">IF($A14="N/A"," ",(VLOOKUP($A14,OffPwrVolTable,(IF(VolBMO1=2,3,IF(VolBMO1=1,2,4))),FALSE())*VLOOKUP(MONTH($A14),Volscale,2)))</f>
        <v>0.3</v>
      </c>
      <c r="AK14" s="321" t="n">
        <f aca="false">IF($A14="N/A"," ",IF(VolType1=1,AJ14,AI14))</f>
        <v>0.3</v>
      </c>
      <c r="AL14" s="321" t="e">
        <f aca="false">IF($A14="N/A"," ",IF(PV=1,0,'Pricing Inputs1'!R47))</f>
        <v>#N/A</v>
      </c>
      <c r="AM14" s="323" t="e">
        <f aca="false">IF($A14="N/A"," ",(1+AL14/2)^(-2*((EOMONTH(A14,0)+20)-DateToday)/365.25))</f>
        <v>#N/A</v>
      </c>
      <c r="BQ14" s="0" t="n">
        <f aca="false">IF($A14="N/A"," ",(VLOOKUP($A14,NumberofDaysTable,2)))</f>
        <v>20</v>
      </c>
      <c r="BR14" s="0" t="n">
        <f aca="false">IF($A14="N/A"," ",(VLOOKUP($A14,NumberofDaysTable,3)))</f>
        <v>5</v>
      </c>
      <c r="BS14" s="0" t="n">
        <f aca="false">IF($A14="N/A"," ",(VLOOKUP($A14,NumberofDaysTable,4)))</f>
        <v>5</v>
      </c>
    </row>
    <row r="15" customFormat="false" ht="12.75" hidden="false" customHeight="false" outlineLevel="0" collapsed="false">
      <c r="A15" s="315" t="n">
        <f aca="false">IF(A14="N/A","N/A",IF(EDATE(A14,1)&gt;Inputs!$M$5,"N/A",EDATE(A14,1)))</f>
        <v>37591</v>
      </c>
      <c r="B15" s="316" t="n">
        <f aca="false">IF(A15="N/A"," ",YEAR(A15))</f>
        <v>2002</v>
      </c>
      <c r="C15" s="317" t="n">
        <f aca="false">IF($A15="N/A"," ",IF(Dayrun1=10,0,IF(Scaler1=1,(VLOOKUP(A15,ScaledPrice1,4)),(VLOOKUP(A15,ScaledPrice1,2)))))</f>
        <v>29.956248909235</v>
      </c>
      <c r="D15" s="317" t="n">
        <f aca="false">IF(A15="N/A"," ",IF(Dayrun1&gt;=7,0,IF(Scaler1=2,VLOOKUP(A15,ScaledPrice1,2),(VLOOKUP(A15,ScaledPrice1,2))*(2-(VLOOKUP(A15,ScaledPrice1,3))))))</f>
        <v>29.956248909235</v>
      </c>
      <c r="E15" s="317" t="n">
        <f aca="false">IF($A15="N/A"," ",IF(AND(Dayrun1&gt;=4,Dayrun1&lt;=9),0,VLOOKUP($A15,ScaledPrice1,9)))</f>
        <v>19</v>
      </c>
      <c r="F15" s="317" t="n">
        <f aca="false">IF(A15="N/A"," ",IF(OR(Dayrun1=2,Dayrun1=3,Dayrun1=5,Dayrun1=6,Dayrun1=8,Dayrun1=9),VLOOKUP(A15,ScaledPrice1,IF(Scaler1=1,6,5)),0))</f>
        <v>28.9199990844727</v>
      </c>
      <c r="G15" s="317" t="n">
        <f aca="false">IF(A15="N/A"," ",IF(OR(Dayrun1=2,Dayrun1=3,Dayrun1=5,Dayrun1=6),IF(Scaler1=2,F15,(VLOOKUP(A15,ScaledPrice1,5))*(2-(VLOOKUP(A15,ScaledPrice1,3)))),0))</f>
        <v>28.9199990844727</v>
      </c>
      <c r="H15" s="317" t="n">
        <f aca="false">IF($A15="N/A"," ",IF(OR(Dayrun1=2,Dayrun1=3,Dayrun1=10),VLOOKUP($A15,ScaledPrice1,9),0))</f>
        <v>19</v>
      </c>
      <c r="I15" s="317" t="n">
        <f aca="false">IF(A15="N/A"," ",IF(OR(Dayrun1=3,Dayrun1=6,Dayrun1=9),(VLOOKUP(A15,ScaledPrice1,IF(Scaler1=2,7,8))),0))</f>
        <v>23.4199990844727</v>
      </c>
      <c r="J15" s="317" t="n">
        <f aca="false">IF(A15="N/A"," ",IF(OR(Dayrun1=3,Dayrun1=6),IF(Scaler1=2,I15,(VLOOKUP(A15,ScaledPrice1,7))*(2-(VLOOKUP(A15,ScaledPrice1,3)))),0))</f>
        <v>23.4199990844727</v>
      </c>
      <c r="K15" s="317" t="n">
        <f aca="false">IF($A15="N/A"," ",IF(OR(Dayrun1=3,Dayrun1=10),VLOOKUP($A15,ScaledPrice1,9),0))</f>
        <v>19</v>
      </c>
      <c r="L15" s="318" t="n">
        <f aca="false">IF($A15="N/A"," ",IF(Pricetype1=2,MAX(C15,0),IF(OR(Pricetype1=1,Pricetype1=4),IF(C15=0,0,(EURO(C15,Strikeprice1,0,0,($AH15+IF(Smile=TRUE(),VLOOKUP(MAX(-5,Strikeprice1-C15),Volsmile,2),0)),($A15-DateToday)+15,IF(Pricetype1=1,1,0),0))),C15)))</f>
        <v>29.956248909235</v>
      </c>
      <c r="M15" s="318" t="n">
        <f aca="false">IF($A15="N/A"," ",IF(Pricetype1=2,MAX(D15,0),IF(OR(Pricetype1=1,Pricetype1=4),IF(D15=0,0,(EURO(D15,Strikeprice1,0,0,($AH15+IF(Smile=TRUE(),VLOOKUP(MAX(-5,Strikeprice1-D15),Volsmile,2),0)),($A15-DateToday)+15,IF(Pricetype1=1,1,0),0))),D15)))</f>
        <v>29.956248909235</v>
      </c>
      <c r="N15" s="318" t="n">
        <f aca="false">IF($A15="N/A"," ",IF(Pricetype1=2,MAX(E15,0),IF(OR(Pricetype1=1,Pricetype1=4),IF(E15=0,0,(EURO(E15,Strikeprice1,0,0,($AK15+IF(Smile=TRUE(),VLOOKUP(MAX(-5,Strikeprice1-E15),Volsmile,2),0)),($A15-DateToday)+15,IF(Pricetype1=1,1,0),0))),E15)))</f>
        <v>19</v>
      </c>
      <c r="O15" s="318" t="n">
        <f aca="false">IF($A15="N/A"," ",IF(Pricetype1=2,MAX(F15,0),IF(OR(Pricetype1=1,Pricetype1=4),IF(F15=0,0,(EURO(F15,Strikeprice1,0,0,($AK15+IF(Smile=TRUE(),VLOOKUP(MAX(-5,Strikeprice1-F15),Volsmile,2),0)),($A15-DateToday)+15,IF(Pricetype1=1,1,0),0))),F15)))</f>
        <v>28.9199990844727</v>
      </c>
      <c r="P15" s="318" t="n">
        <f aca="false">IF($A15="N/A"," ",IF(Pricetype1=2,MAX(G15,0),IF(OR(Pricetype1=1,Pricetype1=4),IF(G15=0,0,(EURO(G15,Strikeprice1,0,0,($AK15+IF(Smile=TRUE(),VLOOKUP(MAX(-5,Strikeprice1-G15),Volsmile,2),0)),($A15-DateToday)+15,IF(Pricetype1=1,1,0),0))),G15)))</f>
        <v>28.9199990844727</v>
      </c>
      <c r="Q15" s="318" t="n">
        <f aca="false">IF($A15="N/A"," ",IF(Pricetype1=2,MAX(H15,0),IF(OR(Pricetype1=1,Pricetype1=4),IF(H15=0,0,(EURO(H15,Strikeprice1,0,0,($AK15+IF(Smile=TRUE(),VLOOKUP(MAX(-5,Strikeprice1-H15),Volsmile,2),0)),($A15-DateToday)+15,IF(Pricetype1=1,1,0),0))),H15)))</f>
        <v>19</v>
      </c>
      <c r="R15" s="318" t="n">
        <f aca="false">IF($A15="N/A"," ",IF(Pricetype1=2,MAX(I15,0),IF(OR(Pricetype1=1,Pricetype1=4),IF(I15=0,0,(EURO(I15,Strikeprice1,0,0,($AK15+IF(Smile=TRUE(),VLOOKUP(MAX(-5,Strikeprice1-I15),Volsmile,2),0)),($A15-DateToday)+15,IF(Pricetype1=1,1,0),0))),I15)))</f>
        <v>23.4199990844727</v>
      </c>
      <c r="S15" s="318" t="n">
        <f aca="false">IF($A15="N/A"," ",IF(Pricetype1=2,MAX(J15,0),IF(OR(Pricetype1=1,Pricetype1=4),IF(J15=0,0,(EURO(J15,Strikeprice1,0,0,($AK15+IF(Smile=TRUE(),VLOOKUP(MAX(-5,Strikeprice1-J15),Volsmile,2),0)),($A15-DateToday)+15,IF(Pricetype1=1,1,0),0))),J15)))</f>
        <v>23.4199990844727</v>
      </c>
      <c r="T15" s="318" t="n">
        <f aca="false">IF($A15="N/A"," ",IF(Pricetype1=2,MAX(K15,0),IF(OR(Pricetype1=1,Pricetype1=4),IF(K15=0,0,(EURO(K15,Strikeprice1,0,0,($AK15+IF(Smile=TRUE(),VLOOKUP(MAX(-5,Strikeprice1-K15),Volsmile,2),0)),($A15-DateToday)+15,IF(Pricetype1=1,1,0),0))),K15)))</f>
        <v>19</v>
      </c>
      <c r="U15" s="319" t="e">
        <f aca="false">IF($A15="N/A"," ",Volume1*$AM15)</f>
        <v>#N/A</v>
      </c>
      <c r="V15" s="320" t="e">
        <f aca="false">IF($A15="N/A"," ",$U15*(8*($BQ15))*L15)</f>
        <v>#N/A</v>
      </c>
      <c r="W15" s="320" t="e">
        <f aca="false">IF($A15="N/A"," ",$U15*(8*($BQ15))*M15)</f>
        <v>#N/A</v>
      </c>
      <c r="X15" s="320" t="e">
        <f aca="false">IF($A15="N/A"," ",$U15*(8*($BQ15))*N15)</f>
        <v>#N/A</v>
      </c>
      <c r="Y15" s="320" t="e">
        <f aca="false">IF($A15="N/A"," ",$U15*(8*($BR15))*O15)</f>
        <v>#N/A</v>
      </c>
      <c r="Z15" s="320" t="e">
        <f aca="false">IF($A15="N/A"," ",$U15*(8*($BR15))*P15)</f>
        <v>#N/A</v>
      </c>
      <c r="AA15" s="320" t="e">
        <f aca="false">IF($A15="N/A"," ",$U15*(8*($BR15))*Q15)</f>
        <v>#N/A</v>
      </c>
      <c r="AB15" s="320" t="e">
        <f aca="false">IF($A15="N/A"," ",$U15*(8*($BS15))*R15)</f>
        <v>#N/A</v>
      </c>
      <c r="AC15" s="320" t="e">
        <f aca="false">IF($A15="N/A"," ",$U15*(8*($BS15))*S15)</f>
        <v>#N/A</v>
      </c>
      <c r="AD15" s="320" t="e">
        <f aca="false">IF($A15="N/A"," ",$U15*(8*($BS15))*T15)</f>
        <v>#N/A</v>
      </c>
      <c r="AE15" s="320" t="e">
        <f aca="false">IF($A15="N/A"," ",SUM(V15:AD15))</f>
        <v>#N/A</v>
      </c>
      <c r="AF15" s="321" t="n">
        <f aca="false">IF(A15="N/A"," ",(VLOOKUP(A15,PowerVolTable,(IF(VolBMO1=2,7,IF(VolBMO1=1,6,8))),FALSE())))</f>
        <v>0.3</v>
      </c>
      <c r="AG15" s="321" t="n">
        <f aca="false">IF(A15="N/A"," ",(VLOOKUP(A15,IntraPowerVol,(IF(VolBMO1=2,3,IF(VolBMO1=1,2,4))),FALSE())*VLOOKUP(MONTH($A15),Volscale,2)))</f>
        <v>0.5</v>
      </c>
      <c r="AH15" s="321" t="n">
        <f aca="false">IF($A15="N/A"," ",IF(VolType1=1,AG15,AF15))</f>
        <v>0.5</v>
      </c>
      <c r="AI15" s="321" t="n">
        <f aca="false">IF($A15="N/A"," ",(VLOOKUP($A15,OffPwrVolTable,(IF(VolBMO1=2,7,IF(VolBMO1=1,6,8))),FALSE())))</f>
        <v>0.15</v>
      </c>
      <c r="AJ15" s="321" t="n">
        <f aca="false">IF($A15="N/A"," ",(VLOOKUP($A15,OffPwrVolTable,(IF(VolBMO1=2,3,IF(VolBMO1=1,2,4))),FALSE())*VLOOKUP(MONTH($A15),Volscale,2)))</f>
        <v>0.3</v>
      </c>
      <c r="AK15" s="321" t="n">
        <f aca="false">IF($A15="N/A"," ",IF(VolType1=1,AJ15,AI15))</f>
        <v>0.3</v>
      </c>
      <c r="AL15" s="321" t="e">
        <f aca="false">IF($A15="N/A"," ",IF(PV=1,0,'Pricing Inputs1'!R48))</f>
        <v>#N/A</v>
      </c>
      <c r="AM15" s="323" t="e">
        <f aca="false">IF($A15="N/A"," ",(1+AL15/2)^(-2*((EOMONTH(A15,0)+20)-DateToday)/365.25))</f>
        <v>#N/A</v>
      </c>
      <c r="BQ15" s="0" t="n">
        <f aca="false">IF($A15="N/A"," ",(VLOOKUP($A15,NumberofDaysTable,2)))</f>
        <v>21</v>
      </c>
      <c r="BR15" s="0" t="n">
        <f aca="false">IF($A15="N/A"," ",(VLOOKUP($A15,NumberofDaysTable,3)))</f>
        <v>4</v>
      </c>
      <c r="BS15" s="0" t="n">
        <f aca="false">IF($A15="N/A"," ",(VLOOKUP($A15,NumberofDaysTable,4)))</f>
        <v>6</v>
      </c>
    </row>
    <row r="16" customFormat="false" ht="12.75" hidden="false" customHeight="false" outlineLevel="0" collapsed="false">
      <c r="A16" s="315" t="n">
        <f aca="false">IF(A15="N/A","N/A",IF(EDATE(A15,1)&gt;Inputs!$M$5,"N/A",EDATE(A15,1)))</f>
        <v>37622</v>
      </c>
      <c r="B16" s="316" t="n">
        <f aca="false">IF(A16="N/A"," ",YEAR(A16))</f>
        <v>2003</v>
      </c>
      <c r="C16" s="317" t="n">
        <f aca="false">IF($A16="N/A"," ",IF(Dayrun1=10,0,IF(Scaler1=1,(VLOOKUP(A16,ScaledPrice1,4)),(VLOOKUP(A16,ScaledPrice1,2)))))</f>
        <v>33.2857153756278</v>
      </c>
      <c r="D16" s="317" t="n">
        <f aca="false">IF(A16="N/A"," ",IF(Dayrun1&gt;=7,0,IF(Scaler1=2,VLOOKUP(A16,ScaledPrice1,2),(VLOOKUP(A16,ScaledPrice1,2))*(2-(VLOOKUP(A16,ScaledPrice1,3))))))</f>
        <v>33.2857153756278</v>
      </c>
      <c r="E16" s="317" t="n">
        <f aca="false">IF($A16="N/A"," ",IF(AND(Dayrun1&gt;=4,Dayrun1&lt;=9),0,VLOOKUP($A16,ScaledPrice1,9)))</f>
        <v>20.8899993896484</v>
      </c>
      <c r="F16" s="317" t="n">
        <f aca="false">IF(A16="N/A"," ",IF(OR(Dayrun1=2,Dayrun1=3,Dayrun1=5,Dayrun1=6,Dayrun1=8,Dayrun1=9),VLOOKUP(A16,ScaledPrice1,IF(Scaler1=1,6,5)),0))</f>
        <v>35.2699966430664</v>
      </c>
      <c r="G16" s="317" t="n">
        <f aca="false">IF(A16="N/A"," ",IF(OR(Dayrun1=2,Dayrun1=3,Dayrun1=5,Dayrun1=6),IF(Scaler1=2,F16,(VLOOKUP(A16,ScaledPrice1,5))*(2-(VLOOKUP(A16,ScaledPrice1,3)))),0))</f>
        <v>35.2699966430664</v>
      </c>
      <c r="H16" s="317" t="n">
        <f aca="false">IF($A16="N/A"," ",IF(OR(Dayrun1=2,Dayrun1=3,Dayrun1=10),VLOOKUP($A16,ScaledPrice1,9),0))</f>
        <v>20.8899993896484</v>
      </c>
      <c r="I16" s="317" t="n">
        <f aca="false">IF(A16="N/A"," ",IF(OR(Dayrun1=3,Dayrun1=6,Dayrun1=9),(VLOOKUP(A16,ScaledPrice1,IF(Scaler1=2,7,8))),0))</f>
        <v>24.7699966430664</v>
      </c>
      <c r="J16" s="317" t="n">
        <f aca="false">IF(A16="N/A"," ",IF(OR(Dayrun1=3,Dayrun1=6),IF(Scaler1=2,I16,(VLOOKUP(A16,ScaledPrice1,7))*(2-(VLOOKUP(A16,ScaledPrice1,3)))),0))</f>
        <v>24.7699966430664</v>
      </c>
      <c r="K16" s="317" t="n">
        <f aca="false">IF($A16="N/A"," ",IF(OR(Dayrun1=3,Dayrun1=10),VLOOKUP($A16,ScaledPrice1,9),0))</f>
        <v>20.8899993896484</v>
      </c>
      <c r="L16" s="318" t="n">
        <f aca="false">IF($A16="N/A"," ",IF(Pricetype1=2,MAX(C16,0),IF(OR(Pricetype1=1,Pricetype1=4),IF(C16=0,0,(EURO(C16,Strikeprice1,0,0,($AH16+IF(Smile=TRUE(),VLOOKUP(MAX(-5,Strikeprice1-C16),Volsmile,2),0)),($A16-DateToday)+15,IF(Pricetype1=1,1,0),0))),C16)))</f>
        <v>33.2857153756278</v>
      </c>
      <c r="M16" s="318" t="n">
        <f aca="false">IF($A16="N/A"," ",IF(Pricetype1=2,MAX(D16,0),IF(OR(Pricetype1=1,Pricetype1=4),IF(D16=0,0,(EURO(D16,Strikeprice1,0,0,($AH16+IF(Smile=TRUE(),VLOOKUP(MAX(-5,Strikeprice1-D16),Volsmile,2),0)),($A16-DateToday)+15,IF(Pricetype1=1,1,0),0))),D16)))</f>
        <v>33.2857153756278</v>
      </c>
      <c r="N16" s="318" t="n">
        <f aca="false">IF($A16="N/A"," ",IF(Pricetype1=2,MAX(E16,0),IF(OR(Pricetype1=1,Pricetype1=4),IF(E16=0,0,(EURO(E16,Strikeprice1,0,0,($AK16+IF(Smile=TRUE(),VLOOKUP(MAX(-5,Strikeprice1-E16),Volsmile,2),0)),($A16-DateToday)+15,IF(Pricetype1=1,1,0),0))),E16)))</f>
        <v>20.8899993896484</v>
      </c>
      <c r="O16" s="318" t="n">
        <f aca="false">IF($A16="N/A"," ",IF(Pricetype1=2,MAX(F16,0),IF(OR(Pricetype1=1,Pricetype1=4),IF(F16=0,0,(EURO(F16,Strikeprice1,0,0,($AK16+IF(Smile=TRUE(),VLOOKUP(MAX(-5,Strikeprice1-F16),Volsmile,2),0)),($A16-DateToday)+15,IF(Pricetype1=1,1,0),0))),F16)))</f>
        <v>35.2699966430664</v>
      </c>
      <c r="P16" s="318" t="n">
        <f aca="false">IF($A16="N/A"," ",IF(Pricetype1=2,MAX(G16,0),IF(OR(Pricetype1=1,Pricetype1=4),IF(G16=0,0,(EURO(G16,Strikeprice1,0,0,($AK16+IF(Smile=TRUE(),VLOOKUP(MAX(-5,Strikeprice1-G16),Volsmile,2),0)),($A16-DateToday)+15,IF(Pricetype1=1,1,0),0))),G16)))</f>
        <v>35.2699966430664</v>
      </c>
      <c r="Q16" s="318" t="n">
        <f aca="false">IF($A16="N/A"," ",IF(Pricetype1=2,MAX(H16,0),IF(OR(Pricetype1=1,Pricetype1=4),IF(H16=0,0,(EURO(H16,Strikeprice1,0,0,($AK16+IF(Smile=TRUE(),VLOOKUP(MAX(-5,Strikeprice1-H16),Volsmile,2),0)),($A16-DateToday)+15,IF(Pricetype1=1,1,0),0))),H16)))</f>
        <v>20.8899993896484</v>
      </c>
      <c r="R16" s="318" t="n">
        <f aca="false">IF($A16="N/A"," ",IF(Pricetype1=2,MAX(I16,0),IF(OR(Pricetype1=1,Pricetype1=4),IF(I16=0,0,(EURO(I16,Strikeprice1,0,0,($AK16+IF(Smile=TRUE(),VLOOKUP(MAX(-5,Strikeprice1-I16),Volsmile,2),0)),($A16-DateToday)+15,IF(Pricetype1=1,1,0),0))),I16)))</f>
        <v>24.7699966430664</v>
      </c>
      <c r="S16" s="318" t="n">
        <f aca="false">IF($A16="N/A"," ",IF(Pricetype1=2,MAX(J16,0),IF(OR(Pricetype1=1,Pricetype1=4),IF(J16=0,0,(EURO(J16,Strikeprice1,0,0,($AK16+IF(Smile=TRUE(),VLOOKUP(MAX(-5,Strikeprice1-J16),Volsmile,2),0)),($A16-DateToday)+15,IF(Pricetype1=1,1,0),0))),J16)))</f>
        <v>24.7699966430664</v>
      </c>
      <c r="T16" s="318" t="n">
        <f aca="false">IF($A16="N/A"," ",IF(Pricetype1=2,MAX(K16,0),IF(OR(Pricetype1=1,Pricetype1=4),IF(K16=0,0,(EURO(K16,Strikeprice1,0,0,($AK16+IF(Smile=TRUE(),VLOOKUP(MAX(-5,Strikeprice1-K16),Volsmile,2),0)),($A16-DateToday)+15,IF(Pricetype1=1,1,0),0))),K16)))</f>
        <v>20.8899993896484</v>
      </c>
      <c r="U16" s="319" t="e">
        <f aca="false">IF($A16="N/A"," ",Volume1*$AM16)</f>
        <v>#N/A</v>
      </c>
      <c r="V16" s="320" t="e">
        <f aca="false">IF($A16="N/A"," ",$U16*(8*($BQ16))*L16)</f>
        <v>#N/A</v>
      </c>
      <c r="W16" s="320" t="e">
        <f aca="false">IF($A16="N/A"," ",$U16*(8*($BQ16))*M16)</f>
        <v>#N/A</v>
      </c>
      <c r="X16" s="320" t="e">
        <f aca="false">IF($A16="N/A"," ",$U16*(8*($BQ16))*N16)</f>
        <v>#N/A</v>
      </c>
      <c r="Y16" s="320" t="e">
        <f aca="false">IF($A16="N/A"," ",$U16*(8*($BR16))*O16)</f>
        <v>#N/A</v>
      </c>
      <c r="Z16" s="320" t="e">
        <f aca="false">IF($A16="N/A"," ",$U16*(8*($BR16))*P16)</f>
        <v>#N/A</v>
      </c>
      <c r="AA16" s="320" t="e">
        <f aca="false">IF($A16="N/A"," ",$U16*(8*($BR16))*Q16)</f>
        <v>#N/A</v>
      </c>
      <c r="AB16" s="320" t="e">
        <f aca="false">IF($A16="N/A"," ",$U16*(8*($BS16))*R16)</f>
        <v>#N/A</v>
      </c>
      <c r="AC16" s="320" t="e">
        <f aca="false">IF($A16="N/A"," ",$U16*(8*($BS16))*S16)</f>
        <v>#N/A</v>
      </c>
      <c r="AD16" s="320" t="e">
        <f aca="false">IF($A16="N/A"," ",$U16*(8*($BS16))*T16)</f>
        <v>#N/A</v>
      </c>
      <c r="AE16" s="320" t="e">
        <f aca="false">IF($A16="N/A"," ",SUM(V16:AD16))</f>
        <v>#N/A</v>
      </c>
      <c r="AF16" s="321" t="n">
        <f aca="false">IF(A16="N/A"," ",(VLOOKUP(A16,PowerVolTable,(IF(VolBMO1=2,7,IF(VolBMO1=1,6,8))),FALSE())))</f>
        <v>0.3</v>
      </c>
      <c r="AG16" s="321" t="n">
        <f aca="false">IF(A16="N/A"," ",(VLOOKUP(A16,IntraPowerVol,(IF(VolBMO1=2,3,IF(VolBMO1=1,2,4))),FALSE())*VLOOKUP(MONTH($A16),Volscale,2)))</f>
        <v>0.45</v>
      </c>
      <c r="AH16" s="321" t="n">
        <f aca="false">IF($A16="N/A"," ",IF(VolType1=1,AG16,AF16))</f>
        <v>0.45</v>
      </c>
      <c r="AI16" s="321" t="n">
        <f aca="false">IF($A16="N/A"," ",(VLOOKUP($A16,OffPwrVolTable,(IF(VolBMO1=2,7,IF(VolBMO1=1,6,8))),FALSE())))</f>
        <v>0.15</v>
      </c>
      <c r="AJ16" s="321" t="n">
        <f aca="false">IF($A16="N/A"," ",(VLOOKUP($A16,OffPwrVolTable,(IF(VolBMO1=2,3,IF(VolBMO1=1,2,4))),FALSE())*VLOOKUP(MONTH($A16),Volscale,2)))</f>
        <v>0.27</v>
      </c>
      <c r="AK16" s="321" t="n">
        <f aca="false">IF($A16="N/A"," ",IF(VolType1=1,AJ16,AI16))</f>
        <v>0.27</v>
      </c>
      <c r="AL16" s="321" t="e">
        <f aca="false">IF($A16="N/A"," ",IF(PV=1,0,'Pricing Inputs1'!R49))</f>
        <v>#N/A</v>
      </c>
      <c r="AM16" s="323" t="e">
        <f aca="false">IF($A16="N/A"," ",(1+AL16/2)^(-2*((EOMONTH(A16,0)+20)-DateToday)/365.25))</f>
        <v>#N/A</v>
      </c>
      <c r="BQ16" s="0" t="n">
        <f aca="false">IF($A16="N/A"," ",(VLOOKUP($A16,NumberofDaysTable,2)))</f>
        <v>22</v>
      </c>
      <c r="BR16" s="0" t="n">
        <f aca="false">IF($A16="N/A"," ",(VLOOKUP($A16,NumberofDaysTable,3)))</f>
        <v>4</v>
      </c>
      <c r="BS16" s="0" t="n">
        <f aca="false">IF($A16="N/A"," ",(VLOOKUP($A16,NumberofDaysTable,4)))</f>
        <v>5</v>
      </c>
    </row>
    <row r="17" customFormat="false" ht="12.75" hidden="false" customHeight="false" outlineLevel="0" collapsed="false">
      <c r="A17" s="315" t="n">
        <f aca="false">IF(A16="N/A","N/A",IF(EDATE(A16,1)&gt;Inputs!$M$5,"N/A",EDATE(A16,1)))</f>
        <v>37653</v>
      </c>
      <c r="B17" s="316" t="n">
        <f aca="false">IF(A17="N/A"," ",YEAR(A17))</f>
        <v>2003</v>
      </c>
      <c r="C17" s="317" t="n">
        <f aca="false">IF($A17="N/A"," ",IF(Dayrun1=10,0,IF(Scaler1=1,(VLOOKUP(A17,ScaledPrice1,4)),(VLOOKUP(A17,ScaledPrice1,2)))))</f>
        <v>32.6857130868094</v>
      </c>
      <c r="D17" s="317" t="n">
        <f aca="false">IF(A17="N/A"," ",IF(Dayrun1&gt;=7,0,IF(Scaler1=2,VLOOKUP(A17,ScaledPrice1,2),(VLOOKUP(A17,ScaledPrice1,2))*(2-(VLOOKUP(A17,ScaledPrice1,3))))))</f>
        <v>32.6857130868094</v>
      </c>
      <c r="E17" s="317" t="n">
        <f aca="false">IF($A17="N/A"," ",IF(AND(Dayrun1&gt;=4,Dayrun1&lt;=9),0,VLOOKUP($A17,ScaledPrice1,9)))</f>
        <v>19.3899993896484</v>
      </c>
      <c r="F17" s="317" t="n">
        <f aca="false">IF(A17="N/A"," ",IF(OR(Dayrun1=2,Dayrun1=3,Dayrun1=5,Dayrun1=6,Dayrun1=8,Dayrun1=9),VLOOKUP(A17,ScaledPrice1,IF(Scaler1=1,6,5)),0))</f>
        <v>30.765998840332</v>
      </c>
      <c r="G17" s="317" t="n">
        <f aca="false">IF(A17="N/A"," ",IF(OR(Dayrun1=2,Dayrun1=3,Dayrun1=5,Dayrun1=6),IF(Scaler1=2,F17,(VLOOKUP(A17,ScaledPrice1,5))*(2-(VLOOKUP(A17,ScaledPrice1,3)))),0))</f>
        <v>30.765998840332</v>
      </c>
      <c r="H17" s="317" t="n">
        <f aca="false">IF($A17="N/A"," ",IF(OR(Dayrun1=2,Dayrun1=3,Dayrun1=10),VLOOKUP($A17,ScaledPrice1,9),0))</f>
        <v>19.3899993896484</v>
      </c>
      <c r="I17" s="317" t="n">
        <f aca="false">IF(A17="N/A"," ",IF(OR(Dayrun1=3,Dayrun1=6,Dayrun1=9),(VLOOKUP(A17,ScaledPrice1,IF(Scaler1=2,7,8))),0))</f>
        <v>22.2664985656738</v>
      </c>
      <c r="J17" s="317" t="n">
        <f aca="false">IF(A17="N/A"," ",IF(OR(Dayrun1=3,Dayrun1=6),IF(Scaler1=2,I17,(VLOOKUP(A17,ScaledPrice1,7))*(2-(VLOOKUP(A17,ScaledPrice1,3)))),0))</f>
        <v>22.2664985656738</v>
      </c>
      <c r="K17" s="317" t="n">
        <f aca="false">IF($A17="N/A"," ",IF(OR(Dayrun1=3,Dayrun1=10),VLOOKUP($A17,ScaledPrice1,9),0))</f>
        <v>19.3899993896484</v>
      </c>
      <c r="L17" s="318" t="n">
        <f aca="false">IF($A17="N/A"," ",IF(Pricetype1=2,MAX(C17,0),IF(OR(Pricetype1=1,Pricetype1=4),IF(C17=0,0,(EURO(C17,Strikeprice1,0,0,($AH17+IF(Smile=TRUE(),VLOOKUP(MAX(-5,Strikeprice1-C17),Volsmile,2),0)),($A17-DateToday)+15,IF(Pricetype1=1,1,0),0))),C17)))</f>
        <v>32.6857130868094</v>
      </c>
      <c r="M17" s="318" t="n">
        <f aca="false">IF($A17="N/A"," ",IF(Pricetype1=2,MAX(D17,0),IF(OR(Pricetype1=1,Pricetype1=4),IF(D17=0,0,(EURO(D17,Strikeprice1,0,0,($AH17+IF(Smile=TRUE(),VLOOKUP(MAX(-5,Strikeprice1-D17),Volsmile,2),0)),($A17-DateToday)+15,IF(Pricetype1=1,1,0),0))),D17)))</f>
        <v>32.6857130868094</v>
      </c>
      <c r="N17" s="318" t="n">
        <f aca="false">IF($A17="N/A"," ",IF(Pricetype1=2,MAX(E17,0),IF(OR(Pricetype1=1,Pricetype1=4),IF(E17=0,0,(EURO(E17,Strikeprice1,0,0,($AK17+IF(Smile=TRUE(),VLOOKUP(MAX(-5,Strikeprice1-E17),Volsmile,2),0)),($A17-DateToday)+15,IF(Pricetype1=1,1,0),0))),E17)))</f>
        <v>19.3899993896484</v>
      </c>
      <c r="O17" s="318" t="n">
        <f aca="false">IF($A17="N/A"," ",IF(Pricetype1=2,MAX(F17,0),IF(OR(Pricetype1=1,Pricetype1=4),IF(F17=0,0,(EURO(F17,Strikeprice1,0,0,($AK17+IF(Smile=TRUE(),VLOOKUP(MAX(-5,Strikeprice1-F17),Volsmile,2),0)),($A17-DateToday)+15,IF(Pricetype1=1,1,0),0))),F17)))</f>
        <v>30.765998840332</v>
      </c>
      <c r="P17" s="318" t="n">
        <f aca="false">IF($A17="N/A"," ",IF(Pricetype1=2,MAX(G17,0),IF(OR(Pricetype1=1,Pricetype1=4),IF(G17=0,0,(EURO(G17,Strikeprice1,0,0,($AK17+IF(Smile=TRUE(),VLOOKUP(MAX(-5,Strikeprice1-G17),Volsmile,2),0)),($A17-DateToday)+15,IF(Pricetype1=1,1,0),0))),G17)))</f>
        <v>30.765998840332</v>
      </c>
      <c r="Q17" s="318" t="n">
        <f aca="false">IF($A17="N/A"," ",IF(Pricetype1=2,MAX(H17,0),IF(OR(Pricetype1=1,Pricetype1=4),IF(H17=0,0,(EURO(H17,Strikeprice1,0,0,($AK17+IF(Smile=TRUE(),VLOOKUP(MAX(-5,Strikeprice1-H17),Volsmile,2),0)),($A17-DateToday)+15,IF(Pricetype1=1,1,0),0))),H17)))</f>
        <v>19.3899993896484</v>
      </c>
      <c r="R17" s="318" t="n">
        <f aca="false">IF($A17="N/A"," ",IF(Pricetype1=2,MAX(I17,0),IF(OR(Pricetype1=1,Pricetype1=4),IF(I17=0,0,(EURO(I17,Strikeprice1,0,0,($AK17+IF(Smile=TRUE(),VLOOKUP(MAX(-5,Strikeprice1-I17),Volsmile,2),0)),($A17-DateToday)+15,IF(Pricetype1=1,1,0),0))),I17)))</f>
        <v>22.2664985656738</v>
      </c>
      <c r="S17" s="318" t="n">
        <f aca="false">IF($A17="N/A"," ",IF(Pricetype1=2,MAX(J17,0),IF(OR(Pricetype1=1,Pricetype1=4),IF(J17=0,0,(EURO(J17,Strikeprice1,0,0,($AK17+IF(Smile=TRUE(),VLOOKUP(MAX(-5,Strikeprice1-J17),Volsmile,2),0)),($A17-DateToday)+15,IF(Pricetype1=1,1,0),0))),J17)))</f>
        <v>22.2664985656738</v>
      </c>
      <c r="T17" s="318" t="n">
        <f aca="false">IF($A17="N/A"," ",IF(Pricetype1=2,MAX(K17,0),IF(OR(Pricetype1=1,Pricetype1=4),IF(K17=0,0,(EURO(K17,Strikeprice1,0,0,($AK17+IF(Smile=TRUE(),VLOOKUP(MAX(-5,Strikeprice1-K17),Volsmile,2),0)),($A17-DateToday)+15,IF(Pricetype1=1,1,0),0))),K17)))</f>
        <v>19.3899993896484</v>
      </c>
      <c r="U17" s="319" t="e">
        <f aca="false">IF($A17="N/A"," ",Volume1*$AM17)</f>
        <v>#N/A</v>
      </c>
      <c r="V17" s="320" t="e">
        <f aca="false">IF($A17="N/A"," ",$U17*(8*($BQ17))*L17)</f>
        <v>#N/A</v>
      </c>
      <c r="W17" s="320" t="e">
        <f aca="false">IF($A17="N/A"," ",$U17*(8*($BQ17))*M17)</f>
        <v>#N/A</v>
      </c>
      <c r="X17" s="320" t="e">
        <f aca="false">IF($A17="N/A"," ",$U17*(8*($BQ17))*N17)</f>
        <v>#N/A</v>
      </c>
      <c r="Y17" s="320" t="e">
        <f aca="false">IF($A17="N/A"," ",$U17*(8*($BR17))*O17)</f>
        <v>#N/A</v>
      </c>
      <c r="Z17" s="320" t="e">
        <f aca="false">IF($A17="N/A"," ",$U17*(8*($BR17))*P17)</f>
        <v>#N/A</v>
      </c>
      <c r="AA17" s="320" t="e">
        <f aca="false">IF($A17="N/A"," ",$U17*(8*($BR17))*Q17)</f>
        <v>#N/A</v>
      </c>
      <c r="AB17" s="320" t="e">
        <f aca="false">IF($A17="N/A"," ",$U17*(8*($BS17))*R17)</f>
        <v>#N/A</v>
      </c>
      <c r="AC17" s="320" t="e">
        <f aca="false">IF($A17="N/A"," ",$U17*(8*($BS17))*S17)</f>
        <v>#N/A</v>
      </c>
      <c r="AD17" s="320" t="e">
        <f aca="false">IF($A17="N/A"," ",$U17*(8*($BS17))*T17)</f>
        <v>#N/A</v>
      </c>
      <c r="AE17" s="320" t="e">
        <f aca="false">IF($A17="N/A"," ",SUM(V17:AD17))</f>
        <v>#N/A</v>
      </c>
      <c r="AF17" s="321" t="n">
        <f aca="false">IF(A17="N/A"," ",(VLOOKUP(A17,PowerVolTable,(IF(VolBMO1=2,7,IF(VolBMO1=1,6,8))),FALSE())))</f>
        <v>0.3</v>
      </c>
      <c r="AG17" s="321" t="n">
        <f aca="false">IF(A17="N/A"," ",(VLOOKUP(A17,IntraPowerVol,(IF(VolBMO1=2,3,IF(VolBMO1=1,2,4))),FALSE())*VLOOKUP(MONTH($A17),Volscale,2)))</f>
        <v>0.45</v>
      </c>
      <c r="AH17" s="321" t="n">
        <f aca="false">IF($A17="N/A"," ",IF(VolType1=1,AG17,AF17))</f>
        <v>0.45</v>
      </c>
      <c r="AI17" s="321" t="n">
        <f aca="false">IF($A17="N/A"," ",(VLOOKUP($A17,OffPwrVolTable,(IF(VolBMO1=2,7,IF(VolBMO1=1,6,8))),FALSE())))</f>
        <v>0.15</v>
      </c>
      <c r="AJ17" s="321" t="n">
        <f aca="false">IF($A17="N/A"," ",(VLOOKUP($A17,OffPwrVolTable,(IF(VolBMO1=2,3,IF(VolBMO1=1,2,4))),FALSE())*VLOOKUP(MONTH($A17),Volscale,2)))</f>
        <v>0.27</v>
      </c>
      <c r="AK17" s="321" t="n">
        <f aca="false">IF($A17="N/A"," ",IF(VolType1=1,AJ17,AI17))</f>
        <v>0.27</v>
      </c>
      <c r="AL17" s="321" t="e">
        <f aca="false">IF($A17="N/A"," ",IF(PV=1,0,'Pricing Inputs1'!R50))</f>
        <v>#N/A</v>
      </c>
      <c r="AM17" s="323" t="e">
        <f aca="false">IF($A17="N/A"," ",(1+AL17/2)^(-2*((EOMONTH(A17,0)+20)-DateToday)/365.25))</f>
        <v>#N/A</v>
      </c>
      <c r="BQ17" s="0" t="n">
        <f aca="false">IF($A17="N/A"," ",(VLOOKUP($A17,NumberofDaysTable,2)))</f>
        <v>20</v>
      </c>
      <c r="BR17" s="0" t="n">
        <f aca="false">IF($A17="N/A"," ",(VLOOKUP($A17,NumberofDaysTable,3)))</f>
        <v>4</v>
      </c>
      <c r="BS17" s="0" t="n">
        <f aca="false">IF($A17="N/A"," ",(VLOOKUP($A17,NumberofDaysTable,4)))</f>
        <v>4</v>
      </c>
    </row>
    <row r="18" customFormat="false" ht="12.75" hidden="false" customHeight="false" outlineLevel="0" collapsed="false">
      <c r="A18" s="315" t="n">
        <f aca="false">IF(A17="N/A","N/A",IF(EDATE(A17,1)&gt;Inputs!$M$5,"N/A",EDATE(A17,1)))</f>
        <v>37681</v>
      </c>
      <c r="B18" s="316" t="n">
        <f aca="false">IF(A18="N/A"," ",YEAR(A18))</f>
        <v>2003</v>
      </c>
      <c r="C18" s="317" t="n">
        <f aca="false">IF($A18="N/A"," ",IF(Dayrun1=10,0,IF(Scaler1=1,(VLOOKUP(A18,ScaledPrice1,4)),(VLOOKUP(A18,ScaledPrice1,2)))))</f>
        <v>31.6476779316747</v>
      </c>
      <c r="D18" s="317" t="n">
        <f aca="false">IF(A18="N/A"," ",IF(Dayrun1&gt;=7,0,IF(Scaler1=2,VLOOKUP(A18,ScaledPrice1,2),(VLOOKUP(A18,ScaledPrice1,2))*(2-(VLOOKUP(A18,ScaledPrice1,3))))))</f>
        <v>31.6476779316747</v>
      </c>
      <c r="E18" s="317" t="n">
        <f aca="false">IF($A18="N/A"," ",IF(AND(Dayrun1&gt;=4,Dayrun1&lt;=9),0,VLOOKUP($A18,ScaledPrice1,9)))</f>
        <v>20.3899993896484</v>
      </c>
      <c r="F18" s="317" t="n">
        <f aca="false">IF(A18="N/A"," ",IF(OR(Dayrun1=2,Dayrun1=3,Dayrun1=5,Dayrun1=6,Dayrun1=8,Dayrun1=9),VLOOKUP(A18,ScaledPrice1,IF(Scaler1=1,6,5)),0))</f>
        <v>25.0199966430664</v>
      </c>
      <c r="G18" s="317" t="n">
        <f aca="false">IF(A18="N/A"," ",IF(OR(Dayrun1=2,Dayrun1=3,Dayrun1=5,Dayrun1=6),IF(Scaler1=2,F18,(VLOOKUP(A18,ScaledPrice1,5))*(2-(VLOOKUP(A18,ScaledPrice1,3)))),0))</f>
        <v>25.0199966430664</v>
      </c>
      <c r="H18" s="317" t="n">
        <f aca="false">IF($A18="N/A"," ",IF(OR(Dayrun1=2,Dayrun1=3,Dayrun1=10),VLOOKUP($A18,ScaledPrice1,9),0))</f>
        <v>20.3899993896484</v>
      </c>
      <c r="I18" s="317" t="n">
        <f aca="false">IF(A18="N/A"," ",IF(OR(Dayrun1=3,Dayrun1=6,Dayrun1=9),(VLOOKUP(A18,ScaledPrice1,IF(Scaler1=2,7,8))),0))</f>
        <v>19.5199966430664</v>
      </c>
      <c r="J18" s="317" t="n">
        <f aca="false">IF(A18="N/A"," ",IF(OR(Dayrun1=3,Dayrun1=6),IF(Scaler1=2,I18,(VLOOKUP(A18,ScaledPrice1,7))*(2-(VLOOKUP(A18,ScaledPrice1,3)))),0))</f>
        <v>19.5199966430664</v>
      </c>
      <c r="K18" s="317" t="n">
        <f aca="false">IF($A18="N/A"," ",IF(OR(Dayrun1=3,Dayrun1=10),VLOOKUP($A18,ScaledPrice1,9),0))</f>
        <v>20.3899993896484</v>
      </c>
      <c r="L18" s="318" t="n">
        <f aca="false">IF($A18="N/A"," ",IF(Pricetype1=2,MAX(C18,0),IF(OR(Pricetype1=1,Pricetype1=4),IF(C18=0,0,(EURO(C18,Strikeprice1,0,0,($AH18+IF(Smile=TRUE(),VLOOKUP(MAX(-5,Strikeprice1-C18),Volsmile,2),0)),($A18-DateToday)+15,IF(Pricetype1=1,1,0),0))),C18)))</f>
        <v>31.6476779316747</v>
      </c>
      <c r="M18" s="318" t="n">
        <f aca="false">IF($A18="N/A"," ",IF(Pricetype1=2,MAX(D18,0),IF(OR(Pricetype1=1,Pricetype1=4),IF(D18=0,0,(EURO(D18,Strikeprice1,0,0,($AH18+IF(Smile=TRUE(),VLOOKUP(MAX(-5,Strikeprice1-D18),Volsmile,2),0)),($A18-DateToday)+15,IF(Pricetype1=1,1,0),0))),D18)))</f>
        <v>31.6476779316747</v>
      </c>
      <c r="N18" s="318" t="n">
        <f aca="false">IF($A18="N/A"," ",IF(Pricetype1=2,MAX(E18,0),IF(OR(Pricetype1=1,Pricetype1=4),IF(E18=0,0,(EURO(E18,Strikeprice1,0,0,($AK18+IF(Smile=TRUE(),VLOOKUP(MAX(-5,Strikeprice1-E18),Volsmile,2),0)),($A18-DateToday)+15,IF(Pricetype1=1,1,0),0))),E18)))</f>
        <v>20.3899993896484</v>
      </c>
      <c r="O18" s="318" t="n">
        <f aca="false">IF($A18="N/A"," ",IF(Pricetype1=2,MAX(F18,0),IF(OR(Pricetype1=1,Pricetype1=4),IF(F18=0,0,(EURO(F18,Strikeprice1,0,0,($AK18+IF(Smile=TRUE(),VLOOKUP(MAX(-5,Strikeprice1-F18),Volsmile,2),0)),($A18-DateToday)+15,IF(Pricetype1=1,1,0),0))),F18)))</f>
        <v>25.0199966430664</v>
      </c>
      <c r="P18" s="318" t="n">
        <f aca="false">IF($A18="N/A"," ",IF(Pricetype1=2,MAX(G18,0),IF(OR(Pricetype1=1,Pricetype1=4),IF(G18=0,0,(EURO(G18,Strikeprice1,0,0,($AK18+IF(Smile=TRUE(),VLOOKUP(MAX(-5,Strikeprice1-G18),Volsmile,2),0)),($A18-DateToday)+15,IF(Pricetype1=1,1,0),0))),G18)))</f>
        <v>25.0199966430664</v>
      </c>
      <c r="Q18" s="318" t="n">
        <f aca="false">IF($A18="N/A"," ",IF(Pricetype1=2,MAX(H18,0),IF(OR(Pricetype1=1,Pricetype1=4),IF(H18=0,0,(EURO(H18,Strikeprice1,0,0,($AK18+IF(Smile=TRUE(),VLOOKUP(MAX(-5,Strikeprice1-H18),Volsmile,2),0)),($A18-DateToday)+15,IF(Pricetype1=1,1,0),0))),H18)))</f>
        <v>20.3899993896484</v>
      </c>
      <c r="R18" s="318" t="n">
        <f aca="false">IF($A18="N/A"," ",IF(Pricetype1=2,MAX(I18,0),IF(OR(Pricetype1=1,Pricetype1=4),IF(I18=0,0,(EURO(I18,Strikeprice1,0,0,($AK18+IF(Smile=TRUE(),VLOOKUP(MAX(-5,Strikeprice1-I18),Volsmile,2),0)),($A18-DateToday)+15,IF(Pricetype1=1,1,0),0))),I18)))</f>
        <v>19.5199966430664</v>
      </c>
      <c r="S18" s="318" t="n">
        <f aca="false">IF($A18="N/A"," ",IF(Pricetype1=2,MAX(J18,0),IF(OR(Pricetype1=1,Pricetype1=4),IF(J18=0,0,(EURO(J18,Strikeprice1,0,0,($AK18+IF(Smile=TRUE(),VLOOKUP(MAX(-5,Strikeprice1-J18),Volsmile,2),0)),($A18-DateToday)+15,IF(Pricetype1=1,1,0),0))),J18)))</f>
        <v>19.5199966430664</v>
      </c>
      <c r="T18" s="318" t="n">
        <f aca="false">IF($A18="N/A"," ",IF(Pricetype1=2,MAX(K18,0),IF(OR(Pricetype1=1,Pricetype1=4),IF(K18=0,0,(EURO(K18,Strikeprice1,0,0,($AK18+IF(Smile=TRUE(),VLOOKUP(MAX(-5,Strikeprice1-K18),Volsmile,2),0)),($A18-DateToday)+15,IF(Pricetype1=1,1,0),0))),K18)))</f>
        <v>20.3899993896484</v>
      </c>
      <c r="U18" s="319" t="e">
        <f aca="false">IF($A18="N/A"," ",Volume1*$AM18)</f>
        <v>#N/A</v>
      </c>
      <c r="V18" s="320" t="e">
        <f aca="false">IF($A18="N/A"," ",$U18*(8*($BQ18))*L18)</f>
        <v>#N/A</v>
      </c>
      <c r="W18" s="320" t="e">
        <f aca="false">IF($A18="N/A"," ",$U18*(8*($BQ18))*M18)</f>
        <v>#N/A</v>
      </c>
      <c r="X18" s="320" t="e">
        <f aca="false">IF($A18="N/A"," ",$U18*(8*($BQ18))*N18)</f>
        <v>#N/A</v>
      </c>
      <c r="Y18" s="320" t="e">
        <f aca="false">IF($A18="N/A"," ",$U18*(8*($BR18))*O18)</f>
        <v>#N/A</v>
      </c>
      <c r="Z18" s="320" t="e">
        <f aca="false">IF($A18="N/A"," ",$U18*(8*($BR18))*P18)</f>
        <v>#N/A</v>
      </c>
      <c r="AA18" s="320" t="e">
        <f aca="false">IF($A18="N/A"," ",$U18*(8*($BR18))*Q18)</f>
        <v>#N/A</v>
      </c>
      <c r="AB18" s="320" t="e">
        <f aca="false">IF($A18="N/A"," ",$U18*(8*($BS18))*R18)</f>
        <v>#N/A</v>
      </c>
      <c r="AC18" s="320" t="e">
        <f aca="false">IF($A18="N/A"," ",$U18*(8*($BS18))*S18)</f>
        <v>#N/A</v>
      </c>
      <c r="AD18" s="320" t="e">
        <f aca="false">IF($A18="N/A"," ",$U18*(8*($BS18))*T18)</f>
        <v>#N/A</v>
      </c>
      <c r="AE18" s="320" t="e">
        <f aca="false">IF($A18="N/A"," ",SUM(V18:AD18))</f>
        <v>#N/A</v>
      </c>
      <c r="AF18" s="321" t="n">
        <f aca="false">IF(A18="N/A"," ",(VLOOKUP(A18,PowerVolTable,(IF(VolBMO1=2,7,IF(VolBMO1=1,6,8))),FALSE())))</f>
        <v>0.3</v>
      </c>
      <c r="AG18" s="321" t="n">
        <f aca="false">IF(A18="N/A"," ",(VLOOKUP(A18,IntraPowerVol,(IF(VolBMO1=2,3,IF(VolBMO1=1,2,4))),FALSE())*VLOOKUP(MONTH($A18),Volscale,2)))</f>
        <v>0.45</v>
      </c>
      <c r="AH18" s="321" t="n">
        <f aca="false">IF($A18="N/A"," ",IF(VolType1=1,AG18,AF18))</f>
        <v>0.45</v>
      </c>
      <c r="AI18" s="321" t="n">
        <f aca="false">IF($A18="N/A"," ",(VLOOKUP($A18,OffPwrVolTable,(IF(VolBMO1=2,7,IF(VolBMO1=1,6,8))),FALSE())))</f>
        <v>0.15</v>
      </c>
      <c r="AJ18" s="321" t="n">
        <f aca="false">IF($A18="N/A"," ",(VLOOKUP($A18,OffPwrVolTable,(IF(VolBMO1=2,3,IF(VolBMO1=1,2,4))),FALSE())*VLOOKUP(MONTH($A18),Volscale,2)))</f>
        <v>0.27</v>
      </c>
      <c r="AK18" s="321" t="n">
        <f aca="false">IF($A18="N/A"," ",IF(VolType1=1,AJ18,AI18))</f>
        <v>0.27</v>
      </c>
      <c r="AL18" s="321" t="e">
        <f aca="false">IF($A18="N/A"," ",IF(PV=1,0,'Pricing Inputs1'!R51))</f>
        <v>#N/A</v>
      </c>
      <c r="AM18" s="323" t="e">
        <f aca="false">IF($A18="N/A"," ",(1+AL18/2)^(-2*((EOMONTH(A18,0)+20)-DateToday)/365.25))</f>
        <v>#N/A</v>
      </c>
      <c r="BQ18" s="0" t="n">
        <f aca="false">IF($A18="N/A"," ",(VLOOKUP($A18,NumberofDaysTable,2)))</f>
        <v>21</v>
      </c>
      <c r="BR18" s="0" t="n">
        <f aca="false">IF($A18="N/A"," ",(VLOOKUP($A18,NumberofDaysTable,3)))</f>
        <v>5</v>
      </c>
      <c r="BS18" s="0" t="n">
        <f aca="false">IF($A18="N/A"," ",(VLOOKUP($A18,NumberofDaysTable,4)))</f>
        <v>5</v>
      </c>
    </row>
    <row r="19" customFormat="false" ht="12.75" hidden="false" customHeight="false" outlineLevel="0" collapsed="false">
      <c r="A19" s="315" t="n">
        <f aca="false">IF(A18="N/A","N/A",IF(EDATE(A18,1)&gt;Inputs!$M$5,"N/A",EDATE(A18,1)))</f>
        <v>37712</v>
      </c>
      <c r="B19" s="316" t="n">
        <f aca="false">IF(A19="N/A"," ",YEAR(A19))</f>
        <v>2003</v>
      </c>
      <c r="C19" s="317" t="n">
        <f aca="false">IF($A19="N/A"," ",IF(Dayrun1=10,0,IF(Scaler1=1,(VLOOKUP(A19,ScaledPrice1,4)),(VLOOKUP(A19,ScaledPrice1,2)))))</f>
        <v>31.8476710652196</v>
      </c>
      <c r="D19" s="317" t="n">
        <f aca="false">IF(A19="N/A"," ",IF(Dayrun1&gt;=7,0,IF(Scaler1=2,VLOOKUP(A19,ScaledPrice1,2),(VLOOKUP(A19,ScaledPrice1,2))*(2-(VLOOKUP(A19,ScaledPrice1,3))))))</f>
        <v>31.8476710652196</v>
      </c>
      <c r="E19" s="317" t="n">
        <f aca="false">IF($A19="N/A"," ",IF(AND(Dayrun1&gt;=4,Dayrun1&lt;=9),0,VLOOKUP($A19,ScaledPrice1,9)))</f>
        <v>17.3899993896484</v>
      </c>
      <c r="F19" s="317" t="n">
        <f aca="false">IF(A19="N/A"," ",IF(OR(Dayrun1=2,Dayrun1=3,Dayrun1=5,Dayrun1=6,Dayrun1=8,Dayrun1=9),VLOOKUP(A19,ScaledPrice1,IF(Scaler1=1,6,5)),0))</f>
        <v>21.5199966430664</v>
      </c>
      <c r="G19" s="317" t="n">
        <f aca="false">IF(A19="N/A"," ",IF(OR(Dayrun1=2,Dayrun1=3,Dayrun1=5,Dayrun1=6),IF(Scaler1=2,F19,(VLOOKUP(A19,ScaledPrice1,5))*(2-(VLOOKUP(A19,ScaledPrice1,3)))),0))</f>
        <v>21.5199966430664</v>
      </c>
      <c r="H19" s="317" t="n">
        <f aca="false">IF($A19="N/A"," ",IF(OR(Dayrun1=2,Dayrun1=3,Dayrun1=10),VLOOKUP($A19,ScaledPrice1,9),0))</f>
        <v>17.3899993896484</v>
      </c>
      <c r="I19" s="317" t="n">
        <f aca="false">IF(A19="N/A"," ",IF(OR(Dayrun1=3,Dayrun1=6,Dayrun1=9),(VLOOKUP(A19,ScaledPrice1,IF(Scaler1=2,7,8))),0))</f>
        <v>16.0149993896484</v>
      </c>
      <c r="J19" s="317" t="n">
        <f aca="false">IF(A19="N/A"," ",IF(OR(Dayrun1=3,Dayrun1=6),IF(Scaler1=2,I19,(VLOOKUP(A19,ScaledPrice1,7))*(2-(VLOOKUP(A19,ScaledPrice1,3)))),0))</f>
        <v>16.0149993896484</v>
      </c>
      <c r="K19" s="317" t="n">
        <f aca="false">IF($A19="N/A"," ",IF(OR(Dayrun1=3,Dayrun1=10),VLOOKUP($A19,ScaledPrice1,9),0))</f>
        <v>17.3899993896484</v>
      </c>
      <c r="L19" s="318" t="n">
        <f aca="false">IF($A19="N/A"," ",IF(Pricetype1=2,MAX(C19,0),IF(OR(Pricetype1=1,Pricetype1=4),IF(C19=0,0,(EURO(C19,Strikeprice1,0,0,($AH19+IF(Smile=TRUE(),VLOOKUP(MAX(-5,Strikeprice1-C19),Volsmile,2),0)),($A19-DateToday)+15,IF(Pricetype1=1,1,0),0))),C19)))</f>
        <v>31.8476710652196</v>
      </c>
      <c r="M19" s="318" t="n">
        <f aca="false">IF($A19="N/A"," ",IF(Pricetype1=2,MAX(D19,0),IF(OR(Pricetype1=1,Pricetype1=4),IF(D19=0,0,(EURO(D19,Strikeprice1,0,0,($AH19+IF(Smile=TRUE(),VLOOKUP(MAX(-5,Strikeprice1-D19),Volsmile,2),0)),($A19-DateToday)+15,IF(Pricetype1=1,1,0),0))),D19)))</f>
        <v>31.8476710652196</v>
      </c>
      <c r="N19" s="318" t="n">
        <f aca="false">IF($A19="N/A"," ",IF(Pricetype1=2,MAX(E19,0),IF(OR(Pricetype1=1,Pricetype1=4),IF(E19=0,0,(EURO(E19,Strikeprice1,0,0,($AK19+IF(Smile=TRUE(),VLOOKUP(MAX(-5,Strikeprice1-E19),Volsmile,2),0)),($A19-DateToday)+15,IF(Pricetype1=1,1,0),0))),E19)))</f>
        <v>17.3899993896484</v>
      </c>
      <c r="O19" s="318" t="n">
        <f aca="false">IF($A19="N/A"," ",IF(Pricetype1=2,MAX(F19,0),IF(OR(Pricetype1=1,Pricetype1=4),IF(F19=0,0,(EURO(F19,Strikeprice1,0,0,($AK19+IF(Smile=TRUE(),VLOOKUP(MAX(-5,Strikeprice1-F19),Volsmile,2),0)),($A19-DateToday)+15,IF(Pricetype1=1,1,0),0))),F19)))</f>
        <v>21.5199966430664</v>
      </c>
      <c r="P19" s="318" t="n">
        <f aca="false">IF($A19="N/A"," ",IF(Pricetype1=2,MAX(G19,0),IF(OR(Pricetype1=1,Pricetype1=4),IF(G19=0,0,(EURO(G19,Strikeprice1,0,0,($AK19+IF(Smile=TRUE(),VLOOKUP(MAX(-5,Strikeprice1-G19),Volsmile,2),0)),($A19-DateToday)+15,IF(Pricetype1=1,1,0),0))),G19)))</f>
        <v>21.5199966430664</v>
      </c>
      <c r="Q19" s="318" t="n">
        <f aca="false">IF($A19="N/A"," ",IF(Pricetype1=2,MAX(H19,0),IF(OR(Pricetype1=1,Pricetype1=4),IF(H19=0,0,(EURO(H19,Strikeprice1,0,0,($AK19+IF(Smile=TRUE(),VLOOKUP(MAX(-5,Strikeprice1-H19),Volsmile,2),0)),($A19-DateToday)+15,IF(Pricetype1=1,1,0),0))),H19)))</f>
        <v>17.3899993896484</v>
      </c>
      <c r="R19" s="318" t="n">
        <f aca="false">IF($A19="N/A"," ",IF(Pricetype1=2,MAX(I19,0),IF(OR(Pricetype1=1,Pricetype1=4),IF(I19=0,0,(EURO(I19,Strikeprice1,0,0,($AK19+IF(Smile=TRUE(),VLOOKUP(MAX(-5,Strikeprice1-I19),Volsmile,2),0)),($A19-DateToday)+15,IF(Pricetype1=1,1,0),0))),I19)))</f>
        <v>16.0149993896484</v>
      </c>
      <c r="S19" s="318" t="n">
        <f aca="false">IF($A19="N/A"," ",IF(Pricetype1=2,MAX(J19,0),IF(OR(Pricetype1=1,Pricetype1=4),IF(J19=0,0,(EURO(J19,Strikeprice1,0,0,($AK19+IF(Smile=TRUE(),VLOOKUP(MAX(-5,Strikeprice1-J19),Volsmile,2),0)),($A19-DateToday)+15,IF(Pricetype1=1,1,0),0))),J19)))</f>
        <v>16.0149993896484</v>
      </c>
      <c r="T19" s="318" t="n">
        <f aca="false">IF($A19="N/A"," ",IF(Pricetype1=2,MAX(K19,0),IF(OR(Pricetype1=1,Pricetype1=4),IF(K19=0,0,(EURO(K19,Strikeprice1,0,0,($AK19+IF(Smile=TRUE(),VLOOKUP(MAX(-5,Strikeprice1-K19),Volsmile,2),0)),($A19-DateToday)+15,IF(Pricetype1=1,1,0),0))),K19)))</f>
        <v>17.3899993896484</v>
      </c>
      <c r="U19" s="319" t="e">
        <f aca="false">IF($A19="N/A"," ",Volume1*$AM19)</f>
        <v>#N/A</v>
      </c>
      <c r="V19" s="320" t="e">
        <f aca="false">IF($A19="N/A"," ",$U19*(8*($BQ19))*L19)</f>
        <v>#N/A</v>
      </c>
      <c r="W19" s="320" t="e">
        <f aca="false">IF($A19="N/A"," ",$U19*(8*($BQ19))*M19)</f>
        <v>#N/A</v>
      </c>
      <c r="X19" s="320" t="e">
        <f aca="false">IF($A19="N/A"," ",$U19*(8*($BQ19))*N19)</f>
        <v>#N/A</v>
      </c>
      <c r="Y19" s="320" t="e">
        <f aca="false">IF($A19="N/A"," ",$U19*(8*($BR19))*O19)</f>
        <v>#N/A</v>
      </c>
      <c r="Z19" s="320" t="e">
        <f aca="false">IF($A19="N/A"," ",$U19*(8*($BR19))*P19)</f>
        <v>#N/A</v>
      </c>
      <c r="AA19" s="320" t="e">
        <f aca="false">IF($A19="N/A"," ",$U19*(8*($BR19))*Q19)</f>
        <v>#N/A</v>
      </c>
      <c r="AB19" s="320" t="e">
        <f aca="false">IF($A19="N/A"," ",$U19*(8*($BS19))*R19)</f>
        <v>#N/A</v>
      </c>
      <c r="AC19" s="320" t="e">
        <f aca="false">IF($A19="N/A"," ",$U19*(8*($BS19))*S19)</f>
        <v>#N/A</v>
      </c>
      <c r="AD19" s="320" t="e">
        <f aca="false">IF($A19="N/A"," ",$U19*(8*($BS19))*T19)</f>
        <v>#N/A</v>
      </c>
      <c r="AE19" s="320" t="e">
        <f aca="false">IF($A19="N/A"," ",SUM(V19:AD19))</f>
        <v>#N/A</v>
      </c>
      <c r="AF19" s="321" t="n">
        <f aca="false">IF(A19="N/A"," ",(VLOOKUP(A19,PowerVolTable,(IF(VolBMO1=2,7,IF(VolBMO1=1,6,8))),FALSE())))</f>
        <v>0.3</v>
      </c>
      <c r="AG19" s="321" t="n">
        <f aca="false">IF(A19="N/A"," ",(VLOOKUP(A19,IntraPowerVol,(IF(VolBMO1=2,3,IF(VolBMO1=1,2,4))),FALSE())*VLOOKUP(MONTH($A19),Volscale,2)))</f>
        <v>0.45</v>
      </c>
      <c r="AH19" s="321" t="n">
        <f aca="false">IF($A19="N/A"," ",IF(VolType1=1,AG19,AF19))</f>
        <v>0.45</v>
      </c>
      <c r="AI19" s="321" t="n">
        <f aca="false">IF($A19="N/A"," ",(VLOOKUP($A19,OffPwrVolTable,(IF(VolBMO1=2,7,IF(VolBMO1=1,6,8))),FALSE())))</f>
        <v>0.15</v>
      </c>
      <c r="AJ19" s="321" t="n">
        <f aca="false">IF($A19="N/A"," ",(VLOOKUP($A19,OffPwrVolTable,(IF(VolBMO1=2,3,IF(VolBMO1=1,2,4))),FALSE())*VLOOKUP(MONTH($A19),Volscale,2)))</f>
        <v>0.27</v>
      </c>
      <c r="AK19" s="321" t="n">
        <f aca="false">IF($A19="N/A"," ",IF(VolType1=1,AJ19,AI19))</f>
        <v>0.27</v>
      </c>
      <c r="AL19" s="321" t="e">
        <f aca="false">IF($A19="N/A"," ",IF(PV=1,0,'Pricing Inputs1'!R52))</f>
        <v>#N/A</v>
      </c>
      <c r="AM19" s="323" t="e">
        <f aca="false">IF($A19="N/A"," ",(1+AL19/2)^(-2*((EOMONTH(A19,0)+20)-DateToday)/365.25))</f>
        <v>#N/A</v>
      </c>
      <c r="BQ19" s="0" t="n">
        <f aca="false">IF($A19="N/A"," ",(VLOOKUP($A19,NumberofDaysTable,2)))</f>
        <v>22</v>
      </c>
      <c r="BR19" s="0" t="n">
        <f aca="false">IF($A19="N/A"," ",(VLOOKUP($A19,NumberofDaysTable,3)))</f>
        <v>4</v>
      </c>
      <c r="BS19" s="0" t="n">
        <f aca="false">IF($A19="N/A"," ",(VLOOKUP($A19,NumberofDaysTable,4)))</f>
        <v>4</v>
      </c>
    </row>
    <row r="20" customFormat="false" ht="12.75" hidden="false" customHeight="false" outlineLevel="0" collapsed="false">
      <c r="A20" s="315" t="n">
        <f aca="false">IF(A19="N/A","N/A",IF(EDATE(A19,1)&gt;Inputs!$M$5,"N/A",EDATE(A19,1)))</f>
        <v>37742</v>
      </c>
      <c r="B20" s="316" t="n">
        <f aca="false">IF(A20="N/A"," ",YEAR(A20))</f>
        <v>2003</v>
      </c>
      <c r="C20" s="317" t="n">
        <f aca="false">IF($A20="N/A"," ",IF(Dayrun1=10,0,IF(Scaler1=1,(VLOOKUP(A20,ScaledPrice1,4)),(VLOOKUP(A20,ScaledPrice1,2)))))</f>
        <v>35.125</v>
      </c>
      <c r="D20" s="317" t="n">
        <f aca="false">IF(A20="N/A"," ",IF(Dayrun1&gt;=7,0,IF(Scaler1=2,VLOOKUP(A20,ScaledPrice1,2),(VLOOKUP(A20,ScaledPrice1,2))*(2-(VLOOKUP(A20,ScaledPrice1,3))))))</f>
        <v>35.125</v>
      </c>
      <c r="E20" s="317" t="n">
        <f aca="false">IF($A20="N/A"," ",IF(AND(Dayrun1&gt;=4,Dayrun1&lt;=9),0,VLOOKUP($A20,ScaledPrice1,9)))</f>
        <v>17.9300003051758</v>
      </c>
      <c r="F20" s="317" t="n">
        <f aca="false">IF(A20="N/A"," ",IF(OR(Dayrun1=2,Dayrun1=3,Dayrun1=5,Dayrun1=6,Dayrun1=8,Dayrun1=9),VLOOKUP(A20,ScaledPrice1,IF(Scaler1=1,6,5)),0))</f>
        <v>21.8399982452393</v>
      </c>
      <c r="G20" s="317" t="n">
        <f aca="false">IF(A20="N/A"," ",IF(OR(Dayrun1=2,Dayrun1=3,Dayrun1=5,Dayrun1=6),IF(Scaler1=2,F20,(VLOOKUP(A20,ScaledPrice1,5))*(2-(VLOOKUP(A20,ScaledPrice1,3)))),0))</f>
        <v>21.8399982452393</v>
      </c>
      <c r="H20" s="317" t="n">
        <f aca="false">IF($A20="N/A"," ",IF(OR(Dayrun1=2,Dayrun1=3,Dayrun1=10),VLOOKUP($A20,ScaledPrice1,9),0))</f>
        <v>17.9300003051758</v>
      </c>
      <c r="I20" s="317" t="n">
        <f aca="false">IF(A20="N/A"," ",IF(OR(Dayrun1=3,Dayrun1=6,Dayrun1=9),(VLOOKUP(A20,ScaledPrice1,IF(Scaler1=2,7,8))),0))</f>
        <v>15.3450012207031</v>
      </c>
      <c r="J20" s="317" t="n">
        <f aca="false">IF(A20="N/A"," ",IF(OR(Dayrun1=3,Dayrun1=6),IF(Scaler1=2,I20,(VLOOKUP(A20,ScaledPrice1,7))*(2-(VLOOKUP(A20,ScaledPrice1,3)))),0))</f>
        <v>15.3450012207031</v>
      </c>
      <c r="K20" s="317" t="n">
        <f aca="false">IF($A20="N/A"," ",IF(OR(Dayrun1=3,Dayrun1=10),VLOOKUP($A20,ScaledPrice1,9),0))</f>
        <v>17.9300003051758</v>
      </c>
      <c r="L20" s="318" t="n">
        <f aca="false">IF($A20="N/A"," ",IF(Pricetype1=2,MAX(C20,0),IF(OR(Pricetype1=1,Pricetype1=4),IF(C20=0,0,(EURO(C20,Strikeprice1,0,0,($AH20+IF(Smile=TRUE(),VLOOKUP(MAX(-5,Strikeprice1-C20),Volsmile,2),0)),($A20-DateToday)+15,IF(Pricetype1=1,1,0),0))),C20)))</f>
        <v>35.125</v>
      </c>
      <c r="M20" s="318" t="n">
        <f aca="false">IF($A20="N/A"," ",IF(Pricetype1=2,MAX(D20,0),IF(OR(Pricetype1=1,Pricetype1=4),IF(D20=0,0,(EURO(D20,Strikeprice1,0,0,($AH20+IF(Smile=TRUE(),VLOOKUP(MAX(-5,Strikeprice1-D20),Volsmile,2),0)),($A20-DateToday)+15,IF(Pricetype1=1,1,0),0))),D20)))</f>
        <v>35.125</v>
      </c>
      <c r="N20" s="318" t="n">
        <f aca="false">IF($A20="N/A"," ",IF(Pricetype1=2,MAX(E20,0),IF(OR(Pricetype1=1,Pricetype1=4),IF(E20=0,0,(EURO(E20,Strikeprice1,0,0,($AK20+IF(Smile=TRUE(),VLOOKUP(MAX(-5,Strikeprice1-E20),Volsmile,2),0)),($A20-DateToday)+15,IF(Pricetype1=1,1,0),0))),E20)))</f>
        <v>17.9300003051758</v>
      </c>
      <c r="O20" s="318" t="n">
        <f aca="false">IF($A20="N/A"," ",IF(Pricetype1=2,MAX(F20,0),IF(OR(Pricetype1=1,Pricetype1=4),IF(F20=0,0,(EURO(F20,Strikeprice1,0,0,($AK20+IF(Smile=TRUE(),VLOOKUP(MAX(-5,Strikeprice1-F20),Volsmile,2),0)),($A20-DateToday)+15,IF(Pricetype1=1,1,0),0))),F20)))</f>
        <v>21.8399982452393</v>
      </c>
      <c r="P20" s="318" t="n">
        <f aca="false">IF($A20="N/A"," ",IF(Pricetype1=2,MAX(G20,0),IF(OR(Pricetype1=1,Pricetype1=4),IF(G20=0,0,(EURO(G20,Strikeprice1,0,0,($AK20+IF(Smile=TRUE(),VLOOKUP(MAX(-5,Strikeprice1-G20),Volsmile,2),0)),($A20-DateToday)+15,IF(Pricetype1=1,1,0),0))),G20)))</f>
        <v>21.8399982452393</v>
      </c>
      <c r="Q20" s="318" t="n">
        <f aca="false">IF($A20="N/A"," ",IF(Pricetype1=2,MAX(H20,0),IF(OR(Pricetype1=1,Pricetype1=4),IF(H20=0,0,(EURO(H20,Strikeprice1,0,0,($AK20+IF(Smile=TRUE(),VLOOKUP(MAX(-5,Strikeprice1-H20),Volsmile,2),0)),($A20-DateToday)+15,IF(Pricetype1=1,1,0),0))),H20)))</f>
        <v>17.9300003051758</v>
      </c>
      <c r="R20" s="318" t="n">
        <f aca="false">IF($A20="N/A"," ",IF(Pricetype1=2,MAX(I20,0),IF(OR(Pricetype1=1,Pricetype1=4),IF(I20=0,0,(EURO(I20,Strikeprice1,0,0,($AK20+IF(Smile=TRUE(),VLOOKUP(MAX(-5,Strikeprice1-I20),Volsmile,2),0)),($A20-DateToday)+15,IF(Pricetype1=1,1,0),0))),I20)))</f>
        <v>15.3450012207031</v>
      </c>
      <c r="S20" s="318" t="n">
        <f aca="false">IF($A20="N/A"," ",IF(Pricetype1=2,MAX(J20,0),IF(OR(Pricetype1=1,Pricetype1=4),IF(J20=0,0,(EURO(J20,Strikeprice1,0,0,($AK20+IF(Smile=TRUE(),VLOOKUP(MAX(-5,Strikeprice1-J20),Volsmile,2),0)),($A20-DateToday)+15,IF(Pricetype1=1,1,0),0))),J20)))</f>
        <v>15.3450012207031</v>
      </c>
      <c r="T20" s="318" t="n">
        <f aca="false">IF($A20="N/A"," ",IF(Pricetype1=2,MAX(K20,0),IF(OR(Pricetype1=1,Pricetype1=4),IF(K20=0,0,(EURO(K20,Strikeprice1,0,0,($AK20+IF(Smile=TRUE(),VLOOKUP(MAX(-5,Strikeprice1-K20),Volsmile,2),0)),($A20-DateToday)+15,IF(Pricetype1=1,1,0),0))),K20)))</f>
        <v>17.9300003051758</v>
      </c>
      <c r="U20" s="319" t="e">
        <f aca="false">IF($A20="N/A"," ",Volume1*$AM20)</f>
        <v>#N/A</v>
      </c>
      <c r="V20" s="320" t="e">
        <f aca="false">IF($A20="N/A"," ",$U20*(8*($BQ20))*L20)</f>
        <v>#N/A</v>
      </c>
      <c r="W20" s="320" t="e">
        <f aca="false">IF($A20="N/A"," ",$U20*(8*($BQ20))*M20)</f>
        <v>#N/A</v>
      </c>
      <c r="X20" s="320" t="e">
        <f aca="false">IF($A20="N/A"," ",$U20*(8*($BQ20))*N20)</f>
        <v>#N/A</v>
      </c>
      <c r="Y20" s="320" t="e">
        <f aca="false">IF($A20="N/A"," ",$U20*(8*($BR20))*O20)</f>
        <v>#N/A</v>
      </c>
      <c r="Z20" s="320" t="e">
        <f aca="false">IF($A20="N/A"," ",$U20*(8*($BR20))*P20)</f>
        <v>#N/A</v>
      </c>
      <c r="AA20" s="320" t="e">
        <f aca="false">IF($A20="N/A"," ",$U20*(8*($BR20))*Q20)</f>
        <v>#N/A</v>
      </c>
      <c r="AB20" s="320" t="e">
        <f aca="false">IF($A20="N/A"," ",$U20*(8*($BS20))*R20)</f>
        <v>#N/A</v>
      </c>
      <c r="AC20" s="320" t="e">
        <f aca="false">IF($A20="N/A"," ",$U20*(8*($BS20))*S20)</f>
        <v>#N/A</v>
      </c>
      <c r="AD20" s="320" t="e">
        <f aca="false">IF($A20="N/A"," ",$U20*(8*($BS20))*T20)</f>
        <v>#N/A</v>
      </c>
      <c r="AE20" s="320" t="e">
        <f aca="false">IF($A20="N/A"," ",SUM(V20:AD20))</f>
        <v>#N/A</v>
      </c>
      <c r="AF20" s="321" t="n">
        <f aca="false">IF(A20="N/A"," ",(VLOOKUP(A20,PowerVolTable,(IF(VolBMO1=2,7,IF(VolBMO1=1,6,8))),FALSE())))</f>
        <v>0.35</v>
      </c>
      <c r="AG20" s="321" t="n">
        <f aca="false">IF(A20="N/A"," ",(VLOOKUP(A20,IntraPowerVol,(IF(VolBMO1=2,3,IF(VolBMO1=1,2,4))),FALSE())*VLOOKUP(MONTH($A20),Volscale,2)))</f>
        <v>0.45</v>
      </c>
      <c r="AH20" s="321" t="n">
        <f aca="false">IF($A20="N/A"," ",IF(VolType1=1,AG20,AF20))</f>
        <v>0.45</v>
      </c>
      <c r="AI20" s="321" t="n">
        <f aca="false">IF($A20="N/A"," ",(VLOOKUP($A20,OffPwrVolTable,(IF(VolBMO1=2,7,IF(VolBMO1=1,6,8))),FALSE())))</f>
        <v>0.175</v>
      </c>
      <c r="AJ20" s="321" t="n">
        <f aca="false">IF($A20="N/A"," ",(VLOOKUP($A20,OffPwrVolTable,(IF(VolBMO1=2,3,IF(VolBMO1=1,2,4))),FALSE())*VLOOKUP(MONTH($A20),Volscale,2)))</f>
        <v>0.27</v>
      </c>
      <c r="AK20" s="321" t="n">
        <f aca="false">IF($A20="N/A"," ",IF(VolType1=1,AJ20,AI20))</f>
        <v>0.27</v>
      </c>
      <c r="AL20" s="321" t="e">
        <f aca="false">IF($A20="N/A"," ",IF(PV=1,0,'Pricing Inputs1'!R53))</f>
        <v>#N/A</v>
      </c>
      <c r="AM20" s="323" t="e">
        <f aca="false">IF($A20="N/A"," ",(1+AL20/2)^(-2*((EOMONTH(A20,0)+20)-DateToday)/365.25))</f>
        <v>#N/A</v>
      </c>
      <c r="BQ20" s="0" t="n">
        <f aca="false">IF($A20="N/A"," ",(VLOOKUP($A20,NumberofDaysTable,2)))</f>
        <v>21</v>
      </c>
      <c r="BR20" s="0" t="n">
        <f aca="false">IF($A20="N/A"," ",(VLOOKUP($A20,NumberofDaysTable,3)))</f>
        <v>5</v>
      </c>
      <c r="BS20" s="0" t="n">
        <f aca="false">IF($A20="N/A"," ",(VLOOKUP($A20,NumberofDaysTable,4)))</f>
        <v>5</v>
      </c>
    </row>
    <row r="21" customFormat="false" ht="12.75" hidden="false" customHeight="false" outlineLevel="0" collapsed="false">
      <c r="A21" s="315" t="n">
        <f aca="false">IF(A20="N/A","N/A",IF(EDATE(A20,1)&gt;Inputs!$M$5,"N/A",EDATE(A20,1)))</f>
        <v>37773</v>
      </c>
      <c r="B21" s="316" t="n">
        <f aca="false">IF(A21="N/A"," ",YEAR(A21))</f>
        <v>2003</v>
      </c>
      <c r="C21" s="317" t="n">
        <f aca="false">IF($A21="N/A"," ",IF(Dayrun1=10,0,IF(Scaler1=1,(VLOOKUP(A21,ScaledPrice1,4)),(VLOOKUP(A21,ScaledPrice1,2)))))</f>
        <v>43.5</v>
      </c>
      <c r="D21" s="317" t="n">
        <f aca="false">IF(A21="N/A"," ",IF(Dayrun1&gt;=7,0,IF(Scaler1=2,VLOOKUP(A21,ScaledPrice1,2),(VLOOKUP(A21,ScaledPrice1,2))*(2-(VLOOKUP(A21,ScaledPrice1,3))))))</f>
        <v>43.5</v>
      </c>
      <c r="E21" s="317" t="n">
        <f aca="false">IF($A21="N/A"," ",IF(AND(Dayrun1&gt;=4,Dayrun1&lt;=9),0,VLOOKUP($A21,ScaledPrice1,9)))</f>
        <v>20.1800003051758</v>
      </c>
      <c r="F21" s="317" t="n">
        <f aca="false">IF(A21="N/A"," ",IF(OR(Dayrun1=2,Dayrun1=3,Dayrun1=5,Dayrun1=6,Dayrun1=8,Dayrun1=9),VLOOKUP(A21,ScaledPrice1,IF(Scaler1=1,6,5)),0))</f>
        <v>28.8399982452393</v>
      </c>
      <c r="G21" s="317" t="n">
        <f aca="false">IF(A21="N/A"," ",IF(OR(Dayrun1=2,Dayrun1=3,Dayrun1=5,Dayrun1=6),IF(Scaler1=2,F21,(VLOOKUP(A21,ScaledPrice1,5))*(2-(VLOOKUP(A21,ScaledPrice1,3)))),0))</f>
        <v>28.8399982452393</v>
      </c>
      <c r="H21" s="317" t="n">
        <f aca="false">IF($A21="N/A"," ",IF(OR(Dayrun1=2,Dayrun1=3,Dayrun1=10),VLOOKUP($A21,ScaledPrice1,9),0))</f>
        <v>20.1800003051758</v>
      </c>
      <c r="I21" s="317" t="n">
        <f aca="false">IF(A21="N/A"," ",IF(OR(Dayrun1=3,Dayrun1=6,Dayrun1=9),(VLOOKUP(A21,ScaledPrice1,IF(Scaler1=2,7,8))),0))</f>
        <v>19.3399982452393</v>
      </c>
      <c r="J21" s="317" t="n">
        <f aca="false">IF(A21="N/A"," ",IF(OR(Dayrun1=3,Dayrun1=6),IF(Scaler1=2,I21,(VLOOKUP(A21,ScaledPrice1,7))*(2-(VLOOKUP(A21,ScaledPrice1,3)))),0))</f>
        <v>19.3399982452393</v>
      </c>
      <c r="K21" s="317" t="n">
        <f aca="false">IF($A21="N/A"," ",IF(OR(Dayrun1=3,Dayrun1=10),VLOOKUP($A21,ScaledPrice1,9),0))</f>
        <v>20.1800003051758</v>
      </c>
      <c r="L21" s="318" t="n">
        <f aca="false">IF($A21="N/A"," ",IF(Pricetype1=2,MAX(C21,0),IF(OR(Pricetype1=1,Pricetype1=4),IF(C21=0,0,(EURO(C21,Strikeprice1,0,0,($AH21+IF(Smile=TRUE(),VLOOKUP(MAX(-5,Strikeprice1-C21),Volsmile,2),0)),($A21-DateToday)+15,IF(Pricetype1=1,1,0),0))),C21)))</f>
        <v>43.5</v>
      </c>
      <c r="M21" s="318" t="n">
        <f aca="false">IF($A21="N/A"," ",IF(Pricetype1=2,MAX(D21,0),IF(OR(Pricetype1=1,Pricetype1=4),IF(D21=0,0,(EURO(D21,Strikeprice1,0,0,($AH21+IF(Smile=TRUE(),VLOOKUP(MAX(-5,Strikeprice1-D21),Volsmile,2),0)),($A21-DateToday)+15,IF(Pricetype1=1,1,0),0))),D21)))</f>
        <v>43.5</v>
      </c>
      <c r="N21" s="318" t="n">
        <f aca="false">IF($A21="N/A"," ",IF(Pricetype1=2,MAX(E21,0),IF(OR(Pricetype1=1,Pricetype1=4),IF(E21=0,0,(EURO(E21,Strikeprice1,0,0,($AK21+IF(Smile=TRUE(),VLOOKUP(MAX(-5,Strikeprice1-E21),Volsmile,2),0)),($A21-DateToday)+15,IF(Pricetype1=1,1,0),0))),E21)))</f>
        <v>20.1800003051758</v>
      </c>
      <c r="O21" s="318" t="n">
        <f aca="false">IF($A21="N/A"," ",IF(Pricetype1=2,MAX(F21,0),IF(OR(Pricetype1=1,Pricetype1=4),IF(F21=0,0,(EURO(F21,Strikeprice1,0,0,($AK21+IF(Smile=TRUE(),VLOOKUP(MAX(-5,Strikeprice1-F21),Volsmile,2),0)),($A21-DateToday)+15,IF(Pricetype1=1,1,0),0))),F21)))</f>
        <v>28.8399982452393</v>
      </c>
      <c r="P21" s="318" t="n">
        <f aca="false">IF($A21="N/A"," ",IF(Pricetype1=2,MAX(G21,0),IF(OR(Pricetype1=1,Pricetype1=4),IF(G21=0,0,(EURO(G21,Strikeprice1,0,0,($AK21+IF(Smile=TRUE(),VLOOKUP(MAX(-5,Strikeprice1-G21),Volsmile,2),0)),($A21-DateToday)+15,IF(Pricetype1=1,1,0),0))),G21)))</f>
        <v>28.8399982452393</v>
      </c>
      <c r="Q21" s="318" t="n">
        <f aca="false">IF($A21="N/A"," ",IF(Pricetype1=2,MAX(H21,0),IF(OR(Pricetype1=1,Pricetype1=4),IF(H21=0,0,(EURO(H21,Strikeprice1,0,0,($AK21+IF(Smile=TRUE(),VLOOKUP(MAX(-5,Strikeprice1-H21),Volsmile,2),0)),($A21-DateToday)+15,IF(Pricetype1=1,1,0),0))),H21)))</f>
        <v>20.1800003051758</v>
      </c>
      <c r="R21" s="318" t="n">
        <f aca="false">IF($A21="N/A"," ",IF(Pricetype1=2,MAX(I21,0),IF(OR(Pricetype1=1,Pricetype1=4),IF(I21=0,0,(EURO(I21,Strikeprice1,0,0,($AK21+IF(Smile=TRUE(),VLOOKUP(MAX(-5,Strikeprice1-I21),Volsmile,2),0)),($A21-DateToday)+15,IF(Pricetype1=1,1,0),0))),I21)))</f>
        <v>19.3399982452393</v>
      </c>
      <c r="S21" s="318" t="n">
        <f aca="false">IF($A21="N/A"," ",IF(Pricetype1=2,MAX(J21,0),IF(OR(Pricetype1=1,Pricetype1=4),IF(J21=0,0,(EURO(J21,Strikeprice1,0,0,($AK21+IF(Smile=TRUE(),VLOOKUP(MAX(-5,Strikeprice1-J21),Volsmile,2),0)),($A21-DateToday)+15,IF(Pricetype1=1,1,0),0))),J21)))</f>
        <v>19.3399982452393</v>
      </c>
      <c r="T21" s="318" t="n">
        <f aca="false">IF($A21="N/A"," ",IF(Pricetype1=2,MAX(K21,0),IF(OR(Pricetype1=1,Pricetype1=4),IF(K21=0,0,(EURO(K21,Strikeprice1,0,0,($AK21+IF(Smile=TRUE(),VLOOKUP(MAX(-5,Strikeprice1-K21),Volsmile,2),0)),($A21-DateToday)+15,IF(Pricetype1=1,1,0),0))),K21)))</f>
        <v>20.1800003051758</v>
      </c>
      <c r="U21" s="319" t="e">
        <f aca="false">IF($A21="N/A"," ",Volume1*$AM21)</f>
        <v>#N/A</v>
      </c>
      <c r="V21" s="320" t="e">
        <f aca="false">IF($A21="N/A"," ",$U21*(8*($BQ21))*L21)</f>
        <v>#N/A</v>
      </c>
      <c r="W21" s="320" t="e">
        <f aca="false">IF($A21="N/A"," ",$U21*(8*($BQ21))*M21)</f>
        <v>#N/A</v>
      </c>
      <c r="X21" s="320" t="e">
        <f aca="false">IF($A21="N/A"," ",$U21*(8*($BQ21))*N21)</f>
        <v>#N/A</v>
      </c>
      <c r="Y21" s="320" t="e">
        <f aca="false">IF($A21="N/A"," ",$U21*(8*($BR21))*O21)</f>
        <v>#N/A</v>
      </c>
      <c r="Z21" s="320" t="e">
        <f aca="false">IF($A21="N/A"," ",$U21*(8*($BR21))*P21)</f>
        <v>#N/A</v>
      </c>
      <c r="AA21" s="320" t="e">
        <f aca="false">IF($A21="N/A"," ",$U21*(8*($BR21))*Q21)</f>
        <v>#N/A</v>
      </c>
      <c r="AB21" s="320" t="e">
        <f aca="false">IF($A21="N/A"," ",$U21*(8*($BS21))*R21)</f>
        <v>#N/A</v>
      </c>
      <c r="AC21" s="320" t="e">
        <f aca="false">IF($A21="N/A"," ",$U21*(8*($BS21))*S21)</f>
        <v>#N/A</v>
      </c>
      <c r="AD21" s="320" t="e">
        <f aca="false">IF($A21="N/A"," ",$U21*(8*($BS21))*T21)</f>
        <v>#N/A</v>
      </c>
      <c r="AE21" s="320" t="e">
        <f aca="false">IF($A21="N/A"," ",SUM(V21:AD21))</f>
        <v>#N/A</v>
      </c>
      <c r="AF21" s="321" t="n">
        <f aca="false">IF(A21="N/A"," ",(VLOOKUP(A21,PowerVolTable,(IF(VolBMO1=2,7,IF(VolBMO1=1,6,8))),FALSE())))</f>
        <v>0.35</v>
      </c>
      <c r="AG21" s="321" t="n">
        <f aca="false">IF(A21="N/A"," ",(VLOOKUP(A21,IntraPowerVol,(IF(VolBMO1=2,3,IF(VolBMO1=1,2,4))),FALSE())*VLOOKUP(MONTH($A21),Volscale,2)))</f>
        <v>0.55</v>
      </c>
      <c r="AH21" s="321" t="n">
        <f aca="false">IF($A21="N/A"," ",IF(VolType1=1,AG21,AF21))</f>
        <v>0.55</v>
      </c>
      <c r="AI21" s="321" t="n">
        <f aca="false">IF($A21="N/A"," ",(VLOOKUP($A21,OffPwrVolTable,(IF(VolBMO1=2,7,IF(VolBMO1=1,6,8))),FALSE())))</f>
        <v>0.175</v>
      </c>
      <c r="AJ21" s="321" t="n">
        <f aca="false">IF($A21="N/A"," ",(VLOOKUP($A21,OffPwrVolTable,(IF(VolBMO1=2,3,IF(VolBMO1=1,2,4))),FALSE())*VLOOKUP(MONTH($A21),Volscale,2)))</f>
        <v>0.33</v>
      </c>
      <c r="AK21" s="321" t="n">
        <f aca="false">IF($A21="N/A"," ",IF(VolType1=1,AJ21,AI21))</f>
        <v>0.33</v>
      </c>
      <c r="AL21" s="321" t="e">
        <f aca="false">IF($A21="N/A"," ",IF(PV=1,0,'Pricing Inputs1'!R54))</f>
        <v>#N/A</v>
      </c>
      <c r="AM21" s="323" t="e">
        <f aca="false">IF($A21="N/A"," ",(1+AL21/2)^(-2*((EOMONTH(A21,0)+20)-DateToday)/365.25))</f>
        <v>#N/A</v>
      </c>
      <c r="BQ21" s="0" t="n">
        <f aca="false">IF($A21="N/A"," ",(VLOOKUP($A21,NumberofDaysTable,2)))</f>
        <v>21</v>
      </c>
      <c r="BR21" s="0" t="n">
        <f aca="false">IF($A21="N/A"," ",(VLOOKUP($A21,NumberofDaysTable,3)))</f>
        <v>4</v>
      </c>
      <c r="BS21" s="0" t="n">
        <f aca="false">IF($A21="N/A"," ",(VLOOKUP($A21,NumberofDaysTable,4)))</f>
        <v>5</v>
      </c>
    </row>
    <row r="22" customFormat="false" ht="12.75" hidden="false" customHeight="false" outlineLevel="0" collapsed="false">
      <c r="A22" s="315" t="n">
        <f aca="false">IF(A21="N/A","N/A",IF(EDATE(A21,1)&gt;Inputs!$M$5,"N/A",EDATE(A21,1)))</f>
        <v>37803</v>
      </c>
      <c r="B22" s="316" t="n">
        <f aca="false">IF(A22="N/A"," ",YEAR(A22))</f>
        <v>2003</v>
      </c>
      <c r="C22" s="317" t="n">
        <f aca="false">IF($A22="N/A"," ",IF(Dayrun1=10,0,IF(Scaler1=1,(VLOOKUP(A22,ScaledPrice1,4)),(VLOOKUP(A22,ScaledPrice1,2)))))</f>
        <v>54.5</v>
      </c>
      <c r="D22" s="317" t="n">
        <f aca="false">IF(A22="N/A"," ",IF(Dayrun1&gt;=7,0,IF(Scaler1=2,VLOOKUP(A22,ScaledPrice1,2),(VLOOKUP(A22,ScaledPrice1,2))*(2-(VLOOKUP(A22,ScaledPrice1,3))))))</f>
        <v>54.5</v>
      </c>
      <c r="E22" s="317" t="n">
        <f aca="false">IF($A22="N/A"," ",IF(AND(Dayrun1&gt;=4,Dayrun1&lt;=9),0,VLOOKUP($A22,ScaledPrice1,9)))</f>
        <v>20.6800003051758</v>
      </c>
      <c r="F22" s="317" t="n">
        <f aca="false">IF(A22="N/A"," ",IF(OR(Dayrun1=2,Dayrun1=3,Dayrun1=5,Dayrun1=6,Dayrun1=8,Dayrun1=9),VLOOKUP(A22,ScaledPrice1,IF(Scaler1=1,6,5)),0))</f>
        <v>34.8400039672852</v>
      </c>
      <c r="G22" s="317" t="n">
        <f aca="false">IF(A22="N/A"," ",IF(OR(Dayrun1=2,Dayrun1=3,Dayrun1=5,Dayrun1=6),IF(Scaler1=2,F22,(VLOOKUP(A22,ScaledPrice1,5))*(2-(VLOOKUP(A22,ScaledPrice1,3)))),0))</f>
        <v>34.8400039672852</v>
      </c>
      <c r="H22" s="317" t="n">
        <f aca="false">IF($A22="N/A"," ",IF(OR(Dayrun1=2,Dayrun1=3,Dayrun1=10),VLOOKUP($A22,ScaledPrice1,9),0))</f>
        <v>20.6800003051758</v>
      </c>
      <c r="I22" s="317" t="n">
        <f aca="false">IF(A22="N/A"," ",IF(OR(Dayrun1=3,Dayrun1=6,Dayrun1=9),(VLOOKUP(A22,ScaledPrice1,IF(Scaler1=2,7,8))),0))</f>
        <v>25.3399982452393</v>
      </c>
      <c r="J22" s="317" t="n">
        <f aca="false">IF(A22="N/A"," ",IF(OR(Dayrun1=3,Dayrun1=6),IF(Scaler1=2,I22,(VLOOKUP(A22,ScaledPrice1,7))*(2-(VLOOKUP(A22,ScaledPrice1,3)))),0))</f>
        <v>25.3399982452393</v>
      </c>
      <c r="K22" s="317" t="n">
        <f aca="false">IF($A22="N/A"," ",IF(OR(Dayrun1=3,Dayrun1=10),VLOOKUP($A22,ScaledPrice1,9),0))</f>
        <v>20.6800003051758</v>
      </c>
      <c r="L22" s="318" t="n">
        <f aca="false">IF($A22="N/A"," ",IF(Pricetype1=2,MAX(C22,0),IF(OR(Pricetype1=1,Pricetype1=4),IF(C22=0,0,(EURO(C22,Strikeprice1,0,0,($AH22+IF(Smile=TRUE(),VLOOKUP(MAX(-5,Strikeprice1-C22),Volsmile,2),0)),($A22-DateToday)+15,IF(Pricetype1=1,1,0),0))),C22)))</f>
        <v>54.5</v>
      </c>
      <c r="M22" s="318" t="n">
        <f aca="false">IF($A22="N/A"," ",IF(Pricetype1=2,MAX(D22,0),IF(OR(Pricetype1=1,Pricetype1=4),IF(D22=0,0,(EURO(D22,Strikeprice1,0,0,($AH22+IF(Smile=TRUE(),VLOOKUP(MAX(-5,Strikeprice1-D22),Volsmile,2),0)),($A22-DateToday)+15,IF(Pricetype1=1,1,0),0))),D22)))</f>
        <v>54.5</v>
      </c>
      <c r="N22" s="318" t="n">
        <f aca="false">IF($A22="N/A"," ",IF(Pricetype1=2,MAX(E22,0),IF(OR(Pricetype1=1,Pricetype1=4),IF(E22=0,0,(EURO(E22,Strikeprice1,0,0,($AK22+IF(Smile=TRUE(),VLOOKUP(MAX(-5,Strikeprice1-E22),Volsmile,2),0)),($A22-DateToday)+15,IF(Pricetype1=1,1,0),0))),E22)))</f>
        <v>20.6800003051758</v>
      </c>
      <c r="O22" s="318" t="n">
        <f aca="false">IF($A22="N/A"," ",IF(Pricetype1=2,MAX(F22,0),IF(OR(Pricetype1=1,Pricetype1=4),IF(F22=0,0,(EURO(F22,Strikeprice1,0,0,($AK22+IF(Smile=TRUE(),VLOOKUP(MAX(-5,Strikeprice1-F22),Volsmile,2),0)),($A22-DateToday)+15,IF(Pricetype1=1,1,0),0))),F22)))</f>
        <v>34.8400039672852</v>
      </c>
      <c r="P22" s="318" t="n">
        <f aca="false">IF($A22="N/A"," ",IF(Pricetype1=2,MAX(G22,0),IF(OR(Pricetype1=1,Pricetype1=4),IF(G22=0,0,(EURO(G22,Strikeprice1,0,0,($AK22+IF(Smile=TRUE(),VLOOKUP(MAX(-5,Strikeprice1-G22),Volsmile,2),0)),($A22-DateToday)+15,IF(Pricetype1=1,1,0),0))),G22)))</f>
        <v>34.8400039672852</v>
      </c>
      <c r="Q22" s="318" t="n">
        <f aca="false">IF($A22="N/A"," ",IF(Pricetype1=2,MAX(H22,0),IF(OR(Pricetype1=1,Pricetype1=4),IF(H22=0,0,(EURO(H22,Strikeprice1,0,0,($AK22+IF(Smile=TRUE(),VLOOKUP(MAX(-5,Strikeprice1-H22),Volsmile,2),0)),($A22-DateToday)+15,IF(Pricetype1=1,1,0),0))),H22)))</f>
        <v>20.6800003051758</v>
      </c>
      <c r="R22" s="318" t="n">
        <f aca="false">IF($A22="N/A"," ",IF(Pricetype1=2,MAX(I22,0),IF(OR(Pricetype1=1,Pricetype1=4),IF(I22=0,0,(EURO(I22,Strikeprice1,0,0,($AK22+IF(Smile=TRUE(),VLOOKUP(MAX(-5,Strikeprice1-I22),Volsmile,2),0)),($A22-DateToday)+15,IF(Pricetype1=1,1,0),0))),I22)))</f>
        <v>25.3399982452393</v>
      </c>
      <c r="S22" s="318" t="n">
        <f aca="false">IF($A22="N/A"," ",IF(Pricetype1=2,MAX(J22,0),IF(OR(Pricetype1=1,Pricetype1=4),IF(J22=0,0,(EURO(J22,Strikeprice1,0,0,($AK22+IF(Smile=TRUE(),VLOOKUP(MAX(-5,Strikeprice1-J22),Volsmile,2),0)),($A22-DateToday)+15,IF(Pricetype1=1,1,0),0))),J22)))</f>
        <v>25.3399982452393</v>
      </c>
      <c r="T22" s="318" t="n">
        <f aca="false">IF($A22="N/A"," ",IF(Pricetype1=2,MAX(K22,0),IF(OR(Pricetype1=1,Pricetype1=4),IF(K22=0,0,(EURO(K22,Strikeprice1,0,0,($AK22+IF(Smile=TRUE(),VLOOKUP(MAX(-5,Strikeprice1-K22),Volsmile,2),0)),($A22-DateToday)+15,IF(Pricetype1=1,1,0),0))),K22)))</f>
        <v>20.6800003051758</v>
      </c>
      <c r="U22" s="319" t="e">
        <f aca="false">IF($A22="N/A"," ",Volume1*$AM22)</f>
        <v>#N/A</v>
      </c>
      <c r="V22" s="320" t="e">
        <f aca="false">IF($A22="N/A"," ",$U22*(8*($BQ22))*L22)</f>
        <v>#N/A</v>
      </c>
      <c r="W22" s="320" t="e">
        <f aca="false">IF($A22="N/A"," ",$U22*(8*($BQ22))*M22)</f>
        <v>#N/A</v>
      </c>
      <c r="X22" s="320" t="e">
        <f aca="false">IF($A22="N/A"," ",$U22*(8*($BQ22))*N22)</f>
        <v>#N/A</v>
      </c>
      <c r="Y22" s="320" t="e">
        <f aca="false">IF($A22="N/A"," ",$U22*(8*($BR22))*O22)</f>
        <v>#N/A</v>
      </c>
      <c r="Z22" s="320" t="e">
        <f aca="false">IF($A22="N/A"," ",$U22*(8*($BR22))*P22)</f>
        <v>#N/A</v>
      </c>
      <c r="AA22" s="320" t="e">
        <f aca="false">IF($A22="N/A"," ",$U22*(8*($BR22))*Q22)</f>
        <v>#N/A</v>
      </c>
      <c r="AB22" s="320" t="e">
        <f aca="false">IF($A22="N/A"," ",$U22*(8*($BS22))*R22)</f>
        <v>#N/A</v>
      </c>
      <c r="AC22" s="320" t="e">
        <f aca="false">IF($A22="N/A"," ",$U22*(8*($BS22))*S22)</f>
        <v>#N/A</v>
      </c>
      <c r="AD22" s="320" t="e">
        <f aca="false">IF($A22="N/A"," ",$U22*(8*($BS22))*T22)</f>
        <v>#N/A</v>
      </c>
      <c r="AE22" s="320" t="e">
        <f aca="false">IF($A22="N/A"," ",SUM(V22:AD22))</f>
        <v>#N/A</v>
      </c>
      <c r="AF22" s="321" t="n">
        <f aca="false">IF(A22="N/A"," ",(VLOOKUP(A22,PowerVolTable,(IF(VolBMO1=2,7,IF(VolBMO1=1,6,8))),FALSE())))</f>
        <v>0.39</v>
      </c>
      <c r="AG22" s="321" t="n">
        <f aca="false">IF(A22="N/A"," ",(VLOOKUP(A22,IntraPowerVol,(IF(VolBMO1=2,3,IF(VolBMO1=1,2,4))),FALSE())*VLOOKUP(MONTH($A22),Volscale,2)))</f>
        <v>0.7</v>
      </c>
      <c r="AH22" s="321" t="n">
        <f aca="false">IF($A22="N/A"," ",IF(VolType1=1,AG22,AF22))</f>
        <v>0.7</v>
      </c>
      <c r="AI22" s="321" t="n">
        <f aca="false">IF($A22="N/A"," ",(VLOOKUP($A22,OffPwrVolTable,(IF(VolBMO1=2,7,IF(VolBMO1=1,6,8))),FALSE())))</f>
        <v>0.195</v>
      </c>
      <c r="AJ22" s="321" t="n">
        <f aca="false">IF($A22="N/A"," ",(VLOOKUP($A22,OffPwrVolTable,(IF(VolBMO1=2,3,IF(VolBMO1=1,2,4))),FALSE())*VLOOKUP(MONTH($A22),Volscale,2)))</f>
        <v>0.42</v>
      </c>
      <c r="AK22" s="321" t="n">
        <f aca="false">IF($A22="N/A"," ",IF(VolType1=1,AJ22,AI22))</f>
        <v>0.42</v>
      </c>
      <c r="AL22" s="321" t="e">
        <f aca="false">IF($A22="N/A"," ",IF(PV=1,0,'Pricing Inputs1'!R55))</f>
        <v>#N/A</v>
      </c>
      <c r="AM22" s="323" t="e">
        <f aca="false">IF($A22="N/A"," ",(1+AL22/2)^(-2*((EOMONTH(A22,0)+20)-DateToday)/365.25))</f>
        <v>#N/A</v>
      </c>
      <c r="BQ22" s="0" t="n">
        <f aca="false">IF($A22="N/A"," ",(VLOOKUP($A22,NumberofDaysTable,2)))</f>
        <v>22</v>
      </c>
      <c r="BR22" s="0" t="n">
        <f aca="false">IF($A22="N/A"," ",(VLOOKUP($A22,NumberofDaysTable,3)))</f>
        <v>4</v>
      </c>
      <c r="BS22" s="0" t="n">
        <f aca="false">IF($A22="N/A"," ",(VLOOKUP($A22,NumberofDaysTable,4)))</f>
        <v>5</v>
      </c>
    </row>
    <row r="23" customFormat="false" ht="12.75" hidden="false" customHeight="false" outlineLevel="0" collapsed="false">
      <c r="A23" s="315" t="n">
        <f aca="false">IF(A22="N/A","N/A",IF(EDATE(A22,1)&gt;Inputs!$M$5,"N/A",EDATE(A22,1)))</f>
        <v>37834</v>
      </c>
      <c r="B23" s="316" t="n">
        <f aca="false">IF(A23="N/A"," ",YEAR(A23))</f>
        <v>2003</v>
      </c>
      <c r="C23" s="317" t="n">
        <f aca="false">IF($A23="N/A"," ",IF(Dayrun1=10,0,IF(Scaler1=1,(VLOOKUP(A23,ScaledPrice1,4)),(VLOOKUP(A23,ScaledPrice1,2)))))</f>
        <v>54.5</v>
      </c>
      <c r="D23" s="317" t="n">
        <f aca="false">IF(A23="N/A"," ",IF(Dayrun1&gt;=7,0,IF(Scaler1=2,VLOOKUP(A23,ScaledPrice1,2),(VLOOKUP(A23,ScaledPrice1,2))*(2-(VLOOKUP(A23,ScaledPrice1,3))))))</f>
        <v>54.5</v>
      </c>
      <c r="E23" s="317" t="n">
        <f aca="false">IF($A23="N/A"," ",IF(AND(Dayrun1&gt;=4,Dayrun1&lt;=9),0,VLOOKUP($A23,ScaledPrice1,9)))</f>
        <v>21.6800003051758</v>
      </c>
      <c r="F23" s="317" t="n">
        <f aca="false">IF(A23="N/A"," ",IF(OR(Dayrun1=2,Dayrun1=3,Dayrun1=5,Dayrun1=6,Dayrun1=8,Dayrun1=9),VLOOKUP(A23,ScaledPrice1,IF(Scaler1=1,6,5)),0))</f>
        <v>32.8400077819824</v>
      </c>
      <c r="G23" s="317" t="n">
        <f aca="false">IF(A23="N/A"," ",IF(OR(Dayrun1=2,Dayrun1=3,Dayrun1=5,Dayrun1=6),IF(Scaler1=2,F23,(VLOOKUP(A23,ScaledPrice1,5))*(2-(VLOOKUP(A23,ScaledPrice1,3)))),0))</f>
        <v>32.8400077819824</v>
      </c>
      <c r="H23" s="317" t="n">
        <f aca="false">IF($A23="N/A"," ",IF(OR(Dayrun1=2,Dayrun1=3,Dayrun1=10),VLOOKUP($A23,ScaledPrice1,9),0))</f>
        <v>21.6800003051758</v>
      </c>
      <c r="I23" s="317" t="n">
        <f aca="false">IF(A23="N/A"," ",IF(OR(Dayrun1=3,Dayrun1=6,Dayrun1=9),(VLOOKUP(A23,ScaledPrice1,IF(Scaler1=2,7,8))),0))</f>
        <v>25.3399982452393</v>
      </c>
      <c r="J23" s="317" t="n">
        <f aca="false">IF(A23="N/A"," ",IF(OR(Dayrun1=3,Dayrun1=6),IF(Scaler1=2,I23,(VLOOKUP(A23,ScaledPrice1,7))*(2-(VLOOKUP(A23,ScaledPrice1,3)))),0))</f>
        <v>25.3399982452393</v>
      </c>
      <c r="K23" s="317" t="n">
        <f aca="false">IF($A23="N/A"," ",IF(OR(Dayrun1=3,Dayrun1=10),VLOOKUP($A23,ScaledPrice1,9),0))</f>
        <v>21.6800003051758</v>
      </c>
      <c r="L23" s="318" t="n">
        <f aca="false">IF($A23="N/A"," ",IF(Pricetype1=2,MAX(C23,0),IF(OR(Pricetype1=1,Pricetype1=4),IF(C23=0,0,(EURO(C23,Strikeprice1,0,0,($AH23+IF(Smile=TRUE(),VLOOKUP(MAX(-5,Strikeprice1-C23),Volsmile,2),0)),($A23-DateToday)+15,IF(Pricetype1=1,1,0),0))),C23)))</f>
        <v>54.5</v>
      </c>
      <c r="M23" s="318" t="n">
        <f aca="false">IF($A23="N/A"," ",IF(Pricetype1=2,MAX(D23,0),IF(OR(Pricetype1=1,Pricetype1=4),IF(D23=0,0,(EURO(D23,Strikeprice1,0,0,($AH23+IF(Smile=TRUE(),VLOOKUP(MAX(-5,Strikeprice1-D23),Volsmile,2),0)),($A23-DateToday)+15,IF(Pricetype1=1,1,0),0))),D23)))</f>
        <v>54.5</v>
      </c>
      <c r="N23" s="318" t="n">
        <f aca="false">IF($A23="N/A"," ",IF(Pricetype1=2,MAX(E23,0),IF(OR(Pricetype1=1,Pricetype1=4),IF(E23=0,0,(EURO(E23,Strikeprice1,0,0,($AK23+IF(Smile=TRUE(),VLOOKUP(MAX(-5,Strikeprice1-E23),Volsmile,2),0)),($A23-DateToday)+15,IF(Pricetype1=1,1,0),0))),E23)))</f>
        <v>21.6800003051758</v>
      </c>
      <c r="O23" s="318" t="n">
        <f aca="false">IF($A23="N/A"," ",IF(Pricetype1=2,MAX(F23,0),IF(OR(Pricetype1=1,Pricetype1=4),IF(F23=0,0,(EURO(F23,Strikeprice1,0,0,($AK23+IF(Smile=TRUE(),VLOOKUP(MAX(-5,Strikeprice1-F23),Volsmile,2),0)),($A23-DateToday)+15,IF(Pricetype1=1,1,0),0))),F23)))</f>
        <v>32.8400077819824</v>
      </c>
      <c r="P23" s="318" t="n">
        <f aca="false">IF($A23="N/A"," ",IF(Pricetype1=2,MAX(G23,0),IF(OR(Pricetype1=1,Pricetype1=4),IF(G23=0,0,(EURO(G23,Strikeprice1,0,0,($AK23+IF(Smile=TRUE(),VLOOKUP(MAX(-5,Strikeprice1-G23),Volsmile,2),0)),($A23-DateToday)+15,IF(Pricetype1=1,1,0),0))),G23)))</f>
        <v>32.8400077819824</v>
      </c>
      <c r="Q23" s="318" t="n">
        <f aca="false">IF($A23="N/A"," ",IF(Pricetype1=2,MAX(H23,0),IF(OR(Pricetype1=1,Pricetype1=4),IF(H23=0,0,(EURO(H23,Strikeprice1,0,0,($AK23+IF(Smile=TRUE(),VLOOKUP(MAX(-5,Strikeprice1-H23),Volsmile,2),0)),($A23-DateToday)+15,IF(Pricetype1=1,1,0),0))),H23)))</f>
        <v>21.6800003051758</v>
      </c>
      <c r="R23" s="318" t="n">
        <f aca="false">IF($A23="N/A"," ",IF(Pricetype1=2,MAX(I23,0),IF(OR(Pricetype1=1,Pricetype1=4),IF(I23=0,0,(EURO(I23,Strikeprice1,0,0,($AK23+IF(Smile=TRUE(),VLOOKUP(MAX(-5,Strikeprice1-I23),Volsmile,2),0)),($A23-DateToday)+15,IF(Pricetype1=1,1,0),0))),I23)))</f>
        <v>25.3399982452393</v>
      </c>
      <c r="S23" s="318" t="n">
        <f aca="false">IF($A23="N/A"," ",IF(Pricetype1=2,MAX(J23,0),IF(OR(Pricetype1=1,Pricetype1=4),IF(J23=0,0,(EURO(J23,Strikeprice1,0,0,($AK23+IF(Smile=TRUE(),VLOOKUP(MAX(-5,Strikeprice1-J23),Volsmile,2),0)),($A23-DateToday)+15,IF(Pricetype1=1,1,0),0))),J23)))</f>
        <v>25.3399982452393</v>
      </c>
      <c r="T23" s="318" t="n">
        <f aca="false">IF($A23="N/A"," ",IF(Pricetype1=2,MAX(K23,0),IF(OR(Pricetype1=1,Pricetype1=4),IF(K23=0,0,(EURO(K23,Strikeprice1,0,0,($AK23+IF(Smile=TRUE(),VLOOKUP(MAX(-5,Strikeprice1-K23),Volsmile,2),0)),($A23-DateToday)+15,IF(Pricetype1=1,1,0),0))),K23)))</f>
        <v>21.6800003051758</v>
      </c>
      <c r="U23" s="319" t="e">
        <f aca="false">IF($A23="N/A"," ",Volume1*$AM23)</f>
        <v>#N/A</v>
      </c>
      <c r="V23" s="320" t="e">
        <f aca="false">IF($A23="N/A"," ",$U23*(8*($BQ23))*L23)</f>
        <v>#N/A</v>
      </c>
      <c r="W23" s="320" t="e">
        <f aca="false">IF($A23="N/A"," ",$U23*(8*($BQ23))*M23)</f>
        <v>#N/A</v>
      </c>
      <c r="X23" s="320" t="e">
        <f aca="false">IF($A23="N/A"," ",$U23*(8*($BQ23))*N23)</f>
        <v>#N/A</v>
      </c>
      <c r="Y23" s="320" t="e">
        <f aca="false">IF($A23="N/A"," ",$U23*(8*($BR23))*O23)</f>
        <v>#N/A</v>
      </c>
      <c r="Z23" s="320" t="e">
        <f aca="false">IF($A23="N/A"," ",$U23*(8*($BR23))*P23)</f>
        <v>#N/A</v>
      </c>
      <c r="AA23" s="320" t="e">
        <f aca="false">IF($A23="N/A"," ",$U23*(8*($BR23))*Q23)</f>
        <v>#N/A</v>
      </c>
      <c r="AB23" s="320" t="e">
        <f aca="false">IF($A23="N/A"," ",$U23*(8*($BS23))*R23)</f>
        <v>#N/A</v>
      </c>
      <c r="AC23" s="320" t="e">
        <f aca="false">IF($A23="N/A"," ",$U23*(8*($BS23))*S23)</f>
        <v>#N/A</v>
      </c>
      <c r="AD23" s="320" t="e">
        <f aca="false">IF($A23="N/A"," ",$U23*(8*($BS23))*T23)</f>
        <v>#N/A</v>
      </c>
      <c r="AE23" s="320" t="e">
        <f aca="false">IF($A23="N/A"," ",SUM(V23:AD23))</f>
        <v>#N/A</v>
      </c>
      <c r="AF23" s="321" t="n">
        <f aca="false">IF(A23="N/A"," ",(VLOOKUP(A23,PowerVolTable,(IF(VolBMO1=2,7,IF(VolBMO1=1,6,8))),FALSE())))</f>
        <v>0.39</v>
      </c>
      <c r="AG23" s="321" t="n">
        <f aca="false">IF(A23="N/A"," ",(VLOOKUP(A23,IntraPowerVol,(IF(VolBMO1=2,3,IF(VolBMO1=1,2,4))),FALSE())*VLOOKUP(MONTH($A23),Volscale,2)))</f>
        <v>0.7</v>
      </c>
      <c r="AH23" s="321" t="n">
        <f aca="false">IF($A23="N/A"," ",IF(VolType1=1,AG23,AF23))</f>
        <v>0.7</v>
      </c>
      <c r="AI23" s="321" t="n">
        <f aca="false">IF($A23="N/A"," ",(VLOOKUP($A23,OffPwrVolTable,(IF(VolBMO1=2,7,IF(VolBMO1=1,6,8))),FALSE())))</f>
        <v>0.195</v>
      </c>
      <c r="AJ23" s="321" t="n">
        <f aca="false">IF($A23="N/A"," ",(VLOOKUP($A23,OffPwrVolTable,(IF(VolBMO1=2,3,IF(VolBMO1=1,2,4))),FALSE())*VLOOKUP(MONTH($A23),Volscale,2)))</f>
        <v>0.42</v>
      </c>
      <c r="AK23" s="321" t="n">
        <f aca="false">IF($A23="N/A"," ",IF(VolType1=1,AJ23,AI23))</f>
        <v>0.42</v>
      </c>
      <c r="AL23" s="321" t="e">
        <f aca="false">IF($A23="N/A"," ",IF(PV=1,0,'Pricing Inputs1'!R56))</f>
        <v>#N/A</v>
      </c>
      <c r="AM23" s="323" t="e">
        <f aca="false">IF($A23="N/A"," ",(1+AL23/2)^(-2*((EOMONTH(A23,0)+20)-DateToday)/365.25))</f>
        <v>#N/A</v>
      </c>
      <c r="BQ23" s="0" t="n">
        <f aca="false">IF($A23="N/A"," ",(VLOOKUP($A23,NumberofDaysTable,2)))</f>
        <v>21</v>
      </c>
      <c r="BR23" s="0" t="n">
        <f aca="false">IF($A23="N/A"," ",(VLOOKUP($A23,NumberofDaysTable,3)))</f>
        <v>5</v>
      </c>
      <c r="BS23" s="0" t="n">
        <f aca="false">IF($A23="N/A"," ",(VLOOKUP($A23,NumberofDaysTable,4)))</f>
        <v>5</v>
      </c>
    </row>
    <row r="24" customFormat="false" ht="12.75" hidden="false" customHeight="false" outlineLevel="0" collapsed="false">
      <c r="A24" s="315" t="n">
        <f aca="false">IF(A23="N/A","N/A",IF(EDATE(A23,1)&gt;Inputs!$M$5,"N/A",EDATE(A23,1)))</f>
        <v>37865</v>
      </c>
      <c r="B24" s="316" t="n">
        <f aca="false">IF(A24="N/A"," ",YEAR(A24))</f>
        <v>2003</v>
      </c>
      <c r="C24" s="317" t="n">
        <f aca="false">IF($A24="N/A"," ",IF(Dayrun1=10,0,IF(Scaler1=1,(VLOOKUP(A24,ScaledPrice1,4)),(VLOOKUP(A24,ScaledPrice1,2)))))</f>
        <v>30</v>
      </c>
      <c r="D24" s="317" t="n">
        <f aca="false">IF(A24="N/A"," ",IF(Dayrun1&gt;=7,0,IF(Scaler1=2,VLOOKUP(A24,ScaledPrice1,2),(VLOOKUP(A24,ScaledPrice1,2))*(2-(VLOOKUP(A24,ScaledPrice1,3))))))</f>
        <v>30</v>
      </c>
      <c r="E24" s="317" t="n">
        <f aca="false">IF($A24="N/A"," ",IF(AND(Dayrun1&gt;=4,Dayrun1&lt;=9),0,VLOOKUP($A24,ScaledPrice1,9)))</f>
        <v>15.6800003051758</v>
      </c>
      <c r="F24" s="317" t="n">
        <f aca="false">IF(A24="N/A"," ",IF(OR(Dayrun1=2,Dayrun1=3,Dayrun1=5,Dayrun1=6,Dayrun1=8,Dayrun1=9),VLOOKUP(A24,ScaledPrice1,IF(Scaler1=1,6,5)),0))</f>
        <v>24.8399982452393</v>
      </c>
      <c r="G24" s="317" t="n">
        <f aca="false">IF(A24="N/A"," ",IF(OR(Dayrun1=2,Dayrun1=3,Dayrun1=5,Dayrun1=6),IF(Scaler1=2,F24,(VLOOKUP(A24,ScaledPrice1,5))*(2-(VLOOKUP(A24,ScaledPrice1,3)))),0))</f>
        <v>24.8399982452393</v>
      </c>
      <c r="H24" s="317" t="n">
        <f aca="false">IF($A24="N/A"," ",IF(OR(Dayrun1=2,Dayrun1=3,Dayrun1=10),VLOOKUP($A24,ScaledPrice1,9),0))</f>
        <v>15.6800003051758</v>
      </c>
      <c r="I24" s="317" t="n">
        <f aca="false">IF(A24="N/A"," ",IF(OR(Dayrun1=3,Dayrun1=6,Dayrun1=9),(VLOOKUP(A24,ScaledPrice1,IF(Scaler1=2,7,8))),0))</f>
        <v>19.3399982452393</v>
      </c>
      <c r="J24" s="317" t="n">
        <f aca="false">IF(A24="N/A"," ",IF(OR(Dayrun1=3,Dayrun1=6),IF(Scaler1=2,I24,(VLOOKUP(A24,ScaledPrice1,7))*(2-(VLOOKUP(A24,ScaledPrice1,3)))),0))</f>
        <v>19.3399982452393</v>
      </c>
      <c r="K24" s="317" t="n">
        <f aca="false">IF($A24="N/A"," ",IF(OR(Dayrun1=3,Dayrun1=10),VLOOKUP($A24,ScaledPrice1,9),0))</f>
        <v>15.6800003051758</v>
      </c>
      <c r="L24" s="318" t="n">
        <f aca="false">IF($A24="N/A"," ",IF(Pricetype1=2,MAX(C24,0),IF(OR(Pricetype1=1,Pricetype1=4),IF(C24=0,0,(EURO(C24,Strikeprice1,0,0,($AH24+IF(Smile=TRUE(),VLOOKUP(MAX(-5,Strikeprice1-C24),Volsmile,2),0)),($A24-DateToday)+15,IF(Pricetype1=1,1,0),0))),C24)))</f>
        <v>30</v>
      </c>
      <c r="M24" s="318" t="n">
        <f aca="false">IF($A24="N/A"," ",IF(Pricetype1=2,MAX(D24,0),IF(OR(Pricetype1=1,Pricetype1=4),IF(D24=0,0,(EURO(D24,Strikeprice1,0,0,($AH24+IF(Smile=TRUE(),VLOOKUP(MAX(-5,Strikeprice1-D24),Volsmile,2),0)),($A24-DateToday)+15,IF(Pricetype1=1,1,0),0))),D24)))</f>
        <v>30</v>
      </c>
      <c r="N24" s="318" t="n">
        <f aca="false">IF($A24="N/A"," ",IF(Pricetype1=2,MAX(E24,0),IF(OR(Pricetype1=1,Pricetype1=4),IF(E24=0,0,(EURO(E24,Strikeprice1,0,0,($AK24+IF(Smile=TRUE(),VLOOKUP(MAX(-5,Strikeprice1-E24),Volsmile,2),0)),($A24-DateToday)+15,IF(Pricetype1=1,1,0),0))),E24)))</f>
        <v>15.6800003051758</v>
      </c>
      <c r="O24" s="318" t="n">
        <f aca="false">IF($A24="N/A"," ",IF(Pricetype1=2,MAX(F24,0),IF(OR(Pricetype1=1,Pricetype1=4),IF(F24=0,0,(EURO(F24,Strikeprice1,0,0,($AK24+IF(Smile=TRUE(),VLOOKUP(MAX(-5,Strikeprice1-F24),Volsmile,2),0)),($A24-DateToday)+15,IF(Pricetype1=1,1,0),0))),F24)))</f>
        <v>24.8399982452393</v>
      </c>
      <c r="P24" s="318" t="n">
        <f aca="false">IF($A24="N/A"," ",IF(Pricetype1=2,MAX(G24,0),IF(OR(Pricetype1=1,Pricetype1=4),IF(G24=0,0,(EURO(G24,Strikeprice1,0,0,($AK24+IF(Smile=TRUE(),VLOOKUP(MAX(-5,Strikeprice1-G24),Volsmile,2),0)),($A24-DateToday)+15,IF(Pricetype1=1,1,0),0))),G24)))</f>
        <v>24.8399982452393</v>
      </c>
      <c r="Q24" s="318" t="n">
        <f aca="false">IF($A24="N/A"," ",IF(Pricetype1=2,MAX(H24,0),IF(OR(Pricetype1=1,Pricetype1=4),IF(H24=0,0,(EURO(H24,Strikeprice1,0,0,($AK24+IF(Smile=TRUE(),VLOOKUP(MAX(-5,Strikeprice1-H24),Volsmile,2),0)),($A24-DateToday)+15,IF(Pricetype1=1,1,0),0))),H24)))</f>
        <v>15.6800003051758</v>
      </c>
      <c r="R24" s="318" t="n">
        <f aca="false">IF($A24="N/A"," ",IF(Pricetype1=2,MAX(I24,0),IF(OR(Pricetype1=1,Pricetype1=4),IF(I24=0,0,(EURO(I24,Strikeprice1,0,0,($AK24+IF(Smile=TRUE(),VLOOKUP(MAX(-5,Strikeprice1-I24),Volsmile,2),0)),($A24-DateToday)+15,IF(Pricetype1=1,1,0),0))),I24)))</f>
        <v>19.3399982452393</v>
      </c>
      <c r="S24" s="318" t="n">
        <f aca="false">IF($A24="N/A"," ",IF(Pricetype1=2,MAX(J24,0),IF(OR(Pricetype1=1,Pricetype1=4),IF(J24=0,0,(EURO(J24,Strikeprice1,0,0,($AK24+IF(Smile=TRUE(),VLOOKUP(MAX(-5,Strikeprice1-J24),Volsmile,2),0)),($A24-DateToday)+15,IF(Pricetype1=1,1,0),0))),J24)))</f>
        <v>19.3399982452393</v>
      </c>
      <c r="T24" s="318" t="n">
        <f aca="false">IF($A24="N/A"," ",IF(Pricetype1=2,MAX(K24,0),IF(OR(Pricetype1=1,Pricetype1=4),IF(K24=0,0,(EURO(K24,Strikeprice1,0,0,($AK24+IF(Smile=TRUE(),VLOOKUP(MAX(-5,Strikeprice1-K24),Volsmile,2),0)),($A24-DateToday)+15,IF(Pricetype1=1,1,0),0))),K24)))</f>
        <v>15.6800003051758</v>
      </c>
      <c r="U24" s="319" t="e">
        <f aca="false">IF($A24="N/A"," ",Volume1*$AM24)</f>
        <v>#N/A</v>
      </c>
      <c r="V24" s="320" t="e">
        <f aca="false">IF($A24="N/A"," ",$U24*(8*($BQ24))*L24)</f>
        <v>#N/A</v>
      </c>
      <c r="W24" s="320" t="e">
        <f aca="false">IF($A24="N/A"," ",$U24*(8*($BQ24))*M24)</f>
        <v>#N/A</v>
      </c>
      <c r="X24" s="320" t="e">
        <f aca="false">IF($A24="N/A"," ",$U24*(8*($BQ24))*N24)</f>
        <v>#N/A</v>
      </c>
      <c r="Y24" s="320" t="e">
        <f aca="false">IF($A24="N/A"," ",$U24*(8*($BR24))*O24)</f>
        <v>#N/A</v>
      </c>
      <c r="Z24" s="320" t="e">
        <f aca="false">IF($A24="N/A"," ",$U24*(8*($BR24))*P24)</f>
        <v>#N/A</v>
      </c>
      <c r="AA24" s="320" t="e">
        <f aca="false">IF($A24="N/A"," ",$U24*(8*($BR24))*Q24)</f>
        <v>#N/A</v>
      </c>
      <c r="AB24" s="320" t="e">
        <f aca="false">IF($A24="N/A"," ",$U24*(8*($BS24))*R24)</f>
        <v>#N/A</v>
      </c>
      <c r="AC24" s="320" t="e">
        <f aca="false">IF($A24="N/A"," ",$U24*(8*($BS24))*S24)</f>
        <v>#N/A</v>
      </c>
      <c r="AD24" s="320" t="e">
        <f aca="false">IF($A24="N/A"," ",$U24*(8*($BS24))*T24)</f>
        <v>#N/A</v>
      </c>
      <c r="AE24" s="320" t="e">
        <f aca="false">IF($A24="N/A"," ",SUM(V24:AD24))</f>
        <v>#N/A</v>
      </c>
      <c r="AF24" s="321" t="n">
        <f aca="false">IF(A24="N/A"," ",(VLOOKUP(A24,PowerVolTable,(IF(VolBMO1=2,7,IF(VolBMO1=1,6,8))),FALSE())))</f>
        <v>0.25</v>
      </c>
      <c r="AG24" s="321" t="n">
        <f aca="false">IF(A24="N/A"," ",(VLOOKUP(A24,IntraPowerVol,(IF(VolBMO1=2,3,IF(VolBMO1=1,2,4))),FALSE())*VLOOKUP(MONTH($A24),Volscale,2)))</f>
        <v>0.35</v>
      </c>
      <c r="AH24" s="321" t="n">
        <f aca="false">IF($A24="N/A"," ",IF(VolType1=1,AG24,AF24))</f>
        <v>0.35</v>
      </c>
      <c r="AI24" s="321" t="n">
        <f aca="false">IF($A24="N/A"," ",(VLOOKUP($A24,OffPwrVolTable,(IF(VolBMO1=2,7,IF(VolBMO1=1,6,8))),FALSE())))</f>
        <v>0.125</v>
      </c>
      <c r="AJ24" s="321" t="n">
        <f aca="false">IF($A24="N/A"," ",(VLOOKUP($A24,OffPwrVolTable,(IF(VolBMO1=2,3,IF(VolBMO1=1,2,4))),FALSE())*VLOOKUP(MONTH($A24),Volscale,2)))</f>
        <v>0.21</v>
      </c>
      <c r="AK24" s="321" t="n">
        <f aca="false">IF($A24="N/A"," ",IF(VolType1=1,AJ24,AI24))</f>
        <v>0.21</v>
      </c>
      <c r="AL24" s="321" t="e">
        <f aca="false">IF($A24="N/A"," ",IF(PV=1,0,'Pricing Inputs1'!R57))</f>
        <v>#N/A</v>
      </c>
      <c r="AM24" s="323" t="e">
        <f aca="false">IF($A24="N/A"," ",(1+AL24/2)^(-2*((EOMONTH(A24,0)+20)-DateToday)/365.25))</f>
        <v>#N/A</v>
      </c>
      <c r="BQ24" s="0" t="n">
        <f aca="false">IF($A24="N/A"," ",(VLOOKUP($A24,NumberofDaysTable,2)))</f>
        <v>21</v>
      </c>
      <c r="BR24" s="0" t="n">
        <f aca="false">IF($A24="N/A"," ",(VLOOKUP($A24,NumberofDaysTable,3)))</f>
        <v>4</v>
      </c>
      <c r="BS24" s="0" t="n">
        <f aca="false">IF($A24="N/A"," ",(VLOOKUP($A24,NumberofDaysTable,4)))</f>
        <v>5</v>
      </c>
    </row>
    <row r="25" customFormat="false" ht="12.75" hidden="false" customHeight="false" outlineLevel="0" collapsed="false">
      <c r="A25" s="315" t="n">
        <f aca="false">IF(A24="N/A","N/A",IF(EDATE(A24,1)&gt;Inputs!$M$5,"N/A",EDATE(A24,1)))</f>
        <v>37895</v>
      </c>
      <c r="B25" s="316" t="n">
        <f aca="false">IF(A25="N/A"," ",YEAR(A25))</f>
        <v>2003</v>
      </c>
      <c r="C25" s="317" t="n">
        <f aca="false">IF($A25="N/A"," ",IF(Dayrun1=10,0,IF(Scaler1=1,(VLOOKUP(A25,ScaledPrice1,4)),(VLOOKUP(A25,ScaledPrice1,2)))))</f>
        <v>30.4015640020371</v>
      </c>
      <c r="D25" s="317" t="n">
        <f aca="false">IF(A25="N/A"," ",IF(Dayrun1&gt;=7,0,IF(Scaler1=2,VLOOKUP(A25,ScaledPrice1,2),(VLOOKUP(A25,ScaledPrice1,2))*(2-(VLOOKUP(A25,ScaledPrice1,3))))))</f>
        <v>30.4015640020371</v>
      </c>
      <c r="E25" s="317" t="n">
        <f aca="false">IF($A25="N/A"," ",IF(AND(Dayrun1&gt;=4,Dayrun1&lt;=9),0,VLOOKUP($A25,ScaledPrice1,9)))</f>
        <v>15.1800022125244</v>
      </c>
      <c r="F25" s="317" t="n">
        <f aca="false">IF(A25="N/A"," ",IF(OR(Dayrun1=2,Dayrun1=3,Dayrun1=5,Dayrun1=6,Dayrun1=8,Dayrun1=9),VLOOKUP(A25,ScaledPrice1,IF(Scaler1=1,6,5)),0))</f>
        <v>19.8359985351563</v>
      </c>
      <c r="G25" s="317" t="n">
        <f aca="false">IF(A25="N/A"," ",IF(OR(Dayrun1=2,Dayrun1=3,Dayrun1=5,Dayrun1=6),IF(Scaler1=2,F25,(VLOOKUP(A25,ScaledPrice1,5))*(2-(VLOOKUP(A25,ScaledPrice1,3)))),0))</f>
        <v>19.8359985351563</v>
      </c>
      <c r="H25" s="317" t="n">
        <f aca="false">IF($A25="N/A"," ",IF(OR(Dayrun1=2,Dayrun1=3,Dayrun1=10),VLOOKUP($A25,ScaledPrice1,9),0))</f>
        <v>15.1800022125244</v>
      </c>
      <c r="I25" s="317" t="n">
        <f aca="false">IF(A25="N/A"," ",IF(OR(Dayrun1=3,Dayrun1=6,Dayrun1=9),(VLOOKUP(A25,ScaledPrice1,IF(Scaler1=2,7,8))),0))</f>
        <v>14.3365020751953</v>
      </c>
      <c r="J25" s="317" t="n">
        <f aca="false">IF(A25="N/A"," ",IF(OR(Dayrun1=3,Dayrun1=6),IF(Scaler1=2,I25,(VLOOKUP(A25,ScaledPrice1,7))*(2-(VLOOKUP(A25,ScaledPrice1,3)))),0))</f>
        <v>14.3365020751953</v>
      </c>
      <c r="K25" s="317" t="n">
        <f aca="false">IF($A25="N/A"," ",IF(OR(Dayrun1=3,Dayrun1=10),VLOOKUP($A25,ScaledPrice1,9),0))</f>
        <v>15.1800022125244</v>
      </c>
      <c r="L25" s="318" t="n">
        <f aca="false">IF($A25="N/A"," ",IF(Pricetype1=2,MAX(C25,0),IF(OR(Pricetype1=1,Pricetype1=4),IF(C25=0,0,(EURO(C25,Strikeprice1,0,0,($AH25+IF(Smile=TRUE(),VLOOKUP(MAX(-5,Strikeprice1-C25),Volsmile,2),0)),($A25-DateToday)+15,IF(Pricetype1=1,1,0),0))),C25)))</f>
        <v>30.4015640020371</v>
      </c>
      <c r="M25" s="318" t="n">
        <f aca="false">IF($A25="N/A"," ",IF(Pricetype1=2,MAX(D25,0),IF(OR(Pricetype1=1,Pricetype1=4),IF(D25=0,0,(EURO(D25,Strikeprice1,0,0,($AH25+IF(Smile=TRUE(),VLOOKUP(MAX(-5,Strikeprice1-D25),Volsmile,2),0)),($A25-DateToday)+15,IF(Pricetype1=1,1,0),0))),D25)))</f>
        <v>30.4015640020371</v>
      </c>
      <c r="N25" s="318" t="n">
        <f aca="false">IF($A25="N/A"," ",IF(Pricetype1=2,MAX(E25,0),IF(OR(Pricetype1=1,Pricetype1=4),IF(E25=0,0,(EURO(E25,Strikeprice1,0,0,($AK25+IF(Smile=TRUE(),VLOOKUP(MAX(-5,Strikeprice1-E25),Volsmile,2),0)),($A25-DateToday)+15,IF(Pricetype1=1,1,0),0))),E25)))</f>
        <v>15.1800022125244</v>
      </c>
      <c r="O25" s="318" t="n">
        <f aca="false">IF($A25="N/A"," ",IF(Pricetype1=2,MAX(F25,0),IF(OR(Pricetype1=1,Pricetype1=4),IF(F25=0,0,(EURO(F25,Strikeprice1,0,0,($AK25+IF(Smile=TRUE(),VLOOKUP(MAX(-5,Strikeprice1-F25),Volsmile,2),0)),($A25-DateToday)+15,IF(Pricetype1=1,1,0),0))),F25)))</f>
        <v>19.8359985351563</v>
      </c>
      <c r="P25" s="318" t="n">
        <f aca="false">IF($A25="N/A"," ",IF(Pricetype1=2,MAX(G25,0),IF(OR(Pricetype1=1,Pricetype1=4),IF(G25=0,0,(EURO(G25,Strikeprice1,0,0,($AK25+IF(Smile=TRUE(),VLOOKUP(MAX(-5,Strikeprice1-G25),Volsmile,2),0)),($A25-DateToday)+15,IF(Pricetype1=1,1,0),0))),G25)))</f>
        <v>19.8359985351563</v>
      </c>
      <c r="Q25" s="318" t="n">
        <f aca="false">IF($A25="N/A"," ",IF(Pricetype1=2,MAX(H25,0),IF(OR(Pricetype1=1,Pricetype1=4),IF(H25=0,0,(EURO(H25,Strikeprice1,0,0,($AK25+IF(Smile=TRUE(),VLOOKUP(MAX(-5,Strikeprice1-H25),Volsmile,2),0)),($A25-DateToday)+15,IF(Pricetype1=1,1,0),0))),H25)))</f>
        <v>15.1800022125244</v>
      </c>
      <c r="R25" s="318" t="n">
        <f aca="false">IF($A25="N/A"," ",IF(Pricetype1=2,MAX(I25,0),IF(OR(Pricetype1=1,Pricetype1=4),IF(I25=0,0,(EURO(I25,Strikeprice1,0,0,($AK25+IF(Smile=TRUE(),VLOOKUP(MAX(-5,Strikeprice1-I25),Volsmile,2),0)),($A25-DateToday)+15,IF(Pricetype1=1,1,0),0))),I25)))</f>
        <v>14.3365020751953</v>
      </c>
      <c r="S25" s="318" t="n">
        <f aca="false">IF($A25="N/A"," ",IF(Pricetype1=2,MAX(J25,0),IF(OR(Pricetype1=1,Pricetype1=4),IF(J25=0,0,(EURO(J25,Strikeprice1,0,0,($AK25+IF(Smile=TRUE(),VLOOKUP(MAX(-5,Strikeprice1-J25),Volsmile,2),0)),($A25-DateToday)+15,IF(Pricetype1=1,1,0),0))),J25)))</f>
        <v>14.3365020751953</v>
      </c>
      <c r="T25" s="318" t="n">
        <f aca="false">IF($A25="N/A"," ",IF(Pricetype1=2,MAX(K25,0),IF(OR(Pricetype1=1,Pricetype1=4),IF(K25=0,0,(EURO(K25,Strikeprice1,0,0,($AK25+IF(Smile=TRUE(),VLOOKUP(MAX(-5,Strikeprice1-K25),Volsmile,2),0)),($A25-DateToday)+15,IF(Pricetype1=1,1,0),0))),K25)))</f>
        <v>15.1800022125244</v>
      </c>
      <c r="U25" s="319" t="e">
        <f aca="false">IF($A25="N/A"," ",Volume1*$AM25)</f>
        <v>#N/A</v>
      </c>
      <c r="V25" s="320" t="e">
        <f aca="false">IF($A25="N/A"," ",$U25*(8*($BQ25))*L25)</f>
        <v>#N/A</v>
      </c>
      <c r="W25" s="320" t="e">
        <f aca="false">IF($A25="N/A"," ",$U25*(8*($BQ25))*M25)</f>
        <v>#N/A</v>
      </c>
      <c r="X25" s="320" t="e">
        <f aca="false">IF($A25="N/A"," ",$U25*(8*($BQ25))*N25)</f>
        <v>#N/A</v>
      </c>
      <c r="Y25" s="320" t="e">
        <f aca="false">IF($A25="N/A"," ",$U25*(8*($BR25))*O25)</f>
        <v>#N/A</v>
      </c>
      <c r="Z25" s="320" t="e">
        <f aca="false">IF($A25="N/A"," ",$U25*(8*($BR25))*P25)</f>
        <v>#N/A</v>
      </c>
      <c r="AA25" s="320" t="e">
        <f aca="false">IF($A25="N/A"," ",$U25*(8*($BR25))*Q25)</f>
        <v>#N/A</v>
      </c>
      <c r="AB25" s="320" t="e">
        <f aca="false">IF($A25="N/A"," ",$U25*(8*($BS25))*R25)</f>
        <v>#N/A</v>
      </c>
      <c r="AC25" s="320" t="e">
        <f aca="false">IF($A25="N/A"," ",$U25*(8*($BS25))*S25)</f>
        <v>#N/A</v>
      </c>
      <c r="AD25" s="320" t="e">
        <f aca="false">IF($A25="N/A"," ",$U25*(8*($BS25))*T25)</f>
        <v>#N/A</v>
      </c>
      <c r="AE25" s="320" t="e">
        <f aca="false">IF($A25="N/A"," ",SUM(V25:AD25))</f>
        <v>#N/A</v>
      </c>
      <c r="AF25" s="321" t="n">
        <f aca="false">IF(A25="N/A"," ",(VLOOKUP(A25,PowerVolTable,(IF(VolBMO1=2,7,IF(VolBMO1=1,6,8))),FALSE())))</f>
        <v>0.25</v>
      </c>
      <c r="AG25" s="321" t="n">
        <f aca="false">IF(A25="N/A"," ",(VLOOKUP(A25,IntraPowerVol,(IF(VolBMO1=2,3,IF(VolBMO1=1,2,4))),FALSE())*VLOOKUP(MONTH($A25),Volscale,2)))</f>
        <v>0.35</v>
      </c>
      <c r="AH25" s="321" t="n">
        <f aca="false">IF($A25="N/A"," ",IF(VolType1=1,AG25,AF25))</f>
        <v>0.35</v>
      </c>
      <c r="AI25" s="321" t="n">
        <f aca="false">IF($A25="N/A"," ",(VLOOKUP($A25,OffPwrVolTable,(IF(VolBMO1=2,7,IF(VolBMO1=1,6,8))),FALSE())))</f>
        <v>0.125</v>
      </c>
      <c r="AJ25" s="321" t="n">
        <f aca="false">IF($A25="N/A"," ",(VLOOKUP($A25,OffPwrVolTable,(IF(VolBMO1=2,3,IF(VolBMO1=1,2,4))),FALSE())*VLOOKUP(MONTH($A25),Volscale,2)))</f>
        <v>0.21</v>
      </c>
      <c r="AK25" s="321" t="n">
        <f aca="false">IF($A25="N/A"," ",IF(VolType1=1,AJ25,AI25))</f>
        <v>0.21</v>
      </c>
      <c r="AL25" s="321" t="e">
        <f aca="false">IF($A25="N/A"," ",IF(PV=1,0,'Pricing Inputs1'!R58))</f>
        <v>#N/A</v>
      </c>
      <c r="AM25" s="323" t="e">
        <f aca="false">IF($A25="N/A"," ",(1+AL25/2)^(-2*((EOMONTH(A25,0)+20)-DateToday)/365.25))</f>
        <v>#N/A</v>
      </c>
      <c r="BQ25" s="0" t="n">
        <f aca="false">IF($A25="N/A"," ",(VLOOKUP($A25,NumberofDaysTable,2)))</f>
        <v>23</v>
      </c>
      <c r="BR25" s="0" t="n">
        <f aca="false">IF($A25="N/A"," ",(VLOOKUP($A25,NumberofDaysTable,3)))</f>
        <v>4</v>
      </c>
      <c r="BS25" s="0" t="n">
        <f aca="false">IF($A25="N/A"," ",(VLOOKUP($A25,NumberofDaysTable,4)))</f>
        <v>4</v>
      </c>
    </row>
    <row r="26" customFormat="false" ht="12.75" hidden="false" customHeight="false" outlineLevel="0" collapsed="false">
      <c r="A26" s="315" t="n">
        <f aca="false">IF(A25="N/A","N/A",IF(EDATE(A25,1)&gt;Inputs!$M$5,"N/A",EDATE(A25,1)))</f>
        <v>37926</v>
      </c>
      <c r="B26" s="316" t="n">
        <f aca="false">IF(A26="N/A"," ",YEAR(A26))</f>
        <v>2003</v>
      </c>
      <c r="C26" s="317" t="n">
        <f aca="false">IF($A26="N/A"," ",IF(Dayrun1=10,0,IF(Scaler1=1,(VLOOKUP(A26,ScaledPrice1,4)),(VLOOKUP(A26,ScaledPrice1,2)))))</f>
        <v>30.5015624761581</v>
      </c>
      <c r="D26" s="317" t="n">
        <f aca="false">IF(A26="N/A"," ",IF(Dayrun1&gt;=7,0,IF(Scaler1=2,VLOOKUP(A26,ScaledPrice1,2),(VLOOKUP(A26,ScaledPrice1,2))*(2-(VLOOKUP(A26,ScaledPrice1,3))))))</f>
        <v>30.5015624761581</v>
      </c>
      <c r="E26" s="317" t="n">
        <f aca="false">IF($A26="N/A"," ",IF(AND(Dayrun1&gt;=4,Dayrun1&lt;=9),0,VLOOKUP($A26,ScaledPrice1,9)))</f>
        <v>16.1800003051758</v>
      </c>
      <c r="F26" s="317" t="n">
        <f aca="false">IF(A26="N/A"," ",IF(OR(Dayrun1=2,Dayrun1=3,Dayrun1=5,Dayrun1=6,Dayrun1=8,Dayrun1=9),VLOOKUP(A26,ScaledPrice1,IF(Scaler1=1,6,5)),0))</f>
        <v>21.8399982452393</v>
      </c>
      <c r="G26" s="317" t="n">
        <f aca="false">IF(A26="N/A"," ",IF(OR(Dayrun1=2,Dayrun1=3,Dayrun1=5,Dayrun1=6),IF(Scaler1=2,F26,(VLOOKUP(A26,ScaledPrice1,5))*(2-(VLOOKUP(A26,ScaledPrice1,3)))),0))</f>
        <v>21.8399982452393</v>
      </c>
      <c r="H26" s="317" t="n">
        <f aca="false">IF($A26="N/A"," ",IF(OR(Dayrun1=2,Dayrun1=3,Dayrun1=10),VLOOKUP($A26,ScaledPrice1,9),0))</f>
        <v>16.1800003051758</v>
      </c>
      <c r="I26" s="317" t="n">
        <f aca="false">IF(A26="N/A"," ",IF(OR(Dayrun1=3,Dayrun1=6,Dayrun1=9),(VLOOKUP(A26,ScaledPrice1,IF(Scaler1=2,7,8))),0))</f>
        <v>14.3400020599365</v>
      </c>
      <c r="J26" s="317" t="n">
        <f aca="false">IF(A26="N/A"," ",IF(OR(Dayrun1=3,Dayrun1=6),IF(Scaler1=2,I26,(VLOOKUP(A26,ScaledPrice1,7))*(2-(VLOOKUP(A26,ScaledPrice1,3)))),0))</f>
        <v>14.3400020599365</v>
      </c>
      <c r="K26" s="317" t="n">
        <f aca="false">IF($A26="N/A"," ",IF(OR(Dayrun1=3,Dayrun1=10),VLOOKUP($A26,ScaledPrice1,9),0))</f>
        <v>16.1800003051758</v>
      </c>
      <c r="L26" s="318" t="n">
        <f aca="false">IF($A26="N/A"," ",IF(Pricetype1=2,MAX(C26,0),IF(OR(Pricetype1=1,Pricetype1=4),IF(C26=0,0,(EURO(C26,Strikeprice1,0,0,($AH26+IF(Smile=TRUE(),VLOOKUP(MAX(-5,Strikeprice1-C26),Volsmile,2),0)),($A26-DateToday)+15,IF(Pricetype1=1,1,0),0))),C26)))</f>
        <v>30.5015624761581</v>
      </c>
      <c r="M26" s="318" t="n">
        <f aca="false">IF($A26="N/A"," ",IF(Pricetype1=2,MAX(D26,0),IF(OR(Pricetype1=1,Pricetype1=4),IF(D26=0,0,(EURO(D26,Strikeprice1,0,0,($AH26+IF(Smile=TRUE(),VLOOKUP(MAX(-5,Strikeprice1-D26),Volsmile,2),0)),($A26-DateToday)+15,IF(Pricetype1=1,1,0),0))),D26)))</f>
        <v>30.5015624761581</v>
      </c>
      <c r="N26" s="318" t="n">
        <f aca="false">IF($A26="N/A"," ",IF(Pricetype1=2,MAX(E26,0),IF(OR(Pricetype1=1,Pricetype1=4),IF(E26=0,0,(EURO(E26,Strikeprice1,0,0,($AK26+IF(Smile=TRUE(),VLOOKUP(MAX(-5,Strikeprice1-E26),Volsmile,2),0)),($A26-DateToday)+15,IF(Pricetype1=1,1,0),0))),E26)))</f>
        <v>16.1800003051758</v>
      </c>
      <c r="O26" s="318" t="n">
        <f aca="false">IF($A26="N/A"," ",IF(Pricetype1=2,MAX(F26,0),IF(OR(Pricetype1=1,Pricetype1=4),IF(F26=0,0,(EURO(F26,Strikeprice1,0,0,($AK26+IF(Smile=TRUE(),VLOOKUP(MAX(-5,Strikeprice1-F26),Volsmile,2),0)),($A26-DateToday)+15,IF(Pricetype1=1,1,0),0))),F26)))</f>
        <v>21.8399982452393</v>
      </c>
      <c r="P26" s="318" t="n">
        <f aca="false">IF($A26="N/A"," ",IF(Pricetype1=2,MAX(G26,0),IF(OR(Pricetype1=1,Pricetype1=4),IF(G26=0,0,(EURO(G26,Strikeprice1,0,0,($AK26+IF(Smile=TRUE(),VLOOKUP(MAX(-5,Strikeprice1-G26),Volsmile,2),0)),($A26-DateToday)+15,IF(Pricetype1=1,1,0),0))),G26)))</f>
        <v>21.8399982452393</v>
      </c>
      <c r="Q26" s="318" t="n">
        <f aca="false">IF($A26="N/A"," ",IF(Pricetype1=2,MAX(H26,0),IF(OR(Pricetype1=1,Pricetype1=4),IF(H26=0,0,(EURO(H26,Strikeprice1,0,0,($AK26+IF(Smile=TRUE(),VLOOKUP(MAX(-5,Strikeprice1-H26),Volsmile,2),0)),($A26-DateToday)+15,IF(Pricetype1=1,1,0),0))),H26)))</f>
        <v>16.1800003051758</v>
      </c>
      <c r="R26" s="318" t="n">
        <f aca="false">IF($A26="N/A"," ",IF(Pricetype1=2,MAX(I26,0),IF(OR(Pricetype1=1,Pricetype1=4),IF(I26=0,0,(EURO(I26,Strikeprice1,0,0,($AK26+IF(Smile=TRUE(),VLOOKUP(MAX(-5,Strikeprice1-I26),Volsmile,2),0)),($A26-DateToday)+15,IF(Pricetype1=1,1,0),0))),I26)))</f>
        <v>14.3400020599365</v>
      </c>
      <c r="S26" s="318" t="n">
        <f aca="false">IF($A26="N/A"," ",IF(Pricetype1=2,MAX(J26,0),IF(OR(Pricetype1=1,Pricetype1=4),IF(J26=0,0,(EURO(J26,Strikeprice1,0,0,($AK26+IF(Smile=TRUE(),VLOOKUP(MAX(-5,Strikeprice1-J26),Volsmile,2),0)),($A26-DateToday)+15,IF(Pricetype1=1,1,0),0))),J26)))</f>
        <v>14.3400020599365</v>
      </c>
      <c r="T26" s="318" t="n">
        <f aca="false">IF($A26="N/A"," ",IF(Pricetype1=2,MAX(K26,0),IF(OR(Pricetype1=1,Pricetype1=4),IF(K26=0,0,(EURO(K26,Strikeprice1,0,0,($AK26+IF(Smile=TRUE(),VLOOKUP(MAX(-5,Strikeprice1-K26),Volsmile,2),0)),($A26-DateToday)+15,IF(Pricetype1=1,1,0),0))),K26)))</f>
        <v>16.1800003051758</v>
      </c>
      <c r="U26" s="319" t="e">
        <f aca="false">IF($A26="N/A"," ",Volume1*$AM26)</f>
        <v>#N/A</v>
      </c>
      <c r="V26" s="320" t="e">
        <f aca="false">IF($A26="N/A"," ",$U26*(8*($BQ26))*L26)</f>
        <v>#N/A</v>
      </c>
      <c r="W26" s="320" t="e">
        <f aca="false">IF($A26="N/A"," ",$U26*(8*($BQ26))*M26)</f>
        <v>#N/A</v>
      </c>
      <c r="X26" s="320" t="e">
        <f aca="false">IF($A26="N/A"," ",$U26*(8*($BQ26))*N26)</f>
        <v>#N/A</v>
      </c>
      <c r="Y26" s="320" t="e">
        <f aca="false">IF($A26="N/A"," ",$U26*(8*($BR26))*O26)</f>
        <v>#N/A</v>
      </c>
      <c r="Z26" s="320" t="e">
        <f aca="false">IF($A26="N/A"," ",$U26*(8*($BR26))*P26)</f>
        <v>#N/A</v>
      </c>
      <c r="AA26" s="320" t="e">
        <f aca="false">IF($A26="N/A"," ",$U26*(8*($BR26))*Q26)</f>
        <v>#N/A</v>
      </c>
      <c r="AB26" s="320" t="e">
        <f aca="false">IF($A26="N/A"," ",$U26*(8*($BS26))*R26)</f>
        <v>#N/A</v>
      </c>
      <c r="AC26" s="320" t="e">
        <f aca="false">IF($A26="N/A"," ",$U26*(8*($BS26))*S26)</f>
        <v>#N/A</v>
      </c>
      <c r="AD26" s="320" t="e">
        <f aca="false">IF($A26="N/A"," ",$U26*(8*($BS26))*T26)</f>
        <v>#N/A</v>
      </c>
      <c r="AE26" s="320" t="e">
        <f aca="false">IF($A26="N/A"," ",SUM(V26:AD26))</f>
        <v>#N/A</v>
      </c>
      <c r="AF26" s="321" t="n">
        <f aca="false">IF(A26="N/A"," ",(VLOOKUP(A26,PowerVolTable,(IF(VolBMO1=2,7,IF(VolBMO1=1,6,8))),FALSE())))</f>
        <v>0.25</v>
      </c>
      <c r="AG26" s="321" t="n">
        <f aca="false">IF(A26="N/A"," ",(VLOOKUP(A26,IntraPowerVol,(IF(VolBMO1=2,3,IF(VolBMO1=1,2,4))),FALSE())*VLOOKUP(MONTH($A26),Volscale,2)))</f>
        <v>0.35</v>
      </c>
      <c r="AH26" s="321" t="n">
        <f aca="false">IF($A26="N/A"," ",IF(VolType1=1,AG26,AF26))</f>
        <v>0.35</v>
      </c>
      <c r="AI26" s="321" t="n">
        <f aca="false">IF($A26="N/A"," ",(VLOOKUP($A26,OffPwrVolTable,(IF(VolBMO1=2,7,IF(VolBMO1=1,6,8))),FALSE())))</f>
        <v>0.125</v>
      </c>
      <c r="AJ26" s="321" t="n">
        <f aca="false">IF($A26="N/A"," ",(VLOOKUP($A26,OffPwrVolTable,(IF(VolBMO1=2,3,IF(VolBMO1=1,2,4))),FALSE())*VLOOKUP(MONTH($A26),Volscale,2)))</f>
        <v>0.21</v>
      </c>
      <c r="AK26" s="321" t="n">
        <f aca="false">IF($A26="N/A"," ",IF(VolType1=1,AJ26,AI26))</f>
        <v>0.21</v>
      </c>
      <c r="AL26" s="321" t="e">
        <f aca="false">IF($A26="N/A"," ",IF(PV=1,0,'Pricing Inputs1'!R59))</f>
        <v>#N/A</v>
      </c>
      <c r="AM26" s="323" t="e">
        <f aca="false">IF($A26="N/A"," ",(1+AL26/2)^(-2*((EOMONTH(A26,0)+20)-DateToday)/365.25))</f>
        <v>#N/A</v>
      </c>
      <c r="BQ26" s="0" t="n">
        <f aca="false">IF($A26="N/A"," ",(VLOOKUP($A26,NumberofDaysTable,2)))</f>
        <v>19</v>
      </c>
      <c r="BR26" s="0" t="n">
        <f aca="false">IF($A26="N/A"," ",(VLOOKUP($A26,NumberofDaysTable,3)))</f>
        <v>5</v>
      </c>
      <c r="BS26" s="0" t="n">
        <f aca="false">IF($A26="N/A"," ",(VLOOKUP($A26,NumberofDaysTable,4)))</f>
        <v>6</v>
      </c>
    </row>
    <row r="27" customFormat="false" ht="12.75" hidden="false" customHeight="false" outlineLevel="0" collapsed="false">
      <c r="A27" s="315" t="n">
        <f aca="false">IF(A26="N/A","N/A",IF(EDATE(A26,1)&gt;Inputs!$M$5,"N/A",EDATE(A26,1)))</f>
        <v>37956</v>
      </c>
      <c r="B27" s="316" t="n">
        <f aca="false">IF(A27="N/A"," ",YEAR(A27))</f>
        <v>2003</v>
      </c>
      <c r="C27" s="317" t="n">
        <f aca="false">IF($A27="N/A"," ",IF(Dayrun1=10,0,IF(Scaler1=1,(VLOOKUP(A27,ScaledPrice1,4)),(VLOOKUP(A27,ScaledPrice1,2)))))</f>
        <v>30.6015609502792</v>
      </c>
      <c r="D27" s="317" t="n">
        <f aca="false">IF(A27="N/A"," ",IF(Dayrun1&gt;=7,0,IF(Scaler1=2,VLOOKUP(A27,ScaledPrice1,2),(VLOOKUP(A27,ScaledPrice1,2))*(2-(VLOOKUP(A27,ScaledPrice1,3))))))</f>
        <v>30.6015609502792</v>
      </c>
      <c r="E27" s="317" t="n">
        <f aca="false">IF($A27="N/A"," ",IF(AND(Dayrun1&gt;=4,Dayrun1&lt;=9),0,VLOOKUP($A27,ScaledPrice1,9)))</f>
        <v>18.4300003051758</v>
      </c>
      <c r="F27" s="317" t="n">
        <f aca="false">IF(A27="N/A"," ",IF(OR(Dayrun1=2,Dayrun1=3,Dayrun1=5,Dayrun1=6,Dayrun1=8,Dayrun1=9),VLOOKUP(A27,ScaledPrice1,IF(Scaler1=1,6,5)),0))</f>
        <v>26.8399982452393</v>
      </c>
      <c r="G27" s="317" t="n">
        <f aca="false">IF(A27="N/A"," ",IF(OR(Dayrun1=2,Dayrun1=3,Dayrun1=5,Dayrun1=6),IF(Scaler1=2,F27,(VLOOKUP(A27,ScaledPrice1,5))*(2-(VLOOKUP(A27,ScaledPrice1,3)))),0))</f>
        <v>26.8399982452393</v>
      </c>
      <c r="H27" s="317" t="n">
        <f aca="false">IF($A27="N/A"," ",IF(OR(Dayrun1=2,Dayrun1=3,Dayrun1=10),VLOOKUP($A27,ScaledPrice1,9),0))</f>
        <v>18.4300003051758</v>
      </c>
      <c r="I27" s="317" t="n">
        <f aca="false">IF(A27="N/A"," ",IF(OR(Dayrun1=3,Dayrun1=6,Dayrun1=9),(VLOOKUP(A27,ScaledPrice1,IF(Scaler1=2,7,8))),0))</f>
        <v>21.3399982452393</v>
      </c>
      <c r="J27" s="317" t="n">
        <f aca="false">IF(A27="N/A"," ",IF(OR(Dayrun1=3,Dayrun1=6),IF(Scaler1=2,I27,(VLOOKUP(A27,ScaledPrice1,7))*(2-(VLOOKUP(A27,ScaledPrice1,3)))),0))</f>
        <v>21.3399982452393</v>
      </c>
      <c r="K27" s="317" t="n">
        <f aca="false">IF($A27="N/A"," ",IF(OR(Dayrun1=3,Dayrun1=10),VLOOKUP($A27,ScaledPrice1,9),0))</f>
        <v>18.4300003051758</v>
      </c>
      <c r="L27" s="318" t="n">
        <f aca="false">IF($A27="N/A"," ",IF(Pricetype1=2,MAX(C27,0),IF(OR(Pricetype1=1,Pricetype1=4),IF(C27=0,0,(EURO(C27,Strikeprice1,0,0,($AH27+IF(Smile=TRUE(),VLOOKUP(MAX(-5,Strikeprice1-C27),Volsmile,2),0)),($A27-DateToday)+15,IF(Pricetype1=1,1,0),0))),C27)))</f>
        <v>30.6015609502792</v>
      </c>
      <c r="M27" s="318" t="n">
        <f aca="false">IF($A27="N/A"," ",IF(Pricetype1=2,MAX(D27,0),IF(OR(Pricetype1=1,Pricetype1=4),IF(D27=0,0,(EURO(D27,Strikeprice1,0,0,($AH27+IF(Smile=TRUE(),VLOOKUP(MAX(-5,Strikeprice1-D27),Volsmile,2),0)),($A27-DateToday)+15,IF(Pricetype1=1,1,0),0))),D27)))</f>
        <v>30.6015609502792</v>
      </c>
      <c r="N27" s="318" t="n">
        <f aca="false">IF($A27="N/A"," ",IF(Pricetype1=2,MAX(E27,0),IF(OR(Pricetype1=1,Pricetype1=4),IF(E27=0,0,(EURO(E27,Strikeprice1,0,0,($AK27+IF(Smile=TRUE(),VLOOKUP(MAX(-5,Strikeprice1-E27),Volsmile,2),0)),($A27-DateToday)+15,IF(Pricetype1=1,1,0),0))),E27)))</f>
        <v>18.4300003051758</v>
      </c>
      <c r="O27" s="318" t="n">
        <f aca="false">IF($A27="N/A"," ",IF(Pricetype1=2,MAX(F27,0),IF(OR(Pricetype1=1,Pricetype1=4),IF(F27=0,0,(EURO(F27,Strikeprice1,0,0,($AK27+IF(Smile=TRUE(),VLOOKUP(MAX(-5,Strikeprice1-F27),Volsmile,2),0)),($A27-DateToday)+15,IF(Pricetype1=1,1,0),0))),F27)))</f>
        <v>26.8399982452393</v>
      </c>
      <c r="P27" s="318" t="n">
        <f aca="false">IF($A27="N/A"," ",IF(Pricetype1=2,MAX(G27,0),IF(OR(Pricetype1=1,Pricetype1=4),IF(G27=0,0,(EURO(G27,Strikeprice1,0,0,($AK27+IF(Smile=TRUE(),VLOOKUP(MAX(-5,Strikeprice1-G27),Volsmile,2),0)),($A27-DateToday)+15,IF(Pricetype1=1,1,0),0))),G27)))</f>
        <v>26.8399982452393</v>
      </c>
      <c r="Q27" s="318" t="n">
        <f aca="false">IF($A27="N/A"," ",IF(Pricetype1=2,MAX(H27,0),IF(OR(Pricetype1=1,Pricetype1=4),IF(H27=0,0,(EURO(H27,Strikeprice1,0,0,($AK27+IF(Smile=TRUE(),VLOOKUP(MAX(-5,Strikeprice1-H27),Volsmile,2),0)),($A27-DateToday)+15,IF(Pricetype1=1,1,0),0))),H27)))</f>
        <v>18.4300003051758</v>
      </c>
      <c r="R27" s="318" t="n">
        <f aca="false">IF($A27="N/A"," ",IF(Pricetype1=2,MAX(I27,0),IF(OR(Pricetype1=1,Pricetype1=4),IF(I27=0,0,(EURO(I27,Strikeprice1,0,0,($AK27+IF(Smile=TRUE(),VLOOKUP(MAX(-5,Strikeprice1-I27),Volsmile,2),0)),($A27-DateToday)+15,IF(Pricetype1=1,1,0),0))),I27)))</f>
        <v>21.3399982452393</v>
      </c>
      <c r="S27" s="318" t="n">
        <f aca="false">IF($A27="N/A"," ",IF(Pricetype1=2,MAX(J27,0),IF(OR(Pricetype1=1,Pricetype1=4),IF(J27=0,0,(EURO(J27,Strikeprice1,0,0,($AK27+IF(Smile=TRUE(),VLOOKUP(MAX(-5,Strikeprice1-J27),Volsmile,2),0)),($A27-DateToday)+15,IF(Pricetype1=1,1,0),0))),J27)))</f>
        <v>21.3399982452393</v>
      </c>
      <c r="T27" s="318" t="n">
        <f aca="false">IF($A27="N/A"," ",IF(Pricetype1=2,MAX(K27,0),IF(OR(Pricetype1=1,Pricetype1=4),IF(K27=0,0,(EURO(K27,Strikeprice1,0,0,($AK27+IF(Smile=TRUE(),VLOOKUP(MAX(-5,Strikeprice1-K27),Volsmile,2),0)),($A27-DateToday)+15,IF(Pricetype1=1,1,0),0))),K27)))</f>
        <v>18.4300003051758</v>
      </c>
      <c r="U27" s="319" t="e">
        <f aca="false">IF($A27="N/A"," ",Volume1*$AM27)</f>
        <v>#N/A</v>
      </c>
      <c r="V27" s="320" t="e">
        <f aca="false">IF($A27="N/A"," ",$U27*(8*($BQ27))*L27)</f>
        <v>#N/A</v>
      </c>
      <c r="W27" s="320" t="e">
        <f aca="false">IF($A27="N/A"," ",$U27*(8*($BQ27))*M27)</f>
        <v>#N/A</v>
      </c>
      <c r="X27" s="320" t="e">
        <f aca="false">IF($A27="N/A"," ",$U27*(8*($BQ27))*N27)</f>
        <v>#N/A</v>
      </c>
      <c r="Y27" s="320" t="e">
        <f aca="false">IF($A27="N/A"," ",$U27*(8*($BR27))*O27)</f>
        <v>#N/A</v>
      </c>
      <c r="Z27" s="320" t="e">
        <f aca="false">IF($A27="N/A"," ",$U27*(8*($BR27))*P27)</f>
        <v>#N/A</v>
      </c>
      <c r="AA27" s="320" t="e">
        <f aca="false">IF($A27="N/A"," ",$U27*(8*($BR27))*Q27)</f>
        <v>#N/A</v>
      </c>
      <c r="AB27" s="320" t="e">
        <f aca="false">IF($A27="N/A"," ",$U27*(8*($BS27))*R27)</f>
        <v>#N/A</v>
      </c>
      <c r="AC27" s="320" t="e">
        <f aca="false">IF($A27="N/A"," ",$U27*(8*($BS27))*S27)</f>
        <v>#N/A</v>
      </c>
      <c r="AD27" s="320" t="e">
        <f aca="false">IF($A27="N/A"," ",$U27*(8*($BS27))*T27)</f>
        <v>#N/A</v>
      </c>
      <c r="AE27" s="320" t="e">
        <f aca="false">IF($A27="N/A"," ",SUM(V27:AD27))</f>
        <v>#N/A</v>
      </c>
      <c r="AF27" s="321" t="n">
        <f aca="false">IF(A27="N/A"," ",(VLOOKUP(A27,PowerVolTable,(IF(VolBMO1=2,7,IF(VolBMO1=1,6,8))),FALSE())))</f>
        <v>0.25</v>
      </c>
      <c r="AG27" s="321" t="n">
        <f aca="false">IF(A27="N/A"," ",(VLOOKUP(A27,IntraPowerVol,(IF(VolBMO1=2,3,IF(VolBMO1=1,2,4))),FALSE())*VLOOKUP(MONTH($A27),Volscale,2)))</f>
        <v>0.35</v>
      </c>
      <c r="AH27" s="321" t="n">
        <f aca="false">IF($A27="N/A"," ",IF(VolType1=1,AG27,AF27))</f>
        <v>0.35</v>
      </c>
      <c r="AI27" s="321" t="n">
        <f aca="false">IF($A27="N/A"," ",(VLOOKUP($A27,OffPwrVolTable,(IF(VolBMO1=2,7,IF(VolBMO1=1,6,8))),FALSE())))</f>
        <v>0.125</v>
      </c>
      <c r="AJ27" s="321" t="n">
        <f aca="false">IF($A27="N/A"," ",(VLOOKUP($A27,OffPwrVolTable,(IF(VolBMO1=2,3,IF(VolBMO1=1,2,4))),FALSE())*VLOOKUP(MONTH($A27),Volscale,2)))</f>
        <v>0.21</v>
      </c>
      <c r="AK27" s="321" t="n">
        <f aca="false">IF($A27="N/A"," ",IF(VolType1=1,AJ27,AI27))</f>
        <v>0.21</v>
      </c>
      <c r="AL27" s="321" t="e">
        <f aca="false">IF($A27="N/A"," ",IF(PV=1,0,'Pricing Inputs1'!R60))</f>
        <v>#N/A</v>
      </c>
      <c r="AM27" s="323" t="e">
        <f aca="false">IF($A27="N/A"," ",(1+AL27/2)^(-2*((EOMONTH(A27,0)+20)-DateToday)/365.25))</f>
        <v>#N/A</v>
      </c>
      <c r="BQ27" s="0" t="n">
        <f aca="false">IF($A27="N/A"," ",(VLOOKUP($A27,NumberofDaysTable,2)))</f>
        <v>22</v>
      </c>
      <c r="BR27" s="0" t="n">
        <f aca="false">IF($A27="N/A"," ",(VLOOKUP($A27,NumberofDaysTable,3)))</f>
        <v>4</v>
      </c>
      <c r="BS27" s="0" t="n">
        <f aca="false">IF($A27="N/A"," ",(VLOOKUP($A27,NumberofDaysTable,4)))</f>
        <v>5</v>
      </c>
    </row>
    <row r="28" customFormat="false" ht="12.75" hidden="false" customHeight="false" outlineLevel="0" collapsed="false">
      <c r="A28" s="315" t="n">
        <f aca="false">IF(A27="N/A","N/A",IF(EDATE(A27,1)&gt;Inputs!$M$5,"N/A",EDATE(A27,1)))</f>
        <v>37987</v>
      </c>
      <c r="B28" s="316" t="n">
        <f aca="false">IF(A28="N/A"," ",YEAR(A28))</f>
        <v>2004</v>
      </c>
      <c r="C28" s="317" t="n">
        <f aca="false">IF($A28="N/A"," ",IF(Dayrun1=10,0,IF(Scaler1=1,(VLOOKUP(A28,ScaledPrice1,4)),(VLOOKUP(A28,ScaledPrice1,2)))))</f>
        <v>34.3357146126883</v>
      </c>
      <c r="D28" s="317" t="n">
        <f aca="false">IF(A28="N/A"," ",IF(Dayrun1&gt;=7,0,IF(Scaler1=2,VLOOKUP(A28,ScaledPrice1,2),(VLOOKUP(A28,ScaledPrice1,2))*(2-(VLOOKUP(A28,ScaledPrice1,3))))))</f>
        <v>34.3357146126883</v>
      </c>
      <c r="E28" s="317" t="n">
        <f aca="false">IF($A28="N/A"," ",IF(AND(Dayrun1&gt;=4,Dayrun1&lt;=9),0,VLOOKUP($A28,ScaledPrice1,9)))</f>
        <v>20.75</v>
      </c>
      <c r="F28" s="317" t="n">
        <f aca="false">IF(A28="N/A"," ",IF(OR(Dayrun1=2,Dayrun1=3,Dayrun1=5,Dayrun1=6,Dayrun1=8,Dayrun1=9),VLOOKUP(A28,ScaledPrice1,IF(Scaler1=1,6,5)),0))</f>
        <v>35.5</v>
      </c>
      <c r="G28" s="317" t="n">
        <f aca="false">IF(A28="N/A"," ",IF(OR(Dayrun1=2,Dayrun1=3,Dayrun1=5,Dayrun1=6),IF(Scaler1=2,F28,(VLOOKUP(A28,ScaledPrice1,5))*(2-(VLOOKUP(A28,ScaledPrice1,3)))),0))</f>
        <v>35.5</v>
      </c>
      <c r="H28" s="317" t="n">
        <f aca="false">IF($A28="N/A"," ",IF(OR(Dayrun1=2,Dayrun1=3,Dayrun1=10),VLOOKUP($A28,ScaledPrice1,9),0))</f>
        <v>20.75</v>
      </c>
      <c r="I28" s="317" t="n">
        <f aca="false">IF(A28="N/A"," ",IF(OR(Dayrun1=3,Dayrun1=6,Dayrun1=9),(VLOOKUP(A28,ScaledPrice1,IF(Scaler1=2,7,8))),0))</f>
        <v>25</v>
      </c>
      <c r="J28" s="317" t="n">
        <f aca="false">IF(A28="N/A"," ",IF(OR(Dayrun1=3,Dayrun1=6),IF(Scaler1=2,I28,(VLOOKUP(A28,ScaledPrice1,7))*(2-(VLOOKUP(A28,ScaledPrice1,3)))),0))</f>
        <v>25</v>
      </c>
      <c r="K28" s="317" t="n">
        <f aca="false">IF($A28="N/A"," ",IF(OR(Dayrun1=3,Dayrun1=10),VLOOKUP($A28,ScaledPrice1,9),0))</f>
        <v>20.75</v>
      </c>
      <c r="L28" s="318" t="n">
        <f aca="false">IF($A28="N/A"," ",IF(Pricetype1=2,MAX(C28,0),IF(OR(Pricetype1=1,Pricetype1=4),IF(C28=0,0,(EURO(C28,Strikeprice1,0,0,($AH28+IF(Smile=TRUE(),VLOOKUP(MAX(-5,Strikeprice1-C28),Volsmile,2),0)),($A28-DateToday)+15,IF(Pricetype1=1,1,0),0))),C28)))</f>
        <v>34.3357146126883</v>
      </c>
      <c r="M28" s="318" t="n">
        <f aca="false">IF($A28="N/A"," ",IF(Pricetype1=2,MAX(D28,0),IF(OR(Pricetype1=1,Pricetype1=4),IF(D28=0,0,(EURO(D28,Strikeprice1,0,0,($AH28+IF(Smile=TRUE(),VLOOKUP(MAX(-5,Strikeprice1-D28),Volsmile,2),0)),($A28-DateToday)+15,IF(Pricetype1=1,1,0),0))),D28)))</f>
        <v>34.3357146126883</v>
      </c>
      <c r="N28" s="318" t="n">
        <f aca="false">IF($A28="N/A"," ",IF(Pricetype1=2,MAX(E28,0),IF(OR(Pricetype1=1,Pricetype1=4),IF(E28=0,0,(EURO(E28,Strikeprice1,0,0,($AK28+IF(Smile=TRUE(),VLOOKUP(MAX(-5,Strikeprice1-E28),Volsmile,2),0)),($A28-DateToday)+15,IF(Pricetype1=1,1,0),0))),E28)))</f>
        <v>20.75</v>
      </c>
      <c r="O28" s="318" t="n">
        <f aca="false">IF($A28="N/A"," ",IF(Pricetype1=2,MAX(F28,0),IF(OR(Pricetype1=1,Pricetype1=4),IF(F28=0,0,(EURO(F28,Strikeprice1,0,0,($AK28+IF(Smile=TRUE(),VLOOKUP(MAX(-5,Strikeprice1-F28),Volsmile,2),0)),($A28-DateToday)+15,IF(Pricetype1=1,1,0),0))),F28)))</f>
        <v>35.5</v>
      </c>
      <c r="P28" s="318" t="n">
        <f aca="false">IF($A28="N/A"," ",IF(Pricetype1=2,MAX(G28,0),IF(OR(Pricetype1=1,Pricetype1=4),IF(G28=0,0,(EURO(G28,Strikeprice1,0,0,($AK28+IF(Smile=TRUE(),VLOOKUP(MAX(-5,Strikeprice1-G28),Volsmile,2),0)),($A28-DateToday)+15,IF(Pricetype1=1,1,0),0))),G28)))</f>
        <v>35.5</v>
      </c>
      <c r="Q28" s="318" t="n">
        <f aca="false">IF($A28="N/A"," ",IF(Pricetype1=2,MAX(H28,0),IF(OR(Pricetype1=1,Pricetype1=4),IF(H28=0,0,(EURO(H28,Strikeprice1,0,0,($AK28+IF(Smile=TRUE(),VLOOKUP(MAX(-5,Strikeprice1-H28),Volsmile,2),0)),($A28-DateToday)+15,IF(Pricetype1=1,1,0),0))),H28)))</f>
        <v>20.75</v>
      </c>
      <c r="R28" s="318" t="n">
        <f aca="false">IF($A28="N/A"," ",IF(Pricetype1=2,MAX(I28,0),IF(OR(Pricetype1=1,Pricetype1=4),IF(I28=0,0,(EURO(I28,Strikeprice1,0,0,($AK28+IF(Smile=TRUE(),VLOOKUP(MAX(-5,Strikeprice1-I28),Volsmile,2),0)),($A28-DateToday)+15,IF(Pricetype1=1,1,0),0))),I28)))</f>
        <v>25</v>
      </c>
      <c r="S28" s="318" t="n">
        <f aca="false">IF($A28="N/A"," ",IF(Pricetype1=2,MAX(J28,0),IF(OR(Pricetype1=1,Pricetype1=4),IF(J28=0,0,(EURO(J28,Strikeprice1,0,0,($AK28+IF(Smile=TRUE(),VLOOKUP(MAX(-5,Strikeprice1-J28),Volsmile,2),0)),($A28-DateToday)+15,IF(Pricetype1=1,1,0),0))),J28)))</f>
        <v>25</v>
      </c>
      <c r="T28" s="318" t="n">
        <f aca="false">IF($A28="N/A"," ",IF(Pricetype1=2,MAX(K28,0),IF(OR(Pricetype1=1,Pricetype1=4),IF(K28=0,0,(EURO(K28,Strikeprice1,0,0,($AK28+IF(Smile=TRUE(),VLOOKUP(MAX(-5,Strikeprice1-K28),Volsmile,2),0)),($A28-DateToday)+15,IF(Pricetype1=1,1,0),0))),K28)))</f>
        <v>20.75</v>
      </c>
      <c r="U28" s="319" t="e">
        <f aca="false">IF($A28="N/A"," ",Volume1*$AM28)</f>
        <v>#N/A</v>
      </c>
      <c r="V28" s="320" t="e">
        <f aca="false">IF($A28="N/A"," ",$U28*(8*($BQ28))*L28)</f>
        <v>#N/A</v>
      </c>
      <c r="W28" s="320" t="e">
        <f aca="false">IF($A28="N/A"," ",$U28*(8*($BQ28))*M28)</f>
        <v>#N/A</v>
      </c>
      <c r="X28" s="320" t="e">
        <f aca="false">IF($A28="N/A"," ",$U28*(8*($BQ28))*N28)</f>
        <v>#N/A</v>
      </c>
      <c r="Y28" s="320" t="e">
        <f aca="false">IF($A28="N/A"," ",$U28*(8*($BR28))*O28)</f>
        <v>#N/A</v>
      </c>
      <c r="Z28" s="320" t="e">
        <f aca="false">IF($A28="N/A"," ",$U28*(8*($BR28))*P28)</f>
        <v>#N/A</v>
      </c>
      <c r="AA28" s="320" t="e">
        <f aca="false">IF($A28="N/A"," ",$U28*(8*($BR28))*Q28)</f>
        <v>#N/A</v>
      </c>
      <c r="AB28" s="320" t="e">
        <f aca="false">IF($A28="N/A"," ",$U28*(8*($BS28))*R28)</f>
        <v>#N/A</v>
      </c>
      <c r="AC28" s="320" t="e">
        <f aca="false">IF($A28="N/A"," ",$U28*(8*($BS28))*S28)</f>
        <v>#N/A</v>
      </c>
      <c r="AD28" s="320" t="e">
        <f aca="false">IF($A28="N/A"," ",$U28*(8*($BS28))*T28)</f>
        <v>#N/A</v>
      </c>
      <c r="AE28" s="320" t="e">
        <f aca="false">IF($A28="N/A"," ",SUM(V28:AD28))</f>
        <v>#N/A</v>
      </c>
      <c r="AF28" s="321" t="n">
        <f aca="false">IF(A28="N/A"," ",(VLOOKUP(A28,PowerVolTable,(IF(VolBMO1=2,7,IF(VolBMO1=1,6,8))),FALSE())))</f>
        <v>0.2</v>
      </c>
      <c r="AG28" s="321" t="n">
        <f aca="false">IF(A28="N/A"," ",(VLOOKUP(A28,IntraPowerVol,(IF(VolBMO1=2,3,IF(VolBMO1=1,2,4))),FALSE())*VLOOKUP(MONTH($A28),Volscale,2)))</f>
        <v>0.35</v>
      </c>
      <c r="AH28" s="321" t="n">
        <f aca="false">IF($A28="N/A"," ",IF(VolType1=1,AG28,AF28))</f>
        <v>0.35</v>
      </c>
      <c r="AI28" s="321" t="n">
        <f aca="false">IF($A28="N/A"," ",(VLOOKUP($A28,OffPwrVolTable,(IF(VolBMO1=2,7,IF(VolBMO1=1,6,8))),FALSE())))</f>
        <v>0.1</v>
      </c>
      <c r="AJ28" s="321" t="n">
        <f aca="false">IF($A28="N/A"," ",(VLOOKUP($A28,OffPwrVolTable,(IF(VolBMO1=2,3,IF(VolBMO1=1,2,4))),FALSE())*VLOOKUP(MONTH($A28),Volscale,2)))</f>
        <v>0.21</v>
      </c>
      <c r="AK28" s="321" t="n">
        <f aca="false">IF($A28="N/A"," ",IF(VolType1=1,AJ28,AI28))</f>
        <v>0.21</v>
      </c>
      <c r="AL28" s="321" t="e">
        <f aca="false">IF($A28="N/A"," ",IF(PV=1,0,'Pricing Inputs1'!R61))</f>
        <v>#N/A</v>
      </c>
      <c r="AM28" s="323" t="e">
        <f aca="false">IF($A28="N/A"," ",(1+AL28/2)^(-2*((EOMONTH(A28,0)+20)-DateToday)/365.25))</f>
        <v>#N/A</v>
      </c>
      <c r="BQ28" s="0" t="n">
        <f aca="false">IF($A28="N/A"," ",(VLOOKUP($A28,NumberofDaysTable,2)))</f>
        <v>21</v>
      </c>
      <c r="BR28" s="0" t="n">
        <f aca="false">IF($A28="N/A"," ",(VLOOKUP($A28,NumberofDaysTable,3)))</f>
        <v>5</v>
      </c>
      <c r="BS28" s="0" t="n">
        <f aca="false">IF($A28="N/A"," ",(VLOOKUP($A28,NumberofDaysTable,4)))</f>
        <v>5</v>
      </c>
    </row>
    <row r="29" customFormat="false" ht="12.75" hidden="false" customHeight="false" outlineLevel="0" collapsed="false">
      <c r="A29" s="315" t="n">
        <f aca="false">IF(A28="N/A","N/A",IF(EDATE(A28,1)&gt;Inputs!$M$5,"N/A",EDATE(A28,1)))</f>
        <v>38018</v>
      </c>
      <c r="B29" s="316" t="n">
        <f aca="false">IF(A29="N/A"," ",YEAR(A29))</f>
        <v>2004</v>
      </c>
      <c r="C29" s="317" t="n">
        <f aca="false">IF($A29="N/A"," ",IF(Dayrun1=10,0,IF(Scaler1=1,(VLOOKUP(A29,ScaledPrice1,4)),(VLOOKUP(A29,ScaledPrice1,2)))))</f>
        <v>33.7357085091727</v>
      </c>
      <c r="D29" s="317" t="n">
        <f aca="false">IF(A29="N/A"," ",IF(Dayrun1&gt;=7,0,IF(Scaler1=2,VLOOKUP(A29,ScaledPrice1,2),(VLOOKUP(A29,ScaledPrice1,2))*(2-(VLOOKUP(A29,ScaledPrice1,3))))))</f>
        <v>33.7357085091727</v>
      </c>
      <c r="E29" s="317" t="n">
        <f aca="false">IF($A29="N/A"," ",IF(AND(Dayrun1&gt;=4,Dayrun1&lt;=9),0,VLOOKUP($A29,ScaledPrice1,9)))</f>
        <v>20</v>
      </c>
      <c r="F29" s="317" t="n">
        <f aca="false">IF(A29="N/A"," ",IF(OR(Dayrun1=2,Dayrun1=3,Dayrun1=5,Dayrun1=6,Dayrun1=8,Dayrun1=9),VLOOKUP(A29,ScaledPrice1,IF(Scaler1=1,6,5)),0))</f>
        <v>31.2460021972656</v>
      </c>
      <c r="G29" s="317" t="n">
        <f aca="false">IF(A29="N/A"," ",IF(OR(Dayrun1=2,Dayrun1=3,Dayrun1=5,Dayrun1=6),IF(Scaler1=2,F29,(VLOOKUP(A29,ScaledPrice1,5))*(2-(VLOOKUP(A29,ScaledPrice1,3)))),0))</f>
        <v>31.2460021972656</v>
      </c>
      <c r="H29" s="317" t="n">
        <f aca="false">IF($A29="N/A"," ",IF(OR(Dayrun1=2,Dayrun1=3,Dayrun1=10),VLOOKUP($A29,ScaledPrice1,9),0))</f>
        <v>20</v>
      </c>
      <c r="I29" s="317" t="n">
        <f aca="false">IF(A29="N/A"," ",IF(OR(Dayrun1=3,Dayrun1=6,Dayrun1=9),(VLOOKUP(A29,ScaledPrice1,IF(Scaler1=2,7,8))),0))</f>
        <v>22.7465019226074</v>
      </c>
      <c r="J29" s="317" t="n">
        <f aca="false">IF(A29="N/A"," ",IF(OR(Dayrun1=3,Dayrun1=6),IF(Scaler1=2,I29,(VLOOKUP(A29,ScaledPrice1,7))*(2-(VLOOKUP(A29,ScaledPrice1,3)))),0))</f>
        <v>22.7465019226074</v>
      </c>
      <c r="K29" s="317" t="n">
        <f aca="false">IF($A29="N/A"," ",IF(OR(Dayrun1=3,Dayrun1=10),VLOOKUP($A29,ScaledPrice1,9),0))</f>
        <v>20</v>
      </c>
      <c r="L29" s="318" t="n">
        <f aca="false">IF($A29="N/A"," ",IF(Pricetype1=2,MAX(C29,0),IF(OR(Pricetype1=1,Pricetype1=4),IF(C29=0,0,(EURO(C29,Strikeprice1,0,0,($AH29+IF(Smile=TRUE(),VLOOKUP(MAX(-5,Strikeprice1-C29),Volsmile,2),0)),($A29-DateToday)+15,IF(Pricetype1=1,1,0),0))),C29)))</f>
        <v>33.7357085091727</v>
      </c>
      <c r="M29" s="318" t="n">
        <f aca="false">IF($A29="N/A"," ",IF(Pricetype1=2,MAX(D29,0),IF(OR(Pricetype1=1,Pricetype1=4),IF(D29=0,0,(EURO(D29,Strikeprice1,0,0,($AH29+IF(Smile=TRUE(),VLOOKUP(MAX(-5,Strikeprice1-D29),Volsmile,2),0)),($A29-DateToday)+15,IF(Pricetype1=1,1,0),0))),D29)))</f>
        <v>33.7357085091727</v>
      </c>
      <c r="N29" s="318" t="n">
        <f aca="false">IF($A29="N/A"," ",IF(Pricetype1=2,MAX(E29,0),IF(OR(Pricetype1=1,Pricetype1=4),IF(E29=0,0,(EURO(E29,Strikeprice1,0,0,($AK29+IF(Smile=TRUE(),VLOOKUP(MAX(-5,Strikeprice1-E29),Volsmile,2),0)),($A29-DateToday)+15,IF(Pricetype1=1,1,0),0))),E29)))</f>
        <v>20</v>
      </c>
      <c r="O29" s="318" t="n">
        <f aca="false">IF($A29="N/A"," ",IF(Pricetype1=2,MAX(F29,0),IF(OR(Pricetype1=1,Pricetype1=4),IF(F29=0,0,(EURO(F29,Strikeprice1,0,0,($AK29+IF(Smile=TRUE(),VLOOKUP(MAX(-5,Strikeprice1-F29),Volsmile,2),0)),($A29-DateToday)+15,IF(Pricetype1=1,1,0),0))),F29)))</f>
        <v>31.2460021972656</v>
      </c>
      <c r="P29" s="318" t="n">
        <f aca="false">IF($A29="N/A"," ",IF(Pricetype1=2,MAX(G29,0),IF(OR(Pricetype1=1,Pricetype1=4),IF(G29=0,0,(EURO(G29,Strikeprice1,0,0,($AK29+IF(Smile=TRUE(),VLOOKUP(MAX(-5,Strikeprice1-G29),Volsmile,2),0)),($A29-DateToday)+15,IF(Pricetype1=1,1,0),0))),G29)))</f>
        <v>31.2460021972656</v>
      </c>
      <c r="Q29" s="318" t="n">
        <f aca="false">IF($A29="N/A"," ",IF(Pricetype1=2,MAX(H29,0),IF(OR(Pricetype1=1,Pricetype1=4),IF(H29=0,0,(EURO(H29,Strikeprice1,0,0,($AK29+IF(Smile=TRUE(),VLOOKUP(MAX(-5,Strikeprice1-H29),Volsmile,2),0)),($A29-DateToday)+15,IF(Pricetype1=1,1,0),0))),H29)))</f>
        <v>20</v>
      </c>
      <c r="R29" s="318" t="n">
        <f aca="false">IF($A29="N/A"," ",IF(Pricetype1=2,MAX(I29,0),IF(OR(Pricetype1=1,Pricetype1=4),IF(I29=0,0,(EURO(I29,Strikeprice1,0,0,($AK29+IF(Smile=TRUE(),VLOOKUP(MAX(-5,Strikeprice1-I29),Volsmile,2),0)),($A29-DateToday)+15,IF(Pricetype1=1,1,0),0))),I29)))</f>
        <v>22.7465019226074</v>
      </c>
      <c r="S29" s="318" t="n">
        <f aca="false">IF($A29="N/A"," ",IF(Pricetype1=2,MAX(J29,0),IF(OR(Pricetype1=1,Pricetype1=4),IF(J29=0,0,(EURO(J29,Strikeprice1,0,0,($AK29+IF(Smile=TRUE(),VLOOKUP(MAX(-5,Strikeprice1-J29),Volsmile,2),0)),($A29-DateToday)+15,IF(Pricetype1=1,1,0),0))),J29)))</f>
        <v>22.7465019226074</v>
      </c>
      <c r="T29" s="318" t="n">
        <f aca="false">IF($A29="N/A"," ",IF(Pricetype1=2,MAX(K29,0),IF(OR(Pricetype1=1,Pricetype1=4),IF(K29=0,0,(EURO(K29,Strikeprice1,0,0,($AK29+IF(Smile=TRUE(),VLOOKUP(MAX(-5,Strikeprice1-K29),Volsmile,2),0)),($A29-DateToday)+15,IF(Pricetype1=1,1,0),0))),K29)))</f>
        <v>20</v>
      </c>
      <c r="U29" s="319" t="e">
        <f aca="false">IF($A29="N/A"," ",Volume1*$AM29)</f>
        <v>#N/A</v>
      </c>
      <c r="V29" s="320" t="e">
        <f aca="false">IF($A29="N/A"," ",$U29*(8*($BQ29))*L29)</f>
        <v>#N/A</v>
      </c>
      <c r="W29" s="320" t="e">
        <f aca="false">IF($A29="N/A"," ",$U29*(8*($BQ29))*M29)</f>
        <v>#N/A</v>
      </c>
      <c r="X29" s="320" t="e">
        <f aca="false">IF($A29="N/A"," ",$U29*(8*($BQ29))*N29)</f>
        <v>#N/A</v>
      </c>
      <c r="Y29" s="320" t="e">
        <f aca="false">IF($A29="N/A"," ",$U29*(8*($BR29))*O29)</f>
        <v>#N/A</v>
      </c>
      <c r="Z29" s="320" t="e">
        <f aca="false">IF($A29="N/A"," ",$U29*(8*($BR29))*P29)</f>
        <v>#N/A</v>
      </c>
      <c r="AA29" s="320" t="e">
        <f aca="false">IF($A29="N/A"," ",$U29*(8*($BR29))*Q29)</f>
        <v>#N/A</v>
      </c>
      <c r="AB29" s="320" t="e">
        <f aca="false">IF($A29="N/A"," ",$U29*(8*($BS29))*R29)</f>
        <v>#N/A</v>
      </c>
      <c r="AC29" s="320" t="e">
        <f aca="false">IF($A29="N/A"," ",$U29*(8*($BS29))*S29)</f>
        <v>#N/A</v>
      </c>
      <c r="AD29" s="320" t="e">
        <f aca="false">IF($A29="N/A"," ",$U29*(8*($BS29))*T29)</f>
        <v>#N/A</v>
      </c>
      <c r="AE29" s="320" t="e">
        <f aca="false">IF($A29="N/A"," ",SUM(V29:AD29))</f>
        <v>#N/A</v>
      </c>
      <c r="AF29" s="321" t="n">
        <f aca="false">IF(A29="N/A"," ",(VLOOKUP(A29,PowerVolTable,(IF(VolBMO1=2,7,IF(VolBMO1=1,6,8))),FALSE())))</f>
        <v>0.2</v>
      </c>
      <c r="AG29" s="321" t="n">
        <f aca="false">IF(A29="N/A"," ",(VLOOKUP(A29,IntraPowerVol,(IF(VolBMO1=2,3,IF(VolBMO1=1,2,4))),FALSE())*VLOOKUP(MONTH($A29),Volscale,2)))</f>
        <v>0.35</v>
      </c>
      <c r="AH29" s="321" t="n">
        <f aca="false">IF($A29="N/A"," ",IF(VolType1=1,AG29,AF29))</f>
        <v>0.35</v>
      </c>
      <c r="AI29" s="321" t="n">
        <f aca="false">IF($A29="N/A"," ",(VLOOKUP($A29,OffPwrVolTable,(IF(VolBMO1=2,7,IF(VolBMO1=1,6,8))),FALSE())))</f>
        <v>0.1</v>
      </c>
      <c r="AJ29" s="321" t="n">
        <f aca="false">IF($A29="N/A"," ",(VLOOKUP($A29,OffPwrVolTable,(IF(VolBMO1=2,3,IF(VolBMO1=1,2,4))),FALSE())*VLOOKUP(MONTH($A29),Volscale,2)))</f>
        <v>0.21</v>
      </c>
      <c r="AK29" s="321" t="n">
        <f aca="false">IF($A29="N/A"," ",IF(VolType1=1,AJ29,AI29))</f>
        <v>0.21</v>
      </c>
      <c r="AL29" s="321" t="e">
        <f aca="false">IF($A29="N/A"," ",IF(PV=1,0,'Pricing Inputs1'!R62))</f>
        <v>#N/A</v>
      </c>
      <c r="AM29" s="323" t="e">
        <f aca="false">IF($A29="N/A"," ",(1+AL29/2)^(-2*((EOMONTH(A29,0)+20)-DateToday)/365.25))</f>
        <v>#N/A</v>
      </c>
      <c r="BQ29" s="0" t="n">
        <f aca="false">IF($A29="N/A"," ",(VLOOKUP($A29,NumberofDaysTable,2)))</f>
        <v>20</v>
      </c>
      <c r="BR29" s="0" t="n">
        <f aca="false">IF($A29="N/A"," ",(VLOOKUP($A29,NumberofDaysTable,3)))</f>
        <v>4</v>
      </c>
      <c r="BS29" s="0" t="n">
        <f aca="false">IF($A29="N/A"," ",(VLOOKUP($A29,NumberofDaysTable,4)))</f>
        <v>5</v>
      </c>
    </row>
    <row r="30" customFormat="false" ht="12.75" hidden="false" customHeight="false" outlineLevel="0" collapsed="false">
      <c r="A30" s="315" t="n">
        <f aca="false">IF(A29="N/A","N/A",IF(EDATE(A29,1)&gt;Inputs!$M$5,"N/A",EDATE(A29,1)))</f>
        <v>38047</v>
      </c>
      <c r="B30" s="316" t="n">
        <f aca="false">IF(A30="N/A"," ",YEAR(A30))</f>
        <v>2004</v>
      </c>
      <c r="C30" s="317" t="n">
        <f aca="false">IF($A30="N/A"," ",IF(Dayrun1=10,0,IF(Scaler1=1,(VLOOKUP(A30,ScaledPrice1,4)),(VLOOKUP(A30,ScaledPrice1,2)))))</f>
        <v>32.4476771687352</v>
      </c>
      <c r="D30" s="317" t="n">
        <f aca="false">IF(A30="N/A"," ",IF(Dayrun1&gt;=7,0,IF(Scaler1=2,VLOOKUP(A30,ScaledPrice1,2),(VLOOKUP(A30,ScaledPrice1,2))*(2-(VLOOKUP(A30,ScaledPrice1,3))))))</f>
        <v>32.4476771687352</v>
      </c>
      <c r="E30" s="317" t="n">
        <f aca="false">IF($A30="N/A"," ",IF(AND(Dayrun1&gt;=4,Dayrun1&lt;=9),0,VLOOKUP($A30,ScaledPrice1,9)))</f>
        <v>21</v>
      </c>
      <c r="F30" s="317" t="n">
        <f aca="false">IF(A30="N/A"," ",IF(OR(Dayrun1=2,Dayrun1=3,Dayrun1=5,Dayrun1=6,Dayrun1=8,Dayrun1=9),VLOOKUP(A30,ScaledPrice1,IF(Scaler1=1,6,5)),0))</f>
        <v>25.5</v>
      </c>
      <c r="G30" s="317" t="n">
        <f aca="false">IF(A30="N/A"," ",IF(OR(Dayrun1=2,Dayrun1=3,Dayrun1=5,Dayrun1=6),IF(Scaler1=2,F30,(VLOOKUP(A30,ScaledPrice1,5))*(2-(VLOOKUP(A30,ScaledPrice1,3)))),0))</f>
        <v>25.5</v>
      </c>
      <c r="H30" s="317" t="n">
        <f aca="false">IF($A30="N/A"," ",IF(OR(Dayrun1=2,Dayrun1=3,Dayrun1=10),VLOOKUP($A30,ScaledPrice1,9),0))</f>
        <v>21</v>
      </c>
      <c r="I30" s="317" t="n">
        <f aca="false">IF(A30="N/A"," ",IF(OR(Dayrun1=3,Dayrun1=6,Dayrun1=9),(VLOOKUP(A30,ScaledPrice1,IF(Scaler1=2,7,8))),0))</f>
        <v>20</v>
      </c>
      <c r="J30" s="317" t="n">
        <f aca="false">IF(A30="N/A"," ",IF(OR(Dayrun1=3,Dayrun1=6),IF(Scaler1=2,I30,(VLOOKUP(A30,ScaledPrice1,7))*(2-(VLOOKUP(A30,ScaledPrice1,3)))),0))</f>
        <v>20</v>
      </c>
      <c r="K30" s="317" t="n">
        <f aca="false">IF($A30="N/A"," ",IF(OR(Dayrun1=3,Dayrun1=10),VLOOKUP($A30,ScaledPrice1,9),0))</f>
        <v>21</v>
      </c>
      <c r="L30" s="318" t="n">
        <f aca="false">IF($A30="N/A"," ",IF(Pricetype1=2,MAX(C30,0),IF(OR(Pricetype1=1,Pricetype1=4),IF(C30=0,0,(EURO(C30,Strikeprice1,0,0,($AH30+IF(Smile=TRUE(),VLOOKUP(MAX(-5,Strikeprice1-C30),Volsmile,2),0)),($A30-DateToday)+15,IF(Pricetype1=1,1,0),0))),C30)))</f>
        <v>32.4476771687352</v>
      </c>
      <c r="M30" s="318" t="n">
        <f aca="false">IF($A30="N/A"," ",IF(Pricetype1=2,MAX(D30,0),IF(OR(Pricetype1=1,Pricetype1=4),IF(D30=0,0,(EURO(D30,Strikeprice1,0,0,($AH30+IF(Smile=TRUE(),VLOOKUP(MAX(-5,Strikeprice1-D30),Volsmile,2),0)),($A30-DateToday)+15,IF(Pricetype1=1,1,0),0))),D30)))</f>
        <v>32.4476771687352</v>
      </c>
      <c r="N30" s="318" t="n">
        <f aca="false">IF($A30="N/A"," ",IF(Pricetype1=2,MAX(E30,0),IF(OR(Pricetype1=1,Pricetype1=4),IF(E30=0,0,(EURO(E30,Strikeprice1,0,0,($AK30+IF(Smile=TRUE(),VLOOKUP(MAX(-5,Strikeprice1-E30),Volsmile,2),0)),($A30-DateToday)+15,IF(Pricetype1=1,1,0),0))),E30)))</f>
        <v>21</v>
      </c>
      <c r="O30" s="318" t="n">
        <f aca="false">IF($A30="N/A"," ",IF(Pricetype1=2,MAX(F30,0),IF(OR(Pricetype1=1,Pricetype1=4),IF(F30=0,0,(EURO(F30,Strikeprice1,0,0,($AK30+IF(Smile=TRUE(),VLOOKUP(MAX(-5,Strikeprice1-F30),Volsmile,2),0)),($A30-DateToday)+15,IF(Pricetype1=1,1,0),0))),F30)))</f>
        <v>25.5</v>
      </c>
      <c r="P30" s="318" t="n">
        <f aca="false">IF($A30="N/A"," ",IF(Pricetype1=2,MAX(G30,0),IF(OR(Pricetype1=1,Pricetype1=4),IF(G30=0,0,(EURO(G30,Strikeprice1,0,0,($AK30+IF(Smile=TRUE(),VLOOKUP(MAX(-5,Strikeprice1-G30),Volsmile,2),0)),($A30-DateToday)+15,IF(Pricetype1=1,1,0),0))),G30)))</f>
        <v>25.5</v>
      </c>
      <c r="Q30" s="318" t="n">
        <f aca="false">IF($A30="N/A"," ",IF(Pricetype1=2,MAX(H30,0),IF(OR(Pricetype1=1,Pricetype1=4),IF(H30=0,0,(EURO(H30,Strikeprice1,0,0,($AK30+IF(Smile=TRUE(),VLOOKUP(MAX(-5,Strikeprice1-H30),Volsmile,2),0)),($A30-DateToday)+15,IF(Pricetype1=1,1,0),0))),H30)))</f>
        <v>21</v>
      </c>
      <c r="R30" s="318" t="n">
        <f aca="false">IF($A30="N/A"," ",IF(Pricetype1=2,MAX(I30,0),IF(OR(Pricetype1=1,Pricetype1=4),IF(I30=0,0,(EURO(I30,Strikeprice1,0,0,($AK30+IF(Smile=TRUE(),VLOOKUP(MAX(-5,Strikeprice1-I30),Volsmile,2),0)),($A30-DateToday)+15,IF(Pricetype1=1,1,0),0))),I30)))</f>
        <v>20</v>
      </c>
      <c r="S30" s="318" t="n">
        <f aca="false">IF($A30="N/A"," ",IF(Pricetype1=2,MAX(J30,0),IF(OR(Pricetype1=1,Pricetype1=4),IF(J30=0,0,(EURO(J30,Strikeprice1,0,0,($AK30+IF(Smile=TRUE(),VLOOKUP(MAX(-5,Strikeprice1-J30),Volsmile,2),0)),($A30-DateToday)+15,IF(Pricetype1=1,1,0),0))),J30)))</f>
        <v>20</v>
      </c>
      <c r="T30" s="318" t="n">
        <f aca="false">IF($A30="N/A"," ",IF(Pricetype1=2,MAX(K30,0),IF(OR(Pricetype1=1,Pricetype1=4),IF(K30=0,0,(EURO(K30,Strikeprice1,0,0,($AK30+IF(Smile=TRUE(),VLOOKUP(MAX(-5,Strikeprice1-K30),Volsmile,2),0)),($A30-DateToday)+15,IF(Pricetype1=1,1,0),0))),K30)))</f>
        <v>21</v>
      </c>
      <c r="U30" s="319" t="e">
        <f aca="false">IF($A30="N/A"," ",Volume1*$AM30)</f>
        <v>#N/A</v>
      </c>
      <c r="V30" s="320" t="e">
        <f aca="false">IF($A30="N/A"," ",$U30*(8*($BQ30))*L30)</f>
        <v>#N/A</v>
      </c>
      <c r="W30" s="320" t="e">
        <f aca="false">IF($A30="N/A"," ",$U30*(8*($BQ30))*M30)</f>
        <v>#N/A</v>
      </c>
      <c r="X30" s="320" t="e">
        <f aca="false">IF($A30="N/A"," ",$U30*(8*($BQ30))*N30)</f>
        <v>#N/A</v>
      </c>
      <c r="Y30" s="320" t="e">
        <f aca="false">IF($A30="N/A"," ",$U30*(8*($BR30))*O30)</f>
        <v>#N/A</v>
      </c>
      <c r="Z30" s="320" t="e">
        <f aca="false">IF($A30="N/A"," ",$U30*(8*($BR30))*P30)</f>
        <v>#N/A</v>
      </c>
      <c r="AA30" s="320" t="e">
        <f aca="false">IF($A30="N/A"," ",$U30*(8*($BR30))*Q30)</f>
        <v>#N/A</v>
      </c>
      <c r="AB30" s="320" t="e">
        <f aca="false">IF($A30="N/A"," ",$U30*(8*($BS30))*R30)</f>
        <v>#N/A</v>
      </c>
      <c r="AC30" s="320" t="e">
        <f aca="false">IF($A30="N/A"," ",$U30*(8*($BS30))*S30)</f>
        <v>#N/A</v>
      </c>
      <c r="AD30" s="320" t="e">
        <f aca="false">IF($A30="N/A"," ",$U30*(8*($BS30))*T30)</f>
        <v>#N/A</v>
      </c>
      <c r="AE30" s="320" t="e">
        <f aca="false">IF($A30="N/A"," ",SUM(V30:AD30))</f>
        <v>#N/A</v>
      </c>
      <c r="AF30" s="321" t="n">
        <f aca="false">IF(A30="N/A"," ",(VLOOKUP(A30,PowerVolTable,(IF(VolBMO1=2,7,IF(VolBMO1=1,6,8))),FALSE())))</f>
        <v>0.2</v>
      </c>
      <c r="AG30" s="321" t="n">
        <f aca="false">IF(A30="N/A"," ",(VLOOKUP(A30,IntraPowerVol,(IF(VolBMO1=2,3,IF(VolBMO1=1,2,4))),FALSE())*VLOOKUP(MONTH($A30),Volscale,2)))</f>
        <v>0.35</v>
      </c>
      <c r="AH30" s="321" t="n">
        <f aca="false">IF($A30="N/A"," ",IF(VolType1=1,AG30,AF30))</f>
        <v>0.35</v>
      </c>
      <c r="AI30" s="321" t="n">
        <f aca="false">IF($A30="N/A"," ",(VLOOKUP($A30,OffPwrVolTable,(IF(VolBMO1=2,7,IF(VolBMO1=1,6,8))),FALSE())))</f>
        <v>0.1</v>
      </c>
      <c r="AJ30" s="321" t="n">
        <f aca="false">IF($A30="N/A"," ",(VLOOKUP($A30,OffPwrVolTable,(IF(VolBMO1=2,3,IF(VolBMO1=1,2,4))),FALSE())*VLOOKUP(MONTH($A30),Volscale,2)))</f>
        <v>0.21</v>
      </c>
      <c r="AK30" s="321" t="n">
        <f aca="false">IF($A30="N/A"," ",IF(VolType1=1,AJ30,AI30))</f>
        <v>0.21</v>
      </c>
      <c r="AL30" s="321" t="e">
        <f aca="false">IF($A30="N/A"," ",IF(PV=1,0,'Pricing Inputs1'!R63))</f>
        <v>#N/A</v>
      </c>
      <c r="AM30" s="323" t="e">
        <f aca="false">IF($A30="N/A"," ",(1+AL30/2)^(-2*((EOMONTH(A30,0)+20)-DateToday)/365.25))</f>
        <v>#N/A</v>
      </c>
      <c r="BQ30" s="0" t="n">
        <f aca="false">IF($A30="N/A"," ",(VLOOKUP($A30,NumberofDaysTable,2)))</f>
        <v>23</v>
      </c>
      <c r="BR30" s="0" t="n">
        <f aca="false">IF($A30="N/A"," ",(VLOOKUP($A30,NumberofDaysTable,3)))</f>
        <v>4</v>
      </c>
      <c r="BS30" s="0" t="n">
        <f aca="false">IF($A30="N/A"," ",(VLOOKUP($A30,NumberofDaysTable,4)))</f>
        <v>4</v>
      </c>
    </row>
    <row r="31" customFormat="false" ht="12.75" hidden="false" customHeight="false" outlineLevel="0" collapsed="false">
      <c r="A31" s="315" t="n">
        <f aca="false">IF(A30="N/A","N/A",IF(EDATE(A30,1)&gt;Inputs!$M$5,"N/A",EDATE(A30,1)))</f>
        <v>38078</v>
      </c>
      <c r="B31" s="316" t="n">
        <f aca="false">IF(A31="N/A"," ",YEAR(A31))</f>
        <v>2004</v>
      </c>
      <c r="C31" s="317" t="n">
        <f aca="false">IF($A31="N/A"," ",IF(Dayrun1=10,0,IF(Scaler1=1,(VLOOKUP(A31,ScaledPrice1,4)),(VLOOKUP(A31,ScaledPrice1,2)))))</f>
        <v>32.6476779316747</v>
      </c>
      <c r="D31" s="317" t="n">
        <f aca="false">IF(A31="N/A"," ",IF(Dayrun1&gt;=7,0,IF(Scaler1=2,VLOOKUP(A31,ScaledPrice1,2),(VLOOKUP(A31,ScaledPrice1,2))*(2-(VLOOKUP(A31,ScaledPrice1,3))))))</f>
        <v>32.6476779316747</v>
      </c>
      <c r="E31" s="317" t="n">
        <f aca="false">IF($A31="N/A"," ",IF(AND(Dayrun1&gt;=4,Dayrun1&lt;=9),0,VLOOKUP($A31,ScaledPrice1,9)))</f>
        <v>18</v>
      </c>
      <c r="F31" s="317" t="n">
        <f aca="false">IF(A31="N/A"," ",IF(OR(Dayrun1=2,Dayrun1=3,Dayrun1=5,Dayrun1=6,Dayrun1=8,Dayrun1=9),VLOOKUP(A31,ScaledPrice1,IF(Scaler1=1,6,5)),0))</f>
        <v>22</v>
      </c>
      <c r="G31" s="317" t="n">
        <f aca="false">IF(A31="N/A"," ",IF(OR(Dayrun1=2,Dayrun1=3,Dayrun1=5,Dayrun1=6),IF(Scaler1=2,F31,(VLOOKUP(A31,ScaledPrice1,5))*(2-(VLOOKUP(A31,ScaledPrice1,3)))),0))</f>
        <v>22</v>
      </c>
      <c r="H31" s="317" t="n">
        <f aca="false">IF($A31="N/A"," ",IF(OR(Dayrun1=2,Dayrun1=3,Dayrun1=10),VLOOKUP($A31,ScaledPrice1,9),0))</f>
        <v>18</v>
      </c>
      <c r="I31" s="317" t="n">
        <f aca="false">IF(A31="N/A"," ",IF(OR(Dayrun1=3,Dayrun1=6,Dayrun1=9),(VLOOKUP(A31,ScaledPrice1,IF(Scaler1=2,7,8))),0))</f>
        <v>16.4950008392334</v>
      </c>
      <c r="J31" s="317" t="n">
        <f aca="false">IF(A31="N/A"," ",IF(OR(Dayrun1=3,Dayrun1=6),IF(Scaler1=2,I31,(VLOOKUP(A31,ScaledPrice1,7))*(2-(VLOOKUP(A31,ScaledPrice1,3)))),0))</f>
        <v>16.4950008392334</v>
      </c>
      <c r="K31" s="317" t="n">
        <f aca="false">IF($A31="N/A"," ",IF(OR(Dayrun1=3,Dayrun1=10),VLOOKUP($A31,ScaledPrice1,9),0))</f>
        <v>18</v>
      </c>
      <c r="L31" s="318" t="n">
        <f aca="false">IF($A31="N/A"," ",IF(Pricetype1=2,MAX(C31,0),IF(OR(Pricetype1=1,Pricetype1=4),IF(C31=0,0,(EURO(C31,Strikeprice1,0,0,($AH31+IF(Smile=TRUE(),VLOOKUP(MAX(-5,Strikeprice1-C31),Volsmile,2),0)),($A31-DateToday)+15,IF(Pricetype1=1,1,0),0))),C31)))</f>
        <v>32.6476779316747</v>
      </c>
      <c r="M31" s="318" t="n">
        <f aca="false">IF($A31="N/A"," ",IF(Pricetype1=2,MAX(D31,0),IF(OR(Pricetype1=1,Pricetype1=4),IF(D31=0,0,(EURO(D31,Strikeprice1,0,0,($AH31+IF(Smile=TRUE(),VLOOKUP(MAX(-5,Strikeprice1-D31),Volsmile,2),0)),($A31-DateToday)+15,IF(Pricetype1=1,1,0),0))),D31)))</f>
        <v>32.6476779316747</v>
      </c>
      <c r="N31" s="318" t="n">
        <f aca="false">IF($A31="N/A"," ",IF(Pricetype1=2,MAX(E31,0),IF(OR(Pricetype1=1,Pricetype1=4),IF(E31=0,0,(EURO(E31,Strikeprice1,0,0,($AK31+IF(Smile=TRUE(),VLOOKUP(MAX(-5,Strikeprice1-E31),Volsmile,2),0)),($A31-DateToday)+15,IF(Pricetype1=1,1,0),0))),E31)))</f>
        <v>18</v>
      </c>
      <c r="O31" s="318" t="n">
        <f aca="false">IF($A31="N/A"," ",IF(Pricetype1=2,MAX(F31,0),IF(OR(Pricetype1=1,Pricetype1=4),IF(F31=0,0,(EURO(F31,Strikeprice1,0,0,($AK31+IF(Smile=TRUE(),VLOOKUP(MAX(-5,Strikeprice1-F31),Volsmile,2),0)),($A31-DateToday)+15,IF(Pricetype1=1,1,0),0))),F31)))</f>
        <v>22</v>
      </c>
      <c r="P31" s="318" t="n">
        <f aca="false">IF($A31="N/A"," ",IF(Pricetype1=2,MAX(G31,0),IF(OR(Pricetype1=1,Pricetype1=4),IF(G31=0,0,(EURO(G31,Strikeprice1,0,0,($AK31+IF(Smile=TRUE(),VLOOKUP(MAX(-5,Strikeprice1-G31),Volsmile,2),0)),($A31-DateToday)+15,IF(Pricetype1=1,1,0),0))),G31)))</f>
        <v>22</v>
      </c>
      <c r="Q31" s="318" t="n">
        <f aca="false">IF($A31="N/A"," ",IF(Pricetype1=2,MAX(H31,0),IF(OR(Pricetype1=1,Pricetype1=4),IF(H31=0,0,(EURO(H31,Strikeprice1,0,0,($AK31+IF(Smile=TRUE(),VLOOKUP(MAX(-5,Strikeprice1-H31),Volsmile,2),0)),($A31-DateToday)+15,IF(Pricetype1=1,1,0),0))),H31)))</f>
        <v>18</v>
      </c>
      <c r="R31" s="318" t="n">
        <f aca="false">IF($A31="N/A"," ",IF(Pricetype1=2,MAX(I31,0),IF(OR(Pricetype1=1,Pricetype1=4),IF(I31=0,0,(EURO(I31,Strikeprice1,0,0,($AK31+IF(Smile=TRUE(),VLOOKUP(MAX(-5,Strikeprice1-I31),Volsmile,2),0)),($A31-DateToday)+15,IF(Pricetype1=1,1,0),0))),I31)))</f>
        <v>16.4950008392334</v>
      </c>
      <c r="S31" s="318" t="n">
        <f aca="false">IF($A31="N/A"," ",IF(Pricetype1=2,MAX(J31,0),IF(OR(Pricetype1=1,Pricetype1=4),IF(J31=0,0,(EURO(J31,Strikeprice1,0,0,($AK31+IF(Smile=TRUE(),VLOOKUP(MAX(-5,Strikeprice1-J31),Volsmile,2),0)),($A31-DateToday)+15,IF(Pricetype1=1,1,0),0))),J31)))</f>
        <v>16.4950008392334</v>
      </c>
      <c r="T31" s="318" t="n">
        <f aca="false">IF($A31="N/A"," ",IF(Pricetype1=2,MAX(K31,0),IF(OR(Pricetype1=1,Pricetype1=4),IF(K31=0,0,(EURO(K31,Strikeprice1,0,0,($AK31+IF(Smile=TRUE(),VLOOKUP(MAX(-5,Strikeprice1-K31),Volsmile,2),0)),($A31-DateToday)+15,IF(Pricetype1=1,1,0),0))),K31)))</f>
        <v>18</v>
      </c>
      <c r="U31" s="319" t="e">
        <f aca="false">IF($A31="N/A"," ",Volume1*$AM31)</f>
        <v>#N/A</v>
      </c>
      <c r="V31" s="320" t="e">
        <f aca="false">IF($A31="N/A"," ",$U31*(8*($BQ31))*L31)</f>
        <v>#N/A</v>
      </c>
      <c r="W31" s="320" t="e">
        <f aca="false">IF($A31="N/A"," ",$U31*(8*($BQ31))*M31)</f>
        <v>#N/A</v>
      </c>
      <c r="X31" s="320" t="e">
        <f aca="false">IF($A31="N/A"," ",$U31*(8*($BQ31))*N31)</f>
        <v>#N/A</v>
      </c>
      <c r="Y31" s="320" t="e">
        <f aca="false">IF($A31="N/A"," ",$U31*(8*($BR31))*O31)</f>
        <v>#N/A</v>
      </c>
      <c r="Z31" s="320" t="e">
        <f aca="false">IF($A31="N/A"," ",$U31*(8*($BR31))*P31)</f>
        <v>#N/A</v>
      </c>
      <c r="AA31" s="320" t="e">
        <f aca="false">IF($A31="N/A"," ",$U31*(8*($BR31))*Q31)</f>
        <v>#N/A</v>
      </c>
      <c r="AB31" s="320" t="e">
        <f aca="false">IF($A31="N/A"," ",$U31*(8*($BS31))*R31)</f>
        <v>#N/A</v>
      </c>
      <c r="AC31" s="320" t="e">
        <f aca="false">IF($A31="N/A"," ",$U31*(8*($BS31))*S31)</f>
        <v>#N/A</v>
      </c>
      <c r="AD31" s="320" t="e">
        <f aca="false">IF($A31="N/A"," ",$U31*(8*($BS31))*T31)</f>
        <v>#N/A</v>
      </c>
      <c r="AE31" s="320" t="e">
        <f aca="false">IF($A31="N/A"," ",SUM(V31:AD31))</f>
        <v>#N/A</v>
      </c>
      <c r="AF31" s="321" t="n">
        <f aca="false">IF(A31="N/A"," ",(VLOOKUP(A31,PowerVolTable,(IF(VolBMO1=2,7,IF(VolBMO1=1,6,8))),FALSE())))</f>
        <v>0.2</v>
      </c>
      <c r="AG31" s="321" t="n">
        <f aca="false">IF(A31="N/A"," ",(VLOOKUP(A31,IntraPowerVol,(IF(VolBMO1=2,3,IF(VolBMO1=1,2,4))),FALSE())*VLOOKUP(MONTH($A31),Volscale,2)))</f>
        <v>0.35</v>
      </c>
      <c r="AH31" s="321" t="n">
        <f aca="false">IF($A31="N/A"," ",IF(VolType1=1,AG31,AF31))</f>
        <v>0.35</v>
      </c>
      <c r="AI31" s="321" t="n">
        <f aca="false">IF($A31="N/A"," ",(VLOOKUP($A31,OffPwrVolTable,(IF(VolBMO1=2,7,IF(VolBMO1=1,6,8))),FALSE())))</f>
        <v>0.1</v>
      </c>
      <c r="AJ31" s="321" t="n">
        <f aca="false">IF($A31="N/A"," ",(VLOOKUP($A31,OffPwrVolTable,(IF(VolBMO1=2,3,IF(VolBMO1=1,2,4))),FALSE())*VLOOKUP(MONTH($A31),Volscale,2)))</f>
        <v>0.21</v>
      </c>
      <c r="AK31" s="321" t="n">
        <f aca="false">IF($A31="N/A"," ",IF(VolType1=1,AJ31,AI31))</f>
        <v>0.21</v>
      </c>
      <c r="AL31" s="321" t="e">
        <f aca="false">IF($A31="N/A"," ",IF(PV=1,0,'Pricing Inputs1'!R64))</f>
        <v>#N/A</v>
      </c>
      <c r="AM31" s="323" t="e">
        <f aca="false">IF($A31="N/A"," ",(1+AL31/2)^(-2*((EOMONTH(A31,0)+20)-DateToday)/365.25))</f>
        <v>#N/A</v>
      </c>
      <c r="BQ31" s="0" t="n">
        <f aca="false">IF($A31="N/A"," ",(VLOOKUP($A31,NumberofDaysTable,2)))</f>
        <v>22</v>
      </c>
      <c r="BR31" s="0" t="n">
        <f aca="false">IF($A31="N/A"," ",(VLOOKUP($A31,NumberofDaysTable,3)))</f>
        <v>4</v>
      </c>
      <c r="BS31" s="0" t="n">
        <f aca="false">IF($A31="N/A"," ",(VLOOKUP($A31,NumberofDaysTable,4)))</f>
        <v>4</v>
      </c>
    </row>
    <row r="32" customFormat="false" ht="12.75" hidden="false" customHeight="false" outlineLevel="0" collapsed="false">
      <c r="A32" s="315" t="n">
        <f aca="false">IF(A31="N/A","N/A",IF(EDATE(A31,1)&gt;Inputs!$M$5,"N/A",EDATE(A31,1)))</f>
        <v>38108</v>
      </c>
      <c r="B32" s="316" t="n">
        <f aca="false">IF(A32="N/A"," ",YEAR(A32))</f>
        <v>2004</v>
      </c>
      <c r="C32" s="317" t="n">
        <f aca="false">IF($A32="N/A"," ",IF(Dayrun1=10,0,IF(Scaler1=1,(VLOOKUP(A32,ScaledPrice1,4)),(VLOOKUP(A32,ScaledPrice1,2)))))</f>
        <v>35.4250030517578</v>
      </c>
      <c r="D32" s="317" t="n">
        <f aca="false">IF(A32="N/A"," ",IF(Dayrun1&gt;=7,0,IF(Scaler1=2,VLOOKUP(A32,ScaledPrice1,2),(VLOOKUP(A32,ScaledPrice1,2))*(2-(VLOOKUP(A32,ScaledPrice1,3))))))</f>
        <v>35.4250030517578</v>
      </c>
      <c r="E32" s="317" t="n">
        <f aca="false">IF($A32="N/A"," ",IF(AND(Dayrun1&gt;=4,Dayrun1&lt;=9),0,VLOOKUP($A32,ScaledPrice1,9)))</f>
        <v>18.5400009155273</v>
      </c>
      <c r="F32" s="317" t="n">
        <f aca="false">IF(A32="N/A"," ",IF(OR(Dayrun1=2,Dayrun1=3,Dayrun1=5,Dayrun1=6,Dayrun1=8,Dayrun1=9),VLOOKUP(A32,ScaledPrice1,IF(Scaler1=1,6,5)),0))</f>
        <v>22.2900009155273</v>
      </c>
      <c r="G32" s="317" t="n">
        <f aca="false">IF(A32="N/A"," ",IF(OR(Dayrun1=2,Dayrun1=3,Dayrun1=5,Dayrun1=6),IF(Scaler1=2,F32,(VLOOKUP(A32,ScaledPrice1,5))*(2-(VLOOKUP(A32,ScaledPrice1,3)))),0))</f>
        <v>22.2900009155273</v>
      </c>
      <c r="H32" s="317" t="n">
        <f aca="false">IF($A32="N/A"," ",IF(OR(Dayrun1=2,Dayrun1=3,Dayrun1=10),VLOOKUP($A32,ScaledPrice1,9),0))</f>
        <v>18.5400009155273</v>
      </c>
      <c r="I32" s="317" t="n">
        <f aca="false">IF(A32="N/A"," ",IF(OR(Dayrun1=3,Dayrun1=6,Dayrun1=9),(VLOOKUP(A32,ScaledPrice1,IF(Scaler1=2,7,8))),0))</f>
        <v>15.7950000762939</v>
      </c>
      <c r="J32" s="317" t="n">
        <f aca="false">IF(A32="N/A"," ",IF(OR(Dayrun1=3,Dayrun1=6),IF(Scaler1=2,I32,(VLOOKUP(A32,ScaledPrice1,7))*(2-(VLOOKUP(A32,ScaledPrice1,3)))),0))</f>
        <v>15.7950000762939</v>
      </c>
      <c r="K32" s="317" t="n">
        <f aca="false">IF($A32="N/A"," ",IF(OR(Dayrun1=3,Dayrun1=10),VLOOKUP($A32,ScaledPrice1,9),0))</f>
        <v>18.5400009155273</v>
      </c>
      <c r="L32" s="318" t="n">
        <f aca="false">IF($A32="N/A"," ",IF(Pricetype1=2,MAX(C32,0),IF(OR(Pricetype1=1,Pricetype1=4),IF(C32=0,0,(EURO(C32,Strikeprice1,0,0,($AH32+IF(Smile=TRUE(),VLOOKUP(MAX(-5,Strikeprice1-C32),Volsmile,2),0)),($A32-DateToday)+15,IF(Pricetype1=1,1,0),0))),C32)))</f>
        <v>35.4250030517578</v>
      </c>
      <c r="M32" s="318" t="n">
        <f aca="false">IF($A32="N/A"," ",IF(Pricetype1=2,MAX(D32,0),IF(OR(Pricetype1=1,Pricetype1=4),IF(D32=0,0,(EURO(D32,Strikeprice1,0,0,($AH32+IF(Smile=TRUE(),VLOOKUP(MAX(-5,Strikeprice1-D32),Volsmile,2),0)),($A32-DateToday)+15,IF(Pricetype1=1,1,0),0))),D32)))</f>
        <v>35.4250030517578</v>
      </c>
      <c r="N32" s="318" t="n">
        <f aca="false">IF($A32="N/A"," ",IF(Pricetype1=2,MAX(E32,0),IF(OR(Pricetype1=1,Pricetype1=4),IF(E32=0,0,(EURO(E32,Strikeprice1,0,0,($AK32+IF(Smile=TRUE(),VLOOKUP(MAX(-5,Strikeprice1-E32),Volsmile,2),0)),($A32-DateToday)+15,IF(Pricetype1=1,1,0),0))),E32)))</f>
        <v>18.5400009155273</v>
      </c>
      <c r="O32" s="318" t="n">
        <f aca="false">IF($A32="N/A"," ",IF(Pricetype1=2,MAX(F32,0),IF(OR(Pricetype1=1,Pricetype1=4),IF(F32=0,0,(EURO(F32,Strikeprice1,0,0,($AK32+IF(Smile=TRUE(),VLOOKUP(MAX(-5,Strikeprice1-F32),Volsmile,2),0)),($A32-DateToday)+15,IF(Pricetype1=1,1,0),0))),F32)))</f>
        <v>22.2900009155273</v>
      </c>
      <c r="P32" s="318" t="n">
        <f aca="false">IF($A32="N/A"," ",IF(Pricetype1=2,MAX(G32,0),IF(OR(Pricetype1=1,Pricetype1=4),IF(G32=0,0,(EURO(G32,Strikeprice1,0,0,($AK32+IF(Smile=TRUE(),VLOOKUP(MAX(-5,Strikeprice1-G32),Volsmile,2),0)),($A32-DateToday)+15,IF(Pricetype1=1,1,0),0))),G32)))</f>
        <v>22.2900009155273</v>
      </c>
      <c r="Q32" s="318" t="n">
        <f aca="false">IF($A32="N/A"," ",IF(Pricetype1=2,MAX(H32,0),IF(OR(Pricetype1=1,Pricetype1=4),IF(H32=0,0,(EURO(H32,Strikeprice1,0,0,($AK32+IF(Smile=TRUE(),VLOOKUP(MAX(-5,Strikeprice1-H32),Volsmile,2),0)),($A32-DateToday)+15,IF(Pricetype1=1,1,0),0))),H32)))</f>
        <v>18.5400009155273</v>
      </c>
      <c r="R32" s="318" t="n">
        <f aca="false">IF($A32="N/A"," ",IF(Pricetype1=2,MAX(I32,0),IF(OR(Pricetype1=1,Pricetype1=4),IF(I32=0,0,(EURO(I32,Strikeprice1,0,0,($AK32+IF(Smile=TRUE(),VLOOKUP(MAX(-5,Strikeprice1-I32),Volsmile,2),0)),($A32-DateToday)+15,IF(Pricetype1=1,1,0),0))),I32)))</f>
        <v>15.7950000762939</v>
      </c>
      <c r="S32" s="318" t="n">
        <f aca="false">IF($A32="N/A"," ",IF(Pricetype1=2,MAX(J32,0),IF(OR(Pricetype1=1,Pricetype1=4),IF(J32=0,0,(EURO(J32,Strikeprice1,0,0,($AK32+IF(Smile=TRUE(),VLOOKUP(MAX(-5,Strikeprice1-J32),Volsmile,2),0)),($A32-DateToday)+15,IF(Pricetype1=1,1,0),0))),J32)))</f>
        <v>15.7950000762939</v>
      </c>
      <c r="T32" s="318" t="n">
        <f aca="false">IF($A32="N/A"," ",IF(Pricetype1=2,MAX(K32,0),IF(OR(Pricetype1=1,Pricetype1=4),IF(K32=0,0,(EURO(K32,Strikeprice1,0,0,($AK32+IF(Smile=TRUE(),VLOOKUP(MAX(-5,Strikeprice1-K32),Volsmile,2),0)),($A32-DateToday)+15,IF(Pricetype1=1,1,0),0))),K32)))</f>
        <v>18.5400009155273</v>
      </c>
      <c r="U32" s="319" t="e">
        <f aca="false">IF($A32="N/A"," ",Volume1*$AM32)</f>
        <v>#N/A</v>
      </c>
      <c r="V32" s="320" t="e">
        <f aca="false">IF($A32="N/A"," ",$U32*(8*($BQ32))*L32)</f>
        <v>#N/A</v>
      </c>
      <c r="W32" s="320" t="e">
        <f aca="false">IF($A32="N/A"," ",$U32*(8*($BQ32))*M32)</f>
        <v>#N/A</v>
      </c>
      <c r="X32" s="320" t="e">
        <f aca="false">IF($A32="N/A"," ",$U32*(8*($BQ32))*N32)</f>
        <v>#N/A</v>
      </c>
      <c r="Y32" s="320" t="e">
        <f aca="false">IF($A32="N/A"," ",$U32*(8*($BR32))*O32)</f>
        <v>#N/A</v>
      </c>
      <c r="Z32" s="320" t="e">
        <f aca="false">IF($A32="N/A"," ",$U32*(8*($BR32))*P32)</f>
        <v>#N/A</v>
      </c>
      <c r="AA32" s="320" t="e">
        <f aca="false">IF($A32="N/A"," ",$U32*(8*($BR32))*Q32)</f>
        <v>#N/A</v>
      </c>
      <c r="AB32" s="320" t="e">
        <f aca="false">IF($A32="N/A"," ",$U32*(8*($BS32))*R32)</f>
        <v>#N/A</v>
      </c>
      <c r="AC32" s="320" t="e">
        <f aca="false">IF($A32="N/A"," ",$U32*(8*($BS32))*S32)</f>
        <v>#N/A</v>
      </c>
      <c r="AD32" s="320" t="e">
        <f aca="false">IF($A32="N/A"," ",$U32*(8*($BS32))*T32)</f>
        <v>#N/A</v>
      </c>
      <c r="AE32" s="320" t="e">
        <f aca="false">IF($A32="N/A"," ",SUM(V32:AD32))</f>
        <v>#N/A</v>
      </c>
      <c r="AF32" s="321" t="n">
        <f aca="false">IF(A32="N/A"," ",(VLOOKUP(A32,PowerVolTable,(IF(VolBMO1=2,7,IF(VolBMO1=1,6,8))),FALSE())))</f>
        <v>0.2</v>
      </c>
      <c r="AG32" s="321" t="n">
        <f aca="false">IF(A32="N/A"," ",(VLOOKUP(A32,IntraPowerVol,(IF(VolBMO1=2,3,IF(VolBMO1=1,2,4))),FALSE())*VLOOKUP(MONTH($A32),Volscale,2)))</f>
        <v>0.45</v>
      </c>
      <c r="AH32" s="321" t="n">
        <f aca="false">IF($A32="N/A"," ",IF(VolType1=1,AG32,AF32))</f>
        <v>0.45</v>
      </c>
      <c r="AI32" s="321" t="n">
        <f aca="false">IF($A32="N/A"," ",(VLOOKUP($A32,OffPwrVolTable,(IF(VolBMO1=2,7,IF(VolBMO1=1,6,8))),FALSE())))</f>
        <v>0.1</v>
      </c>
      <c r="AJ32" s="321" t="n">
        <f aca="false">IF($A32="N/A"," ",(VLOOKUP($A32,OffPwrVolTable,(IF(VolBMO1=2,3,IF(VolBMO1=1,2,4))),FALSE())*VLOOKUP(MONTH($A32),Volscale,2)))</f>
        <v>0.27</v>
      </c>
      <c r="AK32" s="321" t="n">
        <f aca="false">IF($A32="N/A"," ",IF(VolType1=1,AJ32,AI32))</f>
        <v>0.27</v>
      </c>
      <c r="AL32" s="321" t="e">
        <f aca="false">IF($A32="N/A"," ",IF(PV=1,0,'Pricing Inputs1'!R65))</f>
        <v>#N/A</v>
      </c>
      <c r="AM32" s="323" t="e">
        <f aca="false">IF($A32="N/A"," ",(1+AL32/2)^(-2*((EOMONTH(A32,0)+20)-DateToday)/365.25))</f>
        <v>#N/A</v>
      </c>
      <c r="BQ32" s="0" t="n">
        <f aca="false">IF($A32="N/A"," ",(VLOOKUP($A32,NumberofDaysTable,2)))</f>
        <v>20</v>
      </c>
      <c r="BR32" s="0" t="n">
        <f aca="false">IF($A32="N/A"," ",(VLOOKUP($A32,NumberofDaysTable,3)))</f>
        <v>5</v>
      </c>
      <c r="BS32" s="0" t="n">
        <f aca="false">IF($A32="N/A"," ",(VLOOKUP($A32,NumberofDaysTable,4)))</f>
        <v>6</v>
      </c>
    </row>
    <row r="33" customFormat="false" ht="12.75" hidden="false" customHeight="false" outlineLevel="0" collapsed="false">
      <c r="A33" s="315" t="n">
        <f aca="false">IF(A32="N/A","N/A",IF(EDATE(A32,1)&gt;Inputs!$M$5,"N/A",EDATE(A32,1)))</f>
        <v>38139</v>
      </c>
      <c r="B33" s="316" t="n">
        <f aca="false">IF(A33="N/A"," ",YEAR(A33))</f>
        <v>2004</v>
      </c>
      <c r="C33" s="317" t="n">
        <f aca="false">IF($A33="N/A"," ",IF(Dayrun1=10,0,IF(Scaler1=1,(VLOOKUP(A33,ScaledPrice1,4)),(VLOOKUP(A33,ScaledPrice1,2)))))</f>
        <v>42.6250038146973</v>
      </c>
      <c r="D33" s="317" t="n">
        <f aca="false">IF(A33="N/A"," ",IF(Dayrun1&gt;=7,0,IF(Scaler1=2,VLOOKUP(A33,ScaledPrice1,2),(VLOOKUP(A33,ScaledPrice1,2))*(2-(VLOOKUP(A33,ScaledPrice1,3))))))</f>
        <v>42.6250038146973</v>
      </c>
      <c r="E33" s="317" t="n">
        <f aca="false">IF($A33="N/A"," ",IF(AND(Dayrun1&gt;=4,Dayrun1&lt;=9),0,VLOOKUP($A33,ScaledPrice1,9)))</f>
        <v>21.5400009155273</v>
      </c>
      <c r="F33" s="317" t="n">
        <f aca="false">IF(A33="N/A"," ",IF(OR(Dayrun1=2,Dayrun1=3,Dayrun1=5,Dayrun1=6,Dayrun1=8,Dayrun1=9),VLOOKUP(A33,ScaledPrice1,IF(Scaler1=1,6,5)),0))</f>
        <v>29.2900009155273</v>
      </c>
      <c r="G33" s="317" t="n">
        <f aca="false">IF(A33="N/A"," ",IF(OR(Dayrun1=2,Dayrun1=3,Dayrun1=5,Dayrun1=6),IF(Scaler1=2,F33,(VLOOKUP(A33,ScaledPrice1,5))*(2-(VLOOKUP(A33,ScaledPrice1,3)))),0))</f>
        <v>29.2900009155273</v>
      </c>
      <c r="H33" s="317" t="n">
        <f aca="false">IF($A33="N/A"," ",IF(OR(Dayrun1=2,Dayrun1=3,Dayrun1=10),VLOOKUP($A33,ScaledPrice1,9),0))</f>
        <v>21.5400009155273</v>
      </c>
      <c r="I33" s="317" t="n">
        <f aca="false">IF(A33="N/A"," ",IF(OR(Dayrun1=3,Dayrun1=6,Dayrun1=9),(VLOOKUP(A33,ScaledPrice1,IF(Scaler1=2,7,8))),0))</f>
        <v>19.7900009155273</v>
      </c>
      <c r="J33" s="317" t="n">
        <f aca="false">IF(A33="N/A"," ",IF(OR(Dayrun1=3,Dayrun1=6),IF(Scaler1=2,I33,(VLOOKUP(A33,ScaledPrice1,7))*(2-(VLOOKUP(A33,ScaledPrice1,3)))),0))</f>
        <v>19.7900009155273</v>
      </c>
      <c r="K33" s="317" t="n">
        <f aca="false">IF($A33="N/A"," ",IF(OR(Dayrun1=3,Dayrun1=10),VLOOKUP($A33,ScaledPrice1,9),0))</f>
        <v>21.5400009155273</v>
      </c>
      <c r="L33" s="318" t="n">
        <f aca="false">IF($A33="N/A"," ",IF(Pricetype1=2,MAX(C33,0),IF(OR(Pricetype1=1,Pricetype1=4),IF(C33=0,0,(EURO(C33,Strikeprice1,0,0,($AH33+IF(Smile=TRUE(),VLOOKUP(MAX(-5,Strikeprice1-C33),Volsmile,2),0)),($A33-DateToday)+15,IF(Pricetype1=1,1,0),0))),C33)))</f>
        <v>42.6250038146973</v>
      </c>
      <c r="M33" s="318" t="n">
        <f aca="false">IF($A33="N/A"," ",IF(Pricetype1=2,MAX(D33,0),IF(OR(Pricetype1=1,Pricetype1=4),IF(D33=0,0,(EURO(D33,Strikeprice1,0,0,($AH33+IF(Smile=TRUE(),VLOOKUP(MAX(-5,Strikeprice1-D33),Volsmile,2),0)),($A33-DateToday)+15,IF(Pricetype1=1,1,0),0))),D33)))</f>
        <v>42.6250038146973</v>
      </c>
      <c r="N33" s="318" t="n">
        <f aca="false">IF($A33="N/A"," ",IF(Pricetype1=2,MAX(E33,0),IF(OR(Pricetype1=1,Pricetype1=4),IF(E33=0,0,(EURO(E33,Strikeprice1,0,0,($AK33+IF(Smile=TRUE(),VLOOKUP(MAX(-5,Strikeprice1-E33),Volsmile,2),0)),($A33-DateToday)+15,IF(Pricetype1=1,1,0),0))),E33)))</f>
        <v>21.5400009155273</v>
      </c>
      <c r="O33" s="318" t="n">
        <f aca="false">IF($A33="N/A"," ",IF(Pricetype1=2,MAX(F33,0),IF(OR(Pricetype1=1,Pricetype1=4),IF(F33=0,0,(EURO(F33,Strikeprice1,0,0,($AK33+IF(Smile=TRUE(),VLOOKUP(MAX(-5,Strikeprice1-F33),Volsmile,2),0)),($A33-DateToday)+15,IF(Pricetype1=1,1,0),0))),F33)))</f>
        <v>29.2900009155273</v>
      </c>
      <c r="P33" s="318" t="n">
        <f aca="false">IF($A33="N/A"," ",IF(Pricetype1=2,MAX(G33,0),IF(OR(Pricetype1=1,Pricetype1=4),IF(G33=0,0,(EURO(G33,Strikeprice1,0,0,($AK33+IF(Smile=TRUE(),VLOOKUP(MAX(-5,Strikeprice1-G33),Volsmile,2),0)),($A33-DateToday)+15,IF(Pricetype1=1,1,0),0))),G33)))</f>
        <v>29.2900009155273</v>
      </c>
      <c r="Q33" s="318" t="n">
        <f aca="false">IF($A33="N/A"," ",IF(Pricetype1=2,MAX(H33,0),IF(OR(Pricetype1=1,Pricetype1=4),IF(H33=0,0,(EURO(H33,Strikeprice1,0,0,($AK33+IF(Smile=TRUE(),VLOOKUP(MAX(-5,Strikeprice1-H33),Volsmile,2),0)),($A33-DateToday)+15,IF(Pricetype1=1,1,0),0))),H33)))</f>
        <v>21.5400009155273</v>
      </c>
      <c r="R33" s="318" t="n">
        <f aca="false">IF($A33="N/A"," ",IF(Pricetype1=2,MAX(I33,0),IF(OR(Pricetype1=1,Pricetype1=4),IF(I33=0,0,(EURO(I33,Strikeprice1,0,0,($AK33+IF(Smile=TRUE(),VLOOKUP(MAX(-5,Strikeprice1-I33),Volsmile,2),0)),($A33-DateToday)+15,IF(Pricetype1=1,1,0),0))),I33)))</f>
        <v>19.7900009155273</v>
      </c>
      <c r="S33" s="318" t="n">
        <f aca="false">IF($A33="N/A"," ",IF(Pricetype1=2,MAX(J33,0),IF(OR(Pricetype1=1,Pricetype1=4),IF(J33=0,0,(EURO(J33,Strikeprice1,0,0,($AK33+IF(Smile=TRUE(),VLOOKUP(MAX(-5,Strikeprice1-J33),Volsmile,2),0)),($A33-DateToday)+15,IF(Pricetype1=1,1,0),0))),J33)))</f>
        <v>19.7900009155273</v>
      </c>
      <c r="T33" s="318" t="n">
        <f aca="false">IF($A33="N/A"," ",IF(Pricetype1=2,MAX(K33,0),IF(OR(Pricetype1=1,Pricetype1=4),IF(K33=0,0,(EURO(K33,Strikeprice1,0,0,($AK33+IF(Smile=TRUE(),VLOOKUP(MAX(-5,Strikeprice1-K33),Volsmile,2),0)),($A33-DateToday)+15,IF(Pricetype1=1,1,0),0))),K33)))</f>
        <v>21.5400009155273</v>
      </c>
      <c r="U33" s="319" t="e">
        <f aca="false">IF($A33="N/A"," ",Volume1*$AM33)</f>
        <v>#N/A</v>
      </c>
      <c r="V33" s="320" t="e">
        <f aca="false">IF($A33="N/A"," ",$U33*(8*($BQ33))*L33)</f>
        <v>#N/A</v>
      </c>
      <c r="W33" s="320" t="e">
        <f aca="false">IF($A33="N/A"," ",$U33*(8*($BQ33))*M33)</f>
        <v>#N/A</v>
      </c>
      <c r="X33" s="320" t="e">
        <f aca="false">IF($A33="N/A"," ",$U33*(8*($BQ33))*N33)</f>
        <v>#N/A</v>
      </c>
      <c r="Y33" s="320" t="e">
        <f aca="false">IF($A33="N/A"," ",$U33*(8*($BR33))*O33)</f>
        <v>#N/A</v>
      </c>
      <c r="Z33" s="320" t="e">
        <f aca="false">IF($A33="N/A"," ",$U33*(8*($BR33))*P33)</f>
        <v>#N/A</v>
      </c>
      <c r="AA33" s="320" t="e">
        <f aca="false">IF($A33="N/A"," ",$U33*(8*($BR33))*Q33)</f>
        <v>#N/A</v>
      </c>
      <c r="AB33" s="320" t="e">
        <f aca="false">IF($A33="N/A"," ",$U33*(8*($BS33))*R33)</f>
        <v>#N/A</v>
      </c>
      <c r="AC33" s="320" t="e">
        <f aca="false">IF($A33="N/A"," ",$U33*(8*($BS33))*S33)</f>
        <v>#N/A</v>
      </c>
      <c r="AD33" s="320" t="e">
        <f aca="false">IF($A33="N/A"," ",$U33*(8*($BS33))*T33)</f>
        <v>#N/A</v>
      </c>
      <c r="AE33" s="320" t="e">
        <f aca="false">IF($A33="N/A"," ",SUM(V33:AD33))</f>
        <v>#N/A</v>
      </c>
      <c r="AF33" s="321" t="n">
        <f aca="false">IF(A33="N/A"," ",(VLOOKUP(A33,PowerVolTable,(IF(VolBMO1=2,7,IF(VolBMO1=1,6,8))),FALSE())))</f>
        <v>0.2</v>
      </c>
      <c r="AG33" s="321" t="n">
        <f aca="false">IF(A33="N/A"," ",(VLOOKUP(A33,IntraPowerVol,(IF(VolBMO1=2,3,IF(VolBMO1=1,2,4))),FALSE())*VLOOKUP(MONTH($A33),Volscale,2)))</f>
        <v>0.45</v>
      </c>
      <c r="AH33" s="321" t="n">
        <f aca="false">IF($A33="N/A"," ",IF(VolType1=1,AG33,AF33))</f>
        <v>0.45</v>
      </c>
      <c r="AI33" s="321" t="n">
        <f aca="false">IF($A33="N/A"," ",(VLOOKUP($A33,OffPwrVolTable,(IF(VolBMO1=2,7,IF(VolBMO1=1,6,8))),FALSE())))</f>
        <v>0.1</v>
      </c>
      <c r="AJ33" s="321" t="n">
        <f aca="false">IF($A33="N/A"," ",(VLOOKUP($A33,OffPwrVolTable,(IF(VolBMO1=2,3,IF(VolBMO1=1,2,4))),FALSE())*VLOOKUP(MONTH($A33),Volscale,2)))</f>
        <v>0.27</v>
      </c>
      <c r="AK33" s="321" t="n">
        <f aca="false">IF($A33="N/A"," ",IF(VolType1=1,AJ33,AI33))</f>
        <v>0.27</v>
      </c>
      <c r="AL33" s="321" t="e">
        <f aca="false">IF($A33="N/A"," ",IF(PV=1,0,'Pricing Inputs1'!R66))</f>
        <v>#N/A</v>
      </c>
      <c r="AM33" s="323" t="e">
        <f aca="false">IF($A33="N/A"," ",(1+AL33/2)^(-2*((EOMONTH(A33,0)+20)-DateToday)/365.25))</f>
        <v>#N/A</v>
      </c>
      <c r="BQ33" s="0" t="n">
        <f aca="false">IF($A33="N/A"," ",(VLOOKUP($A33,NumberofDaysTable,2)))</f>
        <v>22</v>
      </c>
      <c r="BR33" s="0" t="n">
        <f aca="false">IF($A33="N/A"," ",(VLOOKUP($A33,NumberofDaysTable,3)))</f>
        <v>4</v>
      </c>
      <c r="BS33" s="0" t="n">
        <f aca="false">IF($A33="N/A"," ",(VLOOKUP($A33,NumberofDaysTable,4)))</f>
        <v>4</v>
      </c>
    </row>
    <row r="34" customFormat="false" ht="12.75" hidden="false" customHeight="false" outlineLevel="0" collapsed="false">
      <c r="A34" s="315" t="n">
        <f aca="false">IF(A33="N/A","N/A",IF(EDATE(A33,1)&gt;Inputs!$M$5,"N/A",EDATE(A33,1)))</f>
        <v>38169</v>
      </c>
      <c r="B34" s="316" t="n">
        <f aca="false">IF(A34="N/A"," ",YEAR(A34))</f>
        <v>2004</v>
      </c>
      <c r="C34" s="317" t="n">
        <f aca="false">IF($A34="N/A"," ",IF(Dayrun1=10,0,IF(Scaler1=1,(VLOOKUP(A34,ScaledPrice1,4)),(VLOOKUP(A34,ScaledPrice1,2)))))</f>
        <v>52.5</v>
      </c>
      <c r="D34" s="317" t="n">
        <f aca="false">IF(A34="N/A"," ",IF(Dayrun1&gt;=7,0,IF(Scaler1=2,VLOOKUP(A34,ScaledPrice1,2),(VLOOKUP(A34,ScaledPrice1,2))*(2-(VLOOKUP(A34,ScaledPrice1,3))))))</f>
        <v>52.5</v>
      </c>
      <c r="E34" s="317" t="n">
        <f aca="false">IF($A34="N/A"," ",IF(AND(Dayrun1&gt;=4,Dayrun1&lt;=9),0,VLOOKUP($A34,ScaledPrice1,9)))</f>
        <v>22.0400009155273</v>
      </c>
      <c r="F34" s="317" t="n">
        <f aca="false">IF(A34="N/A"," ",IF(OR(Dayrun1=2,Dayrun1=3,Dayrun1=5,Dayrun1=6,Dayrun1=8,Dayrun1=9),VLOOKUP(A34,ScaledPrice1,IF(Scaler1=1,6,5)),0))</f>
        <v>35.2900009155273</v>
      </c>
      <c r="G34" s="317" t="n">
        <f aca="false">IF(A34="N/A"," ",IF(OR(Dayrun1=2,Dayrun1=3,Dayrun1=5,Dayrun1=6),IF(Scaler1=2,F34,(VLOOKUP(A34,ScaledPrice1,5))*(2-(VLOOKUP(A34,ScaledPrice1,3)))),0))</f>
        <v>35.2900009155273</v>
      </c>
      <c r="H34" s="317" t="n">
        <f aca="false">IF($A34="N/A"," ",IF(OR(Dayrun1=2,Dayrun1=3,Dayrun1=10),VLOOKUP($A34,ScaledPrice1,9),0))</f>
        <v>22.0400009155273</v>
      </c>
      <c r="I34" s="317" t="n">
        <f aca="false">IF(A34="N/A"," ",IF(OR(Dayrun1=3,Dayrun1=6,Dayrun1=9),(VLOOKUP(A34,ScaledPrice1,IF(Scaler1=2,7,8))),0))</f>
        <v>25.7900009155273</v>
      </c>
      <c r="J34" s="317" t="n">
        <f aca="false">IF(A34="N/A"," ",IF(OR(Dayrun1=3,Dayrun1=6),IF(Scaler1=2,I34,(VLOOKUP(A34,ScaledPrice1,7))*(2-(VLOOKUP(A34,ScaledPrice1,3)))),0))</f>
        <v>25.7900009155273</v>
      </c>
      <c r="K34" s="317" t="n">
        <f aca="false">IF($A34="N/A"," ",IF(OR(Dayrun1=3,Dayrun1=10),VLOOKUP($A34,ScaledPrice1,9),0))</f>
        <v>22.0400009155273</v>
      </c>
      <c r="L34" s="318" t="n">
        <f aca="false">IF($A34="N/A"," ",IF(Pricetype1=2,MAX(C34,0),IF(OR(Pricetype1=1,Pricetype1=4),IF(C34=0,0,(EURO(C34,Strikeprice1,0,0,($AH34+IF(Smile=TRUE(),VLOOKUP(MAX(-5,Strikeprice1-C34),Volsmile,2),0)),($A34-DateToday)+15,IF(Pricetype1=1,1,0),0))),C34)))</f>
        <v>52.5</v>
      </c>
      <c r="M34" s="318" t="n">
        <f aca="false">IF($A34="N/A"," ",IF(Pricetype1=2,MAX(D34,0),IF(OR(Pricetype1=1,Pricetype1=4),IF(D34=0,0,(EURO(D34,Strikeprice1,0,0,($AH34+IF(Smile=TRUE(),VLOOKUP(MAX(-5,Strikeprice1-D34),Volsmile,2),0)),($A34-DateToday)+15,IF(Pricetype1=1,1,0),0))),D34)))</f>
        <v>52.5</v>
      </c>
      <c r="N34" s="318" t="n">
        <f aca="false">IF($A34="N/A"," ",IF(Pricetype1=2,MAX(E34,0),IF(OR(Pricetype1=1,Pricetype1=4),IF(E34=0,0,(EURO(E34,Strikeprice1,0,0,($AK34+IF(Smile=TRUE(),VLOOKUP(MAX(-5,Strikeprice1-E34),Volsmile,2),0)),($A34-DateToday)+15,IF(Pricetype1=1,1,0),0))),E34)))</f>
        <v>22.0400009155273</v>
      </c>
      <c r="O34" s="318" t="n">
        <f aca="false">IF($A34="N/A"," ",IF(Pricetype1=2,MAX(F34,0),IF(OR(Pricetype1=1,Pricetype1=4),IF(F34=0,0,(EURO(F34,Strikeprice1,0,0,($AK34+IF(Smile=TRUE(),VLOOKUP(MAX(-5,Strikeprice1-F34),Volsmile,2),0)),($A34-DateToday)+15,IF(Pricetype1=1,1,0),0))),F34)))</f>
        <v>35.2900009155273</v>
      </c>
      <c r="P34" s="318" t="n">
        <f aca="false">IF($A34="N/A"," ",IF(Pricetype1=2,MAX(G34,0),IF(OR(Pricetype1=1,Pricetype1=4),IF(G34=0,0,(EURO(G34,Strikeprice1,0,0,($AK34+IF(Smile=TRUE(),VLOOKUP(MAX(-5,Strikeprice1-G34),Volsmile,2),0)),($A34-DateToday)+15,IF(Pricetype1=1,1,0),0))),G34)))</f>
        <v>35.2900009155273</v>
      </c>
      <c r="Q34" s="318" t="n">
        <f aca="false">IF($A34="N/A"," ",IF(Pricetype1=2,MAX(H34,0),IF(OR(Pricetype1=1,Pricetype1=4),IF(H34=0,0,(EURO(H34,Strikeprice1,0,0,($AK34+IF(Smile=TRUE(),VLOOKUP(MAX(-5,Strikeprice1-H34),Volsmile,2),0)),($A34-DateToday)+15,IF(Pricetype1=1,1,0),0))),H34)))</f>
        <v>22.0400009155273</v>
      </c>
      <c r="R34" s="318" t="n">
        <f aca="false">IF($A34="N/A"," ",IF(Pricetype1=2,MAX(I34,0),IF(OR(Pricetype1=1,Pricetype1=4),IF(I34=0,0,(EURO(I34,Strikeprice1,0,0,($AK34+IF(Smile=TRUE(),VLOOKUP(MAX(-5,Strikeprice1-I34),Volsmile,2),0)),($A34-DateToday)+15,IF(Pricetype1=1,1,0),0))),I34)))</f>
        <v>25.7900009155273</v>
      </c>
      <c r="S34" s="318" t="n">
        <f aca="false">IF($A34="N/A"," ",IF(Pricetype1=2,MAX(J34,0),IF(OR(Pricetype1=1,Pricetype1=4),IF(J34=0,0,(EURO(J34,Strikeprice1,0,0,($AK34+IF(Smile=TRUE(),VLOOKUP(MAX(-5,Strikeprice1-J34),Volsmile,2),0)),($A34-DateToday)+15,IF(Pricetype1=1,1,0),0))),J34)))</f>
        <v>25.7900009155273</v>
      </c>
      <c r="T34" s="318" t="n">
        <f aca="false">IF($A34="N/A"," ",IF(Pricetype1=2,MAX(K34,0),IF(OR(Pricetype1=1,Pricetype1=4),IF(K34=0,0,(EURO(K34,Strikeprice1,0,0,($AK34+IF(Smile=TRUE(),VLOOKUP(MAX(-5,Strikeprice1-K34),Volsmile,2),0)),($A34-DateToday)+15,IF(Pricetype1=1,1,0),0))),K34)))</f>
        <v>22.0400009155273</v>
      </c>
      <c r="U34" s="319" t="e">
        <f aca="false">IF($A34="N/A"," ",Volume1*$AM34)</f>
        <v>#N/A</v>
      </c>
      <c r="V34" s="320" t="e">
        <f aca="false">IF($A34="N/A"," ",$U34*(8*($BQ34))*L34)</f>
        <v>#N/A</v>
      </c>
      <c r="W34" s="320" t="e">
        <f aca="false">IF($A34="N/A"," ",$U34*(8*($BQ34))*M34)</f>
        <v>#N/A</v>
      </c>
      <c r="X34" s="320" t="e">
        <f aca="false">IF($A34="N/A"," ",$U34*(8*($BQ34))*N34)</f>
        <v>#N/A</v>
      </c>
      <c r="Y34" s="320" t="e">
        <f aca="false">IF($A34="N/A"," ",$U34*(8*($BR34))*O34)</f>
        <v>#N/A</v>
      </c>
      <c r="Z34" s="320" t="e">
        <f aca="false">IF($A34="N/A"," ",$U34*(8*($BR34))*P34)</f>
        <v>#N/A</v>
      </c>
      <c r="AA34" s="320" t="e">
        <f aca="false">IF($A34="N/A"," ",$U34*(8*($BR34))*Q34)</f>
        <v>#N/A</v>
      </c>
      <c r="AB34" s="320" t="e">
        <f aca="false">IF($A34="N/A"," ",$U34*(8*($BS34))*R34)</f>
        <v>#N/A</v>
      </c>
      <c r="AC34" s="320" t="e">
        <f aca="false">IF($A34="N/A"," ",$U34*(8*($BS34))*S34)</f>
        <v>#N/A</v>
      </c>
      <c r="AD34" s="320" t="e">
        <f aca="false">IF($A34="N/A"," ",$U34*(8*($BS34))*T34)</f>
        <v>#N/A</v>
      </c>
      <c r="AE34" s="320" t="e">
        <f aca="false">IF($A34="N/A"," ",SUM(V34:AD34))</f>
        <v>#N/A</v>
      </c>
      <c r="AF34" s="321" t="n">
        <f aca="false">IF(A34="N/A"," ",(VLOOKUP(A34,PowerVolTable,(IF(VolBMO1=2,7,IF(VolBMO1=1,6,8))),FALSE())))</f>
        <v>0.3</v>
      </c>
      <c r="AG34" s="321" t="n">
        <f aca="false">IF(A34="N/A"," ",(VLOOKUP(A34,IntraPowerVol,(IF(VolBMO1=2,3,IF(VolBMO1=1,2,4))),FALSE())*VLOOKUP(MONTH($A34),Volscale,2)))</f>
        <v>0.6</v>
      </c>
      <c r="AH34" s="321" t="n">
        <f aca="false">IF($A34="N/A"," ",IF(VolType1=1,AG34,AF34))</f>
        <v>0.6</v>
      </c>
      <c r="AI34" s="321" t="n">
        <f aca="false">IF($A34="N/A"," ",(VLOOKUP($A34,OffPwrVolTable,(IF(VolBMO1=2,7,IF(VolBMO1=1,6,8))),FALSE())))</f>
        <v>0.15</v>
      </c>
      <c r="AJ34" s="321" t="n">
        <f aca="false">IF($A34="N/A"," ",(VLOOKUP($A34,OffPwrVolTable,(IF(VolBMO1=2,3,IF(VolBMO1=1,2,4))),FALSE())*VLOOKUP(MONTH($A34),Volscale,2)))</f>
        <v>0.36</v>
      </c>
      <c r="AK34" s="321" t="n">
        <f aca="false">IF($A34="N/A"," ",IF(VolType1=1,AJ34,AI34))</f>
        <v>0.36</v>
      </c>
      <c r="AL34" s="321" t="e">
        <f aca="false">IF($A34="N/A"," ",IF(PV=1,0,'Pricing Inputs1'!R67))</f>
        <v>#N/A</v>
      </c>
      <c r="AM34" s="323" t="e">
        <f aca="false">IF($A34="N/A"," ",(1+AL34/2)^(-2*((EOMONTH(A34,0)+20)-DateToday)/365.25))</f>
        <v>#N/A</v>
      </c>
      <c r="BQ34" s="0" t="n">
        <f aca="false">IF($A34="N/A"," ",(VLOOKUP($A34,NumberofDaysTable,2)))</f>
        <v>21</v>
      </c>
      <c r="BR34" s="0" t="n">
        <f aca="false">IF($A34="N/A"," ",(VLOOKUP($A34,NumberofDaysTable,3)))</f>
        <v>5</v>
      </c>
      <c r="BS34" s="0" t="n">
        <f aca="false">IF($A34="N/A"," ",(VLOOKUP($A34,NumberofDaysTable,4)))</f>
        <v>5</v>
      </c>
    </row>
    <row r="35" customFormat="false" ht="12.75" hidden="false" customHeight="false" outlineLevel="0" collapsed="false">
      <c r="A35" s="315" t="n">
        <f aca="false">IF(A34="N/A","N/A",IF(EDATE(A34,1)&gt;Inputs!$M$5,"N/A",EDATE(A34,1)))</f>
        <v>38200</v>
      </c>
      <c r="B35" s="316" t="n">
        <f aca="false">IF(A35="N/A"," ",YEAR(A35))</f>
        <v>2004</v>
      </c>
      <c r="C35" s="317" t="n">
        <f aca="false">IF($A35="N/A"," ",IF(Dayrun1=10,0,IF(Scaler1=1,(VLOOKUP(A35,ScaledPrice1,4)),(VLOOKUP(A35,ScaledPrice1,2)))))</f>
        <v>52.5</v>
      </c>
      <c r="D35" s="317" t="n">
        <f aca="false">IF(A35="N/A"," ",IF(Dayrun1&gt;=7,0,IF(Scaler1=2,VLOOKUP(A35,ScaledPrice1,2),(VLOOKUP(A35,ScaledPrice1,2))*(2-(VLOOKUP(A35,ScaledPrice1,3))))))</f>
        <v>52.5</v>
      </c>
      <c r="E35" s="317" t="n">
        <f aca="false">IF($A35="N/A"," ",IF(AND(Dayrun1&gt;=4,Dayrun1&lt;=9),0,VLOOKUP($A35,ScaledPrice1,9)))</f>
        <v>23.0400009155273</v>
      </c>
      <c r="F35" s="317" t="n">
        <f aca="false">IF(A35="N/A"," ",IF(OR(Dayrun1=2,Dayrun1=3,Dayrun1=5,Dayrun1=6,Dayrun1=8,Dayrun1=9),VLOOKUP(A35,ScaledPrice1,IF(Scaler1=1,6,5)),0))</f>
        <v>33.2900047302246</v>
      </c>
      <c r="G35" s="317" t="n">
        <f aca="false">IF(A35="N/A"," ",IF(OR(Dayrun1=2,Dayrun1=3,Dayrun1=5,Dayrun1=6),IF(Scaler1=2,F35,(VLOOKUP(A35,ScaledPrice1,5))*(2-(VLOOKUP(A35,ScaledPrice1,3)))),0))</f>
        <v>33.2900047302246</v>
      </c>
      <c r="H35" s="317" t="n">
        <f aca="false">IF($A35="N/A"," ",IF(OR(Dayrun1=2,Dayrun1=3,Dayrun1=10),VLOOKUP($A35,ScaledPrice1,9),0))</f>
        <v>23.0400009155273</v>
      </c>
      <c r="I35" s="317" t="n">
        <f aca="false">IF(A35="N/A"," ",IF(OR(Dayrun1=3,Dayrun1=6,Dayrun1=9),(VLOOKUP(A35,ScaledPrice1,IF(Scaler1=2,7,8))),0))</f>
        <v>25.7900009155273</v>
      </c>
      <c r="J35" s="317" t="n">
        <f aca="false">IF(A35="N/A"," ",IF(OR(Dayrun1=3,Dayrun1=6),IF(Scaler1=2,I35,(VLOOKUP(A35,ScaledPrice1,7))*(2-(VLOOKUP(A35,ScaledPrice1,3)))),0))</f>
        <v>25.7900009155273</v>
      </c>
      <c r="K35" s="317" t="n">
        <f aca="false">IF($A35="N/A"," ",IF(OR(Dayrun1=3,Dayrun1=10),VLOOKUP($A35,ScaledPrice1,9),0))</f>
        <v>23.0400009155273</v>
      </c>
      <c r="L35" s="318" t="n">
        <f aca="false">IF($A35="N/A"," ",IF(Pricetype1=2,MAX(C35,0),IF(OR(Pricetype1=1,Pricetype1=4),IF(C35=0,0,(EURO(C35,Strikeprice1,0,0,($AH35+IF(Smile=TRUE(),VLOOKUP(MAX(-5,Strikeprice1-C35),Volsmile,2),0)),($A35-DateToday)+15,IF(Pricetype1=1,1,0),0))),C35)))</f>
        <v>52.5</v>
      </c>
      <c r="M35" s="318" t="n">
        <f aca="false">IF($A35="N/A"," ",IF(Pricetype1=2,MAX(D35,0),IF(OR(Pricetype1=1,Pricetype1=4),IF(D35=0,0,(EURO(D35,Strikeprice1,0,0,($AH35+IF(Smile=TRUE(),VLOOKUP(MAX(-5,Strikeprice1-D35),Volsmile,2),0)),($A35-DateToday)+15,IF(Pricetype1=1,1,0),0))),D35)))</f>
        <v>52.5</v>
      </c>
      <c r="N35" s="318" t="n">
        <f aca="false">IF($A35="N/A"," ",IF(Pricetype1=2,MAX(E35,0),IF(OR(Pricetype1=1,Pricetype1=4),IF(E35=0,0,(EURO(E35,Strikeprice1,0,0,($AK35+IF(Smile=TRUE(),VLOOKUP(MAX(-5,Strikeprice1-E35),Volsmile,2),0)),($A35-DateToday)+15,IF(Pricetype1=1,1,0),0))),E35)))</f>
        <v>23.0400009155273</v>
      </c>
      <c r="O35" s="318" t="n">
        <f aca="false">IF($A35="N/A"," ",IF(Pricetype1=2,MAX(F35,0),IF(OR(Pricetype1=1,Pricetype1=4),IF(F35=0,0,(EURO(F35,Strikeprice1,0,0,($AK35+IF(Smile=TRUE(),VLOOKUP(MAX(-5,Strikeprice1-F35),Volsmile,2),0)),($A35-DateToday)+15,IF(Pricetype1=1,1,0),0))),F35)))</f>
        <v>33.2900047302246</v>
      </c>
      <c r="P35" s="318" t="n">
        <f aca="false">IF($A35="N/A"," ",IF(Pricetype1=2,MAX(G35,0),IF(OR(Pricetype1=1,Pricetype1=4),IF(G35=0,0,(EURO(G35,Strikeprice1,0,0,($AK35+IF(Smile=TRUE(),VLOOKUP(MAX(-5,Strikeprice1-G35),Volsmile,2),0)),($A35-DateToday)+15,IF(Pricetype1=1,1,0),0))),G35)))</f>
        <v>33.2900047302246</v>
      </c>
      <c r="Q35" s="318" t="n">
        <f aca="false">IF($A35="N/A"," ",IF(Pricetype1=2,MAX(H35,0),IF(OR(Pricetype1=1,Pricetype1=4),IF(H35=0,0,(EURO(H35,Strikeprice1,0,0,($AK35+IF(Smile=TRUE(),VLOOKUP(MAX(-5,Strikeprice1-H35),Volsmile,2),0)),($A35-DateToday)+15,IF(Pricetype1=1,1,0),0))),H35)))</f>
        <v>23.0400009155273</v>
      </c>
      <c r="R35" s="318" t="n">
        <f aca="false">IF($A35="N/A"," ",IF(Pricetype1=2,MAX(I35,0),IF(OR(Pricetype1=1,Pricetype1=4),IF(I35=0,0,(EURO(I35,Strikeprice1,0,0,($AK35+IF(Smile=TRUE(),VLOOKUP(MAX(-5,Strikeprice1-I35),Volsmile,2),0)),($A35-DateToday)+15,IF(Pricetype1=1,1,0),0))),I35)))</f>
        <v>25.7900009155273</v>
      </c>
      <c r="S35" s="318" t="n">
        <f aca="false">IF($A35="N/A"," ",IF(Pricetype1=2,MAX(J35,0),IF(OR(Pricetype1=1,Pricetype1=4),IF(J35=0,0,(EURO(J35,Strikeprice1,0,0,($AK35+IF(Smile=TRUE(),VLOOKUP(MAX(-5,Strikeprice1-J35),Volsmile,2),0)),($A35-DateToday)+15,IF(Pricetype1=1,1,0),0))),J35)))</f>
        <v>25.7900009155273</v>
      </c>
      <c r="T35" s="318" t="n">
        <f aca="false">IF($A35="N/A"," ",IF(Pricetype1=2,MAX(K35,0),IF(OR(Pricetype1=1,Pricetype1=4),IF(K35=0,0,(EURO(K35,Strikeprice1,0,0,($AK35+IF(Smile=TRUE(),VLOOKUP(MAX(-5,Strikeprice1-K35),Volsmile,2),0)),($A35-DateToday)+15,IF(Pricetype1=1,1,0),0))),K35)))</f>
        <v>23.0400009155273</v>
      </c>
      <c r="U35" s="319" t="e">
        <f aca="false">IF($A35="N/A"," ",Volume1*$AM35)</f>
        <v>#N/A</v>
      </c>
      <c r="V35" s="320" t="e">
        <f aca="false">IF($A35="N/A"," ",$U35*(8*($BQ35))*L35)</f>
        <v>#N/A</v>
      </c>
      <c r="W35" s="320" t="e">
        <f aca="false">IF($A35="N/A"," ",$U35*(8*($BQ35))*M35)</f>
        <v>#N/A</v>
      </c>
      <c r="X35" s="320" t="e">
        <f aca="false">IF($A35="N/A"," ",$U35*(8*($BQ35))*N35)</f>
        <v>#N/A</v>
      </c>
      <c r="Y35" s="320" t="e">
        <f aca="false">IF($A35="N/A"," ",$U35*(8*($BR35))*O35)</f>
        <v>#N/A</v>
      </c>
      <c r="Z35" s="320" t="e">
        <f aca="false">IF($A35="N/A"," ",$U35*(8*($BR35))*P35)</f>
        <v>#N/A</v>
      </c>
      <c r="AA35" s="320" t="e">
        <f aca="false">IF($A35="N/A"," ",$U35*(8*($BR35))*Q35)</f>
        <v>#N/A</v>
      </c>
      <c r="AB35" s="320" t="e">
        <f aca="false">IF($A35="N/A"," ",$U35*(8*($BS35))*R35)</f>
        <v>#N/A</v>
      </c>
      <c r="AC35" s="320" t="e">
        <f aca="false">IF($A35="N/A"," ",$U35*(8*($BS35))*S35)</f>
        <v>#N/A</v>
      </c>
      <c r="AD35" s="320" t="e">
        <f aca="false">IF($A35="N/A"," ",$U35*(8*($BS35))*T35)</f>
        <v>#N/A</v>
      </c>
      <c r="AE35" s="320" t="e">
        <f aca="false">IF($A35="N/A"," ",SUM(V35:AD35))</f>
        <v>#N/A</v>
      </c>
      <c r="AF35" s="321" t="n">
        <f aca="false">IF(A35="N/A"," ",(VLOOKUP(A35,PowerVolTable,(IF(VolBMO1=2,7,IF(VolBMO1=1,6,8))),FALSE())))</f>
        <v>0.3</v>
      </c>
      <c r="AG35" s="321" t="n">
        <f aca="false">IF(A35="N/A"," ",(VLOOKUP(A35,IntraPowerVol,(IF(VolBMO1=2,3,IF(VolBMO1=1,2,4))),FALSE())*VLOOKUP(MONTH($A35),Volscale,2)))</f>
        <v>0.6</v>
      </c>
      <c r="AH35" s="321" t="n">
        <f aca="false">IF($A35="N/A"," ",IF(VolType1=1,AG35,AF35))</f>
        <v>0.6</v>
      </c>
      <c r="AI35" s="321" t="n">
        <f aca="false">IF($A35="N/A"," ",(VLOOKUP($A35,OffPwrVolTable,(IF(VolBMO1=2,7,IF(VolBMO1=1,6,8))),FALSE())))</f>
        <v>0.15</v>
      </c>
      <c r="AJ35" s="321" t="n">
        <f aca="false">IF($A35="N/A"," ",(VLOOKUP($A35,OffPwrVolTable,(IF(VolBMO1=2,3,IF(VolBMO1=1,2,4))),FALSE())*VLOOKUP(MONTH($A35),Volscale,2)))</f>
        <v>0.36</v>
      </c>
      <c r="AK35" s="321" t="n">
        <f aca="false">IF($A35="N/A"," ",IF(VolType1=1,AJ35,AI35))</f>
        <v>0.36</v>
      </c>
      <c r="AL35" s="321" t="e">
        <f aca="false">IF($A35="N/A"," ",IF(PV=1,0,'Pricing Inputs1'!R68))</f>
        <v>#N/A</v>
      </c>
      <c r="AM35" s="323" t="e">
        <f aca="false">IF($A35="N/A"," ",(1+AL35/2)^(-2*((EOMONTH(A35,0)+20)-DateToday)/365.25))</f>
        <v>#N/A</v>
      </c>
      <c r="BQ35" s="0" t="n">
        <f aca="false">IF($A35="N/A"," ",(VLOOKUP($A35,NumberofDaysTable,2)))</f>
        <v>22</v>
      </c>
      <c r="BR35" s="0" t="n">
        <f aca="false">IF($A35="N/A"," ",(VLOOKUP($A35,NumberofDaysTable,3)))</f>
        <v>4</v>
      </c>
      <c r="BS35" s="0" t="n">
        <f aca="false">IF($A35="N/A"," ",(VLOOKUP($A35,NumberofDaysTable,4)))</f>
        <v>5</v>
      </c>
    </row>
    <row r="36" customFormat="false" ht="12.75" hidden="false" customHeight="false" outlineLevel="0" collapsed="false">
      <c r="A36" s="315" t="n">
        <f aca="false">IF(A35="N/A","N/A",IF(EDATE(A35,1)&gt;Inputs!$M$5,"N/A",EDATE(A35,1)))</f>
        <v>38231</v>
      </c>
      <c r="B36" s="316" t="n">
        <f aca="false">IF(A36="N/A"," ",YEAR(A36))</f>
        <v>2004</v>
      </c>
      <c r="C36" s="317" t="n">
        <f aca="false">IF($A36="N/A"," ",IF(Dayrun1=10,0,IF(Scaler1=1,(VLOOKUP(A36,ScaledPrice1,4)),(VLOOKUP(A36,ScaledPrice1,2)))))</f>
        <v>30.3000011444092</v>
      </c>
      <c r="D36" s="317" t="n">
        <f aca="false">IF(A36="N/A"," ",IF(Dayrun1&gt;=7,0,IF(Scaler1=2,VLOOKUP(A36,ScaledPrice1,2),(VLOOKUP(A36,ScaledPrice1,2))*(2-(VLOOKUP(A36,ScaledPrice1,3))))))</f>
        <v>30.3000011444092</v>
      </c>
      <c r="E36" s="317" t="n">
        <f aca="false">IF($A36="N/A"," ",IF(AND(Dayrun1&gt;=4,Dayrun1&lt;=9),0,VLOOKUP($A36,ScaledPrice1,9)))</f>
        <v>17.0400009155273</v>
      </c>
      <c r="F36" s="317" t="n">
        <f aca="false">IF(A36="N/A"," ",IF(OR(Dayrun1=2,Dayrun1=3,Dayrun1=5,Dayrun1=6,Dayrun1=8,Dayrun1=9),VLOOKUP(A36,ScaledPrice1,IF(Scaler1=1,6,5)),0))</f>
        <v>25.2900009155273</v>
      </c>
      <c r="G36" s="317" t="n">
        <f aca="false">IF(A36="N/A"," ",IF(OR(Dayrun1=2,Dayrun1=3,Dayrun1=5,Dayrun1=6),IF(Scaler1=2,F36,(VLOOKUP(A36,ScaledPrice1,5))*(2-(VLOOKUP(A36,ScaledPrice1,3)))),0))</f>
        <v>25.2900009155273</v>
      </c>
      <c r="H36" s="317" t="n">
        <f aca="false">IF($A36="N/A"," ",IF(OR(Dayrun1=2,Dayrun1=3,Dayrun1=10),VLOOKUP($A36,ScaledPrice1,9),0))</f>
        <v>17.0400009155273</v>
      </c>
      <c r="I36" s="317" t="n">
        <f aca="false">IF(A36="N/A"," ",IF(OR(Dayrun1=3,Dayrun1=6,Dayrun1=9),(VLOOKUP(A36,ScaledPrice1,IF(Scaler1=2,7,8))),0))</f>
        <v>19.7900009155273</v>
      </c>
      <c r="J36" s="317" t="n">
        <f aca="false">IF(A36="N/A"," ",IF(OR(Dayrun1=3,Dayrun1=6),IF(Scaler1=2,I36,(VLOOKUP(A36,ScaledPrice1,7))*(2-(VLOOKUP(A36,ScaledPrice1,3)))),0))</f>
        <v>19.7900009155273</v>
      </c>
      <c r="K36" s="317" t="n">
        <f aca="false">IF($A36="N/A"," ",IF(OR(Dayrun1=3,Dayrun1=10),VLOOKUP($A36,ScaledPrice1,9),0))</f>
        <v>17.0400009155273</v>
      </c>
      <c r="L36" s="318" t="n">
        <f aca="false">IF($A36="N/A"," ",IF(Pricetype1=2,MAX(C36,0),IF(OR(Pricetype1=1,Pricetype1=4),IF(C36=0,0,(EURO(C36,Strikeprice1,0,0,($AH36+IF(Smile=TRUE(),VLOOKUP(MAX(-5,Strikeprice1-C36),Volsmile,2),0)),($A36-DateToday)+15,IF(Pricetype1=1,1,0),0))),C36)))</f>
        <v>30.3000011444092</v>
      </c>
      <c r="M36" s="318" t="n">
        <f aca="false">IF($A36="N/A"," ",IF(Pricetype1=2,MAX(D36,0),IF(OR(Pricetype1=1,Pricetype1=4),IF(D36=0,0,(EURO(D36,Strikeprice1,0,0,($AH36+IF(Smile=TRUE(),VLOOKUP(MAX(-5,Strikeprice1-D36),Volsmile,2),0)),($A36-DateToday)+15,IF(Pricetype1=1,1,0),0))),D36)))</f>
        <v>30.3000011444092</v>
      </c>
      <c r="N36" s="318" t="n">
        <f aca="false">IF($A36="N/A"," ",IF(Pricetype1=2,MAX(E36,0),IF(OR(Pricetype1=1,Pricetype1=4),IF(E36=0,0,(EURO(E36,Strikeprice1,0,0,($AK36+IF(Smile=TRUE(),VLOOKUP(MAX(-5,Strikeprice1-E36),Volsmile,2),0)),($A36-DateToday)+15,IF(Pricetype1=1,1,0),0))),E36)))</f>
        <v>17.0400009155273</v>
      </c>
      <c r="O36" s="318" t="n">
        <f aca="false">IF($A36="N/A"," ",IF(Pricetype1=2,MAX(F36,0),IF(OR(Pricetype1=1,Pricetype1=4),IF(F36=0,0,(EURO(F36,Strikeprice1,0,0,($AK36+IF(Smile=TRUE(),VLOOKUP(MAX(-5,Strikeprice1-F36),Volsmile,2),0)),($A36-DateToday)+15,IF(Pricetype1=1,1,0),0))),F36)))</f>
        <v>25.2900009155273</v>
      </c>
      <c r="P36" s="318" t="n">
        <f aca="false">IF($A36="N/A"," ",IF(Pricetype1=2,MAX(G36,0),IF(OR(Pricetype1=1,Pricetype1=4),IF(G36=0,0,(EURO(G36,Strikeprice1,0,0,($AK36+IF(Smile=TRUE(),VLOOKUP(MAX(-5,Strikeprice1-G36),Volsmile,2),0)),($A36-DateToday)+15,IF(Pricetype1=1,1,0),0))),G36)))</f>
        <v>25.2900009155273</v>
      </c>
      <c r="Q36" s="318" t="n">
        <f aca="false">IF($A36="N/A"," ",IF(Pricetype1=2,MAX(H36,0),IF(OR(Pricetype1=1,Pricetype1=4),IF(H36=0,0,(EURO(H36,Strikeprice1,0,0,($AK36+IF(Smile=TRUE(),VLOOKUP(MAX(-5,Strikeprice1-H36),Volsmile,2),0)),($A36-DateToday)+15,IF(Pricetype1=1,1,0),0))),H36)))</f>
        <v>17.0400009155273</v>
      </c>
      <c r="R36" s="318" t="n">
        <f aca="false">IF($A36="N/A"," ",IF(Pricetype1=2,MAX(I36,0),IF(OR(Pricetype1=1,Pricetype1=4),IF(I36=0,0,(EURO(I36,Strikeprice1,0,0,($AK36+IF(Smile=TRUE(),VLOOKUP(MAX(-5,Strikeprice1-I36),Volsmile,2),0)),($A36-DateToday)+15,IF(Pricetype1=1,1,0),0))),I36)))</f>
        <v>19.7900009155273</v>
      </c>
      <c r="S36" s="318" t="n">
        <f aca="false">IF($A36="N/A"," ",IF(Pricetype1=2,MAX(J36,0),IF(OR(Pricetype1=1,Pricetype1=4),IF(J36=0,0,(EURO(J36,Strikeprice1,0,0,($AK36+IF(Smile=TRUE(),VLOOKUP(MAX(-5,Strikeprice1-J36),Volsmile,2),0)),($A36-DateToday)+15,IF(Pricetype1=1,1,0),0))),J36)))</f>
        <v>19.7900009155273</v>
      </c>
      <c r="T36" s="318" t="n">
        <f aca="false">IF($A36="N/A"," ",IF(Pricetype1=2,MAX(K36,0),IF(OR(Pricetype1=1,Pricetype1=4),IF(K36=0,0,(EURO(K36,Strikeprice1,0,0,($AK36+IF(Smile=TRUE(),VLOOKUP(MAX(-5,Strikeprice1-K36),Volsmile,2),0)),($A36-DateToday)+15,IF(Pricetype1=1,1,0),0))),K36)))</f>
        <v>17.0400009155273</v>
      </c>
      <c r="U36" s="319" t="e">
        <f aca="false">IF($A36="N/A"," ",Volume1*$AM36)</f>
        <v>#N/A</v>
      </c>
      <c r="V36" s="320" t="e">
        <f aca="false">IF($A36="N/A"," ",$U36*(8*($BQ36))*L36)</f>
        <v>#N/A</v>
      </c>
      <c r="W36" s="320" t="e">
        <f aca="false">IF($A36="N/A"," ",$U36*(8*($BQ36))*M36)</f>
        <v>#N/A</v>
      </c>
      <c r="X36" s="320" t="e">
        <f aca="false">IF($A36="N/A"," ",$U36*(8*($BQ36))*N36)</f>
        <v>#N/A</v>
      </c>
      <c r="Y36" s="320" t="e">
        <f aca="false">IF($A36="N/A"," ",$U36*(8*($BR36))*O36)</f>
        <v>#N/A</v>
      </c>
      <c r="Z36" s="320" t="e">
        <f aca="false">IF($A36="N/A"," ",$U36*(8*($BR36))*P36)</f>
        <v>#N/A</v>
      </c>
      <c r="AA36" s="320" t="e">
        <f aca="false">IF($A36="N/A"," ",$U36*(8*($BR36))*Q36)</f>
        <v>#N/A</v>
      </c>
      <c r="AB36" s="320" t="e">
        <f aca="false">IF($A36="N/A"," ",$U36*(8*($BS36))*R36)</f>
        <v>#N/A</v>
      </c>
      <c r="AC36" s="320" t="e">
        <f aca="false">IF($A36="N/A"," ",$U36*(8*($BS36))*S36)</f>
        <v>#N/A</v>
      </c>
      <c r="AD36" s="320" t="e">
        <f aca="false">IF($A36="N/A"," ",$U36*(8*($BS36))*T36)</f>
        <v>#N/A</v>
      </c>
      <c r="AE36" s="320" t="e">
        <f aca="false">IF($A36="N/A"," ",SUM(V36:AD36))</f>
        <v>#N/A</v>
      </c>
      <c r="AF36" s="321" t="n">
        <f aca="false">IF(A36="N/A"," ",(VLOOKUP(A36,PowerVolTable,(IF(VolBMO1=2,7,IF(VolBMO1=1,6,8))),FALSE())))</f>
        <v>0.2</v>
      </c>
      <c r="AG36" s="321" t="n">
        <f aca="false">IF(A36="N/A"," ",(VLOOKUP(A36,IntraPowerVol,(IF(VolBMO1=2,3,IF(VolBMO1=1,2,4))),FALSE())*VLOOKUP(MONTH($A36),Volscale,2)))</f>
        <v>0.4</v>
      </c>
      <c r="AH36" s="321" t="n">
        <f aca="false">IF($A36="N/A"," ",IF(VolType1=1,AG36,AF36))</f>
        <v>0.4</v>
      </c>
      <c r="AI36" s="321" t="n">
        <f aca="false">IF($A36="N/A"," ",(VLOOKUP($A36,OffPwrVolTable,(IF(VolBMO1=2,7,IF(VolBMO1=1,6,8))),FALSE())))</f>
        <v>0.1</v>
      </c>
      <c r="AJ36" s="321" t="n">
        <f aca="false">IF($A36="N/A"," ",(VLOOKUP($A36,OffPwrVolTable,(IF(VolBMO1=2,3,IF(VolBMO1=1,2,4))),FALSE())*VLOOKUP(MONTH($A36),Volscale,2)))</f>
        <v>0.24</v>
      </c>
      <c r="AK36" s="321" t="n">
        <f aca="false">IF($A36="N/A"," ",IF(VolType1=1,AJ36,AI36))</f>
        <v>0.24</v>
      </c>
      <c r="AL36" s="321" t="e">
        <f aca="false">IF($A36="N/A"," ",IF(PV=1,0,'Pricing Inputs1'!R69))</f>
        <v>#N/A</v>
      </c>
      <c r="AM36" s="323" t="e">
        <f aca="false">IF($A36="N/A"," ",(1+AL36/2)^(-2*((EOMONTH(A36,0)+20)-DateToday)/365.25))</f>
        <v>#N/A</v>
      </c>
      <c r="BQ36" s="0" t="n">
        <f aca="false">IF($A36="N/A"," ",(VLOOKUP($A36,NumberofDaysTable,2)))</f>
        <v>21</v>
      </c>
      <c r="BR36" s="0" t="n">
        <f aca="false">IF($A36="N/A"," ",(VLOOKUP($A36,NumberofDaysTable,3)))</f>
        <v>4</v>
      </c>
      <c r="BS36" s="0" t="n">
        <f aca="false">IF($A36="N/A"," ",(VLOOKUP($A36,NumberofDaysTable,4)))</f>
        <v>5</v>
      </c>
    </row>
    <row r="37" customFormat="false" ht="12.75" hidden="false" customHeight="false" outlineLevel="0" collapsed="false">
      <c r="A37" s="315" t="n">
        <f aca="false">IF(A36="N/A","N/A",IF(EDATE(A36,1)&gt;Inputs!$M$5,"N/A",EDATE(A36,1)))</f>
        <v>38261</v>
      </c>
      <c r="B37" s="316" t="n">
        <f aca="false">IF(A37="N/A"," ",YEAR(A37))</f>
        <v>2004</v>
      </c>
      <c r="C37" s="317" t="n">
        <f aca="false">IF($A37="N/A"," ",IF(Dayrun1=10,0,IF(Scaler1=1,(VLOOKUP(A37,ScaledPrice1,4)),(VLOOKUP(A37,ScaledPrice1,2)))))</f>
        <v>30.9515632390976</v>
      </c>
      <c r="D37" s="317" t="n">
        <f aca="false">IF(A37="N/A"," ",IF(Dayrun1&gt;=7,0,IF(Scaler1=2,VLOOKUP(A37,ScaledPrice1,2),(VLOOKUP(A37,ScaledPrice1,2))*(2-(VLOOKUP(A37,ScaledPrice1,3))))))</f>
        <v>30.9515632390976</v>
      </c>
      <c r="E37" s="317" t="n">
        <f aca="false">IF($A37="N/A"," ",IF(AND(Dayrun1&gt;=4,Dayrun1&lt;=9),0,VLOOKUP($A37,ScaledPrice1,9)))</f>
        <v>16.540002822876</v>
      </c>
      <c r="F37" s="317" t="n">
        <f aca="false">IF(A37="N/A"," ",IF(OR(Dayrun1=2,Dayrun1=3,Dayrun1=5,Dayrun1=6,Dayrun1=8,Dayrun1=9),VLOOKUP(A37,ScaledPrice1,IF(Scaler1=1,6,5)),0))</f>
        <v>20.2860012054443</v>
      </c>
      <c r="G37" s="317" t="n">
        <f aca="false">IF(A37="N/A"," ",IF(OR(Dayrun1=2,Dayrun1=3,Dayrun1=5,Dayrun1=6),IF(Scaler1=2,F37,(VLOOKUP(A37,ScaledPrice1,5))*(2-(VLOOKUP(A37,ScaledPrice1,3)))),0))</f>
        <v>20.2860012054443</v>
      </c>
      <c r="H37" s="317" t="n">
        <f aca="false">IF($A37="N/A"," ",IF(OR(Dayrun1=2,Dayrun1=3,Dayrun1=10),VLOOKUP($A37,ScaledPrice1,9),0))</f>
        <v>16.540002822876</v>
      </c>
      <c r="I37" s="317" t="n">
        <f aca="false">IF(A37="N/A"," ",IF(OR(Dayrun1=3,Dayrun1=6,Dayrun1=9),(VLOOKUP(A37,ScaledPrice1,IF(Scaler1=2,7,8))),0))</f>
        <v>14.7865009307861</v>
      </c>
      <c r="J37" s="317" t="n">
        <f aca="false">IF(A37="N/A"," ",IF(OR(Dayrun1=3,Dayrun1=6),IF(Scaler1=2,I37,(VLOOKUP(A37,ScaledPrice1,7))*(2-(VLOOKUP(A37,ScaledPrice1,3)))),0))</f>
        <v>14.7865009307861</v>
      </c>
      <c r="K37" s="317" t="n">
        <f aca="false">IF($A37="N/A"," ",IF(OR(Dayrun1=3,Dayrun1=10),VLOOKUP($A37,ScaledPrice1,9),0))</f>
        <v>16.540002822876</v>
      </c>
      <c r="L37" s="318" t="n">
        <f aca="false">IF($A37="N/A"," ",IF(Pricetype1=2,MAX(C37,0),IF(OR(Pricetype1=1,Pricetype1=4),IF(C37=0,0,(EURO(C37,Strikeprice1,0,0,($AH37+IF(Smile=TRUE(),VLOOKUP(MAX(-5,Strikeprice1-C37),Volsmile,2),0)),($A37-DateToday)+15,IF(Pricetype1=1,1,0),0))),C37)))</f>
        <v>30.9515632390976</v>
      </c>
      <c r="M37" s="318" t="n">
        <f aca="false">IF($A37="N/A"," ",IF(Pricetype1=2,MAX(D37,0),IF(OR(Pricetype1=1,Pricetype1=4),IF(D37=0,0,(EURO(D37,Strikeprice1,0,0,($AH37+IF(Smile=TRUE(),VLOOKUP(MAX(-5,Strikeprice1-D37),Volsmile,2),0)),($A37-DateToday)+15,IF(Pricetype1=1,1,0),0))),D37)))</f>
        <v>30.9515632390976</v>
      </c>
      <c r="N37" s="318" t="n">
        <f aca="false">IF($A37="N/A"," ",IF(Pricetype1=2,MAX(E37,0),IF(OR(Pricetype1=1,Pricetype1=4),IF(E37=0,0,(EURO(E37,Strikeprice1,0,0,($AK37+IF(Smile=TRUE(),VLOOKUP(MAX(-5,Strikeprice1-E37),Volsmile,2),0)),($A37-DateToday)+15,IF(Pricetype1=1,1,0),0))),E37)))</f>
        <v>16.540002822876</v>
      </c>
      <c r="O37" s="318" t="n">
        <f aca="false">IF($A37="N/A"," ",IF(Pricetype1=2,MAX(F37,0),IF(OR(Pricetype1=1,Pricetype1=4),IF(F37=0,0,(EURO(F37,Strikeprice1,0,0,($AK37+IF(Smile=TRUE(),VLOOKUP(MAX(-5,Strikeprice1-F37),Volsmile,2),0)),($A37-DateToday)+15,IF(Pricetype1=1,1,0),0))),F37)))</f>
        <v>20.2860012054443</v>
      </c>
      <c r="P37" s="318" t="n">
        <f aca="false">IF($A37="N/A"," ",IF(Pricetype1=2,MAX(G37,0),IF(OR(Pricetype1=1,Pricetype1=4),IF(G37=0,0,(EURO(G37,Strikeprice1,0,0,($AK37+IF(Smile=TRUE(),VLOOKUP(MAX(-5,Strikeprice1-G37),Volsmile,2),0)),($A37-DateToday)+15,IF(Pricetype1=1,1,0),0))),G37)))</f>
        <v>20.2860012054443</v>
      </c>
      <c r="Q37" s="318" t="n">
        <f aca="false">IF($A37="N/A"," ",IF(Pricetype1=2,MAX(H37,0),IF(OR(Pricetype1=1,Pricetype1=4),IF(H37=0,0,(EURO(H37,Strikeprice1,0,0,($AK37+IF(Smile=TRUE(),VLOOKUP(MAX(-5,Strikeprice1-H37),Volsmile,2),0)),($A37-DateToday)+15,IF(Pricetype1=1,1,0),0))),H37)))</f>
        <v>16.540002822876</v>
      </c>
      <c r="R37" s="318" t="n">
        <f aca="false">IF($A37="N/A"," ",IF(Pricetype1=2,MAX(I37,0),IF(OR(Pricetype1=1,Pricetype1=4),IF(I37=0,0,(EURO(I37,Strikeprice1,0,0,($AK37+IF(Smile=TRUE(),VLOOKUP(MAX(-5,Strikeprice1-I37),Volsmile,2),0)),($A37-DateToday)+15,IF(Pricetype1=1,1,0),0))),I37)))</f>
        <v>14.7865009307861</v>
      </c>
      <c r="S37" s="318" t="n">
        <f aca="false">IF($A37="N/A"," ",IF(Pricetype1=2,MAX(J37,0),IF(OR(Pricetype1=1,Pricetype1=4),IF(J37=0,0,(EURO(J37,Strikeprice1,0,0,($AK37+IF(Smile=TRUE(),VLOOKUP(MAX(-5,Strikeprice1-J37),Volsmile,2),0)),($A37-DateToday)+15,IF(Pricetype1=1,1,0),0))),J37)))</f>
        <v>14.7865009307861</v>
      </c>
      <c r="T37" s="318" t="n">
        <f aca="false">IF($A37="N/A"," ",IF(Pricetype1=2,MAX(K37,0),IF(OR(Pricetype1=1,Pricetype1=4),IF(K37=0,0,(EURO(K37,Strikeprice1,0,0,($AK37+IF(Smile=TRUE(),VLOOKUP(MAX(-5,Strikeprice1-K37),Volsmile,2),0)),($A37-DateToday)+15,IF(Pricetype1=1,1,0),0))),K37)))</f>
        <v>16.540002822876</v>
      </c>
      <c r="U37" s="319" t="e">
        <f aca="false">IF($A37="N/A"," ",Volume1*$AM37)</f>
        <v>#N/A</v>
      </c>
      <c r="V37" s="320" t="e">
        <f aca="false">IF($A37="N/A"," ",$U37*(8*($BQ37))*L37)</f>
        <v>#N/A</v>
      </c>
      <c r="W37" s="320" t="e">
        <f aca="false">IF($A37="N/A"," ",$U37*(8*($BQ37))*M37)</f>
        <v>#N/A</v>
      </c>
      <c r="X37" s="320" t="e">
        <f aca="false">IF($A37="N/A"," ",$U37*(8*($BQ37))*N37)</f>
        <v>#N/A</v>
      </c>
      <c r="Y37" s="320" t="e">
        <f aca="false">IF($A37="N/A"," ",$U37*(8*($BR37))*O37)</f>
        <v>#N/A</v>
      </c>
      <c r="Z37" s="320" t="e">
        <f aca="false">IF($A37="N/A"," ",$U37*(8*($BR37))*P37)</f>
        <v>#N/A</v>
      </c>
      <c r="AA37" s="320" t="e">
        <f aca="false">IF($A37="N/A"," ",$U37*(8*($BR37))*Q37)</f>
        <v>#N/A</v>
      </c>
      <c r="AB37" s="320" t="e">
        <f aca="false">IF($A37="N/A"," ",$U37*(8*($BS37))*R37)</f>
        <v>#N/A</v>
      </c>
      <c r="AC37" s="320" t="e">
        <f aca="false">IF($A37="N/A"," ",$U37*(8*($BS37))*S37)</f>
        <v>#N/A</v>
      </c>
      <c r="AD37" s="320" t="e">
        <f aca="false">IF($A37="N/A"," ",$U37*(8*($BS37))*T37)</f>
        <v>#N/A</v>
      </c>
      <c r="AE37" s="320" t="e">
        <f aca="false">IF($A37="N/A"," ",SUM(V37:AD37))</f>
        <v>#N/A</v>
      </c>
      <c r="AF37" s="321" t="n">
        <f aca="false">IF(A37="N/A"," ",(VLOOKUP(A37,PowerVolTable,(IF(VolBMO1=2,7,IF(VolBMO1=1,6,8))),FALSE())))</f>
        <v>0.2</v>
      </c>
      <c r="AG37" s="321" t="n">
        <f aca="false">IF(A37="N/A"," ",(VLOOKUP(A37,IntraPowerVol,(IF(VolBMO1=2,3,IF(VolBMO1=1,2,4))),FALSE())*VLOOKUP(MONTH($A37),Volscale,2)))</f>
        <v>0.4</v>
      </c>
      <c r="AH37" s="321" t="n">
        <f aca="false">IF($A37="N/A"," ",IF(VolType1=1,AG37,AF37))</f>
        <v>0.4</v>
      </c>
      <c r="AI37" s="321" t="n">
        <f aca="false">IF($A37="N/A"," ",(VLOOKUP($A37,OffPwrVolTable,(IF(VolBMO1=2,7,IF(VolBMO1=1,6,8))),FALSE())))</f>
        <v>0.1</v>
      </c>
      <c r="AJ37" s="321" t="n">
        <f aca="false">IF($A37="N/A"," ",(VLOOKUP($A37,OffPwrVolTable,(IF(VolBMO1=2,3,IF(VolBMO1=1,2,4))),FALSE())*VLOOKUP(MONTH($A37),Volscale,2)))</f>
        <v>0.24</v>
      </c>
      <c r="AK37" s="321" t="n">
        <f aca="false">IF($A37="N/A"," ",IF(VolType1=1,AJ37,AI37))</f>
        <v>0.24</v>
      </c>
      <c r="AL37" s="321" t="e">
        <f aca="false">IF($A37="N/A"," ",IF(PV=1,0,'Pricing Inputs1'!R70))</f>
        <v>#N/A</v>
      </c>
      <c r="AM37" s="323" t="e">
        <f aca="false">IF($A37="N/A"," ",(1+AL37/2)^(-2*((EOMONTH(A37,0)+20)-DateToday)/365.25))</f>
        <v>#N/A</v>
      </c>
      <c r="BQ37" s="0" t="n">
        <f aca="false">IF($A37="N/A"," ",(VLOOKUP($A37,NumberofDaysTable,2)))</f>
        <v>21</v>
      </c>
      <c r="BR37" s="0" t="n">
        <f aca="false">IF($A37="N/A"," ",(VLOOKUP($A37,NumberofDaysTable,3)))</f>
        <v>5</v>
      </c>
      <c r="BS37" s="0" t="n">
        <f aca="false">IF($A37="N/A"," ",(VLOOKUP($A37,NumberofDaysTable,4)))</f>
        <v>5</v>
      </c>
    </row>
    <row r="38" customFormat="false" ht="12.75" hidden="false" customHeight="false" outlineLevel="0" collapsed="false">
      <c r="A38" s="315" t="n">
        <f aca="false">IF(A37="N/A","N/A",IF(EDATE(A37,1)&gt;Inputs!$M$5,"N/A",EDATE(A37,1)))</f>
        <v>38292</v>
      </c>
      <c r="B38" s="316" t="n">
        <f aca="false">IF(A38="N/A"," ",YEAR(A38))</f>
        <v>2004</v>
      </c>
      <c r="C38" s="317" t="n">
        <f aca="false">IF($A38="N/A"," ",IF(Dayrun1=10,0,IF(Scaler1=1,(VLOOKUP(A38,ScaledPrice1,4)),(VLOOKUP(A38,ScaledPrice1,2)))))</f>
        <v>31.0515617132187</v>
      </c>
      <c r="D38" s="317" t="n">
        <f aca="false">IF(A38="N/A"," ",IF(Dayrun1&gt;=7,0,IF(Scaler1=2,VLOOKUP(A38,ScaledPrice1,2),(VLOOKUP(A38,ScaledPrice1,2))*(2-(VLOOKUP(A38,ScaledPrice1,3))))))</f>
        <v>31.0515617132187</v>
      </c>
      <c r="E38" s="317" t="n">
        <f aca="false">IF($A38="N/A"," ",IF(AND(Dayrun1&gt;=4,Dayrun1&lt;=9),0,VLOOKUP($A38,ScaledPrice1,9)))</f>
        <v>17.5400009155273</v>
      </c>
      <c r="F38" s="317" t="n">
        <f aca="false">IF(A38="N/A"," ",IF(OR(Dayrun1=2,Dayrun1=3,Dayrun1=5,Dayrun1=6,Dayrun1=8,Dayrun1=9),VLOOKUP(A38,ScaledPrice1,IF(Scaler1=1,6,5)),0))</f>
        <v>22.2900009155273</v>
      </c>
      <c r="G38" s="317" t="n">
        <f aca="false">IF(A38="N/A"," ",IF(OR(Dayrun1=2,Dayrun1=3,Dayrun1=5,Dayrun1=6),IF(Scaler1=2,F38,(VLOOKUP(A38,ScaledPrice1,5))*(2-(VLOOKUP(A38,ScaledPrice1,3)))),0))</f>
        <v>22.2900009155273</v>
      </c>
      <c r="H38" s="317" t="n">
        <f aca="false">IF($A38="N/A"," ",IF(OR(Dayrun1=2,Dayrun1=3,Dayrun1=10),VLOOKUP($A38,ScaledPrice1,9),0))</f>
        <v>17.5400009155273</v>
      </c>
      <c r="I38" s="317" t="n">
        <f aca="false">IF(A38="N/A"," ",IF(OR(Dayrun1=3,Dayrun1=6,Dayrun1=9),(VLOOKUP(A38,ScaledPrice1,IF(Scaler1=2,7,8))),0))</f>
        <v>14.7900009155273</v>
      </c>
      <c r="J38" s="317" t="n">
        <f aca="false">IF(A38="N/A"," ",IF(OR(Dayrun1=3,Dayrun1=6),IF(Scaler1=2,I38,(VLOOKUP(A38,ScaledPrice1,7))*(2-(VLOOKUP(A38,ScaledPrice1,3)))),0))</f>
        <v>14.7900009155273</v>
      </c>
      <c r="K38" s="317" t="n">
        <f aca="false">IF($A38="N/A"," ",IF(OR(Dayrun1=3,Dayrun1=10),VLOOKUP($A38,ScaledPrice1,9),0))</f>
        <v>17.5400009155273</v>
      </c>
      <c r="L38" s="318" t="n">
        <f aca="false">IF($A38="N/A"," ",IF(Pricetype1=2,MAX(C38,0),IF(OR(Pricetype1=1,Pricetype1=4),IF(C38=0,0,(EURO(C38,Strikeprice1,0,0,($AH38+IF(Smile=TRUE(),VLOOKUP(MAX(-5,Strikeprice1-C38),Volsmile,2),0)),($A38-DateToday)+15,IF(Pricetype1=1,1,0),0))),C38)))</f>
        <v>31.0515617132187</v>
      </c>
      <c r="M38" s="318" t="n">
        <f aca="false">IF($A38="N/A"," ",IF(Pricetype1=2,MAX(D38,0),IF(OR(Pricetype1=1,Pricetype1=4),IF(D38=0,0,(EURO(D38,Strikeprice1,0,0,($AH38+IF(Smile=TRUE(),VLOOKUP(MAX(-5,Strikeprice1-D38),Volsmile,2),0)),($A38-DateToday)+15,IF(Pricetype1=1,1,0),0))),D38)))</f>
        <v>31.0515617132187</v>
      </c>
      <c r="N38" s="318" t="n">
        <f aca="false">IF($A38="N/A"," ",IF(Pricetype1=2,MAX(E38,0),IF(OR(Pricetype1=1,Pricetype1=4),IF(E38=0,0,(EURO(E38,Strikeprice1,0,0,($AK38+IF(Smile=TRUE(),VLOOKUP(MAX(-5,Strikeprice1-E38),Volsmile,2),0)),($A38-DateToday)+15,IF(Pricetype1=1,1,0),0))),E38)))</f>
        <v>17.5400009155273</v>
      </c>
      <c r="O38" s="318" t="n">
        <f aca="false">IF($A38="N/A"," ",IF(Pricetype1=2,MAX(F38,0),IF(OR(Pricetype1=1,Pricetype1=4),IF(F38=0,0,(EURO(F38,Strikeprice1,0,0,($AK38+IF(Smile=TRUE(),VLOOKUP(MAX(-5,Strikeprice1-F38),Volsmile,2),0)),($A38-DateToday)+15,IF(Pricetype1=1,1,0),0))),F38)))</f>
        <v>22.2900009155273</v>
      </c>
      <c r="P38" s="318" t="n">
        <f aca="false">IF($A38="N/A"," ",IF(Pricetype1=2,MAX(G38,0),IF(OR(Pricetype1=1,Pricetype1=4),IF(G38=0,0,(EURO(G38,Strikeprice1,0,0,($AK38+IF(Smile=TRUE(),VLOOKUP(MAX(-5,Strikeprice1-G38),Volsmile,2),0)),($A38-DateToday)+15,IF(Pricetype1=1,1,0),0))),G38)))</f>
        <v>22.2900009155273</v>
      </c>
      <c r="Q38" s="318" t="n">
        <f aca="false">IF($A38="N/A"," ",IF(Pricetype1=2,MAX(H38,0),IF(OR(Pricetype1=1,Pricetype1=4),IF(H38=0,0,(EURO(H38,Strikeprice1,0,0,($AK38+IF(Smile=TRUE(),VLOOKUP(MAX(-5,Strikeprice1-H38),Volsmile,2),0)),($A38-DateToday)+15,IF(Pricetype1=1,1,0),0))),H38)))</f>
        <v>17.5400009155273</v>
      </c>
      <c r="R38" s="318" t="n">
        <f aca="false">IF($A38="N/A"," ",IF(Pricetype1=2,MAX(I38,0),IF(OR(Pricetype1=1,Pricetype1=4),IF(I38=0,0,(EURO(I38,Strikeprice1,0,0,($AK38+IF(Smile=TRUE(),VLOOKUP(MAX(-5,Strikeprice1-I38),Volsmile,2),0)),($A38-DateToday)+15,IF(Pricetype1=1,1,0),0))),I38)))</f>
        <v>14.7900009155273</v>
      </c>
      <c r="S38" s="318" t="n">
        <f aca="false">IF($A38="N/A"," ",IF(Pricetype1=2,MAX(J38,0),IF(OR(Pricetype1=1,Pricetype1=4),IF(J38=0,0,(EURO(J38,Strikeprice1,0,0,($AK38+IF(Smile=TRUE(),VLOOKUP(MAX(-5,Strikeprice1-J38),Volsmile,2),0)),($A38-DateToday)+15,IF(Pricetype1=1,1,0),0))),J38)))</f>
        <v>14.7900009155273</v>
      </c>
      <c r="T38" s="318" t="n">
        <f aca="false">IF($A38="N/A"," ",IF(Pricetype1=2,MAX(K38,0),IF(OR(Pricetype1=1,Pricetype1=4),IF(K38=0,0,(EURO(K38,Strikeprice1,0,0,($AK38+IF(Smile=TRUE(),VLOOKUP(MAX(-5,Strikeprice1-K38),Volsmile,2),0)),($A38-DateToday)+15,IF(Pricetype1=1,1,0),0))),K38)))</f>
        <v>17.5400009155273</v>
      </c>
      <c r="U38" s="319" t="e">
        <f aca="false">IF($A38="N/A"," ",Volume1*$AM38)</f>
        <v>#N/A</v>
      </c>
      <c r="V38" s="320" t="e">
        <f aca="false">IF($A38="N/A"," ",$U38*(8*($BQ38))*L38)</f>
        <v>#N/A</v>
      </c>
      <c r="W38" s="320" t="e">
        <f aca="false">IF($A38="N/A"," ",$U38*(8*($BQ38))*M38)</f>
        <v>#N/A</v>
      </c>
      <c r="X38" s="320" t="e">
        <f aca="false">IF($A38="N/A"," ",$U38*(8*($BQ38))*N38)</f>
        <v>#N/A</v>
      </c>
      <c r="Y38" s="320" t="e">
        <f aca="false">IF($A38="N/A"," ",$U38*(8*($BR38))*O38)</f>
        <v>#N/A</v>
      </c>
      <c r="Z38" s="320" t="e">
        <f aca="false">IF($A38="N/A"," ",$U38*(8*($BR38))*P38)</f>
        <v>#N/A</v>
      </c>
      <c r="AA38" s="320" t="e">
        <f aca="false">IF($A38="N/A"," ",$U38*(8*($BR38))*Q38)</f>
        <v>#N/A</v>
      </c>
      <c r="AB38" s="320" t="e">
        <f aca="false">IF($A38="N/A"," ",$U38*(8*($BS38))*R38)</f>
        <v>#N/A</v>
      </c>
      <c r="AC38" s="320" t="e">
        <f aca="false">IF($A38="N/A"," ",$U38*(8*($BS38))*S38)</f>
        <v>#N/A</v>
      </c>
      <c r="AD38" s="320" t="e">
        <f aca="false">IF($A38="N/A"," ",$U38*(8*($BS38))*T38)</f>
        <v>#N/A</v>
      </c>
      <c r="AE38" s="320" t="e">
        <f aca="false">IF($A38="N/A"," ",SUM(V38:AD38))</f>
        <v>#N/A</v>
      </c>
      <c r="AF38" s="321" t="n">
        <f aca="false">IF(A38="N/A"," ",(VLOOKUP(A38,PowerVolTable,(IF(VolBMO1=2,7,IF(VolBMO1=1,6,8))),FALSE())))</f>
        <v>0.2</v>
      </c>
      <c r="AG38" s="321" t="n">
        <f aca="false">IF(A38="N/A"," ",(VLOOKUP(A38,IntraPowerVol,(IF(VolBMO1=2,3,IF(VolBMO1=1,2,4))),FALSE())*VLOOKUP(MONTH($A38),Volscale,2)))</f>
        <v>0.4</v>
      </c>
      <c r="AH38" s="321" t="n">
        <f aca="false">IF($A38="N/A"," ",IF(VolType1=1,AG38,AF38))</f>
        <v>0.4</v>
      </c>
      <c r="AI38" s="321" t="n">
        <f aca="false">IF($A38="N/A"," ",(VLOOKUP($A38,OffPwrVolTable,(IF(VolBMO1=2,7,IF(VolBMO1=1,6,8))),FALSE())))</f>
        <v>0.1</v>
      </c>
      <c r="AJ38" s="321" t="n">
        <f aca="false">IF($A38="N/A"," ",(VLOOKUP($A38,OffPwrVolTable,(IF(VolBMO1=2,3,IF(VolBMO1=1,2,4))),FALSE())*VLOOKUP(MONTH($A38),Volscale,2)))</f>
        <v>0.24</v>
      </c>
      <c r="AK38" s="321" t="n">
        <f aca="false">IF($A38="N/A"," ",IF(VolType1=1,AJ38,AI38))</f>
        <v>0.24</v>
      </c>
      <c r="AL38" s="321" t="e">
        <f aca="false">IF($A38="N/A"," ",IF(PV=1,0,'Pricing Inputs1'!R71))</f>
        <v>#N/A</v>
      </c>
      <c r="AM38" s="323" t="e">
        <f aca="false">IF($A38="N/A"," ",(1+AL38/2)^(-2*((EOMONTH(A38,0)+20)-DateToday)/365.25))</f>
        <v>#N/A</v>
      </c>
      <c r="BQ38" s="0" t="n">
        <f aca="false">IF($A38="N/A"," ",(VLOOKUP($A38,NumberofDaysTable,2)))</f>
        <v>21</v>
      </c>
      <c r="BR38" s="0" t="n">
        <f aca="false">IF($A38="N/A"," ",(VLOOKUP($A38,NumberofDaysTable,3)))</f>
        <v>4</v>
      </c>
      <c r="BS38" s="0" t="n">
        <f aca="false">IF($A38="N/A"," ",(VLOOKUP($A38,NumberofDaysTable,4)))</f>
        <v>5</v>
      </c>
    </row>
    <row r="39" customFormat="false" ht="12.75" hidden="false" customHeight="false" outlineLevel="0" collapsed="false">
      <c r="A39" s="315" t="n">
        <f aca="false">IF(A38="N/A","N/A",IF(EDATE(A38,1)&gt;Inputs!$M$5,"N/A",EDATE(A38,1)))</f>
        <v>38322</v>
      </c>
      <c r="B39" s="316" t="n">
        <f aca="false">IF(A39="N/A"," ",YEAR(A39))</f>
        <v>2004</v>
      </c>
      <c r="C39" s="317" t="n">
        <f aca="false">IF($A39="N/A"," ",IF(Dayrun1=10,0,IF(Scaler1=1,(VLOOKUP(A39,ScaledPrice1,4)),(VLOOKUP(A39,ScaledPrice1,2)))))</f>
        <v>31.1515601873398</v>
      </c>
      <c r="D39" s="317" t="n">
        <f aca="false">IF(A39="N/A"," ",IF(Dayrun1&gt;=7,0,IF(Scaler1=2,VLOOKUP(A39,ScaledPrice1,2),(VLOOKUP(A39,ScaledPrice1,2))*(2-(VLOOKUP(A39,ScaledPrice1,3))))))</f>
        <v>31.1515601873398</v>
      </c>
      <c r="E39" s="317" t="n">
        <f aca="false">IF($A39="N/A"," ",IF(AND(Dayrun1&gt;=4,Dayrun1&lt;=9),0,VLOOKUP($A39,ScaledPrice1,9)))</f>
        <v>19.7900009155273</v>
      </c>
      <c r="F39" s="317" t="n">
        <f aca="false">IF(A39="N/A"," ",IF(OR(Dayrun1=2,Dayrun1=3,Dayrun1=5,Dayrun1=6,Dayrun1=8,Dayrun1=9),VLOOKUP(A39,ScaledPrice1,IF(Scaler1=1,6,5)),0))</f>
        <v>27.2900009155273</v>
      </c>
      <c r="G39" s="317" t="n">
        <f aca="false">IF(A39="N/A"," ",IF(OR(Dayrun1=2,Dayrun1=3,Dayrun1=5,Dayrun1=6),IF(Scaler1=2,F39,(VLOOKUP(A39,ScaledPrice1,5))*(2-(VLOOKUP(A39,ScaledPrice1,3)))),0))</f>
        <v>27.2900009155273</v>
      </c>
      <c r="H39" s="317" t="n">
        <f aca="false">IF($A39="N/A"," ",IF(OR(Dayrun1=2,Dayrun1=3,Dayrun1=10),VLOOKUP($A39,ScaledPrice1,9),0))</f>
        <v>19.7900009155273</v>
      </c>
      <c r="I39" s="317" t="n">
        <f aca="false">IF(A39="N/A"," ",IF(OR(Dayrun1=3,Dayrun1=6,Dayrun1=9),(VLOOKUP(A39,ScaledPrice1,IF(Scaler1=2,7,8))),0))</f>
        <v>21.7900009155273</v>
      </c>
      <c r="J39" s="317" t="n">
        <f aca="false">IF(A39="N/A"," ",IF(OR(Dayrun1=3,Dayrun1=6),IF(Scaler1=2,I39,(VLOOKUP(A39,ScaledPrice1,7))*(2-(VLOOKUP(A39,ScaledPrice1,3)))),0))</f>
        <v>21.7900009155273</v>
      </c>
      <c r="K39" s="317" t="n">
        <f aca="false">IF($A39="N/A"," ",IF(OR(Dayrun1=3,Dayrun1=10),VLOOKUP($A39,ScaledPrice1,9),0))</f>
        <v>19.7900009155273</v>
      </c>
      <c r="L39" s="318" t="n">
        <f aca="false">IF($A39="N/A"," ",IF(Pricetype1=2,MAX(C39,0),IF(OR(Pricetype1=1,Pricetype1=4),IF(C39=0,0,(EURO(C39,Strikeprice1,0,0,($AH39+IF(Smile=TRUE(),VLOOKUP(MAX(-5,Strikeprice1-C39),Volsmile,2),0)),($A39-DateToday)+15,IF(Pricetype1=1,1,0),0))),C39)))</f>
        <v>31.1515601873398</v>
      </c>
      <c r="M39" s="318" t="n">
        <f aca="false">IF($A39="N/A"," ",IF(Pricetype1=2,MAX(D39,0),IF(OR(Pricetype1=1,Pricetype1=4),IF(D39=0,0,(EURO(D39,Strikeprice1,0,0,($AH39+IF(Smile=TRUE(),VLOOKUP(MAX(-5,Strikeprice1-D39),Volsmile,2),0)),($A39-DateToday)+15,IF(Pricetype1=1,1,0),0))),D39)))</f>
        <v>31.1515601873398</v>
      </c>
      <c r="N39" s="318" t="n">
        <f aca="false">IF($A39="N/A"," ",IF(Pricetype1=2,MAX(E39,0),IF(OR(Pricetype1=1,Pricetype1=4),IF(E39=0,0,(EURO(E39,Strikeprice1,0,0,($AK39+IF(Smile=TRUE(),VLOOKUP(MAX(-5,Strikeprice1-E39),Volsmile,2),0)),($A39-DateToday)+15,IF(Pricetype1=1,1,0),0))),E39)))</f>
        <v>19.7900009155273</v>
      </c>
      <c r="O39" s="318" t="n">
        <f aca="false">IF($A39="N/A"," ",IF(Pricetype1=2,MAX(F39,0),IF(OR(Pricetype1=1,Pricetype1=4),IF(F39=0,0,(EURO(F39,Strikeprice1,0,0,($AK39+IF(Smile=TRUE(),VLOOKUP(MAX(-5,Strikeprice1-F39),Volsmile,2),0)),($A39-DateToday)+15,IF(Pricetype1=1,1,0),0))),F39)))</f>
        <v>27.2900009155273</v>
      </c>
      <c r="P39" s="318" t="n">
        <f aca="false">IF($A39="N/A"," ",IF(Pricetype1=2,MAX(G39,0),IF(OR(Pricetype1=1,Pricetype1=4),IF(G39=0,0,(EURO(G39,Strikeprice1,0,0,($AK39+IF(Smile=TRUE(),VLOOKUP(MAX(-5,Strikeprice1-G39),Volsmile,2),0)),($A39-DateToday)+15,IF(Pricetype1=1,1,0),0))),G39)))</f>
        <v>27.2900009155273</v>
      </c>
      <c r="Q39" s="318" t="n">
        <f aca="false">IF($A39="N/A"," ",IF(Pricetype1=2,MAX(H39,0),IF(OR(Pricetype1=1,Pricetype1=4),IF(H39=0,0,(EURO(H39,Strikeprice1,0,0,($AK39+IF(Smile=TRUE(),VLOOKUP(MAX(-5,Strikeprice1-H39),Volsmile,2),0)),($A39-DateToday)+15,IF(Pricetype1=1,1,0),0))),H39)))</f>
        <v>19.7900009155273</v>
      </c>
      <c r="R39" s="318" t="n">
        <f aca="false">IF($A39="N/A"," ",IF(Pricetype1=2,MAX(I39,0),IF(OR(Pricetype1=1,Pricetype1=4),IF(I39=0,0,(EURO(I39,Strikeprice1,0,0,($AK39+IF(Smile=TRUE(),VLOOKUP(MAX(-5,Strikeprice1-I39),Volsmile,2),0)),($A39-DateToday)+15,IF(Pricetype1=1,1,0),0))),I39)))</f>
        <v>21.7900009155273</v>
      </c>
      <c r="S39" s="318" t="n">
        <f aca="false">IF($A39="N/A"," ",IF(Pricetype1=2,MAX(J39,0),IF(OR(Pricetype1=1,Pricetype1=4),IF(J39=0,0,(EURO(J39,Strikeprice1,0,0,($AK39+IF(Smile=TRUE(),VLOOKUP(MAX(-5,Strikeprice1-J39),Volsmile,2),0)),($A39-DateToday)+15,IF(Pricetype1=1,1,0),0))),J39)))</f>
        <v>21.7900009155273</v>
      </c>
      <c r="T39" s="318" t="n">
        <f aca="false">IF($A39="N/A"," ",IF(Pricetype1=2,MAX(K39,0),IF(OR(Pricetype1=1,Pricetype1=4),IF(K39=0,0,(EURO(K39,Strikeprice1,0,0,($AK39+IF(Smile=TRUE(),VLOOKUP(MAX(-5,Strikeprice1-K39),Volsmile,2),0)),($A39-DateToday)+15,IF(Pricetype1=1,1,0),0))),K39)))</f>
        <v>19.7900009155273</v>
      </c>
      <c r="U39" s="319" t="e">
        <f aca="false">IF($A39="N/A"," ",Volume1*$AM39)</f>
        <v>#N/A</v>
      </c>
      <c r="V39" s="320" t="e">
        <f aca="false">IF($A39="N/A"," ",$U39*(8*($BQ39))*L39)</f>
        <v>#N/A</v>
      </c>
      <c r="W39" s="320" t="e">
        <f aca="false">IF($A39="N/A"," ",$U39*(8*($BQ39))*M39)</f>
        <v>#N/A</v>
      </c>
      <c r="X39" s="320" t="e">
        <f aca="false">IF($A39="N/A"," ",$U39*(8*($BQ39))*N39)</f>
        <v>#N/A</v>
      </c>
      <c r="Y39" s="320" t="e">
        <f aca="false">IF($A39="N/A"," ",$U39*(8*($BR39))*O39)</f>
        <v>#N/A</v>
      </c>
      <c r="Z39" s="320" t="e">
        <f aca="false">IF($A39="N/A"," ",$U39*(8*($BR39))*P39)</f>
        <v>#N/A</v>
      </c>
      <c r="AA39" s="320" t="e">
        <f aca="false">IF($A39="N/A"," ",$U39*(8*($BR39))*Q39)</f>
        <v>#N/A</v>
      </c>
      <c r="AB39" s="320" t="e">
        <f aca="false">IF($A39="N/A"," ",$U39*(8*($BS39))*R39)</f>
        <v>#N/A</v>
      </c>
      <c r="AC39" s="320" t="e">
        <f aca="false">IF($A39="N/A"," ",$U39*(8*($BS39))*S39)</f>
        <v>#N/A</v>
      </c>
      <c r="AD39" s="320" t="e">
        <f aca="false">IF($A39="N/A"," ",$U39*(8*($BS39))*T39)</f>
        <v>#N/A</v>
      </c>
      <c r="AE39" s="320" t="e">
        <f aca="false">IF($A39="N/A"," ",SUM(V39:AD39))</f>
        <v>#N/A</v>
      </c>
      <c r="AF39" s="321" t="n">
        <f aca="false">IF(A39="N/A"," ",(VLOOKUP(A39,PowerVolTable,(IF(VolBMO1=2,7,IF(VolBMO1=1,6,8))),FALSE())))</f>
        <v>0.2</v>
      </c>
      <c r="AG39" s="321" t="n">
        <f aca="false">IF(A39="N/A"," ",(VLOOKUP(A39,IntraPowerVol,(IF(VolBMO1=2,3,IF(VolBMO1=1,2,4))),FALSE())*VLOOKUP(MONTH($A39),Volscale,2)))</f>
        <v>0.4</v>
      </c>
      <c r="AH39" s="321" t="n">
        <f aca="false">IF($A39="N/A"," ",IF(VolType1=1,AG39,AF39))</f>
        <v>0.4</v>
      </c>
      <c r="AI39" s="321" t="n">
        <f aca="false">IF($A39="N/A"," ",(VLOOKUP($A39,OffPwrVolTable,(IF(VolBMO1=2,7,IF(VolBMO1=1,6,8))),FALSE())))</f>
        <v>0.1</v>
      </c>
      <c r="AJ39" s="321" t="n">
        <f aca="false">IF($A39="N/A"," ",(VLOOKUP($A39,OffPwrVolTable,(IF(VolBMO1=2,3,IF(VolBMO1=1,2,4))),FALSE())*VLOOKUP(MONTH($A39),Volscale,2)))</f>
        <v>0.24</v>
      </c>
      <c r="AK39" s="321" t="n">
        <f aca="false">IF($A39="N/A"," ",IF(VolType1=1,AJ39,AI39))</f>
        <v>0.24</v>
      </c>
      <c r="AL39" s="321" t="e">
        <f aca="false">IF($A39="N/A"," ",IF(PV=1,0,'Pricing Inputs1'!R72))</f>
        <v>#N/A</v>
      </c>
      <c r="AM39" s="323" t="e">
        <f aca="false">IF($A39="N/A"," ",(1+AL39/2)^(-2*((EOMONTH(A39,0)+20)-DateToday)/365.25))</f>
        <v>#N/A</v>
      </c>
      <c r="BQ39" s="0" t="n">
        <f aca="false">IF($A39="N/A"," ",(VLOOKUP($A39,NumberofDaysTable,2)))</f>
        <v>23</v>
      </c>
      <c r="BR39" s="0" t="n">
        <f aca="false">IF($A39="N/A"," ",(VLOOKUP($A39,NumberofDaysTable,3)))</f>
        <v>3</v>
      </c>
      <c r="BS39" s="0" t="n">
        <f aca="false">IF($A39="N/A"," ",(VLOOKUP($A39,NumberofDaysTable,4)))</f>
        <v>5</v>
      </c>
    </row>
    <row r="40" customFormat="false" ht="12.75" hidden="false" customHeight="false" outlineLevel="0" collapsed="false">
      <c r="A40" s="315" t="n">
        <f aca="false">IF(A39="N/A","N/A",IF(EDATE(A39,1)&gt;Inputs!$M$5,"N/A",EDATE(A39,1)))</f>
        <v>38353</v>
      </c>
      <c r="B40" s="316" t="n">
        <f aca="false">IF(A40="N/A"," ",YEAR(A40))</f>
        <v>2005</v>
      </c>
      <c r="C40" s="317" t="n">
        <f aca="false">IF($A40="N/A"," ",IF(Dayrun1=10,0,IF(Scaler1=1,(VLOOKUP(A40,ScaledPrice1,4)),(VLOOKUP(A40,ScaledPrice1,2)))))</f>
        <v>35.1757147652762</v>
      </c>
      <c r="D40" s="317" t="n">
        <f aca="false">IF(A40="N/A"," ",IF(Dayrun1&gt;=7,0,IF(Scaler1=2,VLOOKUP(A40,ScaledPrice1,2),(VLOOKUP(A40,ScaledPrice1,2))*(2-(VLOOKUP(A40,ScaledPrice1,3))))))</f>
        <v>35.1757147652762</v>
      </c>
      <c r="E40" s="317" t="n">
        <f aca="false">IF($A40="N/A"," ",IF(AND(Dayrun1&gt;=4,Dayrun1&lt;=9),0,VLOOKUP($A40,ScaledPrice1,9)))</f>
        <v>22</v>
      </c>
      <c r="F40" s="317" t="n">
        <f aca="false">IF(A40="N/A"," ",IF(OR(Dayrun1=2,Dayrun1=3,Dayrun1=5,Dayrun1=6,Dayrun1=8,Dayrun1=9),VLOOKUP(A40,ScaledPrice1,IF(Scaler1=1,6,5)),0))</f>
        <v>35.75</v>
      </c>
      <c r="G40" s="317" t="n">
        <f aca="false">IF(A40="N/A"," ",IF(OR(Dayrun1=2,Dayrun1=3,Dayrun1=5,Dayrun1=6),IF(Scaler1=2,F40,(VLOOKUP(A40,ScaledPrice1,5))*(2-(VLOOKUP(A40,ScaledPrice1,3)))),0))</f>
        <v>35.75</v>
      </c>
      <c r="H40" s="317" t="n">
        <f aca="false">IF($A40="N/A"," ",IF(OR(Dayrun1=2,Dayrun1=3,Dayrun1=10),VLOOKUP($A40,ScaledPrice1,9),0))</f>
        <v>22</v>
      </c>
      <c r="I40" s="317" t="n">
        <f aca="false">IF(A40="N/A"," ",IF(OR(Dayrun1=3,Dayrun1=6,Dayrun1=9),(VLOOKUP(A40,ScaledPrice1,IF(Scaler1=2,7,8))),0))</f>
        <v>25.25</v>
      </c>
      <c r="J40" s="317" t="n">
        <f aca="false">IF(A40="N/A"," ",IF(OR(Dayrun1=3,Dayrun1=6),IF(Scaler1=2,I40,(VLOOKUP(A40,ScaledPrice1,7))*(2-(VLOOKUP(A40,ScaledPrice1,3)))),0))</f>
        <v>25.25</v>
      </c>
      <c r="K40" s="317" t="n">
        <f aca="false">IF($A40="N/A"," ",IF(OR(Dayrun1=3,Dayrun1=10),VLOOKUP($A40,ScaledPrice1,9),0))</f>
        <v>22</v>
      </c>
      <c r="L40" s="318" t="n">
        <f aca="false">IF($A40="N/A"," ",IF(Pricetype1=2,MAX(C40,0),IF(OR(Pricetype1=1,Pricetype1=4),IF(C40=0,0,(EURO(C40,Strikeprice1,0,0,($AH40+IF(Smile=TRUE(),VLOOKUP(MAX(-5,Strikeprice1-C40),Volsmile,2),0)),($A40-DateToday)+15,IF(Pricetype1=1,1,0),0))),C40)))</f>
        <v>35.1757147652762</v>
      </c>
      <c r="M40" s="318" t="n">
        <f aca="false">IF($A40="N/A"," ",IF(Pricetype1=2,MAX(D40,0),IF(OR(Pricetype1=1,Pricetype1=4),IF(D40=0,0,(EURO(D40,Strikeprice1,0,0,($AH40+IF(Smile=TRUE(),VLOOKUP(MAX(-5,Strikeprice1-D40),Volsmile,2),0)),($A40-DateToday)+15,IF(Pricetype1=1,1,0),0))),D40)))</f>
        <v>35.1757147652762</v>
      </c>
      <c r="N40" s="318" t="n">
        <f aca="false">IF($A40="N/A"," ",IF(Pricetype1=2,MAX(E40,0),IF(OR(Pricetype1=1,Pricetype1=4),IF(E40=0,0,(EURO(E40,Strikeprice1,0,0,($AK40+IF(Smile=TRUE(),VLOOKUP(MAX(-5,Strikeprice1-E40),Volsmile,2),0)),($A40-DateToday)+15,IF(Pricetype1=1,1,0),0))),E40)))</f>
        <v>22</v>
      </c>
      <c r="O40" s="318" t="n">
        <f aca="false">IF($A40="N/A"," ",IF(Pricetype1=2,MAX(F40,0),IF(OR(Pricetype1=1,Pricetype1=4),IF(F40=0,0,(EURO(F40,Strikeprice1,0,0,($AK40+IF(Smile=TRUE(),VLOOKUP(MAX(-5,Strikeprice1-F40),Volsmile,2),0)),($A40-DateToday)+15,IF(Pricetype1=1,1,0),0))),F40)))</f>
        <v>35.75</v>
      </c>
      <c r="P40" s="318" t="n">
        <f aca="false">IF($A40="N/A"," ",IF(Pricetype1=2,MAX(G40,0),IF(OR(Pricetype1=1,Pricetype1=4),IF(G40=0,0,(EURO(G40,Strikeprice1,0,0,($AK40+IF(Smile=TRUE(),VLOOKUP(MAX(-5,Strikeprice1-G40),Volsmile,2),0)),($A40-DateToday)+15,IF(Pricetype1=1,1,0),0))),G40)))</f>
        <v>35.75</v>
      </c>
      <c r="Q40" s="318" t="n">
        <f aca="false">IF($A40="N/A"," ",IF(Pricetype1=2,MAX(H40,0),IF(OR(Pricetype1=1,Pricetype1=4),IF(H40=0,0,(EURO(H40,Strikeprice1,0,0,($AK40+IF(Smile=TRUE(),VLOOKUP(MAX(-5,Strikeprice1-H40),Volsmile,2),0)),($A40-DateToday)+15,IF(Pricetype1=1,1,0),0))),H40)))</f>
        <v>22</v>
      </c>
      <c r="R40" s="318" t="n">
        <f aca="false">IF($A40="N/A"," ",IF(Pricetype1=2,MAX(I40,0),IF(OR(Pricetype1=1,Pricetype1=4),IF(I40=0,0,(EURO(I40,Strikeprice1,0,0,($AK40+IF(Smile=TRUE(),VLOOKUP(MAX(-5,Strikeprice1-I40),Volsmile,2),0)),($A40-DateToday)+15,IF(Pricetype1=1,1,0),0))),I40)))</f>
        <v>25.25</v>
      </c>
      <c r="S40" s="318" t="n">
        <f aca="false">IF($A40="N/A"," ",IF(Pricetype1=2,MAX(J40,0),IF(OR(Pricetype1=1,Pricetype1=4),IF(J40=0,0,(EURO(J40,Strikeprice1,0,0,($AK40+IF(Smile=TRUE(),VLOOKUP(MAX(-5,Strikeprice1-J40),Volsmile,2),0)),($A40-DateToday)+15,IF(Pricetype1=1,1,0),0))),J40)))</f>
        <v>25.25</v>
      </c>
      <c r="T40" s="318" t="n">
        <f aca="false">IF($A40="N/A"," ",IF(Pricetype1=2,MAX(K40,0),IF(OR(Pricetype1=1,Pricetype1=4),IF(K40=0,0,(EURO(K40,Strikeprice1,0,0,($AK40+IF(Smile=TRUE(),VLOOKUP(MAX(-5,Strikeprice1-K40),Volsmile,2),0)),($A40-DateToday)+15,IF(Pricetype1=1,1,0),0))),K40)))</f>
        <v>22</v>
      </c>
      <c r="U40" s="319" t="e">
        <f aca="false">IF($A40="N/A"," ",Volume1*$AM40)</f>
        <v>#N/A</v>
      </c>
      <c r="V40" s="320" t="e">
        <f aca="false">IF($A40="N/A"," ",$U40*(8*($BQ40))*L40)</f>
        <v>#N/A</v>
      </c>
      <c r="W40" s="320" t="e">
        <f aca="false">IF($A40="N/A"," ",$U40*(8*($BQ40))*M40)</f>
        <v>#N/A</v>
      </c>
      <c r="X40" s="320" t="e">
        <f aca="false">IF($A40="N/A"," ",$U40*(8*($BQ40))*N40)</f>
        <v>#N/A</v>
      </c>
      <c r="Y40" s="320" t="e">
        <f aca="false">IF($A40="N/A"," ",$U40*(8*($BR40))*O40)</f>
        <v>#N/A</v>
      </c>
      <c r="Z40" s="320" t="e">
        <f aca="false">IF($A40="N/A"," ",$U40*(8*($BR40))*P40)</f>
        <v>#N/A</v>
      </c>
      <c r="AA40" s="320" t="e">
        <f aca="false">IF($A40="N/A"," ",$U40*(8*($BR40))*Q40)</f>
        <v>#N/A</v>
      </c>
      <c r="AB40" s="320" t="e">
        <f aca="false">IF($A40="N/A"," ",$U40*(8*($BS40))*R40)</f>
        <v>#N/A</v>
      </c>
      <c r="AC40" s="320" t="e">
        <f aca="false">IF($A40="N/A"," ",$U40*(8*($BS40))*S40)</f>
        <v>#N/A</v>
      </c>
      <c r="AD40" s="320" t="e">
        <f aca="false">IF($A40="N/A"," ",$U40*(8*($BS40))*T40)</f>
        <v>#N/A</v>
      </c>
      <c r="AE40" s="320" t="e">
        <f aca="false">IF($A40="N/A"," ",SUM(V40:AD40))</f>
        <v>#N/A</v>
      </c>
      <c r="AF40" s="321" t="n">
        <f aca="false">IF(A40="N/A"," ",(VLOOKUP(A40,PowerVolTable,(IF(VolBMO1=2,7,IF(VolBMO1=1,6,8))),FALSE())))</f>
        <v>0.2</v>
      </c>
      <c r="AG40" s="321" t="n">
        <f aca="false">IF(A40="N/A"," ",(VLOOKUP(A40,IntraPowerVol,(IF(VolBMO1=2,3,IF(VolBMO1=1,2,4))),FALSE())*VLOOKUP(MONTH($A40),Volscale,2)))</f>
        <v>0.35</v>
      </c>
      <c r="AH40" s="321" t="n">
        <f aca="false">IF($A40="N/A"," ",IF(VolType1=1,AG40,AF40))</f>
        <v>0.35</v>
      </c>
      <c r="AI40" s="321" t="n">
        <f aca="false">IF($A40="N/A"," ",(VLOOKUP($A40,OffPwrVolTable,(IF(VolBMO1=2,7,IF(VolBMO1=1,6,8))),FALSE())))</f>
        <v>0.1</v>
      </c>
      <c r="AJ40" s="321" t="n">
        <f aca="false">IF($A40="N/A"," ",(VLOOKUP($A40,OffPwrVolTable,(IF(VolBMO1=2,3,IF(VolBMO1=1,2,4))),FALSE())*VLOOKUP(MONTH($A40),Volscale,2)))</f>
        <v>0.21</v>
      </c>
      <c r="AK40" s="321" t="n">
        <f aca="false">IF($A40="N/A"," ",IF(VolType1=1,AJ40,AI40))</f>
        <v>0.21</v>
      </c>
      <c r="AL40" s="321" t="e">
        <f aca="false">IF($A40="N/A"," ",IF(PV=1,0,'Pricing Inputs1'!R73))</f>
        <v>#N/A</v>
      </c>
      <c r="AM40" s="323" t="e">
        <f aca="false">IF($A40="N/A"," ",(1+AL40/2)^(-2*((EOMONTH(A40,0)+20)-DateToday)/365.25))</f>
        <v>#N/A</v>
      </c>
      <c r="BQ40" s="0" t="n">
        <f aca="false">IF($A40="N/A"," ",(VLOOKUP($A40,NumberofDaysTable,2)))</f>
        <v>21</v>
      </c>
      <c r="BR40" s="0" t="n">
        <f aca="false">IF($A40="N/A"," ",(VLOOKUP($A40,NumberofDaysTable,3)))</f>
        <v>4</v>
      </c>
      <c r="BS40" s="0" t="n">
        <f aca="false">IF($A40="N/A"," ",(VLOOKUP($A40,NumberofDaysTable,4)))</f>
        <v>6</v>
      </c>
    </row>
    <row r="41" customFormat="false" ht="12.75" hidden="false" customHeight="false" outlineLevel="0" collapsed="false">
      <c r="A41" s="315" t="n">
        <f aca="false">IF(A40="N/A","N/A",IF(EDATE(A40,1)&gt;Inputs!$M$5,"N/A",EDATE(A40,1)))</f>
        <v>38384</v>
      </c>
      <c r="B41" s="316" t="n">
        <f aca="false">IF(A41="N/A"," ",YEAR(A41))</f>
        <v>2005</v>
      </c>
      <c r="C41" s="317" t="n">
        <f aca="false">IF($A41="N/A"," ",IF(Dayrun1=10,0,IF(Scaler1=1,(VLOOKUP(A41,ScaledPrice1,4)),(VLOOKUP(A41,ScaledPrice1,2)))))</f>
        <v>34.5757124764579</v>
      </c>
      <c r="D41" s="317" t="n">
        <f aca="false">IF(A41="N/A"," ",IF(Dayrun1&gt;=7,0,IF(Scaler1=2,VLOOKUP(A41,ScaledPrice1,2),(VLOOKUP(A41,ScaledPrice1,2))*(2-(VLOOKUP(A41,ScaledPrice1,3))))))</f>
        <v>34.5757124764579</v>
      </c>
      <c r="E41" s="317" t="n">
        <f aca="false">IF($A41="N/A"," ",IF(AND(Dayrun1&gt;=4,Dayrun1&lt;=9),0,VLOOKUP($A41,ScaledPrice1,9)))</f>
        <v>20.5</v>
      </c>
      <c r="F41" s="317" t="n">
        <f aca="false">IF(A41="N/A"," ",IF(OR(Dayrun1=2,Dayrun1=3,Dayrun1=5,Dayrun1=6,Dayrun1=8,Dayrun1=9),VLOOKUP(A41,ScaledPrice1,IF(Scaler1=1,6,5)),0))</f>
        <v>31.2460021972656</v>
      </c>
      <c r="G41" s="317" t="n">
        <f aca="false">IF(A41="N/A"," ",IF(OR(Dayrun1=2,Dayrun1=3,Dayrun1=5,Dayrun1=6),IF(Scaler1=2,F41,(VLOOKUP(A41,ScaledPrice1,5))*(2-(VLOOKUP(A41,ScaledPrice1,3)))),0))</f>
        <v>31.2460021972656</v>
      </c>
      <c r="H41" s="317" t="n">
        <f aca="false">IF($A41="N/A"," ",IF(OR(Dayrun1=2,Dayrun1=3,Dayrun1=10),VLOOKUP($A41,ScaledPrice1,9),0))</f>
        <v>20.5</v>
      </c>
      <c r="I41" s="317" t="n">
        <f aca="false">IF(A41="N/A"," ",IF(OR(Dayrun1=3,Dayrun1=6,Dayrun1=9),(VLOOKUP(A41,ScaledPrice1,IF(Scaler1=2,7,8))),0))</f>
        <v>22.7465019226074</v>
      </c>
      <c r="J41" s="317" t="n">
        <f aca="false">IF(A41="N/A"," ",IF(OR(Dayrun1=3,Dayrun1=6),IF(Scaler1=2,I41,(VLOOKUP(A41,ScaledPrice1,7))*(2-(VLOOKUP(A41,ScaledPrice1,3)))),0))</f>
        <v>22.7465019226074</v>
      </c>
      <c r="K41" s="317" t="n">
        <f aca="false">IF($A41="N/A"," ",IF(OR(Dayrun1=3,Dayrun1=10),VLOOKUP($A41,ScaledPrice1,9),0))</f>
        <v>20.5</v>
      </c>
      <c r="L41" s="318" t="n">
        <f aca="false">IF($A41="N/A"," ",IF(Pricetype1=2,MAX(C41,0),IF(OR(Pricetype1=1,Pricetype1=4),IF(C41=0,0,(EURO(C41,Strikeprice1,0,0,($AH41+IF(Smile=TRUE(),VLOOKUP(MAX(-5,Strikeprice1-C41),Volsmile,2),0)),($A41-DateToday)+15,IF(Pricetype1=1,1,0),0))),C41)))</f>
        <v>34.5757124764579</v>
      </c>
      <c r="M41" s="318" t="n">
        <f aca="false">IF($A41="N/A"," ",IF(Pricetype1=2,MAX(D41,0),IF(OR(Pricetype1=1,Pricetype1=4),IF(D41=0,0,(EURO(D41,Strikeprice1,0,0,($AH41+IF(Smile=TRUE(),VLOOKUP(MAX(-5,Strikeprice1-D41),Volsmile,2),0)),($A41-DateToday)+15,IF(Pricetype1=1,1,0),0))),D41)))</f>
        <v>34.5757124764579</v>
      </c>
      <c r="N41" s="318" t="n">
        <f aca="false">IF($A41="N/A"," ",IF(Pricetype1=2,MAX(E41,0),IF(OR(Pricetype1=1,Pricetype1=4),IF(E41=0,0,(EURO(E41,Strikeprice1,0,0,($AK41+IF(Smile=TRUE(),VLOOKUP(MAX(-5,Strikeprice1-E41),Volsmile,2),0)),($A41-DateToday)+15,IF(Pricetype1=1,1,0),0))),E41)))</f>
        <v>20.5</v>
      </c>
      <c r="O41" s="318" t="n">
        <f aca="false">IF($A41="N/A"," ",IF(Pricetype1=2,MAX(F41,0),IF(OR(Pricetype1=1,Pricetype1=4),IF(F41=0,0,(EURO(F41,Strikeprice1,0,0,($AK41+IF(Smile=TRUE(),VLOOKUP(MAX(-5,Strikeprice1-F41),Volsmile,2),0)),($A41-DateToday)+15,IF(Pricetype1=1,1,0),0))),F41)))</f>
        <v>31.2460021972656</v>
      </c>
      <c r="P41" s="318" t="n">
        <f aca="false">IF($A41="N/A"," ",IF(Pricetype1=2,MAX(G41,0),IF(OR(Pricetype1=1,Pricetype1=4),IF(G41=0,0,(EURO(G41,Strikeprice1,0,0,($AK41+IF(Smile=TRUE(),VLOOKUP(MAX(-5,Strikeprice1-G41),Volsmile,2),0)),($A41-DateToday)+15,IF(Pricetype1=1,1,0),0))),G41)))</f>
        <v>31.2460021972656</v>
      </c>
      <c r="Q41" s="318" t="n">
        <f aca="false">IF($A41="N/A"," ",IF(Pricetype1=2,MAX(H41,0),IF(OR(Pricetype1=1,Pricetype1=4),IF(H41=0,0,(EURO(H41,Strikeprice1,0,0,($AK41+IF(Smile=TRUE(),VLOOKUP(MAX(-5,Strikeprice1-H41),Volsmile,2),0)),($A41-DateToday)+15,IF(Pricetype1=1,1,0),0))),H41)))</f>
        <v>20.5</v>
      </c>
      <c r="R41" s="318" t="n">
        <f aca="false">IF($A41="N/A"," ",IF(Pricetype1=2,MAX(I41,0),IF(OR(Pricetype1=1,Pricetype1=4),IF(I41=0,0,(EURO(I41,Strikeprice1,0,0,($AK41+IF(Smile=TRUE(),VLOOKUP(MAX(-5,Strikeprice1-I41),Volsmile,2),0)),($A41-DateToday)+15,IF(Pricetype1=1,1,0),0))),I41)))</f>
        <v>22.7465019226074</v>
      </c>
      <c r="S41" s="318" t="n">
        <f aca="false">IF($A41="N/A"," ",IF(Pricetype1=2,MAX(J41,0),IF(OR(Pricetype1=1,Pricetype1=4),IF(J41=0,0,(EURO(J41,Strikeprice1,0,0,($AK41+IF(Smile=TRUE(),VLOOKUP(MAX(-5,Strikeprice1-J41),Volsmile,2),0)),($A41-DateToday)+15,IF(Pricetype1=1,1,0),0))),J41)))</f>
        <v>22.7465019226074</v>
      </c>
      <c r="T41" s="318" t="n">
        <f aca="false">IF($A41="N/A"," ",IF(Pricetype1=2,MAX(K41,0),IF(OR(Pricetype1=1,Pricetype1=4),IF(K41=0,0,(EURO(K41,Strikeprice1,0,0,($AK41+IF(Smile=TRUE(),VLOOKUP(MAX(-5,Strikeprice1-K41),Volsmile,2),0)),($A41-DateToday)+15,IF(Pricetype1=1,1,0),0))),K41)))</f>
        <v>20.5</v>
      </c>
      <c r="U41" s="319" t="e">
        <f aca="false">IF($A41="N/A"," ",Volume1*$AM41)</f>
        <v>#N/A</v>
      </c>
      <c r="V41" s="320" t="e">
        <f aca="false">IF($A41="N/A"," ",$U41*(8*($BQ41))*L41)</f>
        <v>#N/A</v>
      </c>
      <c r="W41" s="320" t="e">
        <f aca="false">IF($A41="N/A"," ",$U41*(8*($BQ41))*M41)</f>
        <v>#N/A</v>
      </c>
      <c r="X41" s="320" t="e">
        <f aca="false">IF($A41="N/A"," ",$U41*(8*($BQ41))*N41)</f>
        <v>#N/A</v>
      </c>
      <c r="Y41" s="320" t="e">
        <f aca="false">IF($A41="N/A"," ",$U41*(8*($BR41))*O41)</f>
        <v>#N/A</v>
      </c>
      <c r="Z41" s="320" t="e">
        <f aca="false">IF($A41="N/A"," ",$U41*(8*($BR41))*P41)</f>
        <v>#N/A</v>
      </c>
      <c r="AA41" s="320" t="e">
        <f aca="false">IF($A41="N/A"," ",$U41*(8*($BR41))*Q41)</f>
        <v>#N/A</v>
      </c>
      <c r="AB41" s="320" t="e">
        <f aca="false">IF($A41="N/A"," ",$U41*(8*($BS41))*R41)</f>
        <v>#N/A</v>
      </c>
      <c r="AC41" s="320" t="e">
        <f aca="false">IF($A41="N/A"," ",$U41*(8*($BS41))*S41)</f>
        <v>#N/A</v>
      </c>
      <c r="AD41" s="320" t="e">
        <f aca="false">IF($A41="N/A"," ",$U41*(8*($BS41))*T41)</f>
        <v>#N/A</v>
      </c>
      <c r="AE41" s="320" t="e">
        <f aca="false">IF($A41="N/A"," ",SUM(V41:AD41))</f>
        <v>#N/A</v>
      </c>
      <c r="AF41" s="321" t="n">
        <f aca="false">IF(A41="N/A"," ",(VLOOKUP(A41,PowerVolTable,(IF(VolBMO1=2,7,IF(VolBMO1=1,6,8))),FALSE())))</f>
        <v>0.2</v>
      </c>
      <c r="AG41" s="321" t="n">
        <f aca="false">IF(A41="N/A"," ",(VLOOKUP(A41,IntraPowerVol,(IF(VolBMO1=2,3,IF(VolBMO1=1,2,4))),FALSE())*VLOOKUP(MONTH($A41),Volscale,2)))</f>
        <v>0.35</v>
      </c>
      <c r="AH41" s="321" t="n">
        <f aca="false">IF($A41="N/A"," ",IF(VolType1=1,AG41,AF41))</f>
        <v>0.35</v>
      </c>
      <c r="AI41" s="321" t="n">
        <f aca="false">IF($A41="N/A"," ",(VLOOKUP($A41,OffPwrVolTable,(IF(VolBMO1=2,7,IF(VolBMO1=1,6,8))),FALSE())))</f>
        <v>0.1</v>
      </c>
      <c r="AJ41" s="321" t="n">
        <f aca="false">IF($A41="N/A"," ",(VLOOKUP($A41,OffPwrVolTable,(IF(VolBMO1=2,3,IF(VolBMO1=1,2,4))),FALSE())*VLOOKUP(MONTH($A41),Volscale,2)))</f>
        <v>0.21</v>
      </c>
      <c r="AK41" s="321" t="n">
        <f aca="false">IF($A41="N/A"," ",IF(VolType1=1,AJ41,AI41))</f>
        <v>0.21</v>
      </c>
      <c r="AL41" s="321" t="e">
        <f aca="false">IF($A41="N/A"," ",IF(PV=1,0,'Pricing Inputs1'!R74))</f>
        <v>#N/A</v>
      </c>
      <c r="AM41" s="323" t="e">
        <f aca="false">IF($A41="N/A"," ",(1+AL41/2)^(-2*((EOMONTH(A41,0)+20)-DateToday)/365.25))</f>
        <v>#N/A</v>
      </c>
      <c r="BQ41" s="0" t="n">
        <f aca="false">IF($A41="N/A"," ",(VLOOKUP($A41,NumberofDaysTable,2)))</f>
        <v>20</v>
      </c>
      <c r="BR41" s="0" t="n">
        <f aca="false">IF($A41="N/A"," ",(VLOOKUP($A41,NumberofDaysTable,3)))</f>
        <v>4</v>
      </c>
      <c r="BS41" s="0" t="n">
        <f aca="false">IF($A41="N/A"," ",(VLOOKUP($A41,NumberofDaysTable,4)))</f>
        <v>4</v>
      </c>
    </row>
    <row r="42" customFormat="false" ht="12.75" hidden="false" customHeight="false" outlineLevel="0" collapsed="false">
      <c r="A42" s="315" t="n">
        <f aca="false">IF(A41="N/A","N/A",IF(EDATE(A41,1)&gt;Inputs!$M$5,"N/A",EDATE(A41,1)))</f>
        <v>38412</v>
      </c>
      <c r="B42" s="316" t="n">
        <f aca="false">IF(A42="N/A"," ",YEAR(A42))</f>
        <v>2005</v>
      </c>
      <c r="C42" s="317" t="n">
        <f aca="false">IF($A42="N/A"," ",IF(Dayrun1=10,0,IF(Scaler1=1,(VLOOKUP(A42,ScaledPrice1,4)),(VLOOKUP(A42,ScaledPrice1,2)))))</f>
        <v>33.2876773213231</v>
      </c>
      <c r="D42" s="317" t="n">
        <f aca="false">IF(A42="N/A"," ",IF(Dayrun1&gt;=7,0,IF(Scaler1=2,VLOOKUP(A42,ScaledPrice1,2),(VLOOKUP(A42,ScaledPrice1,2))*(2-(VLOOKUP(A42,ScaledPrice1,3))))))</f>
        <v>33.2876773213231</v>
      </c>
      <c r="E42" s="317" t="n">
        <f aca="false">IF($A42="N/A"," ",IF(AND(Dayrun1&gt;=4,Dayrun1&lt;=9),0,VLOOKUP($A42,ScaledPrice1,9)))</f>
        <v>21.5</v>
      </c>
      <c r="F42" s="317" t="n">
        <f aca="false">IF(A42="N/A"," ",IF(OR(Dayrun1=2,Dayrun1=3,Dayrun1=5,Dayrun1=6,Dayrun1=8,Dayrun1=9),VLOOKUP(A42,ScaledPrice1,IF(Scaler1=1,6,5)),0))</f>
        <v>25.5</v>
      </c>
      <c r="G42" s="317" t="n">
        <f aca="false">IF(A42="N/A"," ",IF(OR(Dayrun1=2,Dayrun1=3,Dayrun1=5,Dayrun1=6),IF(Scaler1=2,F42,(VLOOKUP(A42,ScaledPrice1,5))*(2-(VLOOKUP(A42,ScaledPrice1,3)))),0))</f>
        <v>25.5</v>
      </c>
      <c r="H42" s="317" t="n">
        <f aca="false">IF($A42="N/A"," ",IF(OR(Dayrun1=2,Dayrun1=3,Dayrun1=10),VLOOKUP($A42,ScaledPrice1,9),0))</f>
        <v>21.5</v>
      </c>
      <c r="I42" s="317" t="n">
        <f aca="false">IF(A42="N/A"," ",IF(OR(Dayrun1=3,Dayrun1=6,Dayrun1=9),(VLOOKUP(A42,ScaledPrice1,IF(Scaler1=2,7,8))),0))</f>
        <v>20</v>
      </c>
      <c r="J42" s="317" t="n">
        <f aca="false">IF(A42="N/A"," ",IF(OR(Dayrun1=3,Dayrun1=6),IF(Scaler1=2,I42,(VLOOKUP(A42,ScaledPrice1,7))*(2-(VLOOKUP(A42,ScaledPrice1,3)))),0))</f>
        <v>20</v>
      </c>
      <c r="K42" s="317" t="n">
        <f aca="false">IF($A42="N/A"," ",IF(OR(Dayrun1=3,Dayrun1=10),VLOOKUP($A42,ScaledPrice1,9),0))</f>
        <v>21.5</v>
      </c>
      <c r="L42" s="318" t="n">
        <f aca="false">IF($A42="N/A"," ",IF(Pricetype1=2,MAX(C42,0),IF(OR(Pricetype1=1,Pricetype1=4),IF(C42=0,0,(EURO(C42,Strikeprice1,0,0,($AH42+IF(Smile=TRUE(),VLOOKUP(MAX(-5,Strikeprice1-C42),Volsmile,2),0)),($A42-DateToday)+15,IF(Pricetype1=1,1,0),0))),C42)))</f>
        <v>33.2876773213231</v>
      </c>
      <c r="M42" s="318" t="n">
        <f aca="false">IF($A42="N/A"," ",IF(Pricetype1=2,MAX(D42,0),IF(OR(Pricetype1=1,Pricetype1=4),IF(D42=0,0,(EURO(D42,Strikeprice1,0,0,($AH42+IF(Smile=TRUE(),VLOOKUP(MAX(-5,Strikeprice1-D42),Volsmile,2),0)),($A42-DateToday)+15,IF(Pricetype1=1,1,0),0))),D42)))</f>
        <v>33.2876773213231</v>
      </c>
      <c r="N42" s="318" t="n">
        <f aca="false">IF($A42="N/A"," ",IF(Pricetype1=2,MAX(E42,0),IF(OR(Pricetype1=1,Pricetype1=4),IF(E42=0,0,(EURO(E42,Strikeprice1,0,0,($AK42+IF(Smile=TRUE(),VLOOKUP(MAX(-5,Strikeprice1-E42),Volsmile,2),0)),($A42-DateToday)+15,IF(Pricetype1=1,1,0),0))),E42)))</f>
        <v>21.5</v>
      </c>
      <c r="O42" s="318" t="n">
        <f aca="false">IF($A42="N/A"," ",IF(Pricetype1=2,MAX(F42,0),IF(OR(Pricetype1=1,Pricetype1=4),IF(F42=0,0,(EURO(F42,Strikeprice1,0,0,($AK42+IF(Smile=TRUE(),VLOOKUP(MAX(-5,Strikeprice1-F42),Volsmile,2),0)),($A42-DateToday)+15,IF(Pricetype1=1,1,0),0))),F42)))</f>
        <v>25.5</v>
      </c>
      <c r="P42" s="318" t="n">
        <f aca="false">IF($A42="N/A"," ",IF(Pricetype1=2,MAX(G42,0),IF(OR(Pricetype1=1,Pricetype1=4),IF(G42=0,0,(EURO(G42,Strikeprice1,0,0,($AK42+IF(Smile=TRUE(),VLOOKUP(MAX(-5,Strikeprice1-G42),Volsmile,2),0)),($A42-DateToday)+15,IF(Pricetype1=1,1,0),0))),G42)))</f>
        <v>25.5</v>
      </c>
      <c r="Q42" s="318" t="n">
        <f aca="false">IF($A42="N/A"," ",IF(Pricetype1=2,MAX(H42,0),IF(OR(Pricetype1=1,Pricetype1=4),IF(H42=0,0,(EURO(H42,Strikeprice1,0,0,($AK42+IF(Smile=TRUE(),VLOOKUP(MAX(-5,Strikeprice1-H42),Volsmile,2),0)),($A42-DateToday)+15,IF(Pricetype1=1,1,0),0))),H42)))</f>
        <v>21.5</v>
      </c>
      <c r="R42" s="318" t="n">
        <f aca="false">IF($A42="N/A"," ",IF(Pricetype1=2,MAX(I42,0),IF(OR(Pricetype1=1,Pricetype1=4),IF(I42=0,0,(EURO(I42,Strikeprice1,0,0,($AK42+IF(Smile=TRUE(),VLOOKUP(MAX(-5,Strikeprice1-I42),Volsmile,2),0)),($A42-DateToday)+15,IF(Pricetype1=1,1,0),0))),I42)))</f>
        <v>20</v>
      </c>
      <c r="S42" s="318" t="n">
        <f aca="false">IF($A42="N/A"," ",IF(Pricetype1=2,MAX(J42,0),IF(OR(Pricetype1=1,Pricetype1=4),IF(J42=0,0,(EURO(J42,Strikeprice1,0,0,($AK42+IF(Smile=TRUE(),VLOOKUP(MAX(-5,Strikeprice1-J42),Volsmile,2),0)),($A42-DateToday)+15,IF(Pricetype1=1,1,0),0))),J42)))</f>
        <v>20</v>
      </c>
      <c r="T42" s="318" t="n">
        <f aca="false">IF($A42="N/A"," ",IF(Pricetype1=2,MAX(K42,0),IF(OR(Pricetype1=1,Pricetype1=4),IF(K42=0,0,(EURO(K42,Strikeprice1,0,0,($AK42+IF(Smile=TRUE(),VLOOKUP(MAX(-5,Strikeprice1-K42),Volsmile,2),0)),($A42-DateToday)+15,IF(Pricetype1=1,1,0),0))),K42)))</f>
        <v>21.5</v>
      </c>
      <c r="U42" s="319" t="e">
        <f aca="false">IF($A42="N/A"," ",Volume1*$AM42)</f>
        <v>#N/A</v>
      </c>
      <c r="V42" s="320" t="e">
        <f aca="false">IF($A42="N/A"," ",$U42*(8*($BQ42))*L42)</f>
        <v>#N/A</v>
      </c>
      <c r="W42" s="320" t="e">
        <f aca="false">IF($A42="N/A"," ",$U42*(8*($BQ42))*M42)</f>
        <v>#N/A</v>
      </c>
      <c r="X42" s="320" t="e">
        <f aca="false">IF($A42="N/A"," ",$U42*(8*($BQ42))*N42)</f>
        <v>#N/A</v>
      </c>
      <c r="Y42" s="320" t="e">
        <f aca="false">IF($A42="N/A"," ",$U42*(8*($BR42))*O42)</f>
        <v>#N/A</v>
      </c>
      <c r="Z42" s="320" t="e">
        <f aca="false">IF($A42="N/A"," ",$U42*(8*($BR42))*P42)</f>
        <v>#N/A</v>
      </c>
      <c r="AA42" s="320" t="e">
        <f aca="false">IF($A42="N/A"," ",$U42*(8*($BR42))*Q42)</f>
        <v>#N/A</v>
      </c>
      <c r="AB42" s="320" t="e">
        <f aca="false">IF($A42="N/A"," ",$U42*(8*($BS42))*R42)</f>
        <v>#N/A</v>
      </c>
      <c r="AC42" s="320" t="e">
        <f aca="false">IF($A42="N/A"," ",$U42*(8*($BS42))*S42)</f>
        <v>#N/A</v>
      </c>
      <c r="AD42" s="320" t="e">
        <f aca="false">IF($A42="N/A"," ",$U42*(8*($BS42))*T42)</f>
        <v>#N/A</v>
      </c>
      <c r="AE42" s="320" t="e">
        <f aca="false">IF($A42="N/A"," ",SUM(V42:AD42))</f>
        <v>#N/A</v>
      </c>
      <c r="AF42" s="321" t="n">
        <f aca="false">IF(A42="N/A"," ",(VLOOKUP(A42,PowerVolTable,(IF(VolBMO1=2,7,IF(VolBMO1=1,6,8))),FALSE())))</f>
        <v>0.2</v>
      </c>
      <c r="AG42" s="321" t="n">
        <f aca="false">IF(A42="N/A"," ",(VLOOKUP(A42,IntraPowerVol,(IF(VolBMO1=2,3,IF(VolBMO1=1,2,4))),FALSE())*VLOOKUP(MONTH($A42),Volscale,2)))</f>
        <v>0.35</v>
      </c>
      <c r="AH42" s="321" t="n">
        <f aca="false">IF($A42="N/A"," ",IF(VolType1=1,AG42,AF42))</f>
        <v>0.35</v>
      </c>
      <c r="AI42" s="321" t="n">
        <f aca="false">IF($A42="N/A"," ",(VLOOKUP($A42,OffPwrVolTable,(IF(VolBMO1=2,7,IF(VolBMO1=1,6,8))),FALSE())))</f>
        <v>0.1</v>
      </c>
      <c r="AJ42" s="321" t="n">
        <f aca="false">IF($A42="N/A"," ",(VLOOKUP($A42,OffPwrVolTable,(IF(VolBMO1=2,3,IF(VolBMO1=1,2,4))),FALSE())*VLOOKUP(MONTH($A42),Volscale,2)))</f>
        <v>0.21</v>
      </c>
      <c r="AK42" s="321" t="n">
        <f aca="false">IF($A42="N/A"," ",IF(VolType1=1,AJ42,AI42))</f>
        <v>0.21</v>
      </c>
      <c r="AL42" s="321" t="e">
        <f aca="false">IF($A42="N/A"," ",IF(PV=1,0,'Pricing Inputs1'!R75))</f>
        <v>#N/A</v>
      </c>
      <c r="AM42" s="323" t="e">
        <f aca="false">IF($A42="N/A"," ",(1+AL42/2)^(-2*((EOMONTH(A42,0)+20)-DateToday)/365.25))</f>
        <v>#N/A</v>
      </c>
      <c r="BQ42" s="0" t="n">
        <f aca="false">IF($A42="N/A"," ",(VLOOKUP($A42,NumberofDaysTable,2)))</f>
        <v>23</v>
      </c>
      <c r="BR42" s="0" t="n">
        <f aca="false">IF($A42="N/A"," ",(VLOOKUP($A42,NumberofDaysTable,3)))</f>
        <v>4</v>
      </c>
      <c r="BS42" s="0" t="n">
        <f aca="false">IF($A42="N/A"," ",(VLOOKUP($A42,NumberofDaysTable,4)))</f>
        <v>4</v>
      </c>
    </row>
    <row r="43" customFormat="false" ht="12.75" hidden="false" customHeight="false" outlineLevel="0" collapsed="false">
      <c r="A43" s="315" t="n">
        <f aca="false">IF(A42="N/A","N/A",IF(EDATE(A42,1)&gt;Inputs!$M$5,"N/A",EDATE(A42,1)))</f>
        <v>38443</v>
      </c>
      <c r="B43" s="316" t="n">
        <f aca="false">IF(A43="N/A"," ",YEAR(A43))</f>
        <v>2005</v>
      </c>
      <c r="C43" s="317" t="n">
        <f aca="false">IF($A43="N/A"," ",IF(Dayrun1=10,0,IF(Scaler1=1,(VLOOKUP(A43,ScaledPrice1,4)),(VLOOKUP(A43,ScaledPrice1,2)))))</f>
        <v>33.4876780842626</v>
      </c>
      <c r="D43" s="317" t="n">
        <f aca="false">IF(A43="N/A"," ",IF(Dayrun1&gt;=7,0,IF(Scaler1=2,VLOOKUP(A43,ScaledPrice1,2),(VLOOKUP(A43,ScaledPrice1,2))*(2-(VLOOKUP(A43,ScaledPrice1,3))))))</f>
        <v>33.4876780842626</v>
      </c>
      <c r="E43" s="317" t="n">
        <f aca="false">IF($A43="N/A"," ",IF(AND(Dayrun1&gt;=4,Dayrun1&lt;=9),0,VLOOKUP($A43,ScaledPrice1,9)))</f>
        <v>18.5</v>
      </c>
      <c r="F43" s="317" t="n">
        <f aca="false">IF(A43="N/A"," ",IF(OR(Dayrun1=2,Dayrun1=3,Dayrun1=5,Dayrun1=6,Dayrun1=8,Dayrun1=9),VLOOKUP(A43,ScaledPrice1,IF(Scaler1=1,6,5)),0))</f>
        <v>22</v>
      </c>
      <c r="G43" s="317" t="n">
        <f aca="false">IF(A43="N/A"," ",IF(OR(Dayrun1=2,Dayrun1=3,Dayrun1=5,Dayrun1=6),IF(Scaler1=2,F43,(VLOOKUP(A43,ScaledPrice1,5))*(2-(VLOOKUP(A43,ScaledPrice1,3)))),0))</f>
        <v>22</v>
      </c>
      <c r="H43" s="317" t="n">
        <f aca="false">IF($A43="N/A"," ",IF(OR(Dayrun1=2,Dayrun1=3,Dayrun1=10),VLOOKUP($A43,ScaledPrice1,9),0))</f>
        <v>18.5</v>
      </c>
      <c r="I43" s="317" t="n">
        <f aca="false">IF(A43="N/A"," ",IF(OR(Dayrun1=3,Dayrun1=6,Dayrun1=9),(VLOOKUP(A43,ScaledPrice1,IF(Scaler1=2,7,8))),0))</f>
        <v>16.4950008392334</v>
      </c>
      <c r="J43" s="317" t="n">
        <f aca="false">IF(A43="N/A"," ",IF(OR(Dayrun1=3,Dayrun1=6),IF(Scaler1=2,I43,(VLOOKUP(A43,ScaledPrice1,7))*(2-(VLOOKUP(A43,ScaledPrice1,3)))),0))</f>
        <v>16.4950008392334</v>
      </c>
      <c r="K43" s="317" t="n">
        <f aca="false">IF($A43="N/A"," ",IF(OR(Dayrun1=3,Dayrun1=10),VLOOKUP($A43,ScaledPrice1,9),0))</f>
        <v>18.5</v>
      </c>
      <c r="L43" s="318" t="n">
        <f aca="false">IF($A43="N/A"," ",IF(Pricetype1=2,MAX(C43,0),IF(OR(Pricetype1=1,Pricetype1=4),IF(C43=0,0,(EURO(C43,Strikeprice1,0,0,($AH43+IF(Smile=TRUE(),VLOOKUP(MAX(-5,Strikeprice1-C43),Volsmile,2),0)),($A43-DateToday)+15,IF(Pricetype1=1,1,0),0))),C43)))</f>
        <v>33.4876780842626</v>
      </c>
      <c r="M43" s="318" t="n">
        <f aca="false">IF($A43="N/A"," ",IF(Pricetype1=2,MAX(D43,0),IF(OR(Pricetype1=1,Pricetype1=4),IF(D43=0,0,(EURO(D43,Strikeprice1,0,0,($AH43+IF(Smile=TRUE(),VLOOKUP(MAX(-5,Strikeprice1-D43),Volsmile,2),0)),($A43-DateToday)+15,IF(Pricetype1=1,1,0),0))),D43)))</f>
        <v>33.4876780842626</v>
      </c>
      <c r="N43" s="318" t="n">
        <f aca="false">IF($A43="N/A"," ",IF(Pricetype1=2,MAX(E43,0),IF(OR(Pricetype1=1,Pricetype1=4),IF(E43=0,0,(EURO(E43,Strikeprice1,0,0,($AK43+IF(Smile=TRUE(),VLOOKUP(MAX(-5,Strikeprice1-E43),Volsmile,2),0)),($A43-DateToday)+15,IF(Pricetype1=1,1,0),0))),E43)))</f>
        <v>18.5</v>
      </c>
      <c r="O43" s="318" t="n">
        <f aca="false">IF($A43="N/A"," ",IF(Pricetype1=2,MAX(F43,0),IF(OR(Pricetype1=1,Pricetype1=4),IF(F43=0,0,(EURO(F43,Strikeprice1,0,0,($AK43+IF(Smile=TRUE(),VLOOKUP(MAX(-5,Strikeprice1-F43),Volsmile,2),0)),($A43-DateToday)+15,IF(Pricetype1=1,1,0),0))),F43)))</f>
        <v>22</v>
      </c>
      <c r="P43" s="318" t="n">
        <f aca="false">IF($A43="N/A"," ",IF(Pricetype1=2,MAX(G43,0),IF(OR(Pricetype1=1,Pricetype1=4),IF(G43=0,0,(EURO(G43,Strikeprice1,0,0,($AK43+IF(Smile=TRUE(),VLOOKUP(MAX(-5,Strikeprice1-G43),Volsmile,2),0)),($A43-DateToday)+15,IF(Pricetype1=1,1,0),0))),G43)))</f>
        <v>22</v>
      </c>
      <c r="Q43" s="318" t="n">
        <f aca="false">IF($A43="N/A"," ",IF(Pricetype1=2,MAX(H43,0),IF(OR(Pricetype1=1,Pricetype1=4),IF(H43=0,0,(EURO(H43,Strikeprice1,0,0,($AK43+IF(Smile=TRUE(),VLOOKUP(MAX(-5,Strikeprice1-H43),Volsmile,2),0)),($A43-DateToday)+15,IF(Pricetype1=1,1,0),0))),H43)))</f>
        <v>18.5</v>
      </c>
      <c r="R43" s="318" t="n">
        <f aca="false">IF($A43="N/A"," ",IF(Pricetype1=2,MAX(I43,0),IF(OR(Pricetype1=1,Pricetype1=4),IF(I43=0,0,(EURO(I43,Strikeprice1,0,0,($AK43+IF(Smile=TRUE(),VLOOKUP(MAX(-5,Strikeprice1-I43),Volsmile,2),0)),($A43-DateToday)+15,IF(Pricetype1=1,1,0),0))),I43)))</f>
        <v>16.4950008392334</v>
      </c>
      <c r="S43" s="318" t="n">
        <f aca="false">IF($A43="N/A"," ",IF(Pricetype1=2,MAX(J43,0),IF(OR(Pricetype1=1,Pricetype1=4),IF(J43=0,0,(EURO(J43,Strikeprice1,0,0,($AK43+IF(Smile=TRUE(),VLOOKUP(MAX(-5,Strikeprice1-J43),Volsmile,2),0)),($A43-DateToday)+15,IF(Pricetype1=1,1,0),0))),J43)))</f>
        <v>16.4950008392334</v>
      </c>
      <c r="T43" s="318" t="n">
        <f aca="false">IF($A43="N/A"," ",IF(Pricetype1=2,MAX(K43,0),IF(OR(Pricetype1=1,Pricetype1=4),IF(K43=0,0,(EURO(K43,Strikeprice1,0,0,($AK43+IF(Smile=TRUE(),VLOOKUP(MAX(-5,Strikeprice1-K43),Volsmile,2),0)),($A43-DateToday)+15,IF(Pricetype1=1,1,0),0))),K43)))</f>
        <v>18.5</v>
      </c>
      <c r="U43" s="319" t="e">
        <f aca="false">IF($A43="N/A"," ",Volume1*$AM43)</f>
        <v>#N/A</v>
      </c>
      <c r="V43" s="320" t="e">
        <f aca="false">IF($A43="N/A"," ",$U43*(8*($BQ43))*L43)</f>
        <v>#N/A</v>
      </c>
      <c r="W43" s="320" t="e">
        <f aca="false">IF($A43="N/A"," ",$U43*(8*($BQ43))*M43)</f>
        <v>#N/A</v>
      </c>
      <c r="X43" s="320" t="e">
        <f aca="false">IF($A43="N/A"," ",$U43*(8*($BQ43))*N43)</f>
        <v>#N/A</v>
      </c>
      <c r="Y43" s="320" t="e">
        <f aca="false">IF($A43="N/A"," ",$U43*(8*($BR43))*O43)</f>
        <v>#N/A</v>
      </c>
      <c r="Z43" s="320" t="e">
        <f aca="false">IF($A43="N/A"," ",$U43*(8*($BR43))*P43)</f>
        <v>#N/A</v>
      </c>
      <c r="AA43" s="320" t="e">
        <f aca="false">IF($A43="N/A"," ",$U43*(8*($BR43))*Q43)</f>
        <v>#N/A</v>
      </c>
      <c r="AB43" s="320" t="e">
        <f aca="false">IF($A43="N/A"," ",$U43*(8*($BS43))*R43)</f>
        <v>#N/A</v>
      </c>
      <c r="AC43" s="320" t="e">
        <f aca="false">IF($A43="N/A"," ",$U43*(8*($BS43))*S43)</f>
        <v>#N/A</v>
      </c>
      <c r="AD43" s="320" t="e">
        <f aca="false">IF($A43="N/A"," ",$U43*(8*($BS43))*T43)</f>
        <v>#N/A</v>
      </c>
      <c r="AE43" s="320" t="e">
        <f aca="false">IF($A43="N/A"," ",SUM(V43:AD43))</f>
        <v>#N/A</v>
      </c>
      <c r="AF43" s="321" t="n">
        <f aca="false">IF(A43="N/A"," ",(VLOOKUP(A43,PowerVolTable,(IF(VolBMO1=2,7,IF(VolBMO1=1,6,8))),FALSE())))</f>
        <v>0.2</v>
      </c>
      <c r="AG43" s="321" t="n">
        <f aca="false">IF(A43="N/A"," ",(VLOOKUP(A43,IntraPowerVol,(IF(VolBMO1=2,3,IF(VolBMO1=1,2,4))),FALSE())*VLOOKUP(MONTH($A43),Volscale,2)))</f>
        <v>0.35</v>
      </c>
      <c r="AH43" s="321" t="n">
        <f aca="false">IF($A43="N/A"," ",IF(VolType1=1,AG43,AF43))</f>
        <v>0.35</v>
      </c>
      <c r="AI43" s="321" t="n">
        <f aca="false">IF($A43="N/A"," ",(VLOOKUP($A43,OffPwrVolTable,(IF(VolBMO1=2,7,IF(VolBMO1=1,6,8))),FALSE())))</f>
        <v>0.1</v>
      </c>
      <c r="AJ43" s="321" t="n">
        <f aca="false">IF($A43="N/A"," ",(VLOOKUP($A43,OffPwrVolTable,(IF(VolBMO1=2,3,IF(VolBMO1=1,2,4))),FALSE())*VLOOKUP(MONTH($A43),Volscale,2)))</f>
        <v>0.21</v>
      </c>
      <c r="AK43" s="321" t="n">
        <f aca="false">IF($A43="N/A"," ",IF(VolType1=1,AJ43,AI43))</f>
        <v>0.21</v>
      </c>
      <c r="AL43" s="321" t="e">
        <f aca="false">IF($A43="N/A"," ",IF(PV=1,0,'Pricing Inputs1'!R76))</f>
        <v>#N/A</v>
      </c>
      <c r="AM43" s="323" t="e">
        <f aca="false">IF($A43="N/A"," ",(1+AL43/2)^(-2*((EOMONTH(A43,0)+20)-DateToday)/365.25))</f>
        <v>#N/A</v>
      </c>
      <c r="BQ43" s="0" t="n">
        <f aca="false">IF($A43="N/A"," ",(VLOOKUP($A43,NumberofDaysTable,2)))</f>
        <v>21</v>
      </c>
      <c r="BR43" s="0" t="n">
        <f aca="false">IF($A43="N/A"," ",(VLOOKUP($A43,NumberofDaysTable,3)))</f>
        <v>5</v>
      </c>
      <c r="BS43" s="0" t="n">
        <f aca="false">IF($A43="N/A"," ",(VLOOKUP($A43,NumberofDaysTable,4)))</f>
        <v>4</v>
      </c>
    </row>
    <row r="44" customFormat="false" ht="12.75" hidden="false" customHeight="false" outlineLevel="0" collapsed="false">
      <c r="A44" s="315" t="n">
        <f aca="false">IF(A43="N/A","N/A",IF(EDATE(A43,1)&gt;Inputs!$M$5,"N/A",EDATE(A43,1)))</f>
        <v>38473</v>
      </c>
      <c r="B44" s="316" t="n">
        <f aca="false">IF(A44="N/A"," ",YEAR(A44))</f>
        <v>2005</v>
      </c>
      <c r="C44" s="317" t="n">
        <f aca="false">IF($A44="N/A"," ",IF(Dayrun1=10,0,IF(Scaler1=1,(VLOOKUP(A44,ScaledPrice1,4)),(VLOOKUP(A44,ScaledPrice1,2)))))</f>
        <v>36.2650032043457</v>
      </c>
      <c r="D44" s="317" t="n">
        <f aca="false">IF(A44="N/A"," ",IF(Dayrun1&gt;=7,0,IF(Scaler1=2,VLOOKUP(A44,ScaledPrice1,2),(VLOOKUP(A44,ScaledPrice1,2))*(2-(VLOOKUP(A44,ScaledPrice1,3))))))</f>
        <v>36.2650032043457</v>
      </c>
      <c r="E44" s="317" t="n">
        <f aca="false">IF($A44="N/A"," ",IF(AND(Dayrun1&gt;=4,Dayrun1&lt;=9),0,VLOOKUP($A44,ScaledPrice1,9)))</f>
        <v>19.0400009155273</v>
      </c>
      <c r="F44" s="317" t="n">
        <f aca="false">IF(A44="N/A"," ",IF(OR(Dayrun1=2,Dayrun1=3,Dayrun1=5,Dayrun1=6,Dayrun1=8,Dayrun1=9),VLOOKUP(A44,ScaledPrice1,IF(Scaler1=1,6,5)),0))</f>
        <v>22.2900009155273</v>
      </c>
      <c r="G44" s="317" t="n">
        <f aca="false">IF(A44="N/A"," ",IF(OR(Dayrun1=2,Dayrun1=3,Dayrun1=5,Dayrun1=6),IF(Scaler1=2,F44,(VLOOKUP(A44,ScaledPrice1,5))*(2-(VLOOKUP(A44,ScaledPrice1,3)))),0))</f>
        <v>22.2900009155273</v>
      </c>
      <c r="H44" s="317" t="n">
        <f aca="false">IF($A44="N/A"," ",IF(OR(Dayrun1=2,Dayrun1=3,Dayrun1=10),VLOOKUP($A44,ScaledPrice1,9),0))</f>
        <v>19.0400009155273</v>
      </c>
      <c r="I44" s="317" t="n">
        <f aca="false">IF(A44="N/A"," ",IF(OR(Dayrun1=3,Dayrun1=6,Dayrun1=9),(VLOOKUP(A44,ScaledPrice1,IF(Scaler1=2,7,8))),0))</f>
        <v>15.7950000762939</v>
      </c>
      <c r="J44" s="317" t="n">
        <f aca="false">IF(A44="N/A"," ",IF(OR(Dayrun1=3,Dayrun1=6),IF(Scaler1=2,I44,(VLOOKUP(A44,ScaledPrice1,7))*(2-(VLOOKUP(A44,ScaledPrice1,3)))),0))</f>
        <v>15.7950000762939</v>
      </c>
      <c r="K44" s="317" t="n">
        <f aca="false">IF($A44="N/A"," ",IF(OR(Dayrun1=3,Dayrun1=10),VLOOKUP($A44,ScaledPrice1,9),0))</f>
        <v>19.0400009155273</v>
      </c>
      <c r="L44" s="318" t="n">
        <f aca="false">IF($A44="N/A"," ",IF(Pricetype1=2,MAX(C44,0),IF(OR(Pricetype1=1,Pricetype1=4),IF(C44=0,0,(EURO(C44,Strikeprice1,0,0,($AH44+IF(Smile=TRUE(),VLOOKUP(MAX(-5,Strikeprice1-C44),Volsmile,2),0)),($A44-DateToday)+15,IF(Pricetype1=1,1,0),0))),C44)))</f>
        <v>36.2650032043457</v>
      </c>
      <c r="M44" s="318" t="n">
        <f aca="false">IF($A44="N/A"," ",IF(Pricetype1=2,MAX(D44,0),IF(OR(Pricetype1=1,Pricetype1=4),IF(D44=0,0,(EURO(D44,Strikeprice1,0,0,($AH44+IF(Smile=TRUE(),VLOOKUP(MAX(-5,Strikeprice1-D44),Volsmile,2),0)),($A44-DateToday)+15,IF(Pricetype1=1,1,0),0))),D44)))</f>
        <v>36.2650032043457</v>
      </c>
      <c r="N44" s="318" t="n">
        <f aca="false">IF($A44="N/A"," ",IF(Pricetype1=2,MAX(E44,0),IF(OR(Pricetype1=1,Pricetype1=4),IF(E44=0,0,(EURO(E44,Strikeprice1,0,0,($AK44+IF(Smile=TRUE(),VLOOKUP(MAX(-5,Strikeprice1-E44),Volsmile,2),0)),($A44-DateToday)+15,IF(Pricetype1=1,1,0),0))),E44)))</f>
        <v>19.0400009155273</v>
      </c>
      <c r="O44" s="318" t="n">
        <f aca="false">IF($A44="N/A"," ",IF(Pricetype1=2,MAX(F44,0),IF(OR(Pricetype1=1,Pricetype1=4),IF(F44=0,0,(EURO(F44,Strikeprice1,0,0,($AK44+IF(Smile=TRUE(),VLOOKUP(MAX(-5,Strikeprice1-F44),Volsmile,2),0)),($A44-DateToday)+15,IF(Pricetype1=1,1,0),0))),F44)))</f>
        <v>22.2900009155273</v>
      </c>
      <c r="P44" s="318" t="n">
        <f aca="false">IF($A44="N/A"," ",IF(Pricetype1=2,MAX(G44,0),IF(OR(Pricetype1=1,Pricetype1=4),IF(G44=0,0,(EURO(G44,Strikeprice1,0,0,($AK44+IF(Smile=TRUE(),VLOOKUP(MAX(-5,Strikeprice1-G44),Volsmile,2),0)),($A44-DateToday)+15,IF(Pricetype1=1,1,0),0))),G44)))</f>
        <v>22.2900009155273</v>
      </c>
      <c r="Q44" s="318" t="n">
        <f aca="false">IF($A44="N/A"," ",IF(Pricetype1=2,MAX(H44,0),IF(OR(Pricetype1=1,Pricetype1=4),IF(H44=0,0,(EURO(H44,Strikeprice1,0,0,($AK44+IF(Smile=TRUE(),VLOOKUP(MAX(-5,Strikeprice1-H44),Volsmile,2),0)),($A44-DateToday)+15,IF(Pricetype1=1,1,0),0))),H44)))</f>
        <v>19.0400009155273</v>
      </c>
      <c r="R44" s="318" t="n">
        <f aca="false">IF($A44="N/A"," ",IF(Pricetype1=2,MAX(I44,0),IF(OR(Pricetype1=1,Pricetype1=4),IF(I44=0,0,(EURO(I44,Strikeprice1,0,0,($AK44+IF(Smile=TRUE(),VLOOKUP(MAX(-5,Strikeprice1-I44),Volsmile,2),0)),($A44-DateToday)+15,IF(Pricetype1=1,1,0),0))),I44)))</f>
        <v>15.7950000762939</v>
      </c>
      <c r="S44" s="318" t="n">
        <f aca="false">IF($A44="N/A"," ",IF(Pricetype1=2,MAX(J44,0),IF(OR(Pricetype1=1,Pricetype1=4),IF(J44=0,0,(EURO(J44,Strikeprice1,0,0,($AK44+IF(Smile=TRUE(),VLOOKUP(MAX(-5,Strikeprice1-J44),Volsmile,2),0)),($A44-DateToday)+15,IF(Pricetype1=1,1,0),0))),J44)))</f>
        <v>15.7950000762939</v>
      </c>
      <c r="T44" s="318" t="n">
        <f aca="false">IF($A44="N/A"," ",IF(Pricetype1=2,MAX(K44,0),IF(OR(Pricetype1=1,Pricetype1=4),IF(K44=0,0,(EURO(K44,Strikeprice1,0,0,($AK44+IF(Smile=TRUE(),VLOOKUP(MAX(-5,Strikeprice1-K44),Volsmile,2),0)),($A44-DateToday)+15,IF(Pricetype1=1,1,0),0))),K44)))</f>
        <v>19.0400009155273</v>
      </c>
      <c r="U44" s="319" t="e">
        <f aca="false">IF($A44="N/A"," ",Volume1*$AM44)</f>
        <v>#N/A</v>
      </c>
      <c r="V44" s="320" t="e">
        <f aca="false">IF($A44="N/A"," ",$U44*(8*($BQ44))*L44)</f>
        <v>#N/A</v>
      </c>
      <c r="W44" s="320" t="e">
        <f aca="false">IF($A44="N/A"," ",$U44*(8*($BQ44))*M44)</f>
        <v>#N/A</v>
      </c>
      <c r="X44" s="320" t="e">
        <f aca="false">IF($A44="N/A"," ",$U44*(8*($BQ44))*N44)</f>
        <v>#N/A</v>
      </c>
      <c r="Y44" s="320" t="e">
        <f aca="false">IF($A44="N/A"," ",$U44*(8*($BR44))*O44)</f>
        <v>#N/A</v>
      </c>
      <c r="Z44" s="320" t="e">
        <f aca="false">IF($A44="N/A"," ",$U44*(8*($BR44))*P44)</f>
        <v>#N/A</v>
      </c>
      <c r="AA44" s="320" t="e">
        <f aca="false">IF($A44="N/A"," ",$U44*(8*($BR44))*Q44)</f>
        <v>#N/A</v>
      </c>
      <c r="AB44" s="320" t="e">
        <f aca="false">IF($A44="N/A"," ",$U44*(8*($BS44))*R44)</f>
        <v>#N/A</v>
      </c>
      <c r="AC44" s="320" t="e">
        <f aca="false">IF($A44="N/A"," ",$U44*(8*($BS44))*S44)</f>
        <v>#N/A</v>
      </c>
      <c r="AD44" s="320" t="e">
        <f aca="false">IF($A44="N/A"," ",$U44*(8*($BS44))*T44)</f>
        <v>#N/A</v>
      </c>
      <c r="AE44" s="320" t="e">
        <f aca="false">IF($A44="N/A"," ",SUM(V44:AD44))</f>
        <v>#N/A</v>
      </c>
      <c r="AF44" s="321" t="n">
        <f aca="false">IF(A44="N/A"," ",(VLOOKUP(A44,PowerVolTable,(IF(VolBMO1=2,7,IF(VolBMO1=1,6,8))),FALSE())))</f>
        <v>0.2</v>
      </c>
      <c r="AG44" s="321" t="n">
        <f aca="false">IF(A44="N/A"," ",(VLOOKUP(A44,IntraPowerVol,(IF(VolBMO1=2,3,IF(VolBMO1=1,2,4))),FALSE())*VLOOKUP(MONTH($A44),Volscale,2)))</f>
        <v>0.45</v>
      </c>
      <c r="AH44" s="321" t="n">
        <f aca="false">IF($A44="N/A"," ",IF(VolType1=1,AG44,AF44))</f>
        <v>0.45</v>
      </c>
      <c r="AI44" s="321" t="n">
        <f aca="false">IF($A44="N/A"," ",(VLOOKUP($A44,OffPwrVolTable,(IF(VolBMO1=2,7,IF(VolBMO1=1,6,8))),FALSE())))</f>
        <v>0.1</v>
      </c>
      <c r="AJ44" s="321" t="n">
        <f aca="false">IF($A44="N/A"," ",(VLOOKUP($A44,OffPwrVolTable,(IF(VolBMO1=2,3,IF(VolBMO1=1,2,4))),FALSE())*VLOOKUP(MONTH($A44),Volscale,2)))</f>
        <v>0.27</v>
      </c>
      <c r="AK44" s="321" t="n">
        <f aca="false">IF($A44="N/A"," ",IF(VolType1=1,AJ44,AI44))</f>
        <v>0.27</v>
      </c>
      <c r="AL44" s="321" t="e">
        <f aca="false">IF($A44="N/A"," ",IF(PV=1,0,'Pricing Inputs1'!R77))</f>
        <v>#N/A</v>
      </c>
      <c r="AM44" s="323" t="e">
        <f aca="false">IF($A44="N/A"," ",(1+AL44/2)^(-2*((EOMONTH(A44,0)+20)-DateToday)/365.25))</f>
        <v>#N/A</v>
      </c>
      <c r="BQ44" s="0" t="n">
        <f aca="false">IF($A44="N/A"," ",(VLOOKUP($A44,NumberofDaysTable,2)))</f>
        <v>21</v>
      </c>
      <c r="BR44" s="0" t="n">
        <f aca="false">IF($A44="N/A"," ",(VLOOKUP($A44,NumberofDaysTable,3)))</f>
        <v>4</v>
      </c>
      <c r="BS44" s="0" t="n">
        <f aca="false">IF($A44="N/A"," ",(VLOOKUP($A44,NumberofDaysTable,4)))</f>
        <v>6</v>
      </c>
    </row>
    <row r="45" customFormat="false" ht="12.75" hidden="false" customHeight="false" outlineLevel="0" collapsed="false">
      <c r="A45" s="315" t="n">
        <f aca="false">IF(A44="N/A","N/A",IF(EDATE(A44,1)&gt;Inputs!$M$5,"N/A",EDATE(A44,1)))</f>
        <v>38504</v>
      </c>
      <c r="B45" s="316" t="n">
        <f aca="false">IF(A45="N/A"," ",YEAR(A45))</f>
        <v>2005</v>
      </c>
      <c r="C45" s="317" t="n">
        <f aca="false">IF($A45="N/A"," ",IF(Dayrun1=10,0,IF(Scaler1=1,(VLOOKUP(A45,ScaledPrice1,4)),(VLOOKUP(A45,ScaledPrice1,2)))))</f>
        <v>42.3750038146973</v>
      </c>
      <c r="D45" s="317" t="n">
        <f aca="false">IF(A45="N/A"," ",IF(Dayrun1&gt;=7,0,IF(Scaler1=2,VLOOKUP(A45,ScaledPrice1,2),(VLOOKUP(A45,ScaledPrice1,2))*(2-(VLOOKUP(A45,ScaledPrice1,3))))))</f>
        <v>42.3750038146973</v>
      </c>
      <c r="E45" s="317" t="n">
        <f aca="false">IF($A45="N/A"," ",IF(AND(Dayrun1&gt;=4,Dayrun1&lt;=9),0,VLOOKUP($A45,ScaledPrice1,9)))</f>
        <v>22.0400009155273</v>
      </c>
      <c r="F45" s="317" t="n">
        <f aca="false">IF(A45="N/A"," ",IF(OR(Dayrun1=2,Dayrun1=3,Dayrun1=5,Dayrun1=6,Dayrun1=8,Dayrun1=9),VLOOKUP(A45,ScaledPrice1,IF(Scaler1=1,6,5)),0))</f>
        <v>29.2900009155273</v>
      </c>
      <c r="G45" s="317" t="n">
        <f aca="false">IF(A45="N/A"," ",IF(OR(Dayrun1=2,Dayrun1=3,Dayrun1=5,Dayrun1=6),IF(Scaler1=2,F45,(VLOOKUP(A45,ScaledPrice1,5))*(2-(VLOOKUP(A45,ScaledPrice1,3)))),0))</f>
        <v>29.2900009155273</v>
      </c>
      <c r="H45" s="317" t="n">
        <f aca="false">IF($A45="N/A"," ",IF(OR(Dayrun1=2,Dayrun1=3,Dayrun1=10),VLOOKUP($A45,ScaledPrice1,9),0))</f>
        <v>22.0400009155273</v>
      </c>
      <c r="I45" s="317" t="n">
        <f aca="false">IF(A45="N/A"," ",IF(OR(Dayrun1=3,Dayrun1=6,Dayrun1=9),(VLOOKUP(A45,ScaledPrice1,IF(Scaler1=2,7,8))),0))</f>
        <v>19.7900009155273</v>
      </c>
      <c r="J45" s="317" t="n">
        <f aca="false">IF(A45="N/A"," ",IF(OR(Dayrun1=3,Dayrun1=6),IF(Scaler1=2,I45,(VLOOKUP(A45,ScaledPrice1,7))*(2-(VLOOKUP(A45,ScaledPrice1,3)))),0))</f>
        <v>19.7900009155273</v>
      </c>
      <c r="K45" s="317" t="n">
        <f aca="false">IF($A45="N/A"," ",IF(OR(Dayrun1=3,Dayrun1=10),VLOOKUP($A45,ScaledPrice1,9),0))</f>
        <v>22.0400009155273</v>
      </c>
      <c r="L45" s="318" t="n">
        <f aca="false">IF($A45="N/A"," ",IF(Pricetype1=2,MAX(C45,0),IF(OR(Pricetype1=1,Pricetype1=4),IF(C45=0,0,(EURO(C45,Strikeprice1,0,0,($AH45+IF(Smile=TRUE(),VLOOKUP(MAX(-5,Strikeprice1-C45),Volsmile,2),0)),($A45-DateToday)+15,IF(Pricetype1=1,1,0),0))),C45)))</f>
        <v>42.3750038146973</v>
      </c>
      <c r="M45" s="318" t="n">
        <f aca="false">IF($A45="N/A"," ",IF(Pricetype1=2,MAX(D45,0),IF(OR(Pricetype1=1,Pricetype1=4),IF(D45=0,0,(EURO(D45,Strikeprice1,0,0,($AH45+IF(Smile=TRUE(),VLOOKUP(MAX(-5,Strikeprice1-D45),Volsmile,2),0)),($A45-DateToday)+15,IF(Pricetype1=1,1,0),0))),D45)))</f>
        <v>42.3750038146973</v>
      </c>
      <c r="N45" s="318" t="n">
        <f aca="false">IF($A45="N/A"," ",IF(Pricetype1=2,MAX(E45,0),IF(OR(Pricetype1=1,Pricetype1=4),IF(E45=0,0,(EURO(E45,Strikeprice1,0,0,($AK45+IF(Smile=TRUE(),VLOOKUP(MAX(-5,Strikeprice1-E45),Volsmile,2),0)),($A45-DateToday)+15,IF(Pricetype1=1,1,0),0))),E45)))</f>
        <v>22.0400009155273</v>
      </c>
      <c r="O45" s="318" t="n">
        <f aca="false">IF($A45="N/A"," ",IF(Pricetype1=2,MAX(F45,0),IF(OR(Pricetype1=1,Pricetype1=4),IF(F45=0,0,(EURO(F45,Strikeprice1,0,0,($AK45+IF(Smile=TRUE(),VLOOKUP(MAX(-5,Strikeprice1-F45),Volsmile,2),0)),($A45-DateToday)+15,IF(Pricetype1=1,1,0),0))),F45)))</f>
        <v>29.2900009155273</v>
      </c>
      <c r="P45" s="318" t="n">
        <f aca="false">IF($A45="N/A"," ",IF(Pricetype1=2,MAX(G45,0),IF(OR(Pricetype1=1,Pricetype1=4),IF(G45=0,0,(EURO(G45,Strikeprice1,0,0,($AK45+IF(Smile=TRUE(),VLOOKUP(MAX(-5,Strikeprice1-G45),Volsmile,2),0)),($A45-DateToday)+15,IF(Pricetype1=1,1,0),0))),G45)))</f>
        <v>29.2900009155273</v>
      </c>
      <c r="Q45" s="318" t="n">
        <f aca="false">IF($A45="N/A"," ",IF(Pricetype1=2,MAX(H45,0),IF(OR(Pricetype1=1,Pricetype1=4),IF(H45=0,0,(EURO(H45,Strikeprice1,0,0,($AK45+IF(Smile=TRUE(),VLOOKUP(MAX(-5,Strikeprice1-H45),Volsmile,2),0)),($A45-DateToday)+15,IF(Pricetype1=1,1,0),0))),H45)))</f>
        <v>22.0400009155273</v>
      </c>
      <c r="R45" s="318" t="n">
        <f aca="false">IF($A45="N/A"," ",IF(Pricetype1=2,MAX(I45,0),IF(OR(Pricetype1=1,Pricetype1=4),IF(I45=0,0,(EURO(I45,Strikeprice1,0,0,($AK45+IF(Smile=TRUE(),VLOOKUP(MAX(-5,Strikeprice1-I45),Volsmile,2),0)),($A45-DateToday)+15,IF(Pricetype1=1,1,0),0))),I45)))</f>
        <v>19.7900009155273</v>
      </c>
      <c r="S45" s="318" t="n">
        <f aca="false">IF($A45="N/A"," ",IF(Pricetype1=2,MAX(J45,0),IF(OR(Pricetype1=1,Pricetype1=4),IF(J45=0,0,(EURO(J45,Strikeprice1,0,0,($AK45+IF(Smile=TRUE(),VLOOKUP(MAX(-5,Strikeprice1-J45),Volsmile,2),0)),($A45-DateToday)+15,IF(Pricetype1=1,1,0),0))),J45)))</f>
        <v>19.7900009155273</v>
      </c>
      <c r="T45" s="318" t="n">
        <f aca="false">IF($A45="N/A"," ",IF(Pricetype1=2,MAX(K45,0),IF(OR(Pricetype1=1,Pricetype1=4),IF(K45=0,0,(EURO(K45,Strikeprice1,0,0,($AK45+IF(Smile=TRUE(),VLOOKUP(MAX(-5,Strikeprice1-K45),Volsmile,2),0)),($A45-DateToday)+15,IF(Pricetype1=1,1,0),0))),K45)))</f>
        <v>22.0400009155273</v>
      </c>
      <c r="U45" s="319" t="e">
        <f aca="false">IF($A45="N/A"," ",Volume1*$AM45)</f>
        <v>#N/A</v>
      </c>
      <c r="V45" s="320" t="e">
        <f aca="false">IF($A45="N/A"," ",$U45*(8*($BQ45))*L45)</f>
        <v>#N/A</v>
      </c>
      <c r="W45" s="320" t="e">
        <f aca="false">IF($A45="N/A"," ",$U45*(8*($BQ45))*M45)</f>
        <v>#N/A</v>
      </c>
      <c r="X45" s="320" t="e">
        <f aca="false">IF($A45="N/A"," ",$U45*(8*($BQ45))*N45)</f>
        <v>#N/A</v>
      </c>
      <c r="Y45" s="320" t="e">
        <f aca="false">IF($A45="N/A"," ",$U45*(8*($BR45))*O45)</f>
        <v>#N/A</v>
      </c>
      <c r="Z45" s="320" t="e">
        <f aca="false">IF($A45="N/A"," ",$U45*(8*($BR45))*P45)</f>
        <v>#N/A</v>
      </c>
      <c r="AA45" s="320" t="e">
        <f aca="false">IF($A45="N/A"," ",$U45*(8*($BR45))*Q45)</f>
        <v>#N/A</v>
      </c>
      <c r="AB45" s="320" t="e">
        <f aca="false">IF($A45="N/A"," ",$U45*(8*($BS45))*R45)</f>
        <v>#N/A</v>
      </c>
      <c r="AC45" s="320" t="e">
        <f aca="false">IF($A45="N/A"," ",$U45*(8*($BS45))*S45)</f>
        <v>#N/A</v>
      </c>
      <c r="AD45" s="320" t="e">
        <f aca="false">IF($A45="N/A"," ",$U45*(8*($BS45))*T45)</f>
        <v>#N/A</v>
      </c>
      <c r="AE45" s="320" t="e">
        <f aca="false">IF($A45="N/A"," ",SUM(V45:AD45))</f>
        <v>#N/A</v>
      </c>
      <c r="AF45" s="321" t="n">
        <f aca="false">IF(A45="N/A"," ",(VLOOKUP(A45,PowerVolTable,(IF(VolBMO1=2,7,IF(VolBMO1=1,6,8))),FALSE())))</f>
        <v>0.2</v>
      </c>
      <c r="AG45" s="321" t="n">
        <f aca="false">IF(A45="N/A"," ",(VLOOKUP(A45,IntraPowerVol,(IF(VolBMO1=2,3,IF(VolBMO1=1,2,4))),FALSE())*VLOOKUP(MONTH($A45),Volscale,2)))</f>
        <v>0.45</v>
      </c>
      <c r="AH45" s="321" t="n">
        <f aca="false">IF($A45="N/A"," ",IF(VolType1=1,AG45,AF45))</f>
        <v>0.45</v>
      </c>
      <c r="AI45" s="321" t="n">
        <f aca="false">IF($A45="N/A"," ",(VLOOKUP($A45,OffPwrVolTable,(IF(VolBMO1=2,7,IF(VolBMO1=1,6,8))),FALSE())))</f>
        <v>0.1</v>
      </c>
      <c r="AJ45" s="321" t="n">
        <f aca="false">IF($A45="N/A"," ",(VLOOKUP($A45,OffPwrVolTable,(IF(VolBMO1=2,3,IF(VolBMO1=1,2,4))),FALSE())*VLOOKUP(MONTH($A45),Volscale,2)))</f>
        <v>0.27</v>
      </c>
      <c r="AK45" s="321" t="n">
        <f aca="false">IF($A45="N/A"," ",IF(VolType1=1,AJ45,AI45))</f>
        <v>0.27</v>
      </c>
      <c r="AL45" s="321" t="e">
        <f aca="false">IF($A45="N/A"," ",IF(PV=1,0,'Pricing Inputs1'!R78))</f>
        <v>#N/A</v>
      </c>
      <c r="AM45" s="323" t="e">
        <f aca="false">IF($A45="N/A"," ",(1+AL45/2)^(-2*((EOMONTH(A45,0)+20)-DateToday)/365.25))</f>
        <v>#N/A</v>
      </c>
      <c r="BQ45" s="0" t="n">
        <f aca="false">IF($A45="N/A"," ",(VLOOKUP($A45,NumberofDaysTable,2)))</f>
        <v>22</v>
      </c>
      <c r="BR45" s="0" t="n">
        <f aca="false">IF($A45="N/A"," ",(VLOOKUP($A45,NumberofDaysTable,3)))</f>
        <v>4</v>
      </c>
      <c r="BS45" s="0" t="n">
        <f aca="false">IF($A45="N/A"," ",(VLOOKUP($A45,NumberofDaysTable,4)))</f>
        <v>4</v>
      </c>
    </row>
    <row r="46" customFormat="false" ht="12.75" hidden="false" customHeight="false" outlineLevel="0" collapsed="false">
      <c r="A46" s="315" t="n">
        <f aca="false">IF(A45="N/A","N/A",IF(EDATE(A45,1)&gt;Inputs!$M$5,"N/A",EDATE(A45,1)))</f>
        <v>38534</v>
      </c>
      <c r="B46" s="316" t="n">
        <f aca="false">IF(A46="N/A"," ",YEAR(A46))</f>
        <v>2005</v>
      </c>
      <c r="C46" s="317" t="n">
        <f aca="false">IF($A46="N/A"," ",IF(Dayrun1=10,0,IF(Scaler1=1,(VLOOKUP(A46,ScaledPrice1,4)),(VLOOKUP(A46,ScaledPrice1,2)))))</f>
        <v>50.5</v>
      </c>
      <c r="D46" s="317" t="n">
        <f aca="false">IF(A46="N/A"," ",IF(Dayrun1&gt;=7,0,IF(Scaler1=2,VLOOKUP(A46,ScaledPrice1,2),(VLOOKUP(A46,ScaledPrice1,2))*(2-(VLOOKUP(A46,ScaledPrice1,3))))))</f>
        <v>50.5</v>
      </c>
      <c r="E46" s="317" t="n">
        <f aca="false">IF($A46="N/A"," ",IF(AND(Dayrun1&gt;=4,Dayrun1&lt;=9),0,VLOOKUP($A46,ScaledPrice1,9)))</f>
        <v>22.5400009155273</v>
      </c>
      <c r="F46" s="317" t="n">
        <f aca="false">IF(A46="N/A"," ",IF(OR(Dayrun1=2,Dayrun1=3,Dayrun1=5,Dayrun1=6,Dayrun1=8,Dayrun1=9),VLOOKUP(A46,ScaledPrice1,IF(Scaler1=1,6,5)),0))</f>
        <v>35.2900009155273</v>
      </c>
      <c r="G46" s="317" t="n">
        <f aca="false">IF(A46="N/A"," ",IF(OR(Dayrun1=2,Dayrun1=3,Dayrun1=5,Dayrun1=6),IF(Scaler1=2,F46,(VLOOKUP(A46,ScaledPrice1,5))*(2-(VLOOKUP(A46,ScaledPrice1,3)))),0))</f>
        <v>35.2900009155273</v>
      </c>
      <c r="H46" s="317" t="n">
        <f aca="false">IF($A46="N/A"," ",IF(OR(Dayrun1=2,Dayrun1=3,Dayrun1=10),VLOOKUP($A46,ScaledPrice1,9),0))</f>
        <v>22.5400009155273</v>
      </c>
      <c r="I46" s="317" t="n">
        <f aca="false">IF(A46="N/A"," ",IF(OR(Dayrun1=3,Dayrun1=6,Dayrun1=9),(VLOOKUP(A46,ScaledPrice1,IF(Scaler1=2,7,8))),0))</f>
        <v>25.7900009155273</v>
      </c>
      <c r="J46" s="317" t="n">
        <f aca="false">IF(A46="N/A"," ",IF(OR(Dayrun1=3,Dayrun1=6),IF(Scaler1=2,I46,(VLOOKUP(A46,ScaledPrice1,7))*(2-(VLOOKUP(A46,ScaledPrice1,3)))),0))</f>
        <v>25.7900009155273</v>
      </c>
      <c r="K46" s="317" t="n">
        <f aca="false">IF($A46="N/A"," ",IF(OR(Dayrun1=3,Dayrun1=10),VLOOKUP($A46,ScaledPrice1,9),0))</f>
        <v>22.5400009155273</v>
      </c>
      <c r="L46" s="318" t="n">
        <f aca="false">IF($A46="N/A"," ",IF(Pricetype1=2,MAX(C46,0),IF(OR(Pricetype1=1,Pricetype1=4),IF(C46=0,0,(EURO(C46,Strikeprice1,0,0,($AH46+IF(Smile=TRUE(),VLOOKUP(MAX(-5,Strikeprice1-C46),Volsmile,2),0)),($A46-DateToday)+15,IF(Pricetype1=1,1,0),0))),C46)))</f>
        <v>50.5</v>
      </c>
      <c r="M46" s="318" t="n">
        <f aca="false">IF($A46="N/A"," ",IF(Pricetype1=2,MAX(D46,0),IF(OR(Pricetype1=1,Pricetype1=4),IF(D46=0,0,(EURO(D46,Strikeprice1,0,0,($AH46+IF(Smile=TRUE(),VLOOKUP(MAX(-5,Strikeprice1-D46),Volsmile,2),0)),($A46-DateToday)+15,IF(Pricetype1=1,1,0),0))),D46)))</f>
        <v>50.5</v>
      </c>
      <c r="N46" s="318" t="n">
        <f aca="false">IF($A46="N/A"," ",IF(Pricetype1=2,MAX(E46,0),IF(OR(Pricetype1=1,Pricetype1=4),IF(E46=0,0,(EURO(E46,Strikeprice1,0,0,($AK46+IF(Smile=TRUE(),VLOOKUP(MAX(-5,Strikeprice1-E46),Volsmile,2),0)),($A46-DateToday)+15,IF(Pricetype1=1,1,0),0))),E46)))</f>
        <v>22.5400009155273</v>
      </c>
      <c r="O46" s="318" t="n">
        <f aca="false">IF($A46="N/A"," ",IF(Pricetype1=2,MAX(F46,0),IF(OR(Pricetype1=1,Pricetype1=4),IF(F46=0,0,(EURO(F46,Strikeprice1,0,0,($AK46+IF(Smile=TRUE(),VLOOKUP(MAX(-5,Strikeprice1-F46),Volsmile,2),0)),($A46-DateToday)+15,IF(Pricetype1=1,1,0),0))),F46)))</f>
        <v>35.2900009155273</v>
      </c>
      <c r="P46" s="318" t="n">
        <f aca="false">IF($A46="N/A"," ",IF(Pricetype1=2,MAX(G46,0),IF(OR(Pricetype1=1,Pricetype1=4),IF(G46=0,0,(EURO(G46,Strikeprice1,0,0,($AK46+IF(Smile=TRUE(),VLOOKUP(MAX(-5,Strikeprice1-G46),Volsmile,2),0)),($A46-DateToday)+15,IF(Pricetype1=1,1,0),0))),G46)))</f>
        <v>35.2900009155273</v>
      </c>
      <c r="Q46" s="318" t="n">
        <f aca="false">IF($A46="N/A"," ",IF(Pricetype1=2,MAX(H46,0),IF(OR(Pricetype1=1,Pricetype1=4),IF(H46=0,0,(EURO(H46,Strikeprice1,0,0,($AK46+IF(Smile=TRUE(),VLOOKUP(MAX(-5,Strikeprice1-H46),Volsmile,2),0)),($A46-DateToday)+15,IF(Pricetype1=1,1,0),0))),H46)))</f>
        <v>22.5400009155273</v>
      </c>
      <c r="R46" s="318" t="n">
        <f aca="false">IF($A46="N/A"," ",IF(Pricetype1=2,MAX(I46,0),IF(OR(Pricetype1=1,Pricetype1=4),IF(I46=0,0,(EURO(I46,Strikeprice1,0,0,($AK46+IF(Smile=TRUE(),VLOOKUP(MAX(-5,Strikeprice1-I46),Volsmile,2),0)),($A46-DateToday)+15,IF(Pricetype1=1,1,0),0))),I46)))</f>
        <v>25.7900009155273</v>
      </c>
      <c r="S46" s="318" t="n">
        <f aca="false">IF($A46="N/A"," ",IF(Pricetype1=2,MAX(J46,0),IF(OR(Pricetype1=1,Pricetype1=4),IF(J46=0,0,(EURO(J46,Strikeprice1,0,0,($AK46+IF(Smile=TRUE(),VLOOKUP(MAX(-5,Strikeprice1-J46),Volsmile,2),0)),($A46-DateToday)+15,IF(Pricetype1=1,1,0),0))),J46)))</f>
        <v>25.7900009155273</v>
      </c>
      <c r="T46" s="318" t="n">
        <f aca="false">IF($A46="N/A"," ",IF(Pricetype1=2,MAX(K46,0),IF(OR(Pricetype1=1,Pricetype1=4),IF(K46=0,0,(EURO(K46,Strikeprice1,0,0,($AK46+IF(Smile=TRUE(),VLOOKUP(MAX(-5,Strikeprice1-K46),Volsmile,2),0)),($A46-DateToday)+15,IF(Pricetype1=1,1,0),0))),K46)))</f>
        <v>22.5400009155273</v>
      </c>
      <c r="U46" s="319" t="e">
        <f aca="false">IF($A46="N/A"," ",Volume1*$AM46)</f>
        <v>#N/A</v>
      </c>
      <c r="V46" s="320" t="e">
        <f aca="false">IF($A46="N/A"," ",$U46*(8*($BQ46))*L46)</f>
        <v>#N/A</v>
      </c>
      <c r="W46" s="320" t="e">
        <f aca="false">IF($A46="N/A"," ",$U46*(8*($BQ46))*M46)</f>
        <v>#N/A</v>
      </c>
      <c r="X46" s="320" t="e">
        <f aca="false">IF($A46="N/A"," ",$U46*(8*($BQ46))*N46)</f>
        <v>#N/A</v>
      </c>
      <c r="Y46" s="320" t="e">
        <f aca="false">IF($A46="N/A"," ",$U46*(8*($BR46))*O46)</f>
        <v>#N/A</v>
      </c>
      <c r="Z46" s="320" t="e">
        <f aca="false">IF($A46="N/A"," ",$U46*(8*($BR46))*P46)</f>
        <v>#N/A</v>
      </c>
      <c r="AA46" s="320" t="e">
        <f aca="false">IF($A46="N/A"," ",$U46*(8*($BR46))*Q46)</f>
        <v>#N/A</v>
      </c>
      <c r="AB46" s="320" t="e">
        <f aca="false">IF($A46="N/A"," ",$U46*(8*($BS46))*R46)</f>
        <v>#N/A</v>
      </c>
      <c r="AC46" s="320" t="e">
        <f aca="false">IF($A46="N/A"," ",$U46*(8*($BS46))*S46)</f>
        <v>#N/A</v>
      </c>
      <c r="AD46" s="320" t="e">
        <f aca="false">IF($A46="N/A"," ",$U46*(8*($BS46))*T46)</f>
        <v>#N/A</v>
      </c>
      <c r="AE46" s="320" t="e">
        <f aca="false">IF($A46="N/A"," ",SUM(V46:AD46))</f>
        <v>#N/A</v>
      </c>
      <c r="AF46" s="321" t="n">
        <f aca="false">IF(A46="N/A"," ",(VLOOKUP(A46,PowerVolTable,(IF(VolBMO1=2,7,IF(VolBMO1=1,6,8))),FALSE())))</f>
        <v>0.3</v>
      </c>
      <c r="AG46" s="321" t="n">
        <f aca="false">IF(A46="N/A"," ",(VLOOKUP(A46,IntraPowerVol,(IF(VolBMO1=2,3,IF(VolBMO1=1,2,4))),FALSE())*VLOOKUP(MONTH($A46),Volscale,2)))</f>
        <v>0.6</v>
      </c>
      <c r="AH46" s="321" t="n">
        <f aca="false">IF($A46="N/A"," ",IF(VolType1=1,AG46,AF46))</f>
        <v>0.6</v>
      </c>
      <c r="AI46" s="321" t="n">
        <f aca="false">IF($A46="N/A"," ",(VLOOKUP($A46,OffPwrVolTable,(IF(VolBMO1=2,7,IF(VolBMO1=1,6,8))),FALSE())))</f>
        <v>0.15</v>
      </c>
      <c r="AJ46" s="321" t="n">
        <f aca="false">IF($A46="N/A"," ",(VLOOKUP($A46,OffPwrVolTable,(IF(VolBMO1=2,3,IF(VolBMO1=1,2,4))),FALSE())*VLOOKUP(MONTH($A46),Volscale,2)))</f>
        <v>0.36</v>
      </c>
      <c r="AK46" s="321" t="n">
        <f aca="false">IF($A46="N/A"," ",IF(VolType1=1,AJ46,AI46))</f>
        <v>0.36</v>
      </c>
      <c r="AL46" s="321" t="e">
        <f aca="false">IF($A46="N/A"," ",IF(PV=1,0,'Pricing Inputs1'!R79))</f>
        <v>#N/A</v>
      </c>
      <c r="AM46" s="323" t="e">
        <f aca="false">IF($A46="N/A"," ",(1+AL46/2)^(-2*((EOMONTH(A46,0)+20)-DateToday)/365.25))</f>
        <v>#N/A</v>
      </c>
      <c r="BQ46" s="0" t="n">
        <f aca="false">IF($A46="N/A"," ",(VLOOKUP($A46,NumberofDaysTable,2)))</f>
        <v>20</v>
      </c>
      <c r="BR46" s="0" t="n">
        <f aca="false">IF($A46="N/A"," ",(VLOOKUP($A46,NumberofDaysTable,3)))</f>
        <v>5</v>
      </c>
      <c r="BS46" s="0" t="n">
        <f aca="false">IF($A46="N/A"," ",(VLOOKUP($A46,NumberofDaysTable,4)))</f>
        <v>6</v>
      </c>
    </row>
    <row r="47" customFormat="false" ht="12.75" hidden="false" customHeight="false" outlineLevel="0" collapsed="false">
      <c r="A47" s="315" t="n">
        <f aca="false">IF(A46="N/A","N/A",IF(EDATE(A46,1)&gt;Inputs!$M$5,"N/A",EDATE(A46,1)))</f>
        <v>38565</v>
      </c>
      <c r="B47" s="316" t="n">
        <f aca="false">IF(A47="N/A"," ",YEAR(A47))</f>
        <v>2005</v>
      </c>
      <c r="C47" s="317" t="n">
        <f aca="false">IF($A47="N/A"," ",IF(Dayrun1=10,0,IF(Scaler1=1,(VLOOKUP(A47,ScaledPrice1,4)),(VLOOKUP(A47,ScaledPrice1,2)))))</f>
        <v>50.5</v>
      </c>
      <c r="D47" s="317" t="n">
        <f aca="false">IF(A47="N/A"," ",IF(Dayrun1&gt;=7,0,IF(Scaler1=2,VLOOKUP(A47,ScaledPrice1,2),(VLOOKUP(A47,ScaledPrice1,2))*(2-(VLOOKUP(A47,ScaledPrice1,3))))))</f>
        <v>50.5</v>
      </c>
      <c r="E47" s="317" t="n">
        <f aca="false">IF($A47="N/A"," ",IF(AND(Dayrun1&gt;=4,Dayrun1&lt;=9),0,VLOOKUP($A47,ScaledPrice1,9)))</f>
        <v>23.5400009155273</v>
      </c>
      <c r="F47" s="317" t="n">
        <f aca="false">IF(A47="N/A"," ",IF(OR(Dayrun1=2,Dayrun1=3,Dayrun1=5,Dayrun1=6,Dayrun1=8,Dayrun1=9),VLOOKUP(A47,ScaledPrice1,IF(Scaler1=1,6,5)),0))</f>
        <v>33.2900047302246</v>
      </c>
      <c r="G47" s="317" t="n">
        <f aca="false">IF(A47="N/A"," ",IF(OR(Dayrun1=2,Dayrun1=3,Dayrun1=5,Dayrun1=6),IF(Scaler1=2,F47,(VLOOKUP(A47,ScaledPrice1,5))*(2-(VLOOKUP(A47,ScaledPrice1,3)))),0))</f>
        <v>33.2900047302246</v>
      </c>
      <c r="H47" s="317" t="n">
        <f aca="false">IF($A47="N/A"," ",IF(OR(Dayrun1=2,Dayrun1=3,Dayrun1=10),VLOOKUP($A47,ScaledPrice1,9),0))</f>
        <v>23.5400009155273</v>
      </c>
      <c r="I47" s="317" t="n">
        <f aca="false">IF(A47="N/A"," ",IF(OR(Dayrun1=3,Dayrun1=6,Dayrun1=9),(VLOOKUP(A47,ScaledPrice1,IF(Scaler1=2,7,8))),0))</f>
        <v>25.7900009155273</v>
      </c>
      <c r="J47" s="317" t="n">
        <f aca="false">IF(A47="N/A"," ",IF(OR(Dayrun1=3,Dayrun1=6),IF(Scaler1=2,I47,(VLOOKUP(A47,ScaledPrice1,7))*(2-(VLOOKUP(A47,ScaledPrice1,3)))),0))</f>
        <v>25.7900009155273</v>
      </c>
      <c r="K47" s="317" t="n">
        <f aca="false">IF($A47="N/A"," ",IF(OR(Dayrun1=3,Dayrun1=10),VLOOKUP($A47,ScaledPrice1,9),0))</f>
        <v>23.5400009155273</v>
      </c>
      <c r="L47" s="318" t="n">
        <f aca="false">IF($A47="N/A"," ",IF(Pricetype1=2,MAX(C47,0),IF(OR(Pricetype1=1,Pricetype1=4),IF(C47=0,0,(EURO(C47,Strikeprice1,0,0,($AH47+IF(Smile=TRUE(),VLOOKUP(MAX(-5,Strikeprice1-C47),Volsmile,2),0)),($A47-DateToday)+15,IF(Pricetype1=1,1,0),0))),C47)))</f>
        <v>50.5</v>
      </c>
      <c r="M47" s="318" t="n">
        <f aca="false">IF($A47="N/A"," ",IF(Pricetype1=2,MAX(D47,0),IF(OR(Pricetype1=1,Pricetype1=4),IF(D47=0,0,(EURO(D47,Strikeprice1,0,0,($AH47+IF(Smile=TRUE(),VLOOKUP(MAX(-5,Strikeprice1-D47),Volsmile,2),0)),($A47-DateToday)+15,IF(Pricetype1=1,1,0),0))),D47)))</f>
        <v>50.5</v>
      </c>
      <c r="N47" s="318" t="n">
        <f aca="false">IF($A47="N/A"," ",IF(Pricetype1=2,MAX(E47,0),IF(OR(Pricetype1=1,Pricetype1=4),IF(E47=0,0,(EURO(E47,Strikeprice1,0,0,($AK47+IF(Smile=TRUE(),VLOOKUP(MAX(-5,Strikeprice1-E47),Volsmile,2),0)),($A47-DateToday)+15,IF(Pricetype1=1,1,0),0))),E47)))</f>
        <v>23.5400009155273</v>
      </c>
      <c r="O47" s="318" t="n">
        <f aca="false">IF($A47="N/A"," ",IF(Pricetype1=2,MAX(F47,0),IF(OR(Pricetype1=1,Pricetype1=4),IF(F47=0,0,(EURO(F47,Strikeprice1,0,0,($AK47+IF(Smile=TRUE(),VLOOKUP(MAX(-5,Strikeprice1-F47),Volsmile,2),0)),($A47-DateToday)+15,IF(Pricetype1=1,1,0),0))),F47)))</f>
        <v>33.2900047302246</v>
      </c>
      <c r="P47" s="318" t="n">
        <f aca="false">IF($A47="N/A"," ",IF(Pricetype1=2,MAX(G47,0),IF(OR(Pricetype1=1,Pricetype1=4),IF(G47=0,0,(EURO(G47,Strikeprice1,0,0,($AK47+IF(Smile=TRUE(),VLOOKUP(MAX(-5,Strikeprice1-G47),Volsmile,2),0)),($A47-DateToday)+15,IF(Pricetype1=1,1,0),0))),G47)))</f>
        <v>33.2900047302246</v>
      </c>
      <c r="Q47" s="318" t="n">
        <f aca="false">IF($A47="N/A"," ",IF(Pricetype1=2,MAX(H47,0),IF(OR(Pricetype1=1,Pricetype1=4),IF(H47=0,0,(EURO(H47,Strikeprice1,0,0,($AK47+IF(Smile=TRUE(),VLOOKUP(MAX(-5,Strikeprice1-H47),Volsmile,2),0)),($A47-DateToday)+15,IF(Pricetype1=1,1,0),0))),H47)))</f>
        <v>23.5400009155273</v>
      </c>
      <c r="R47" s="318" t="n">
        <f aca="false">IF($A47="N/A"," ",IF(Pricetype1=2,MAX(I47,0),IF(OR(Pricetype1=1,Pricetype1=4),IF(I47=0,0,(EURO(I47,Strikeprice1,0,0,($AK47+IF(Smile=TRUE(),VLOOKUP(MAX(-5,Strikeprice1-I47),Volsmile,2),0)),($A47-DateToday)+15,IF(Pricetype1=1,1,0),0))),I47)))</f>
        <v>25.7900009155273</v>
      </c>
      <c r="S47" s="318" t="n">
        <f aca="false">IF($A47="N/A"," ",IF(Pricetype1=2,MAX(J47,0),IF(OR(Pricetype1=1,Pricetype1=4),IF(J47=0,0,(EURO(J47,Strikeprice1,0,0,($AK47+IF(Smile=TRUE(),VLOOKUP(MAX(-5,Strikeprice1-J47),Volsmile,2),0)),($A47-DateToday)+15,IF(Pricetype1=1,1,0),0))),J47)))</f>
        <v>25.7900009155273</v>
      </c>
      <c r="T47" s="318" t="n">
        <f aca="false">IF($A47="N/A"," ",IF(Pricetype1=2,MAX(K47,0),IF(OR(Pricetype1=1,Pricetype1=4),IF(K47=0,0,(EURO(K47,Strikeprice1,0,0,($AK47+IF(Smile=TRUE(),VLOOKUP(MAX(-5,Strikeprice1-K47),Volsmile,2),0)),($A47-DateToday)+15,IF(Pricetype1=1,1,0),0))),K47)))</f>
        <v>23.5400009155273</v>
      </c>
      <c r="U47" s="319" t="e">
        <f aca="false">IF($A47="N/A"," ",Volume1*$AM47)</f>
        <v>#N/A</v>
      </c>
      <c r="V47" s="320" t="e">
        <f aca="false">IF($A47="N/A"," ",$U47*(8*($BQ47))*L47)</f>
        <v>#N/A</v>
      </c>
      <c r="W47" s="320" t="e">
        <f aca="false">IF($A47="N/A"," ",$U47*(8*($BQ47))*M47)</f>
        <v>#N/A</v>
      </c>
      <c r="X47" s="320" t="e">
        <f aca="false">IF($A47="N/A"," ",$U47*(8*($BQ47))*N47)</f>
        <v>#N/A</v>
      </c>
      <c r="Y47" s="320" t="e">
        <f aca="false">IF($A47="N/A"," ",$U47*(8*($BR47))*O47)</f>
        <v>#N/A</v>
      </c>
      <c r="Z47" s="320" t="e">
        <f aca="false">IF($A47="N/A"," ",$U47*(8*($BR47))*P47)</f>
        <v>#N/A</v>
      </c>
      <c r="AA47" s="320" t="e">
        <f aca="false">IF($A47="N/A"," ",$U47*(8*($BR47))*Q47)</f>
        <v>#N/A</v>
      </c>
      <c r="AB47" s="320" t="e">
        <f aca="false">IF($A47="N/A"," ",$U47*(8*($BS47))*R47)</f>
        <v>#N/A</v>
      </c>
      <c r="AC47" s="320" t="e">
        <f aca="false">IF($A47="N/A"," ",$U47*(8*($BS47))*S47)</f>
        <v>#N/A</v>
      </c>
      <c r="AD47" s="320" t="e">
        <f aca="false">IF($A47="N/A"," ",$U47*(8*($BS47))*T47)</f>
        <v>#N/A</v>
      </c>
      <c r="AE47" s="320" t="e">
        <f aca="false">IF($A47="N/A"," ",SUM(V47:AD47))</f>
        <v>#N/A</v>
      </c>
      <c r="AF47" s="321" t="n">
        <f aca="false">IF(A47="N/A"," ",(VLOOKUP(A47,PowerVolTable,(IF(VolBMO1=2,7,IF(VolBMO1=1,6,8))),FALSE())))</f>
        <v>0.3</v>
      </c>
      <c r="AG47" s="321" t="n">
        <f aca="false">IF(A47="N/A"," ",(VLOOKUP(A47,IntraPowerVol,(IF(VolBMO1=2,3,IF(VolBMO1=1,2,4))),FALSE())*VLOOKUP(MONTH($A47),Volscale,2)))</f>
        <v>0.6</v>
      </c>
      <c r="AH47" s="321" t="n">
        <f aca="false">IF($A47="N/A"," ",IF(VolType1=1,AG47,AF47))</f>
        <v>0.6</v>
      </c>
      <c r="AI47" s="321" t="n">
        <f aca="false">IF($A47="N/A"," ",(VLOOKUP($A47,OffPwrVolTable,(IF(VolBMO1=2,7,IF(VolBMO1=1,6,8))),FALSE())))</f>
        <v>0.15</v>
      </c>
      <c r="AJ47" s="321" t="n">
        <f aca="false">IF($A47="N/A"," ",(VLOOKUP($A47,OffPwrVolTable,(IF(VolBMO1=2,3,IF(VolBMO1=1,2,4))),FALSE())*VLOOKUP(MONTH($A47),Volscale,2)))</f>
        <v>0.36</v>
      </c>
      <c r="AK47" s="321" t="n">
        <f aca="false">IF($A47="N/A"," ",IF(VolType1=1,AJ47,AI47))</f>
        <v>0.36</v>
      </c>
      <c r="AL47" s="321" t="e">
        <f aca="false">IF($A47="N/A"," ",IF(PV=1,0,'Pricing Inputs1'!R80))</f>
        <v>#N/A</v>
      </c>
      <c r="AM47" s="323" t="e">
        <f aca="false">IF($A47="N/A"," ",(1+AL47/2)^(-2*((EOMONTH(A47,0)+20)-DateToday)/365.25))</f>
        <v>#N/A</v>
      </c>
      <c r="BQ47" s="0" t="n">
        <f aca="false">IF($A47="N/A"," ",(VLOOKUP($A47,NumberofDaysTable,2)))</f>
        <v>23</v>
      </c>
      <c r="BR47" s="0" t="n">
        <f aca="false">IF($A47="N/A"," ",(VLOOKUP($A47,NumberofDaysTable,3)))</f>
        <v>4</v>
      </c>
      <c r="BS47" s="0" t="n">
        <f aca="false">IF($A47="N/A"," ",(VLOOKUP($A47,NumberofDaysTable,4)))</f>
        <v>4</v>
      </c>
    </row>
    <row r="48" customFormat="false" ht="12.75" hidden="false" customHeight="false" outlineLevel="0" collapsed="false">
      <c r="A48" s="315" t="n">
        <f aca="false">IF(A47="N/A","N/A",IF(EDATE(A47,1)&gt;Inputs!$M$5,"N/A",EDATE(A47,1)))</f>
        <v>38596</v>
      </c>
      <c r="B48" s="316" t="n">
        <f aca="false">IF(A48="N/A"," ",YEAR(A48))</f>
        <v>2005</v>
      </c>
      <c r="C48" s="317" t="n">
        <f aca="false">IF($A48="N/A"," ",IF(Dayrun1=10,0,IF(Scaler1=1,(VLOOKUP(A48,ScaledPrice1,4)),(VLOOKUP(A48,ScaledPrice1,2)))))</f>
        <v>31.1399993896484</v>
      </c>
      <c r="D48" s="317" t="n">
        <f aca="false">IF(A48="N/A"," ",IF(Dayrun1&gt;=7,0,IF(Scaler1=2,VLOOKUP(A48,ScaledPrice1,2),(VLOOKUP(A48,ScaledPrice1,2))*(2-(VLOOKUP(A48,ScaledPrice1,3))))))</f>
        <v>31.1399993896484</v>
      </c>
      <c r="E48" s="317" t="n">
        <f aca="false">IF($A48="N/A"," ",IF(AND(Dayrun1&gt;=4,Dayrun1&lt;=9),0,VLOOKUP($A48,ScaledPrice1,9)))</f>
        <v>17.5400009155273</v>
      </c>
      <c r="F48" s="317" t="n">
        <f aca="false">IF(A48="N/A"," ",IF(OR(Dayrun1=2,Dayrun1=3,Dayrun1=5,Dayrun1=6,Dayrun1=8,Dayrun1=9),VLOOKUP(A48,ScaledPrice1,IF(Scaler1=1,6,5)),0))</f>
        <v>25.2900009155273</v>
      </c>
      <c r="G48" s="317" t="n">
        <f aca="false">IF(A48="N/A"," ",IF(OR(Dayrun1=2,Dayrun1=3,Dayrun1=5,Dayrun1=6),IF(Scaler1=2,F48,(VLOOKUP(A48,ScaledPrice1,5))*(2-(VLOOKUP(A48,ScaledPrice1,3)))),0))</f>
        <v>25.2900009155273</v>
      </c>
      <c r="H48" s="317" t="n">
        <f aca="false">IF($A48="N/A"," ",IF(OR(Dayrun1=2,Dayrun1=3,Dayrun1=10),VLOOKUP($A48,ScaledPrice1,9),0))</f>
        <v>17.5400009155273</v>
      </c>
      <c r="I48" s="317" t="n">
        <f aca="false">IF(A48="N/A"," ",IF(OR(Dayrun1=3,Dayrun1=6,Dayrun1=9),(VLOOKUP(A48,ScaledPrice1,IF(Scaler1=2,7,8))),0))</f>
        <v>19.7900009155273</v>
      </c>
      <c r="J48" s="317" t="n">
        <f aca="false">IF(A48="N/A"," ",IF(OR(Dayrun1=3,Dayrun1=6),IF(Scaler1=2,I48,(VLOOKUP(A48,ScaledPrice1,7))*(2-(VLOOKUP(A48,ScaledPrice1,3)))),0))</f>
        <v>19.7900009155273</v>
      </c>
      <c r="K48" s="317" t="n">
        <f aca="false">IF($A48="N/A"," ",IF(OR(Dayrun1=3,Dayrun1=10),VLOOKUP($A48,ScaledPrice1,9),0))</f>
        <v>17.5400009155273</v>
      </c>
      <c r="L48" s="318" t="n">
        <f aca="false">IF($A48="N/A"," ",IF(Pricetype1=2,MAX(C48,0),IF(OR(Pricetype1=1,Pricetype1=4),IF(C48=0,0,(EURO(C48,Strikeprice1,0,0,($AH48+IF(Smile=TRUE(),VLOOKUP(MAX(-5,Strikeprice1-C48),Volsmile,2),0)),($A48-DateToday)+15,IF(Pricetype1=1,1,0),0))),C48)))</f>
        <v>31.1399993896484</v>
      </c>
      <c r="M48" s="318" t="n">
        <f aca="false">IF($A48="N/A"," ",IF(Pricetype1=2,MAX(D48,0),IF(OR(Pricetype1=1,Pricetype1=4),IF(D48=0,0,(EURO(D48,Strikeprice1,0,0,($AH48+IF(Smile=TRUE(),VLOOKUP(MAX(-5,Strikeprice1-D48),Volsmile,2),0)),($A48-DateToday)+15,IF(Pricetype1=1,1,0),0))),D48)))</f>
        <v>31.1399993896484</v>
      </c>
      <c r="N48" s="318" t="n">
        <f aca="false">IF($A48="N/A"," ",IF(Pricetype1=2,MAX(E48,0),IF(OR(Pricetype1=1,Pricetype1=4),IF(E48=0,0,(EURO(E48,Strikeprice1,0,0,($AK48+IF(Smile=TRUE(),VLOOKUP(MAX(-5,Strikeprice1-E48),Volsmile,2),0)),($A48-DateToday)+15,IF(Pricetype1=1,1,0),0))),E48)))</f>
        <v>17.5400009155273</v>
      </c>
      <c r="O48" s="318" t="n">
        <f aca="false">IF($A48="N/A"," ",IF(Pricetype1=2,MAX(F48,0),IF(OR(Pricetype1=1,Pricetype1=4),IF(F48=0,0,(EURO(F48,Strikeprice1,0,0,($AK48+IF(Smile=TRUE(),VLOOKUP(MAX(-5,Strikeprice1-F48),Volsmile,2),0)),($A48-DateToday)+15,IF(Pricetype1=1,1,0),0))),F48)))</f>
        <v>25.2900009155273</v>
      </c>
      <c r="P48" s="318" t="n">
        <f aca="false">IF($A48="N/A"," ",IF(Pricetype1=2,MAX(G48,0),IF(OR(Pricetype1=1,Pricetype1=4),IF(G48=0,0,(EURO(G48,Strikeprice1,0,0,($AK48+IF(Smile=TRUE(),VLOOKUP(MAX(-5,Strikeprice1-G48),Volsmile,2),0)),($A48-DateToday)+15,IF(Pricetype1=1,1,0),0))),G48)))</f>
        <v>25.2900009155273</v>
      </c>
      <c r="Q48" s="318" t="n">
        <f aca="false">IF($A48="N/A"," ",IF(Pricetype1=2,MAX(H48,0),IF(OR(Pricetype1=1,Pricetype1=4),IF(H48=0,0,(EURO(H48,Strikeprice1,0,0,($AK48+IF(Smile=TRUE(),VLOOKUP(MAX(-5,Strikeprice1-H48),Volsmile,2),0)),($A48-DateToday)+15,IF(Pricetype1=1,1,0),0))),H48)))</f>
        <v>17.5400009155273</v>
      </c>
      <c r="R48" s="318" t="n">
        <f aca="false">IF($A48="N/A"," ",IF(Pricetype1=2,MAX(I48,0),IF(OR(Pricetype1=1,Pricetype1=4),IF(I48=0,0,(EURO(I48,Strikeprice1,0,0,($AK48+IF(Smile=TRUE(),VLOOKUP(MAX(-5,Strikeprice1-I48),Volsmile,2),0)),($A48-DateToday)+15,IF(Pricetype1=1,1,0),0))),I48)))</f>
        <v>19.7900009155273</v>
      </c>
      <c r="S48" s="318" t="n">
        <f aca="false">IF($A48="N/A"," ",IF(Pricetype1=2,MAX(J48,0),IF(OR(Pricetype1=1,Pricetype1=4),IF(J48=0,0,(EURO(J48,Strikeprice1,0,0,($AK48+IF(Smile=TRUE(),VLOOKUP(MAX(-5,Strikeprice1-J48),Volsmile,2),0)),($A48-DateToday)+15,IF(Pricetype1=1,1,0),0))),J48)))</f>
        <v>19.7900009155273</v>
      </c>
      <c r="T48" s="318" t="n">
        <f aca="false">IF($A48="N/A"," ",IF(Pricetype1=2,MAX(K48,0),IF(OR(Pricetype1=1,Pricetype1=4),IF(K48=0,0,(EURO(K48,Strikeprice1,0,0,($AK48+IF(Smile=TRUE(),VLOOKUP(MAX(-5,Strikeprice1-K48),Volsmile,2),0)),($A48-DateToday)+15,IF(Pricetype1=1,1,0),0))),K48)))</f>
        <v>17.5400009155273</v>
      </c>
      <c r="U48" s="319" t="e">
        <f aca="false">IF($A48="N/A"," ",Volume1*$AM48)</f>
        <v>#N/A</v>
      </c>
      <c r="V48" s="320" t="e">
        <f aca="false">IF($A48="N/A"," ",$U48*(8*($BQ48))*L48)</f>
        <v>#N/A</v>
      </c>
      <c r="W48" s="320" t="e">
        <f aca="false">IF($A48="N/A"," ",$U48*(8*($BQ48))*M48)</f>
        <v>#N/A</v>
      </c>
      <c r="X48" s="320" t="e">
        <f aca="false">IF($A48="N/A"," ",$U48*(8*($BQ48))*N48)</f>
        <v>#N/A</v>
      </c>
      <c r="Y48" s="320" t="e">
        <f aca="false">IF($A48="N/A"," ",$U48*(8*($BR48))*O48)</f>
        <v>#N/A</v>
      </c>
      <c r="Z48" s="320" t="e">
        <f aca="false">IF($A48="N/A"," ",$U48*(8*($BR48))*P48)</f>
        <v>#N/A</v>
      </c>
      <c r="AA48" s="320" t="e">
        <f aca="false">IF($A48="N/A"," ",$U48*(8*($BR48))*Q48)</f>
        <v>#N/A</v>
      </c>
      <c r="AB48" s="320" t="e">
        <f aca="false">IF($A48="N/A"," ",$U48*(8*($BS48))*R48)</f>
        <v>#N/A</v>
      </c>
      <c r="AC48" s="320" t="e">
        <f aca="false">IF($A48="N/A"," ",$U48*(8*($BS48))*S48)</f>
        <v>#N/A</v>
      </c>
      <c r="AD48" s="320" t="e">
        <f aca="false">IF($A48="N/A"," ",$U48*(8*($BS48))*T48)</f>
        <v>#N/A</v>
      </c>
      <c r="AE48" s="320" t="e">
        <f aca="false">IF($A48="N/A"," ",SUM(V48:AD48))</f>
        <v>#N/A</v>
      </c>
      <c r="AF48" s="321" t="n">
        <f aca="false">IF(A48="N/A"," ",(VLOOKUP(A48,PowerVolTable,(IF(VolBMO1=2,7,IF(VolBMO1=1,6,8))),FALSE())))</f>
        <v>0.2</v>
      </c>
      <c r="AG48" s="321" t="n">
        <f aca="false">IF(A48="N/A"," ",(VLOOKUP(A48,IntraPowerVol,(IF(VolBMO1=2,3,IF(VolBMO1=1,2,4))),FALSE())*VLOOKUP(MONTH($A48),Volscale,2)))</f>
        <v>0.35</v>
      </c>
      <c r="AH48" s="321" t="n">
        <f aca="false">IF($A48="N/A"," ",IF(VolType1=1,AG48,AF48))</f>
        <v>0.35</v>
      </c>
      <c r="AI48" s="321" t="n">
        <f aca="false">IF($A48="N/A"," ",(VLOOKUP($A48,OffPwrVolTable,(IF(VolBMO1=2,7,IF(VolBMO1=1,6,8))),FALSE())))</f>
        <v>0.1</v>
      </c>
      <c r="AJ48" s="321" t="n">
        <f aca="false">IF($A48="N/A"," ",(VLOOKUP($A48,OffPwrVolTable,(IF(VolBMO1=2,3,IF(VolBMO1=1,2,4))),FALSE())*VLOOKUP(MONTH($A48),Volscale,2)))</f>
        <v>0.21</v>
      </c>
      <c r="AK48" s="321" t="n">
        <f aca="false">IF($A48="N/A"," ",IF(VolType1=1,AJ48,AI48))</f>
        <v>0.21</v>
      </c>
      <c r="AL48" s="321" t="e">
        <f aca="false">IF($A48="N/A"," ",IF(PV=1,0,'Pricing Inputs1'!R81))</f>
        <v>#N/A</v>
      </c>
      <c r="AM48" s="323" t="e">
        <f aca="false">IF($A48="N/A"," ",(1+AL48/2)^(-2*((EOMONTH(A48,0)+20)-DateToday)/365.25))</f>
        <v>#N/A</v>
      </c>
      <c r="BQ48" s="0" t="n">
        <f aca="false">IF($A48="N/A"," ",(VLOOKUP($A48,NumberofDaysTable,2)))</f>
        <v>21</v>
      </c>
      <c r="BR48" s="0" t="n">
        <f aca="false">IF($A48="N/A"," ",(VLOOKUP($A48,NumberofDaysTable,3)))</f>
        <v>4</v>
      </c>
      <c r="BS48" s="0" t="n">
        <f aca="false">IF($A48="N/A"," ",(VLOOKUP($A48,NumberofDaysTable,4)))</f>
        <v>5</v>
      </c>
    </row>
    <row r="49" customFormat="false" ht="12.75" hidden="false" customHeight="false" outlineLevel="0" collapsed="false">
      <c r="A49" s="315" t="n">
        <f aca="false">IF(A48="N/A","N/A",IF(EDATE(A48,1)&gt;Inputs!$M$5,"N/A",EDATE(A48,1)))</f>
        <v>38626</v>
      </c>
      <c r="B49" s="316" t="n">
        <f aca="false">IF(A49="N/A"," ",YEAR(A49))</f>
        <v>2005</v>
      </c>
      <c r="C49" s="317" t="n">
        <f aca="false">IF($A49="N/A"," ",IF(Dayrun1=10,0,IF(Scaler1=1,(VLOOKUP(A49,ScaledPrice1,4)),(VLOOKUP(A49,ScaledPrice1,2)))))</f>
        <v>32.0415614843369</v>
      </c>
      <c r="D49" s="317" t="n">
        <f aca="false">IF(A49="N/A"," ",IF(Dayrun1&gt;=7,0,IF(Scaler1=2,VLOOKUP(A49,ScaledPrice1,2),(VLOOKUP(A49,ScaledPrice1,2))*(2-(VLOOKUP(A49,ScaledPrice1,3))))))</f>
        <v>32.0415614843369</v>
      </c>
      <c r="E49" s="317" t="n">
        <f aca="false">IF($A49="N/A"," ",IF(AND(Dayrun1&gt;=4,Dayrun1&lt;=9),0,VLOOKUP($A49,ScaledPrice1,9)))</f>
        <v>17.040002822876</v>
      </c>
      <c r="F49" s="317" t="n">
        <f aca="false">IF(A49="N/A"," ",IF(OR(Dayrun1=2,Dayrun1=3,Dayrun1=5,Dayrun1=6,Dayrun1=8,Dayrun1=9),VLOOKUP(A49,ScaledPrice1,IF(Scaler1=1,6,5)),0))</f>
        <v>20.2860012054443</v>
      </c>
      <c r="G49" s="317" t="n">
        <f aca="false">IF(A49="N/A"," ",IF(OR(Dayrun1=2,Dayrun1=3,Dayrun1=5,Dayrun1=6),IF(Scaler1=2,F49,(VLOOKUP(A49,ScaledPrice1,5))*(2-(VLOOKUP(A49,ScaledPrice1,3)))),0))</f>
        <v>20.2860012054443</v>
      </c>
      <c r="H49" s="317" t="n">
        <f aca="false">IF($A49="N/A"," ",IF(OR(Dayrun1=2,Dayrun1=3,Dayrun1=10),VLOOKUP($A49,ScaledPrice1,9),0))</f>
        <v>17.040002822876</v>
      </c>
      <c r="I49" s="317" t="n">
        <f aca="false">IF(A49="N/A"," ",IF(OR(Dayrun1=3,Dayrun1=6,Dayrun1=9),(VLOOKUP(A49,ScaledPrice1,IF(Scaler1=2,7,8))),0))</f>
        <v>14.7865009307861</v>
      </c>
      <c r="J49" s="317" t="n">
        <f aca="false">IF(A49="N/A"," ",IF(OR(Dayrun1=3,Dayrun1=6),IF(Scaler1=2,I49,(VLOOKUP(A49,ScaledPrice1,7))*(2-(VLOOKUP(A49,ScaledPrice1,3)))),0))</f>
        <v>14.7865009307861</v>
      </c>
      <c r="K49" s="317" t="n">
        <f aca="false">IF($A49="N/A"," ",IF(OR(Dayrun1=3,Dayrun1=10),VLOOKUP($A49,ScaledPrice1,9),0))</f>
        <v>17.040002822876</v>
      </c>
      <c r="L49" s="318" t="n">
        <f aca="false">IF($A49="N/A"," ",IF(Pricetype1=2,MAX(C49,0),IF(OR(Pricetype1=1,Pricetype1=4),IF(C49=0,0,(EURO(C49,Strikeprice1,0,0,($AH49+IF(Smile=TRUE(),VLOOKUP(MAX(-5,Strikeprice1-C49),Volsmile,2),0)),($A49-DateToday)+15,IF(Pricetype1=1,1,0),0))),C49)))</f>
        <v>32.0415614843369</v>
      </c>
      <c r="M49" s="318" t="n">
        <f aca="false">IF($A49="N/A"," ",IF(Pricetype1=2,MAX(D49,0),IF(OR(Pricetype1=1,Pricetype1=4),IF(D49=0,0,(EURO(D49,Strikeprice1,0,0,($AH49+IF(Smile=TRUE(),VLOOKUP(MAX(-5,Strikeprice1-D49),Volsmile,2),0)),($A49-DateToday)+15,IF(Pricetype1=1,1,0),0))),D49)))</f>
        <v>32.0415614843369</v>
      </c>
      <c r="N49" s="318" t="n">
        <f aca="false">IF($A49="N/A"," ",IF(Pricetype1=2,MAX(E49,0),IF(OR(Pricetype1=1,Pricetype1=4),IF(E49=0,0,(EURO(E49,Strikeprice1,0,0,($AK49+IF(Smile=TRUE(),VLOOKUP(MAX(-5,Strikeprice1-E49),Volsmile,2),0)),($A49-DateToday)+15,IF(Pricetype1=1,1,0),0))),E49)))</f>
        <v>17.040002822876</v>
      </c>
      <c r="O49" s="318" t="n">
        <f aca="false">IF($A49="N/A"," ",IF(Pricetype1=2,MAX(F49,0),IF(OR(Pricetype1=1,Pricetype1=4),IF(F49=0,0,(EURO(F49,Strikeprice1,0,0,($AK49+IF(Smile=TRUE(),VLOOKUP(MAX(-5,Strikeprice1-F49),Volsmile,2),0)),($A49-DateToday)+15,IF(Pricetype1=1,1,0),0))),F49)))</f>
        <v>20.2860012054443</v>
      </c>
      <c r="P49" s="318" t="n">
        <f aca="false">IF($A49="N/A"," ",IF(Pricetype1=2,MAX(G49,0),IF(OR(Pricetype1=1,Pricetype1=4),IF(G49=0,0,(EURO(G49,Strikeprice1,0,0,($AK49+IF(Smile=TRUE(),VLOOKUP(MAX(-5,Strikeprice1-G49),Volsmile,2),0)),($A49-DateToday)+15,IF(Pricetype1=1,1,0),0))),G49)))</f>
        <v>20.2860012054443</v>
      </c>
      <c r="Q49" s="318" t="n">
        <f aca="false">IF($A49="N/A"," ",IF(Pricetype1=2,MAX(H49,0),IF(OR(Pricetype1=1,Pricetype1=4),IF(H49=0,0,(EURO(H49,Strikeprice1,0,0,($AK49+IF(Smile=TRUE(),VLOOKUP(MAX(-5,Strikeprice1-H49),Volsmile,2),0)),($A49-DateToday)+15,IF(Pricetype1=1,1,0),0))),H49)))</f>
        <v>17.040002822876</v>
      </c>
      <c r="R49" s="318" t="n">
        <f aca="false">IF($A49="N/A"," ",IF(Pricetype1=2,MAX(I49,0),IF(OR(Pricetype1=1,Pricetype1=4),IF(I49=0,0,(EURO(I49,Strikeprice1,0,0,($AK49+IF(Smile=TRUE(),VLOOKUP(MAX(-5,Strikeprice1-I49),Volsmile,2),0)),($A49-DateToday)+15,IF(Pricetype1=1,1,0),0))),I49)))</f>
        <v>14.7865009307861</v>
      </c>
      <c r="S49" s="318" t="n">
        <f aca="false">IF($A49="N/A"," ",IF(Pricetype1=2,MAX(J49,0),IF(OR(Pricetype1=1,Pricetype1=4),IF(J49=0,0,(EURO(J49,Strikeprice1,0,0,($AK49+IF(Smile=TRUE(),VLOOKUP(MAX(-5,Strikeprice1-J49),Volsmile,2),0)),($A49-DateToday)+15,IF(Pricetype1=1,1,0),0))),J49)))</f>
        <v>14.7865009307861</v>
      </c>
      <c r="T49" s="318" t="n">
        <f aca="false">IF($A49="N/A"," ",IF(Pricetype1=2,MAX(K49,0),IF(OR(Pricetype1=1,Pricetype1=4),IF(K49=0,0,(EURO(K49,Strikeprice1,0,0,($AK49+IF(Smile=TRUE(),VLOOKUP(MAX(-5,Strikeprice1-K49),Volsmile,2),0)),($A49-DateToday)+15,IF(Pricetype1=1,1,0),0))),K49)))</f>
        <v>17.040002822876</v>
      </c>
      <c r="U49" s="319" t="e">
        <f aca="false">IF($A49="N/A"," ",Volume1*$AM49)</f>
        <v>#N/A</v>
      </c>
      <c r="V49" s="320" t="e">
        <f aca="false">IF($A49="N/A"," ",$U49*(8*($BQ49))*L49)</f>
        <v>#N/A</v>
      </c>
      <c r="W49" s="320" t="e">
        <f aca="false">IF($A49="N/A"," ",$U49*(8*($BQ49))*M49)</f>
        <v>#N/A</v>
      </c>
      <c r="X49" s="320" t="e">
        <f aca="false">IF($A49="N/A"," ",$U49*(8*($BQ49))*N49)</f>
        <v>#N/A</v>
      </c>
      <c r="Y49" s="320" t="e">
        <f aca="false">IF($A49="N/A"," ",$U49*(8*($BR49))*O49)</f>
        <v>#N/A</v>
      </c>
      <c r="Z49" s="320" t="e">
        <f aca="false">IF($A49="N/A"," ",$U49*(8*($BR49))*P49)</f>
        <v>#N/A</v>
      </c>
      <c r="AA49" s="320" t="e">
        <f aca="false">IF($A49="N/A"," ",$U49*(8*($BR49))*Q49)</f>
        <v>#N/A</v>
      </c>
      <c r="AB49" s="320" t="e">
        <f aca="false">IF($A49="N/A"," ",$U49*(8*($BS49))*R49)</f>
        <v>#N/A</v>
      </c>
      <c r="AC49" s="320" t="e">
        <f aca="false">IF($A49="N/A"," ",$U49*(8*($BS49))*S49)</f>
        <v>#N/A</v>
      </c>
      <c r="AD49" s="320" t="e">
        <f aca="false">IF($A49="N/A"," ",$U49*(8*($BS49))*T49)</f>
        <v>#N/A</v>
      </c>
      <c r="AE49" s="320" t="e">
        <f aca="false">IF($A49="N/A"," ",SUM(V49:AD49))</f>
        <v>#N/A</v>
      </c>
      <c r="AF49" s="321" t="n">
        <f aca="false">IF(A49="N/A"," ",(VLOOKUP(A49,PowerVolTable,(IF(VolBMO1=2,7,IF(VolBMO1=1,6,8))),FALSE())))</f>
        <v>0.2</v>
      </c>
      <c r="AG49" s="321" t="n">
        <f aca="false">IF(A49="N/A"," ",(VLOOKUP(A49,IntraPowerVol,(IF(VolBMO1=2,3,IF(VolBMO1=1,2,4))),FALSE())*VLOOKUP(MONTH($A49),Volscale,2)))</f>
        <v>0.35</v>
      </c>
      <c r="AH49" s="321" t="n">
        <f aca="false">IF($A49="N/A"," ",IF(VolType1=1,AG49,AF49))</f>
        <v>0.35</v>
      </c>
      <c r="AI49" s="321" t="n">
        <f aca="false">IF($A49="N/A"," ",(VLOOKUP($A49,OffPwrVolTable,(IF(VolBMO1=2,7,IF(VolBMO1=1,6,8))),FALSE())))</f>
        <v>0.1</v>
      </c>
      <c r="AJ49" s="321" t="n">
        <f aca="false">IF($A49="N/A"," ",(VLOOKUP($A49,OffPwrVolTable,(IF(VolBMO1=2,3,IF(VolBMO1=1,2,4))),FALSE())*VLOOKUP(MONTH($A49),Volscale,2)))</f>
        <v>0.21</v>
      </c>
      <c r="AK49" s="321" t="n">
        <f aca="false">IF($A49="N/A"," ",IF(VolType1=1,AJ49,AI49))</f>
        <v>0.21</v>
      </c>
      <c r="AL49" s="321" t="e">
        <f aca="false">IF($A49="N/A"," ",IF(PV=1,0,'Pricing Inputs1'!R82))</f>
        <v>#N/A</v>
      </c>
      <c r="AM49" s="323" t="e">
        <f aca="false">IF($A49="N/A"," ",(1+AL49/2)^(-2*((EOMONTH(A49,0)+20)-DateToday)/365.25))</f>
        <v>#N/A</v>
      </c>
      <c r="BQ49" s="0" t="n">
        <f aca="false">IF($A49="N/A"," ",(VLOOKUP($A49,NumberofDaysTable,2)))</f>
        <v>21</v>
      </c>
      <c r="BR49" s="0" t="n">
        <f aca="false">IF($A49="N/A"," ",(VLOOKUP($A49,NumberofDaysTable,3)))</f>
        <v>5</v>
      </c>
      <c r="BS49" s="0" t="n">
        <f aca="false">IF($A49="N/A"," ",(VLOOKUP($A49,NumberofDaysTable,4)))</f>
        <v>5</v>
      </c>
    </row>
    <row r="50" customFormat="false" ht="12.75" hidden="false" customHeight="false" outlineLevel="0" collapsed="false">
      <c r="A50" s="315" t="n">
        <f aca="false">IF(A49="N/A","N/A",IF(EDATE(A49,1)&gt;Inputs!$M$5,"N/A",EDATE(A49,1)))</f>
        <v>38657</v>
      </c>
      <c r="B50" s="316" t="n">
        <f aca="false">IF(A50="N/A"," ",YEAR(A50))</f>
        <v>2005</v>
      </c>
      <c r="C50" s="317" t="n">
        <f aca="false">IF($A50="N/A"," ",IF(Dayrun1=10,0,IF(Scaler1=1,(VLOOKUP(A50,ScaledPrice1,4)),(VLOOKUP(A50,ScaledPrice1,2)))))</f>
        <v>32.1415637731552</v>
      </c>
      <c r="D50" s="317" t="n">
        <f aca="false">IF(A50="N/A"," ",IF(Dayrun1&gt;=7,0,IF(Scaler1=2,VLOOKUP(A50,ScaledPrice1,2),(VLOOKUP(A50,ScaledPrice1,2))*(2-(VLOOKUP(A50,ScaledPrice1,3))))))</f>
        <v>32.1415637731552</v>
      </c>
      <c r="E50" s="317" t="n">
        <f aca="false">IF($A50="N/A"," ",IF(AND(Dayrun1&gt;=4,Dayrun1&lt;=9),0,VLOOKUP($A50,ScaledPrice1,9)))</f>
        <v>18.0400009155273</v>
      </c>
      <c r="F50" s="317" t="n">
        <f aca="false">IF(A50="N/A"," ",IF(OR(Dayrun1=2,Dayrun1=3,Dayrun1=5,Dayrun1=6,Dayrun1=8,Dayrun1=9),VLOOKUP(A50,ScaledPrice1,IF(Scaler1=1,6,5)),0))</f>
        <v>22.2900009155273</v>
      </c>
      <c r="G50" s="317" t="n">
        <f aca="false">IF(A50="N/A"," ",IF(OR(Dayrun1=2,Dayrun1=3,Dayrun1=5,Dayrun1=6),IF(Scaler1=2,F50,(VLOOKUP(A50,ScaledPrice1,5))*(2-(VLOOKUP(A50,ScaledPrice1,3)))),0))</f>
        <v>22.2900009155273</v>
      </c>
      <c r="H50" s="317" t="n">
        <f aca="false">IF($A50="N/A"," ",IF(OR(Dayrun1=2,Dayrun1=3,Dayrun1=10),VLOOKUP($A50,ScaledPrice1,9),0))</f>
        <v>18.0400009155273</v>
      </c>
      <c r="I50" s="317" t="n">
        <f aca="false">IF(A50="N/A"," ",IF(OR(Dayrun1=3,Dayrun1=6,Dayrun1=9),(VLOOKUP(A50,ScaledPrice1,IF(Scaler1=2,7,8))),0))</f>
        <v>14.7900009155273</v>
      </c>
      <c r="J50" s="317" t="n">
        <f aca="false">IF(A50="N/A"," ",IF(OR(Dayrun1=3,Dayrun1=6),IF(Scaler1=2,I50,(VLOOKUP(A50,ScaledPrice1,7))*(2-(VLOOKUP(A50,ScaledPrice1,3)))),0))</f>
        <v>14.7900009155273</v>
      </c>
      <c r="K50" s="317" t="n">
        <f aca="false">IF($A50="N/A"," ",IF(OR(Dayrun1=3,Dayrun1=10),VLOOKUP($A50,ScaledPrice1,9),0))</f>
        <v>18.0400009155273</v>
      </c>
      <c r="L50" s="318" t="n">
        <f aca="false">IF($A50="N/A"," ",IF(Pricetype1=2,MAX(C50,0),IF(OR(Pricetype1=1,Pricetype1=4),IF(C50=0,0,(EURO(C50,Strikeprice1,0,0,($AH50+IF(Smile=TRUE(),VLOOKUP(MAX(-5,Strikeprice1-C50),Volsmile,2),0)),($A50-DateToday)+15,IF(Pricetype1=1,1,0),0))),C50)))</f>
        <v>32.1415637731552</v>
      </c>
      <c r="M50" s="318" t="n">
        <f aca="false">IF($A50="N/A"," ",IF(Pricetype1=2,MAX(D50,0),IF(OR(Pricetype1=1,Pricetype1=4),IF(D50=0,0,(EURO(D50,Strikeprice1,0,0,($AH50+IF(Smile=TRUE(),VLOOKUP(MAX(-5,Strikeprice1-D50),Volsmile,2),0)),($A50-DateToday)+15,IF(Pricetype1=1,1,0),0))),D50)))</f>
        <v>32.1415637731552</v>
      </c>
      <c r="N50" s="318" t="n">
        <f aca="false">IF($A50="N/A"," ",IF(Pricetype1=2,MAX(E50,0),IF(OR(Pricetype1=1,Pricetype1=4),IF(E50=0,0,(EURO(E50,Strikeprice1,0,0,($AK50+IF(Smile=TRUE(),VLOOKUP(MAX(-5,Strikeprice1-E50),Volsmile,2),0)),($A50-DateToday)+15,IF(Pricetype1=1,1,0),0))),E50)))</f>
        <v>18.0400009155273</v>
      </c>
      <c r="O50" s="318" t="n">
        <f aca="false">IF($A50="N/A"," ",IF(Pricetype1=2,MAX(F50,0),IF(OR(Pricetype1=1,Pricetype1=4),IF(F50=0,0,(EURO(F50,Strikeprice1,0,0,($AK50+IF(Smile=TRUE(),VLOOKUP(MAX(-5,Strikeprice1-F50),Volsmile,2),0)),($A50-DateToday)+15,IF(Pricetype1=1,1,0),0))),F50)))</f>
        <v>22.2900009155273</v>
      </c>
      <c r="P50" s="318" t="n">
        <f aca="false">IF($A50="N/A"," ",IF(Pricetype1=2,MAX(G50,0),IF(OR(Pricetype1=1,Pricetype1=4),IF(G50=0,0,(EURO(G50,Strikeprice1,0,0,($AK50+IF(Smile=TRUE(),VLOOKUP(MAX(-5,Strikeprice1-G50),Volsmile,2),0)),($A50-DateToday)+15,IF(Pricetype1=1,1,0),0))),G50)))</f>
        <v>22.2900009155273</v>
      </c>
      <c r="Q50" s="318" t="n">
        <f aca="false">IF($A50="N/A"," ",IF(Pricetype1=2,MAX(H50,0),IF(OR(Pricetype1=1,Pricetype1=4),IF(H50=0,0,(EURO(H50,Strikeprice1,0,0,($AK50+IF(Smile=TRUE(),VLOOKUP(MAX(-5,Strikeprice1-H50),Volsmile,2),0)),($A50-DateToday)+15,IF(Pricetype1=1,1,0),0))),H50)))</f>
        <v>18.0400009155273</v>
      </c>
      <c r="R50" s="318" t="n">
        <f aca="false">IF($A50="N/A"," ",IF(Pricetype1=2,MAX(I50,0),IF(OR(Pricetype1=1,Pricetype1=4),IF(I50=0,0,(EURO(I50,Strikeprice1,0,0,($AK50+IF(Smile=TRUE(),VLOOKUP(MAX(-5,Strikeprice1-I50),Volsmile,2),0)),($A50-DateToday)+15,IF(Pricetype1=1,1,0),0))),I50)))</f>
        <v>14.7900009155273</v>
      </c>
      <c r="S50" s="318" t="n">
        <f aca="false">IF($A50="N/A"," ",IF(Pricetype1=2,MAX(J50,0),IF(OR(Pricetype1=1,Pricetype1=4),IF(J50=0,0,(EURO(J50,Strikeprice1,0,0,($AK50+IF(Smile=TRUE(),VLOOKUP(MAX(-5,Strikeprice1-J50),Volsmile,2),0)),($A50-DateToday)+15,IF(Pricetype1=1,1,0),0))),J50)))</f>
        <v>14.7900009155273</v>
      </c>
      <c r="T50" s="318" t="n">
        <f aca="false">IF($A50="N/A"," ",IF(Pricetype1=2,MAX(K50,0),IF(OR(Pricetype1=1,Pricetype1=4),IF(K50=0,0,(EURO(K50,Strikeprice1,0,0,($AK50+IF(Smile=TRUE(),VLOOKUP(MAX(-5,Strikeprice1-K50),Volsmile,2),0)),($A50-DateToday)+15,IF(Pricetype1=1,1,0),0))),K50)))</f>
        <v>18.0400009155273</v>
      </c>
      <c r="U50" s="319" t="e">
        <f aca="false">IF($A50="N/A"," ",Volume1*$AM50)</f>
        <v>#N/A</v>
      </c>
      <c r="V50" s="320" t="e">
        <f aca="false">IF($A50="N/A"," ",$U50*(8*($BQ50))*L50)</f>
        <v>#N/A</v>
      </c>
      <c r="W50" s="320" t="e">
        <f aca="false">IF($A50="N/A"," ",$U50*(8*($BQ50))*M50)</f>
        <v>#N/A</v>
      </c>
      <c r="X50" s="320" t="e">
        <f aca="false">IF($A50="N/A"," ",$U50*(8*($BQ50))*N50)</f>
        <v>#N/A</v>
      </c>
      <c r="Y50" s="320" t="e">
        <f aca="false">IF($A50="N/A"," ",$U50*(8*($BR50))*O50)</f>
        <v>#N/A</v>
      </c>
      <c r="Z50" s="320" t="e">
        <f aca="false">IF($A50="N/A"," ",$U50*(8*($BR50))*P50)</f>
        <v>#N/A</v>
      </c>
      <c r="AA50" s="320" t="e">
        <f aca="false">IF($A50="N/A"," ",$U50*(8*($BR50))*Q50)</f>
        <v>#N/A</v>
      </c>
      <c r="AB50" s="320" t="e">
        <f aca="false">IF($A50="N/A"," ",$U50*(8*($BS50))*R50)</f>
        <v>#N/A</v>
      </c>
      <c r="AC50" s="320" t="e">
        <f aca="false">IF($A50="N/A"," ",$U50*(8*($BS50))*S50)</f>
        <v>#N/A</v>
      </c>
      <c r="AD50" s="320" t="e">
        <f aca="false">IF($A50="N/A"," ",$U50*(8*($BS50))*T50)</f>
        <v>#N/A</v>
      </c>
      <c r="AE50" s="320" t="e">
        <f aca="false">IF($A50="N/A"," ",SUM(V50:AD50))</f>
        <v>#N/A</v>
      </c>
      <c r="AF50" s="321" t="n">
        <f aca="false">IF(A50="N/A"," ",(VLOOKUP(A50,PowerVolTable,(IF(VolBMO1=2,7,IF(VolBMO1=1,6,8))),FALSE())))</f>
        <v>0.2</v>
      </c>
      <c r="AG50" s="321" t="n">
        <f aca="false">IF(A50="N/A"," ",(VLOOKUP(A50,IntraPowerVol,(IF(VolBMO1=2,3,IF(VolBMO1=1,2,4))),FALSE())*VLOOKUP(MONTH($A50),Volscale,2)))</f>
        <v>0.35</v>
      </c>
      <c r="AH50" s="321" t="n">
        <f aca="false">IF($A50="N/A"," ",IF(VolType1=1,AG50,AF50))</f>
        <v>0.35</v>
      </c>
      <c r="AI50" s="321" t="n">
        <f aca="false">IF($A50="N/A"," ",(VLOOKUP($A50,OffPwrVolTable,(IF(VolBMO1=2,7,IF(VolBMO1=1,6,8))),FALSE())))</f>
        <v>0.1</v>
      </c>
      <c r="AJ50" s="321" t="n">
        <f aca="false">IF($A50="N/A"," ",(VLOOKUP($A50,OffPwrVolTable,(IF(VolBMO1=2,3,IF(VolBMO1=1,2,4))),FALSE())*VLOOKUP(MONTH($A50),Volscale,2)))</f>
        <v>0.21</v>
      </c>
      <c r="AK50" s="321" t="n">
        <f aca="false">IF($A50="N/A"," ",IF(VolType1=1,AJ50,AI50))</f>
        <v>0.21</v>
      </c>
      <c r="AL50" s="321" t="e">
        <f aca="false">IF($A50="N/A"," ",IF(PV=1,0,'Pricing Inputs1'!R83))</f>
        <v>#N/A</v>
      </c>
      <c r="AM50" s="323" t="e">
        <f aca="false">IF($A50="N/A"," ",(1+AL50/2)^(-2*((EOMONTH(A50,0)+20)-DateToday)/365.25))</f>
        <v>#N/A</v>
      </c>
      <c r="BQ50" s="0" t="n">
        <f aca="false">IF($A50="N/A"," ",(VLOOKUP($A50,NumberofDaysTable,2)))</f>
        <v>21</v>
      </c>
      <c r="BR50" s="0" t="n">
        <f aca="false">IF($A50="N/A"," ",(VLOOKUP($A50,NumberofDaysTable,3)))</f>
        <v>4</v>
      </c>
      <c r="BS50" s="0" t="n">
        <f aca="false">IF($A50="N/A"," ",(VLOOKUP($A50,NumberofDaysTable,4)))</f>
        <v>5</v>
      </c>
    </row>
    <row r="51" customFormat="false" ht="12.75" hidden="false" customHeight="false" outlineLevel="0" collapsed="false">
      <c r="A51" s="315" t="n">
        <f aca="false">IF(A50="N/A","N/A",IF(EDATE(A50,1)&gt;Inputs!$M$5,"N/A",EDATE(A50,1)))</f>
        <v>38687</v>
      </c>
      <c r="B51" s="316" t="n">
        <f aca="false">IF(A51="N/A"," ",YEAR(A51))</f>
        <v>2005</v>
      </c>
      <c r="C51" s="317" t="n">
        <f aca="false">IF($A51="N/A"," ",IF(Dayrun1=10,0,IF(Scaler1=1,(VLOOKUP(A51,ScaledPrice1,4)),(VLOOKUP(A51,ScaledPrice1,2)))))</f>
        <v>32.2415622472763</v>
      </c>
      <c r="D51" s="317" t="n">
        <f aca="false">IF(A51="N/A"," ",IF(Dayrun1&gt;=7,0,IF(Scaler1=2,VLOOKUP(A51,ScaledPrice1,2),(VLOOKUP(A51,ScaledPrice1,2))*(2-(VLOOKUP(A51,ScaledPrice1,3))))))</f>
        <v>32.2415622472763</v>
      </c>
      <c r="E51" s="317" t="n">
        <f aca="false">IF($A51="N/A"," ",IF(AND(Dayrun1&gt;=4,Dayrun1&lt;=9),0,VLOOKUP($A51,ScaledPrice1,9)))</f>
        <v>20.2900009155273</v>
      </c>
      <c r="F51" s="317" t="n">
        <f aca="false">IF(A51="N/A"," ",IF(OR(Dayrun1=2,Dayrun1=3,Dayrun1=5,Dayrun1=6,Dayrun1=8,Dayrun1=9),VLOOKUP(A51,ScaledPrice1,IF(Scaler1=1,6,5)),0))</f>
        <v>27.2900009155273</v>
      </c>
      <c r="G51" s="317" t="n">
        <f aca="false">IF(A51="N/A"," ",IF(OR(Dayrun1=2,Dayrun1=3,Dayrun1=5,Dayrun1=6),IF(Scaler1=2,F51,(VLOOKUP(A51,ScaledPrice1,5))*(2-(VLOOKUP(A51,ScaledPrice1,3)))),0))</f>
        <v>27.2900009155273</v>
      </c>
      <c r="H51" s="317" t="n">
        <f aca="false">IF($A51="N/A"," ",IF(OR(Dayrun1=2,Dayrun1=3,Dayrun1=10),VLOOKUP($A51,ScaledPrice1,9),0))</f>
        <v>20.2900009155273</v>
      </c>
      <c r="I51" s="317" t="n">
        <f aca="false">IF(A51="N/A"," ",IF(OR(Dayrun1=3,Dayrun1=6,Dayrun1=9),(VLOOKUP(A51,ScaledPrice1,IF(Scaler1=2,7,8))),0))</f>
        <v>21.7900009155273</v>
      </c>
      <c r="J51" s="317" t="n">
        <f aca="false">IF(A51="N/A"," ",IF(OR(Dayrun1=3,Dayrun1=6),IF(Scaler1=2,I51,(VLOOKUP(A51,ScaledPrice1,7))*(2-(VLOOKUP(A51,ScaledPrice1,3)))),0))</f>
        <v>21.7900009155273</v>
      </c>
      <c r="K51" s="317" t="n">
        <f aca="false">IF($A51="N/A"," ",IF(OR(Dayrun1=3,Dayrun1=10),VLOOKUP($A51,ScaledPrice1,9),0))</f>
        <v>20.2900009155273</v>
      </c>
      <c r="L51" s="318" t="n">
        <f aca="false">IF($A51="N/A"," ",IF(Pricetype1=2,MAX(C51,0),IF(OR(Pricetype1=1,Pricetype1=4),IF(C51=0,0,(EURO(C51,Strikeprice1,0,0,($AH51+IF(Smile=TRUE(),VLOOKUP(MAX(-5,Strikeprice1-C51),Volsmile,2),0)),($A51-DateToday)+15,IF(Pricetype1=1,1,0),0))),C51)))</f>
        <v>32.2415622472763</v>
      </c>
      <c r="M51" s="318" t="n">
        <f aca="false">IF($A51="N/A"," ",IF(Pricetype1=2,MAX(D51,0),IF(OR(Pricetype1=1,Pricetype1=4),IF(D51=0,0,(EURO(D51,Strikeprice1,0,0,($AH51+IF(Smile=TRUE(),VLOOKUP(MAX(-5,Strikeprice1-D51),Volsmile,2),0)),($A51-DateToday)+15,IF(Pricetype1=1,1,0),0))),D51)))</f>
        <v>32.2415622472763</v>
      </c>
      <c r="N51" s="318" t="n">
        <f aca="false">IF($A51="N/A"," ",IF(Pricetype1=2,MAX(E51,0),IF(OR(Pricetype1=1,Pricetype1=4),IF(E51=0,0,(EURO(E51,Strikeprice1,0,0,($AK51+IF(Smile=TRUE(),VLOOKUP(MAX(-5,Strikeprice1-E51),Volsmile,2),0)),($A51-DateToday)+15,IF(Pricetype1=1,1,0),0))),E51)))</f>
        <v>20.2900009155273</v>
      </c>
      <c r="O51" s="318" t="n">
        <f aca="false">IF($A51="N/A"," ",IF(Pricetype1=2,MAX(F51,0),IF(OR(Pricetype1=1,Pricetype1=4),IF(F51=0,0,(EURO(F51,Strikeprice1,0,0,($AK51+IF(Smile=TRUE(),VLOOKUP(MAX(-5,Strikeprice1-F51),Volsmile,2),0)),($A51-DateToday)+15,IF(Pricetype1=1,1,0),0))),F51)))</f>
        <v>27.2900009155273</v>
      </c>
      <c r="P51" s="318" t="n">
        <f aca="false">IF($A51="N/A"," ",IF(Pricetype1=2,MAX(G51,0),IF(OR(Pricetype1=1,Pricetype1=4),IF(G51=0,0,(EURO(G51,Strikeprice1,0,0,($AK51+IF(Smile=TRUE(),VLOOKUP(MAX(-5,Strikeprice1-G51),Volsmile,2),0)),($A51-DateToday)+15,IF(Pricetype1=1,1,0),0))),G51)))</f>
        <v>27.2900009155273</v>
      </c>
      <c r="Q51" s="318" t="n">
        <f aca="false">IF($A51="N/A"," ",IF(Pricetype1=2,MAX(H51,0),IF(OR(Pricetype1=1,Pricetype1=4),IF(H51=0,0,(EURO(H51,Strikeprice1,0,0,($AK51+IF(Smile=TRUE(),VLOOKUP(MAX(-5,Strikeprice1-H51),Volsmile,2),0)),($A51-DateToday)+15,IF(Pricetype1=1,1,0),0))),H51)))</f>
        <v>20.2900009155273</v>
      </c>
      <c r="R51" s="318" t="n">
        <f aca="false">IF($A51="N/A"," ",IF(Pricetype1=2,MAX(I51,0),IF(OR(Pricetype1=1,Pricetype1=4),IF(I51=0,0,(EURO(I51,Strikeprice1,0,0,($AK51+IF(Smile=TRUE(),VLOOKUP(MAX(-5,Strikeprice1-I51),Volsmile,2),0)),($A51-DateToday)+15,IF(Pricetype1=1,1,0),0))),I51)))</f>
        <v>21.7900009155273</v>
      </c>
      <c r="S51" s="318" t="n">
        <f aca="false">IF($A51="N/A"," ",IF(Pricetype1=2,MAX(J51,0),IF(OR(Pricetype1=1,Pricetype1=4),IF(J51=0,0,(EURO(J51,Strikeprice1,0,0,($AK51+IF(Smile=TRUE(),VLOOKUP(MAX(-5,Strikeprice1-J51),Volsmile,2),0)),($A51-DateToday)+15,IF(Pricetype1=1,1,0),0))),J51)))</f>
        <v>21.7900009155273</v>
      </c>
      <c r="T51" s="318" t="n">
        <f aca="false">IF($A51="N/A"," ",IF(Pricetype1=2,MAX(K51,0),IF(OR(Pricetype1=1,Pricetype1=4),IF(K51=0,0,(EURO(K51,Strikeprice1,0,0,($AK51+IF(Smile=TRUE(),VLOOKUP(MAX(-5,Strikeprice1-K51),Volsmile,2),0)),($A51-DateToday)+15,IF(Pricetype1=1,1,0),0))),K51)))</f>
        <v>20.2900009155273</v>
      </c>
      <c r="U51" s="319" t="e">
        <f aca="false">IF($A51="N/A"," ",Volume1*$AM51)</f>
        <v>#N/A</v>
      </c>
      <c r="V51" s="320" t="e">
        <f aca="false">IF($A51="N/A"," ",$U51*(8*($BQ51))*L51)</f>
        <v>#N/A</v>
      </c>
      <c r="W51" s="320" t="e">
        <f aca="false">IF($A51="N/A"," ",$U51*(8*($BQ51))*M51)</f>
        <v>#N/A</v>
      </c>
      <c r="X51" s="320" t="e">
        <f aca="false">IF($A51="N/A"," ",$U51*(8*($BQ51))*N51)</f>
        <v>#N/A</v>
      </c>
      <c r="Y51" s="320" t="e">
        <f aca="false">IF($A51="N/A"," ",$U51*(8*($BR51))*O51)</f>
        <v>#N/A</v>
      </c>
      <c r="Z51" s="320" t="e">
        <f aca="false">IF($A51="N/A"," ",$U51*(8*($BR51))*P51)</f>
        <v>#N/A</v>
      </c>
      <c r="AA51" s="320" t="e">
        <f aca="false">IF($A51="N/A"," ",$U51*(8*($BR51))*Q51)</f>
        <v>#N/A</v>
      </c>
      <c r="AB51" s="320" t="e">
        <f aca="false">IF($A51="N/A"," ",$U51*(8*($BS51))*R51)</f>
        <v>#N/A</v>
      </c>
      <c r="AC51" s="320" t="e">
        <f aca="false">IF($A51="N/A"," ",$U51*(8*($BS51))*S51)</f>
        <v>#N/A</v>
      </c>
      <c r="AD51" s="320" t="e">
        <f aca="false">IF($A51="N/A"," ",$U51*(8*($BS51))*T51)</f>
        <v>#N/A</v>
      </c>
      <c r="AE51" s="320" t="e">
        <f aca="false">IF($A51="N/A"," ",SUM(V51:AD51))</f>
        <v>#N/A</v>
      </c>
      <c r="AF51" s="321" t="n">
        <f aca="false">IF(A51="N/A"," ",(VLOOKUP(A51,PowerVolTable,(IF(VolBMO1=2,7,IF(VolBMO1=1,6,8))),FALSE())))</f>
        <v>0.2</v>
      </c>
      <c r="AG51" s="321" t="n">
        <f aca="false">IF(A51="N/A"," ",(VLOOKUP(A51,IntraPowerVol,(IF(VolBMO1=2,3,IF(VolBMO1=1,2,4))),FALSE())*VLOOKUP(MONTH($A51),Volscale,2)))</f>
        <v>0.35</v>
      </c>
      <c r="AH51" s="321" t="n">
        <f aca="false">IF($A51="N/A"," ",IF(VolType1=1,AG51,AF51))</f>
        <v>0.35</v>
      </c>
      <c r="AI51" s="321" t="n">
        <f aca="false">IF($A51="N/A"," ",(VLOOKUP($A51,OffPwrVolTable,(IF(VolBMO1=2,7,IF(VolBMO1=1,6,8))),FALSE())))</f>
        <v>0.1</v>
      </c>
      <c r="AJ51" s="321" t="n">
        <f aca="false">IF($A51="N/A"," ",(VLOOKUP($A51,OffPwrVolTable,(IF(VolBMO1=2,3,IF(VolBMO1=1,2,4))),FALSE())*VLOOKUP(MONTH($A51),Volscale,2)))</f>
        <v>0.21</v>
      </c>
      <c r="AK51" s="321" t="n">
        <f aca="false">IF($A51="N/A"," ",IF(VolType1=1,AJ51,AI51))</f>
        <v>0.21</v>
      </c>
      <c r="AL51" s="321" t="e">
        <f aca="false">IF($A51="N/A"," ",IF(PV=1,0,'Pricing Inputs1'!R84))</f>
        <v>#N/A</v>
      </c>
      <c r="AM51" s="323" t="e">
        <f aca="false">IF($A51="N/A"," ",(1+AL51/2)^(-2*((EOMONTH(A51,0)+20)-DateToday)/365.25))</f>
        <v>#N/A</v>
      </c>
      <c r="BQ51" s="0" t="n">
        <f aca="false">IF($A51="N/A"," ",(VLOOKUP($A51,NumberofDaysTable,2)))</f>
        <v>21</v>
      </c>
      <c r="BR51" s="0" t="n">
        <f aca="false">IF($A51="N/A"," ",(VLOOKUP($A51,NumberofDaysTable,3)))</f>
        <v>5</v>
      </c>
      <c r="BS51" s="0" t="n">
        <f aca="false">IF($A51="N/A"," ",(VLOOKUP($A51,NumberofDaysTable,4)))</f>
        <v>5</v>
      </c>
    </row>
    <row r="52" customFormat="false" ht="12.75" hidden="false" customHeight="false" outlineLevel="0" collapsed="false">
      <c r="A52" s="315" t="n">
        <f aca="false">IF(A51="N/A","N/A",IF(EDATE(A51,1)&gt;Inputs!$M$5,"N/A",EDATE(A51,1)))</f>
        <v>38718</v>
      </c>
      <c r="B52" s="316" t="n">
        <f aca="false">IF(A52="N/A"," ",YEAR(A52))</f>
        <v>2006</v>
      </c>
      <c r="C52" s="317" t="n">
        <f aca="false">IF($A52="N/A"," ",IF(Dayrun1=10,0,IF(Scaler1=1,(VLOOKUP(A52,ScaledPrice1,4)),(VLOOKUP(A52,ScaledPrice1,2)))))</f>
        <v>35.1157172066825</v>
      </c>
      <c r="D52" s="317" t="n">
        <f aca="false">IF(A52="N/A"," ",IF(Dayrun1&gt;=7,0,IF(Scaler1=2,VLOOKUP(A52,ScaledPrice1,2),(VLOOKUP(A52,ScaledPrice1,2))*(2-(VLOOKUP(A52,ScaledPrice1,3))))))</f>
        <v>35.1157172066825</v>
      </c>
      <c r="E52" s="317" t="n">
        <f aca="false">IF($A52="N/A"," ",IF(AND(Dayrun1&gt;=4,Dayrun1&lt;=9),0,VLOOKUP($A52,ScaledPrice1,9)))</f>
        <v>22.5</v>
      </c>
      <c r="F52" s="317" t="n">
        <f aca="false">IF(A52="N/A"," ",IF(OR(Dayrun1=2,Dayrun1=3,Dayrun1=5,Dayrun1=6,Dayrun1=8,Dayrun1=9),VLOOKUP(A52,ScaledPrice1,IF(Scaler1=1,6,5)),0))</f>
        <v>35.75</v>
      </c>
      <c r="G52" s="317" t="n">
        <f aca="false">IF(A52="N/A"," ",IF(OR(Dayrun1=2,Dayrun1=3,Dayrun1=5,Dayrun1=6),IF(Scaler1=2,F52,(VLOOKUP(A52,ScaledPrice1,5))*(2-(VLOOKUP(A52,ScaledPrice1,3)))),0))</f>
        <v>35.75</v>
      </c>
      <c r="H52" s="317" t="n">
        <f aca="false">IF($A52="N/A"," ",IF(OR(Dayrun1=2,Dayrun1=3,Dayrun1=10),VLOOKUP($A52,ScaledPrice1,9),0))</f>
        <v>22.5</v>
      </c>
      <c r="I52" s="317" t="n">
        <f aca="false">IF(A52="N/A"," ",IF(OR(Dayrun1=3,Dayrun1=6,Dayrun1=9),(VLOOKUP(A52,ScaledPrice1,IF(Scaler1=2,7,8))),0))</f>
        <v>25.25</v>
      </c>
      <c r="J52" s="317" t="n">
        <f aca="false">IF(A52="N/A"," ",IF(OR(Dayrun1=3,Dayrun1=6),IF(Scaler1=2,I52,(VLOOKUP(A52,ScaledPrice1,7))*(2-(VLOOKUP(A52,ScaledPrice1,3)))),0))</f>
        <v>25.25</v>
      </c>
      <c r="K52" s="317" t="n">
        <f aca="false">IF($A52="N/A"," ",IF(OR(Dayrun1=3,Dayrun1=10),VLOOKUP($A52,ScaledPrice1,9),0))</f>
        <v>22.5</v>
      </c>
      <c r="L52" s="318" t="n">
        <f aca="false">IF($A52="N/A"," ",IF(Pricetype1=2,MAX(C52,0),IF(OR(Pricetype1=1,Pricetype1=4),IF(C52=0,0,(EURO(C52,Strikeprice1,0,0,($AH52+IF(Smile=TRUE(),VLOOKUP(MAX(-5,Strikeprice1-C52),Volsmile,2),0)),($A52-DateToday)+15,IF(Pricetype1=1,1,0),0))),C52)))</f>
        <v>35.1157172066825</v>
      </c>
      <c r="M52" s="318" t="n">
        <f aca="false">IF($A52="N/A"," ",IF(Pricetype1=2,MAX(D52,0),IF(OR(Pricetype1=1,Pricetype1=4),IF(D52=0,0,(EURO(D52,Strikeprice1,0,0,($AH52+IF(Smile=TRUE(),VLOOKUP(MAX(-5,Strikeprice1-D52),Volsmile,2),0)),($A52-DateToday)+15,IF(Pricetype1=1,1,0),0))),D52)))</f>
        <v>35.1157172066825</v>
      </c>
      <c r="N52" s="318" t="n">
        <f aca="false">IF($A52="N/A"," ",IF(Pricetype1=2,MAX(E52,0),IF(OR(Pricetype1=1,Pricetype1=4),IF(E52=0,0,(EURO(E52,Strikeprice1,0,0,($AK52+IF(Smile=TRUE(),VLOOKUP(MAX(-5,Strikeprice1-E52),Volsmile,2),0)),($A52-DateToday)+15,IF(Pricetype1=1,1,0),0))),E52)))</f>
        <v>22.5</v>
      </c>
      <c r="O52" s="318" t="n">
        <f aca="false">IF($A52="N/A"," ",IF(Pricetype1=2,MAX(F52,0),IF(OR(Pricetype1=1,Pricetype1=4),IF(F52=0,0,(EURO(F52,Strikeprice1,0,0,($AK52+IF(Smile=TRUE(),VLOOKUP(MAX(-5,Strikeprice1-F52),Volsmile,2),0)),($A52-DateToday)+15,IF(Pricetype1=1,1,0),0))),F52)))</f>
        <v>35.75</v>
      </c>
      <c r="P52" s="318" t="n">
        <f aca="false">IF($A52="N/A"," ",IF(Pricetype1=2,MAX(G52,0),IF(OR(Pricetype1=1,Pricetype1=4),IF(G52=0,0,(EURO(G52,Strikeprice1,0,0,($AK52+IF(Smile=TRUE(),VLOOKUP(MAX(-5,Strikeprice1-G52),Volsmile,2),0)),($A52-DateToday)+15,IF(Pricetype1=1,1,0),0))),G52)))</f>
        <v>35.75</v>
      </c>
      <c r="Q52" s="318" t="n">
        <f aca="false">IF($A52="N/A"," ",IF(Pricetype1=2,MAX(H52,0),IF(OR(Pricetype1=1,Pricetype1=4),IF(H52=0,0,(EURO(H52,Strikeprice1,0,0,($AK52+IF(Smile=TRUE(),VLOOKUP(MAX(-5,Strikeprice1-H52),Volsmile,2),0)),($A52-DateToday)+15,IF(Pricetype1=1,1,0),0))),H52)))</f>
        <v>22.5</v>
      </c>
      <c r="R52" s="318" t="n">
        <f aca="false">IF($A52="N/A"," ",IF(Pricetype1=2,MAX(I52,0),IF(OR(Pricetype1=1,Pricetype1=4),IF(I52=0,0,(EURO(I52,Strikeprice1,0,0,($AK52+IF(Smile=TRUE(),VLOOKUP(MAX(-5,Strikeprice1-I52),Volsmile,2),0)),($A52-DateToday)+15,IF(Pricetype1=1,1,0),0))),I52)))</f>
        <v>25.25</v>
      </c>
      <c r="S52" s="318" t="n">
        <f aca="false">IF($A52="N/A"," ",IF(Pricetype1=2,MAX(J52,0),IF(OR(Pricetype1=1,Pricetype1=4),IF(J52=0,0,(EURO(J52,Strikeprice1,0,0,($AK52+IF(Smile=TRUE(),VLOOKUP(MAX(-5,Strikeprice1-J52),Volsmile,2),0)),($A52-DateToday)+15,IF(Pricetype1=1,1,0),0))),J52)))</f>
        <v>25.25</v>
      </c>
      <c r="T52" s="318" t="n">
        <f aca="false">IF($A52="N/A"," ",IF(Pricetype1=2,MAX(K52,0),IF(OR(Pricetype1=1,Pricetype1=4),IF(K52=0,0,(EURO(K52,Strikeprice1,0,0,($AK52+IF(Smile=TRUE(),VLOOKUP(MAX(-5,Strikeprice1-K52),Volsmile,2),0)),($A52-DateToday)+15,IF(Pricetype1=1,1,0),0))),K52)))</f>
        <v>22.5</v>
      </c>
      <c r="U52" s="319" t="e">
        <f aca="false">IF($A52="N/A"," ",Volume1*$AM52)</f>
        <v>#N/A</v>
      </c>
      <c r="V52" s="320" t="e">
        <f aca="false">IF($A52="N/A"," ",$U52*(8*($BQ52))*L52)</f>
        <v>#N/A</v>
      </c>
      <c r="W52" s="320" t="e">
        <f aca="false">IF($A52="N/A"," ",$U52*(8*($BQ52))*M52)</f>
        <v>#N/A</v>
      </c>
      <c r="X52" s="320" t="e">
        <f aca="false">IF($A52="N/A"," ",$U52*(8*($BQ52))*N52)</f>
        <v>#N/A</v>
      </c>
      <c r="Y52" s="320" t="e">
        <f aca="false">IF($A52="N/A"," ",$U52*(8*($BR52))*O52)</f>
        <v>#N/A</v>
      </c>
      <c r="Z52" s="320" t="e">
        <f aca="false">IF($A52="N/A"," ",$U52*(8*($BR52))*P52)</f>
        <v>#N/A</v>
      </c>
      <c r="AA52" s="320" t="e">
        <f aca="false">IF($A52="N/A"," ",$U52*(8*($BR52))*Q52)</f>
        <v>#N/A</v>
      </c>
      <c r="AB52" s="320" t="e">
        <f aca="false">IF($A52="N/A"," ",$U52*(8*($BS52))*R52)</f>
        <v>#N/A</v>
      </c>
      <c r="AC52" s="320" t="e">
        <f aca="false">IF($A52="N/A"," ",$U52*(8*($BS52))*S52)</f>
        <v>#N/A</v>
      </c>
      <c r="AD52" s="320" t="e">
        <f aca="false">IF($A52="N/A"," ",$U52*(8*($BS52))*T52)</f>
        <v>#N/A</v>
      </c>
      <c r="AE52" s="320" t="e">
        <f aca="false">IF($A52="N/A"," ",SUM(V52:AD52))</f>
        <v>#N/A</v>
      </c>
      <c r="AF52" s="321" t="n">
        <f aca="false">IF(A52="N/A"," ",(VLOOKUP(A52,PowerVolTable,(IF(VolBMO1=2,7,IF(VolBMO1=1,6,8))),FALSE())))</f>
        <v>0.2</v>
      </c>
      <c r="AG52" s="321" t="n">
        <f aca="false">IF(A52="N/A"," ",(VLOOKUP(A52,IntraPowerVol,(IF(VolBMO1=2,3,IF(VolBMO1=1,2,4))),FALSE())*VLOOKUP(MONTH($A52),Volscale,2)))</f>
        <v>0.35</v>
      </c>
      <c r="AH52" s="321" t="n">
        <f aca="false">IF($A52="N/A"," ",IF(VolType1=1,AG52,AF52))</f>
        <v>0.35</v>
      </c>
      <c r="AI52" s="321" t="n">
        <f aca="false">IF($A52="N/A"," ",(VLOOKUP($A52,OffPwrVolTable,(IF(VolBMO1=2,7,IF(VolBMO1=1,6,8))),FALSE())))</f>
        <v>0.1</v>
      </c>
      <c r="AJ52" s="321" t="n">
        <f aca="false">IF($A52="N/A"," ",(VLOOKUP($A52,OffPwrVolTable,(IF(VolBMO1=2,3,IF(VolBMO1=1,2,4))),FALSE())*VLOOKUP(MONTH($A52),Volscale,2)))</f>
        <v>0.21</v>
      </c>
      <c r="AK52" s="321" t="n">
        <f aca="false">IF($A52="N/A"," ",IF(VolType1=1,AJ52,AI52))</f>
        <v>0.21</v>
      </c>
      <c r="AL52" s="321" t="e">
        <f aca="false">IF($A52="N/A"," ",IF(PV=1,0,'Pricing Inputs1'!R85))</f>
        <v>#N/A</v>
      </c>
      <c r="AM52" s="323" t="e">
        <f aca="false">IF($A52="N/A"," ",(1+AL52/2)^(-2*((EOMONTH(A52,0)+20)-DateToday)/365.25))</f>
        <v>#N/A</v>
      </c>
      <c r="BQ52" s="0" t="n">
        <f aca="false">IF($A52="N/A"," ",(VLOOKUP($A52,NumberofDaysTable,2)))</f>
        <v>21</v>
      </c>
      <c r="BR52" s="0" t="n">
        <f aca="false">IF($A52="N/A"," ",(VLOOKUP($A52,NumberofDaysTable,3)))</f>
        <v>4</v>
      </c>
      <c r="BS52" s="0" t="n">
        <f aca="false">IF($A52="N/A"," ",(VLOOKUP($A52,NumberofDaysTable,4)))</f>
        <v>6</v>
      </c>
    </row>
    <row r="53" customFormat="false" ht="12.75" hidden="false" customHeight="false" outlineLevel="0" collapsed="false">
      <c r="A53" s="315" t="n">
        <f aca="false">IF(A52="N/A","N/A",IF(EDATE(A52,1)&gt;Inputs!$M$5,"N/A",EDATE(A52,1)))</f>
        <v>38749</v>
      </c>
      <c r="B53" s="316" t="n">
        <f aca="false">IF(A53="N/A"," ",YEAR(A53))</f>
        <v>2006</v>
      </c>
      <c r="C53" s="317" t="n">
        <f aca="false">IF($A53="N/A"," ",IF(Dayrun1=10,0,IF(Scaler1=1,(VLOOKUP(A53,ScaledPrice1,4)),(VLOOKUP(A53,ScaledPrice1,2)))))</f>
        <v>34.5157149178641</v>
      </c>
      <c r="D53" s="317" t="n">
        <f aca="false">IF(A53="N/A"," ",IF(Dayrun1&gt;=7,0,IF(Scaler1=2,VLOOKUP(A53,ScaledPrice1,2),(VLOOKUP(A53,ScaledPrice1,2))*(2-(VLOOKUP(A53,ScaledPrice1,3))))))</f>
        <v>34.5157149178641</v>
      </c>
      <c r="E53" s="317" t="n">
        <f aca="false">IF($A53="N/A"," ",IF(AND(Dayrun1&gt;=4,Dayrun1&lt;=9),0,VLOOKUP($A53,ScaledPrice1,9)))</f>
        <v>21</v>
      </c>
      <c r="F53" s="317" t="n">
        <f aca="false">IF(A53="N/A"," ",IF(OR(Dayrun1=2,Dayrun1=3,Dayrun1=5,Dayrun1=6,Dayrun1=8,Dayrun1=9),VLOOKUP(A53,ScaledPrice1,IF(Scaler1=1,6,5)),0))</f>
        <v>31.2460021972656</v>
      </c>
      <c r="G53" s="317" t="n">
        <f aca="false">IF(A53="N/A"," ",IF(OR(Dayrun1=2,Dayrun1=3,Dayrun1=5,Dayrun1=6),IF(Scaler1=2,F53,(VLOOKUP(A53,ScaledPrice1,5))*(2-(VLOOKUP(A53,ScaledPrice1,3)))),0))</f>
        <v>31.2460021972656</v>
      </c>
      <c r="H53" s="317" t="n">
        <f aca="false">IF($A53="N/A"," ",IF(OR(Dayrun1=2,Dayrun1=3,Dayrun1=10),VLOOKUP($A53,ScaledPrice1,9),0))</f>
        <v>21</v>
      </c>
      <c r="I53" s="317" t="n">
        <f aca="false">IF(A53="N/A"," ",IF(OR(Dayrun1=3,Dayrun1=6,Dayrun1=9),(VLOOKUP(A53,ScaledPrice1,IF(Scaler1=2,7,8))),0))</f>
        <v>22.7465019226074</v>
      </c>
      <c r="J53" s="317" t="n">
        <f aca="false">IF(A53="N/A"," ",IF(OR(Dayrun1=3,Dayrun1=6),IF(Scaler1=2,I53,(VLOOKUP(A53,ScaledPrice1,7))*(2-(VLOOKUP(A53,ScaledPrice1,3)))),0))</f>
        <v>22.7465019226074</v>
      </c>
      <c r="K53" s="317" t="n">
        <f aca="false">IF($A53="N/A"," ",IF(OR(Dayrun1=3,Dayrun1=10),VLOOKUP($A53,ScaledPrice1,9),0))</f>
        <v>21</v>
      </c>
      <c r="L53" s="318" t="n">
        <f aca="false">IF($A53="N/A"," ",IF(Pricetype1=2,MAX(C53,0),IF(OR(Pricetype1=1,Pricetype1=4),IF(C53=0,0,(EURO(C53,Strikeprice1,0,0,($AH53+IF(Smile=TRUE(),VLOOKUP(MAX(-5,Strikeprice1-C53),Volsmile,2),0)),($A53-DateToday)+15,IF(Pricetype1=1,1,0),0))),C53)))</f>
        <v>34.5157149178641</v>
      </c>
      <c r="M53" s="318" t="n">
        <f aca="false">IF($A53="N/A"," ",IF(Pricetype1=2,MAX(D53,0),IF(OR(Pricetype1=1,Pricetype1=4),IF(D53=0,0,(EURO(D53,Strikeprice1,0,0,($AH53+IF(Smile=TRUE(),VLOOKUP(MAX(-5,Strikeprice1-D53),Volsmile,2),0)),($A53-DateToday)+15,IF(Pricetype1=1,1,0),0))),D53)))</f>
        <v>34.5157149178641</v>
      </c>
      <c r="N53" s="318" t="n">
        <f aca="false">IF($A53="N/A"," ",IF(Pricetype1=2,MAX(E53,0),IF(OR(Pricetype1=1,Pricetype1=4),IF(E53=0,0,(EURO(E53,Strikeprice1,0,0,($AK53+IF(Smile=TRUE(),VLOOKUP(MAX(-5,Strikeprice1-E53),Volsmile,2),0)),($A53-DateToday)+15,IF(Pricetype1=1,1,0),0))),E53)))</f>
        <v>21</v>
      </c>
      <c r="O53" s="318" t="n">
        <f aca="false">IF($A53="N/A"," ",IF(Pricetype1=2,MAX(F53,0),IF(OR(Pricetype1=1,Pricetype1=4),IF(F53=0,0,(EURO(F53,Strikeprice1,0,0,($AK53+IF(Smile=TRUE(),VLOOKUP(MAX(-5,Strikeprice1-F53),Volsmile,2),0)),($A53-DateToday)+15,IF(Pricetype1=1,1,0),0))),F53)))</f>
        <v>31.2460021972656</v>
      </c>
      <c r="P53" s="318" t="n">
        <f aca="false">IF($A53="N/A"," ",IF(Pricetype1=2,MAX(G53,0),IF(OR(Pricetype1=1,Pricetype1=4),IF(G53=0,0,(EURO(G53,Strikeprice1,0,0,($AK53+IF(Smile=TRUE(),VLOOKUP(MAX(-5,Strikeprice1-G53),Volsmile,2),0)),($A53-DateToday)+15,IF(Pricetype1=1,1,0),0))),G53)))</f>
        <v>31.2460021972656</v>
      </c>
      <c r="Q53" s="318" t="n">
        <f aca="false">IF($A53="N/A"," ",IF(Pricetype1=2,MAX(H53,0),IF(OR(Pricetype1=1,Pricetype1=4),IF(H53=0,0,(EURO(H53,Strikeprice1,0,0,($AK53+IF(Smile=TRUE(),VLOOKUP(MAX(-5,Strikeprice1-H53),Volsmile,2),0)),($A53-DateToday)+15,IF(Pricetype1=1,1,0),0))),H53)))</f>
        <v>21</v>
      </c>
      <c r="R53" s="318" t="n">
        <f aca="false">IF($A53="N/A"," ",IF(Pricetype1=2,MAX(I53,0),IF(OR(Pricetype1=1,Pricetype1=4),IF(I53=0,0,(EURO(I53,Strikeprice1,0,0,($AK53+IF(Smile=TRUE(),VLOOKUP(MAX(-5,Strikeprice1-I53),Volsmile,2),0)),($A53-DateToday)+15,IF(Pricetype1=1,1,0),0))),I53)))</f>
        <v>22.7465019226074</v>
      </c>
      <c r="S53" s="318" t="n">
        <f aca="false">IF($A53="N/A"," ",IF(Pricetype1=2,MAX(J53,0),IF(OR(Pricetype1=1,Pricetype1=4),IF(J53=0,0,(EURO(J53,Strikeprice1,0,0,($AK53+IF(Smile=TRUE(),VLOOKUP(MAX(-5,Strikeprice1-J53),Volsmile,2),0)),($A53-DateToday)+15,IF(Pricetype1=1,1,0),0))),J53)))</f>
        <v>22.7465019226074</v>
      </c>
      <c r="T53" s="318" t="n">
        <f aca="false">IF($A53="N/A"," ",IF(Pricetype1=2,MAX(K53,0),IF(OR(Pricetype1=1,Pricetype1=4),IF(K53=0,0,(EURO(K53,Strikeprice1,0,0,($AK53+IF(Smile=TRUE(),VLOOKUP(MAX(-5,Strikeprice1-K53),Volsmile,2),0)),($A53-DateToday)+15,IF(Pricetype1=1,1,0),0))),K53)))</f>
        <v>21</v>
      </c>
      <c r="U53" s="319" t="e">
        <f aca="false">IF($A53="N/A"," ",Volume1*$AM53)</f>
        <v>#N/A</v>
      </c>
      <c r="V53" s="320" t="e">
        <f aca="false">IF($A53="N/A"," ",$U53*(8*($BQ53))*L53)</f>
        <v>#N/A</v>
      </c>
      <c r="W53" s="320" t="e">
        <f aca="false">IF($A53="N/A"," ",$U53*(8*($BQ53))*M53)</f>
        <v>#N/A</v>
      </c>
      <c r="X53" s="320" t="e">
        <f aca="false">IF($A53="N/A"," ",$U53*(8*($BQ53))*N53)</f>
        <v>#N/A</v>
      </c>
      <c r="Y53" s="320" t="e">
        <f aca="false">IF($A53="N/A"," ",$U53*(8*($BR53))*O53)</f>
        <v>#N/A</v>
      </c>
      <c r="Z53" s="320" t="e">
        <f aca="false">IF($A53="N/A"," ",$U53*(8*($BR53))*P53)</f>
        <v>#N/A</v>
      </c>
      <c r="AA53" s="320" t="e">
        <f aca="false">IF($A53="N/A"," ",$U53*(8*($BR53))*Q53)</f>
        <v>#N/A</v>
      </c>
      <c r="AB53" s="320" t="e">
        <f aca="false">IF($A53="N/A"," ",$U53*(8*($BS53))*R53)</f>
        <v>#N/A</v>
      </c>
      <c r="AC53" s="320" t="e">
        <f aca="false">IF($A53="N/A"," ",$U53*(8*($BS53))*S53)</f>
        <v>#N/A</v>
      </c>
      <c r="AD53" s="320" t="e">
        <f aca="false">IF($A53="N/A"," ",$U53*(8*($BS53))*T53)</f>
        <v>#N/A</v>
      </c>
      <c r="AE53" s="320" t="e">
        <f aca="false">IF($A53="N/A"," ",SUM(V53:AD53))</f>
        <v>#N/A</v>
      </c>
      <c r="AF53" s="321" t="n">
        <f aca="false">IF(A53="N/A"," ",(VLOOKUP(A53,PowerVolTable,(IF(VolBMO1=2,7,IF(VolBMO1=1,6,8))),FALSE())))</f>
        <v>0.2</v>
      </c>
      <c r="AG53" s="321" t="n">
        <f aca="false">IF(A53="N/A"," ",(VLOOKUP(A53,IntraPowerVol,(IF(VolBMO1=2,3,IF(VolBMO1=1,2,4))),FALSE())*VLOOKUP(MONTH($A53),Volscale,2)))</f>
        <v>0.35</v>
      </c>
      <c r="AH53" s="321" t="n">
        <f aca="false">IF($A53="N/A"," ",IF(VolType1=1,AG53,AF53))</f>
        <v>0.35</v>
      </c>
      <c r="AI53" s="321" t="n">
        <f aca="false">IF($A53="N/A"," ",(VLOOKUP($A53,OffPwrVolTable,(IF(VolBMO1=2,7,IF(VolBMO1=1,6,8))),FALSE())))</f>
        <v>0.1</v>
      </c>
      <c r="AJ53" s="321" t="n">
        <f aca="false">IF($A53="N/A"," ",(VLOOKUP($A53,OffPwrVolTable,(IF(VolBMO1=2,3,IF(VolBMO1=1,2,4))),FALSE())*VLOOKUP(MONTH($A53),Volscale,2)))</f>
        <v>0.21</v>
      </c>
      <c r="AK53" s="321" t="n">
        <f aca="false">IF($A53="N/A"," ",IF(VolType1=1,AJ53,AI53))</f>
        <v>0.21</v>
      </c>
      <c r="AL53" s="321" t="e">
        <f aca="false">IF($A53="N/A"," ",IF(PV=1,0,'Pricing Inputs1'!R86))</f>
        <v>#N/A</v>
      </c>
      <c r="AM53" s="323" t="e">
        <f aca="false">IF($A53="N/A"," ",(1+AL53/2)^(-2*((EOMONTH(A53,0)+20)-DateToday)/365.25))</f>
        <v>#N/A</v>
      </c>
      <c r="BQ53" s="0" t="n">
        <f aca="false">IF($A53="N/A"," ",(VLOOKUP($A53,NumberofDaysTable,2)))</f>
        <v>20</v>
      </c>
      <c r="BR53" s="0" t="n">
        <f aca="false">IF($A53="N/A"," ",(VLOOKUP($A53,NumberofDaysTable,3)))</f>
        <v>4</v>
      </c>
      <c r="BS53" s="0" t="n">
        <f aca="false">IF($A53="N/A"," ",(VLOOKUP($A53,NumberofDaysTable,4)))</f>
        <v>4</v>
      </c>
    </row>
    <row r="54" customFormat="false" ht="12.75" hidden="false" customHeight="false" outlineLevel="0" collapsed="false">
      <c r="A54" s="315" t="n">
        <f aca="false">IF(A53="N/A","N/A",IF(EDATE(A53,1)&gt;Inputs!$M$5,"N/A",EDATE(A53,1)))</f>
        <v>38777</v>
      </c>
      <c r="B54" s="316" t="n">
        <f aca="false">IF(A54="N/A"," ",YEAR(A54))</f>
        <v>2006</v>
      </c>
      <c r="C54" s="317" t="n">
        <f aca="false">IF($A54="N/A"," ",IF(Dayrun1=10,0,IF(Scaler1=1,(VLOOKUP(A54,ScaledPrice1,4)),(VLOOKUP(A54,ScaledPrice1,2)))))</f>
        <v>33.2276797627294</v>
      </c>
      <c r="D54" s="317" t="n">
        <f aca="false">IF(A54="N/A"," ",IF(Dayrun1&gt;=7,0,IF(Scaler1=2,VLOOKUP(A54,ScaledPrice1,2),(VLOOKUP(A54,ScaledPrice1,2))*(2-(VLOOKUP(A54,ScaledPrice1,3))))))</f>
        <v>33.2276797627294</v>
      </c>
      <c r="E54" s="317" t="n">
        <f aca="false">IF($A54="N/A"," ",IF(AND(Dayrun1&gt;=4,Dayrun1&lt;=9),0,VLOOKUP($A54,ScaledPrice1,9)))</f>
        <v>22</v>
      </c>
      <c r="F54" s="317" t="n">
        <f aca="false">IF(A54="N/A"," ",IF(OR(Dayrun1=2,Dayrun1=3,Dayrun1=5,Dayrun1=6,Dayrun1=8,Dayrun1=9),VLOOKUP(A54,ScaledPrice1,IF(Scaler1=1,6,5)),0))</f>
        <v>25.5</v>
      </c>
      <c r="G54" s="317" t="n">
        <f aca="false">IF(A54="N/A"," ",IF(OR(Dayrun1=2,Dayrun1=3,Dayrun1=5,Dayrun1=6),IF(Scaler1=2,F54,(VLOOKUP(A54,ScaledPrice1,5))*(2-(VLOOKUP(A54,ScaledPrice1,3)))),0))</f>
        <v>25.5</v>
      </c>
      <c r="H54" s="317" t="n">
        <f aca="false">IF($A54="N/A"," ",IF(OR(Dayrun1=2,Dayrun1=3,Dayrun1=10),VLOOKUP($A54,ScaledPrice1,9),0))</f>
        <v>22</v>
      </c>
      <c r="I54" s="317" t="n">
        <f aca="false">IF(A54="N/A"," ",IF(OR(Dayrun1=3,Dayrun1=6,Dayrun1=9),(VLOOKUP(A54,ScaledPrice1,IF(Scaler1=2,7,8))),0))</f>
        <v>20</v>
      </c>
      <c r="J54" s="317" t="n">
        <f aca="false">IF(A54="N/A"," ",IF(OR(Dayrun1=3,Dayrun1=6),IF(Scaler1=2,I54,(VLOOKUP(A54,ScaledPrice1,7))*(2-(VLOOKUP(A54,ScaledPrice1,3)))),0))</f>
        <v>20</v>
      </c>
      <c r="K54" s="317" t="n">
        <f aca="false">IF($A54="N/A"," ",IF(OR(Dayrun1=3,Dayrun1=10),VLOOKUP($A54,ScaledPrice1,9),0))</f>
        <v>22</v>
      </c>
      <c r="L54" s="318" t="n">
        <f aca="false">IF($A54="N/A"," ",IF(Pricetype1=2,MAX(C54,0),IF(OR(Pricetype1=1,Pricetype1=4),IF(C54=0,0,(EURO(C54,Strikeprice1,0,0,($AH54+IF(Smile=TRUE(),VLOOKUP(MAX(-5,Strikeprice1-C54),Volsmile,2),0)),($A54-DateToday)+15,IF(Pricetype1=1,1,0),0))),C54)))</f>
        <v>33.2276797627294</v>
      </c>
      <c r="M54" s="318" t="n">
        <f aca="false">IF($A54="N/A"," ",IF(Pricetype1=2,MAX(D54,0),IF(OR(Pricetype1=1,Pricetype1=4),IF(D54=0,0,(EURO(D54,Strikeprice1,0,0,($AH54+IF(Smile=TRUE(),VLOOKUP(MAX(-5,Strikeprice1-D54),Volsmile,2),0)),($A54-DateToday)+15,IF(Pricetype1=1,1,0),0))),D54)))</f>
        <v>33.2276797627294</v>
      </c>
      <c r="N54" s="318" t="n">
        <f aca="false">IF($A54="N/A"," ",IF(Pricetype1=2,MAX(E54,0),IF(OR(Pricetype1=1,Pricetype1=4),IF(E54=0,0,(EURO(E54,Strikeprice1,0,0,($AK54+IF(Smile=TRUE(),VLOOKUP(MAX(-5,Strikeprice1-E54),Volsmile,2),0)),($A54-DateToday)+15,IF(Pricetype1=1,1,0),0))),E54)))</f>
        <v>22</v>
      </c>
      <c r="O54" s="318" t="n">
        <f aca="false">IF($A54="N/A"," ",IF(Pricetype1=2,MAX(F54,0),IF(OR(Pricetype1=1,Pricetype1=4),IF(F54=0,0,(EURO(F54,Strikeprice1,0,0,($AK54+IF(Smile=TRUE(),VLOOKUP(MAX(-5,Strikeprice1-F54),Volsmile,2),0)),($A54-DateToday)+15,IF(Pricetype1=1,1,0),0))),F54)))</f>
        <v>25.5</v>
      </c>
      <c r="P54" s="318" t="n">
        <f aca="false">IF($A54="N/A"," ",IF(Pricetype1=2,MAX(G54,0),IF(OR(Pricetype1=1,Pricetype1=4),IF(G54=0,0,(EURO(G54,Strikeprice1,0,0,($AK54+IF(Smile=TRUE(),VLOOKUP(MAX(-5,Strikeprice1-G54),Volsmile,2),0)),($A54-DateToday)+15,IF(Pricetype1=1,1,0),0))),G54)))</f>
        <v>25.5</v>
      </c>
      <c r="Q54" s="318" t="n">
        <f aca="false">IF($A54="N/A"," ",IF(Pricetype1=2,MAX(H54,0),IF(OR(Pricetype1=1,Pricetype1=4),IF(H54=0,0,(EURO(H54,Strikeprice1,0,0,($AK54+IF(Smile=TRUE(),VLOOKUP(MAX(-5,Strikeprice1-H54),Volsmile,2),0)),($A54-DateToday)+15,IF(Pricetype1=1,1,0),0))),H54)))</f>
        <v>22</v>
      </c>
      <c r="R54" s="318" t="n">
        <f aca="false">IF($A54="N/A"," ",IF(Pricetype1=2,MAX(I54,0),IF(OR(Pricetype1=1,Pricetype1=4),IF(I54=0,0,(EURO(I54,Strikeprice1,0,0,($AK54+IF(Smile=TRUE(),VLOOKUP(MAX(-5,Strikeprice1-I54),Volsmile,2),0)),($A54-DateToday)+15,IF(Pricetype1=1,1,0),0))),I54)))</f>
        <v>20</v>
      </c>
      <c r="S54" s="318" t="n">
        <f aca="false">IF($A54="N/A"," ",IF(Pricetype1=2,MAX(J54,0),IF(OR(Pricetype1=1,Pricetype1=4),IF(J54=0,0,(EURO(J54,Strikeprice1,0,0,($AK54+IF(Smile=TRUE(),VLOOKUP(MAX(-5,Strikeprice1-J54),Volsmile,2),0)),($A54-DateToday)+15,IF(Pricetype1=1,1,0),0))),J54)))</f>
        <v>20</v>
      </c>
      <c r="T54" s="318" t="n">
        <f aca="false">IF($A54="N/A"," ",IF(Pricetype1=2,MAX(K54,0),IF(OR(Pricetype1=1,Pricetype1=4),IF(K54=0,0,(EURO(K54,Strikeprice1,0,0,($AK54+IF(Smile=TRUE(),VLOOKUP(MAX(-5,Strikeprice1-K54),Volsmile,2),0)),($A54-DateToday)+15,IF(Pricetype1=1,1,0),0))),K54)))</f>
        <v>22</v>
      </c>
      <c r="U54" s="319" t="e">
        <f aca="false">IF($A54="N/A"," ",Volume1*$AM54)</f>
        <v>#N/A</v>
      </c>
      <c r="V54" s="320" t="e">
        <f aca="false">IF($A54="N/A"," ",$U54*(8*($BQ54))*L54)</f>
        <v>#N/A</v>
      </c>
      <c r="W54" s="320" t="e">
        <f aca="false">IF($A54="N/A"," ",$U54*(8*($BQ54))*M54)</f>
        <v>#N/A</v>
      </c>
      <c r="X54" s="320" t="e">
        <f aca="false">IF($A54="N/A"," ",$U54*(8*($BQ54))*N54)</f>
        <v>#N/A</v>
      </c>
      <c r="Y54" s="320" t="e">
        <f aca="false">IF($A54="N/A"," ",$U54*(8*($BR54))*O54)</f>
        <v>#N/A</v>
      </c>
      <c r="Z54" s="320" t="e">
        <f aca="false">IF($A54="N/A"," ",$U54*(8*($BR54))*P54)</f>
        <v>#N/A</v>
      </c>
      <c r="AA54" s="320" t="e">
        <f aca="false">IF($A54="N/A"," ",$U54*(8*($BR54))*Q54)</f>
        <v>#N/A</v>
      </c>
      <c r="AB54" s="320" t="e">
        <f aca="false">IF($A54="N/A"," ",$U54*(8*($BS54))*R54)</f>
        <v>#N/A</v>
      </c>
      <c r="AC54" s="320" t="e">
        <f aca="false">IF($A54="N/A"," ",$U54*(8*($BS54))*S54)</f>
        <v>#N/A</v>
      </c>
      <c r="AD54" s="320" t="e">
        <f aca="false">IF($A54="N/A"," ",$U54*(8*($BS54))*T54)</f>
        <v>#N/A</v>
      </c>
      <c r="AE54" s="320" t="e">
        <f aca="false">IF($A54="N/A"," ",SUM(V54:AD54))</f>
        <v>#N/A</v>
      </c>
      <c r="AF54" s="321" t="n">
        <f aca="false">IF(A54="N/A"," ",(VLOOKUP(A54,PowerVolTable,(IF(VolBMO1=2,7,IF(VolBMO1=1,6,8))),FALSE())))</f>
        <v>0.2</v>
      </c>
      <c r="AG54" s="321" t="n">
        <f aca="false">IF(A54="N/A"," ",(VLOOKUP(A54,IntraPowerVol,(IF(VolBMO1=2,3,IF(VolBMO1=1,2,4))),FALSE())*VLOOKUP(MONTH($A54),Volscale,2)))</f>
        <v>0.35</v>
      </c>
      <c r="AH54" s="321" t="n">
        <f aca="false">IF($A54="N/A"," ",IF(VolType1=1,AG54,AF54))</f>
        <v>0.35</v>
      </c>
      <c r="AI54" s="321" t="n">
        <f aca="false">IF($A54="N/A"," ",(VLOOKUP($A54,OffPwrVolTable,(IF(VolBMO1=2,7,IF(VolBMO1=1,6,8))),FALSE())))</f>
        <v>0.1</v>
      </c>
      <c r="AJ54" s="321" t="n">
        <f aca="false">IF($A54="N/A"," ",(VLOOKUP($A54,OffPwrVolTable,(IF(VolBMO1=2,3,IF(VolBMO1=1,2,4))),FALSE())*VLOOKUP(MONTH($A54),Volscale,2)))</f>
        <v>0.21</v>
      </c>
      <c r="AK54" s="321" t="n">
        <f aca="false">IF($A54="N/A"," ",IF(VolType1=1,AJ54,AI54))</f>
        <v>0.21</v>
      </c>
      <c r="AL54" s="321" t="e">
        <f aca="false">IF($A54="N/A"," ",IF(PV=1,0,'Pricing Inputs1'!R87))</f>
        <v>#N/A</v>
      </c>
      <c r="AM54" s="323" t="e">
        <f aca="false">IF($A54="N/A"," ",(1+AL54/2)^(-2*((EOMONTH(A54,0)+20)-DateToday)/365.25))</f>
        <v>#N/A</v>
      </c>
      <c r="BQ54" s="0" t="n">
        <f aca="false">IF($A54="N/A"," ",(VLOOKUP($A54,NumberofDaysTable,2)))</f>
        <v>23</v>
      </c>
      <c r="BR54" s="0" t="n">
        <f aca="false">IF($A54="N/A"," ",(VLOOKUP($A54,NumberofDaysTable,3)))</f>
        <v>4</v>
      </c>
      <c r="BS54" s="0" t="n">
        <f aca="false">IF($A54="N/A"," ",(VLOOKUP($A54,NumberofDaysTable,4)))</f>
        <v>4</v>
      </c>
    </row>
    <row r="55" customFormat="false" ht="12.75" hidden="false" customHeight="false" outlineLevel="0" collapsed="false">
      <c r="A55" s="315" t="n">
        <f aca="false">IF(A54="N/A","N/A",IF(EDATE(A54,1)&gt;Inputs!$M$5,"N/A",EDATE(A54,1)))</f>
        <v>38808</v>
      </c>
      <c r="B55" s="316" t="n">
        <f aca="false">IF(A55="N/A"," ",YEAR(A55))</f>
        <v>2006</v>
      </c>
      <c r="C55" s="317" t="n">
        <f aca="false">IF($A55="N/A"," ",IF(Dayrun1=10,0,IF(Scaler1=1,(VLOOKUP(A55,ScaledPrice1,4)),(VLOOKUP(A55,ScaledPrice1,2)))))</f>
        <v>33.4276805256688</v>
      </c>
      <c r="D55" s="317" t="n">
        <f aca="false">IF(A55="N/A"," ",IF(Dayrun1&gt;=7,0,IF(Scaler1=2,VLOOKUP(A55,ScaledPrice1,2),(VLOOKUP(A55,ScaledPrice1,2))*(2-(VLOOKUP(A55,ScaledPrice1,3))))))</f>
        <v>33.4276805256688</v>
      </c>
      <c r="E55" s="317" t="n">
        <f aca="false">IF($A55="N/A"," ",IF(AND(Dayrun1&gt;=4,Dayrun1&lt;=9),0,VLOOKUP($A55,ScaledPrice1,9)))</f>
        <v>19</v>
      </c>
      <c r="F55" s="317" t="n">
        <f aca="false">IF(A55="N/A"," ",IF(OR(Dayrun1=2,Dayrun1=3,Dayrun1=5,Dayrun1=6,Dayrun1=8,Dayrun1=9),VLOOKUP(A55,ScaledPrice1,IF(Scaler1=1,6,5)),0))</f>
        <v>22</v>
      </c>
      <c r="G55" s="317" t="n">
        <f aca="false">IF(A55="N/A"," ",IF(OR(Dayrun1=2,Dayrun1=3,Dayrun1=5,Dayrun1=6),IF(Scaler1=2,F55,(VLOOKUP(A55,ScaledPrice1,5))*(2-(VLOOKUP(A55,ScaledPrice1,3)))),0))</f>
        <v>22</v>
      </c>
      <c r="H55" s="317" t="n">
        <f aca="false">IF($A55="N/A"," ",IF(OR(Dayrun1=2,Dayrun1=3,Dayrun1=10),VLOOKUP($A55,ScaledPrice1,9),0))</f>
        <v>19</v>
      </c>
      <c r="I55" s="317" t="n">
        <f aca="false">IF(A55="N/A"," ",IF(OR(Dayrun1=3,Dayrun1=6,Dayrun1=9),(VLOOKUP(A55,ScaledPrice1,IF(Scaler1=2,7,8))),0))</f>
        <v>16.4950008392334</v>
      </c>
      <c r="J55" s="317" t="n">
        <f aca="false">IF(A55="N/A"," ",IF(OR(Dayrun1=3,Dayrun1=6),IF(Scaler1=2,I55,(VLOOKUP(A55,ScaledPrice1,7))*(2-(VLOOKUP(A55,ScaledPrice1,3)))),0))</f>
        <v>16.4950008392334</v>
      </c>
      <c r="K55" s="317" t="n">
        <f aca="false">IF($A55="N/A"," ",IF(OR(Dayrun1=3,Dayrun1=10),VLOOKUP($A55,ScaledPrice1,9),0))</f>
        <v>19</v>
      </c>
      <c r="L55" s="318" t="n">
        <f aca="false">IF($A55="N/A"," ",IF(Pricetype1=2,MAX(C55,0),IF(OR(Pricetype1=1,Pricetype1=4),IF(C55=0,0,(EURO(C55,Strikeprice1,0,0,($AH55+IF(Smile=TRUE(),VLOOKUP(MAX(-5,Strikeprice1-C55),Volsmile,2),0)),($A55-DateToday)+15,IF(Pricetype1=1,1,0),0))),C55)))</f>
        <v>33.4276805256688</v>
      </c>
      <c r="M55" s="318" t="n">
        <f aca="false">IF($A55="N/A"," ",IF(Pricetype1=2,MAX(D55,0),IF(OR(Pricetype1=1,Pricetype1=4),IF(D55=0,0,(EURO(D55,Strikeprice1,0,0,($AH55+IF(Smile=TRUE(),VLOOKUP(MAX(-5,Strikeprice1-D55),Volsmile,2),0)),($A55-DateToday)+15,IF(Pricetype1=1,1,0),0))),D55)))</f>
        <v>33.4276805256688</v>
      </c>
      <c r="N55" s="318" t="n">
        <f aca="false">IF($A55="N/A"," ",IF(Pricetype1=2,MAX(E55,0),IF(OR(Pricetype1=1,Pricetype1=4),IF(E55=0,0,(EURO(E55,Strikeprice1,0,0,($AK55+IF(Smile=TRUE(),VLOOKUP(MAX(-5,Strikeprice1-E55),Volsmile,2),0)),($A55-DateToday)+15,IF(Pricetype1=1,1,0),0))),E55)))</f>
        <v>19</v>
      </c>
      <c r="O55" s="318" t="n">
        <f aca="false">IF($A55="N/A"," ",IF(Pricetype1=2,MAX(F55,0),IF(OR(Pricetype1=1,Pricetype1=4),IF(F55=0,0,(EURO(F55,Strikeprice1,0,0,($AK55+IF(Smile=TRUE(),VLOOKUP(MAX(-5,Strikeprice1-F55),Volsmile,2),0)),($A55-DateToday)+15,IF(Pricetype1=1,1,0),0))),F55)))</f>
        <v>22</v>
      </c>
      <c r="P55" s="318" t="n">
        <f aca="false">IF($A55="N/A"," ",IF(Pricetype1=2,MAX(G55,0),IF(OR(Pricetype1=1,Pricetype1=4),IF(G55=0,0,(EURO(G55,Strikeprice1,0,0,($AK55+IF(Smile=TRUE(),VLOOKUP(MAX(-5,Strikeprice1-G55),Volsmile,2),0)),($A55-DateToday)+15,IF(Pricetype1=1,1,0),0))),G55)))</f>
        <v>22</v>
      </c>
      <c r="Q55" s="318" t="n">
        <f aca="false">IF($A55="N/A"," ",IF(Pricetype1=2,MAX(H55,0),IF(OR(Pricetype1=1,Pricetype1=4),IF(H55=0,0,(EURO(H55,Strikeprice1,0,0,($AK55+IF(Smile=TRUE(),VLOOKUP(MAX(-5,Strikeprice1-H55),Volsmile,2),0)),($A55-DateToday)+15,IF(Pricetype1=1,1,0),0))),H55)))</f>
        <v>19</v>
      </c>
      <c r="R55" s="318" t="n">
        <f aca="false">IF($A55="N/A"," ",IF(Pricetype1=2,MAX(I55,0),IF(OR(Pricetype1=1,Pricetype1=4),IF(I55=0,0,(EURO(I55,Strikeprice1,0,0,($AK55+IF(Smile=TRUE(),VLOOKUP(MAX(-5,Strikeprice1-I55),Volsmile,2),0)),($A55-DateToday)+15,IF(Pricetype1=1,1,0),0))),I55)))</f>
        <v>16.4950008392334</v>
      </c>
      <c r="S55" s="318" t="n">
        <f aca="false">IF($A55="N/A"," ",IF(Pricetype1=2,MAX(J55,0),IF(OR(Pricetype1=1,Pricetype1=4),IF(J55=0,0,(EURO(J55,Strikeprice1,0,0,($AK55+IF(Smile=TRUE(),VLOOKUP(MAX(-5,Strikeprice1-J55),Volsmile,2),0)),($A55-DateToday)+15,IF(Pricetype1=1,1,0),0))),J55)))</f>
        <v>16.4950008392334</v>
      </c>
      <c r="T55" s="318" t="n">
        <f aca="false">IF($A55="N/A"," ",IF(Pricetype1=2,MAX(K55,0),IF(OR(Pricetype1=1,Pricetype1=4),IF(K55=0,0,(EURO(K55,Strikeprice1,0,0,($AK55+IF(Smile=TRUE(),VLOOKUP(MAX(-5,Strikeprice1-K55),Volsmile,2),0)),($A55-DateToday)+15,IF(Pricetype1=1,1,0),0))),K55)))</f>
        <v>19</v>
      </c>
      <c r="U55" s="319" t="e">
        <f aca="false">IF($A55="N/A"," ",Volume1*$AM55)</f>
        <v>#N/A</v>
      </c>
      <c r="V55" s="320" t="e">
        <f aca="false">IF($A55="N/A"," ",$U55*(8*($BQ55))*L55)</f>
        <v>#N/A</v>
      </c>
      <c r="W55" s="320" t="e">
        <f aca="false">IF($A55="N/A"," ",$U55*(8*($BQ55))*M55)</f>
        <v>#N/A</v>
      </c>
      <c r="X55" s="320" t="e">
        <f aca="false">IF($A55="N/A"," ",$U55*(8*($BQ55))*N55)</f>
        <v>#N/A</v>
      </c>
      <c r="Y55" s="320" t="e">
        <f aca="false">IF($A55="N/A"," ",$U55*(8*($BR55))*O55)</f>
        <v>#N/A</v>
      </c>
      <c r="Z55" s="320" t="e">
        <f aca="false">IF($A55="N/A"," ",$U55*(8*($BR55))*P55)</f>
        <v>#N/A</v>
      </c>
      <c r="AA55" s="320" t="e">
        <f aca="false">IF($A55="N/A"," ",$U55*(8*($BR55))*Q55)</f>
        <v>#N/A</v>
      </c>
      <c r="AB55" s="320" t="e">
        <f aca="false">IF($A55="N/A"," ",$U55*(8*($BS55))*R55)</f>
        <v>#N/A</v>
      </c>
      <c r="AC55" s="320" t="e">
        <f aca="false">IF($A55="N/A"," ",$U55*(8*($BS55))*S55)</f>
        <v>#N/A</v>
      </c>
      <c r="AD55" s="320" t="e">
        <f aca="false">IF($A55="N/A"," ",$U55*(8*($BS55))*T55)</f>
        <v>#N/A</v>
      </c>
      <c r="AE55" s="320" t="e">
        <f aca="false">IF($A55="N/A"," ",SUM(V55:AD55))</f>
        <v>#N/A</v>
      </c>
      <c r="AF55" s="321" t="n">
        <f aca="false">IF(A55="N/A"," ",(VLOOKUP(A55,PowerVolTable,(IF(VolBMO1=2,7,IF(VolBMO1=1,6,8))),FALSE())))</f>
        <v>0.2</v>
      </c>
      <c r="AG55" s="321" t="n">
        <f aca="false">IF(A55="N/A"," ",(VLOOKUP(A55,IntraPowerVol,(IF(VolBMO1=2,3,IF(VolBMO1=1,2,4))),FALSE())*VLOOKUP(MONTH($A55),Volscale,2)))</f>
        <v>0.35</v>
      </c>
      <c r="AH55" s="321" t="n">
        <f aca="false">IF($A55="N/A"," ",IF(VolType1=1,AG55,AF55))</f>
        <v>0.35</v>
      </c>
      <c r="AI55" s="321" t="n">
        <f aca="false">IF($A55="N/A"," ",(VLOOKUP($A55,OffPwrVolTable,(IF(VolBMO1=2,7,IF(VolBMO1=1,6,8))),FALSE())))</f>
        <v>0.1</v>
      </c>
      <c r="AJ55" s="321" t="n">
        <f aca="false">IF($A55="N/A"," ",(VLOOKUP($A55,OffPwrVolTable,(IF(VolBMO1=2,3,IF(VolBMO1=1,2,4))),FALSE())*VLOOKUP(MONTH($A55),Volscale,2)))</f>
        <v>0.21</v>
      </c>
      <c r="AK55" s="321" t="n">
        <f aca="false">IF($A55="N/A"," ",IF(VolType1=1,AJ55,AI55))</f>
        <v>0.21</v>
      </c>
      <c r="AL55" s="321" t="e">
        <f aca="false">IF($A55="N/A"," ",IF(PV=1,0,'Pricing Inputs1'!R88))</f>
        <v>#N/A</v>
      </c>
      <c r="AM55" s="323" t="e">
        <f aca="false">IF($A55="N/A"," ",(1+AL55/2)^(-2*((EOMONTH(A55,0)+20)-DateToday)/365.25))</f>
        <v>#N/A</v>
      </c>
      <c r="BQ55" s="0" t="n">
        <f aca="false">IF($A55="N/A"," ",(VLOOKUP($A55,NumberofDaysTable,2)))</f>
        <v>20</v>
      </c>
      <c r="BR55" s="0" t="n">
        <f aca="false">IF($A55="N/A"," ",(VLOOKUP($A55,NumberofDaysTable,3)))</f>
        <v>5</v>
      </c>
      <c r="BS55" s="0" t="n">
        <f aca="false">IF($A55="N/A"," ",(VLOOKUP($A55,NumberofDaysTable,4)))</f>
        <v>5</v>
      </c>
    </row>
    <row r="56" customFormat="false" ht="12.75" hidden="false" customHeight="false" outlineLevel="0" collapsed="false">
      <c r="A56" s="315" t="n">
        <f aca="false">IF(A55="N/A","N/A",IF(EDATE(A55,1)&gt;Inputs!$M$5,"N/A",EDATE(A55,1)))</f>
        <v>38838</v>
      </c>
      <c r="B56" s="316" t="n">
        <f aca="false">IF(A56="N/A"," ",YEAR(A56))</f>
        <v>2006</v>
      </c>
      <c r="C56" s="317" t="n">
        <f aca="false">IF($A56="N/A"," ",IF(Dayrun1=10,0,IF(Scaler1=1,(VLOOKUP(A56,ScaledPrice1,4)),(VLOOKUP(A56,ScaledPrice1,2)))))</f>
        <v>36.7050018310547</v>
      </c>
      <c r="D56" s="317" t="n">
        <f aca="false">IF(A56="N/A"," ",IF(Dayrun1&gt;=7,0,IF(Scaler1=2,VLOOKUP(A56,ScaledPrice1,2),(VLOOKUP(A56,ScaledPrice1,2))*(2-(VLOOKUP(A56,ScaledPrice1,3))))))</f>
        <v>36.7050018310547</v>
      </c>
      <c r="E56" s="317" t="n">
        <f aca="false">IF($A56="N/A"," ",IF(AND(Dayrun1&gt;=4,Dayrun1&lt;=9),0,VLOOKUP($A56,ScaledPrice1,9)))</f>
        <v>19.5400009155273</v>
      </c>
      <c r="F56" s="317" t="n">
        <f aca="false">IF(A56="N/A"," ",IF(OR(Dayrun1=2,Dayrun1=3,Dayrun1=5,Dayrun1=6,Dayrun1=8,Dayrun1=9),VLOOKUP(A56,ScaledPrice1,IF(Scaler1=1,6,5)),0))</f>
        <v>22.2900009155273</v>
      </c>
      <c r="G56" s="317" t="n">
        <f aca="false">IF(A56="N/A"," ",IF(OR(Dayrun1=2,Dayrun1=3,Dayrun1=5,Dayrun1=6),IF(Scaler1=2,F56,(VLOOKUP(A56,ScaledPrice1,5))*(2-(VLOOKUP(A56,ScaledPrice1,3)))),0))</f>
        <v>22.2900009155273</v>
      </c>
      <c r="H56" s="317" t="n">
        <f aca="false">IF($A56="N/A"," ",IF(OR(Dayrun1=2,Dayrun1=3,Dayrun1=10),VLOOKUP($A56,ScaledPrice1,9),0))</f>
        <v>19.5400009155273</v>
      </c>
      <c r="I56" s="317" t="n">
        <f aca="false">IF(A56="N/A"," ",IF(OR(Dayrun1=3,Dayrun1=6,Dayrun1=9),(VLOOKUP(A56,ScaledPrice1,IF(Scaler1=2,7,8))),0))</f>
        <v>15.7950000762939</v>
      </c>
      <c r="J56" s="317" t="n">
        <f aca="false">IF(A56="N/A"," ",IF(OR(Dayrun1=3,Dayrun1=6),IF(Scaler1=2,I56,(VLOOKUP(A56,ScaledPrice1,7))*(2-(VLOOKUP(A56,ScaledPrice1,3)))),0))</f>
        <v>15.7950000762939</v>
      </c>
      <c r="K56" s="317" t="n">
        <f aca="false">IF($A56="N/A"," ",IF(OR(Dayrun1=3,Dayrun1=10),VLOOKUP($A56,ScaledPrice1,9),0))</f>
        <v>19.5400009155273</v>
      </c>
      <c r="L56" s="318" t="n">
        <f aca="false">IF($A56="N/A"," ",IF(Pricetype1=2,MAX(C56,0),IF(OR(Pricetype1=1,Pricetype1=4),IF(C56=0,0,(EURO(C56,Strikeprice1,0,0,($AH56+IF(Smile=TRUE(),VLOOKUP(MAX(-5,Strikeprice1-C56),Volsmile,2),0)),($A56-DateToday)+15,IF(Pricetype1=1,1,0),0))),C56)))</f>
        <v>36.7050018310547</v>
      </c>
      <c r="M56" s="318" t="n">
        <f aca="false">IF($A56="N/A"," ",IF(Pricetype1=2,MAX(D56,0),IF(OR(Pricetype1=1,Pricetype1=4),IF(D56=0,0,(EURO(D56,Strikeprice1,0,0,($AH56+IF(Smile=TRUE(),VLOOKUP(MAX(-5,Strikeprice1-D56),Volsmile,2),0)),($A56-DateToday)+15,IF(Pricetype1=1,1,0),0))),D56)))</f>
        <v>36.7050018310547</v>
      </c>
      <c r="N56" s="318" t="n">
        <f aca="false">IF($A56="N/A"," ",IF(Pricetype1=2,MAX(E56,0),IF(OR(Pricetype1=1,Pricetype1=4),IF(E56=0,0,(EURO(E56,Strikeprice1,0,0,($AK56+IF(Smile=TRUE(),VLOOKUP(MAX(-5,Strikeprice1-E56),Volsmile,2),0)),($A56-DateToday)+15,IF(Pricetype1=1,1,0),0))),E56)))</f>
        <v>19.5400009155273</v>
      </c>
      <c r="O56" s="318" t="n">
        <f aca="false">IF($A56="N/A"," ",IF(Pricetype1=2,MAX(F56,0),IF(OR(Pricetype1=1,Pricetype1=4),IF(F56=0,0,(EURO(F56,Strikeprice1,0,0,($AK56+IF(Smile=TRUE(),VLOOKUP(MAX(-5,Strikeprice1-F56),Volsmile,2),0)),($A56-DateToday)+15,IF(Pricetype1=1,1,0),0))),F56)))</f>
        <v>22.2900009155273</v>
      </c>
      <c r="P56" s="318" t="n">
        <f aca="false">IF($A56="N/A"," ",IF(Pricetype1=2,MAX(G56,0),IF(OR(Pricetype1=1,Pricetype1=4),IF(G56=0,0,(EURO(G56,Strikeprice1,0,0,($AK56+IF(Smile=TRUE(),VLOOKUP(MAX(-5,Strikeprice1-G56),Volsmile,2),0)),($A56-DateToday)+15,IF(Pricetype1=1,1,0),0))),G56)))</f>
        <v>22.2900009155273</v>
      </c>
      <c r="Q56" s="318" t="n">
        <f aca="false">IF($A56="N/A"," ",IF(Pricetype1=2,MAX(H56,0),IF(OR(Pricetype1=1,Pricetype1=4),IF(H56=0,0,(EURO(H56,Strikeprice1,0,0,($AK56+IF(Smile=TRUE(),VLOOKUP(MAX(-5,Strikeprice1-H56),Volsmile,2),0)),($A56-DateToday)+15,IF(Pricetype1=1,1,0),0))),H56)))</f>
        <v>19.5400009155273</v>
      </c>
      <c r="R56" s="318" t="n">
        <f aca="false">IF($A56="N/A"," ",IF(Pricetype1=2,MAX(I56,0),IF(OR(Pricetype1=1,Pricetype1=4),IF(I56=0,0,(EURO(I56,Strikeprice1,0,0,($AK56+IF(Smile=TRUE(),VLOOKUP(MAX(-5,Strikeprice1-I56),Volsmile,2),0)),($A56-DateToday)+15,IF(Pricetype1=1,1,0),0))),I56)))</f>
        <v>15.7950000762939</v>
      </c>
      <c r="S56" s="318" t="n">
        <f aca="false">IF($A56="N/A"," ",IF(Pricetype1=2,MAX(J56,0),IF(OR(Pricetype1=1,Pricetype1=4),IF(J56=0,0,(EURO(J56,Strikeprice1,0,0,($AK56+IF(Smile=TRUE(),VLOOKUP(MAX(-5,Strikeprice1-J56),Volsmile,2),0)),($A56-DateToday)+15,IF(Pricetype1=1,1,0),0))),J56)))</f>
        <v>15.7950000762939</v>
      </c>
      <c r="T56" s="318" t="n">
        <f aca="false">IF($A56="N/A"," ",IF(Pricetype1=2,MAX(K56,0),IF(OR(Pricetype1=1,Pricetype1=4),IF(K56=0,0,(EURO(K56,Strikeprice1,0,0,($AK56+IF(Smile=TRUE(),VLOOKUP(MAX(-5,Strikeprice1-K56),Volsmile,2),0)),($A56-DateToday)+15,IF(Pricetype1=1,1,0),0))),K56)))</f>
        <v>19.5400009155273</v>
      </c>
      <c r="U56" s="319" t="e">
        <f aca="false">IF($A56="N/A"," ",Volume1*$AM56)</f>
        <v>#N/A</v>
      </c>
      <c r="V56" s="320" t="e">
        <f aca="false">IF($A56="N/A"," ",$U56*(8*($BQ56))*L56)</f>
        <v>#N/A</v>
      </c>
      <c r="W56" s="320" t="e">
        <f aca="false">IF($A56="N/A"," ",$U56*(8*($BQ56))*M56)</f>
        <v>#N/A</v>
      </c>
      <c r="X56" s="320" t="e">
        <f aca="false">IF($A56="N/A"," ",$U56*(8*($BQ56))*N56)</f>
        <v>#N/A</v>
      </c>
      <c r="Y56" s="320" t="e">
        <f aca="false">IF($A56="N/A"," ",$U56*(8*($BR56))*O56)</f>
        <v>#N/A</v>
      </c>
      <c r="Z56" s="320" t="e">
        <f aca="false">IF($A56="N/A"," ",$U56*(8*($BR56))*P56)</f>
        <v>#N/A</v>
      </c>
      <c r="AA56" s="320" t="e">
        <f aca="false">IF($A56="N/A"," ",$U56*(8*($BR56))*Q56)</f>
        <v>#N/A</v>
      </c>
      <c r="AB56" s="320" t="e">
        <f aca="false">IF($A56="N/A"," ",$U56*(8*($BS56))*R56)</f>
        <v>#N/A</v>
      </c>
      <c r="AC56" s="320" t="e">
        <f aca="false">IF($A56="N/A"," ",$U56*(8*($BS56))*S56)</f>
        <v>#N/A</v>
      </c>
      <c r="AD56" s="320" t="e">
        <f aca="false">IF($A56="N/A"," ",$U56*(8*($BS56))*T56)</f>
        <v>#N/A</v>
      </c>
      <c r="AE56" s="320" t="e">
        <f aca="false">IF($A56="N/A"," ",SUM(V56:AD56))</f>
        <v>#N/A</v>
      </c>
      <c r="AF56" s="321" t="n">
        <f aca="false">IF(A56="N/A"," ",(VLOOKUP(A56,PowerVolTable,(IF(VolBMO1=2,7,IF(VolBMO1=1,6,8))),FALSE())))</f>
        <v>0.2</v>
      </c>
      <c r="AG56" s="321" t="n">
        <f aca="false">IF(A56="N/A"," ",(VLOOKUP(A56,IntraPowerVol,(IF(VolBMO1=2,3,IF(VolBMO1=1,2,4))),FALSE())*VLOOKUP(MONTH($A56),Volscale,2)))</f>
        <v>0.45</v>
      </c>
      <c r="AH56" s="321" t="n">
        <f aca="false">IF($A56="N/A"," ",IF(VolType1=1,AG56,AF56))</f>
        <v>0.45</v>
      </c>
      <c r="AI56" s="321" t="n">
        <f aca="false">IF($A56="N/A"," ",(VLOOKUP($A56,OffPwrVolTable,(IF(VolBMO1=2,7,IF(VolBMO1=1,6,8))),FALSE())))</f>
        <v>0.1</v>
      </c>
      <c r="AJ56" s="321" t="n">
        <f aca="false">IF($A56="N/A"," ",(VLOOKUP($A56,OffPwrVolTable,(IF(VolBMO1=2,3,IF(VolBMO1=1,2,4))),FALSE())*VLOOKUP(MONTH($A56),Volscale,2)))</f>
        <v>0.27</v>
      </c>
      <c r="AK56" s="321" t="n">
        <f aca="false">IF($A56="N/A"," ",IF(VolType1=1,AJ56,AI56))</f>
        <v>0.27</v>
      </c>
      <c r="AL56" s="321" t="e">
        <f aca="false">IF($A56="N/A"," ",IF(PV=1,0,'Pricing Inputs1'!R89))</f>
        <v>#N/A</v>
      </c>
      <c r="AM56" s="323" t="e">
        <f aca="false">IF($A56="N/A"," ",(1+AL56/2)^(-2*((EOMONTH(A56,0)+20)-DateToday)/365.25))</f>
        <v>#N/A</v>
      </c>
      <c r="BQ56" s="0" t="n">
        <f aca="false">IF($A56="N/A"," ",(VLOOKUP($A56,NumberofDaysTable,2)))</f>
        <v>22</v>
      </c>
      <c r="BR56" s="0" t="n">
        <f aca="false">IF($A56="N/A"," ",(VLOOKUP($A56,NumberofDaysTable,3)))</f>
        <v>4</v>
      </c>
      <c r="BS56" s="0" t="n">
        <f aca="false">IF($A56="N/A"," ",(VLOOKUP($A56,NumberofDaysTable,4)))</f>
        <v>5</v>
      </c>
    </row>
    <row r="57" customFormat="false" ht="12.75" hidden="false" customHeight="false" outlineLevel="0" collapsed="false">
      <c r="A57" s="315" t="n">
        <f aca="false">IF(A56="N/A","N/A",IF(EDATE(A56,1)&gt;Inputs!$M$5,"N/A",EDATE(A56,1)))</f>
        <v>38869</v>
      </c>
      <c r="B57" s="316" t="n">
        <f aca="false">IF(A57="N/A"," ",YEAR(A57))</f>
        <v>2006</v>
      </c>
      <c r="C57" s="317" t="n">
        <f aca="false">IF($A57="N/A"," ",IF(Dayrun1=10,0,IF(Scaler1=1,(VLOOKUP(A57,ScaledPrice1,4)),(VLOOKUP(A57,ScaledPrice1,2)))))</f>
        <v>42.6250038146973</v>
      </c>
      <c r="D57" s="317" t="n">
        <f aca="false">IF(A57="N/A"," ",IF(Dayrun1&gt;=7,0,IF(Scaler1=2,VLOOKUP(A57,ScaledPrice1,2),(VLOOKUP(A57,ScaledPrice1,2))*(2-(VLOOKUP(A57,ScaledPrice1,3))))))</f>
        <v>42.6250038146973</v>
      </c>
      <c r="E57" s="317" t="n">
        <f aca="false">IF($A57="N/A"," ",IF(AND(Dayrun1&gt;=4,Dayrun1&lt;=9),0,VLOOKUP($A57,ScaledPrice1,9)))</f>
        <v>22.5400009155273</v>
      </c>
      <c r="F57" s="317" t="n">
        <f aca="false">IF(A57="N/A"," ",IF(OR(Dayrun1=2,Dayrun1=3,Dayrun1=5,Dayrun1=6,Dayrun1=8,Dayrun1=9),VLOOKUP(A57,ScaledPrice1,IF(Scaler1=1,6,5)),0))</f>
        <v>29.2900009155273</v>
      </c>
      <c r="G57" s="317" t="n">
        <f aca="false">IF(A57="N/A"," ",IF(OR(Dayrun1=2,Dayrun1=3,Dayrun1=5,Dayrun1=6),IF(Scaler1=2,F57,(VLOOKUP(A57,ScaledPrice1,5))*(2-(VLOOKUP(A57,ScaledPrice1,3)))),0))</f>
        <v>29.2900009155273</v>
      </c>
      <c r="H57" s="317" t="n">
        <f aca="false">IF($A57="N/A"," ",IF(OR(Dayrun1=2,Dayrun1=3,Dayrun1=10),VLOOKUP($A57,ScaledPrice1,9),0))</f>
        <v>22.5400009155273</v>
      </c>
      <c r="I57" s="317" t="n">
        <f aca="false">IF(A57="N/A"," ",IF(OR(Dayrun1=3,Dayrun1=6,Dayrun1=9),(VLOOKUP(A57,ScaledPrice1,IF(Scaler1=2,7,8))),0))</f>
        <v>19.7900009155273</v>
      </c>
      <c r="J57" s="317" t="n">
        <f aca="false">IF(A57="N/A"," ",IF(OR(Dayrun1=3,Dayrun1=6),IF(Scaler1=2,I57,(VLOOKUP(A57,ScaledPrice1,7))*(2-(VLOOKUP(A57,ScaledPrice1,3)))),0))</f>
        <v>19.7900009155273</v>
      </c>
      <c r="K57" s="317" t="n">
        <f aca="false">IF($A57="N/A"," ",IF(OR(Dayrun1=3,Dayrun1=10),VLOOKUP($A57,ScaledPrice1,9),0))</f>
        <v>22.5400009155273</v>
      </c>
      <c r="L57" s="318" t="n">
        <f aca="false">IF($A57="N/A"," ",IF(Pricetype1=2,MAX(C57,0),IF(OR(Pricetype1=1,Pricetype1=4),IF(C57=0,0,(EURO(C57,Strikeprice1,0,0,($AH57+IF(Smile=TRUE(),VLOOKUP(MAX(-5,Strikeprice1-C57),Volsmile,2),0)),($A57-DateToday)+15,IF(Pricetype1=1,1,0),0))),C57)))</f>
        <v>42.6250038146973</v>
      </c>
      <c r="M57" s="318" t="n">
        <f aca="false">IF($A57="N/A"," ",IF(Pricetype1=2,MAX(D57,0),IF(OR(Pricetype1=1,Pricetype1=4),IF(D57=0,0,(EURO(D57,Strikeprice1,0,0,($AH57+IF(Smile=TRUE(),VLOOKUP(MAX(-5,Strikeprice1-D57),Volsmile,2),0)),($A57-DateToday)+15,IF(Pricetype1=1,1,0),0))),D57)))</f>
        <v>42.6250038146973</v>
      </c>
      <c r="N57" s="318" t="n">
        <f aca="false">IF($A57="N/A"," ",IF(Pricetype1=2,MAX(E57,0),IF(OR(Pricetype1=1,Pricetype1=4),IF(E57=0,0,(EURO(E57,Strikeprice1,0,0,($AK57+IF(Smile=TRUE(),VLOOKUP(MAX(-5,Strikeprice1-E57),Volsmile,2),0)),($A57-DateToday)+15,IF(Pricetype1=1,1,0),0))),E57)))</f>
        <v>22.5400009155273</v>
      </c>
      <c r="O57" s="318" t="n">
        <f aca="false">IF($A57="N/A"," ",IF(Pricetype1=2,MAX(F57,0),IF(OR(Pricetype1=1,Pricetype1=4),IF(F57=0,0,(EURO(F57,Strikeprice1,0,0,($AK57+IF(Smile=TRUE(),VLOOKUP(MAX(-5,Strikeprice1-F57),Volsmile,2),0)),($A57-DateToday)+15,IF(Pricetype1=1,1,0),0))),F57)))</f>
        <v>29.2900009155273</v>
      </c>
      <c r="P57" s="318" t="n">
        <f aca="false">IF($A57="N/A"," ",IF(Pricetype1=2,MAX(G57,0),IF(OR(Pricetype1=1,Pricetype1=4),IF(G57=0,0,(EURO(G57,Strikeprice1,0,0,($AK57+IF(Smile=TRUE(),VLOOKUP(MAX(-5,Strikeprice1-G57),Volsmile,2),0)),($A57-DateToday)+15,IF(Pricetype1=1,1,0),0))),G57)))</f>
        <v>29.2900009155273</v>
      </c>
      <c r="Q57" s="318" t="n">
        <f aca="false">IF($A57="N/A"," ",IF(Pricetype1=2,MAX(H57,0),IF(OR(Pricetype1=1,Pricetype1=4),IF(H57=0,0,(EURO(H57,Strikeprice1,0,0,($AK57+IF(Smile=TRUE(),VLOOKUP(MAX(-5,Strikeprice1-H57),Volsmile,2),0)),($A57-DateToday)+15,IF(Pricetype1=1,1,0),0))),H57)))</f>
        <v>22.5400009155273</v>
      </c>
      <c r="R57" s="318" t="n">
        <f aca="false">IF($A57="N/A"," ",IF(Pricetype1=2,MAX(I57,0),IF(OR(Pricetype1=1,Pricetype1=4),IF(I57=0,0,(EURO(I57,Strikeprice1,0,0,($AK57+IF(Smile=TRUE(),VLOOKUP(MAX(-5,Strikeprice1-I57),Volsmile,2),0)),($A57-DateToday)+15,IF(Pricetype1=1,1,0),0))),I57)))</f>
        <v>19.7900009155273</v>
      </c>
      <c r="S57" s="318" t="n">
        <f aca="false">IF($A57="N/A"," ",IF(Pricetype1=2,MAX(J57,0),IF(OR(Pricetype1=1,Pricetype1=4),IF(J57=0,0,(EURO(J57,Strikeprice1,0,0,($AK57+IF(Smile=TRUE(),VLOOKUP(MAX(-5,Strikeprice1-J57),Volsmile,2),0)),($A57-DateToday)+15,IF(Pricetype1=1,1,0),0))),J57)))</f>
        <v>19.7900009155273</v>
      </c>
      <c r="T57" s="318" t="n">
        <f aca="false">IF($A57="N/A"," ",IF(Pricetype1=2,MAX(K57,0),IF(OR(Pricetype1=1,Pricetype1=4),IF(K57=0,0,(EURO(K57,Strikeprice1,0,0,($AK57+IF(Smile=TRUE(),VLOOKUP(MAX(-5,Strikeprice1-K57),Volsmile,2),0)),($A57-DateToday)+15,IF(Pricetype1=1,1,0),0))),K57)))</f>
        <v>22.5400009155273</v>
      </c>
      <c r="U57" s="319" t="e">
        <f aca="false">IF($A57="N/A"," ",Volume1*$AM57)</f>
        <v>#N/A</v>
      </c>
      <c r="V57" s="320" t="e">
        <f aca="false">IF($A57="N/A"," ",$U57*(8*($BQ57))*L57)</f>
        <v>#N/A</v>
      </c>
      <c r="W57" s="320" t="e">
        <f aca="false">IF($A57="N/A"," ",$U57*(8*($BQ57))*M57)</f>
        <v>#N/A</v>
      </c>
      <c r="X57" s="320" t="e">
        <f aca="false">IF($A57="N/A"," ",$U57*(8*($BQ57))*N57)</f>
        <v>#N/A</v>
      </c>
      <c r="Y57" s="320" t="e">
        <f aca="false">IF($A57="N/A"," ",$U57*(8*($BR57))*O57)</f>
        <v>#N/A</v>
      </c>
      <c r="Z57" s="320" t="e">
        <f aca="false">IF($A57="N/A"," ",$U57*(8*($BR57))*P57)</f>
        <v>#N/A</v>
      </c>
      <c r="AA57" s="320" t="e">
        <f aca="false">IF($A57="N/A"," ",$U57*(8*($BR57))*Q57)</f>
        <v>#N/A</v>
      </c>
      <c r="AB57" s="320" t="e">
        <f aca="false">IF($A57="N/A"," ",$U57*(8*($BS57))*R57)</f>
        <v>#N/A</v>
      </c>
      <c r="AC57" s="320" t="e">
        <f aca="false">IF($A57="N/A"," ",$U57*(8*($BS57))*S57)</f>
        <v>#N/A</v>
      </c>
      <c r="AD57" s="320" t="e">
        <f aca="false">IF($A57="N/A"," ",$U57*(8*($BS57))*T57)</f>
        <v>#N/A</v>
      </c>
      <c r="AE57" s="320" t="e">
        <f aca="false">IF($A57="N/A"," ",SUM(V57:AD57))</f>
        <v>#N/A</v>
      </c>
      <c r="AF57" s="321" t="n">
        <f aca="false">IF(A57="N/A"," ",(VLOOKUP(A57,PowerVolTable,(IF(VolBMO1=2,7,IF(VolBMO1=1,6,8))),FALSE())))</f>
        <v>0.2</v>
      </c>
      <c r="AG57" s="321" t="n">
        <f aca="false">IF(A57="N/A"," ",(VLOOKUP(A57,IntraPowerVol,(IF(VolBMO1=2,3,IF(VolBMO1=1,2,4))),FALSE())*VLOOKUP(MONTH($A57),Volscale,2)))</f>
        <v>0.45</v>
      </c>
      <c r="AH57" s="321" t="n">
        <f aca="false">IF($A57="N/A"," ",IF(VolType1=1,AG57,AF57))</f>
        <v>0.45</v>
      </c>
      <c r="AI57" s="321" t="n">
        <f aca="false">IF($A57="N/A"," ",(VLOOKUP($A57,OffPwrVolTable,(IF(VolBMO1=2,7,IF(VolBMO1=1,6,8))),FALSE())))</f>
        <v>0.1</v>
      </c>
      <c r="AJ57" s="321" t="n">
        <f aca="false">IF($A57="N/A"," ",(VLOOKUP($A57,OffPwrVolTable,(IF(VolBMO1=2,3,IF(VolBMO1=1,2,4))),FALSE())*VLOOKUP(MONTH($A57),Volscale,2)))</f>
        <v>0.27</v>
      </c>
      <c r="AK57" s="321" t="n">
        <f aca="false">IF($A57="N/A"," ",IF(VolType1=1,AJ57,AI57))</f>
        <v>0.27</v>
      </c>
      <c r="AL57" s="321" t="e">
        <f aca="false">IF($A57="N/A"," ",IF(PV=1,0,'Pricing Inputs1'!R90))</f>
        <v>#N/A</v>
      </c>
      <c r="AM57" s="323" t="e">
        <f aca="false">IF($A57="N/A"," ",(1+AL57/2)^(-2*((EOMONTH(A57,0)+20)-DateToday)/365.25))</f>
        <v>#N/A</v>
      </c>
      <c r="BQ57" s="0" t="n">
        <f aca="false">IF($A57="N/A"," ",(VLOOKUP($A57,NumberofDaysTable,2)))</f>
        <v>22</v>
      </c>
      <c r="BR57" s="0" t="n">
        <f aca="false">IF($A57="N/A"," ",(VLOOKUP($A57,NumberofDaysTable,3)))</f>
        <v>4</v>
      </c>
      <c r="BS57" s="0" t="n">
        <f aca="false">IF($A57="N/A"," ",(VLOOKUP($A57,NumberofDaysTable,4)))</f>
        <v>4</v>
      </c>
    </row>
    <row r="58" customFormat="false" ht="12.75" hidden="false" customHeight="false" outlineLevel="0" collapsed="false">
      <c r="A58" s="315" t="n">
        <f aca="false">IF(A57="N/A","N/A",IF(EDATE(A57,1)&gt;Inputs!$M$5,"N/A",EDATE(A57,1)))</f>
        <v>38899</v>
      </c>
      <c r="B58" s="316" t="n">
        <f aca="false">IF(A58="N/A"," ",YEAR(A58))</f>
        <v>2006</v>
      </c>
      <c r="C58" s="317" t="n">
        <f aca="false">IF($A58="N/A"," ",IF(Dayrun1=10,0,IF(Scaler1=1,(VLOOKUP(A58,ScaledPrice1,4)),(VLOOKUP(A58,ScaledPrice1,2)))))</f>
        <v>51.75</v>
      </c>
      <c r="D58" s="317" t="n">
        <f aca="false">IF(A58="N/A"," ",IF(Dayrun1&gt;=7,0,IF(Scaler1=2,VLOOKUP(A58,ScaledPrice1,2),(VLOOKUP(A58,ScaledPrice1,2))*(2-(VLOOKUP(A58,ScaledPrice1,3))))))</f>
        <v>51.75</v>
      </c>
      <c r="E58" s="317" t="n">
        <f aca="false">IF($A58="N/A"," ",IF(AND(Dayrun1&gt;=4,Dayrun1&lt;=9),0,VLOOKUP($A58,ScaledPrice1,9)))</f>
        <v>23.0400009155273</v>
      </c>
      <c r="F58" s="317" t="n">
        <f aca="false">IF(A58="N/A"," ",IF(OR(Dayrun1=2,Dayrun1=3,Dayrun1=5,Dayrun1=6,Dayrun1=8,Dayrun1=9),VLOOKUP(A58,ScaledPrice1,IF(Scaler1=1,6,5)),0))</f>
        <v>35.2900009155273</v>
      </c>
      <c r="G58" s="317" t="n">
        <f aca="false">IF(A58="N/A"," ",IF(OR(Dayrun1=2,Dayrun1=3,Dayrun1=5,Dayrun1=6),IF(Scaler1=2,F58,(VLOOKUP(A58,ScaledPrice1,5))*(2-(VLOOKUP(A58,ScaledPrice1,3)))),0))</f>
        <v>35.2900009155273</v>
      </c>
      <c r="H58" s="317" t="n">
        <f aca="false">IF($A58="N/A"," ",IF(OR(Dayrun1=2,Dayrun1=3,Dayrun1=10),VLOOKUP($A58,ScaledPrice1,9),0))</f>
        <v>23.0400009155273</v>
      </c>
      <c r="I58" s="317" t="n">
        <f aca="false">IF(A58="N/A"," ",IF(OR(Dayrun1=3,Dayrun1=6,Dayrun1=9),(VLOOKUP(A58,ScaledPrice1,IF(Scaler1=2,7,8))),0))</f>
        <v>25.7900009155273</v>
      </c>
      <c r="J58" s="317" t="n">
        <f aca="false">IF(A58="N/A"," ",IF(OR(Dayrun1=3,Dayrun1=6),IF(Scaler1=2,I58,(VLOOKUP(A58,ScaledPrice1,7))*(2-(VLOOKUP(A58,ScaledPrice1,3)))),0))</f>
        <v>25.7900009155273</v>
      </c>
      <c r="K58" s="317" t="n">
        <f aca="false">IF($A58="N/A"," ",IF(OR(Dayrun1=3,Dayrun1=10),VLOOKUP($A58,ScaledPrice1,9),0))</f>
        <v>23.0400009155273</v>
      </c>
      <c r="L58" s="318" t="n">
        <f aca="false">IF($A58="N/A"," ",IF(Pricetype1=2,MAX(C58,0),IF(OR(Pricetype1=1,Pricetype1=4),IF(C58=0,0,(EURO(C58,Strikeprice1,0,0,($AH58+IF(Smile=TRUE(),VLOOKUP(MAX(-5,Strikeprice1-C58),Volsmile,2),0)),($A58-DateToday)+15,IF(Pricetype1=1,1,0),0))),C58)))</f>
        <v>51.75</v>
      </c>
      <c r="M58" s="318" t="n">
        <f aca="false">IF($A58="N/A"," ",IF(Pricetype1=2,MAX(D58,0),IF(OR(Pricetype1=1,Pricetype1=4),IF(D58=0,0,(EURO(D58,Strikeprice1,0,0,($AH58+IF(Smile=TRUE(),VLOOKUP(MAX(-5,Strikeprice1-D58),Volsmile,2),0)),($A58-DateToday)+15,IF(Pricetype1=1,1,0),0))),D58)))</f>
        <v>51.75</v>
      </c>
      <c r="N58" s="318" t="n">
        <f aca="false">IF($A58="N/A"," ",IF(Pricetype1=2,MAX(E58,0),IF(OR(Pricetype1=1,Pricetype1=4),IF(E58=0,0,(EURO(E58,Strikeprice1,0,0,($AK58+IF(Smile=TRUE(),VLOOKUP(MAX(-5,Strikeprice1-E58),Volsmile,2),0)),($A58-DateToday)+15,IF(Pricetype1=1,1,0),0))),E58)))</f>
        <v>23.0400009155273</v>
      </c>
      <c r="O58" s="318" t="n">
        <f aca="false">IF($A58="N/A"," ",IF(Pricetype1=2,MAX(F58,0),IF(OR(Pricetype1=1,Pricetype1=4),IF(F58=0,0,(EURO(F58,Strikeprice1,0,0,($AK58+IF(Smile=TRUE(),VLOOKUP(MAX(-5,Strikeprice1-F58),Volsmile,2),0)),($A58-DateToday)+15,IF(Pricetype1=1,1,0),0))),F58)))</f>
        <v>35.2900009155273</v>
      </c>
      <c r="P58" s="318" t="n">
        <f aca="false">IF($A58="N/A"," ",IF(Pricetype1=2,MAX(G58,0),IF(OR(Pricetype1=1,Pricetype1=4),IF(G58=0,0,(EURO(G58,Strikeprice1,0,0,($AK58+IF(Smile=TRUE(),VLOOKUP(MAX(-5,Strikeprice1-G58),Volsmile,2),0)),($A58-DateToday)+15,IF(Pricetype1=1,1,0),0))),G58)))</f>
        <v>35.2900009155273</v>
      </c>
      <c r="Q58" s="318" t="n">
        <f aca="false">IF($A58="N/A"," ",IF(Pricetype1=2,MAX(H58,0),IF(OR(Pricetype1=1,Pricetype1=4),IF(H58=0,0,(EURO(H58,Strikeprice1,0,0,($AK58+IF(Smile=TRUE(),VLOOKUP(MAX(-5,Strikeprice1-H58),Volsmile,2),0)),($A58-DateToday)+15,IF(Pricetype1=1,1,0),0))),H58)))</f>
        <v>23.0400009155273</v>
      </c>
      <c r="R58" s="318" t="n">
        <f aca="false">IF($A58="N/A"," ",IF(Pricetype1=2,MAX(I58,0),IF(OR(Pricetype1=1,Pricetype1=4),IF(I58=0,0,(EURO(I58,Strikeprice1,0,0,($AK58+IF(Smile=TRUE(),VLOOKUP(MAX(-5,Strikeprice1-I58),Volsmile,2),0)),($A58-DateToday)+15,IF(Pricetype1=1,1,0),0))),I58)))</f>
        <v>25.7900009155273</v>
      </c>
      <c r="S58" s="318" t="n">
        <f aca="false">IF($A58="N/A"," ",IF(Pricetype1=2,MAX(J58,0),IF(OR(Pricetype1=1,Pricetype1=4),IF(J58=0,0,(EURO(J58,Strikeprice1,0,0,($AK58+IF(Smile=TRUE(),VLOOKUP(MAX(-5,Strikeprice1-J58),Volsmile,2),0)),($A58-DateToday)+15,IF(Pricetype1=1,1,0),0))),J58)))</f>
        <v>25.7900009155273</v>
      </c>
      <c r="T58" s="318" t="n">
        <f aca="false">IF($A58="N/A"," ",IF(Pricetype1=2,MAX(K58,0),IF(OR(Pricetype1=1,Pricetype1=4),IF(K58=0,0,(EURO(K58,Strikeprice1,0,0,($AK58+IF(Smile=TRUE(),VLOOKUP(MAX(-5,Strikeprice1-K58),Volsmile,2),0)),($A58-DateToday)+15,IF(Pricetype1=1,1,0),0))),K58)))</f>
        <v>23.0400009155273</v>
      </c>
      <c r="U58" s="319" t="e">
        <f aca="false">IF($A58="N/A"," ",Volume1*$AM58)</f>
        <v>#N/A</v>
      </c>
      <c r="V58" s="320" t="e">
        <f aca="false">IF($A58="N/A"," ",$U58*(8*($BQ58))*L58)</f>
        <v>#N/A</v>
      </c>
      <c r="W58" s="320" t="e">
        <f aca="false">IF($A58="N/A"," ",$U58*(8*($BQ58))*M58)</f>
        <v>#N/A</v>
      </c>
      <c r="X58" s="320" t="e">
        <f aca="false">IF($A58="N/A"," ",$U58*(8*($BQ58))*N58)</f>
        <v>#N/A</v>
      </c>
      <c r="Y58" s="320" t="e">
        <f aca="false">IF($A58="N/A"," ",$U58*(8*($BR58))*O58)</f>
        <v>#N/A</v>
      </c>
      <c r="Z58" s="320" t="e">
        <f aca="false">IF($A58="N/A"," ",$U58*(8*($BR58))*P58)</f>
        <v>#N/A</v>
      </c>
      <c r="AA58" s="320" t="e">
        <f aca="false">IF($A58="N/A"," ",$U58*(8*($BR58))*Q58)</f>
        <v>#N/A</v>
      </c>
      <c r="AB58" s="320" t="e">
        <f aca="false">IF($A58="N/A"," ",$U58*(8*($BS58))*R58)</f>
        <v>#N/A</v>
      </c>
      <c r="AC58" s="320" t="e">
        <f aca="false">IF($A58="N/A"," ",$U58*(8*($BS58))*S58)</f>
        <v>#N/A</v>
      </c>
      <c r="AD58" s="320" t="e">
        <f aca="false">IF($A58="N/A"," ",$U58*(8*($BS58))*T58)</f>
        <v>#N/A</v>
      </c>
      <c r="AE58" s="320" t="e">
        <f aca="false">IF($A58="N/A"," ",SUM(V58:AD58))</f>
        <v>#N/A</v>
      </c>
      <c r="AF58" s="321" t="n">
        <f aca="false">IF(A58="N/A"," ",(VLOOKUP(A58,PowerVolTable,(IF(VolBMO1=2,7,IF(VolBMO1=1,6,8))),FALSE())))</f>
        <v>0.3</v>
      </c>
      <c r="AG58" s="321" t="n">
        <f aca="false">IF(A58="N/A"," ",(VLOOKUP(A58,IntraPowerVol,(IF(VolBMO1=2,3,IF(VolBMO1=1,2,4))),FALSE())*VLOOKUP(MONTH($A58),Volscale,2)))</f>
        <v>0.6</v>
      </c>
      <c r="AH58" s="321" t="n">
        <f aca="false">IF($A58="N/A"," ",IF(VolType1=1,AG58,AF58))</f>
        <v>0.6</v>
      </c>
      <c r="AI58" s="321" t="n">
        <f aca="false">IF($A58="N/A"," ",(VLOOKUP($A58,OffPwrVolTable,(IF(VolBMO1=2,7,IF(VolBMO1=1,6,8))),FALSE())))</f>
        <v>0.15</v>
      </c>
      <c r="AJ58" s="321" t="n">
        <f aca="false">IF($A58="N/A"," ",(VLOOKUP($A58,OffPwrVolTable,(IF(VolBMO1=2,3,IF(VolBMO1=1,2,4))),FALSE())*VLOOKUP(MONTH($A58),Volscale,2)))</f>
        <v>0.36</v>
      </c>
      <c r="AK58" s="321" t="n">
        <f aca="false">IF($A58="N/A"," ",IF(VolType1=1,AJ58,AI58))</f>
        <v>0.36</v>
      </c>
      <c r="AL58" s="321" t="e">
        <f aca="false">IF($A58="N/A"," ",IF(PV=1,0,'Pricing Inputs1'!R91))</f>
        <v>#N/A</v>
      </c>
      <c r="AM58" s="323" t="e">
        <f aca="false">IF($A58="N/A"," ",(1+AL58/2)^(-2*((EOMONTH(A58,0)+20)-DateToday)/365.25))</f>
        <v>#N/A</v>
      </c>
      <c r="BQ58" s="0" t="n">
        <f aca="false">IF($A58="N/A"," ",(VLOOKUP($A58,NumberofDaysTable,2)))</f>
        <v>20</v>
      </c>
      <c r="BR58" s="0" t="n">
        <f aca="false">IF($A58="N/A"," ",(VLOOKUP($A58,NumberofDaysTable,3)))</f>
        <v>5</v>
      </c>
      <c r="BS58" s="0" t="n">
        <f aca="false">IF($A58="N/A"," ",(VLOOKUP($A58,NumberofDaysTable,4)))</f>
        <v>6</v>
      </c>
    </row>
    <row r="59" customFormat="false" ht="12.75" hidden="false" customHeight="false" outlineLevel="0" collapsed="false">
      <c r="A59" s="315" t="n">
        <f aca="false">IF(A58="N/A","N/A",IF(EDATE(A58,1)&gt;Inputs!$M$5,"N/A",EDATE(A58,1)))</f>
        <v>38930</v>
      </c>
      <c r="B59" s="316" t="n">
        <f aca="false">IF(A59="N/A"," ",YEAR(A59))</f>
        <v>2006</v>
      </c>
      <c r="C59" s="317" t="n">
        <f aca="false">IF($A59="N/A"," ",IF(Dayrun1=10,0,IF(Scaler1=1,(VLOOKUP(A59,ScaledPrice1,4)),(VLOOKUP(A59,ScaledPrice1,2)))))</f>
        <v>51.75</v>
      </c>
      <c r="D59" s="317" t="n">
        <f aca="false">IF(A59="N/A"," ",IF(Dayrun1&gt;=7,0,IF(Scaler1=2,VLOOKUP(A59,ScaledPrice1,2),(VLOOKUP(A59,ScaledPrice1,2))*(2-(VLOOKUP(A59,ScaledPrice1,3))))))</f>
        <v>51.75</v>
      </c>
      <c r="E59" s="317" t="n">
        <f aca="false">IF($A59="N/A"," ",IF(AND(Dayrun1&gt;=4,Dayrun1&lt;=9),0,VLOOKUP($A59,ScaledPrice1,9)))</f>
        <v>24.0400009155273</v>
      </c>
      <c r="F59" s="317" t="n">
        <f aca="false">IF(A59="N/A"," ",IF(OR(Dayrun1=2,Dayrun1=3,Dayrun1=5,Dayrun1=6,Dayrun1=8,Dayrun1=9),VLOOKUP(A59,ScaledPrice1,IF(Scaler1=1,6,5)),0))</f>
        <v>33.2900047302246</v>
      </c>
      <c r="G59" s="317" t="n">
        <f aca="false">IF(A59="N/A"," ",IF(OR(Dayrun1=2,Dayrun1=3,Dayrun1=5,Dayrun1=6),IF(Scaler1=2,F59,(VLOOKUP(A59,ScaledPrice1,5))*(2-(VLOOKUP(A59,ScaledPrice1,3)))),0))</f>
        <v>33.2900047302246</v>
      </c>
      <c r="H59" s="317" t="n">
        <f aca="false">IF($A59="N/A"," ",IF(OR(Dayrun1=2,Dayrun1=3,Dayrun1=10),VLOOKUP($A59,ScaledPrice1,9),0))</f>
        <v>24.0400009155273</v>
      </c>
      <c r="I59" s="317" t="n">
        <f aca="false">IF(A59="N/A"," ",IF(OR(Dayrun1=3,Dayrun1=6,Dayrun1=9),(VLOOKUP(A59,ScaledPrice1,IF(Scaler1=2,7,8))),0))</f>
        <v>25.7900009155273</v>
      </c>
      <c r="J59" s="317" t="n">
        <f aca="false">IF(A59="N/A"," ",IF(OR(Dayrun1=3,Dayrun1=6),IF(Scaler1=2,I59,(VLOOKUP(A59,ScaledPrice1,7))*(2-(VLOOKUP(A59,ScaledPrice1,3)))),0))</f>
        <v>25.7900009155273</v>
      </c>
      <c r="K59" s="317" t="n">
        <f aca="false">IF($A59="N/A"," ",IF(OR(Dayrun1=3,Dayrun1=10),VLOOKUP($A59,ScaledPrice1,9),0))</f>
        <v>24.0400009155273</v>
      </c>
      <c r="L59" s="318" t="n">
        <f aca="false">IF($A59="N/A"," ",IF(Pricetype1=2,MAX(C59,0),IF(OR(Pricetype1=1,Pricetype1=4),IF(C59=0,0,(EURO(C59,Strikeprice1,0,0,($AH59+IF(Smile=TRUE(),VLOOKUP(MAX(-5,Strikeprice1-C59),Volsmile,2),0)),($A59-DateToday)+15,IF(Pricetype1=1,1,0),0))),C59)))</f>
        <v>51.75</v>
      </c>
      <c r="M59" s="318" t="n">
        <f aca="false">IF($A59="N/A"," ",IF(Pricetype1=2,MAX(D59,0),IF(OR(Pricetype1=1,Pricetype1=4),IF(D59=0,0,(EURO(D59,Strikeprice1,0,0,($AH59+IF(Smile=TRUE(),VLOOKUP(MAX(-5,Strikeprice1-D59),Volsmile,2),0)),($A59-DateToday)+15,IF(Pricetype1=1,1,0),0))),D59)))</f>
        <v>51.75</v>
      </c>
      <c r="N59" s="318" t="n">
        <f aca="false">IF($A59="N/A"," ",IF(Pricetype1=2,MAX(E59,0),IF(OR(Pricetype1=1,Pricetype1=4),IF(E59=0,0,(EURO(E59,Strikeprice1,0,0,($AK59+IF(Smile=TRUE(),VLOOKUP(MAX(-5,Strikeprice1-E59),Volsmile,2),0)),($A59-DateToday)+15,IF(Pricetype1=1,1,0),0))),E59)))</f>
        <v>24.0400009155273</v>
      </c>
      <c r="O59" s="318" t="n">
        <f aca="false">IF($A59="N/A"," ",IF(Pricetype1=2,MAX(F59,0),IF(OR(Pricetype1=1,Pricetype1=4),IF(F59=0,0,(EURO(F59,Strikeprice1,0,0,($AK59+IF(Smile=TRUE(),VLOOKUP(MAX(-5,Strikeprice1-F59),Volsmile,2),0)),($A59-DateToday)+15,IF(Pricetype1=1,1,0),0))),F59)))</f>
        <v>33.2900047302246</v>
      </c>
      <c r="P59" s="318" t="n">
        <f aca="false">IF($A59="N/A"," ",IF(Pricetype1=2,MAX(G59,0),IF(OR(Pricetype1=1,Pricetype1=4),IF(G59=0,0,(EURO(G59,Strikeprice1,0,0,($AK59+IF(Smile=TRUE(),VLOOKUP(MAX(-5,Strikeprice1-G59),Volsmile,2),0)),($A59-DateToday)+15,IF(Pricetype1=1,1,0),0))),G59)))</f>
        <v>33.2900047302246</v>
      </c>
      <c r="Q59" s="318" t="n">
        <f aca="false">IF($A59="N/A"," ",IF(Pricetype1=2,MAX(H59,0),IF(OR(Pricetype1=1,Pricetype1=4),IF(H59=0,0,(EURO(H59,Strikeprice1,0,0,($AK59+IF(Smile=TRUE(),VLOOKUP(MAX(-5,Strikeprice1-H59),Volsmile,2),0)),($A59-DateToday)+15,IF(Pricetype1=1,1,0),0))),H59)))</f>
        <v>24.0400009155273</v>
      </c>
      <c r="R59" s="318" t="n">
        <f aca="false">IF($A59="N/A"," ",IF(Pricetype1=2,MAX(I59,0),IF(OR(Pricetype1=1,Pricetype1=4),IF(I59=0,0,(EURO(I59,Strikeprice1,0,0,($AK59+IF(Smile=TRUE(),VLOOKUP(MAX(-5,Strikeprice1-I59),Volsmile,2),0)),($A59-DateToday)+15,IF(Pricetype1=1,1,0),0))),I59)))</f>
        <v>25.7900009155273</v>
      </c>
      <c r="S59" s="318" t="n">
        <f aca="false">IF($A59="N/A"," ",IF(Pricetype1=2,MAX(J59,0),IF(OR(Pricetype1=1,Pricetype1=4),IF(J59=0,0,(EURO(J59,Strikeprice1,0,0,($AK59+IF(Smile=TRUE(),VLOOKUP(MAX(-5,Strikeprice1-J59),Volsmile,2),0)),($A59-DateToday)+15,IF(Pricetype1=1,1,0),0))),J59)))</f>
        <v>25.7900009155273</v>
      </c>
      <c r="T59" s="318" t="n">
        <f aca="false">IF($A59="N/A"," ",IF(Pricetype1=2,MAX(K59,0),IF(OR(Pricetype1=1,Pricetype1=4),IF(K59=0,0,(EURO(K59,Strikeprice1,0,0,($AK59+IF(Smile=TRUE(),VLOOKUP(MAX(-5,Strikeprice1-K59),Volsmile,2),0)),($A59-DateToday)+15,IF(Pricetype1=1,1,0),0))),K59)))</f>
        <v>24.0400009155273</v>
      </c>
      <c r="U59" s="319" t="e">
        <f aca="false">IF($A59="N/A"," ",Volume1*$AM59)</f>
        <v>#N/A</v>
      </c>
      <c r="V59" s="320" t="e">
        <f aca="false">IF($A59="N/A"," ",$U59*(8*($BQ59))*L59)</f>
        <v>#N/A</v>
      </c>
      <c r="W59" s="320" t="e">
        <f aca="false">IF($A59="N/A"," ",$U59*(8*($BQ59))*M59)</f>
        <v>#N/A</v>
      </c>
      <c r="X59" s="320" t="e">
        <f aca="false">IF($A59="N/A"," ",$U59*(8*($BQ59))*N59)</f>
        <v>#N/A</v>
      </c>
      <c r="Y59" s="320" t="e">
        <f aca="false">IF($A59="N/A"," ",$U59*(8*($BR59))*O59)</f>
        <v>#N/A</v>
      </c>
      <c r="Z59" s="320" t="e">
        <f aca="false">IF($A59="N/A"," ",$U59*(8*($BR59))*P59)</f>
        <v>#N/A</v>
      </c>
      <c r="AA59" s="320" t="e">
        <f aca="false">IF($A59="N/A"," ",$U59*(8*($BR59))*Q59)</f>
        <v>#N/A</v>
      </c>
      <c r="AB59" s="320" t="e">
        <f aca="false">IF($A59="N/A"," ",$U59*(8*($BS59))*R59)</f>
        <v>#N/A</v>
      </c>
      <c r="AC59" s="320" t="e">
        <f aca="false">IF($A59="N/A"," ",$U59*(8*($BS59))*S59)</f>
        <v>#N/A</v>
      </c>
      <c r="AD59" s="320" t="e">
        <f aca="false">IF($A59="N/A"," ",$U59*(8*($BS59))*T59)</f>
        <v>#N/A</v>
      </c>
      <c r="AE59" s="320" t="e">
        <f aca="false">IF($A59="N/A"," ",SUM(V59:AD59))</f>
        <v>#N/A</v>
      </c>
      <c r="AF59" s="321" t="n">
        <f aca="false">IF(A59="N/A"," ",(VLOOKUP(A59,PowerVolTable,(IF(VolBMO1=2,7,IF(VolBMO1=1,6,8))),FALSE())))</f>
        <v>0.3</v>
      </c>
      <c r="AG59" s="321" t="n">
        <f aca="false">IF(A59="N/A"," ",(VLOOKUP(A59,IntraPowerVol,(IF(VolBMO1=2,3,IF(VolBMO1=1,2,4))),FALSE())*VLOOKUP(MONTH($A59),Volscale,2)))</f>
        <v>0.6</v>
      </c>
      <c r="AH59" s="321" t="n">
        <f aca="false">IF($A59="N/A"," ",IF(VolType1=1,AG59,AF59))</f>
        <v>0.6</v>
      </c>
      <c r="AI59" s="321" t="n">
        <f aca="false">IF($A59="N/A"," ",(VLOOKUP($A59,OffPwrVolTable,(IF(VolBMO1=2,7,IF(VolBMO1=1,6,8))),FALSE())))</f>
        <v>0.15</v>
      </c>
      <c r="AJ59" s="321" t="n">
        <f aca="false">IF($A59="N/A"," ",(VLOOKUP($A59,OffPwrVolTable,(IF(VolBMO1=2,3,IF(VolBMO1=1,2,4))),FALSE())*VLOOKUP(MONTH($A59),Volscale,2)))</f>
        <v>0.36</v>
      </c>
      <c r="AK59" s="321" t="n">
        <f aca="false">IF($A59="N/A"," ",IF(VolType1=1,AJ59,AI59))</f>
        <v>0.36</v>
      </c>
      <c r="AL59" s="321" t="e">
        <f aca="false">IF($A59="N/A"," ",IF(PV=1,0,'Pricing Inputs1'!R92))</f>
        <v>#N/A</v>
      </c>
      <c r="AM59" s="323" t="e">
        <f aca="false">IF($A59="N/A"," ",(1+AL59/2)^(-2*((EOMONTH(A59,0)+20)-DateToday)/365.25))</f>
        <v>#N/A</v>
      </c>
      <c r="BQ59" s="0" t="n">
        <f aca="false">IF($A59="N/A"," ",(VLOOKUP($A59,NumberofDaysTable,2)))</f>
        <v>23</v>
      </c>
      <c r="BR59" s="0" t="n">
        <f aca="false">IF($A59="N/A"," ",(VLOOKUP($A59,NumberofDaysTable,3)))</f>
        <v>4</v>
      </c>
      <c r="BS59" s="0" t="n">
        <f aca="false">IF($A59="N/A"," ",(VLOOKUP($A59,NumberofDaysTable,4)))</f>
        <v>4</v>
      </c>
    </row>
    <row r="60" customFormat="false" ht="12.75" hidden="false" customHeight="false" outlineLevel="0" collapsed="false">
      <c r="A60" s="315" t="n">
        <f aca="false">IF(A59="N/A","N/A",IF(EDATE(A59,1)&gt;Inputs!$M$5,"N/A",EDATE(A59,1)))</f>
        <v>38961</v>
      </c>
      <c r="B60" s="316" t="n">
        <f aca="false">IF(A60="N/A"," ",YEAR(A60))</f>
        <v>2006</v>
      </c>
      <c r="C60" s="317" t="n">
        <f aca="false">IF($A60="N/A"," ",IF(Dayrun1=10,0,IF(Scaler1=1,(VLOOKUP(A60,ScaledPrice1,4)),(VLOOKUP(A60,ScaledPrice1,2)))))</f>
        <v>30.8299999237061</v>
      </c>
      <c r="D60" s="317" t="n">
        <f aca="false">IF(A60="N/A"," ",IF(Dayrun1&gt;=7,0,IF(Scaler1=2,VLOOKUP(A60,ScaledPrice1,2),(VLOOKUP(A60,ScaledPrice1,2))*(2-(VLOOKUP(A60,ScaledPrice1,3))))))</f>
        <v>30.8299999237061</v>
      </c>
      <c r="E60" s="317" t="n">
        <f aca="false">IF($A60="N/A"," ",IF(AND(Dayrun1&gt;=4,Dayrun1&lt;=9),0,VLOOKUP($A60,ScaledPrice1,9)))</f>
        <v>18.0400009155273</v>
      </c>
      <c r="F60" s="317" t="n">
        <f aca="false">IF(A60="N/A"," ",IF(OR(Dayrun1=2,Dayrun1=3,Dayrun1=5,Dayrun1=6,Dayrun1=8,Dayrun1=9),VLOOKUP(A60,ScaledPrice1,IF(Scaler1=1,6,5)),0))</f>
        <v>25.2900009155273</v>
      </c>
      <c r="G60" s="317" t="n">
        <f aca="false">IF(A60="N/A"," ",IF(OR(Dayrun1=2,Dayrun1=3,Dayrun1=5,Dayrun1=6),IF(Scaler1=2,F60,(VLOOKUP(A60,ScaledPrice1,5))*(2-(VLOOKUP(A60,ScaledPrice1,3)))),0))</f>
        <v>25.2900009155273</v>
      </c>
      <c r="H60" s="317" t="n">
        <f aca="false">IF($A60="N/A"," ",IF(OR(Dayrun1=2,Dayrun1=3,Dayrun1=10),VLOOKUP($A60,ScaledPrice1,9),0))</f>
        <v>18.0400009155273</v>
      </c>
      <c r="I60" s="317" t="n">
        <f aca="false">IF(A60="N/A"," ",IF(OR(Dayrun1=3,Dayrun1=6,Dayrun1=9),(VLOOKUP(A60,ScaledPrice1,IF(Scaler1=2,7,8))),0))</f>
        <v>19.7900009155273</v>
      </c>
      <c r="J60" s="317" t="n">
        <f aca="false">IF(A60="N/A"," ",IF(OR(Dayrun1=3,Dayrun1=6),IF(Scaler1=2,I60,(VLOOKUP(A60,ScaledPrice1,7))*(2-(VLOOKUP(A60,ScaledPrice1,3)))),0))</f>
        <v>19.7900009155273</v>
      </c>
      <c r="K60" s="317" t="n">
        <f aca="false">IF($A60="N/A"," ",IF(OR(Dayrun1=3,Dayrun1=10),VLOOKUP($A60,ScaledPrice1,9),0))</f>
        <v>18.0400009155273</v>
      </c>
      <c r="L60" s="318" t="n">
        <f aca="false">IF($A60="N/A"," ",IF(Pricetype1=2,MAX(C60,0),IF(OR(Pricetype1=1,Pricetype1=4),IF(C60=0,0,(EURO(C60,Strikeprice1,0,0,($AH60+IF(Smile=TRUE(),VLOOKUP(MAX(-5,Strikeprice1-C60),Volsmile,2),0)),($A60-DateToday)+15,IF(Pricetype1=1,1,0),0))),C60)))</f>
        <v>30.8299999237061</v>
      </c>
      <c r="M60" s="318" t="n">
        <f aca="false">IF($A60="N/A"," ",IF(Pricetype1=2,MAX(D60,0),IF(OR(Pricetype1=1,Pricetype1=4),IF(D60=0,0,(EURO(D60,Strikeprice1,0,0,($AH60+IF(Smile=TRUE(),VLOOKUP(MAX(-5,Strikeprice1-D60),Volsmile,2),0)),($A60-DateToday)+15,IF(Pricetype1=1,1,0),0))),D60)))</f>
        <v>30.8299999237061</v>
      </c>
      <c r="N60" s="318" t="n">
        <f aca="false">IF($A60="N/A"," ",IF(Pricetype1=2,MAX(E60,0),IF(OR(Pricetype1=1,Pricetype1=4),IF(E60=0,0,(EURO(E60,Strikeprice1,0,0,($AK60+IF(Smile=TRUE(),VLOOKUP(MAX(-5,Strikeprice1-E60),Volsmile,2),0)),($A60-DateToday)+15,IF(Pricetype1=1,1,0),0))),E60)))</f>
        <v>18.0400009155273</v>
      </c>
      <c r="O60" s="318" t="n">
        <f aca="false">IF($A60="N/A"," ",IF(Pricetype1=2,MAX(F60,0),IF(OR(Pricetype1=1,Pricetype1=4),IF(F60=0,0,(EURO(F60,Strikeprice1,0,0,($AK60+IF(Smile=TRUE(),VLOOKUP(MAX(-5,Strikeprice1-F60),Volsmile,2),0)),($A60-DateToday)+15,IF(Pricetype1=1,1,0),0))),F60)))</f>
        <v>25.2900009155273</v>
      </c>
      <c r="P60" s="318" t="n">
        <f aca="false">IF($A60="N/A"," ",IF(Pricetype1=2,MAX(G60,0),IF(OR(Pricetype1=1,Pricetype1=4),IF(G60=0,0,(EURO(G60,Strikeprice1,0,0,($AK60+IF(Smile=TRUE(),VLOOKUP(MAX(-5,Strikeprice1-G60),Volsmile,2),0)),($A60-DateToday)+15,IF(Pricetype1=1,1,0),0))),G60)))</f>
        <v>25.2900009155273</v>
      </c>
      <c r="Q60" s="318" t="n">
        <f aca="false">IF($A60="N/A"," ",IF(Pricetype1=2,MAX(H60,0),IF(OR(Pricetype1=1,Pricetype1=4),IF(H60=0,0,(EURO(H60,Strikeprice1,0,0,($AK60+IF(Smile=TRUE(),VLOOKUP(MAX(-5,Strikeprice1-H60),Volsmile,2),0)),($A60-DateToday)+15,IF(Pricetype1=1,1,0),0))),H60)))</f>
        <v>18.0400009155273</v>
      </c>
      <c r="R60" s="318" t="n">
        <f aca="false">IF($A60="N/A"," ",IF(Pricetype1=2,MAX(I60,0),IF(OR(Pricetype1=1,Pricetype1=4),IF(I60=0,0,(EURO(I60,Strikeprice1,0,0,($AK60+IF(Smile=TRUE(),VLOOKUP(MAX(-5,Strikeprice1-I60),Volsmile,2),0)),($A60-DateToday)+15,IF(Pricetype1=1,1,0),0))),I60)))</f>
        <v>19.7900009155273</v>
      </c>
      <c r="S60" s="318" t="n">
        <f aca="false">IF($A60="N/A"," ",IF(Pricetype1=2,MAX(J60,0),IF(OR(Pricetype1=1,Pricetype1=4),IF(J60=0,0,(EURO(J60,Strikeprice1,0,0,($AK60+IF(Smile=TRUE(),VLOOKUP(MAX(-5,Strikeprice1-J60),Volsmile,2),0)),($A60-DateToday)+15,IF(Pricetype1=1,1,0),0))),J60)))</f>
        <v>19.7900009155273</v>
      </c>
      <c r="T60" s="318" t="n">
        <f aca="false">IF($A60="N/A"," ",IF(Pricetype1=2,MAX(K60,0),IF(OR(Pricetype1=1,Pricetype1=4),IF(K60=0,0,(EURO(K60,Strikeprice1,0,0,($AK60+IF(Smile=TRUE(),VLOOKUP(MAX(-5,Strikeprice1-K60),Volsmile,2),0)),($A60-DateToday)+15,IF(Pricetype1=1,1,0),0))),K60)))</f>
        <v>18.0400009155273</v>
      </c>
      <c r="U60" s="319" t="e">
        <f aca="false">IF($A60="N/A"," ",Volume1*$AM60)</f>
        <v>#N/A</v>
      </c>
      <c r="V60" s="320" t="e">
        <f aca="false">IF($A60="N/A"," ",$U60*(8*($BQ60))*L60)</f>
        <v>#N/A</v>
      </c>
      <c r="W60" s="320" t="e">
        <f aca="false">IF($A60="N/A"," ",$U60*(8*($BQ60))*M60)</f>
        <v>#N/A</v>
      </c>
      <c r="X60" s="320" t="e">
        <f aca="false">IF($A60="N/A"," ",$U60*(8*($BQ60))*N60)</f>
        <v>#N/A</v>
      </c>
      <c r="Y60" s="320" t="e">
        <f aca="false">IF($A60="N/A"," ",$U60*(8*($BR60))*O60)</f>
        <v>#N/A</v>
      </c>
      <c r="Z60" s="320" t="e">
        <f aca="false">IF($A60="N/A"," ",$U60*(8*($BR60))*P60)</f>
        <v>#N/A</v>
      </c>
      <c r="AA60" s="320" t="e">
        <f aca="false">IF($A60="N/A"," ",$U60*(8*($BR60))*Q60)</f>
        <v>#N/A</v>
      </c>
      <c r="AB60" s="320" t="e">
        <f aca="false">IF($A60="N/A"," ",$U60*(8*($BS60))*R60)</f>
        <v>#N/A</v>
      </c>
      <c r="AC60" s="320" t="e">
        <f aca="false">IF($A60="N/A"," ",$U60*(8*($BS60))*S60)</f>
        <v>#N/A</v>
      </c>
      <c r="AD60" s="320" t="e">
        <f aca="false">IF($A60="N/A"," ",$U60*(8*($BS60))*T60)</f>
        <v>#N/A</v>
      </c>
      <c r="AE60" s="320" t="e">
        <f aca="false">IF($A60="N/A"," ",SUM(V60:AD60))</f>
        <v>#N/A</v>
      </c>
      <c r="AF60" s="321" t="n">
        <f aca="false">IF(A60="N/A"," ",(VLOOKUP(A60,PowerVolTable,(IF(VolBMO1=2,7,IF(VolBMO1=1,6,8))),FALSE())))</f>
        <v>0.2</v>
      </c>
      <c r="AG60" s="321" t="n">
        <f aca="false">IF(A60="N/A"," ",(VLOOKUP(A60,IntraPowerVol,(IF(VolBMO1=2,3,IF(VolBMO1=1,2,4))),FALSE())*VLOOKUP(MONTH($A60),Volscale,2)))</f>
        <v>0.45</v>
      </c>
      <c r="AH60" s="321" t="n">
        <f aca="false">IF($A60="N/A"," ",IF(VolType1=1,AG60,AF60))</f>
        <v>0.45</v>
      </c>
      <c r="AI60" s="321" t="n">
        <f aca="false">IF($A60="N/A"," ",(VLOOKUP($A60,OffPwrVolTable,(IF(VolBMO1=2,7,IF(VolBMO1=1,6,8))),FALSE())))</f>
        <v>0.1</v>
      </c>
      <c r="AJ60" s="321" t="n">
        <f aca="false">IF($A60="N/A"," ",(VLOOKUP($A60,OffPwrVolTable,(IF(VolBMO1=2,3,IF(VolBMO1=1,2,4))),FALSE())*VLOOKUP(MONTH($A60),Volscale,2)))</f>
        <v>0.27</v>
      </c>
      <c r="AK60" s="321" t="n">
        <f aca="false">IF($A60="N/A"," ",IF(VolType1=1,AJ60,AI60))</f>
        <v>0.27</v>
      </c>
      <c r="AL60" s="321" t="e">
        <f aca="false">IF($A60="N/A"," ",IF(PV=1,0,'Pricing Inputs1'!R93))</f>
        <v>#N/A</v>
      </c>
      <c r="AM60" s="323" t="e">
        <f aca="false">IF($A60="N/A"," ",(1+AL60/2)^(-2*((EOMONTH(A60,0)+20)-DateToday)/365.25))</f>
        <v>#N/A</v>
      </c>
      <c r="BQ60" s="0" t="n">
        <f aca="false">IF($A60="N/A"," ",(VLOOKUP($A60,NumberofDaysTable,2)))</f>
        <v>20</v>
      </c>
      <c r="BR60" s="0" t="n">
        <f aca="false">IF($A60="N/A"," ",(VLOOKUP($A60,NumberofDaysTable,3)))</f>
        <v>5</v>
      </c>
      <c r="BS60" s="0" t="n">
        <f aca="false">IF($A60="N/A"," ",(VLOOKUP($A60,NumberofDaysTable,4)))</f>
        <v>5</v>
      </c>
    </row>
    <row r="61" customFormat="false" ht="12.75" hidden="false" customHeight="false" outlineLevel="0" collapsed="false">
      <c r="A61" s="315" t="n">
        <f aca="false">IF(A60="N/A","N/A",IF(EDATE(A60,1)&gt;Inputs!$M$5,"N/A",EDATE(A60,1)))</f>
        <v>38991</v>
      </c>
      <c r="B61" s="316" t="n">
        <f aca="false">IF(A61="N/A"," ",YEAR(A61))</f>
        <v>2006</v>
      </c>
      <c r="C61" s="317" t="n">
        <f aca="false">IF($A61="N/A"," ",IF(Dayrun1=10,0,IF(Scaler1=1,(VLOOKUP(A61,ScaledPrice1,4)),(VLOOKUP(A61,ScaledPrice1,2)))))</f>
        <v>31.9815639257431</v>
      </c>
      <c r="D61" s="317" t="n">
        <f aca="false">IF(A61="N/A"," ",IF(Dayrun1&gt;=7,0,IF(Scaler1=2,VLOOKUP(A61,ScaledPrice1,2),(VLOOKUP(A61,ScaledPrice1,2))*(2-(VLOOKUP(A61,ScaledPrice1,3))))))</f>
        <v>31.9815639257431</v>
      </c>
      <c r="E61" s="317" t="n">
        <f aca="false">IF($A61="N/A"," ",IF(AND(Dayrun1&gt;=4,Dayrun1&lt;=9),0,VLOOKUP($A61,ScaledPrice1,9)))</f>
        <v>17.540002822876</v>
      </c>
      <c r="F61" s="317" t="n">
        <f aca="false">IF(A61="N/A"," ",IF(OR(Dayrun1=2,Dayrun1=3,Dayrun1=5,Dayrun1=6,Dayrun1=8,Dayrun1=9),VLOOKUP(A61,ScaledPrice1,IF(Scaler1=1,6,5)),0))</f>
        <v>20.2860012054443</v>
      </c>
      <c r="G61" s="317" t="n">
        <f aca="false">IF(A61="N/A"," ",IF(OR(Dayrun1=2,Dayrun1=3,Dayrun1=5,Dayrun1=6),IF(Scaler1=2,F61,(VLOOKUP(A61,ScaledPrice1,5))*(2-(VLOOKUP(A61,ScaledPrice1,3)))),0))</f>
        <v>20.2860012054443</v>
      </c>
      <c r="H61" s="317" t="n">
        <f aca="false">IF($A61="N/A"," ",IF(OR(Dayrun1=2,Dayrun1=3,Dayrun1=10),VLOOKUP($A61,ScaledPrice1,9),0))</f>
        <v>17.540002822876</v>
      </c>
      <c r="I61" s="317" t="n">
        <f aca="false">IF(A61="N/A"," ",IF(OR(Dayrun1=3,Dayrun1=6,Dayrun1=9),(VLOOKUP(A61,ScaledPrice1,IF(Scaler1=2,7,8))),0))</f>
        <v>14.7865009307861</v>
      </c>
      <c r="J61" s="317" t="n">
        <f aca="false">IF(A61="N/A"," ",IF(OR(Dayrun1=3,Dayrun1=6),IF(Scaler1=2,I61,(VLOOKUP(A61,ScaledPrice1,7))*(2-(VLOOKUP(A61,ScaledPrice1,3)))),0))</f>
        <v>14.7865009307861</v>
      </c>
      <c r="K61" s="317" t="n">
        <f aca="false">IF($A61="N/A"," ",IF(OR(Dayrun1=3,Dayrun1=10),VLOOKUP($A61,ScaledPrice1,9),0))</f>
        <v>17.540002822876</v>
      </c>
      <c r="L61" s="318" t="n">
        <f aca="false">IF($A61="N/A"," ",IF(Pricetype1=2,MAX(C61,0),IF(OR(Pricetype1=1,Pricetype1=4),IF(C61=0,0,(EURO(C61,Strikeprice1,0,0,($AH61+IF(Smile=TRUE(),VLOOKUP(MAX(-5,Strikeprice1-C61),Volsmile,2),0)),($A61-DateToday)+15,IF(Pricetype1=1,1,0),0))),C61)))</f>
        <v>31.9815639257431</v>
      </c>
      <c r="M61" s="318" t="n">
        <f aca="false">IF($A61="N/A"," ",IF(Pricetype1=2,MAX(D61,0),IF(OR(Pricetype1=1,Pricetype1=4),IF(D61=0,0,(EURO(D61,Strikeprice1,0,0,($AH61+IF(Smile=TRUE(),VLOOKUP(MAX(-5,Strikeprice1-D61),Volsmile,2),0)),($A61-DateToday)+15,IF(Pricetype1=1,1,0),0))),D61)))</f>
        <v>31.9815639257431</v>
      </c>
      <c r="N61" s="318" t="n">
        <f aca="false">IF($A61="N/A"," ",IF(Pricetype1=2,MAX(E61,0),IF(OR(Pricetype1=1,Pricetype1=4),IF(E61=0,0,(EURO(E61,Strikeprice1,0,0,($AK61+IF(Smile=TRUE(),VLOOKUP(MAX(-5,Strikeprice1-E61),Volsmile,2),0)),($A61-DateToday)+15,IF(Pricetype1=1,1,0),0))),E61)))</f>
        <v>17.540002822876</v>
      </c>
      <c r="O61" s="318" t="n">
        <f aca="false">IF($A61="N/A"," ",IF(Pricetype1=2,MAX(F61,0),IF(OR(Pricetype1=1,Pricetype1=4),IF(F61=0,0,(EURO(F61,Strikeprice1,0,0,($AK61+IF(Smile=TRUE(),VLOOKUP(MAX(-5,Strikeprice1-F61),Volsmile,2),0)),($A61-DateToday)+15,IF(Pricetype1=1,1,0),0))),F61)))</f>
        <v>20.2860012054443</v>
      </c>
      <c r="P61" s="318" t="n">
        <f aca="false">IF($A61="N/A"," ",IF(Pricetype1=2,MAX(G61,0),IF(OR(Pricetype1=1,Pricetype1=4),IF(G61=0,0,(EURO(G61,Strikeprice1,0,0,($AK61+IF(Smile=TRUE(),VLOOKUP(MAX(-5,Strikeprice1-G61),Volsmile,2),0)),($A61-DateToday)+15,IF(Pricetype1=1,1,0),0))),G61)))</f>
        <v>20.2860012054443</v>
      </c>
      <c r="Q61" s="318" t="n">
        <f aca="false">IF($A61="N/A"," ",IF(Pricetype1=2,MAX(H61,0),IF(OR(Pricetype1=1,Pricetype1=4),IF(H61=0,0,(EURO(H61,Strikeprice1,0,0,($AK61+IF(Smile=TRUE(),VLOOKUP(MAX(-5,Strikeprice1-H61),Volsmile,2),0)),($A61-DateToday)+15,IF(Pricetype1=1,1,0),0))),H61)))</f>
        <v>17.540002822876</v>
      </c>
      <c r="R61" s="318" t="n">
        <f aca="false">IF($A61="N/A"," ",IF(Pricetype1=2,MAX(I61,0),IF(OR(Pricetype1=1,Pricetype1=4),IF(I61=0,0,(EURO(I61,Strikeprice1,0,0,($AK61+IF(Smile=TRUE(),VLOOKUP(MAX(-5,Strikeprice1-I61),Volsmile,2),0)),($A61-DateToday)+15,IF(Pricetype1=1,1,0),0))),I61)))</f>
        <v>14.7865009307861</v>
      </c>
      <c r="S61" s="318" t="n">
        <f aca="false">IF($A61="N/A"," ",IF(Pricetype1=2,MAX(J61,0),IF(OR(Pricetype1=1,Pricetype1=4),IF(J61=0,0,(EURO(J61,Strikeprice1,0,0,($AK61+IF(Smile=TRUE(),VLOOKUP(MAX(-5,Strikeprice1-J61),Volsmile,2),0)),($A61-DateToday)+15,IF(Pricetype1=1,1,0),0))),J61)))</f>
        <v>14.7865009307861</v>
      </c>
      <c r="T61" s="318" t="n">
        <f aca="false">IF($A61="N/A"," ",IF(Pricetype1=2,MAX(K61,0),IF(OR(Pricetype1=1,Pricetype1=4),IF(K61=0,0,(EURO(K61,Strikeprice1,0,0,($AK61+IF(Smile=TRUE(),VLOOKUP(MAX(-5,Strikeprice1-K61),Volsmile,2),0)),($A61-DateToday)+15,IF(Pricetype1=1,1,0),0))),K61)))</f>
        <v>17.540002822876</v>
      </c>
      <c r="U61" s="319" t="e">
        <f aca="false">IF($A61="N/A"," ",Volume1*$AM61)</f>
        <v>#N/A</v>
      </c>
      <c r="V61" s="320" t="e">
        <f aca="false">IF($A61="N/A"," ",$U61*(8*($BQ61))*L61)</f>
        <v>#N/A</v>
      </c>
      <c r="W61" s="320" t="e">
        <f aca="false">IF($A61="N/A"," ",$U61*(8*($BQ61))*M61)</f>
        <v>#N/A</v>
      </c>
      <c r="X61" s="320" t="e">
        <f aca="false">IF($A61="N/A"," ",$U61*(8*($BQ61))*N61)</f>
        <v>#N/A</v>
      </c>
      <c r="Y61" s="320" t="e">
        <f aca="false">IF($A61="N/A"," ",$U61*(8*($BR61))*O61)</f>
        <v>#N/A</v>
      </c>
      <c r="Z61" s="320" t="e">
        <f aca="false">IF($A61="N/A"," ",$U61*(8*($BR61))*P61)</f>
        <v>#N/A</v>
      </c>
      <c r="AA61" s="320" t="e">
        <f aca="false">IF($A61="N/A"," ",$U61*(8*($BR61))*Q61)</f>
        <v>#N/A</v>
      </c>
      <c r="AB61" s="320" t="e">
        <f aca="false">IF($A61="N/A"," ",$U61*(8*($BS61))*R61)</f>
        <v>#N/A</v>
      </c>
      <c r="AC61" s="320" t="e">
        <f aca="false">IF($A61="N/A"," ",$U61*(8*($BS61))*S61)</f>
        <v>#N/A</v>
      </c>
      <c r="AD61" s="320" t="e">
        <f aca="false">IF($A61="N/A"," ",$U61*(8*($BS61))*T61)</f>
        <v>#N/A</v>
      </c>
      <c r="AE61" s="320" t="e">
        <f aca="false">IF($A61="N/A"," ",SUM(V61:AD61))</f>
        <v>#N/A</v>
      </c>
      <c r="AF61" s="321" t="n">
        <f aca="false">IF(A61="N/A"," ",(VLOOKUP(A61,PowerVolTable,(IF(VolBMO1=2,7,IF(VolBMO1=1,6,8))),FALSE())))</f>
        <v>0.2</v>
      </c>
      <c r="AG61" s="321" t="n">
        <f aca="false">IF(A61="N/A"," ",(VLOOKUP(A61,IntraPowerVol,(IF(VolBMO1=2,3,IF(VolBMO1=1,2,4))),FALSE())*VLOOKUP(MONTH($A61),Volscale,2)))</f>
        <v>0.45</v>
      </c>
      <c r="AH61" s="321" t="n">
        <f aca="false">IF($A61="N/A"," ",IF(VolType1=1,AG61,AF61))</f>
        <v>0.45</v>
      </c>
      <c r="AI61" s="321" t="n">
        <f aca="false">IF($A61="N/A"," ",(VLOOKUP($A61,OffPwrVolTable,(IF(VolBMO1=2,7,IF(VolBMO1=1,6,8))),FALSE())))</f>
        <v>0.1</v>
      </c>
      <c r="AJ61" s="321" t="n">
        <f aca="false">IF($A61="N/A"," ",(VLOOKUP($A61,OffPwrVolTable,(IF(VolBMO1=2,3,IF(VolBMO1=1,2,4))),FALSE())*VLOOKUP(MONTH($A61),Volscale,2)))</f>
        <v>0.27</v>
      </c>
      <c r="AK61" s="321" t="n">
        <f aca="false">IF($A61="N/A"," ",IF(VolType1=1,AJ61,AI61))</f>
        <v>0.27</v>
      </c>
      <c r="AL61" s="321" t="e">
        <f aca="false">IF($A61="N/A"," ",IF(PV=1,0,'Pricing Inputs1'!R94))</f>
        <v>#N/A</v>
      </c>
      <c r="AM61" s="323" t="e">
        <f aca="false">IF($A61="N/A"," ",(1+AL61/2)^(-2*((EOMONTH(A61,0)+20)-DateToday)/365.25))</f>
        <v>#N/A</v>
      </c>
      <c r="BQ61" s="0" t="n">
        <f aca="false">IF($A61="N/A"," ",(VLOOKUP($A61,NumberofDaysTable,2)))</f>
        <v>22</v>
      </c>
      <c r="BR61" s="0" t="n">
        <f aca="false">IF($A61="N/A"," ",(VLOOKUP($A61,NumberofDaysTable,3)))</f>
        <v>4</v>
      </c>
      <c r="BS61" s="0" t="n">
        <f aca="false">IF($A61="N/A"," ",(VLOOKUP($A61,NumberofDaysTable,4)))</f>
        <v>5</v>
      </c>
    </row>
    <row r="62" customFormat="false" ht="12.75" hidden="false" customHeight="false" outlineLevel="0" collapsed="false">
      <c r="A62" s="315" t="n">
        <f aca="false">IF(A61="N/A","N/A",IF(EDATE(A61,1)&gt;Inputs!$M$5,"N/A",EDATE(A61,1)))</f>
        <v>39022</v>
      </c>
      <c r="B62" s="316" t="n">
        <f aca="false">IF(A62="N/A"," ",YEAR(A62))</f>
        <v>2006</v>
      </c>
      <c r="C62" s="317" t="n">
        <f aca="false">IF($A62="N/A"," ",IF(Dayrun1=10,0,IF(Scaler1=1,(VLOOKUP(A62,ScaledPrice1,4)),(VLOOKUP(A62,ScaledPrice1,2)))))</f>
        <v>32.0815623998642</v>
      </c>
      <c r="D62" s="317" t="n">
        <f aca="false">IF(A62="N/A"," ",IF(Dayrun1&gt;=7,0,IF(Scaler1=2,VLOOKUP(A62,ScaledPrice1,2),(VLOOKUP(A62,ScaledPrice1,2))*(2-(VLOOKUP(A62,ScaledPrice1,3))))))</f>
        <v>32.0815623998642</v>
      </c>
      <c r="E62" s="317" t="n">
        <f aca="false">IF($A62="N/A"," ",IF(AND(Dayrun1&gt;=4,Dayrun1&lt;=9),0,VLOOKUP($A62,ScaledPrice1,9)))</f>
        <v>18.5400009155273</v>
      </c>
      <c r="F62" s="317" t="n">
        <f aca="false">IF(A62="N/A"," ",IF(OR(Dayrun1=2,Dayrun1=3,Dayrun1=5,Dayrun1=6,Dayrun1=8,Dayrun1=9),VLOOKUP(A62,ScaledPrice1,IF(Scaler1=1,6,5)),0))</f>
        <v>22.2900009155273</v>
      </c>
      <c r="G62" s="317" t="n">
        <f aca="false">IF(A62="N/A"," ",IF(OR(Dayrun1=2,Dayrun1=3,Dayrun1=5,Dayrun1=6),IF(Scaler1=2,F62,(VLOOKUP(A62,ScaledPrice1,5))*(2-(VLOOKUP(A62,ScaledPrice1,3)))),0))</f>
        <v>22.2900009155273</v>
      </c>
      <c r="H62" s="317" t="n">
        <f aca="false">IF($A62="N/A"," ",IF(OR(Dayrun1=2,Dayrun1=3,Dayrun1=10),VLOOKUP($A62,ScaledPrice1,9),0))</f>
        <v>18.5400009155273</v>
      </c>
      <c r="I62" s="317" t="n">
        <f aca="false">IF(A62="N/A"," ",IF(OR(Dayrun1=3,Dayrun1=6,Dayrun1=9),(VLOOKUP(A62,ScaledPrice1,IF(Scaler1=2,7,8))),0))</f>
        <v>14.7900009155273</v>
      </c>
      <c r="J62" s="317" t="n">
        <f aca="false">IF(A62="N/A"," ",IF(OR(Dayrun1=3,Dayrun1=6),IF(Scaler1=2,I62,(VLOOKUP(A62,ScaledPrice1,7))*(2-(VLOOKUP(A62,ScaledPrice1,3)))),0))</f>
        <v>14.7900009155273</v>
      </c>
      <c r="K62" s="317" t="n">
        <f aca="false">IF($A62="N/A"," ",IF(OR(Dayrun1=3,Dayrun1=10),VLOOKUP($A62,ScaledPrice1,9),0))</f>
        <v>18.5400009155273</v>
      </c>
      <c r="L62" s="318" t="n">
        <f aca="false">IF($A62="N/A"," ",IF(Pricetype1=2,MAX(C62,0),IF(OR(Pricetype1=1,Pricetype1=4),IF(C62=0,0,(EURO(C62,Strikeprice1,0,0,($AH62+IF(Smile=TRUE(),VLOOKUP(MAX(-5,Strikeprice1-C62),Volsmile,2),0)),($A62-DateToday)+15,IF(Pricetype1=1,1,0),0))),C62)))</f>
        <v>32.0815623998642</v>
      </c>
      <c r="M62" s="318" t="n">
        <f aca="false">IF($A62="N/A"," ",IF(Pricetype1=2,MAX(D62,0),IF(OR(Pricetype1=1,Pricetype1=4),IF(D62=0,0,(EURO(D62,Strikeprice1,0,0,($AH62+IF(Smile=TRUE(),VLOOKUP(MAX(-5,Strikeprice1-D62),Volsmile,2),0)),($A62-DateToday)+15,IF(Pricetype1=1,1,0),0))),D62)))</f>
        <v>32.0815623998642</v>
      </c>
      <c r="N62" s="318" t="n">
        <f aca="false">IF($A62="N/A"," ",IF(Pricetype1=2,MAX(E62,0),IF(OR(Pricetype1=1,Pricetype1=4),IF(E62=0,0,(EURO(E62,Strikeprice1,0,0,($AK62+IF(Smile=TRUE(),VLOOKUP(MAX(-5,Strikeprice1-E62),Volsmile,2),0)),($A62-DateToday)+15,IF(Pricetype1=1,1,0),0))),E62)))</f>
        <v>18.5400009155273</v>
      </c>
      <c r="O62" s="318" t="n">
        <f aca="false">IF($A62="N/A"," ",IF(Pricetype1=2,MAX(F62,0),IF(OR(Pricetype1=1,Pricetype1=4),IF(F62=0,0,(EURO(F62,Strikeprice1,0,0,($AK62+IF(Smile=TRUE(),VLOOKUP(MAX(-5,Strikeprice1-F62),Volsmile,2),0)),($A62-DateToday)+15,IF(Pricetype1=1,1,0),0))),F62)))</f>
        <v>22.2900009155273</v>
      </c>
      <c r="P62" s="318" t="n">
        <f aca="false">IF($A62="N/A"," ",IF(Pricetype1=2,MAX(G62,0),IF(OR(Pricetype1=1,Pricetype1=4),IF(G62=0,0,(EURO(G62,Strikeprice1,0,0,($AK62+IF(Smile=TRUE(),VLOOKUP(MAX(-5,Strikeprice1-G62),Volsmile,2),0)),($A62-DateToday)+15,IF(Pricetype1=1,1,0),0))),G62)))</f>
        <v>22.2900009155273</v>
      </c>
      <c r="Q62" s="318" t="n">
        <f aca="false">IF($A62="N/A"," ",IF(Pricetype1=2,MAX(H62,0),IF(OR(Pricetype1=1,Pricetype1=4),IF(H62=0,0,(EURO(H62,Strikeprice1,0,0,($AK62+IF(Smile=TRUE(),VLOOKUP(MAX(-5,Strikeprice1-H62),Volsmile,2),0)),($A62-DateToday)+15,IF(Pricetype1=1,1,0),0))),H62)))</f>
        <v>18.5400009155273</v>
      </c>
      <c r="R62" s="318" t="n">
        <f aca="false">IF($A62="N/A"," ",IF(Pricetype1=2,MAX(I62,0),IF(OR(Pricetype1=1,Pricetype1=4),IF(I62=0,0,(EURO(I62,Strikeprice1,0,0,($AK62+IF(Smile=TRUE(),VLOOKUP(MAX(-5,Strikeprice1-I62),Volsmile,2),0)),($A62-DateToday)+15,IF(Pricetype1=1,1,0),0))),I62)))</f>
        <v>14.7900009155273</v>
      </c>
      <c r="S62" s="318" t="n">
        <f aca="false">IF($A62="N/A"," ",IF(Pricetype1=2,MAX(J62,0),IF(OR(Pricetype1=1,Pricetype1=4),IF(J62=0,0,(EURO(J62,Strikeprice1,0,0,($AK62+IF(Smile=TRUE(),VLOOKUP(MAX(-5,Strikeprice1-J62),Volsmile,2),0)),($A62-DateToday)+15,IF(Pricetype1=1,1,0),0))),J62)))</f>
        <v>14.7900009155273</v>
      </c>
      <c r="T62" s="318" t="n">
        <f aca="false">IF($A62="N/A"," ",IF(Pricetype1=2,MAX(K62,0),IF(OR(Pricetype1=1,Pricetype1=4),IF(K62=0,0,(EURO(K62,Strikeprice1,0,0,($AK62+IF(Smile=TRUE(),VLOOKUP(MAX(-5,Strikeprice1-K62),Volsmile,2),0)),($A62-DateToday)+15,IF(Pricetype1=1,1,0),0))),K62)))</f>
        <v>18.5400009155273</v>
      </c>
      <c r="U62" s="319" t="e">
        <f aca="false">IF($A62="N/A"," ",Volume1*$AM62)</f>
        <v>#N/A</v>
      </c>
      <c r="V62" s="320" t="e">
        <f aca="false">IF($A62="N/A"," ",$U62*(8*($BQ62))*L62)</f>
        <v>#N/A</v>
      </c>
      <c r="W62" s="320" t="e">
        <f aca="false">IF($A62="N/A"," ",$U62*(8*($BQ62))*M62)</f>
        <v>#N/A</v>
      </c>
      <c r="X62" s="320" t="e">
        <f aca="false">IF($A62="N/A"," ",$U62*(8*($BQ62))*N62)</f>
        <v>#N/A</v>
      </c>
      <c r="Y62" s="320" t="e">
        <f aca="false">IF($A62="N/A"," ",$U62*(8*($BR62))*O62)</f>
        <v>#N/A</v>
      </c>
      <c r="Z62" s="320" t="e">
        <f aca="false">IF($A62="N/A"," ",$U62*(8*($BR62))*P62)</f>
        <v>#N/A</v>
      </c>
      <c r="AA62" s="320" t="e">
        <f aca="false">IF($A62="N/A"," ",$U62*(8*($BR62))*Q62)</f>
        <v>#N/A</v>
      </c>
      <c r="AB62" s="320" t="e">
        <f aca="false">IF($A62="N/A"," ",$U62*(8*($BS62))*R62)</f>
        <v>#N/A</v>
      </c>
      <c r="AC62" s="320" t="e">
        <f aca="false">IF($A62="N/A"," ",$U62*(8*($BS62))*S62)</f>
        <v>#N/A</v>
      </c>
      <c r="AD62" s="320" t="e">
        <f aca="false">IF($A62="N/A"," ",$U62*(8*($BS62))*T62)</f>
        <v>#N/A</v>
      </c>
      <c r="AE62" s="320" t="e">
        <f aca="false">IF($A62="N/A"," ",SUM(V62:AD62))</f>
        <v>#N/A</v>
      </c>
      <c r="AF62" s="321" t="n">
        <f aca="false">IF(A62="N/A"," ",(VLOOKUP(A62,PowerVolTable,(IF(VolBMO1=2,7,IF(VolBMO1=1,6,8))),FALSE())))</f>
        <v>0.2</v>
      </c>
      <c r="AG62" s="321" t="n">
        <f aca="false">IF(A62="N/A"," ",(VLOOKUP(A62,IntraPowerVol,(IF(VolBMO1=2,3,IF(VolBMO1=1,2,4))),FALSE())*VLOOKUP(MONTH($A62),Volscale,2)))</f>
        <v>0.35</v>
      </c>
      <c r="AH62" s="321" t="n">
        <f aca="false">IF($A62="N/A"," ",IF(VolType1=1,AG62,AF62))</f>
        <v>0.35</v>
      </c>
      <c r="AI62" s="321" t="n">
        <f aca="false">IF($A62="N/A"," ",(VLOOKUP($A62,OffPwrVolTable,(IF(VolBMO1=2,7,IF(VolBMO1=1,6,8))),FALSE())))</f>
        <v>0.1</v>
      </c>
      <c r="AJ62" s="321" t="n">
        <f aca="false">IF($A62="N/A"," ",(VLOOKUP($A62,OffPwrVolTable,(IF(VolBMO1=2,3,IF(VolBMO1=1,2,4))),FALSE())*VLOOKUP(MONTH($A62),Volscale,2)))</f>
        <v>0.21</v>
      </c>
      <c r="AK62" s="321" t="n">
        <f aca="false">IF($A62="N/A"," ",IF(VolType1=1,AJ62,AI62))</f>
        <v>0.21</v>
      </c>
      <c r="AL62" s="321" t="e">
        <f aca="false">IF($A62="N/A"," ",IF(PV=1,0,'Pricing Inputs1'!R95))</f>
        <v>#N/A</v>
      </c>
      <c r="AM62" s="323" t="e">
        <f aca="false">IF($A62="N/A"," ",(1+AL62/2)^(-2*((EOMONTH(A62,0)+20)-DateToday)/365.25))</f>
        <v>#N/A</v>
      </c>
      <c r="BQ62" s="0" t="n">
        <f aca="false">IF($A62="N/A"," ",(VLOOKUP($A62,NumberofDaysTable,2)))</f>
        <v>21</v>
      </c>
      <c r="BR62" s="0" t="n">
        <f aca="false">IF($A62="N/A"," ",(VLOOKUP($A62,NumberofDaysTable,3)))</f>
        <v>4</v>
      </c>
      <c r="BS62" s="0" t="n">
        <f aca="false">IF($A62="N/A"," ",(VLOOKUP($A62,NumberofDaysTable,4)))</f>
        <v>5</v>
      </c>
    </row>
    <row r="63" customFormat="false" ht="12.75" hidden="false" customHeight="false" outlineLevel="0" collapsed="false">
      <c r="A63" s="315" t="n">
        <f aca="false">IF(A62="N/A","N/A",IF(EDATE(A62,1)&gt;Inputs!$M$5,"N/A",EDATE(A62,1)))</f>
        <v>39052</v>
      </c>
      <c r="B63" s="316" t="n">
        <f aca="false">IF(A63="N/A"," ",YEAR(A63))</f>
        <v>2006</v>
      </c>
      <c r="C63" s="317" t="n">
        <f aca="false">IF($A63="N/A"," ",IF(Dayrun1=10,0,IF(Scaler1=1,(VLOOKUP(A63,ScaledPrice1,4)),(VLOOKUP(A63,ScaledPrice1,2)))))</f>
        <v>32.1815608739853</v>
      </c>
      <c r="D63" s="317" t="n">
        <f aca="false">IF(A63="N/A"," ",IF(Dayrun1&gt;=7,0,IF(Scaler1=2,VLOOKUP(A63,ScaledPrice1,2),(VLOOKUP(A63,ScaledPrice1,2))*(2-(VLOOKUP(A63,ScaledPrice1,3))))))</f>
        <v>32.1815608739853</v>
      </c>
      <c r="E63" s="317" t="n">
        <f aca="false">IF($A63="N/A"," ",IF(AND(Dayrun1&gt;=4,Dayrun1&lt;=9),0,VLOOKUP($A63,ScaledPrice1,9)))</f>
        <v>20.7900009155273</v>
      </c>
      <c r="F63" s="317" t="n">
        <f aca="false">IF(A63="N/A"," ",IF(OR(Dayrun1=2,Dayrun1=3,Dayrun1=5,Dayrun1=6,Dayrun1=8,Dayrun1=9),VLOOKUP(A63,ScaledPrice1,IF(Scaler1=1,6,5)),0))</f>
        <v>27.2900009155273</v>
      </c>
      <c r="G63" s="317" t="n">
        <f aca="false">IF(A63="N/A"," ",IF(OR(Dayrun1=2,Dayrun1=3,Dayrun1=5,Dayrun1=6),IF(Scaler1=2,F63,(VLOOKUP(A63,ScaledPrice1,5))*(2-(VLOOKUP(A63,ScaledPrice1,3)))),0))</f>
        <v>27.2900009155273</v>
      </c>
      <c r="H63" s="317" t="n">
        <f aca="false">IF($A63="N/A"," ",IF(OR(Dayrun1=2,Dayrun1=3,Dayrun1=10),VLOOKUP($A63,ScaledPrice1,9),0))</f>
        <v>20.7900009155273</v>
      </c>
      <c r="I63" s="317" t="n">
        <f aca="false">IF(A63="N/A"," ",IF(OR(Dayrun1=3,Dayrun1=6,Dayrun1=9),(VLOOKUP(A63,ScaledPrice1,IF(Scaler1=2,7,8))),0))</f>
        <v>21.7900009155273</v>
      </c>
      <c r="J63" s="317" t="n">
        <f aca="false">IF(A63="N/A"," ",IF(OR(Dayrun1=3,Dayrun1=6),IF(Scaler1=2,I63,(VLOOKUP(A63,ScaledPrice1,7))*(2-(VLOOKUP(A63,ScaledPrice1,3)))),0))</f>
        <v>21.7900009155273</v>
      </c>
      <c r="K63" s="317" t="n">
        <f aca="false">IF($A63="N/A"," ",IF(OR(Dayrun1=3,Dayrun1=10),VLOOKUP($A63,ScaledPrice1,9),0))</f>
        <v>20.7900009155273</v>
      </c>
      <c r="L63" s="318" t="n">
        <f aca="false">IF($A63="N/A"," ",IF(Pricetype1=2,MAX(C63,0),IF(OR(Pricetype1=1,Pricetype1=4),IF(C63=0,0,(EURO(C63,Strikeprice1,0,0,($AH63+IF(Smile=TRUE(),VLOOKUP(MAX(-5,Strikeprice1-C63),Volsmile,2),0)),($A63-DateToday)+15,IF(Pricetype1=1,1,0),0))),C63)))</f>
        <v>32.1815608739853</v>
      </c>
      <c r="M63" s="318" t="n">
        <f aca="false">IF($A63="N/A"," ",IF(Pricetype1=2,MAX(D63,0),IF(OR(Pricetype1=1,Pricetype1=4),IF(D63=0,0,(EURO(D63,Strikeprice1,0,0,($AH63+IF(Smile=TRUE(),VLOOKUP(MAX(-5,Strikeprice1-D63),Volsmile,2),0)),($A63-DateToday)+15,IF(Pricetype1=1,1,0),0))),D63)))</f>
        <v>32.1815608739853</v>
      </c>
      <c r="N63" s="318" t="n">
        <f aca="false">IF($A63="N/A"," ",IF(Pricetype1=2,MAX(E63,0),IF(OR(Pricetype1=1,Pricetype1=4),IF(E63=0,0,(EURO(E63,Strikeprice1,0,0,($AK63+IF(Smile=TRUE(),VLOOKUP(MAX(-5,Strikeprice1-E63),Volsmile,2),0)),($A63-DateToday)+15,IF(Pricetype1=1,1,0),0))),E63)))</f>
        <v>20.7900009155273</v>
      </c>
      <c r="O63" s="318" t="n">
        <f aca="false">IF($A63="N/A"," ",IF(Pricetype1=2,MAX(F63,0),IF(OR(Pricetype1=1,Pricetype1=4),IF(F63=0,0,(EURO(F63,Strikeprice1,0,0,($AK63+IF(Smile=TRUE(),VLOOKUP(MAX(-5,Strikeprice1-F63),Volsmile,2),0)),($A63-DateToday)+15,IF(Pricetype1=1,1,0),0))),F63)))</f>
        <v>27.2900009155273</v>
      </c>
      <c r="P63" s="318" t="n">
        <f aca="false">IF($A63="N/A"," ",IF(Pricetype1=2,MAX(G63,0),IF(OR(Pricetype1=1,Pricetype1=4),IF(G63=0,0,(EURO(G63,Strikeprice1,0,0,($AK63+IF(Smile=TRUE(),VLOOKUP(MAX(-5,Strikeprice1-G63),Volsmile,2),0)),($A63-DateToday)+15,IF(Pricetype1=1,1,0),0))),G63)))</f>
        <v>27.2900009155273</v>
      </c>
      <c r="Q63" s="318" t="n">
        <f aca="false">IF($A63="N/A"," ",IF(Pricetype1=2,MAX(H63,0),IF(OR(Pricetype1=1,Pricetype1=4),IF(H63=0,0,(EURO(H63,Strikeprice1,0,0,($AK63+IF(Smile=TRUE(),VLOOKUP(MAX(-5,Strikeprice1-H63),Volsmile,2),0)),($A63-DateToday)+15,IF(Pricetype1=1,1,0),0))),H63)))</f>
        <v>20.7900009155273</v>
      </c>
      <c r="R63" s="318" t="n">
        <f aca="false">IF($A63="N/A"," ",IF(Pricetype1=2,MAX(I63,0),IF(OR(Pricetype1=1,Pricetype1=4),IF(I63=0,0,(EURO(I63,Strikeprice1,0,0,($AK63+IF(Smile=TRUE(),VLOOKUP(MAX(-5,Strikeprice1-I63),Volsmile,2),0)),($A63-DateToday)+15,IF(Pricetype1=1,1,0),0))),I63)))</f>
        <v>21.7900009155273</v>
      </c>
      <c r="S63" s="318" t="n">
        <f aca="false">IF($A63="N/A"," ",IF(Pricetype1=2,MAX(J63,0),IF(OR(Pricetype1=1,Pricetype1=4),IF(J63=0,0,(EURO(J63,Strikeprice1,0,0,($AK63+IF(Smile=TRUE(),VLOOKUP(MAX(-5,Strikeprice1-J63),Volsmile,2),0)),($A63-DateToday)+15,IF(Pricetype1=1,1,0),0))),J63)))</f>
        <v>21.7900009155273</v>
      </c>
      <c r="T63" s="318" t="n">
        <f aca="false">IF($A63="N/A"," ",IF(Pricetype1=2,MAX(K63,0),IF(OR(Pricetype1=1,Pricetype1=4),IF(K63=0,0,(EURO(K63,Strikeprice1,0,0,($AK63+IF(Smile=TRUE(),VLOOKUP(MAX(-5,Strikeprice1-K63),Volsmile,2),0)),($A63-DateToday)+15,IF(Pricetype1=1,1,0),0))),K63)))</f>
        <v>20.7900009155273</v>
      </c>
      <c r="U63" s="319" t="e">
        <f aca="false">IF($A63="N/A"," ",Volume1*$AM63)</f>
        <v>#N/A</v>
      </c>
      <c r="V63" s="320" t="e">
        <f aca="false">IF($A63="N/A"," ",$U63*(8*($BQ63))*L63)</f>
        <v>#N/A</v>
      </c>
      <c r="W63" s="320" t="e">
        <f aca="false">IF($A63="N/A"," ",$U63*(8*($BQ63))*M63)</f>
        <v>#N/A</v>
      </c>
      <c r="X63" s="320" t="e">
        <f aca="false">IF($A63="N/A"," ",$U63*(8*($BQ63))*N63)</f>
        <v>#N/A</v>
      </c>
      <c r="Y63" s="320" t="e">
        <f aca="false">IF($A63="N/A"," ",$U63*(8*($BR63))*O63)</f>
        <v>#N/A</v>
      </c>
      <c r="Z63" s="320" t="e">
        <f aca="false">IF($A63="N/A"," ",$U63*(8*($BR63))*P63)</f>
        <v>#N/A</v>
      </c>
      <c r="AA63" s="320" t="e">
        <f aca="false">IF($A63="N/A"," ",$U63*(8*($BR63))*Q63)</f>
        <v>#N/A</v>
      </c>
      <c r="AB63" s="320" t="e">
        <f aca="false">IF($A63="N/A"," ",$U63*(8*($BS63))*R63)</f>
        <v>#N/A</v>
      </c>
      <c r="AC63" s="320" t="e">
        <f aca="false">IF($A63="N/A"," ",$U63*(8*($BS63))*S63)</f>
        <v>#N/A</v>
      </c>
      <c r="AD63" s="320" t="e">
        <f aca="false">IF($A63="N/A"," ",$U63*(8*($BS63))*T63)</f>
        <v>#N/A</v>
      </c>
      <c r="AE63" s="320" t="e">
        <f aca="false">IF($A63="N/A"," ",SUM(V63:AD63))</f>
        <v>#N/A</v>
      </c>
      <c r="AF63" s="321" t="n">
        <f aca="false">IF(A63="N/A"," ",(VLOOKUP(A63,PowerVolTable,(IF(VolBMO1=2,7,IF(VolBMO1=1,6,8))),FALSE())))</f>
        <v>0.2</v>
      </c>
      <c r="AG63" s="321" t="n">
        <f aca="false">IF(A63="N/A"," ",(VLOOKUP(A63,IntraPowerVol,(IF(VolBMO1=2,3,IF(VolBMO1=1,2,4))),FALSE())*VLOOKUP(MONTH($A63),Volscale,2)))</f>
        <v>0.35</v>
      </c>
      <c r="AH63" s="321" t="n">
        <f aca="false">IF($A63="N/A"," ",IF(VolType1=1,AG63,AF63))</f>
        <v>0.35</v>
      </c>
      <c r="AI63" s="321" t="n">
        <f aca="false">IF($A63="N/A"," ",(VLOOKUP($A63,OffPwrVolTable,(IF(VolBMO1=2,7,IF(VolBMO1=1,6,8))),FALSE())))</f>
        <v>0.1</v>
      </c>
      <c r="AJ63" s="321" t="n">
        <f aca="false">IF($A63="N/A"," ",(VLOOKUP($A63,OffPwrVolTable,(IF(VolBMO1=2,3,IF(VolBMO1=1,2,4))),FALSE())*VLOOKUP(MONTH($A63),Volscale,2)))</f>
        <v>0.21</v>
      </c>
      <c r="AK63" s="321" t="n">
        <f aca="false">IF($A63="N/A"," ",IF(VolType1=1,AJ63,AI63))</f>
        <v>0.21</v>
      </c>
      <c r="AL63" s="321" t="e">
        <f aca="false">IF($A63="N/A"," ",IF(PV=1,0,'Pricing Inputs1'!R96))</f>
        <v>#N/A</v>
      </c>
      <c r="AM63" s="323" t="e">
        <f aca="false">IF($A63="N/A"," ",(1+AL63/2)^(-2*((EOMONTH(A63,0)+20)-DateToday)/365.25))</f>
        <v>#N/A</v>
      </c>
      <c r="BQ63" s="0" t="n">
        <f aca="false">IF($A63="N/A"," ",(VLOOKUP($A63,NumberofDaysTable,2)))</f>
        <v>20</v>
      </c>
      <c r="BR63" s="0" t="n">
        <f aca="false">IF($A63="N/A"," ",(VLOOKUP($A63,NumberofDaysTable,3)))</f>
        <v>5</v>
      </c>
      <c r="BS63" s="0" t="n">
        <f aca="false">IF($A63="N/A"," ",(VLOOKUP($A63,NumberofDaysTable,4)))</f>
        <v>6</v>
      </c>
    </row>
    <row r="64" customFormat="false" ht="12.75" hidden="false" customHeight="false" outlineLevel="0" collapsed="false">
      <c r="A64" s="315" t="str">
        <f aca="false">IF(A63="N/A","N/A",IF(EDATE(A63,1)&gt;Inputs!$M$5,"N/A",EDATE(A63,1)))</f>
        <v>N/A</v>
      </c>
      <c r="B64" s="316" t="str">
        <f aca="false">IF(A64="N/A"," ",YEAR(A64))</f>
        <v> </v>
      </c>
      <c r="C64" s="317" t="str">
        <f aca="false">IF($A64="N/A"," ",IF(Dayrun1=10,0,IF(Scaler1=1,(VLOOKUP(A64,ScaledPrice1,4)),(VLOOKUP(A64,ScaledPrice1,2)))))</f>
        <v> </v>
      </c>
      <c r="D64" s="317" t="str">
        <f aca="false">IF(A64="N/A"," ",IF(Dayrun1&gt;=7,0,IF(Scaler1=2,VLOOKUP(A64,ScaledPrice1,2),(VLOOKUP(A64,ScaledPrice1,2))*(2-(VLOOKUP(A64,ScaledPrice1,3))))))</f>
        <v> </v>
      </c>
      <c r="E64" s="317" t="str">
        <f aca="false">IF($A64="N/A"," ",IF(AND(Dayrun1&gt;=4,Dayrun1&lt;=9),0,VLOOKUP($A64,ScaledPrice1,9)))</f>
        <v> </v>
      </c>
      <c r="F64" s="317" t="str">
        <f aca="false">IF(A64="N/A"," ",IF(OR(Dayrun1=2,Dayrun1=3,Dayrun1=5,Dayrun1=6,Dayrun1=8,Dayrun1=9),VLOOKUP(A64,ScaledPrice1,IF(Scaler1=1,6,5)),0))</f>
        <v> </v>
      </c>
      <c r="G64" s="317" t="str">
        <f aca="false">IF(A64="N/A"," ",IF(OR(Dayrun1=2,Dayrun1=3,Dayrun1=5,Dayrun1=6),IF(Scaler1=2,F64,(VLOOKUP(A64,ScaledPrice1,5))*(2-(VLOOKUP(A64,ScaledPrice1,3)))),0))</f>
        <v> </v>
      </c>
      <c r="H64" s="317" t="str">
        <f aca="false">IF($A64="N/A"," ",IF(OR(Dayrun1=2,Dayrun1=3,Dayrun1=10),VLOOKUP($A64,ScaledPrice1,9),0))</f>
        <v> </v>
      </c>
      <c r="I64" s="317" t="str">
        <f aca="false">IF(A64="N/A"," ",IF(OR(Dayrun1=3,Dayrun1=6,Dayrun1=9),(VLOOKUP(A64,ScaledPrice1,IF(Scaler1=2,7,8))),0))</f>
        <v> </v>
      </c>
      <c r="J64" s="317" t="str">
        <f aca="false">IF(A64="N/A"," ",IF(OR(Dayrun1=3,Dayrun1=6),IF(Scaler1=2,I64,(VLOOKUP(A64,ScaledPrice1,7))*(2-(VLOOKUP(A64,ScaledPrice1,3)))),0))</f>
        <v> </v>
      </c>
      <c r="K64" s="317" t="str">
        <f aca="false">IF($A64="N/A"," ",IF(OR(Dayrun1=3,Dayrun1=10),VLOOKUP($A64,ScaledPrice1,9),0))</f>
        <v> </v>
      </c>
      <c r="L64" s="318" t="str">
        <f aca="false">IF($A64="N/A"," ",IF(Pricetype1=2,MAX(C64,0),IF(OR(Pricetype1=1,Pricetype1=4),IF(C64=0,0,(EURO(C64,Strikeprice1,0,0,($AH64+IF(Smile=TRUE(),VLOOKUP(MAX(-5,Strikeprice1-C64),Volsmile,2),0)),($A64-DateToday)+15,IF(Pricetype1=1,1,0),0))),C64)))</f>
        <v> </v>
      </c>
      <c r="M64" s="318" t="str">
        <f aca="false">IF($A64="N/A"," ",IF(Pricetype1=2,MAX(D64,0),IF(OR(Pricetype1=1,Pricetype1=4),IF(D64=0,0,(EURO(D64,Strikeprice1,0,0,($AH64+IF(Smile=TRUE(),VLOOKUP(MAX(-5,Strikeprice1-D64),Volsmile,2),0)),($A64-DateToday)+15,IF(Pricetype1=1,1,0),0))),D64)))</f>
        <v> </v>
      </c>
      <c r="N64" s="318" t="str">
        <f aca="false">IF($A64="N/A"," ",IF(Pricetype1=2,MAX(E64,0),IF(OR(Pricetype1=1,Pricetype1=4),IF(E64=0,0,(EURO(E64,Strikeprice1,0,0,($AK64+IF(Smile=TRUE(),VLOOKUP(MAX(-5,Strikeprice1-E64),Volsmile,2),0)),($A64-DateToday)+15,IF(Pricetype1=1,1,0),0))),E64)))</f>
        <v> </v>
      </c>
      <c r="O64" s="318" t="str">
        <f aca="false">IF($A64="N/A"," ",IF(Pricetype1=2,MAX(F64,0),IF(OR(Pricetype1=1,Pricetype1=4),IF(F64=0,0,(EURO(F64,Strikeprice1,0,0,($AK64+IF(Smile=TRUE(),VLOOKUP(MAX(-5,Strikeprice1-F64),Volsmile,2),0)),($A64-DateToday)+15,IF(Pricetype1=1,1,0),0))),F64)))</f>
        <v> </v>
      </c>
      <c r="P64" s="318" t="str">
        <f aca="false">IF($A64="N/A"," ",IF(Pricetype1=2,MAX(G64,0),IF(OR(Pricetype1=1,Pricetype1=4),IF(G64=0,0,(EURO(G64,Strikeprice1,0,0,($AK64+IF(Smile=TRUE(),VLOOKUP(MAX(-5,Strikeprice1-G64),Volsmile,2),0)),($A64-DateToday)+15,IF(Pricetype1=1,1,0),0))),G64)))</f>
        <v> </v>
      </c>
      <c r="Q64" s="318" t="str">
        <f aca="false">IF($A64="N/A"," ",IF(Pricetype1=2,MAX(H64,0),IF(OR(Pricetype1=1,Pricetype1=4),IF(H64=0,0,(EURO(H64,Strikeprice1,0,0,($AK64+IF(Smile=TRUE(),VLOOKUP(MAX(-5,Strikeprice1-H64),Volsmile,2),0)),($A64-DateToday)+15,IF(Pricetype1=1,1,0),0))),H64)))</f>
        <v> </v>
      </c>
      <c r="R64" s="318" t="str">
        <f aca="false">IF($A64="N/A"," ",IF(Pricetype1=2,MAX(I64,0),IF(OR(Pricetype1=1,Pricetype1=4),IF(I64=0,0,(EURO(I64,Strikeprice1,0,0,($AK64+IF(Smile=TRUE(),VLOOKUP(MAX(-5,Strikeprice1-I64),Volsmile,2),0)),($A64-DateToday)+15,IF(Pricetype1=1,1,0),0))),I64)))</f>
        <v> </v>
      </c>
      <c r="S64" s="318" t="str">
        <f aca="false">IF($A64="N/A"," ",IF(Pricetype1=2,MAX(J64,0),IF(OR(Pricetype1=1,Pricetype1=4),IF(J64=0,0,(EURO(J64,Strikeprice1,0,0,($AK64+IF(Smile=TRUE(),VLOOKUP(MAX(-5,Strikeprice1-J64),Volsmile,2),0)),($A64-DateToday)+15,IF(Pricetype1=1,1,0),0))),J64)))</f>
        <v> </v>
      </c>
      <c r="T64" s="318" t="str">
        <f aca="false">IF($A64="N/A"," ",IF(Pricetype1=2,MAX(K64,0),IF(OR(Pricetype1=1,Pricetype1=4),IF(K64=0,0,(EURO(K64,Strikeprice1,0,0,($AK64+IF(Smile=TRUE(),VLOOKUP(MAX(-5,Strikeprice1-K64),Volsmile,2),0)),($A64-DateToday)+15,IF(Pricetype1=1,1,0),0))),K64)))</f>
        <v> </v>
      </c>
      <c r="U64" s="319" t="str">
        <f aca="false">IF($A64="N/A"," ",Volume1*$AM64)</f>
        <v> </v>
      </c>
      <c r="V64" s="320" t="str">
        <f aca="false">IF($A64="N/A"," ",$U64*(8*($BQ64))*L64)</f>
        <v> </v>
      </c>
      <c r="W64" s="320" t="str">
        <f aca="false">IF($A64="N/A"," ",$U64*(8*($BQ64))*M64)</f>
        <v> </v>
      </c>
      <c r="X64" s="320" t="str">
        <f aca="false">IF($A64="N/A"," ",$U64*(8*($BQ64))*N64)</f>
        <v> </v>
      </c>
      <c r="Y64" s="320" t="str">
        <f aca="false">IF($A64="N/A"," ",$U64*(8*($BR64))*O64)</f>
        <v> </v>
      </c>
      <c r="Z64" s="320" t="str">
        <f aca="false">IF($A64="N/A"," ",$U64*(8*($BR64))*P64)</f>
        <v> </v>
      </c>
      <c r="AA64" s="320" t="str">
        <f aca="false">IF($A64="N/A"," ",$U64*(8*($BR64))*Q64)</f>
        <v> </v>
      </c>
      <c r="AB64" s="320" t="str">
        <f aca="false">IF($A64="N/A"," ",$U64*(8*($BS64))*R64)</f>
        <v> </v>
      </c>
      <c r="AC64" s="320" t="str">
        <f aca="false">IF($A64="N/A"," ",$U64*(8*($BS64))*S64)</f>
        <v> </v>
      </c>
      <c r="AD64" s="320" t="str">
        <f aca="false">IF($A64="N/A"," ",$U64*(8*($BS64))*T64)</f>
        <v> </v>
      </c>
      <c r="AE64" s="320" t="str">
        <f aca="false">IF($A64="N/A"," ",SUM(V64:AD64))</f>
        <v> </v>
      </c>
      <c r="AF64" s="321" t="str">
        <f aca="false">IF(A64="N/A"," ",(VLOOKUP(A64,PowerVolTable,(IF(VolBMO1=2,7,IF(VolBMO1=1,6,8))),FALSE())))</f>
        <v> </v>
      </c>
      <c r="AG64" s="321" t="str">
        <f aca="false">IF(A64="N/A"," ",(VLOOKUP(A64,IntraPowerVol,(IF(VolBMO1=2,3,IF(VolBMO1=1,2,4))),FALSE())*VLOOKUP(MONTH($A64),Volscale,2)))</f>
        <v> </v>
      </c>
      <c r="AH64" s="321" t="str">
        <f aca="false">IF($A64="N/A"," ",IF(VolType1=1,AG64,AF64))</f>
        <v> </v>
      </c>
      <c r="AI64" s="321" t="str">
        <f aca="false">IF($A64="N/A"," ",(VLOOKUP($A64,OffPwrVolTable,(IF(VolBMO1=2,7,IF(VolBMO1=1,6,8))),FALSE())))</f>
        <v> </v>
      </c>
      <c r="AJ64" s="321" t="str">
        <f aca="false">IF($A64="N/A"," ",(VLOOKUP($A64,OffPwrVolTable,(IF(VolBMO1=2,3,IF(VolBMO1=1,2,4))),FALSE())*VLOOKUP(MONTH($A64),Volscale,2)))</f>
        <v> </v>
      </c>
      <c r="AK64" s="321" t="str">
        <f aca="false">IF($A64="N/A"," ",IF(VolType1=1,AJ64,AI64))</f>
        <v> </v>
      </c>
      <c r="AL64" s="321" t="str">
        <f aca="false">IF($A64="N/A"," ",IF(PV=1,0,'Pricing Inputs1'!R97))</f>
        <v> </v>
      </c>
      <c r="AM64" s="323" t="str">
        <f aca="false">IF($A64="N/A"," ",(1+AL64/2)^(-2*((EOMONTH(A64,0)+20)-DateToday)/365.25))</f>
        <v> </v>
      </c>
      <c r="BQ64" s="0" t="str">
        <f aca="false">IF($A64="N/A"," ",(VLOOKUP($A64,NumberofDaysTable,2)))</f>
        <v> </v>
      </c>
      <c r="BR64" s="0" t="str">
        <f aca="false">IF($A64="N/A"," ",(VLOOKUP($A64,NumberofDaysTable,3)))</f>
        <v> </v>
      </c>
      <c r="BS64" s="0" t="str">
        <f aca="false">IF($A64="N/A"," ",(VLOOKUP($A64,NumberofDaysTable,4)))</f>
        <v> </v>
      </c>
    </row>
    <row r="65" customFormat="false" ht="12.75" hidden="false" customHeight="false" outlineLevel="0" collapsed="false">
      <c r="A65" s="315" t="str">
        <f aca="false">IF(A64="N/A","N/A",IF(EDATE(A64,1)&gt;Inputs!$M$5,"N/A",EDATE(A64,1)))</f>
        <v>N/A</v>
      </c>
      <c r="B65" s="316" t="str">
        <f aca="false">IF(A65="N/A"," ",YEAR(A65))</f>
        <v> </v>
      </c>
      <c r="C65" s="317" t="str">
        <f aca="false">IF($A65="N/A"," ",IF(Dayrun1=10,0,IF(Scaler1=1,(VLOOKUP(A65,ScaledPrice1,4)),(VLOOKUP(A65,ScaledPrice1,2)))))</f>
        <v> </v>
      </c>
      <c r="D65" s="317" t="str">
        <f aca="false">IF(A65="N/A"," ",IF(Dayrun1&gt;=7,0,IF(Scaler1=2,VLOOKUP(A65,ScaledPrice1,2),(VLOOKUP(A65,ScaledPrice1,2))*(2-(VLOOKUP(A65,ScaledPrice1,3))))))</f>
        <v> </v>
      </c>
      <c r="E65" s="317" t="str">
        <f aca="false">IF($A65="N/A"," ",IF(AND(Dayrun1&gt;=4,Dayrun1&lt;=9),0,VLOOKUP($A65,ScaledPrice1,9)))</f>
        <v> </v>
      </c>
      <c r="F65" s="317" t="str">
        <f aca="false">IF(A65="N/A"," ",IF(OR(Dayrun1=2,Dayrun1=3,Dayrun1=5,Dayrun1=6,Dayrun1=8,Dayrun1=9),VLOOKUP(A65,ScaledPrice1,IF(Scaler1=1,6,5)),0))</f>
        <v> </v>
      </c>
      <c r="G65" s="317" t="str">
        <f aca="false">IF(A65="N/A"," ",IF(OR(Dayrun1=2,Dayrun1=3,Dayrun1=5,Dayrun1=6),IF(Scaler1=2,F65,(VLOOKUP(A65,ScaledPrice1,5))*(2-(VLOOKUP(A65,ScaledPrice1,3)))),0))</f>
        <v> </v>
      </c>
      <c r="H65" s="317" t="str">
        <f aca="false">IF($A65="N/A"," ",IF(OR(Dayrun1=2,Dayrun1=3,Dayrun1=10),VLOOKUP($A65,ScaledPrice1,9),0))</f>
        <v> </v>
      </c>
      <c r="I65" s="317" t="str">
        <f aca="false">IF(A65="N/A"," ",IF(OR(Dayrun1=3,Dayrun1=6,Dayrun1=9),(VLOOKUP(A65,ScaledPrice1,IF(Scaler1=2,7,8))),0))</f>
        <v> </v>
      </c>
      <c r="J65" s="317" t="str">
        <f aca="false">IF(A65="N/A"," ",IF(OR(Dayrun1=3,Dayrun1=6),IF(Scaler1=2,I65,(VLOOKUP(A65,ScaledPrice1,7))*(2-(VLOOKUP(A65,ScaledPrice1,3)))),0))</f>
        <v> </v>
      </c>
      <c r="K65" s="317" t="str">
        <f aca="false">IF($A65="N/A"," ",IF(OR(Dayrun1=3,Dayrun1=10),VLOOKUP($A65,ScaledPrice1,9),0))</f>
        <v> </v>
      </c>
      <c r="L65" s="318" t="str">
        <f aca="false">IF($A65="N/A"," ",IF(Pricetype1=2,MAX(C65,0),IF(OR(Pricetype1=1,Pricetype1=4),IF(C65=0,0,(EURO(C65,Strikeprice1,0,0,($AH65+IF(Smile=TRUE(),VLOOKUP(MAX(-5,Strikeprice1-C65),Volsmile,2),0)),($A65-DateToday)+15,IF(Pricetype1=1,1,0),0))),C65)))</f>
        <v> </v>
      </c>
      <c r="M65" s="318" t="str">
        <f aca="false">IF($A65="N/A"," ",IF(Pricetype1=2,MAX(D65,0),IF(OR(Pricetype1=1,Pricetype1=4),IF(D65=0,0,(EURO(D65,Strikeprice1,0,0,($AH65+IF(Smile=TRUE(),VLOOKUP(MAX(-5,Strikeprice1-D65),Volsmile,2),0)),($A65-DateToday)+15,IF(Pricetype1=1,1,0),0))),D65)))</f>
        <v> </v>
      </c>
      <c r="N65" s="318" t="str">
        <f aca="false">IF($A65="N/A"," ",IF(Pricetype1=2,MAX(E65,0),IF(OR(Pricetype1=1,Pricetype1=4),IF(E65=0,0,(EURO(E65,Strikeprice1,0,0,($AK65+IF(Smile=TRUE(),VLOOKUP(MAX(-5,Strikeprice1-E65),Volsmile,2),0)),($A65-DateToday)+15,IF(Pricetype1=1,1,0),0))),E65)))</f>
        <v> </v>
      </c>
      <c r="O65" s="318" t="str">
        <f aca="false">IF($A65="N/A"," ",IF(Pricetype1=2,MAX(F65,0),IF(OR(Pricetype1=1,Pricetype1=4),IF(F65=0,0,(EURO(F65,Strikeprice1,0,0,($AK65+IF(Smile=TRUE(),VLOOKUP(MAX(-5,Strikeprice1-F65),Volsmile,2),0)),($A65-DateToday)+15,IF(Pricetype1=1,1,0),0))),F65)))</f>
        <v> </v>
      </c>
      <c r="P65" s="318" t="str">
        <f aca="false">IF($A65="N/A"," ",IF(Pricetype1=2,MAX(G65,0),IF(OR(Pricetype1=1,Pricetype1=4),IF(G65=0,0,(EURO(G65,Strikeprice1,0,0,($AK65+IF(Smile=TRUE(),VLOOKUP(MAX(-5,Strikeprice1-G65),Volsmile,2),0)),($A65-DateToday)+15,IF(Pricetype1=1,1,0),0))),G65)))</f>
        <v> </v>
      </c>
      <c r="Q65" s="318" t="str">
        <f aca="false">IF($A65="N/A"," ",IF(Pricetype1=2,MAX(H65,0),IF(OR(Pricetype1=1,Pricetype1=4),IF(H65=0,0,(EURO(H65,Strikeprice1,0,0,($AK65+IF(Smile=TRUE(),VLOOKUP(MAX(-5,Strikeprice1-H65),Volsmile,2),0)),($A65-DateToday)+15,IF(Pricetype1=1,1,0),0))),H65)))</f>
        <v> </v>
      </c>
      <c r="R65" s="318" t="str">
        <f aca="false">IF($A65="N/A"," ",IF(Pricetype1=2,MAX(I65,0),IF(OR(Pricetype1=1,Pricetype1=4),IF(I65=0,0,(EURO(I65,Strikeprice1,0,0,($AK65+IF(Smile=TRUE(),VLOOKUP(MAX(-5,Strikeprice1-I65),Volsmile,2),0)),($A65-DateToday)+15,IF(Pricetype1=1,1,0),0))),I65)))</f>
        <v> </v>
      </c>
      <c r="S65" s="318" t="str">
        <f aca="false">IF($A65="N/A"," ",IF(Pricetype1=2,MAX(J65,0),IF(OR(Pricetype1=1,Pricetype1=4),IF(J65=0,0,(EURO(J65,Strikeprice1,0,0,($AK65+IF(Smile=TRUE(),VLOOKUP(MAX(-5,Strikeprice1-J65),Volsmile,2),0)),($A65-DateToday)+15,IF(Pricetype1=1,1,0),0))),J65)))</f>
        <v> </v>
      </c>
      <c r="T65" s="318" t="str">
        <f aca="false">IF($A65="N/A"," ",IF(Pricetype1=2,MAX(K65,0),IF(OR(Pricetype1=1,Pricetype1=4),IF(K65=0,0,(EURO(K65,Strikeprice1,0,0,($AK65+IF(Smile=TRUE(),VLOOKUP(MAX(-5,Strikeprice1-K65),Volsmile,2),0)),($A65-DateToday)+15,IF(Pricetype1=1,1,0),0))),K65)))</f>
        <v> </v>
      </c>
      <c r="U65" s="319" t="str">
        <f aca="false">IF($A65="N/A"," ",Volume1*$AM65)</f>
        <v> </v>
      </c>
      <c r="V65" s="320" t="str">
        <f aca="false">IF($A65="N/A"," ",$U65*(8*($BQ65))*L65)</f>
        <v> </v>
      </c>
      <c r="W65" s="320" t="str">
        <f aca="false">IF($A65="N/A"," ",$U65*(8*($BQ65))*M65)</f>
        <v> </v>
      </c>
      <c r="X65" s="320" t="str">
        <f aca="false">IF($A65="N/A"," ",$U65*(8*($BQ65))*N65)</f>
        <v> </v>
      </c>
      <c r="Y65" s="320" t="str">
        <f aca="false">IF($A65="N/A"," ",$U65*(8*($BR65))*O65)</f>
        <v> </v>
      </c>
      <c r="Z65" s="320" t="str">
        <f aca="false">IF($A65="N/A"," ",$U65*(8*($BR65))*P65)</f>
        <v> </v>
      </c>
      <c r="AA65" s="320" t="str">
        <f aca="false">IF($A65="N/A"," ",$U65*(8*($BR65))*Q65)</f>
        <v> </v>
      </c>
      <c r="AB65" s="320" t="str">
        <f aca="false">IF($A65="N/A"," ",$U65*(8*($BS65))*R65)</f>
        <v> </v>
      </c>
      <c r="AC65" s="320" t="str">
        <f aca="false">IF($A65="N/A"," ",$U65*(8*($BS65))*S65)</f>
        <v> </v>
      </c>
      <c r="AD65" s="320" t="str">
        <f aca="false">IF($A65="N/A"," ",$U65*(8*($BS65))*T65)</f>
        <v> </v>
      </c>
      <c r="AE65" s="320" t="str">
        <f aca="false">IF($A65="N/A"," ",SUM(V65:AD65))</f>
        <v> </v>
      </c>
      <c r="AF65" s="321" t="str">
        <f aca="false">IF(A65="N/A"," ",(VLOOKUP(A65,PowerVolTable,(IF(VolBMO1=2,7,IF(VolBMO1=1,6,8))),FALSE())))</f>
        <v> </v>
      </c>
      <c r="AG65" s="321" t="str">
        <f aca="false">IF(A65="N/A"," ",(VLOOKUP(A65,IntraPowerVol,(IF(VolBMO1=2,3,IF(VolBMO1=1,2,4))),FALSE())*VLOOKUP(MONTH($A65),Volscale,2)))</f>
        <v> </v>
      </c>
      <c r="AH65" s="321" t="str">
        <f aca="false">IF($A65="N/A"," ",IF(VolType1=1,AG65,AF65))</f>
        <v> </v>
      </c>
      <c r="AI65" s="321" t="str">
        <f aca="false">IF($A65="N/A"," ",(VLOOKUP($A65,OffPwrVolTable,(IF(VolBMO1=2,7,IF(VolBMO1=1,6,8))),FALSE())))</f>
        <v> </v>
      </c>
      <c r="AJ65" s="321" t="str">
        <f aca="false">IF($A65="N/A"," ",(VLOOKUP($A65,OffPwrVolTable,(IF(VolBMO1=2,3,IF(VolBMO1=1,2,4))),FALSE())*VLOOKUP(MONTH($A65),Volscale,2)))</f>
        <v> </v>
      </c>
      <c r="AK65" s="321" t="str">
        <f aca="false">IF($A65="N/A"," ",IF(VolType1=1,AJ65,AI65))</f>
        <v> </v>
      </c>
      <c r="AL65" s="321" t="str">
        <f aca="false">IF($A65="N/A"," ",IF(PV=1,0,'Pricing Inputs1'!R98))</f>
        <v> </v>
      </c>
      <c r="AM65" s="323" t="str">
        <f aca="false">IF($A65="N/A"," ",(1+AL65/2)^(-2*((EOMONTH(A65,0)+20)-DateToday)/365.25))</f>
        <v> </v>
      </c>
      <c r="BQ65" s="0" t="str">
        <f aca="false">IF($A65="N/A"," ",(VLOOKUP($A65,NumberofDaysTable,2)))</f>
        <v> </v>
      </c>
      <c r="BR65" s="0" t="str">
        <f aca="false">IF($A65="N/A"," ",(VLOOKUP($A65,NumberofDaysTable,3)))</f>
        <v> </v>
      </c>
      <c r="BS65" s="0" t="str">
        <f aca="false">IF($A65="N/A"," ",(VLOOKUP($A65,NumberofDaysTable,4)))</f>
        <v> </v>
      </c>
    </row>
    <row r="66" customFormat="false" ht="12.75" hidden="false" customHeight="false" outlineLevel="0" collapsed="false">
      <c r="A66" s="315" t="str">
        <f aca="false">IF(A65="N/A","N/A",IF(EDATE(A65,1)&gt;Inputs!$M$5,"N/A",EDATE(A65,1)))</f>
        <v>N/A</v>
      </c>
      <c r="B66" s="316" t="str">
        <f aca="false">IF(A66="N/A"," ",YEAR(A66))</f>
        <v> </v>
      </c>
      <c r="C66" s="317" t="str">
        <f aca="false">IF($A66="N/A"," ",IF(Dayrun1=10,0,IF(Scaler1=1,(VLOOKUP(A66,ScaledPrice1,4)),(VLOOKUP(A66,ScaledPrice1,2)))))</f>
        <v> </v>
      </c>
      <c r="D66" s="317" t="str">
        <f aca="false">IF(A66="N/A"," ",IF(Dayrun1&gt;=7,0,IF(Scaler1=2,VLOOKUP(A66,ScaledPrice1,2),(VLOOKUP(A66,ScaledPrice1,2))*(2-(VLOOKUP(A66,ScaledPrice1,3))))))</f>
        <v> </v>
      </c>
      <c r="E66" s="317" t="str">
        <f aca="false">IF($A66="N/A"," ",IF(AND(Dayrun1&gt;=4,Dayrun1&lt;=9),0,VLOOKUP($A66,ScaledPrice1,9)))</f>
        <v> </v>
      </c>
      <c r="F66" s="317" t="str">
        <f aca="false">IF(A66="N/A"," ",IF(OR(Dayrun1=2,Dayrun1=3,Dayrun1=5,Dayrun1=6,Dayrun1=8,Dayrun1=9),VLOOKUP(A66,ScaledPrice1,IF(Scaler1=1,6,5)),0))</f>
        <v> </v>
      </c>
      <c r="G66" s="317" t="str">
        <f aca="false">IF(A66="N/A"," ",IF(OR(Dayrun1=2,Dayrun1=3,Dayrun1=5,Dayrun1=6),IF(Scaler1=2,F66,(VLOOKUP(A66,ScaledPrice1,5))*(2-(VLOOKUP(A66,ScaledPrice1,3)))),0))</f>
        <v> </v>
      </c>
      <c r="H66" s="317" t="str">
        <f aca="false">IF($A66="N/A"," ",IF(OR(Dayrun1=2,Dayrun1=3,Dayrun1=10),VLOOKUP($A66,ScaledPrice1,9),0))</f>
        <v> </v>
      </c>
      <c r="I66" s="317" t="str">
        <f aca="false">IF(A66="N/A"," ",IF(OR(Dayrun1=3,Dayrun1=6,Dayrun1=9),(VLOOKUP(A66,ScaledPrice1,IF(Scaler1=2,7,8))),0))</f>
        <v> </v>
      </c>
      <c r="J66" s="317" t="str">
        <f aca="false">IF(A66="N/A"," ",IF(OR(Dayrun1=3,Dayrun1=6),IF(Scaler1=2,I66,(VLOOKUP(A66,ScaledPrice1,7))*(2-(VLOOKUP(A66,ScaledPrice1,3)))),0))</f>
        <v> </v>
      </c>
      <c r="K66" s="317" t="str">
        <f aca="false">IF($A66="N/A"," ",IF(OR(Dayrun1=3,Dayrun1=10),VLOOKUP($A66,ScaledPrice1,9),0))</f>
        <v> </v>
      </c>
      <c r="L66" s="318" t="str">
        <f aca="false">IF($A66="N/A"," ",IF(Pricetype1=2,MAX(C66,0),IF(OR(Pricetype1=1,Pricetype1=4),IF(C66=0,0,(EURO(C66,Strikeprice1,0,0,($AH66+IF(Smile=TRUE(),VLOOKUP(MAX(-5,Strikeprice1-C66),Volsmile,2),0)),($A66-DateToday)+15,IF(Pricetype1=1,1,0),0))),C66)))</f>
        <v> </v>
      </c>
      <c r="M66" s="318" t="str">
        <f aca="false">IF($A66="N/A"," ",IF(Pricetype1=2,MAX(D66,0),IF(OR(Pricetype1=1,Pricetype1=4),IF(D66=0,0,(EURO(D66,Strikeprice1,0,0,($AH66+IF(Smile=TRUE(),VLOOKUP(MAX(-5,Strikeprice1-D66),Volsmile,2),0)),($A66-DateToday)+15,IF(Pricetype1=1,1,0),0))),D66)))</f>
        <v> </v>
      </c>
      <c r="N66" s="318" t="str">
        <f aca="false">IF($A66="N/A"," ",IF(Pricetype1=2,MAX(E66,0),IF(OR(Pricetype1=1,Pricetype1=4),IF(E66=0,0,(EURO(E66,Strikeprice1,0,0,($AK66+IF(Smile=TRUE(),VLOOKUP(MAX(-5,Strikeprice1-E66),Volsmile,2),0)),($A66-DateToday)+15,IF(Pricetype1=1,1,0),0))),E66)))</f>
        <v> </v>
      </c>
      <c r="O66" s="318" t="str">
        <f aca="false">IF($A66="N/A"," ",IF(Pricetype1=2,MAX(F66,0),IF(OR(Pricetype1=1,Pricetype1=4),IF(F66=0,0,(EURO(F66,Strikeprice1,0,0,($AK66+IF(Smile=TRUE(),VLOOKUP(MAX(-5,Strikeprice1-F66),Volsmile,2),0)),($A66-DateToday)+15,IF(Pricetype1=1,1,0),0))),F66)))</f>
        <v> </v>
      </c>
      <c r="P66" s="318" t="str">
        <f aca="false">IF($A66="N/A"," ",IF(Pricetype1=2,MAX(G66,0),IF(OR(Pricetype1=1,Pricetype1=4),IF(G66=0,0,(EURO(G66,Strikeprice1,0,0,($AK66+IF(Smile=TRUE(),VLOOKUP(MAX(-5,Strikeprice1-G66),Volsmile,2),0)),($A66-DateToday)+15,IF(Pricetype1=1,1,0),0))),G66)))</f>
        <v> </v>
      </c>
      <c r="Q66" s="318" t="str">
        <f aca="false">IF($A66="N/A"," ",IF(Pricetype1=2,MAX(H66,0),IF(OR(Pricetype1=1,Pricetype1=4),IF(H66=0,0,(EURO(H66,Strikeprice1,0,0,($AK66+IF(Smile=TRUE(),VLOOKUP(MAX(-5,Strikeprice1-H66),Volsmile,2),0)),($A66-DateToday)+15,IF(Pricetype1=1,1,0),0))),H66)))</f>
        <v> </v>
      </c>
      <c r="R66" s="318" t="str">
        <f aca="false">IF($A66="N/A"," ",IF(Pricetype1=2,MAX(I66,0),IF(OR(Pricetype1=1,Pricetype1=4),IF(I66=0,0,(EURO(I66,Strikeprice1,0,0,($AK66+IF(Smile=TRUE(),VLOOKUP(MAX(-5,Strikeprice1-I66),Volsmile,2),0)),($A66-DateToday)+15,IF(Pricetype1=1,1,0),0))),I66)))</f>
        <v> </v>
      </c>
      <c r="S66" s="318" t="str">
        <f aca="false">IF($A66="N/A"," ",IF(Pricetype1=2,MAX(J66,0),IF(OR(Pricetype1=1,Pricetype1=4),IF(J66=0,0,(EURO(J66,Strikeprice1,0,0,($AK66+IF(Smile=TRUE(),VLOOKUP(MAX(-5,Strikeprice1-J66),Volsmile,2),0)),($A66-DateToday)+15,IF(Pricetype1=1,1,0),0))),J66)))</f>
        <v> </v>
      </c>
      <c r="T66" s="318" t="str">
        <f aca="false">IF($A66="N/A"," ",IF(Pricetype1=2,MAX(K66,0),IF(OR(Pricetype1=1,Pricetype1=4),IF(K66=0,0,(EURO(K66,Strikeprice1,0,0,($AK66+IF(Smile=TRUE(),VLOOKUP(MAX(-5,Strikeprice1-K66),Volsmile,2),0)),($A66-DateToday)+15,IF(Pricetype1=1,1,0),0))),K66)))</f>
        <v> </v>
      </c>
      <c r="U66" s="319" t="str">
        <f aca="false">IF($A66="N/A"," ",Volume1*$AM66)</f>
        <v> </v>
      </c>
      <c r="V66" s="320" t="str">
        <f aca="false">IF($A66="N/A"," ",$U66*(8*($BQ66))*L66)</f>
        <v> </v>
      </c>
      <c r="W66" s="320" t="str">
        <f aca="false">IF($A66="N/A"," ",$U66*(8*($BQ66))*M66)</f>
        <v> </v>
      </c>
      <c r="X66" s="320" t="str">
        <f aca="false">IF($A66="N/A"," ",$U66*(8*($BQ66))*N66)</f>
        <v> </v>
      </c>
      <c r="Y66" s="320" t="str">
        <f aca="false">IF($A66="N/A"," ",$U66*(8*($BR66))*O66)</f>
        <v> </v>
      </c>
      <c r="Z66" s="320" t="str">
        <f aca="false">IF($A66="N/A"," ",$U66*(8*($BR66))*P66)</f>
        <v> </v>
      </c>
      <c r="AA66" s="320" t="str">
        <f aca="false">IF($A66="N/A"," ",$U66*(8*($BR66))*Q66)</f>
        <v> </v>
      </c>
      <c r="AB66" s="320" t="str">
        <f aca="false">IF($A66="N/A"," ",$U66*(8*($BS66))*R66)</f>
        <v> </v>
      </c>
      <c r="AC66" s="320" t="str">
        <f aca="false">IF($A66="N/A"," ",$U66*(8*($BS66))*S66)</f>
        <v> </v>
      </c>
      <c r="AD66" s="320" t="str">
        <f aca="false">IF($A66="N/A"," ",$U66*(8*($BS66))*T66)</f>
        <v> </v>
      </c>
      <c r="AE66" s="320" t="str">
        <f aca="false">IF($A66="N/A"," ",SUM(V66:AD66))</f>
        <v> </v>
      </c>
      <c r="AF66" s="321" t="str">
        <f aca="false">IF(A66="N/A"," ",(VLOOKUP(A66,PowerVolTable,(IF(VolBMO1=2,7,IF(VolBMO1=1,6,8))),FALSE())))</f>
        <v> </v>
      </c>
      <c r="AG66" s="321" t="str">
        <f aca="false">IF(A66="N/A"," ",(VLOOKUP(A66,IntraPowerVol,(IF(VolBMO1=2,3,IF(VolBMO1=1,2,4))),FALSE())*VLOOKUP(MONTH($A66),Volscale,2)))</f>
        <v> </v>
      </c>
      <c r="AH66" s="321" t="str">
        <f aca="false">IF($A66="N/A"," ",IF(VolType1=1,AG66,AF66))</f>
        <v> </v>
      </c>
      <c r="AI66" s="321" t="str">
        <f aca="false">IF($A66="N/A"," ",(VLOOKUP($A66,OffPwrVolTable,(IF(VolBMO1=2,7,IF(VolBMO1=1,6,8))),FALSE())))</f>
        <v> </v>
      </c>
      <c r="AJ66" s="321" t="str">
        <f aca="false">IF($A66="N/A"," ",(VLOOKUP($A66,OffPwrVolTable,(IF(VolBMO1=2,3,IF(VolBMO1=1,2,4))),FALSE())*VLOOKUP(MONTH($A66),Volscale,2)))</f>
        <v> </v>
      </c>
      <c r="AK66" s="321" t="str">
        <f aca="false">IF($A66="N/A"," ",IF(VolType1=1,AJ66,AI66))</f>
        <v> </v>
      </c>
      <c r="AL66" s="321" t="str">
        <f aca="false">IF($A66="N/A"," ",IF(PV=1,0,'Pricing Inputs1'!R99))</f>
        <v> </v>
      </c>
      <c r="AM66" s="323" t="str">
        <f aca="false">IF($A66="N/A"," ",(1+AL66/2)^(-2*((EOMONTH(A66,0)+20)-DateToday)/365.25))</f>
        <v> </v>
      </c>
      <c r="BQ66" s="0" t="str">
        <f aca="false">IF($A66="N/A"," ",(VLOOKUP($A66,NumberofDaysTable,2)))</f>
        <v> </v>
      </c>
      <c r="BR66" s="0" t="str">
        <f aca="false">IF($A66="N/A"," ",(VLOOKUP($A66,NumberofDaysTable,3)))</f>
        <v> </v>
      </c>
      <c r="BS66" s="0" t="str">
        <f aca="false">IF($A66="N/A"," ",(VLOOKUP($A66,NumberofDaysTable,4)))</f>
        <v> </v>
      </c>
    </row>
    <row r="67" customFormat="false" ht="12.75" hidden="false" customHeight="false" outlineLevel="0" collapsed="false">
      <c r="A67" s="315" t="str">
        <f aca="false">IF(A66="N/A","N/A",IF(EDATE(A66,1)&gt;Inputs!$M$5,"N/A",EDATE(A66,1)))</f>
        <v>N/A</v>
      </c>
      <c r="B67" s="316" t="str">
        <f aca="false">IF(A67="N/A"," ",YEAR(A67))</f>
        <v> </v>
      </c>
      <c r="C67" s="317" t="str">
        <f aca="false">IF($A67="N/A"," ",IF(Dayrun1=10,0,IF(Scaler1=1,(VLOOKUP(A67,ScaledPrice1,4)),(VLOOKUP(A67,ScaledPrice1,2)))))</f>
        <v> </v>
      </c>
      <c r="D67" s="317" t="str">
        <f aca="false">IF(A67="N/A"," ",IF(Dayrun1&gt;=7,0,IF(Scaler1=2,VLOOKUP(A67,ScaledPrice1,2),(VLOOKUP(A67,ScaledPrice1,2))*(2-(VLOOKUP(A67,ScaledPrice1,3))))))</f>
        <v> </v>
      </c>
      <c r="E67" s="317" t="str">
        <f aca="false">IF($A67="N/A"," ",IF(AND(Dayrun1&gt;=4,Dayrun1&lt;=9),0,VLOOKUP($A67,ScaledPrice1,9)))</f>
        <v> </v>
      </c>
      <c r="F67" s="317" t="str">
        <f aca="false">IF(A67="N/A"," ",IF(OR(Dayrun1=2,Dayrun1=3,Dayrun1=5,Dayrun1=6,Dayrun1=8,Dayrun1=9),VLOOKUP(A67,ScaledPrice1,IF(Scaler1=1,6,5)),0))</f>
        <v> </v>
      </c>
      <c r="G67" s="317" t="str">
        <f aca="false">IF(A67="N/A"," ",IF(OR(Dayrun1=2,Dayrun1=3,Dayrun1=5,Dayrun1=6),IF(Scaler1=2,F67,(VLOOKUP(A67,ScaledPrice1,5))*(2-(VLOOKUP(A67,ScaledPrice1,3)))),0))</f>
        <v> </v>
      </c>
      <c r="H67" s="317" t="str">
        <f aca="false">IF($A67="N/A"," ",IF(OR(Dayrun1=2,Dayrun1=3,Dayrun1=10),VLOOKUP($A67,ScaledPrice1,9),0))</f>
        <v> </v>
      </c>
      <c r="I67" s="317" t="str">
        <f aca="false">IF(A67="N/A"," ",IF(OR(Dayrun1=3,Dayrun1=6,Dayrun1=9),(VLOOKUP(A67,ScaledPrice1,IF(Scaler1=2,7,8))),0))</f>
        <v> </v>
      </c>
      <c r="J67" s="317" t="str">
        <f aca="false">IF(A67="N/A"," ",IF(OR(Dayrun1=3,Dayrun1=6),IF(Scaler1=2,I67,(VLOOKUP(A67,ScaledPrice1,7))*(2-(VLOOKUP(A67,ScaledPrice1,3)))),0))</f>
        <v> </v>
      </c>
      <c r="K67" s="317" t="str">
        <f aca="false">IF($A67="N/A"," ",IF(OR(Dayrun1=3,Dayrun1=10),VLOOKUP($A67,ScaledPrice1,9),0))</f>
        <v> </v>
      </c>
      <c r="L67" s="318" t="str">
        <f aca="false">IF($A67="N/A"," ",IF(Pricetype1=2,MAX(C67,0),IF(OR(Pricetype1=1,Pricetype1=4),IF(C67=0,0,(EURO(C67,Strikeprice1,0,0,($AH67+IF(Smile=TRUE(),VLOOKUP(MAX(-5,Strikeprice1-C67),Volsmile,2),0)),($A67-DateToday)+15,IF(Pricetype1=1,1,0),0))),C67)))</f>
        <v> </v>
      </c>
      <c r="M67" s="318" t="str">
        <f aca="false">IF($A67="N/A"," ",IF(Pricetype1=2,MAX(D67,0),IF(OR(Pricetype1=1,Pricetype1=4),IF(D67=0,0,(EURO(D67,Strikeprice1,0,0,($AH67+IF(Smile=TRUE(),VLOOKUP(MAX(-5,Strikeprice1-D67),Volsmile,2),0)),($A67-DateToday)+15,IF(Pricetype1=1,1,0),0))),D67)))</f>
        <v> </v>
      </c>
      <c r="N67" s="318" t="str">
        <f aca="false">IF($A67="N/A"," ",IF(Pricetype1=2,MAX(E67,0),IF(OR(Pricetype1=1,Pricetype1=4),IF(E67=0,0,(EURO(E67,Strikeprice1,0,0,($AK67+IF(Smile=TRUE(),VLOOKUP(MAX(-5,Strikeprice1-E67),Volsmile,2),0)),($A67-DateToday)+15,IF(Pricetype1=1,1,0),0))),E67)))</f>
        <v> </v>
      </c>
      <c r="O67" s="318" t="str">
        <f aca="false">IF($A67="N/A"," ",IF(Pricetype1=2,MAX(F67,0),IF(OR(Pricetype1=1,Pricetype1=4),IF(F67=0,0,(EURO(F67,Strikeprice1,0,0,($AK67+IF(Smile=TRUE(),VLOOKUP(MAX(-5,Strikeprice1-F67),Volsmile,2),0)),($A67-DateToday)+15,IF(Pricetype1=1,1,0),0))),F67)))</f>
        <v> </v>
      </c>
      <c r="P67" s="318" t="str">
        <f aca="false">IF($A67="N/A"," ",IF(Pricetype1=2,MAX(G67,0),IF(OR(Pricetype1=1,Pricetype1=4),IF(G67=0,0,(EURO(G67,Strikeprice1,0,0,($AK67+IF(Smile=TRUE(),VLOOKUP(MAX(-5,Strikeprice1-G67),Volsmile,2),0)),($A67-DateToday)+15,IF(Pricetype1=1,1,0),0))),G67)))</f>
        <v> </v>
      </c>
      <c r="Q67" s="318" t="str">
        <f aca="false">IF($A67="N/A"," ",IF(Pricetype1=2,MAX(H67,0),IF(OR(Pricetype1=1,Pricetype1=4),IF(H67=0,0,(EURO(H67,Strikeprice1,0,0,($AK67+IF(Smile=TRUE(),VLOOKUP(MAX(-5,Strikeprice1-H67),Volsmile,2),0)),($A67-DateToday)+15,IF(Pricetype1=1,1,0),0))),H67)))</f>
        <v> </v>
      </c>
      <c r="R67" s="318" t="str">
        <f aca="false">IF($A67="N/A"," ",IF(Pricetype1=2,MAX(I67,0),IF(OR(Pricetype1=1,Pricetype1=4),IF(I67=0,0,(EURO(I67,Strikeprice1,0,0,($AK67+IF(Smile=TRUE(),VLOOKUP(MAX(-5,Strikeprice1-I67),Volsmile,2),0)),($A67-DateToday)+15,IF(Pricetype1=1,1,0),0))),I67)))</f>
        <v> </v>
      </c>
      <c r="S67" s="318" t="str">
        <f aca="false">IF($A67="N/A"," ",IF(Pricetype1=2,MAX(J67,0),IF(OR(Pricetype1=1,Pricetype1=4),IF(J67=0,0,(EURO(J67,Strikeprice1,0,0,($AK67+IF(Smile=TRUE(),VLOOKUP(MAX(-5,Strikeprice1-J67),Volsmile,2),0)),($A67-DateToday)+15,IF(Pricetype1=1,1,0),0))),J67)))</f>
        <v> </v>
      </c>
      <c r="T67" s="318" t="str">
        <f aca="false">IF($A67="N/A"," ",IF(Pricetype1=2,MAX(K67,0),IF(OR(Pricetype1=1,Pricetype1=4),IF(K67=0,0,(EURO(K67,Strikeprice1,0,0,($AK67+IF(Smile=TRUE(),VLOOKUP(MAX(-5,Strikeprice1-K67),Volsmile,2),0)),($A67-DateToday)+15,IF(Pricetype1=1,1,0),0))),K67)))</f>
        <v> </v>
      </c>
      <c r="U67" s="319" t="str">
        <f aca="false">IF($A67="N/A"," ",Volume1*$AM67)</f>
        <v> </v>
      </c>
      <c r="V67" s="320" t="str">
        <f aca="false">IF($A67="N/A"," ",$U67*(8*($BQ67))*L67)</f>
        <v> </v>
      </c>
      <c r="W67" s="320" t="str">
        <f aca="false">IF($A67="N/A"," ",$U67*(8*($BQ67))*M67)</f>
        <v> </v>
      </c>
      <c r="X67" s="320" t="str">
        <f aca="false">IF($A67="N/A"," ",$U67*(8*($BQ67))*N67)</f>
        <v> </v>
      </c>
      <c r="Y67" s="320" t="str">
        <f aca="false">IF($A67="N/A"," ",$U67*(8*($BR67))*O67)</f>
        <v> </v>
      </c>
      <c r="Z67" s="320" t="str">
        <f aca="false">IF($A67="N/A"," ",$U67*(8*($BR67))*P67)</f>
        <v> </v>
      </c>
      <c r="AA67" s="320" t="str">
        <f aca="false">IF($A67="N/A"," ",$U67*(8*($BR67))*Q67)</f>
        <v> </v>
      </c>
      <c r="AB67" s="320" t="str">
        <f aca="false">IF($A67="N/A"," ",$U67*(8*($BS67))*R67)</f>
        <v> </v>
      </c>
      <c r="AC67" s="320" t="str">
        <f aca="false">IF($A67="N/A"," ",$U67*(8*($BS67))*S67)</f>
        <v> </v>
      </c>
      <c r="AD67" s="320" t="str">
        <f aca="false">IF($A67="N/A"," ",$U67*(8*($BS67))*T67)</f>
        <v> </v>
      </c>
      <c r="AE67" s="320" t="str">
        <f aca="false">IF($A67="N/A"," ",SUM(V67:AD67))</f>
        <v> </v>
      </c>
      <c r="AF67" s="321" t="str">
        <f aca="false">IF(A67="N/A"," ",(VLOOKUP(A67,PowerVolTable,(IF(VolBMO1=2,7,IF(VolBMO1=1,6,8))),FALSE())))</f>
        <v> </v>
      </c>
      <c r="AG67" s="321" t="str">
        <f aca="false">IF(A67="N/A"," ",(VLOOKUP(A67,IntraPowerVol,(IF(VolBMO1=2,3,IF(VolBMO1=1,2,4))),FALSE())*VLOOKUP(MONTH($A67),Volscale,2)))</f>
        <v> </v>
      </c>
      <c r="AH67" s="321" t="str">
        <f aca="false">IF($A67="N/A"," ",IF(VolType1=1,AG67,AF67))</f>
        <v> </v>
      </c>
      <c r="AI67" s="321" t="str">
        <f aca="false">IF($A67="N/A"," ",(VLOOKUP($A67,OffPwrVolTable,(IF(VolBMO1=2,7,IF(VolBMO1=1,6,8))),FALSE())))</f>
        <v> </v>
      </c>
      <c r="AJ67" s="321" t="str">
        <f aca="false">IF($A67="N/A"," ",(VLOOKUP($A67,OffPwrVolTable,(IF(VolBMO1=2,3,IF(VolBMO1=1,2,4))),FALSE())*VLOOKUP(MONTH($A67),Volscale,2)))</f>
        <v> </v>
      </c>
      <c r="AK67" s="321" t="str">
        <f aca="false">IF($A67="N/A"," ",IF(VolType1=1,AJ67,AI67))</f>
        <v> </v>
      </c>
      <c r="AL67" s="321" t="str">
        <f aca="false">IF($A67="N/A"," ",IF(PV=1,0,'Pricing Inputs1'!R100))</f>
        <v> </v>
      </c>
      <c r="AM67" s="323" t="str">
        <f aca="false">IF($A67="N/A"," ",(1+AL67/2)^(-2*((EOMONTH(A67,0)+20)-DateToday)/365.25))</f>
        <v> </v>
      </c>
      <c r="BQ67" s="0" t="str">
        <f aca="false">IF($A67="N/A"," ",(VLOOKUP($A67,NumberofDaysTable,2)))</f>
        <v> </v>
      </c>
      <c r="BR67" s="0" t="str">
        <f aca="false">IF($A67="N/A"," ",(VLOOKUP($A67,NumberofDaysTable,3)))</f>
        <v> </v>
      </c>
      <c r="BS67" s="0" t="str">
        <f aca="false">IF($A67="N/A"," ",(VLOOKUP($A67,NumberofDaysTable,4)))</f>
        <v> </v>
      </c>
    </row>
    <row r="68" customFormat="false" ht="12.75" hidden="false" customHeight="false" outlineLevel="0" collapsed="false">
      <c r="A68" s="315" t="str">
        <f aca="false">IF(A67="N/A","N/A",IF(EDATE(A67,1)&gt;Inputs!$M$5,"N/A",EDATE(A67,1)))</f>
        <v>N/A</v>
      </c>
      <c r="B68" s="316" t="str">
        <f aca="false">IF(A68="N/A"," ",YEAR(A68))</f>
        <v> </v>
      </c>
      <c r="C68" s="317" t="str">
        <f aca="false">IF($A68="N/A"," ",IF(Dayrun1=10,0,IF(Scaler1=1,(VLOOKUP(A68,ScaledPrice1,4)),(VLOOKUP(A68,ScaledPrice1,2)))))</f>
        <v> </v>
      </c>
      <c r="D68" s="317" t="str">
        <f aca="false">IF(A68="N/A"," ",IF(Dayrun1&gt;=7,0,IF(Scaler1=2,VLOOKUP(A68,ScaledPrice1,2),(VLOOKUP(A68,ScaledPrice1,2))*(2-(VLOOKUP(A68,ScaledPrice1,3))))))</f>
        <v> </v>
      </c>
      <c r="E68" s="317" t="str">
        <f aca="false">IF($A68="N/A"," ",IF(AND(Dayrun1&gt;=4,Dayrun1&lt;=9),0,VLOOKUP($A68,ScaledPrice1,9)))</f>
        <v> </v>
      </c>
      <c r="F68" s="317" t="str">
        <f aca="false">IF(A68="N/A"," ",IF(OR(Dayrun1=2,Dayrun1=3,Dayrun1=5,Dayrun1=6,Dayrun1=8,Dayrun1=9),VLOOKUP(A68,ScaledPrice1,IF(Scaler1=1,6,5)),0))</f>
        <v> </v>
      </c>
      <c r="G68" s="317" t="str">
        <f aca="false">IF(A68="N/A"," ",IF(OR(Dayrun1=2,Dayrun1=3,Dayrun1=5,Dayrun1=6),IF(Scaler1=2,F68,(VLOOKUP(A68,ScaledPrice1,5))*(2-(VLOOKUP(A68,ScaledPrice1,3)))),0))</f>
        <v> </v>
      </c>
      <c r="H68" s="317" t="str">
        <f aca="false">IF($A68="N/A"," ",IF(OR(Dayrun1=2,Dayrun1=3,Dayrun1=10),VLOOKUP($A68,ScaledPrice1,9),0))</f>
        <v> </v>
      </c>
      <c r="I68" s="317" t="str">
        <f aca="false">IF(A68="N/A"," ",IF(OR(Dayrun1=3,Dayrun1=6,Dayrun1=9),(VLOOKUP(A68,ScaledPrice1,IF(Scaler1=2,7,8))),0))</f>
        <v> </v>
      </c>
      <c r="J68" s="317" t="str">
        <f aca="false">IF(A68="N/A"," ",IF(OR(Dayrun1=3,Dayrun1=6),IF(Scaler1=2,I68,(VLOOKUP(A68,ScaledPrice1,7))*(2-(VLOOKUP(A68,ScaledPrice1,3)))),0))</f>
        <v> </v>
      </c>
      <c r="K68" s="317" t="str">
        <f aca="false">IF($A68="N/A"," ",IF(OR(Dayrun1=3,Dayrun1=10),VLOOKUP($A68,ScaledPrice1,9),0))</f>
        <v> </v>
      </c>
      <c r="L68" s="318" t="str">
        <f aca="false">IF($A68="N/A"," ",IF(Pricetype1=2,MAX(C68,0),IF(OR(Pricetype1=1,Pricetype1=4),IF(C68=0,0,(EURO(C68,Strikeprice1,0,0,($AH68+IF(Smile=TRUE(),VLOOKUP(MAX(-5,Strikeprice1-C68),Volsmile,2),0)),($A68-DateToday)+15,IF(Pricetype1=1,1,0),0))),C68)))</f>
        <v> </v>
      </c>
      <c r="M68" s="318" t="str">
        <f aca="false">IF($A68="N/A"," ",IF(Pricetype1=2,MAX(D68,0),IF(OR(Pricetype1=1,Pricetype1=4),IF(D68=0,0,(EURO(D68,Strikeprice1,0,0,($AH68+IF(Smile=TRUE(),VLOOKUP(MAX(-5,Strikeprice1-D68),Volsmile,2),0)),($A68-DateToday)+15,IF(Pricetype1=1,1,0),0))),D68)))</f>
        <v> </v>
      </c>
      <c r="N68" s="318" t="str">
        <f aca="false">IF($A68="N/A"," ",IF(Pricetype1=2,MAX(E68,0),IF(OR(Pricetype1=1,Pricetype1=4),IF(E68=0,0,(EURO(E68,Strikeprice1,0,0,($AK68+IF(Smile=TRUE(),VLOOKUP(MAX(-5,Strikeprice1-E68),Volsmile,2),0)),($A68-DateToday)+15,IF(Pricetype1=1,1,0),0))),E68)))</f>
        <v> </v>
      </c>
      <c r="O68" s="318" t="str">
        <f aca="false">IF($A68="N/A"," ",IF(Pricetype1=2,MAX(F68,0),IF(OR(Pricetype1=1,Pricetype1=4),IF(F68=0,0,(EURO(F68,Strikeprice1,0,0,($AK68+IF(Smile=TRUE(),VLOOKUP(MAX(-5,Strikeprice1-F68),Volsmile,2),0)),($A68-DateToday)+15,IF(Pricetype1=1,1,0),0))),F68)))</f>
        <v> </v>
      </c>
      <c r="P68" s="318" t="str">
        <f aca="false">IF($A68="N/A"," ",IF(Pricetype1=2,MAX(G68,0),IF(OR(Pricetype1=1,Pricetype1=4),IF(G68=0,0,(EURO(G68,Strikeprice1,0,0,($AK68+IF(Smile=TRUE(),VLOOKUP(MAX(-5,Strikeprice1-G68),Volsmile,2),0)),($A68-DateToday)+15,IF(Pricetype1=1,1,0),0))),G68)))</f>
        <v> </v>
      </c>
      <c r="Q68" s="318" t="str">
        <f aca="false">IF($A68="N/A"," ",IF(Pricetype1=2,MAX(H68,0),IF(OR(Pricetype1=1,Pricetype1=4),IF(H68=0,0,(EURO(H68,Strikeprice1,0,0,($AK68+IF(Smile=TRUE(),VLOOKUP(MAX(-5,Strikeprice1-H68),Volsmile,2),0)),($A68-DateToday)+15,IF(Pricetype1=1,1,0),0))),H68)))</f>
        <v> </v>
      </c>
      <c r="R68" s="318" t="str">
        <f aca="false">IF($A68="N/A"," ",IF(Pricetype1=2,MAX(I68,0),IF(OR(Pricetype1=1,Pricetype1=4),IF(I68=0,0,(EURO(I68,Strikeprice1,0,0,($AK68+IF(Smile=TRUE(),VLOOKUP(MAX(-5,Strikeprice1-I68),Volsmile,2),0)),($A68-DateToday)+15,IF(Pricetype1=1,1,0),0))),I68)))</f>
        <v> </v>
      </c>
      <c r="S68" s="318" t="str">
        <f aca="false">IF($A68="N/A"," ",IF(Pricetype1=2,MAX(J68,0),IF(OR(Pricetype1=1,Pricetype1=4),IF(J68=0,0,(EURO(J68,Strikeprice1,0,0,($AK68+IF(Smile=TRUE(),VLOOKUP(MAX(-5,Strikeprice1-J68),Volsmile,2),0)),($A68-DateToday)+15,IF(Pricetype1=1,1,0),0))),J68)))</f>
        <v> </v>
      </c>
      <c r="T68" s="318" t="str">
        <f aca="false">IF($A68="N/A"," ",IF(Pricetype1=2,MAX(K68,0),IF(OR(Pricetype1=1,Pricetype1=4),IF(K68=0,0,(EURO(K68,Strikeprice1,0,0,($AK68+IF(Smile=TRUE(),VLOOKUP(MAX(-5,Strikeprice1-K68),Volsmile,2),0)),($A68-DateToday)+15,IF(Pricetype1=1,1,0),0))),K68)))</f>
        <v> </v>
      </c>
      <c r="U68" s="319" t="str">
        <f aca="false">IF($A68="N/A"," ",Volume1*$AM68)</f>
        <v> </v>
      </c>
      <c r="V68" s="320" t="str">
        <f aca="false">IF($A68="N/A"," ",$U68*(8*($BQ68))*L68)</f>
        <v> </v>
      </c>
      <c r="W68" s="320" t="str">
        <f aca="false">IF($A68="N/A"," ",$U68*(8*($BQ68))*M68)</f>
        <v> </v>
      </c>
      <c r="X68" s="320" t="str">
        <f aca="false">IF($A68="N/A"," ",$U68*(8*($BQ68))*N68)</f>
        <v> </v>
      </c>
      <c r="Y68" s="320" t="str">
        <f aca="false">IF($A68="N/A"," ",$U68*(8*($BR68))*O68)</f>
        <v> </v>
      </c>
      <c r="Z68" s="320" t="str">
        <f aca="false">IF($A68="N/A"," ",$U68*(8*($BR68))*P68)</f>
        <v> </v>
      </c>
      <c r="AA68" s="320" t="str">
        <f aca="false">IF($A68="N/A"," ",$U68*(8*($BR68))*Q68)</f>
        <v> </v>
      </c>
      <c r="AB68" s="320" t="str">
        <f aca="false">IF($A68="N/A"," ",$U68*(8*($BS68))*R68)</f>
        <v> </v>
      </c>
      <c r="AC68" s="320" t="str">
        <f aca="false">IF($A68="N/A"," ",$U68*(8*($BS68))*S68)</f>
        <v> </v>
      </c>
      <c r="AD68" s="320" t="str">
        <f aca="false">IF($A68="N/A"," ",$U68*(8*($BS68))*T68)</f>
        <v> </v>
      </c>
      <c r="AE68" s="320" t="str">
        <f aca="false">IF($A68="N/A"," ",SUM(V68:AD68))</f>
        <v> </v>
      </c>
      <c r="AF68" s="321" t="str">
        <f aca="false">IF(A68="N/A"," ",(VLOOKUP(A68,PowerVolTable,(IF(VolBMO1=2,7,IF(VolBMO1=1,6,8))),FALSE())))</f>
        <v> </v>
      </c>
      <c r="AG68" s="321" t="str">
        <f aca="false">IF(A68="N/A"," ",(VLOOKUP(A68,IntraPowerVol,(IF(VolBMO1=2,3,IF(VolBMO1=1,2,4))),FALSE())*VLOOKUP(MONTH($A68),Volscale,2)))</f>
        <v> </v>
      </c>
      <c r="AH68" s="321" t="str">
        <f aca="false">IF($A68="N/A"," ",IF(VolType1=1,AG68,AF68))</f>
        <v> </v>
      </c>
      <c r="AI68" s="321" t="str">
        <f aca="false">IF($A68="N/A"," ",(VLOOKUP($A68,OffPwrVolTable,(IF(VolBMO1=2,7,IF(VolBMO1=1,6,8))),FALSE())))</f>
        <v> </v>
      </c>
      <c r="AJ68" s="321" t="str">
        <f aca="false">IF($A68="N/A"," ",(VLOOKUP($A68,OffPwrVolTable,(IF(VolBMO1=2,3,IF(VolBMO1=1,2,4))),FALSE())*VLOOKUP(MONTH($A68),Volscale,2)))</f>
        <v> </v>
      </c>
      <c r="AK68" s="321" t="str">
        <f aca="false">IF($A68="N/A"," ",IF(VolType1=1,AJ68,AI68))</f>
        <v> </v>
      </c>
      <c r="AL68" s="321" t="str">
        <f aca="false">IF($A68="N/A"," ",IF(PV=1,0,'Pricing Inputs1'!R101))</f>
        <v> </v>
      </c>
      <c r="AM68" s="323" t="str">
        <f aca="false">IF($A68="N/A"," ",(1+AL68/2)^(-2*((EOMONTH(A68,0)+20)-DateToday)/365.25))</f>
        <v> </v>
      </c>
      <c r="BQ68" s="0" t="str">
        <f aca="false">IF($A68="N/A"," ",(VLOOKUP($A68,NumberofDaysTable,2)))</f>
        <v> </v>
      </c>
      <c r="BR68" s="0" t="str">
        <f aca="false">IF($A68="N/A"," ",(VLOOKUP($A68,NumberofDaysTable,3)))</f>
        <v> </v>
      </c>
      <c r="BS68" s="0" t="str">
        <f aca="false">IF($A68="N/A"," ",(VLOOKUP($A68,NumberofDaysTable,4)))</f>
        <v> </v>
      </c>
    </row>
    <row r="69" customFormat="false" ht="12.75" hidden="false" customHeight="false" outlineLevel="0" collapsed="false">
      <c r="A69" s="315" t="str">
        <f aca="false">IF(A68="N/A","N/A",IF(EDATE(A68,1)&gt;Inputs!$M$5,"N/A",EDATE(A68,1)))</f>
        <v>N/A</v>
      </c>
      <c r="B69" s="316" t="str">
        <f aca="false">IF(A69="N/A"," ",YEAR(A69))</f>
        <v> </v>
      </c>
      <c r="C69" s="317" t="str">
        <f aca="false">IF($A69="N/A"," ",IF(Dayrun1=10,0,IF(Scaler1=1,(VLOOKUP(A69,ScaledPrice1,4)),(VLOOKUP(A69,ScaledPrice1,2)))))</f>
        <v> </v>
      </c>
      <c r="D69" s="317" t="str">
        <f aca="false">IF(A69="N/A"," ",IF(Dayrun1&gt;=7,0,IF(Scaler1=2,VLOOKUP(A69,ScaledPrice1,2),(VLOOKUP(A69,ScaledPrice1,2))*(2-(VLOOKUP(A69,ScaledPrice1,3))))))</f>
        <v> </v>
      </c>
      <c r="E69" s="317" t="str">
        <f aca="false">IF($A69="N/A"," ",IF(AND(Dayrun1&gt;=4,Dayrun1&lt;=9),0,VLOOKUP($A69,ScaledPrice1,9)))</f>
        <v> </v>
      </c>
      <c r="F69" s="317" t="str">
        <f aca="false">IF(A69="N/A"," ",IF(OR(Dayrun1=2,Dayrun1=3,Dayrun1=5,Dayrun1=6,Dayrun1=8,Dayrun1=9),VLOOKUP(A69,ScaledPrice1,IF(Scaler1=1,6,5)),0))</f>
        <v> </v>
      </c>
      <c r="G69" s="317" t="str">
        <f aca="false">IF(A69="N/A"," ",IF(OR(Dayrun1=2,Dayrun1=3,Dayrun1=5,Dayrun1=6),IF(Scaler1=2,F69,(VLOOKUP(A69,ScaledPrice1,5))*(2-(VLOOKUP(A69,ScaledPrice1,3)))),0))</f>
        <v> </v>
      </c>
      <c r="H69" s="317" t="str">
        <f aca="false">IF($A69="N/A"," ",IF(OR(Dayrun1=2,Dayrun1=3,Dayrun1=10),VLOOKUP($A69,ScaledPrice1,9),0))</f>
        <v> </v>
      </c>
      <c r="I69" s="317" t="str">
        <f aca="false">IF(A69="N/A"," ",IF(OR(Dayrun1=3,Dayrun1=6,Dayrun1=9),(VLOOKUP(A69,ScaledPrice1,IF(Scaler1=2,7,8))),0))</f>
        <v> </v>
      </c>
      <c r="J69" s="317" t="str">
        <f aca="false">IF(A69="N/A"," ",IF(OR(Dayrun1=3,Dayrun1=6),IF(Scaler1=2,I69,(VLOOKUP(A69,ScaledPrice1,7))*(2-(VLOOKUP(A69,ScaledPrice1,3)))),0))</f>
        <v> </v>
      </c>
      <c r="K69" s="317" t="str">
        <f aca="false">IF($A69="N/A"," ",IF(OR(Dayrun1=3,Dayrun1=10),VLOOKUP($A69,ScaledPrice1,9),0))</f>
        <v> </v>
      </c>
      <c r="L69" s="318" t="str">
        <f aca="false">IF($A69="N/A"," ",IF(Pricetype1=2,MAX(C69,0),IF(OR(Pricetype1=1,Pricetype1=4),IF(C69=0,0,(EURO(C69,Strikeprice1,0,0,($AH69+IF(Smile=TRUE(),VLOOKUP(MAX(-5,Strikeprice1-C69),Volsmile,2),0)),($A69-DateToday)+15,IF(Pricetype1=1,1,0),0))),C69)))</f>
        <v> </v>
      </c>
      <c r="M69" s="318" t="str">
        <f aca="false">IF($A69="N/A"," ",IF(Pricetype1=2,MAX(D69,0),IF(OR(Pricetype1=1,Pricetype1=4),IF(D69=0,0,(EURO(D69,Strikeprice1,0,0,($AH69+IF(Smile=TRUE(),VLOOKUP(MAX(-5,Strikeprice1-D69),Volsmile,2),0)),($A69-DateToday)+15,IF(Pricetype1=1,1,0),0))),D69)))</f>
        <v> </v>
      </c>
      <c r="N69" s="318" t="str">
        <f aca="false">IF($A69="N/A"," ",IF(Pricetype1=2,MAX(E69,0),IF(OR(Pricetype1=1,Pricetype1=4),IF(E69=0,0,(EURO(E69,Strikeprice1,0,0,($AK69+IF(Smile=TRUE(),VLOOKUP(MAX(-5,Strikeprice1-E69),Volsmile,2),0)),($A69-DateToday)+15,IF(Pricetype1=1,1,0),0))),E69)))</f>
        <v> </v>
      </c>
      <c r="O69" s="318" t="str">
        <f aca="false">IF($A69="N/A"," ",IF(Pricetype1=2,MAX(F69,0),IF(OR(Pricetype1=1,Pricetype1=4),IF(F69=0,0,(EURO(F69,Strikeprice1,0,0,($AK69+IF(Smile=TRUE(),VLOOKUP(MAX(-5,Strikeprice1-F69),Volsmile,2),0)),($A69-DateToday)+15,IF(Pricetype1=1,1,0),0))),F69)))</f>
        <v> </v>
      </c>
      <c r="P69" s="318" t="str">
        <f aca="false">IF($A69="N/A"," ",IF(Pricetype1=2,MAX(G69,0),IF(OR(Pricetype1=1,Pricetype1=4),IF(G69=0,0,(EURO(G69,Strikeprice1,0,0,($AK69+IF(Smile=TRUE(),VLOOKUP(MAX(-5,Strikeprice1-G69),Volsmile,2),0)),($A69-DateToday)+15,IF(Pricetype1=1,1,0),0))),G69)))</f>
        <v> </v>
      </c>
      <c r="Q69" s="318" t="str">
        <f aca="false">IF($A69="N/A"," ",IF(Pricetype1=2,MAX(H69,0),IF(OR(Pricetype1=1,Pricetype1=4),IF(H69=0,0,(EURO(H69,Strikeprice1,0,0,($AK69+IF(Smile=TRUE(),VLOOKUP(MAX(-5,Strikeprice1-H69),Volsmile,2),0)),($A69-DateToday)+15,IF(Pricetype1=1,1,0),0))),H69)))</f>
        <v> </v>
      </c>
      <c r="R69" s="318" t="str">
        <f aca="false">IF($A69="N/A"," ",IF(Pricetype1=2,MAX(I69,0),IF(OR(Pricetype1=1,Pricetype1=4),IF(I69=0,0,(EURO(I69,Strikeprice1,0,0,($AK69+IF(Smile=TRUE(),VLOOKUP(MAX(-5,Strikeprice1-I69),Volsmile,2),0)),($A69-DateToday)+15,IF(Pricetype1=1,1,0),0))),I69)))</f>
        <v> </v>
      </c>
      <c r="S69" s="318" t="str">
        <f aca="false">IF($A69="N/A"," ",IF(Pricetype1=2,MAX(J69,0),IF(OR(Pricetype1=1,Pricetype1=4),IF(J69=0,0,(EURO(J69,Strikeprice1,0,0,($AK69+IF(Smile=TRUE(),VLOOKUP(MAX(-5,Strikeprice1-J69),Volsmile,2),0)),($A69-DateToday)+15,IF(Pricetype1=1,1,0),0))),J69)))</f>
        <v> </v>
      </c>
      <c r="T69" s="318" t="str">
        <f aca="false">IF($A69="N/A"," ",IF(Pricetype1=2,MAX(K69,0),IF(OR(Pricetype1=1,Pricetype1=4),IF(K69=0,0,(EURO(K69,Strikeprice1,0,0,($AK69+IF(Smile=TRUE(),VLOOKUP(MAX(-5,Strikeprice1-K69),Volsmile,2),0)),($A69-DateToday)+15,IF(Pricetype1=1,1,0),0))),K69)))</f>
        <v> </v>
      </c>
      <c r="U69" s="319" t="str">
        <f aca="false">IF($A69="N/A"," ",Volume1*$AM69)</f>
        <v> </v>
      </c>
      <c r="V69" s="320" t="str">
        <f aca="false">IF($A69="N/A"," ",$U69*(8*($BQ69))*L69)</f>
        <v> </v>
      </c>
      <c r="W69" s="320" t="str">
        <f aca="false">IF($A69="N/A"," ",$U69*(8*($BQ69))*M69)</f>
        <v> </v>
      </c>
      <c r="X69" s="320" t="str">
        <f aca="false">IF($A69="N/A"," ",$U69*(8*($BQ69))*N69)</f>
        <v> </v>
      </c>
      <c r="Y69" s="320" t="str">
        <f aca="false">IF($A69="N/A"," ",$U69*(8*($BR69))*O69)</f>
        <v> </v>
      </c>
      <c r="Z69" s="320" t="str">
        <f aca="false">IF($A69="N/A"," ",$U69*(8*($BR69))*P69)</f>
        <v> </v>
      </c>
      <c r="AA69" s="320" t="str">
        <f aca="false">IF($A69="N/A"," ",$U69*(8*($BR69))*Q69)</f>
        <v> </v>
      </c>
      <c r="AB69" s="320" t="str">
        <f aca="false">IF($A69="N/A"," ",$U69*(8*($BS69))*R69)</f>
        <v> </v>
      </c>
      <c r="AC69" s="320" t="str">
        <f aca="false">IF($A69="N/A"," ",$U69*(8*($BS69))*S69)</f>
        <v> </v>
      </c>
      <c r="AD69" s="320" t="str">
        <f aca="false">IF($A69="N/A"," ",$U69*(8*($BS69))*T69)</f>
        <v> </v>
      </c>
      <c r="AE69" s="320" t="str">
        <f aca="false">IF($A69="N/A"," ",SUM(V69:AD69))</f>
        <v> </v>
      </c>
      <c r="AF69" s="321" t="str">
        <f aca="false">IF(A69="N/A"," ",(VLOOKUP(A69,PowerVolTable,(IF(VolBMO1=2,7,IF(VolBMO1=1,6,8))),FALSE())))</f>
        <v> </v>
      </c>
      <c r="AG69" s="321" t="str">
        <f aca="false">IF(A69="N/A"," ",(VLOOKUP(A69,IntraPowerVol,(IF(VolBMO1=2,3,IF(VolBMO1=1,2,4))),FALSE())*VLOOKUP(MONTH($A69),Volscale,2)))</f>
        <v> </v>
      </c>
      <c r="AH69" s="321" t="str">
        <f aca="false">IF($A69="N/A"," ",IF(VolType1=1,AG69,AF69))</f>
        <v> </v>
      </c>
      <c r="AI69" s="321" t="str">
        <f aca="false">IF($A69="N/A"," ",(VLOOKUP($A69,OffPwrVolTable,(IF(VolBMO1=2,7,IF(VolBMO1=1,6,8))),FALSE())))</f>
        <v> </v>
      </c>
      <c r="AJ69" s="321" t="str">
        <f aca="false">IF($A69="N/A"," ",(VLOOKUP($A69,OffPwrVolTable,(IF(VolBMO1=2,3,IF(VolBMO1=1,2,4))),FALSE())*VLOOKUP(MONTH($A69),Volscale,2)))</f>
        <v> </v>
      </c>
      <c r="AK69" s="321" t="str">
        <f aca="false">IF($A69="N/A"," ",IF(VolType1=1,AJ69,AI69))</f>
        <v> </v>
      </c>
      <c r="AL69" s="321" t="str">
        <f aca="false">IF($A69="N/A"," ",IF(PV=1,0,'Pricing Inputs1'!R102))</f>
        <v> </v>
      </c>
      <c r="AM69" s="323" t="str">
        <f aca="false">IF($A69="N/A"," ",(1+AL69/2)^(-2*((EOMONTH(A69,0)+20)-DateToday)/365.25))</f>
        <v> </v>
      </c>
      <c r="BQ69" s="0" t="str">
        <f aca="false">IF($A69="N/A"," ",(VLOOKUP($A69,NumberofDaysTable,2)))</f>
        <v> </v>
      </c>
      <c r="BR69" s="0" t="str">
        <f aca="false">IF($A69="N/A"," ",(VLOOKUP($A69,NumberofDaysTable,3)))</f>
        <v> </v>
      </c>
      <c r="BS69" s="0" t="str">
        <f aca="false">IF($A69="N/A"," ",(VLOOKUP($A69,NumberofDaysTable,4)))</f>
        <v> </v>
      </c>
    </row>
    <row r="70" customFormat="false" ht="12.75" hidden="false" customHeight="false" outlineLevel="0" collapsed="false">
      <c r="A70" s="315" t="str">
        <f aca="false">IF(A69="N/A","N/A",IF(EDATE(A69,1)&gt;Inputs!$M$5,"N/A",EDATE(A69,1)))</f>
        <v>N/A</v>
      </c>
      <c r="B70" s="316" t="str">
        <f aca="false">IF(A70="N/A"," ",YEAR(A70))</f>
        <v> </v>
      </c>
      <c r="C70" s="317" t="str">
        <f aca="false">IF($A70="N/A"," ",IF(Dayrun1=10,0,IF(Scaler1=1,(VLOOKUP(A70,ScaledPrice1,4)),(VLOOKUP(A70,ScaledPrice1,2)))))</f>
        <v> </v>
      </c>
      <c r="D70" s="317" t="str">
        <f aca="false">IF(A70="N/A"," ",IF(Dayrun1&gt;=7,0,IF(Scaler1=2,VLOOKUP(A70,ScaledPrice1,2),(VLOOKUP(A70,ScaledPrice1,2))*(2-(VLOOKUP(A70,ScaledPrice1,3))))))</f>
        <v> </v>
      </c>
      <c r="E70" s="317" t="str">
        <f aca="false">IF($A70="N/A"," ",IF(AND(Dayrun1&gt;=4,Dayrun1&lt;=9),0,VLOOKUP($A70,ScaledPrice1,9)))</f>
        <v> </v>
      </c>
      <c r="F70" s="317" t="str">
        <f aca="false">IF(A70="N/A"," ",IF(OR(Dayrun1=2,Dayrun1=3,Dayrun1=5,Dayrun1=6,Dayrun1=8,Dayrun1=9),VLOOKUP(A70,ScaledPrice1,IF(Scaler1=1,6,5)),0))</f>
        <v> </v>
      </c>
      <c r="G70" s="317" t="str">
        <f aca="false">IF(A70="N/A"," ",IF(OR(Dayrun1=2,Dayrun1=3,Dayrun1=5,Dayrun1=6),IF(Scaler1=2,F70,(VLOOKUP(A70,ScaledPrice1,5))*(2-(VLOOKUP(A70,ScaledPrice1,3)))),0))</f>
        <v> </v>
      </c>
      <c r="H70" s="317" t="str">
        <f aca="false">IF($A70="N/A"," ",IF(OR(Dayrun1=2,Dayrun1=3,Dayrun1=10),VLOOKUP($A70,ScaledPrice1,9),0))</f>
        <v> </v>
      </c>
      <c r="I70" s="317" t="str">
        <f aca="false">IF(A70="N/A"," ",IF(OR(Dayrun1=3,Dayrun1=6,Dayrun1=9),(VLOOKUP(A70,ScaledPrice1,IF(Scaler1=2,7,8))),0))</f>
        <v> </v>
      </c>
      <c r="J70" s="317" t="str">
        <f aca="false">IF(A70="N/A"," ",IF(OR(Dayrun1=3,Dayrun1=6),IF(Scaler1=2,I70,(VLOOKUP(A70,ScaledPrice1,7))*(2-(VLOOKUP(A70,ScaledPrice1,3)))),0))</f>
        <v> </v>
      </c>
      <c r="K70" s="317" t="str">
        <f aca="false">IF($A70="N/A"," ",IF(OR(Dayrun1=3,Dayrun1=10),VLOOKUP($A70,ScaledPrice1,9),0))</f>
        <v> </v>
      </c>
      <c r="L70" s="318" t="str">
        <f aca="false">IF($A70="N/A"," ",IF(Pricetype1=2,MAX(C70,0),IF(OR(Pricetype1=1,Pricetype1=4),IF(C70=0,0,(EURO(C70,Strikeprice1,0,0,($AH70+IF(Smile=TRUE(),VLOOKUP(MAX(-5,Strikeprice1-C70),Volsmile,2),0)),($A70-DateToday)+15,IF(Pricetype1=1,1,0),0))),C70)))</f>
        <v> </v>
      </c>
      <c r="M70" s="318" t="str">
        <f aca="false">IF($A70="N/A"," ",IF(Pricetype1=2,MAX(D70,0),IF(OR(Pricetype1=1,Pricetype1=4),IF(D70=0,0,(EURO(D70,Strikeprice1,0,0,($AH70+IF(Smile=TRUE(),VLOOKUP(MAX(-5,Strikeprice1-D70),Volsmile,2),0)),($A70-DateToday)+15,IF(Pricetype1=1,1,0),0))),D70)))</f>
        <v> </v>
      </c>
      <c r="N70" s="318" t="str">
        <f aca="false">IF($A70="N/A"," ",IF(Pricetype1=2,MAX(E70,0),IF(OR(Pricetype1=1,Pricetype1=4),IF(E70=0,0,(EURO(E70,Strikeprice1,0,0,($AK70+IF(Smile=TRUE(),VLOOKUP(MAX(-5,Strikeprice1-E70),Volsmile,2),0)),($A70-DateToday)+15,IF(Pricetype1=1,1,0),0))),E70)))</f>
        <v> </v>
      </c>
      <c r="O70" s="318" t="str">
        <f aca="false">IF($A70="N/A"," ",IF(Pricetype1=2,MAX(F70,0),IF(OR(Pricetype1=1,Pricetype1=4),IF(F70=0,0,(EURO(F70,Strikeprice1,0,0,($AK70+IF(Smile=TRUE(),VLOOKUP(MAX(-5,Strikeprice1-F70),Volsmile,2),0)),($A70-DateToday)+15,IF(Pricetype1=1,1,0),0))),F70)))</f>
        <v> </v>
      </c>
      <c r="P70" s="318" t="str">
        <f aca="false">IF($A70="N/A"," ",IF(Pricetype1=2,MAX(G70,0),IF(OR(Pricetype1=1,Pricetype1=4),IF(G70=0,0,(EURO(G70,Strikeprice1,0,0,($AK70+IF(Smile=TRUE(),VLOOKUP(MAX(-5,Strikeprice1-G70),Volsmile,2),0)),($A70-DateToday)+15,IF(Pricetype1=1,1,0),0))),G70)))</f>
        <v> </v>
      </c>
      <c r="Q70" s="318" t="str">
        <f aca="false">IF($A70="N/A"," ",IF(Pricetype1=2,MAX(H70,0),IF(OR(Pricetype1=1,Pricetype1=4),IF(H70=0,0,(EURO(H70,Strikeprice1,0,0,($AK70+IF(Smile=TRUE(),VLOOKUP(MAX(-5,Strikeprice1-H70),Volsmile,2),0)),($A70-DateToday)+15,IF(Pricetype1=1,1,0),0))),H70)))</f>
        <v> </v>
      </c>
      <c r="R70" s="318" t="str">
        <f aca="false">IF($A70="N/A"," ",IF(Pricetype1=2,MAX(I70,0),IF(OR(Pricetype1=1,Pricetype1=4),IF(I70=0,0,(EURO(I70,Strikeprice1,0,0,($AK70+IF(Smile=TRUE(),VLOOKUP(MAX(-5,Strikeprice1-I70),Volsmile,2),0)),($A70-DateToday)+15,IF(Pricetype1=1,1,0),0))),I70)))</f>
        <v> </v>
      </c>
      <c r="S70" s="318" t="str">
        <f aca="false">IF($A70="N/A"," ",IF(Pricetype1=2,MAX(J70,0),IF(OR(Pricetype1=1,Pricetype1=4),IF(J70=0,0,(EURO(J70,Strikeprice1,0,0,($AK70+IF(Smile=TRUE(),VLOOKUP(MAX(-5,Strikeprice1-J70),Volsmile,2),0)),($A70-DateToday)+15,IF(Pricetype1=1,1,0),0))),J70)))</f>
        <v> </v>
      </c>
      <c r="T70" s="318" t="str">
        <f aca="false">IF($A70="N/A"," ",IF(Pricetype1=2,MAX(K70,0),IF(OR(Pricetype1=1,Pricetype1=4),IF(K70=0,0,(EURO(K70,Strikeprice1,0,0,($AK70+IF(Smile=TRUE(),VLOOKUP(MAX(-5,Strikeprice1-K70),Volsmile,2),0)),($A70-DateToday)+15,IF(Pricetype1=1,1,0),0))),K70)))</f>
        <v> </v>
      </c>
      <c r="U70" s="319" t="str">
        <f aca="false">IF($A70="N/A"," ",Volume1*$AM70)</f>
        <v> </v>
      </c>
      <c r="V70" s="320" t="str">
        <f aca="false">IF($A70="N/A"," ",$U70*(8*($BQ70))*L70)</f>
        <v> </v>
      </c>
      <c r="W70" s="320" t="str">
        <f aca="false">IF($A70="N/A"," ",$U70*(8*($BQ70))*M70)</f>
        <v> </v>
      </c>
      <c r="X70" s="320" t="str">
        <f aca="false">IF($A70="N/A"," ",$U70*(8*($BQ70))*N70)</f>
        <v> </v>
      </c>
      <c r="Y70" s="320" t="str">
        <f aca="false">IF($A70="N/A"," ",$U70*(8*($BR70))*O70)</f>
        <v> </v>
      </c>
      <c r="Z70" s="320" t="str">
        <f aca="false">IF($A70="N/A"," ",$U70*(8*($BR70))*P70)</f>
        <v> </v>
      </c>
      <c r="AA70" s="320" t="str">
        <f aca="false">IF($A70="N/A"," ",$U70*(8*($BR70))*Q70)</f>
        <v> </v>
      </c>
      <c r="AB70" s="320" t="str">
        <f aca="false">IF($A70="N/A"," ",$U70*(8*($BS70))*R70)</f>
        <v> </v>
      </c>
      <c r="AC70" s="320" t="str">
        <f aca="false">IF($A70="N/A"," ",$U70*(8*($BS70))*S70)</f>
        <v> </v>
      </c>
      <c r="AD70" s="320" t="str">
        <f aca="false">IF($A70="N/A"," ",$U70*(8*($BS70))*T70)</f>
        <v> </v>
      </c>
      <c r="AE70" s="320" t="str">
        <f aca="false">IF($A70="N/A"," ",SUM(V70:AD70))</f>
        <v> </v>
      </c>
      <c r="AF70" s="321" t="str">
        <f aca="false">IF(A70="N/A"," ",(VLOOKUP(A70,PowerVolTable,(IF(VolBMO1=2,7,IF(VolBMO1=1,6,8))),FALSE())))</f>
        <v> </v>
      </c>
      <c r="AG70" s="321" t="str">
        <f aca="false">IF(A70="N/A"," ",(VLOOKUP(A70,IntraPowerVol,(IF(VolBMO1=2,3,IF(VolBMO1=1,2,4))),FALSE())*VLOOKUP(MONTH($A70),Volscale,2)))</f>
        <v> </v>
      </c>
      <c r="AH70" s="321" t="str">
        <f aca="false">IF($A70="N/A"," ",IF(VolType1=1,AG70,AF70))</f>
        <v> </v>
      </c>
      <c r="AI70" s="321" t="str">
        <f aca="false">IF($A70="N/A"," ",(VLOOKUP($A70,OffPwrVolTable,(IF(VolBMO1=2,7,IF(VolBMO1=1,6,8))),FALSE())))</f>
        <v> </v>
      </c>
      <c r="AJ70" s="321" t="str">
        <f aca="false">IF($A70="N/A"," ",(VLOOKUP($A70,OffPwrVolTable,(IF(VolBMO1=2,3,IF(VolBMO1=1,2,4))),FALSE())*VLOOKUP(MONTH($A70),Volscale,2)))</f>
        <v> </v>
      </c>
      <c r="AK70" s="321" t="str">
        <f aca="false">IF($A70="N/A"," ",IF(VolType1=1,AJ70,AI70))</f>
        <v> </v>
      </c>
      <c r="AL70" s="321" t="str">
        <f aca="false">IF($A70="N/A"," ",IF(PV=1,0,'Pricing Inputs1'!R103))</f>
        <v> </v>
      </c>
      <c r="AM70" s="323" t="str">
        <f aca="false">IF($A70="N/A"," ",(1+AL70/2)^(-2*((EOMONTH(A70,0)+20)-DateToday)/365.25))</f>
        <v> </v>
      </c>
      <c r="BQ70" s="0" t="str">
        <f aca="false">IF($A70="N/A"," ",(VLOOKUP($A70,NumberofDaysTable,2)))</f>
        <v> </v>
      </c>
      <c r="BR70" s="0" t="str">
        <f aca="false">IF($A70="N/A"," ",(VLOOKUP($A70,NumberofDaysTable,3)))</f>
        <v> </v>
      </c>
      <c r="BS70" s="0" t="str">
        <f aca="false">IF($A70="N/A"," ",(VLOOKUP($A70,NumberofDaysTable,4)))</f>
        <v> </v>
      </c>
    </row>
    <row r="71" customFormat="false" ht="12.75" hidden="false" customHeight="false" outlineLevel="0" collapsed="false">
      <c r="A71" s="315" t="str">
        <f aca="false">IF(A70="N/A","N/A",IF(EDATE(A70,1)&gt;Inputs!$M$5,"N/A",EDATE(A70,1)))</f>
        <v>N/A</v>
      </c>
      <c r="B71" s="316" t="str">
        <f aca="false">IF(A71="N/A"," ",YEAR(A71))</f>
        <v> </v>
      </c>
      <c r="C71" s="317" t="str">
        <f aca="false">IF($A71="N/A"," ",IF(Dayrun1=10,0,IF(Scaler1=1,(VLOOKUP(A71,ScaledPrice1,4)),(VLOOKUP(A71,ScaledPrice1,2)))))</f>
        <v> </v>
      </c>
      <c r="D71" s="317" t="str">
        <f aca="false">IF(A71="N/A"," ",IF(Dayrun1&gt;=7,0,IF(Scaler1=2,VLOOKUP(A71,ScaledPrice1,2),(VLOOKUP(A71,ScaledPrice1,2))*(2-(VLOOKUP(A71,ScaledPrice1,3))))))</f>
        <v> </v>
      </c>
      <c r="E71" s="317" t="str">
        <f aca="false">IF($A71="N/A"," ",IF(AND(Dayrun1&gt;=4,Dayrun1&lt;=9),0,VLOOKUP($A71,ScaledPrice1,9)))</f>
        <v> </v>
      </c>
      <c r="F71" s="317" t="str">
        <f aca="false">IF(A71="N/A"," ",IF(OR(Dayrun1=2,Dayrun1=3,Dayrun1=5,Dayrun1=6,Dayrun1=8,Dayrun1=9),VLOOKUP(A71,ScaledPrice1,IF(Scaler1=1,6,5)),0))</f>
        <v> </v>
      </c>
      <c r="G71" s="317" t="str">
        <f aca="false">IF(A71="N/A"," ",IF(OR(Dayrun1=2,Dayrun1=3,Dayrun1=5,Dayrun1=6),IF(Scaler1=2,F71,(VLOOKUP(A71,ScaledPrice1,5))*(2-(VLOOKUP(A71,ScaledPrice1,3)))),0))</f>
        <v> </v>
      </c>
      <c r="H71" s="317" t="str">
        <f aca="false">IF($A71="N/A"," ",IF(OR(Dayrun1=2,Dayrun1=3,Dayrun1=10),VLOOKUP($A71,ScaledPrice1,9),0))</f>
        <v> </v>
      </c>
      <c r="I71" s="317" t="str">
        <f aca="false">IF(A71="N/A"," ",IF(OR(Dayrun1=3,Dayrun1=6,Dayrun1=9),(VLOOKUP(A71,ScaledPrice1,IF(Scaler1=2,7,8))),0))</f>
        <v> </v>
      </c>
      <c r="J71" s="317" t="str">
        <f aca="false">IF(A71="N/A"," ",IF(OR(Dayrun1=3,Dayrun1=6),IF(Scaler1=2,I71,(VLOOKUP(A71,ScaledPrice1,7))*(2-(VLOOKUP(A71,ScaledPrice1,3)))),0))</f>
        <v> </v>
      </c>
      <c r="K71" s="317" t="str">
        <f aca="false">IF($A71="N/A"," ",IF(OR(Dayrun1=3,Dayrun1=10),VLOOKUP($A71,ScaledPrice1,9),0))</f>
        <v> </v>
      </c>
      <c r="L71" s="318" t="str">
        <f aca="false">IF($A71="N/A"," ",IF(Pricetype1=2,MAX(C71,0),IF(OR(Pricetype1=1,Pricetype1=4),IF(C71=0,0,(EURO(C71,Strikeprice1,0,0,($AH71+IF(Smile=TRUE(),VLOOKUP(MAX(-5,Strikeprice1-C71),Volsmile,2),0)),($A71-DateToday)+15,IF(Pricetype1=1,1,0),0))),C71)))</f>
        <v> </v>
      </c>
      <c r="M71" s="318" t="str">
        <f aca="false">IF($A71="N/A"," ",IF(Pricetype1=2,MAX(D71,0),IF(OR(Pricetype1=1,Pricetype1=4),IF(D71=0,0,(EURO(D71,Strikeprice1,0,0,($AH71+IF(Smile=TRUE(),VLOOKUP(MAX(-5,Strikeprice1-D71),Volsmile,2),0)),($A71-DateToday)+15,IF(Pricetype1=1,1,0),0))),D71)))</f>
        <v> </v>
      </c>
      <c r="N71" s="318" t="str">
        <f aca="false">IF($A71="N/A"," ",IF(Pricetype1=2,MAX(E71,0),IF(OR(Pricetype1=1,Pricetype1=4),IF(E71=0,0,(EURO(E71,Strikeprice1,0,0,($AK71+IF(Smile=TRUE(),VLOOKUP(MAX(-5,Strikeprice1-E71),Volsmile,2),0)),($A71-DateToday)+15,IF(Pricetype1=1,1,0),0))),E71)))</f>
        <v> </v>
      </c>
      <c r="O71" s="318" t="str">
        <f aca="false">IF($A71="N/A"," ",IF(Pricetype1=2,MAX(F71,0),IF(OR(Pricetype1=1,Pricetype1=4),IF(F71=0,0,(EURO(F71,Strikeprice1,0,0,($AK71+IF(Smile=TRUE(),VLOOKUP(MAX(-5,Strikeprice1-F71),Volsmile,2),0)),($A71-DateToday)+15,IF(Pricetype1=1,1,0),0))),F71)))</f>
        <v> </v>
      </c>
      <c r="P71" s="318" t="str">
        <f aca="false">IF($A71="N/A"," ",IF(Pricetype1=2,MAX(G71,0),IF(OR(Pricetype1=1,Pricetype1=4),IF(G71=0,0,(EURO(G71,Strikeprice1,0,0,($AK71+IF(Smile=TRUE(),VLOOKUP(MAX(-5,Strikeprice1-G71),Volsmile,2),0)),($A71-DateToday)+15,IF(Pricetype1=1,1,0),0))),G71)))</f>
        <v> </v>
      </c>
      <c r="Q71" s="318" t="str">
        <f aca="false">IF($A71="N/A"," ",IF(Pricetype1=2,MAX(H71,0),IF(OR(Pricetype1=1,Pricetype1=4),IF(H71=0,0,(EURO(H71,Strikeprice1,0,0,($AK71+IF(Smile=TRUE(),VLOOKUP(MAX(-5,Strikeprice1-H71),Volsmile,2),0)),($A71-DateToday)+15,IF(Pricetype1=1,1,0),0))),H71)))</f>
        <v> </v>
      </c>
      <c r="R71" s="318" t="str">
        <f aca="false">IF($A71="N/A"," ",IF(Pricetype1=2,MAX(I71,0),IF(OR(Pricetype1=1,Pricetype1=4),IF(I71=0,0,(EURO(I71,Strikeprice1,0,0,($AK71+IF(Smile=TRUE(),VLOOKUP(MAX(-5,Strikeprice1-I71),Volsmile,2),0)),($A71-DateToday)+15,IF(Pricetype1=1,1,0),0))),I71)))</f>
        <v> </v>
      </c>
      <c r="S71" s="318" t="str">
        <f aca="false">IF($A71="N/A"," ",IF(Pricetype1=2,MAX(J71,0),IF(OR(Pricetype1=1,Pricetype1=4),IF(J71=0,0,(EURO(J71,Strikeprice1,0,0,($AK71+IF(Smile=TRUE(),VLOOKUP(MAX(-5,Strikeprice1-J71),Volsmile,2),0)),($A71-DateToday)+15,IF(Pricetype1=1,1,0),0))),J71)))</f>
        <v> </v>
      </c>
      <c r="T71" s="318" t="str">
        <f aca="false">IF($A71="N/A"," ",IF(Pricetype1=2,MAX(K71,0),IF(OR(Pricetype1=1,Pricetype1=4),IF(K71=0,0,(EURO(K71,Strikeprice1,0,0,($AK71+IF(Smile=TRUE(),VLOOKUP(MAX(-5,Strikeprice1-K71),Volsmile,2),0)),($A71-DateToday)+15,IF(Pricetype1=1,1,0),0))),K71)))</f>
        <v> </v>
      </c>
      <c r="U71" s="319" t="str">
        <f aca="false">IF($A71="N/A"," ",Volume1*$AM71)</f>
        <v> </v>
      </c>
      <c r="V71" s="320" t="str">
        <f aca="false">IF($A71="N/A"," ",$U71*(8*($BQ71))*L71)</f>
        <v> </v>
      </c>
      <c r="W71" s="320" t="str">
        <f aca="false">IF($A71="N/A"," ",$U71*(8*($BQ71))*M71)</f>
        <v> </v>
      </c>
      <c r="X71" s="320" t="str">
        <f aca="false">IF($A71="N/A"," ",$U71*(8*($BQ71))*N71)</f>
        <v> </v>
      </c>
      <c r="Y71" s="320" t="str">
        <f aca="false">IF($A71="N/A"," ",$U71*(8*($BR71))*O71)</f>
        <v> </v>
      </c>
      <c r="Z71" s="320" t="str">
        <f aca="false">IF($A71="N/A"," ",$U71*(8*($BR71))*P71)</f>
        <v> </v>
      </c>
      <c r="AA71" s="320" t="str">
        <f aca="false">IF($A71="N/A"," ",$U71*(8*($BR71))*Q71)</f>
        <v> </v>
      </c>
      <c r="AB71" s="320" t="str">
        <f aca="false">IF($A71="N/A"," ",$U71*(8*($BS71))*R71)</f>
        <v> </v>
      </c>
      <c r="AC71" s="320" t="str">
        <f aca="false">IF($A71="N/A"," ",$U71*(8*($BS71))*S71)</f>
        <v> </v>
      </c>
      <c r="AD71" s="320" t="str">
        <f aca="false">IF($A71="N/A"," ",$U71*(8*($BS71))*T71)</f>
        <v> </v>
      </c>
      <c r="AE71" s="320" t="str">
        <f aca="false">IF($A71="N/A"," ",SUM(V71:AD71))</f>
        <v> </v>
      </c>
      <c r="AF71" s="321" t="str">
        <f aca="false">IF(A71="N/A"," ",(VLOOKUP(A71,PowerVolTable,(IF(VolBMO1=2,7,IF(VolBMO1=1,6,8))),FALSE())))</f>
        <v> </v>
      </c>
      <c r="AG71" s="321" t="str">
        <f aca="false">IF(A71="N/A"," ",(VLOOKUP(A71,IntraPowerVol,(IF(VolBMO1=2,3,IF(VolBMO1=1,2,4))),FALSE())*VLOOKUP(MONTH($A71),Volscale,2)))</f>
        <v> </v>
      </c>
      <c r="AH71" s="321" t="str">
        <f aca="false">IF($A71="N/A"," ",IF(VolType1=1,AG71,AF71))</f>
        <v> </v>
      </c>
      <c r="AI71" s="321" t="str">
        <f aca="false">IF($A71="N/A"," ",(VLOOKUP($A71,OffPwrVolTable,(IF(VolBMO1=2,7,IF(VolBMO1=1,6,8))),FALSE())))</f>
        <v> </v>
      </c>
      <c r="AJ71" s="321" t="str">
        <f aca="false">IF($A71="N/A"," ",(VLOOKUP($A71,OffPwrVolTable,(IF(VolBMO1=2,3,IF(VolBMO1=1,2,4))),FALSE())*VLOOKUP(MONTH($A71),Volscale,2)))</f>
        <v> </v>
      </c>
      <c r="AK71" s="321" t="str">
        <f aca="false">IF($A71="N/A"," ",IF(VolType1=1,AJ71,AI71))</f>
        <v> </v>
      </c>
      <c r="AL71" s="321" t="str">
        <f aca="false">IF($A71="N/A"," ",IF(PV=1,0,'Pricing Inputs1'!R104))</f>
        <v> </v>
      </c>
      <c r="AM71" s="323" t="str">
        <f aca="false">IF($A71="N/A"," ",(1+AL71/2)^(-2*((EOMONTH(A71,0)+20)-DateToday)/365.25))</f>
        <v> </v>
      </c>
      <c r="BQ71" s="0" t="str">
        <f aca="false">IF($A71="N/A"," ",(VLOOKUP($A71,NumberofDaysTable,2)))</f>
        <v> </v>
      </c>
      <c r="BR71" s="0" t="str">
        <f aca="false">IF($A71="N/A"," ",(VLOOKUP($A71,NumberofDaysTable,3)))</f>
        <v> </v>
      </c>
      <c r="BS71" s="0" t="str">
        <f aca="false">IF($A71="N/A"," ",(VLOOKUP($A71,NumberofDaysTable,4)))</f>
        <v> </v>
      </c>
    </row>
    <row r="72" customFormat="false" ht="12.75" hidden="false" customHeight="false" outlineLevel="0" collapsed="false">
      <c r="A72" s="315" t="str">
        <f aca="false">IF(A71="N/A","N/A",IF(EDATE(A71,1)&gt;Inputs!$M$5,"N/A",EDATE(A71,1)))</f>
        <v>N/A</v>
      </c>
      <c r="B72" s="316" t="str">
        <f aca="false">IF(A72="N/A"," ",YEAR(A72))</f>
        <v> </v>
      </c>
      <c r="C72" s="317" t="str">
        <f aca="false">IF($A72="N/A"," ",IF(Dayrun1=10,0,IF(Scaler1=1,(VLOOKUP(A72,ScaledPrice1,4)),(VLOOKUP(A72,ScaledPrice1,2)))))</f>
        <v> </v>
      </c>
      <c r="D72" s="317" t="str">
        <f aca="false">IF(A72="N/A"," ",IF(Dayrun1&gt;=7,0,IF(Scaler1=2,VLOOKUP(A72,ScaledPrice1,2),(VLOOKUP(A72,ScaledPrice1,2))*(2-(VLOOKUP(A72,ScaledPrice1,3))))))</f>
        <v> </v>
      </c>
      <c r="E72" s="317" t="str">
        <f aca="false">IF($A72="N/A"," ",IF(AND(Dayrun1&gt;=4,Dayrun1&lt;=9),0,VLOOKUP($A72,ScaledPrice1,9)))</f>
        <v> </v>
      </c>
      <c r="F72" s="317" t="str">
        <f aca="false">IF(A72="N/A"," ",IF(OR(Dayrun1=2,Dayrun1=3,Dayrun1=5,Dayrun1=6,Dayrun1=8,Dayrun1=9),VLOOKUP(A72,ScaledPrice1,IF(Scaler1=1,6,5)),0))</f>
        <v> </v>
      </c>
      <c r="G72" s="317" t="str">
        <f aca="false">IF(A72="N/A"," ",IF(OR(Dayrun1=2,Dayrun1=3,Dayrun1=5,Dayrun1=6),IF(Scaler1=2,F72,(VLOOKUP(A72,ScaledPrice1,5))*(2-(VLOOKUP(A72,ScaledPrice1,3)))),0))</f>
        <v> </v>
      </c>
      <c r="H72" s="317" t="str">
        <f aca="false">IF($A72="N/A"," ",IF(OR(Dayrun1=2,Dayrun1=3,Dayrun1=10),VLOOKUP($A72,ScaledPrice1,9),0))</f>
        <v> </v>
      </c>
      <c r="I72" s="317" t="str">
        <f aca="false">IF(A72="N/A"," ",IF(OR(Dayrun1=3,Dayrun1=6,Dayrun1=9),(VLOOKUP(A72,ScaledPrice1,IF(Scaler1=2,7,8))),0))</f>
        <v> </v>
      </c>
      <c r="J72" s="317" t="str">
        <f aca="false">IF(A72="N/A"," ",IF(OR(Dayrun1=3,Dayrun1=6),IF(Scaler1=2,I72,(VLOOKUP(A72,ScaledPrice1,7))*(2-(VLOOKUP(A72,ScaledPrice1,3)))),0))</f>
        <v> </v>
      </c>
      <c r="K72" s="317" t="str">
        <f aca="false">IF($A72="N/A"," ",IF(OR(Dayrun1=3,Dayrun1=10),VLOOKUP($A72,ScaledPrice1,9),0))</f>
        <v> </v>
      </c>
      <c r="L72" s="318" t="str">
        <f aca="false">IF($A72="N/A"," ",IF(Pricetype1=2,MAX(C72,0),IF(OR(Pricetype1=1,Pricetype1=4),IF(C72=0,0,(EURO(C72,Strikeprice1,0,0,($AH72+IF(Smile=TRUE(),VLOOKUP(MAX(-5,Strikeprice1-C72),Volsmile,2),0)),($A72-DateToday)+15,IF(Pricetype1=1,1,0),0))),C72)))</f>
        <v> </v>
      </c>
      <c r="M72" s="318" t="str">
        <f aca="false">IF($A72="N/A"," ",IF(Pricetype1=2,MAX(D72,0),IF(OR(Pricetype1=1,Pricetype1=4),IF(D72=0,0,(EURO(D72,Strikeprice1,0,0,($AH72+IF(Smile=TRUE(),VLOOKUP(MAX(-5,Strikeprice1-D72),Volsmile,2),0)),($A72-DateToday)+15,IF(Pricetype1=1,1,0),0))),D72)))</f>
        <v> </v>
      </c>
      <c r="N72" s="318" t="str">
        <f aca="false">IF($A72="N/A"," ",IF(Pricetype1=2,MAX(E72,0),IF(OR(Pricetype1=1,Pricetype1=4),IF(E72=0,0,(EURO(E72,Strikeprice1,0,0,($AK72+IF(Smile=TRUE(),VLOOKUP(MAX(-5,Strikeprice1-E72),Volsmile,2),0)),($A72-DateToday)+15,IF(Pricetype1=1,1,0),0))),E72)))</f>
        <v> </v>
      </c>
      <c r="O72" s="318" t="str">
        <f aca="false">IF($A72="N/A"," ",IF(Pricetype1=2,MAX(F72,0),IF(OR(Pricetype1=1,Pricetype1=4),IF(F72=0,0,(EURO(F72,Strikeprice1,0,0,($AK72+IF(Smile=TRUE(),VLOOKUP(MAX(-5,Strikeprice1-F72),Volsmile,2),0)),($A72-DateToday)+15,IF(Pricetype1=1,1,0),0))),F72)))</f>
        <v> </v>
      </c>
      <c r="P72" s="318" t="str">
        <f aca="false">IF($A72="N/A"," ",IF(Pricetype1=2,MAX(G72,0),IF(OR(Pricetype1=1,Pricetype1=4),IF(G72=0,0,(EURO(G72,Strikeprice1,0,0,($AK72+IF(Smile=TRUE(),VLOOKUP(MAX(-5,Strikeprice1-G72),Volsmile,2),0)),($A72-DateToday)+15,IF(Pricetype1=1,1,0),0))),G72)))</f>
        <v> </v>
      </c>
      <c r="Q72" s="318" t="str">
        <f aca="false">IF($A72="N/A"," ",IF(Pricetype1=2,MAX(H72,0),IF(OR(Pricetype1=1,Pricetype1=4),IF(H72=0,0,(EURO(H72,Strikeprice1,0,0,($AK72+IF(Smile=TRUE(),VLOOKUP(MAX(-5,Strikeprice1-H72),Volsmile,2),0)),($A72-DateToday)+15,IF(Pricetype1=1,1,0),0))),H72)))</f>
        <v> </v>
      </c>
      <c r="R72" s="318" t="str">
        <f aca="false">IF($A72="N/A"," ",IF(Pricetype1=2,MAX(I72,0),IF(OR(Pricetype1=1,Pricetype1=4),IF(I72=0,0,(EURO(I72,Strikeprice1,0,0,($AK72+IF(Smile=TRUE(),VLOOKUP(MAX(-5,Strikeprice1-I72),Volsmile,2),0)),($A72-DateToday)+15,IF(Pricetype1=1,1,0),0))),I72)))</f>
        <v> </v>
      </c>
      <c r="S72" s="318" t="str">
        <f aca="false">IF($A72="N/A"," ",IF(Pricetype1=2,MAX(J72,0),IF(OR(Pricetype1=1,Pricetype1=4),IF(J72=0,0,(EURO(J72,Strikeprice1,0,0,($AK72+IF(Smile=TRUE(),VLOOKUP(MAX(-5,Strikeprice1-J72),Volsmile,2),0)),($A72-DateToday)+15,IF(Pricetype1=1,1,0),0))),J72)))</f>
        <v> </v>
      </c>
      <c r="T72" s="318" t="str">
        <f aca="false">IF($A72="N/A"," ",IF(Pricetype1=2,MAX(K72,0),IF(OR(Pricetype1=1,Pricetype1=4),IF(K72=0,0,(EURO(K72,Strikeprice1,0,0,($AK72+IF(Smile=TRUE(),VLOOKUP(MAX(-5,Strikeprice1-K72),Volsmile,2),0)),($A72-DateToday)+15,IF(Pricetype1=1,1,0),0))),K72)))</f>
        <v> </v>
      </c>
      <c r="U72" s="319" t="str">
        <f aca="false">IF($A72="N/A"," ",Volume1*$AM72)</f>
        <v> </v>
      </c>
      <c r="V72" s="320" t="str">
        <f aca="false">IF($A72="N/A"," ",$U72*(8*($BQ72))*L72)</f>
        <v> </v>
      </c>
      <c r="W72" s="320" t="str">
        <f aca="false">IF($A72="N/A"," ",$U72*(8*($BQ72))*M72)</f>
        <v> </v>
      </c>
      <c r="X72" s="320" t="str">
        <f aca="false">IF($A72="N/A"," ",$U72*(8*($BQ72))*N72)</f>
        <v> </v>
      </c>
      <c r="Y72" s="320" t="str">
        <f aca="false">IF($A72="N/A"," ",$U72*(8*($BR72))*O72)</f>
        <v> </v>
      </c>
      <c r="Z72" s="320" t="str">
        <f aca="false">IF($A72="N/A"," ",$U72*(8*($BR72))*P72)</f>
        <v> </v>
      </c>
      <c r="AA72" s="320" t="str">
        <f aca="false">IF($A72="N/A"," ",$U72*(8*($BR72))*Q72)</f>
        <v> </v>
      </c>
      <c r="AB72" s="320" t="str">
        <f aca="false">IF($A72="N/A"," ",$U72*(8*($BS72))*R72)</f>
        <v> </v>
      </c>
      <c r="AC72" s="320" t="str">
        <f aca="false">IF($A72="N/A"," ",$U72*(8*($BS72))*S72)</f>
        <v> </v>
      </c>
      <c r="AD72" s="320" t="str">
        <f aca="false">IF($A72="N/A"," ",$U72*(8*($BS72))*T72)</f>
        <v> </v>
      </c>
      <c r="AE72" s="320" t="str">
        <f aca="false">IF($A72="N/A"," ",SUM(V72:AD72))</f>
        <v> </v>
      </c>
      <c r="AF72" s="321" t="str">
        <f aca="false">IF(A72="N/A"," ",(VLOOKUP(A72,PowerVolTable,(IF(VolBMO1=2,7,IF(VolBMO1=1,6,8))),FALSE())))</f>
        <v> </v>
      </c>
      <c r="AG72" s="321" t="str">
        <f aca="false">IF(A72="N/A"," ",(VLOOKUP(A72,IntraPowerVol,(IF(VolBMO1=2,3,IF(VolBMO1=1,2,4))),FALSE())*VLOOKUP(MONTH($A72),Volscale,2)))</f>
        <v> </v>
      </c>
      <c r="AH72" s="321" t="str">
        <f aca="false">IF($A72="N/A"," ",IF(VolType1=1,AG72,AF72))</f>
        <v> </v>
      </c>
      <c r="AI72" s="321" t="str">
        <f aca="false">IF($A72="N/A"," ",(VLOOKUP($A72,OffPwrVolTable,(IF(VolBMO1=2,7,IF(VolBMO1=1,6,8))),FALSE())))</f>
        <v> </v>
      </c>
      <c r="AJ72" s="321" t="str">
        <f aca="false">IF($A72="N/A"," ",(VLOOKUP($A72,OffPwrVolTable,(IF(VolBMO1=2,3,IF(VolBMO1=1,2,4))),FALSE())*VLOOKUP(MONTH($A72),Volscale,2)))</f>
        <v> </v>
      </c>
      <c r="AK72" s="321" t="str">
        <f aca="false">IF($A72="N/A"," ",IF(VolType1=1,AJ72,AI72))</f>
        <v> </v>
      </c>
      <c r="AL72" s="321" t="str">
        <f aca="false">IF($A72="N/A"," ",IF(PV=1,0,'Pricing Inputs1'!R105))</f>
        <v> </v>
      </c>
      <c r="AM72" s="323" t="str">
        <f aca="false">IF($A72="N/A"," ",(1+AL72/2)^(-2*((EOMONTH(A72,0)+20)-DateToday)/365.25))</f>
        <v> </v>
      </c>
      <c r="BQ72" s="0" t="str">
        <f aca="false">IF($A72="N/A"," ",(VLOOKUP($A72,NumberofDaysTable,2)))</f>
        <v> </v>
      </c>
      <c r="BR72" s="0" t="str">
        <f aca="false">IF($A72="N/A"," ",(VLOOKUP($A72,NumberofDaysTable,3)))</f>
        <v> </v>
      </c>
      <c r="BS72" s="0" t="str">
        <f aca="false">IF($A72="N/A"," ",(VLOOKUP($A72,NumberofDaysTable,4)))</f>
        <v> </v>
      </c>
    </row>
    <row r="73" customFormat="false" ht="12.75" hidden="false" customHeight="false" outlineLevel="0" collapsed="false">
      <c r="A73" s="315" t="str">
        <f aca="false">IF(A72="N/A","N/A",IF(EDATE(A72,1)&gt;Inputs!$M$5,"N/A",EDATE(A72,1)))</f>
        <v>N/A</v>
      </c>
      <c r="B73" s="316" t="str">
        <f aca="false">IF(A73="N/A"," ",YEAR(A73))</f>
        <v> </v>
      </c>
      <c r="C73" s="317" t="str">
        <f aca="false">IF($A73="N/A"," ",IF(Dayrun1=10,0,IF(Scaler1=1,(VLOOKUP(A73,ScaledPrice1,4)),(VLOOKUP(A73,ScaledPrice1,2)))))</f>
        <v> </v>
      </c>
      <c r="D73" s="317" t="str">
        <f aca="false">IF(A73="N/A"," ",IF(Dayrun1&gt;=7,0,IF(Scaler1=2,VLOOKUP(A73,ScaledPrice1,2),(VLOOKUP(A73,ScaledPrice1,2))*(2-(VLOOKUP(A73,ScaledPrice1,3))))))</f>
        <v> </v>
      </c>
      <c r="E73" s="317" t="str">
        <f aca="false">IF($A73="N/A"," ",IF(AND(Dayrun1&gt;=4,Dayrun1&lt;=9),0,VLOOKUP($A73,ScaledPrice1,9)))</f>
        <v> </v>
      </c>
      <c r="F73" s="317" t="str">
        <f aca="false">IF(A73="N/A"," ",IF(OR(Dayrun1=2,Dayrun1=3,Dayrun1=5,Dayrun1=6,Dayrun1=8,Dayrun1=9),VLOOKUP(A73,ScaledPrice1,IF(Scaler1=1,6,5)),0))</f>
        <v> </v>
      </c>
      <c r="G73" s="317" t="str">
        <f aca="false">IF(A73="N/A"," ",IF(OR(Dayrun1=2,Dayrun1=3,Dayrun1=5,Dayrun1=6),IF(Scaler1=2,F73,(VLOOKUP(A73,ScaledPrice1,5))*(2-(VLOOKUP(A73,ScaledPrice1,3)))),0))</f>
        <v> </v>
      </c>
      <c r="H73" s="317" t="str">
        <f aca="false">IF($A73="N/A"," ",IF(OR(Dayrun1=2,Dayrun1=3,Dayrun1=10),VLOOKUP($A73,ScaledPrice1,9),0))</f>
        <v> </v>
      </c>
      <c r="I73" s="317" t="str">
        <f aca="false">IF(A73="N/A"," ",IF(OR(Dayrun1=3,Dayrun1=6,Dayrun1=9),(VLOOKUP(A73,ScaledPrice1,IF(Scaler1=2,7,8))),0))</f>
        <v> </v>
      </c>
      <c r="J73" s="317" t="str">
        <f aca="false">IF(A73="N/A"," ",IF(OR(Dayrun1=3,Dayrun1=6),IF(Scaler1=2,I73,(VLOOKUP(A73,ScaledPrice1,7))*(2-(VLOOKUP(A73,ScaledPrice1,3)))),0))</f>
        <v> </v>
      </c>
      <c r="K73" s="317" t="str">
        <f aca="false">IF($A73="N/A"," ",IF(OR(Dayrun1=3,Dayrun1=10),VLOOKUP($A73,ScaledPrice1,9),0))</f>
        <v> </v>
      </c>
      <c r="L73" s="318" t="str">
        <f aca="false">IF($A73="N/A"," ",IF(Pricetype1=2,MAX(C73,0),IF(OR(Pricetype1=1,Pricetype1=4),IF(C73=0,0,(EURO(C73,Strikeprice1,0,0,($AH73+IF(Smile=TRUE(),VLOOKUP(MAX(-5,Strikeprice1-C73),Volsmile,2),0)),($A73-DateToday)+15,IF(Pricetype1=1,1,0),0))),C73)))</f>
        <v> </v>
      </c>
      <c r="M73" s="318" t="str">
        <f aca="false">IF($A73="N/A"," ",IF(Pricetype1=2,MAX(D73,0),IF(OR(Pricetype1=1,Pricetype1=4),IF(D73=0,0,(EURO(D73,Strikeprice1,0,0,($AH73+IF(Smile=TRUE(),VLOOKUP(MAX(-5,Strikeprice1-D73),Volsmile,2),0)),($A73-DateToday)+15,IF(Pricetype1=1,1,0),0))),D73)))</f>
        <v> </v>
      </c>
      <c r="N73" s="318" t="str">
        <f aca="false">IF($A73="N/A"," ",IF(Pricetype1=2,MAX(E73,0),IF(OR(Pricetype1=1,Pricetype1=4),IF(E73=0,0,(EURO(E73,Strikeprice1,0,0,($AK73+IF(Smile=TRUE(),VLOOKUP(MAX(-5,Strikeprice1-E73),Volsmile,2),0)),($A73-DateToday)+15,IF(Pricetype1=1,1,0),0))),E73)))</f>
        <v> </v>
      </c>
      <c r="O73" s="318" t="str">
        <f aca="false">IF($A73="N/A"," ",IF(Pricetype1=2,MAX(F73,0),IF(OR(Pricetype1=1,Pricetype1=4),IF(F73=0,0,(EURO(F73,Strikeprice1,0,0,($AK73+IF(Smile=TRUE(),VLOOKUP(MAX(-5,Strikeprice1-F73),Volsmile,2),0)),($A73-DateToday)+15,IF(Pricetype1=1,1,0),0))),F73)))</f>
        <v> </v>
      </c>
      <c r="P73" s="318" t="str">
        <f aca="false">IF($A73="N/A"," ",IF(Pricetype1=2,MAX(G73,0),IF(OR(Pricetype1=1,Pricetype1=4),IF(G73=0,0,(EURO(G73,Strikeprice1,0,0,($AK73+IF(Smile=TRUE(),VLOOKUP(MAX(-5,Strikeprice1-G73),Volsmile,2),0)),($A73-DateToday)+15,IF(Pricetype1=1,1,0),0))),G73)))</f>
        <v> </v>
      </c>
      <c r="Q73" s="318" t="str">
        <f aca="false">IF($A73="N/A"," ",IF(Pricetype1=2,MAX(H73,0),IF(OR(Pricetype1=1,Pricetype1=4),IF(H73=0,0,(EURO(H73,Strikeprice1,0,0,($AK73+IF(Smile=TRUE(),VLOOKUP(MAX(-5,Strikeprice1-H73),Volsmile,2),0)),($A73-DateToday)+15,IF(Pricetype1=1,1,0),0))),H73)))</f>
        <v> </v>
      </c>
      <c r="R73" s="318" t="str">
        <f aca="false">IF($A73="N/A"," ",IF(Pricetype1=2,MAX(I73,0),IF(OR(Pricetype1=1,Pricetype1=4),IF(I73=0,0,(EURO(I73,Strikeprice1,0,0,($AK73+IF(Smile=TRUE(),VLOOKUP(MAX(-5,Strikeprice1-I73),Volsmile,2),0)),($A73-DateToday)+15,IF(Pricetype1=1,1,0),0))),I73)))</f>
        <v> </v>
      </c>
      <c r="S73" s="318" t="str">
        <f aca="false">IF($A73="N/A"," ",IF(Pricetype1=2,MAX(J73,0),IF(OR(Pricetype1=1,Pricetype1=4),IF(J73=0,0,(EURO(J73,Strikeprice1,0,0,($AK73+IF(Smile=TRUE(),VLOOKUP(MAX(-5,Strikeprice1-J73),Volsmile,2),0)),($A73-DateToday)+15,IF(Pricetype1=1,1,0),0))),J73)))</f>
        <v> </v>
      </c>
      <c r="T73" s="318" t="str">
        <f aca="false">IF($A73="N/A"," ",IF(Pricetype1=2,MAX(K73,0),IF(OR(Pricetype1=1,Pricetype1=4),IF(K73=0,0,(EURO(K73,Strikeprice1,0,0,($AK73+IF(Smile=TRUE(),VLOOKUP(MAX(-5,Strikeprice1-K73),Volsmile,2),0)),($A73-DateToday)+15,IF(Pricetype1=1,1,0),0))),K73)))</f>
        <v> </v>
      </c>
      <c r="U73" s="319" t="str">
        <f aca="false">IF($A73="N/A"," ",Volume1*$AM73)</f>
        <v> </v>
      </c>
      <c r="V73" s="320" t="str">
        <f aca="false">IF($A73="N/A"," ",$U73*(8*($BQ73))*L73)</f>
        <v> </v>
      </c>
      <c r="W73" s="320" t="str">
        <f aca="false">IF($A73="N/A"," ",$U73*(8*($BQ73))*M73)</f>
        <v> </v>
      </c>
      <c r="X73" s="320" t="str">
        <f aca="false">IF($A73="N/A"," ",$U73*(8*($BQ73))*N73)</f>
        <v> </v>
      </c>
      <c r="Y73" s="320" t="str">
        <f aca="false">IF($A73="N/A"," ",$U73*(8*($BR73))*O73)</f>
        <v> </v>
      </c>
      <c r="Z73" s="320" t="str">
        <f aca="false">IF($A73="N/A"," ",$U73*(8*($BR73))*P73)</f>
        <v> </v>
      </c>
      <c r="AA73" s="320" t="str">
        <f aca="false">IF($A73="N/A"," ",$U73*(8*($BR73))*Q73)</f>
        <v> </v>
      </c>
      <c r="AB73" s="320" t="str">
        <f aca="false">IF($A73="N/A"," ",$U73*(8*($BS73))*R73)</f>
        <v> </v>
      </c>
      <c r="AC73" s="320" t="str">
        <f aca="false">IF($A73="N/A"," ",$U73*(8*($BS73))*S73)</f>
        <v> </v>
      </c>
      <c r="AD73" s="320" t="str">
        <f aca="false">IF($A73="N/A"," ",$U73*(8*($BS73))*T73)</f>
        <v> </v>
      </c>
      <c r="AE73" s="320" t="str">
        <f aca="false">IF($A73="N/A"," ",SUM(V73:AD73))</f>
        <v> </v>
      </c>
      <c r="AF73" s="321" t="str">
        <f aca="false">IF(A73="N/A"," ",(VLOOKUP(A73,PowerVolTable,(IF(VolBMO1=2,7,IF(VolBMO1=1,6,8))),FALSE())))</f>
        <v> </v>
      </c>
      <c r="AG73" s="321" t="str">
        <f aca="false">IF(A73="N/A"," ",(VLOOKUP(A73,IntraPowerVol,(IF(VolBMO1=2,3,IF(VolBMO1=1,2,4))),FALSE())*VLOOKUP(MONTH($A73),Volscale,2)))</f>
        <v> </v>
      </c>
      <c r="AH73" s="321" t="str">
        <f aca="false">IF($A73="N/A"," ",IF(VolType1=1,AG73,AF73))</f>
        <v> </v>
      </c>
      <c r="AI73" s="321" t="str">
        <f aca="false">IF($A73="N/A"," ",(VLOOKUP($A73,OffPwrVolTable,(IF(VolBMO1=2,7,IF(VolBMO1=1,6,8))),FALSE())))</f>
        <v> </v>
      </c>
      <c r="AJ73" s="321" t="str">
        <f aca="false">IF($A73="N/A"," ",(VLOOKUP($A73,OffPwrVolTable,(IF(VolBMO1=2,3,IF(VolBMO1=1,2,4))),FALSE())*VLOOKUP(MONTH($A73),Volscale,2)))</f>
        <v> </v>
      </c>
      <c r="AK73" s="321" t="str">
        <f aca="false">IF($A73="N/A"," ",IF(VolType1=1,AJ73,AI73))</f>
        <v> </v>
      </c>
      <c r="AL73" s="321" t="str">
        <f aca="false">IF($A73="N/A"," ",IF(PV=1,0,'Pricing Inputs1'!R106))</f>
        <v> </v>
      </c>
      <c r="AM73" s="323" t="str">
        <f aca="false">IF($A73="N/A"," ",(1+AL73/2)^(-2*((EOMONTH(A73,0)+20)-DateToday)/365.25))</f>
        <v> </v>
      </c>
      <c r="BQ73" s="0" t="str">
        <f aca="false">IF($A73="N/A"," ",(VLOOKUP($A73,NumberofDaysTable,2)))</f>
        <v> </v>
      </c>
      <c r="BR73" s="0" t="str">
        <f aca="false">IF($A73="N/A"," ",(VLOOKUP($A73,NumberofDaysTable,3)))</f>
        <v> </v>
      </c>
      <c r="BS73" s="0" t="str">
        <f aca="false">IF($A73="N/A"," ",(VLOOKUP($A73,NumberofDaysTable,4)))</f>
        <v> </v>
      </c>
    </row>
    <row r="74" customFormat="false" ht="12.75" hidden="false" customHeight="false" outlineLevel="0" collapsed="false">
      <c r="A74" s="315" t="str">
        <f aca="false">IF(A73="N/A","N/A",IF(EDATE(A73,1)&gt;Inputs!$M$5,"N/A",EDATE(A73,1)))</f>
        <v>N/A</v>
      </c>
      <c r="B74" s="316" t="str">
        <f aca="false">IF(A74="N/A"," ",YEAR(A74))</f>
        <v> </v>
      </c>
      <c r="C74" s="317" t="str">
        <f aca="false">IF($A74="N/A"," ",IF(Dayrun1=10,0,IF(Scaler1=1,(VLOOKUP(A74,ScaledPrice1,4)),(VLOOKUP(A74,ScaledPrice1,2)))))</f>
        <v> </v>
      </c>
      <c r="D74" s="317" t="str">
        <f aca="false">IF(A74="N/A"," ",IF(Dayrun1&gt;=7,0,IF(Scaler1=2,VLOOKUP(A74,ScaledPrice1,2),(VLOOKUP(A74,ScaledPrice1,2))*(2-(VLOOKUP(A74,ScaledPrice1,3))))))</f>
        <v> </v>
      </c>
      <c r="E74" s="317" t="str">
        <f aca="false">IF($A74="N/A"," ",IF(AND(Dayrun1&gt;=4,Dayrun1&lt;=9),0,VLOOKUP($A74,ScaledPrice1,9)))</f>
        <v> </v>
      </c>
      <c r="F74" s="317" t="str">
        <f aca="false">IF(A74="N/A"," ",IF(OR(Dayrun1=2,Dayrun1=3,Dayrun1=5,Dayrun1=6,Dayrun1=8,Dayrun1=9),VLOOKUP(A74,ScaledPrice1,IF(Scaler1=1,6,5)),0))</f>
        <v> </v>
      </c>
      <c r="G74" s="317" t="str">
        <f aca="false">IF(A74="N/A"," ",IF(OR(Dayrun1=2,Dayrun1=3,Dayrun1=5,Dayrun1=6),IF(Scaler1=2,F74,(VLOOKUP(A74,ScaledPrice1,5))*(2-(VLOOKUP(A74,ScaledPrice1,3)))),0))</f>
        <v> </v>
      </c>
      <c r="H74" s="317" t="str">
        <f aca="false">IF($A74="N/A"," ",IF(OR(Dayrun1=2,Dayrun1=3,Dayrun1=10),VLOOKUP($A74,ScaledPrice1,9),0))</f>
        <v> </v>
      </c>
      <c r="I74" s="317" t="str">
        <f aca="false">IF(A74="N/A"," ",IF(OR(Dayrun1=3,Dayrun1=6,Dayrun1=9),(VLOOKUP(A74,ScaledPrice1,IF(Scaler1=2,7,8))),0))</f>
        <v> </v>
      </c>
      <c r="J74" s="317" t="str">
        <f aca="false">IF(A74="N/A"," ",IF(OR(Dayrun1=3,Dayrun1=6),IF(Scaler1=2,I74,(VLOOKUP(A74,ScaledPrice1,7))*(2-(VLOOKUP(A74,ScaledPrice1,3)))),0))</f>
        <v> </v>
      </c>
      <c r="K74" s="317" t="str">
        <f aca="false">IF($A74="N/A"," ",IF(OR(Dayrun1=3,Dayrun1=10),VLOOKUP($A74,ScaledPrice1,9),0))</f>
        <v> </v>
      </c>
      <c r="L74" s="318" t="str">
        <f aca="false">IF($A74="N/A"," ",IF(Pricetype1=2,MAX(C74,0),IF(OR(Pricetype1=1,Pricetype1=4),IF(C74=0,0,(EURO(C74,Strikeprice1,0,0,($AH74+IF(Smile=TRUE(),VLOOKUP(MAX(-5,Strikeprice1-C74),Volsmile,2),0)),($A74-DateToday)+15,IF(Pricetype1=1,1,0),0))),C74)))</f>
        <v> </v>
      </c>
      <c r="M74" s="318" t="str">
        <f aca="false">IF($A74="N/A"," ",IF(Pricetype1=2,MAX(D74,0),IF(OR(Pricetype1=1,Pricetype1=4),IF(D74=0,0,(EURO(D74,Strikeprice1,0,0,($AH74+IF(Smile=TRUE(),VLOOKUP(MAX(-5,Strikeprice1-D74),Volsmile,2),0)),($A74-DateToday)+15,IF(Pricetype1=1,1,0),0))),D74)))</f>
        <v> </v>
      </c>
      <c r="N74" s="318" t="str">
        <f aca="false">IF($A74="N/A"," ",IF(Pricetype1=2,MAX(E74,0),IF(OR(Pricetype1=1,Pricetype1=4),IF(E74=0,0,(EURO(E74,Strikeprice1,0,0,($AK74+IF(Smile=TRUE(),VLOOKUP(MAX(-5,Strikeprice1-E74),Volsmile,2),0)),($A74-DateToday)+15,IF(Pricetype1=1,1,0),0))),E74)))</f>
        <v> </v>
      </c>
      <c r="O74" s="318" t="str">
        <f aca="false">IF($A74="N/A"," ",IF(Pricetype1=2,MAX(F74,0),IF(OR(Pricetype1=1,Pricetype1=4),IF(F74=0,0,(EURO(F74,Strikeprice1,0,0,($AK74+IF(Smile=TRUE(),VLOOKUP(MAX(-5,Strikeprice1-F74),Volsmile,2),0)),($A74-DateToday)+15,IF(Pricetype1=1,1,0),0))),F74)))</f>
        <v> </v>
      </c>
      <c r="P74" s="318" t="str">
        <f aca="false">IF($A74="N/A"," ",IF(Pricetype1=2,MAX(G74,0),IF(OR(Pricetype1=1,Pricetype1=4),IF(G74=0,0,(EURO(G74,Strikeprice1,0,0,($AK74+IF(Smile=TRUE(),VLOOKUP(MAX(-5,Strikeprice1-G74),Volsmile,2),0)),($A74-DateToday)+15,IF(Pricetype1=1,1,0),0))),G74)))</f>
        <v> </v>
      </c>
      <c r="Q74" s="318" t="str">
        <f aca="false">IF($A74="N/A"," ",IF(Pricetype1=2,MAX(H74,0),IF(OR(Pricetype1=1,Pricetype1=4),IF(H74=0,0,(EURO(H74,Strikeprice1,0,0,($AK74+IF(Smile=TRUE(),VLOOKUP(MAX(-5,Strikeprice1-H74),Volsmile,2),0)),($A74-DateToday)+15,IF(Pricetype1=1,1,0),0))),H74)))</f>
        <v> </v>
      </c>
      <c r="R74" s="318" t="str">
        <f aca="false">IF($A74="N/A"," ",IF(Pricetype1=2,MAX(I74,0),IF(OR(Pricetype1=1,Pricetype1=4),IF(I74=0,0,(EURO(I74,Strikeprice1,0,0,($AK74+IF(Smile=TRUE(),VLOOKUP(MAX(-5,Strikeprice1-I74),Volsmile,2),0)),($A74-DateToday)+15,IF(Pricetype1=1,1,0),0))),I74)))</f>
        <v> </v>
      </c>
      <c r="S74" s="318" t="str">
        <f aca="false">IF($A74="N/A"," ",IF(Pricetype1=2,MAX(J74,0),IF(OR(Pricetype1=1,Pricetype1=4),IF(J74=0,0,(EURO(J74,Strikeprice1,0,0,($AK74+IF(Smile=TRUE(),VLOOKUP(MAX(-5,Strikeprice1-J74),Volsmile,2),0)),($A74-DateToday)+15,IF(Pricetype1=1,1,0),0))),J74)))</f>
        <v> </v>
      </c>
      <c r="T74" s="318" t="str">
        <f aca="false">IF($A74="N/A"," ",IF(Pricetype1=2,MAX(K74,0),IF(OR(Pricetype1=1,Pricetype1=4),IF(K74=0,0,(EURO(K74,Strikeprice1,0,0,($AK74+IF(Smile=TRUE(),VLOOKUP(MAX(-5,Strikeprice1-K74),Volsmile,2),0)),($A74-DateToday)+15,IF(Pricetype1=1,1,0),0))),K74)))</f>
        <v> </v>
      </c>
      <c r="U74" s="319" t="str">
        <f aca="false">IF($A74="N/A"," ",Volume1*$AM74)</f>
        <v> </v>
      </c>
      <c r="V74" s="320" t="str">
        <f aca="false">IF($A74="N/A"," ",$U74*(8*($BQ74))*L74)</f>
        <v> </v>
      </c>
      <c r="W74" s="320" t="str">
        <f aca="false">IF($A74="N/A"," ",$U74*(8*($BQ74))*M74)</f>
        <v> </v>
      </c>
      <c r="X74" s="320" t="str">
        <f aca="false">IF($A74="N/A"," ",$U74*(8*($BQ74))*N74)</f>
        <v> </v>
      </c>
      <c r="Y74" s="320" t="str">
        <f aca="false">IF($A74="N/A"," ",$U74*(8*($BR74))*O74)</f>
        <v> </v>
      </c>
      <c r="Z74" s="320" t="str">
        <f aca="false">IF($A74="N/A"," ",$U74*(8*($BR74))*P74)</f>
        <v> </v>
      </c>
      <c r="AA74" s="320" t="str">
        <f aca="false">IF($A74="N/A"," ",$U74*(8*($BR74))*Q74)</f>
        <v> </v>
      </c>
      <c r="AB74" s="320" t="str">
        <f aca="false">IF($A74="N/A"," ",$U74*(8*($BS74))*R74)</f>
        <v> </v>
      </c>
      <c r="AC74" s="320" t="str">
        <f aca="false">IF($A74="N/A"," ",$U74*(8*($BS74))*S74)</f>
        <v> </v>
      </c>
      <c r="AD74" s="320" t="str">
        <f aca="false">IF($A74="N/A"," ",$U74*(8*($BS74))*T74)</f>
        <v> </v>
      </c>
      <c r="AE74" s="320" t="str">
        <f aca="false">IF($A74="N/A"," ",SUM(V74:AD74))</f>
        <v> </v>
      </c>
      <c r="AF74" s="321" t="str">
        <f aca="false">IF(A74="N/A"," ",(VLOOKUP(A74,PowerVolTable,(IF(VolBMO1=2,7,IF(VolBMO1=1,6,8))),FALSE())))</f>
        <v> </v>
      </c>
      <c r="AG74" s="321" t="str">
        <f aca="false">IF(A74="N/A"," ",(VLOOKUP(A74,IntraPowerVol,(IF(VolBMO1=2,3,IF(VolBMO1=1,2,4))),FALSE())*VLOOKUP(MONTH($A74),Volscale,2)))</f>
        <v> </v>
      </c>
      <c r="AH74" s="321" t="str">
        <f aca="false">IF($A74="N/A"," ",IF(VolType1=1,AG74,AF74))</f>
        <v> </v>
      </c>
      <c r="AI74" s="321" t="str">
        <f aca="false">IF($A74="N/A"," ",(VLOOKUP($A74,OffPwrVolTable,(IF(VolBMO1=2,7,IF(VolBMO1=1,6,8))),FALSE())))</f>
        <v> </v>
      </c>
      <c r="AJ74" s="321" t="str">
        <f aca="false">IF($A74="N/A"," ",(VLOOKUP($A74,OffPwrVolTable,(IF(VolBMO1=2,3,IF(VolBMO1=1,2,4))),FALSE())*VLOOKUP(MONTH($A74),Volscale,2)))</f>
        <v> </v>
      </c>
      <c r="AK74" s="321" t="str">
        <f aca="false">IF($A74="N/A"," ",IF(VolType1=1,AJ74,AI74))</f>
        <v> </v>
      </c>
      <c r="AL74" s="321" t="str">
        <f aca="false">IF($A74="N/A"," ",IF(PV=1,0,'Pricing Inputs1'!R107))</f>
        <v> </v>
      </c>
      <c r="AM74" s="323" t="str">
        <f aca="false">IF($A74="N/A"," ",(1+AL74/2)^(-2*((EOMONTH(A74,0)+20)-DateToday)/365.25))</f>
        <v> </v>
      </c>
      <c r="BQ74" s="0" t="str">
        <f aca="false">IF($A74="N/A"," ",(VLOOKUP($A74,NumberofDaysTable,2)))</f>
        <v> </v>
      </c>
      <c r="BR74" s="0" t="str">
        <f aca="false">IF($A74="N/A"," ",(VLOOKUP($A74,NumberofDaysTable,3)))</f>
        <v> </v>
      </c>
      <c r="BS74" s="0" t="str">
        <f aca="false">IF($A74="N/A"," ",(VLOOKUP($A74,NumberofDaysTable,4)))</f>
        <v> </v>
      </c>
    </row>
    <row r="75" customFormat="false" ht="12.75" hidden="false" customHeight="false" outlineLevel="0" collapsed="false">
      <c r="A75" s="315" t="str">
        <f aca="false">IF(A74="N/A","N/A",IF(EDATE(A74,1)&gt;Inputs!$M$5,"N/A",EDATE(A74,1)))</f>
        <v>N/A</v>
      </c>
      <c r="B75" s="316" t="str">
        <f aca="false">IF(A75="N/A"," ",YEAR(A75))</f>
        <v> </v>
      </c>
      <c r="C75" s="317" t="str">
        <f aca="false">IF($A75="N/A"," ",IF(Dayrun1=10,0,IF(Scaler1=1,(VLOOKUP(A75,ScaledPrice1,4)),(VLOOKUP(A75,ScaledPrice1,2)))))</f>
        <v> </v>
      </c>
      <c r="D75" s="317" t="str">
        <f aca="false">IF(A75="N/A"," ",IF(Dayrun1&gt;=7,0,IF(Scaler1=2,VLOOKUP(A75,ScaledPrice1,2),(VLOOKUP(A75,ScaledPrice1,2))*(2-(VLOOKUP(A75,ScaledPrice1,3))))))</f>
        <v> </v>
      </c>
      <c r="E75" s="317" t="str">
        <f aca="false">IF($A75="N/A"," ",IF(AND(Dayrun1&gt;=4,Dayrun1&lt;=9),0,VLOOKUP($A75,ScaledPrice1,9)))</f>
        <v> </v>
      </c>
      <c r="F75" s="317" t="str">
        <f aca="false">IF(A75="N/A"," ",IF(OR(Dayrun1=2,Dayrun1=3,Dayrun1=5,Dayrun1=6,Dayrun1=8,Dayrun1=9),VLOOKUP(A75,ScaledPrice1,IF(Scaler1=1,6,5)),0))</f>
        <v> </v>
      </c>
      <c r="G75" s="317" t="str">
        <f aca="false">IF(A75="N/A"," ",IF(OR(Dayrun1=2,Dayrun1=3,Dayrun1=5,Dayrun1=6),IF(Scaler1=2,F75,(VLOOKUP(A75,ScaledPrice1,5))*(2-(VLOOKUP(A75,ScaledPrice1,3)))),0))</f>
        <v> </v>
      </c>
      <c r="H75" s="317" t="str">
        <f aca="false">IF($A75="N/A"," ",IF(OR(Dayrun1=2,Dayrun1=3,Dayrun1=10),VLOOKUP($A75,ScaledPrice1,9),0))</f>
        <v> </v>
      </c>
      <c r="I75" s="317" t="str">
        <f aca="false">IF(A75="N/A"," ",IF(OR(Dayrun1=3,Dayrun1=6,Dayrun1=9),(VLOOKUP(A75,ScaledPrice1,IF(Scaler1=2,7,8))),0))</f>
        <v> </v>
      </c>
      <c r="J75" s="317" t="str">
        <f aca="false">IF(A75="N/A"," ",IF(OR(Dayrun1=3,Dayrun1=6),IF(Scaler1=2,I75,(VLOOKUP(A75,ScaledPrice1,7))*(2-(VLOOKUP(A75,ScaledPrice1,3)))),0))</f>
        <v> </v>
      </c>
      <c r="K75" s="317" t="str">
        <f aca="false">IF($A75="N/A"," ",IF(OR(Dayrun1=3,Dayrun1=10),VLOOKUP($A75,ScaledPrice1,9),0))</f>
        <v> </v>
      </c>
      <c r="L75" s="318" t="str">
        <f aca="false">IF($A75="N/A"," ",IF(Pricetype1=2,MAX(C75,0),IF(OR(Pricetype1=1,Pricetype1=4),IF(C75=0,0,(EURO(C75,Strikeprice1,0,0,($AH75+IF(Smile=TRUE(),VLOOKUP(MAX(-5,Strikeprice1-C75),Volsmile,2),0)),($A75-DateToday)+15,IF(Pricetype1=1,1,0),0))),C75)))</f>
        <v> </v>
      </c>
      <c r="M75" s="318" t="str">
        <f aca="false">IF($A75="N/A"," ",IF(Pricetype1=2,MAX(D75,0),IF(OR(Pricetype1=1,Pricetype1=4),IF(D75=0,0,(EURO(D75,Strikeprice1,0,0,($AH75+IF(Smile=TRUE(),VLOOKUP(MAX(-5,Strikeprice1-D75),Volsmile,2),0)),($A75-DateToday)+15,IF(Pricetype1=1,1,0),0))),D75)))</f>
        <v> </v>
      </c>
      <c r="N75" s="318" t="str">
        <f aca="false">IF($A75="N/A"," ",IF(Pricetype1=2,MAX(E75,0),IF(OR(Pricetype1=1,Pricetype1=4),IF(E75=0,0,(EURO(E75,Strikeprice1,0,0,($AK75+IF(Smile=TRUE(),VLOOKUP(MAX(-5,Strikeprice1-E75),Volsmile,2),0)),($A75-DateToday)+15,IF(Pricetype1=1,1,0),0))),E75)))</f>
        <v> </v>
      </c>
      <c r="O75" s="318" t="str">
        <f aca="false">IF($A75="N/A"," ",IF(Pricetype1=2,MAX(F75,0),IF(OR(Pricetype1=1,Pricetype1=4),IF(F75=0,0,(EURO(F75,Strikeprice1,0,0,($AK75+IF(Smile=TRUE(),VLOOKUP(MAX(-5,Strikeprice1-F75),Volsmile,2),0)),($A75-DateToday)+15,IF(Pricetype1=1,1,0),0))),F75)))</f>
        <v> </v>
      </c>
      <c r="P75" s="318" t="str">
        <f aca="false">IF($A75="N/A"," ",IF(Pricetype1=2,MAX(G75,0),IF(OR(Pricetype1=1,Pricetype1=4),IF(G75=0,0,(EURO(G75,Strikeprice1,0,0,($AK75+IF(Smile=TRUE(),VLOOKUP(MAX(-5,Strikeprice1-G75),Volsmile,2),0)),($A75-DateToday)+15,IF(Pricetype1=1,1,0),0))),G75)))</f>
        <v> </v>
      </c>
      <c r="Q75" s="318" t="str">
        <f aca="false">IF($A75="N/A"," ",IF(Pricetype1=2,MAX(H75,0),IF(OR(Pricetype1=1,Pricetype1=4),IF(H75=0,0,(EURO(H75,Strikeprice1,0,0,($AK75+IF(Smile=TRUE(),VLOOKUP(MAX(-5,Strikeprice1-H75),Volsmile,2),0)),($A75-DateToday)+15,IF(Pricetype1=1,1,0),0))),H75)))</f>
        <v> </v>
      </c>
      <c r="R75" s="318" t="str">
        <f aca="false">IF($A75="N/A"," ",IF(Pricetype1=2,MAX(I75,0),IF(OR(Pricetype1=1,Pricetype1=4),IF(I75=0,0,(EURO(I75,Strikeprice1,0,0,($AK75+IF(Smile=TRUE(),VLOOKUP(MAX(-5,Strikeprice1-I75),Volsmile,2),0)),($A75-DateToday)+15,IF(Pricetype1=1,1,0),0))),I75)))</f>
        <v> </v>
      </c>
      <c r="S75" s="318" t="str">
        <f aca="false">IF($A75="N/A"," ",IF(Pricetype1=2,MAX(J75,0),IF(OR(Pricetype1=1,Pricetype1=4),IF(J75=0,0,(EURO(J75,Strikeprice1,0,0,($AK75+IF(Smile=TRUE(),VLOOKUP(MAX(-5,Strikeprice1-J75),Volsmile,2),0)),($A75-DateToday)+15,IF(Pricetype1=1,1,0),0))),J75)))</f>
        <v> </v>
      </c>
      <c r="T75" s="318" t="str">
        <f aca="false">IF($A75="N/A"," ",IF(Pricetype1=2,MAX(K75,0),IF(OR(Pricetype1=1,Pricetype1=4),IF(K75=0,0,(EURO(K75,Strikeprice1,0,0,($AK75+IF(Smile=TRUE(),VLOOKUP(MAX(-5,Strikeprice1-K75),Volsmile,2),0)),($A75-DateToday)+15,IF(Pricetype1=1,1,0),0))),K75)))</f>
        <v> </v>
      </c>
      <c r="U75" s="319" t="str">
        <f aca="false">IF($A75="N/A"," ",Volume1*$AM75)</f>
        <v> </v>
      </c>
      <c r="V75" s="320" t="str">
        <f aca="false">IF($A75="N/A"," ",$U75*(8*($BQ75))*L75)</f>
        <v> </v>
      </c>
      <c r="W75" s="320" t="str">
        <f aca="false">IF($A75="N/A"," ",$U75*(8*($BQ75))*M75)</f>
        <v> </v>
      </c>
      <c r="X75" s="320" t="str">
        <f aca="false">IF($A75="N/A"," ",$U75*(8*($BQ75))*N75)</f>
        <v> </v>
      </c>
      <c r="Y75" s="320" t="str">
        <f aca="false">IF($A75="N/A"," ",$U75*(8*($BR75))*O75)</f>
        <v> </v>
      </c>
      <c r="Z75" s="320" t="str">
        <f aca="false">IF($A75="N/A"," ",$U75*(8*($BR75))*P75)</f>
        <v> </v>
      </c>
      <c r="AA75" s="320" t="str">
        <f aca="false">IF($A75="N/A"," ",$U75*(8*($BR75))*Q75)</f>
        <v> </v>
      </c>
      <c r="AB75" s="320" t="str">
        <f aca="false">IF($A75="N/A"," ",$U75*(8*($BS75))*R75)</f>
        <v> </v>
      </c>
      <c r="AC75" s="320" t="str">
        <f aca="false">IF($A75="N/A"," ",$U75*(8*($BS75))*S75)</f>
        <v> </v>
      </c>
      <c r="AD75" s="320" t="str">
        <f aca="false">IF($A75="N/A"," ",$U75*(8*($BS75))*T75)</f>
        <v> </v>
      </c>
      <c r="AE75" s="320" t="str">
        <f aca="false">IF($A75="N/A"," ",SUM(V75:AD75))</f>
        <v> </v>
      </c>
      <c r="AF75" s="321" t="str">
        <f aca="false">IF(A75="N/A"," ",(VLOOKUP(A75,PowerVolTable,(IF(VolBMO1=2,7,IF(VolBMO1=1,6,8))),FALSE())))</f>
        <v> </v>
      </c>
      <c r="AG75" s="321" t="str">
        <f aca="false">IF(A75="N/A"," ",(VLOOKUP(A75,IntraPowerVol,(IF(VolBMO1=2,3,IF(VolBMO1=1,2,4))),FALSE())*VLOOKUP(MONTH($A75),Volscale,2)))</f>
        <v> </v>
      </c>
      <c r="AH75" s="321" t="str">
        <f aca="false">IF($A75="N/A"," ",IF(VolType1=1,AG75,AF75))</f>
        <v> </v>
      </c>
      <c r="AI75" s="321" t="str">
        <f aca="false">IF($A75="N/A"," ",(VLOOKUP($A75,OffPwrVolTable,(IF(VolBMO1=2,7,IF(VolBMO1=1,6,8))),FALSE())))</f>
        <v> </v>
      </c>
      <c r="AJ75" s="321" t="str">
        <f aca="false">IF($A75="N/A"," ",(VLOOKUP($A75,OffPwrVolTable,(IF(VolBMO1=2,3,IF(VolBMO1=1,2,4))),FALSE())*VLOOKUP(MONTH($A75),Volscale,2)))</f>
        <v> </v>
      </c>
      <c r="AK75" s="321" t="str">
        <f aca="false">IF($A75="N/A"," ",IF(VolType1=1,AJ75,AI75))</f>
        <v> </v>
      </c>
      <c r="AL75" s="321" t="str">
        <f aca="false">IF($A75="N/A"," ",IF(PV=1,0,'Pricing Inputs1'!R108))</f>
        <v> </v>
      </c>
      <c r="AM75" s="323" t="str">
        <f aca="false">IF($A75="N/A"," ",(1+AL75/2)^(-2*((EOMONTH(A75,0)+20)-DateToday)/365.25))</f>
        <v> </v>
      </c>
      <c r="BQ75" s="0" t="str">
        <f aca="false">IF($A75="N/A"," ",(VLOOKUP($A75,NumberofDaysTable,2)))</f>
        <v> </v>
      </c>
      <c r="BR75" s="0" t="str">
        <f aca="false">IF($A75="N/A"," ",(VLOOKUP($A75,NumberofDaysTable,3)))</f>
        <v> </v>
      </c>
      <c r="BS75" s="0" t="str">
        <f aca="false">IF($A75="N/A"," ",(VLOOKUP($A75,NumberofDaysTable,4)))</f>
        <v> </v>
      </c>
    </row>
    <row r="76" customFormat="false" ht="12.75" hidden="false" customHeight="false" outlineLevel="0" collapsed="false">
      <c r="A76" s="315" t="str">
        <f aca="false">IF(A75="N/A","N/A",IF(EDATE(A75,1)&gt;Inputs!$M$5,"N/A",EDATE(A75,1)))</f>
        <v>N/A</v>
      </c>
      <c r="B76" s="316" t="str">
        <f aca="false">IF(A76="N/A"," ",YEAR(A76))</f>
        <v> </v>
      </c>
      <c r="C76" s="317" t="str">
        <f aca="false">IF($A76="N/A"," ",IF(Dayrun1=10,0,IF(Scaler1=1,(VLOOKUP(A76,ScaledPrice1,4)),(VLOOKUP(A76,ScaledPrice1,2)))))</f>
        <v> </v>
      </c>
      <c r="D76" s="317" t="str">
        <f aca="false">IF(A76="N/A"," ",IF(Dayrun1&gt;=7,0,IF(Scaler1=2,VLOOKUP(A76,ScaledPrice1,2),(VLOOKUP(A76,ScaledPrice1,2))*(2-(VLOOKUP(A76,ScaledPrice1,3))))))</f>
        <v> </v>
      </c>
      <c r="E76" s="317" t="str">
        <f aca="false">IF($A76="N/A"," ",IF(AND(Dayrun1&gt;=4,Dayrun1&lt;=9),0,VLOOKUP($A76,ScaledPrice1,9)))</f>
        <v> </v>
      </c>
      <c r="F76" s="317" t="str">
        <f aca="false">IF(A76="N/A"," ",IF(OR(Dayrun1=2,Dayrun1=3,Dayrun1=5,Dayrun1=6,Dayrun1=8,Dayrun1=9),VLOOKUP(A76,ScaledPrice1,IF(Scaler1=1,6,5)),0))</f>
        <v> </v>
      </c>
      <c r="G76" s="317" t="str">
        <f aca="false">IF(A76="N/A"," ",IF(OR(Dayrun1=2,Dayrun1=3,Dayrun1=5,Dayrun1=6),IF(Scaler1=2,F76,(VLOOKUP(A76,ScaledPrice1,5))*(2-(VLOOKUP(A76,ScaledPrice1,3)))),0))</f>
        <v> </v>
      </c>
      <c r="H76" s="317" t="str">
        <f aca="false">IF($A76="N/A"," ",IF(OR(Dayrun1=2,Dayrun1=3,Dayrun1=10),VLOOKUP($A76,ScaledPrice1,9),0))</f>
        <v> </v>
      </c>
      <c r="I76" s="317" t="str">
        <f aca="false">IF(A76="N/A"," ",IF(OR(Dayrun1=3,Dayrun1=6,Dayrun1=9),(VLOOKUP(A76,ScaledPrice1,IF(Scaler1=2,7,8))),0))</f>
        <v> </v>
      </c>
      <c r="J76" s="317" t="str">
        <f aca="false">IF(A76="N/A"," ",IF(OR(Dayrun1=3,Dayrun1=6),IF(Scaler1=2,I76,(VLOOKUP(A76,ScaledPrice1,7))*(2-(VLOOKUP(A76,ScaledPrice1,3)))),0))</f>
        <v> </v>
      </c>
      <c r="K76" s="317" t="str">
        <f aca="false">IF($A76="N/A"," ",IF(OR(Dayrun1=3,Dayrun1=10),VLOOKUP($A76,ScaledPrice1,9),0))</f>
        <v> </v>
      </c>
      <c r="L76" s="318" t="str">
        <f aca="false">IF($A76="N/A"," ",IF(Pricetype1=2,MAX(C76,0),IF(OR(Pricetype1=1,Pricetype1=4),IF(C76=0,0,(EURO(C76,Strikeprice1,0,0,($AH76+IF(Smile=TRUE(),VLOOKUP(MAX(-5,Strikeprice1-C76),Volsmile,2),0)),($A76-DateToday)+15,IF(Pricetype1=1,1,0),0))),C76)))</f>
        <v> </v>
      </c>
      <c r="M76" s="318" t="str">
        <f aca="false">IF($A76="N/A"," ",IF(Pricetype1=2,MAX(D76,0),IF(OR(Pricetype1=1,Pricetype1=4),IF(D76=0,0,(EURO(D76,Strikeprice1,0,0,($AH76+IF(Smile=TRUE(),VLOOKUP(MAX(-5,Strikeprice1-D76),Volsmile,2),0)),($A76-DateToday)+15,IF(Pricetype1=1,1,0),0))),D76)))</f>
        <v> </v>
      </c>
      <c r="N76" s="318" t="str">
        <f aca="false">IF($A76="N/A"," ",IF(Pricetype1=2,MAX(E76,0),IF(OR(Pricetype1=1,Pricetype1=4),IF(E76=0,0,(EURO(E76,Strikeprice1,0,0,($AK76+IF(Smile=TRUE(),VLOOKUP(MAX(-5,Strikeprice1-E76),Volsmile,2),0)),($A76-DateToday)+15,IF(Pricetype1=1,1,0),0))),E76)))</f>
        <v> </v>
      </c>
      <c r="O76" s="318" t="str">
        <f aca="false">IF($A76="N/A"," ",IF(Pricetype1=2,MAX(F76,0),IF(OR(Pricetype1=1,Pricetype1=4),IF(F76=0,0,(EURO(F76,Strikeprice1,0,0,($AK76+IF(Smile=TRUE(),VLOOKUP(MAX(-5,Strikeprice1-F76),Volsmile,2),0)),($A76-DateToday)+15,IF(Pricetype1=1,1,0),0))),F76)))</f>
        <v> </v>
      </c>
      <c r="P76" s="318" t="str">
        <f aca="false">IF($A76="N/A"," ",IF(Pricetype1=2,MAX(G76,0),IF(OR(Pricetype1=1,Pricetype1=4),IF(G76=0,0,(EURO(G76,Strikeprice1,0,0,($AK76+IF(Smile=TRUE(),VLOOKUP(MAX(-5,Strikeprice1-G76),Volsmile,2),0)),($A76-DateToday)+15,IF(Pricetype1=1,1,0),0))),G76)))</f>
        <v> </v>
      </c>
      <c r="Q76" s="318" t="str">
        <f aca="false">IF($A76="N/A"," ",IF(Pricetype1=2,MAX(H76,0),IF(OR(Pricetype1=1,Pricetype1=4),IF(H76=0,0,(EURO(H76,Strikeprice1,0,0,($AK76+IF(Smile=TRUE(),VLOOKUP(MAX(-5,Strikeprice1-H76),Volsmile,2),0)),($A76-DateToday)+15,IF(Pricetype1=1,1,0),0))),H76)))</f>
        <v> </v>
      </c>
      <c r="R76" s="318" t="str">
        <f aca="false">IF($A76="N/A"," ",IF(Pricetype1=2,MAX(I76,0),IF(OR(Pricetype1=1,Pricetype1=4),IF(I76=0,0,(EURO(I76,Strikeprice1,0,0,($AK76+IF(Smile=TRUE(),VLOOKUP(MAX(-5,Strikeprice1-I76),Volsmile,2),0)),($A76-DateToday)+15,IF(Pricetype1=1,1,0),0))),I76)))</f>
        <v> </v>
      </c>
      <c r="S76" s="318" t="str">
        <f aca="false">IF($A76="N/A"," ",IF(Pricetype1=2,MAX(J76,0),IF(OR(Pricetype1=1,Pricetype1=4),IF(J76=0,0,(EURO(J76,Strikeprice1,0,0,($AK76+IF(Smile=TRUE(),VLOOKUP(MAX(-5,Strikeprice1-J76),Volsmile,2),0)),($A76-DateToday)+15,IF(Pricetype1=1,1,0),0))),J76)))</f>
        <v> </v>
      </c>
      <c r="T76" s="318" t="str">
        <f aca="false">IF($A76="N/A"," ",IF(Pricetype1=2,MAX(K76,0),IF(OR(Pricetype1=1,Pricetype1=4),IF(K76=0,0,(EURO(K76,Strikeprice1,0,0,($AK76+IF(Smile=TRUE(),VLOOKUP(MAX(-5,Strikeprice1-K76),Volsmile,2),0)),($A76-DateToday)+15,IF(Pricetype1=1,1,0),0))),K76)))</f>
        <v> </v>
      </c>
      <c r="U76" s="319" t="str">
        <f aca="false">IF($A76="N/A"," ",Volume1*$AM76)</f>
        <v> </v>
      </c>
      <c r="V76" s="320" t="str">
        <f aca="false">IF($A76="N/A"," ",$U76*(8*($BQ76))*L76)</f>
        <v> </v>
      </c>
      <c r="W76" s="320" t="str">
        <f aca="false">IF($A76="N/A"," ",$U76*(8*($BQ76))*M76)</f>
        <v> </v>
      </c>
      <c r="X76" s="320" t="str">
        <f aca="false">IF($A76="N/A"," ",$U76*(8*($BQ76))*N76)</f>
        <v> </v>
      </c>
      <c r="Y76" s="320" t="str">
        <f aca="false">IF($A76="N/A"," ",$U76*(8*($BR76))*O76)</f>
        <v> </v>
      </c>
      <c r="Z76" s="320" t="str">
        <f aca="false">IF($A76="N/A"," ",$U76*(8*($BR76))*P76)</f>
        <v> </v>
      </c>
      <c r="AA76" s="320" t="str">
        <f aca="false">IF($A76="N/A"," ",$U76*(8*($BR76))*Q76)</f>
        <v> </v>
      </c>
      <c r="AB76" s="320" t="str">
        <f aca="false">IF($A76="N/A"," ",$U76*(8*($BS76))*R76)</f>
        <v> </v>
      </c>
      <c r="AC76" s="320" t="str">
        <f aca="false">IF($A76="N/A"," ",$U76*(8*($BS76))*S76)</f>
        <v> </v>
      </c>
      <c r="AD76" s="320" t="str">
        <f aca="false">IF($A76="N/A"," ",$U76*(8*($BS76))*T76)</f>
        <v> </v>
      </c>
      <c r="AE76" s="320" t="str">
        <f aca="false">IF($A76="N/A"," ",SUM(V76:AD76))</f>
        <v> </v>
      </c>
      <c r="AF76" s="321" t="str">
        <f aca="false">IF(A76="N/A"," ",(VLOOKUP(A76,PowerVolTable,(IF(VolBMO1=2,7,IF(VolBMO1=1,6,8))),FALSE())))</f>
        <v> </v>
      </c>
      <c r="AG76" s="321" t="str">
        <f aca="false">IF(A76="N/A"," ",(VLOOKUP(A76,IntraPowerVol,(IF(VolBMO1=2,3,IF(VolBMO1=1,2,4))),FALSE())*VLOOKUP(MONTH($A76),Volscale,2)))</f>
        <v> </v>
      </c>
      <c r="AH76" s="321" t="str">
        <f aca="false">IF($A76="N/A"," ",IF(VolType1=1,AG76,AF76))</f>
        <v> </v>
      </c>
      <c r="AI76" s="321" t="str">
        <f aca="false">IF($A76="N/A"," ",(VLOOKUP($A76,OffPwrVolTable,(IF(VolBMO1=2,7,IF(VolBMO1=1,6,8))),FALSE())))</f>
        <v> </v>
      </c>
      <c r="AJ76" s="321" t="str">
        <f aca="false">IF($A76="N/A"," ",(VLOOKUP($A76,OffPwrVolTable,(IF(VolBMO1=2,3,IF(VolBMO1=1,2,4))),FALSE())*VLOOKUP(MONTH($A76),Volscale,2)))</f>
        <v> </v>
      </c>
      <c r="AK76" s="321" t="str">
        <f aca="false">IF($A76="N/A"," ",IF(VolType1=1,AJ76,AI76))</f>
        <v> </v>
      </c>
      <c r="AL76" s="321" t="str">
        <f aca="false">IF($A76="N/A"," ",IF(PV=1,0,'Pricing Inputs1'!R109))</f>
        <v> </v>
      </c>
      <c r="AM76" s="323" t="str">
        <f aca="false">IF($A76="N/A"," ",(1+AL76/2)^(-2*((EOMONTH(A76,0)+20)-DateToday)/365.25))</f>
        <v> </v>
      </c>
      <c r="BQ76" s="0" t="str">
        <f aca="false">IF($A76="N/A"," ",(VLOOKUP($A76,NumberofDaysTable,2)))</f>
        <v> </v>
      </c>
      <c r="BR76" s="0" t="str">
        <f aca="false">IF($A76="N/A"," ",(VLOOKUP($A76,NumberofDaysTable,3)))</f>
        <v> </v>
      </c>
      <c r="BS76" s="0" t="str">
        <f aca="false">IF($A76="N/A"," ",(VLOOKUP($A76,NumberofDaysTable,4)))</f>
        <v> </v>
      </c>
    </row>
    <row r="77" customFormat="false" ht="12.75" hidden="false" customHeight="false" outlineLevel="0" collapsed="false">
      <c r="A77" s="315" t="str">
        <f aca="false">IF(A76="N/A","N/A",IF(EDATE(A76,1)&gt;Inputs!$M$5,"N/A",EDATE(A76,1)))</f>
        <v>N/A</v>
      </c>
      <c r="B77" s="316" t="str">
        <f aca="false">IF(A77="N/A"," ",YEAR(A77))</f>
        <v> </v>
      </c>
      <c r="C77" s="317" t="str">
        <f aca="false">IF($A77="N/A"," ",IF(Dayrun1=10,0,IF(Scaler1=1,(VLOOKUP(A77,ScaledPrice1,4)),(VLOOKUP(A77,ScaledPrice1,2)))))</f>
        <v> </v>
      </c>
      <c r="D77" s="317" t="str">
        <f aca="false">IF(A77="N/A"," ",IF(Dayrun1&gt;=7,0,IF(Scaler1=2,VLOOKUP(A77,ScaledPrice1,2),(VLOOKUP(A77,ScaledPrice1,2))*(2-(VLOOKUP(A77,ScaledPrice1,3))))))</f>
        <v> </v>
      </c>
      <c r="E77" s="317" t="str">
        <f aca="false">IF($A77="N/A"," ",IF(AND(Dayrun1&gt;=4,Dayrun1&lt;=9),0,VLOOKUP($A77,ScaledPrice1,9)))</f>
        <v> </v>
      </c>
      <c r="F77" s="317" t="str">
        <f aca="false">IF(A77="N/A"," ",IF(OR(Dayrun1=2,Dayrun1=3,Dayrun1=5,Dayrun1=6,Dayrun1=8,Dayrun1=9),VLOOKUP(A77,ScaledPrice1,IF(Scaler1=1,6,5)),0))</f>
        <v> </v>
      </c>
      <c r="G77" s="317" t="str">
        <f aca="false">IF(A77="N/A"," ",IF(OR(Dayrun1=2,Dayrun1=3,Dayrun1=5,Dayrun1=6),IF(Scaler1=2,F77,(VLOOKUP(A77,ScaledPrice1,5))*(2-(VLOOKUP(A77,ScaledPrice1,3)))),0))</f>
        <v> </v>
      </c>
      <c r="H77" s="317" t="str">
        <f aca="false">IF($A77="N/A"," ",IF(OR(Dayrun1=2,Dayrun1=3,Dayrun1=10),VLOOKUP($A77,ScaledPrice1,9),0))</f>
        <v> </v>
      </c>
      <c r="I77" s="317" t="str">
        <f aca="false">IF(A77="N/A"," ",IF(OR(Dayrun1=3,Dayrun1=6,Dayrun1=9),(VLOOKUP(A77,ScaledPrice1,IF(Scaler1=2,7,8))),0))</f>
        <v> </v>
      </c>
      <c r="J77" s="317" t="str">
        <f aca="false">IF(A77="N/A"," ",IF(OR(Dayrun1=3,Dayrun1=6),IF(Scaler1=2,I77,(VLOOKUP(A77,ScaledPrice1,7))*(2-(VLOOKUP(A77,ScaledPrice1,3)))),0))</f>
        <v> </v>
      </c>
      <c r="K77" s="317" t="str">
        <f aca="false">IF($A77="N/A"," ",IF(OR(Dayrun1=3,Dayrun1=10),VLOOKUP($A77,ScaledPrice1,9),0))</f>
        <v> </v>
      </c>
      <c r="L77" s="318" t="str">
        <f aca="false">IF($A77="N/A"," ",IF(Pricetype1=2,MAX(C77,0),IF(OR(Pricetype1=1,Pricetype1=4),IF(C77=0,0,(EURO(C77,Strikeprice1,0,0,($AH77+IF(Smile=TRUE(),VLOOKUP(MAX(-5,Strikeprice1-C77),Volsmile,2),0)),($A77-DateToday)+15,IF(Pricetype1=1,1,0),0))),C77)))</f>
        <v> </v>
      </c>
      <c r="M77" s="318" t="str">
        <f aca="false">IF($A77="N/A"," ",IF(Pricetype1=2,MAX(D77,0),IF(OR(Pricetype1=1,Pricetype1=4),IF(D77=0,0,(EURO(D77,Strikeprice1,0,0,($AH77+IF(Smile=TRUE(),VLOOKUP(MAX(-5,Strikeprice1-D77),Volsmile,2),0)),($A77-DateToday)+15,IF(Pricetype1=1,1,0),0))),D77)))</f>
        <v> </v>
      </c>
      <c r="N77" s="318" t="str">
        <f aca="false">IF($A77="N/A"," ",IF(Pricetype1=2,MAX(E77,0),IF(OR(Pricetype1=1,Pricetype1=4),IF(E77=0,0,(EURO(E77,Strikeprice1,0,0,($AK77+IF(Smile=TRUE(),VLOOKUP(MAX(-5,Strikeprice1-E77),Volsmile,2),0)),($A77-DateToday)+15,IF(Pricetype1=1,1,0),0))),E77)))</f>
        <v> </v>
      </c>
      <c r="O77" s="318" t="str">
        <f aca="false">IF($A77="N/A"," ",IF(Pricetype1=2,MAX(F77,0),IF(OR(Pricetype1=1,Pricetype1=4),IF(F77=0,0,(EURO(F77,Strikeprice1,0,0,($AK77+IF(Smile=TRUE(),VLOOKUP(MAX(-5,Strikeprice1-F77),Volsmile,2),0)),($A77-DateToday)+15,IF(Pricetype1=1,1,0),0))),F77)))</f>
        <v> </v>
      </c>
      <c r="P77" s="318" t="str">
        <f aca="false">IF($A77="N/A"," ",IF(Pricetype1=2,MAX(G77,0),IF(OR(Pricetype1=1,Pricetype1=4),IF(G77=0,0,(EURO(G77,Strikeprice1,0,0,($AK77+IF(Smile=TRUE(),VLOOKUP(MAX(-5,Strikeprice1-G77),Volsmile,2),0)),($A77-DateToday)+15,IF(Pricetype1=1,1,0),0))),G77)))</f>
        <v> </v>
      </c>
      <c r="Q77" s="318" t="str">
        <f aca="false">IF($A77="N/A"," ",IF(Pricetype1=2,MAX(H77,0),IF(OR(Pricetype1=1,Pricetype1=4),IF(H77=0,0,(EURO(H77,Strikeprice1,0,0,($AK77+IF(Smile=TRUE(),VLOOKUP(MAX(-5,Strikeprice1-H77),Volsmile,2),0)),($A77-DateToday)+15,IF(Pricetype1=1,1,0),0))),H77)))</f>
        <v> </v>
      </c>
      <c r="R77" s="318" t="str">
        <f aca="false">IF($A77="N/A"," ",IF(Pricetype1=2,MAX(I77,0),IF(OR(Pricetype1=1,Pricetype1=4),IF(I77=0,0,(EURO(I77,Strikeprice1,0,0,($AK77+IF(Smile=TRUE(),VLOOKUP(MAX(-5,Strikeprice1-I77),Volsmile,2),0)),($A77-DateToday)+15,IF(Pricetype1=1,1,0),0))),I77)))</f>
        <v> </v>
      </c>
      <c r="S77" s="318" t="str">
        <f aca="false">IF($A77="N/A"," ",IF(Pricetype1=2,MAX(J77,0),IF(OR(Pricetype1=1,Pricetype1=4),IF(J77=0,0,(EURO(J77,Strikeprice1,0,0,($AK77+IF(Smile=TRUE(),VLOOKUP(MAX(-5,Strikeprice1-J77),Volsmile,2),0)),($A77-DateToday)+15,IF(Pricetype1=1,1,0),0))),J77)))</f>
        <v> </v>
      </c>
      <c r="T77" s="318" t="str">
        <f aca="false">IF($A77="N/A"," ",IF(Pricetype1=2,MAX(K77,0),IF(OR(Pricetype1=1,Pricetype1=4),IF(K77=0,0,(EURO(K77,Strikeprice1,0,0,($AK77+IF(Smile=TRUE(),VLOOKUP(MAX(-5,Strikeprice1-K77),Volsmile,2),0)),($A77-DateToday)+15,IF(Pricetype1=1,1,0),0))),K77)))</f>
        <v> </v>
      </c>
      <c r="U77" s="319" t="str">
        <f aca="false">IF($A77="N/A"," ",Volume1*$AM77)</f>
        <v> </v>
      </c>
      <c r="V77" s="320" t="str">
        <f aca="false">IF($A77="N/A"," ",$U77*(8*($BQ77))*L77)</f>
        <v> </v>
      </c>
      <c r="W77" s="320" t="str">
        <f aca="false">IF($A77="N/A"," ",$U77*(8*($BQ77))*M77)</f>
        <v> </v>
      </c>
      <c r="X77" s="320" t="str">
        <f aca="false">IF($A77="N/A"," ",$U77*(8*($BQ77))*N77)</f>
        <v> </v>
      </c>
      <c r="Y77" s="320" t="str">
        <f aca="false">IF($A77="N/A"," ",$U77*(8*($BR77))*O77)</f>
        <v> </v>
      </c>
      <c r="Z77" s="320" t="str">
        <f aca="false">IF($A77="N/A"," ",$U77*(8*($BR77))*P77)</f>
        <v> </v>
      </c>
      <c r="AA77" s="320" t="str">
        <f aca="false">IF($A77="N/A"," ",$U77*(8*($BR77))*Q77)</f>
        <v> </v>
      </c>
      <c r="AB77" s="320" t="str">
        <f aca="false">IF($A77="N/A"," ",$U77*(8*($BS77))*R77)</f>
        <v> </v>
      </c>
      <c r="AC77" s="320" t="str">
        <f aca="false">IF($A77="N/A"," ",$U77*(8*($BS77))*S77)</f>
        <v> </v>
      </c>
      <c r="AD77" s="320" t="str">
        <f aca="false">IF($A77="N/A"," ",$U77*(8*($BS77))*T77)</f>
        <v> </v>
      </c>
      <c r="AE77" s="320" t="str">
        <f aca="false">IF($A77="N/A"," ",SUM(V77:AD77))</f>
        <v> </v>
      </c>
      <c r="AF77" s="321" t="str">
        <f aca="false">IF(A77="N/A"," ",(VLOOKUP(A77,PowerVolTable,(IF(VolBMO1=2,7,IF(VolBMO1=1,6,8))),FALSE())))</f>
        <v> </v>
      </c>
      <c r="AG77" s="321" t="str">
        <f aca="false">IF(A77="N/A"," ",(VLOOKUP(A77,IntraPowerVol,(IF(VolBMO1=2,3,IF(VolBMO1=1,2,4))),FALSE())*VLOOKUP(MONTH($A77),Volscale,2)))</f>
        <v> </v>
      </c>
      <c r="AH77" s="321" t="str">
        <f aca="false">IF($A77="N/A"," ",IF(VolType1=1,AG77,AF77))</f>
        <v> </v>
      </c>
      <c r="AI77" s="321" t="str">
        <f aca="false">IF($A77="N/A"," ",(VLOOKUP($A77,OffPwrVolTable,(IF(VolBMO1=2,7,IF(VolBMO1=1,6,8))),FALSE())))</f>
        <v> </v>
      </c>
      <c r="AJ77" s="321" t="str">
        <f aca="false">IF($A77="N/A"," ",(VLOOKUP($A77,OffPwrVolTable,(IF(VolBMO1=2,3,IF(VolBMO1=1,2,4))),FALSE())*VLOOKUP(MONTH($A77),Volscale,2)))</f>
        <v> </v>
      </c>
      <c r="AK77" s="321" t="str">
        <f aca="false">IF($A77="N/A"," ",IF(VolType1=1,AJ77,AI77))</f>
        <v> </v>
      </c>
      <c r="AL77" s="321" t="str">
        <f aca="false">IF($A77="N/A"," ",IF(PV=1,0,'Pricing Inputs1'!R110))</f>
        <v> </v>
      </c>
      <c r="AM77" s="323" t="str">
        <f aca="false">IF($A77="N/A"," ",(1+AL77/2)^(-2*((EOMONTH(A77,0)+20)-DateToday)/365.25))</f>
        <v> </v>
      </c>
      <c r="BQ77" s="0" t="str">
        <f aca="false">IF($A77="N/A"," ",(VLOOKUP($A77,NumberofDaysTable,2)))</f>
        <v> </v>
      </c>
      <c r="BR77" s="0" t="str">
        <f aca="false">IF($A77="N/A"," ",(VLOOKUP($A77,NumberofDaysTable,3)))</f>
        <v> </v>
      </c>
      <c r="BS77" s="0" t="str">
        <f aca="false">IF($A77="N/A"," ",(VLOOKUP($A77,NumberofDaysTable,4)))</f>
        <v> </v>
      </c>
    </row>
    <row r="78" customFormat="false" ht="12.75" hidden="false" customHeight="false" outlineLevel="0" collapsed="false">
      <c r="A78" s="315" t="str">
        <f aca="false">IF(A77="N/A","N/A",IF(EDATE(A77,1)&gt;Inputs!$M$5,"N/A",EDATE(A77,1)))</f>
        <v>N/A</v>
      </c>
      <c r="B78" s="316" t="str">
        <f aca="false">IF(A78="N/A"," ",YEAR(A78))</f>
        <v> </v>
      </c>
      <c r="C78" s="317" t="str">
        <f aca="false">IF($A78="N/A"," ",IF(Dayrun1=10,0,IF(Scaler1=1,(VLOOKUP(A78,ScaledPrice1,4)),(VLOOKUP(A78,ScaledPrice1,2)))))</f>
        <v> </v>
      </c>
      <c r="D78" s="317" t="str">
        <f aca="false">IF(A78="N/A"," ",IF(Dayrun1&gt;=7,0,IF(Scaler1=2,VLOOKUP(A78,ScaledPrice1,2),(VLOOKUP(A78,ScaledPrice1,2))*(2-(VLOOKUP(A78,ScaledPrice1,3))))))</f>
        <v> </v>
      </c>
      <c r="E78" s="317" t="str">
        <f aca="false">IF($A78="N/A"," ",IF(AND(Dayrun1&gt;=4,Dayrun1&lt;=9),0,VLOOKUP($A78,ScaledPrice1,9)))</f>
        <v> </v>
      </c>
      <c r="F78" s="317" t="str">
        <f aca="false">IF(A78="N/A"," ",IF(OR(Dayrun1=2,Dayrun1=3,Dayrun1=5,Dayrun1=6,Dayrun1=8,Dayrun1=9),VLOOKUP(A78,ScaledPrice1,IF(Scaler1=1,6,5)),0))</f>
        <v> </v>
      </c>
      <c r="G78" s="317" t="str">
        <f aca="false">IF(A78="N/A"," ",IF(OR(Dayrun1=2,Dayrun1=3,Dayrun1=5,Dayrun1=6),IF(Scaler1=2,F78,(VLOOKUP(A78,ScaledPrice1,5))*(2-(VLOOKUP(A78,ScaledPrice1,3)))),0))</f>
        <v> </v>
      </c>
      <c r="H78" s="317" t="str">
        <f aca="false">IF($A78="N/A"," ",IF(OR(Dayrun1=2,Dayrun1=3,Dayrun1=10),VLOOKUP($A78,ScaledPrice1,9),0))</f>
        <v> </v>
      </c>
      <c r="I78" s="317" t="str">
        <f aca="false">IF(A78="N/A"," ",IF(OR(Dayrun1=3,Dayrun1=6,Dayrun1=9),(VLOOKUP(A78,ScaledPrice1,IF(Scaler1=2,7,8))),0))</f>
        <v> </v>
      </c>
      <c r="J78" s="317" t="str">
        <f aca="false">IF(A78="N/A"," ",IF(OR(Dayrun1=3,Dayrun1=6),IF(Scaler1=2,I78,(VLOOKUP(A78,ScaledPrice1,7))*(2-(VLOOKUP(A78,ScaledPrice1,3)))),0))</f>
        <v> </v>
      </c>
      <c r="K78" s="317" t="str">
        <f aca="false">IF($A78="N/A"," ",IF(OR(Dayrun1=3,Dayrun1=10),VLOOKUP($A78,ScaledPrice1,9),0))</f>
        <v> </v>
      </c>
      <c r="L78" s="318" t="str">
        <f aca="false">IF($A78="N/A"," ",IF(Pricetype1=2,MAX(C78,0),IF(OR(Pricetype1=1,Pricetype1=4),IF(C78=0,0,(EURO(C78,Strikeprice1,0,0,($AH78+IF(Smile=TRUE(),VLOOKUP(MAX(-5,Strikeprice1-C78),Volsmile,2),0)),($A78-DateToday)+15,IF(Pricetype1=1,1,0),0))),C78)))</f>
        <v> </v>
      </c>
      <c r="M78" s="318" t="str">
        <f aca="false">IF($A78="N/A"," ",IF(Pricetype1=2,MAX(D78,0),IF(OR(Pricetype1=1,Pricetype1=4),IF(D78=0,0,(EURO(D78,Strikeprice1,0,0,($AH78+IF(Smile=TRUE(),VLOOKUP(MAX(-5,Strikeprice1-D78),Volsmile,2),0)),($A78-DateToday)+15,IF(Pricetype1=1,1,0),0))),D78)))</f>
        <v> </v>
      </c>
      <c r="N78" s="318" t="str">
        <f aca="false">IF($A78="N/A"," ",IF(Pricetype1=2,MAX(E78,0),IF(OR(Pricetype1=1,Pricetype1=4),IF(E78=0,0,(EURO(E78,Strikeprice1,0,0,($AK78+IF(Smile=TRUE(),VLOOKUP(MAX(-5,Strikeprice1-E78),Volsmile,2),0)),($A78-DateToday)+15,IF(Pricetype1=1,1,0),0))),E78)))</f>
        <v> </v>
      </c>
      <c r="O78" s="318" t="str">
        <f aca="false">IF($A78="N/A"," ",IF(Pricetype1=2,MAX(F78,0),IF(OR(Pricetype1=1,Pricetype1=4),IF(F78=0,0,(EURO(F78,Strikeprice1,0,0,($AK78+IF(Smile=TRUE(),VLOOKUP(MAX(-5,Strikeprice1-F78),Volsmile,2),0)),($A78-DateToday)+15,IF(Pricetype1=1,1,0),0))),F78)))</f>
        <v> </v>
      </c>
      <c r="P78" s="318" t="str">
        <f aca="false">IF($A78="N/A"," ",IF(Pricetype1=2,MAX(G78,0),IF(OR(Pricetype1=1,Pricetype1=4),IF(G78=0,0,(EURO(G78,Strikeprice1,0,0,($AK78+IF(Smile=TRUE(),VLOOKUP(MAX(-5,Strikeprice1-G78),Volsmile,2),0)),($A78-DateToday)+15,IF(Pricetype1=1,1,0),0))),G78)))</f>
        <v> </v>
      </c>
      <c r="Q78" s="318" t="str">
        <f aca="false">IF($A78="N/A"," ",IF(Pricetype1=2,MAX(H78,0),IF(OR(Pricetype1=1,Pricetype1=4),IF(H78=0,0,(EURO(H78,Strikeprice1,0,0,($AK78+IF(Smile=TRUE(),VLOOKUP(MAX(-5,Strikeprice1-H78),Volsmile,2),0)),($A78-DateToday)+15,IF(Pricetype1=1,1,0),0))),H78)))</f>
        <v> </v>
      </c>
      <c r="R78" s="318" t="str">
        <f aca="false">IF($A78="N/A"," ",IF(Pricetype1=2,MAX(I78,0),IF(OR(Pricetype1=1,Pricetype1=4),IF(I78=0,0,(EURO(I78,Strikeprice1,0,0,($AK78+IF(Smile=TRUE(),VLOOKUP(MAX(-5,Strikeprice1-I78),Volsmile,2),0)),($A78-DateToday)+15,IF(Pricetype1=1,1,0),0))),I78)))</f>
        <v> </v>
      </c>
      <c r="S78" s="318" t="str">
        <f aca="false">IF($A78="N/A"," ",IF(Pricetype1=2,MAX(J78,0),IF(OR(Pricetype1=1,Pricetype1=4),IF(J78=0,0,(EURO(J78,Strikeprice1,0,0,($AK78+IF(Smile=TRUE(),VLOOKUP(MAX(-5,Strikeprice1-J78),Volsmile,2),0)),($A78-DateToday)+15,IF(Pricetype1=1,1,0),0))),J78)))</f>
        <v> </v>
      </c>
      <c r="T78" s="318" t="str">
        <f aca="false">IF($A78="N/A"," ",IF(Pricetype1=2,MAX(K78,0),IF(OR(Pricetype1=1,Pricetype1=4),IF(K78=0,0,(EURO(K78,Strikeprice1,0,0,($AK78+IF(Smile=TRUE(),VLOOKUP(MAX(-5,Strikeprice1-K78),Volsmile,2),0)),($A78-DateToday)+15,IF(Pricetype1=1,1,0),0))),K78)))</f>
        <v> </v>
      </c>
      <c r="U78" s="319" t="str">
        <f aca="false">IF($A78="N/A"," ",Volume1*$AM78)</f>
        <v> </v>
      </c>
      <c r="V78" s="320" t="str">
        <f aca="false">IF($A78="N/A"," ",$U78*(8*($BQ78))*L78)</f>
        <v> </v>
      </c>
      <c r="W78" s="320" t="str">
        <f aca="false">IF($A78="N/A"," ",$U78*(8*($BQ78))*M78)</f>
        <v> </v>
      </c>
      <c r="X78" s="320" t="str">
        <f aca="false">IF($A78="N/A"," ",$U78*(8*($BQ78))*N78)</f>
        <v> </v>
      </c>
      <c r="Y78" s="320" t="str">
        <f aca="false">IF($A78="N/A"," ",$U78*(8*($BR78))*O78)</f>
        <v> </v>
      </c>
      <c r="Z78" s="320" t="str">
        <f aca="false">IF($A78="N/A"," ",$U78*(8*($BR78))*P78)</f>
        <v> </v>
      </c>
      <c r="AA78" s="320" t="str">
        <f aca="false">IF($A78="N/A"," ",$U78*(8*($BR78))*Q78)</f>
        <v> </v>
      </c>
      <c r="AB78" s="320" t="str">
        <f aca="false">IF($A78="N/A"," ",$U78*(8*($BS78))*R78)</f>
        <v> </v>
      </c>
      <c r="AC78" s="320" t="str">
        <f aca="false">IF($A78="N/A"," ",$U78*(8*($BS78))*S78)</f>
        <v> </v>
      </c>
      <c r="AD78" s="320" t="str">
        <f aca="false">IF($A78="N/A"," ",$U78*(8*($BS78))*T78)</f>
        <v> </v>
      </c>
      <c r="AE78" s="320" t="str">
        <f aca="false">IF($A78="N/A"," ",SUM(V78:AD78))</f>
        <v> </v>
      </c>
      <c r="AF78" s="321" t="str">
        <f aca="false">IF(A78="N/A"," ",(VLOOKUP(A78,PowerVolTable,(IF(VolBMO1=2,7,IF(VolBMO1=1,6,8))),FALSE())))</f>
        <v> </v>
      </c>
      <c r="AG78" s="321" t="str">
        <f aca="false">IF(A78="N/A"," ",(VLOOKUP(A78,IntraPowerVol,(IF(VolBMO1=2,3,IF(VolBMO1=1,2,4))),FALSE())*VLOOKUP(MONTH($A78),Volscale,2)))</f>
        <v> </v>
      </c>
      <c r="AH78" s="321" t="str">
        <f aca="false">IF($A78="N/A"," ",IF(VolType1=1,AG78,AF78))</f>
        <v> </v>
      </c>
      <c r="AI78" s="321" t="str">
        <f aca="false">IF($A78="N/A"," ",(VLOOKUP($A78,OffPwrVolTable,(IF(VolBMO1=2,7,IF(VolBMO1=1,6,8))),FALSE())))</f>
        <v> </v>
      </c>
      <c r="AJ78" s="321" t="str">
        <f aca="false">IF($A78="N/A"," ",(VLOOKUP($A78,OffPwrVolTable,(IF(VolBMO1=2,3,IF(VolBMO1=1,2,4))),FALSE())*VLOOKUP(MONTH($A78),Volscale,2)))</f>
        <v> </v>
      </c>
      <c r="AK78" s="321" t="str">
        <f aca="false">IF($A78="N/A"," ",IF(VolType1=1,AJ78,AI78))</f>
        <v> </v>
      </c>
      <c r="AL78" s="321" t="str">
        <f aca="false">IF($A78="N/A"," ",IF(PV=1,0,'Pricing Inputs1'!R111))</f>
        <v> </v>
      </c>
      <c r="AM78" s="323" t="str">
        <f aca="false">IF($A78="N/A"," ",(1+AL78/2)^(-2*((EOMONTH(A78,0)+20)-DateToday)/365.25))</f>
        <v> </v>
      </c>
      <c r="BQ78" s="0" t="str">
        <f aca="false">IF($A78="N/A"," ",(VLOOKUP($A78,NumberofDaysTable,2)))</f>
        <v> </v>
      </c>
      <c r="BR78" s="0" t="str">
        <f aca="false">IF($A78="N/A"," ",(VLOOKUP($A78,NumberofDaysTable,3)))</f>
        <v> </v>
      </c>
      <c r="BS78" s="0" t="str">
        <f aca="false">IF($A78="N/A"," ",(VLOOKUP($A78,NumberofDaysTable,4)))</f>
        <v> </v>
      </c>
    </row>
    <row r="79" customFormat="false" ht="12.75" hidden="false" customHeight="false" outlineLevel="0" collapsed="false">
      <c r="A79" s="315" t="str">
        <f aca="false">IF(A78="N/A","N/A",IF(EDATE(A78,1)&gt;Inputs!$M$5,"N/A",EDATE(A78,1)))</f>
        <v>N/A</v>
      </c>
      <c r="B79" s="316" t="str">
        <f aca="false">IF(A79="N/A"," ",YEAR(A79))</f>
        <v> </v>
      </c>
      <c r="C79" s="317" t="str">
        <f aca="false">IF($A79="N/A"," ",IF(Dayrun1=10,0,IF(Scaler1=1,(VLOOKUP(A79,ScaledPrice1,4)),(VLOOKUP(A79,ScaledPrice1,2)))))</f>
        <v> </v>
      </c>
      <c r="D79" s="317" t="str">
        <f aca="false">IF(A79="N/A"," ",IF(Dayrun1&gt;=7,0,IF(Scaler1=2,VLOOKUP(A79,ScaledPrice1,2),(VLOOKUP(A79,ScaledPrice1,2))*(2-(VLOOKUP(A79,ScaledPrice1,3))))))</f>
        <v> </v>
      </c>
      <c r="E79" s="317" t="str">
        <f aca="false">IF($A79="N/A"," ",IF(AND(Dayrun1&gt;=4,Dayrun1&lt;=9),0,VLOOKUP($A79,ScaledPrice1,9)))</f>
        <v> </v>
      </c>
      <c r="F79" s="317" t="str">
        <f aca="false">IF(A79="N/A"," ",IF(OR(Dayrun1=2,Dayrun1=3,Dayrun1=5,Dayrun1=6,Dayrun1=8,Dayrun1=9),VLOOKUP(A79,ScaledPrice1,IF(Scaler1=1,6,5)),0))</f>
        <v> </v>
      </c>
      <c r="G79" s="317" t="str">
        <f aca="false">IF(A79="N/A"," ",IF(OR(Dayrun1=2,Dayrun1=3,Dayrun1=5,Dayrun1=6),IF(Scaler1=2,F79,(VLOOKUP(A79,ScaledPrice1,5))*(2-(VLOOKUP(A79,ScaledPrice1,3)))),0))</f>
        <v> </v>
      </c>
      <c r="H79" s="317" t="str">
        <f aca="false">IF($A79="N/A"," ",IF(OR(Dayrun1=2,Dayrun1=3,Dayrun1=10),VLOOKUP($A79,ScaledPrice1,9),0))</f>
        <v> </v>
      </c>
      <c r="I79" s="317" t="str">
        <f aca="false">IF(A79="N/A"," ",IF(OR(Dayrun1=3,Dayrun1=6,Dayrun1=9),(VLOOKUP(A79,ScaledPrice1,IF(Scaler1=2,7,8))),0))</f>
        <v> </v>
      </c>
      <c r="J79" s="317" t="str">
        <f aca="false">IF(A79="N/A"," ",IF(OR(Dayrun1=3,Dayrun1=6),IF(Scaler1=2,I79,(VLOOKUP(A79,ScaledPrice1,7))*(2-(VLOOKUP(A79,ScaledPrice1,3)))),0))</f>
        <v> </v>
      </c>
      <c r="K79" s="317" t="str">
        <f aca="false">IF($A79="N/A"," ",IF(OR(Dayrun1=3,Dayrun1=10),VLOOKUP($A79,ScaledPrice1,9),0))</f>
        <v> </v>
      </c>
      <c r="L79" s="318" t="str">
        <f aca="false">IF($A79="N/A"," ",IF(Pricetype1=2,MAX(C79,0),IF(OR(Pricetype1=1,Pricetype1=4),IF(C79=0,0,(EURO(C79,Strikeprice1,0,0,($AH79+IF(Smile=TRUE(),VLOOKUP(MAX(-5,Strikeprice1-C79),Volsmile,2),0)),($A79-DateToday)+15,IF(Pricetype1=1,1,0),0))),C79)))</f>
        <v> </v>
      </c>
      <c r="M79" s="318" t="str">
        <f aca="false">IF($A79="N/A"," ",IF(Pricetype1=2,MAX(D79,0),IF(OR(Pricetype1=1,Pricetype1=4),IF(D79=0,0,(EURO(D79,Strikeprice1,0,0,($AH79+IF(Smile=TRUE(),VLOOKUP(MAX(-5,Strikeprice1-D79),Volsmile,2),0)),($A79-DateToday)+15,IF(Pricetype1=1,1,0),0))),D79)))</f>
        <v> </v>
      </c>
      <c r="N79" s="318" t="str">
        <f aca="false">IF($A79="N/A"," ",IF(Pricetype1=2,MAX(E79,0),IF(OR(Pricetype1=1,Pricetype1=4),IF(E79=0,0,(EURO(E79,Strikeprice1,0,0,($AK79+IF(Smile=TRUE(),VLOOKUP(MAX(-5,Strikeprice1-E79),Volsmile,2),0)),($A79-DateToday)+15,IF(Pricetype1=1,1,0),0))),E79)))</f>
        <v> </v>
      </c>
      <c r="O79" s="318" t="str">
        <f aca="false">IF($A79="N/A"," ",IF(Pricetype1=2,MAX(F79,0),IF(OR(Pricetype1=1,Pricetype1=4),IF(F79=0,0,(EURO(F79,Strikeprice1,0,0,($AK79+IF(Smile=TRUE(),VLOOKUP(MAX(-5,Strikeprice1-F79),Volsmile,2),0)),($A79-DateToday)+15,IF(Pricetype1=1,1,0),0))),F79)))</f>
        <v> </v>
      </c>
      <c r="P79" s="318" t="str">
        <f aca="false">IF($A79="N/A"," ",IF(Pricetype1=2,MAX(G79,0),IF(OR(Pricetype1=1,Pricetype1=4),IF(G79=0,0,(EURO(G79,Strikeprice1,0,0,($AK79+IF(Smile=TRUE(),VLOOKUP(MAX(-5,Strikeprice1-G79),Volsmile,2),0)),($A79-DateToday)+15,IF(Pricetype1=1,1,0),0))),G79)))</f>
        <v> </v>
      </c>
      <c r="Q79" s="318" t="str">
        <f aca="false">IF($A79="N/A"," ",IF(Pricetype1=2,MAX(H79,0),IF(OR(Pricetype1=1,Pricetype1=4),IF(H79=0,0,(EURO(H79,Strikeprice1,0,0,($AK79+IF(Smile=TRUE(),VLOOKUP(MAX(-5,Strikeprice1-H79),Volsmile,2),0)),($A79-DateToday)+15,IF(Pricetype1=1,1,0),0))),H79)))</f>
        <v> </v>
      </c>
      <c r="R79" s="318" t="str">
        <f aca="false">IF($A79="N/A"," ",IF(Pricetype1=2,MAX(I79,0),IF(OR(Pricetype1=1,Pricetype1=4),IF(I79=0,0,(EURO(I79,Strikeprice1,0,0,($AK79+IF(Smile=TRUE(),VLOOKUP(MAX(-5,Strikeprice1-I79),Volsmile,2),0)),($A79-DateToday)+15,IF(Pricetype1=1,1,0),0))),I79)))</f>
        <v> </v>
      </c>
      <c r="S79" s="318" t="str">
        <f aca="false">IF($A79="N/A"," ",IF(Pricetype1=2,MAX(J79,0),IF(OR(Pricetype1=1,Pricetype1=4),IF(J79=0,0,(EURO(J79,Strikeprice1,0,0,($AK79+IF(Smile=TRUE(),VLOOKUP(MAX(-5,Strikeprice1-J79),Volsmile,2),0)),($A79-DateToday)+15,IF(Pricetype1=1,1,0),0))),J79)))</f>
        <v> </v>
      </c>
      <c r="T79" s="318" t="str">
        <f aca="false">IF($A79="N/A"," ",IF(Pricetype1=2,MAX(K79,0),IF(OR(Pricetype1=1,Pricetype1=4),IF(K79=0,0,(EURO(K79,Strikeprice1,0,0,($AK79+IF(Smile=TRUE(),VLOOKUP(MAX(-5,Strikeprice1-K79),Volsmile,2),0)),($A79-DateToday)+15,IF(Pricetype1=1,1,0),0))),K79)))</f>
        <v> </v>
      </c>
      <c r="U79" s="319" t="str">
        <f aca="false">IF($A79="N/A"," ",Volume1*$AM79)</f>
        <v> </v>
      </c>
      <c r="V79" s="320" t="str">
        <f aca="false">IF($A79="N/A"," ",$U79*(8*($BQ79))*L79)</f>
        <v> </v>
      </c>
      <c r="W79" s="320" t="str">
        <f aca="false">IF($A79="N/A"," ",$U79*(8*($BQ79))*M79)</f>
        <v> </v>
      </c>
      <c r="X79" s="320" t="str">
        <f aca="false">IF($A79="N/A"," ",$U79*(8*($BQ79))*N79)</f>
        <v> </v>
      </c>
      <c r="Y79" s="320" t="str">
        <f aca="false">IF($A79="N/A"," ",$U79*(8*($BR79))*O79)</f>
        <v> </v>
      </c>
      <c r="Z79" s="320" t="str">
        <f aca="false">IF($A79="N/A"," ",$U79*(8*($BR79))*P79)</f>
        <v> </v>
      </c>
      <c r="AA79" s="320" t="str">
        <f aca="false">IF($A79="N/A"," ",$U79*(8*($BR79))*Q79)</f>
        <v> </v>
      </c>
      <c r="AB79" s="320" t="str">
        <f aca="false">IF($A79="N/A"," ",$U79*(8*($BS79))*R79)</f>
        <v> </v>
      </c>
      <c r="AC79" s="320" t="str">
        <f aca="false">IF($A79="N/A"," ",$U79*(8*($BS79))*S79)</f>
        <v> </v>
      </c>
      <c r="AD79" s="320" t="str">
        <f aca="false">IF($A79="N/A"," ",$U79*(8*($BS79))*T79)</f>
        <v> </v>
      </c>
      <c r="AE79" s="320" t="str">
        <f aca="false">IF($A79="N/A"," ",SUM(V79:AD79))</f>
        <v> </v>
      </c>
      <c r="AF79" s="321" t="str">
        <f aca="false">IF(A79="N/A"," ",(VLOOKUP(A79,PowerVolTable,(IF(VolBMO1=2,7,IF(VolBMO1=1,6,8))),FALSE())))</f>
        <v> </v>
      </c>
      <c r="AG79" s="321" t="str">
        <f aca="false">IF(A79="N/A"," ",(VLOOKUP(A79,IntraPowerVol,(IF(VolBMO1=2,3,IF(VolBMO1=1,2,4))),FALSE())*VLOOKUP(MONTH($A79),Volscale,2)))</f>
        <v> </v>
      </c>
      <c r="AH79" s="321" t="str">
        <f aca="false">IF($A79="N/A"," ",IF(VolType1=1,AG79,AF79))</f>
        <v> </v>
      </c>
      <c r="AI79" s="321" t="str">
        <f aca="false">IF($A79="N/A"," ",(VLOOKUP($A79,OffPwrVolTable,(IF(VolBMO1=2,7,IF(VolBMO1=1,6,8))),FALSE())))</f>
        <v> </v>
      </c>
      <c r="AJ79" s="321" t="str">
        <f aca="false">IF($A79="N/A"," ",(VLOOKUP($A79,OffPwrVolTable,(IF(VolBMO1=2,3,IF(VolBMO1=1,2,4))),FALSE())*VLOOKUP(MONTH($A79),Volscale,2)))</f>
        <v> </v>
      </c>
      <c r="AK79" s="321" t="str">
        <f aca="false">IF($A79="N/A"," ",IF(VolType1=1,AJ79,AI79))</f>
        <v> </v>
      </c>
      <c r="AL79" s="321" t="str">
        <f aca="false">IF($A79="N/A"," ",IF(PV=1,0,'Pricing Inputs1'!R112))</f>
        <v> </v>
      </c>
      <c r="AM79" s="323" t="str">
        <f aca="false">IF($A79="N/A"," ",(1+AL79/2)^(-2*((EOMONTH(A79,0)+20)-DateToday)/365.25))</f>
        <v> </v>
      </c>
      <c r="BQ79" s="0" t="str">
        <f aca="false">IF($A79="N/A"," ",(VLOOKUP($A79,NumberofDaysTable,2)))</f>
        <v> </v>
      </c>
      <c r="BR79" s="0" t="str">
        <f aca="false">IF($A79="N/A"," ",(VLOOKUP($A79,NumberofDaysTable,3)))</f>
        <v> </v>
      </c>
      <c r="BS79" s="0" t="str">
        <f aca="false">IF($A79="N/A"," ",(VLOOKUP($A79,NumberofDaysTable,4)))</f>
        <v> </v>
      </c>
    </row>
    <row r="80" customFormat="false" ht="12.75" hidden="false" customHeight="false" outlineLevel="0" collapsed="false">
      <c r="A80" s="315" t="str">
        <f aca="false">IF(A79="N/A","N/A",IF(EDATE(A79,1)&gt;Inputs!$M$5,"N/A",EDATE(A79,1)))</f>
        <v>N/A</v>
      </c>
      <c r="B80" s="316" t="str">
        <f aca="false">IF(A80="N/A"," ",YEAR(A80))</f>
        <v> </v>
      </c>
      <c r="C80" s="317" t="str">
        <f aca="false">IF($A80="N/A"," ",IF(Dayrun1=10,0,IF(Scaler1=1,(VLOOKUP(A80,ScaledPrice1,4)),(VLOOKUP(A80,ScaledPrice1,2)))))</f>
        <v> </v>
      </c>
      <c r="D80" s="317" t="str">
        <f aca="false">IF(A80="N/A"," ",IF(Dayrun1&gt;=7,0,IF(Scaler1=2,VLOOKUP(A80,ScaledPrice1,2),(VLOOKUP(A80,ScaledPrice1,2))*(2-(VLOOKUP(A80,ScaledPrice1,3))))))</f>
        <v> </v>
      </c>
      <c r="E80" s="317" t="str">
        <f aca="false">IF($A80="N/A"," ",IF(AND(Dayrun1&gt;=4,Dayrun1&lt;=9),0,VLOOKUP($A80,ScaledPrice1,9)))</f>
        <v> </v>
      </c>
      <c r="F80" s="317" t="str">
        <f aca="false">IF(A80="N/A"," ",IF(OR(Dayrun1=2,Dayrun1=3,Dayrun1=5,Dayrun1=6,Dayrun1=8,Dayrun1=9),VLOOKUP(A80,ScaledPrice1,IF(Scaler1=1,6,5)),0))</f>
        <v> </v>
      </c>
      <c r="G80" s="317" t="str">
        <f aca="false">IF(A80="N/A"," ",IF(OR(Dayrun1=2,Dayrun1=3,Dayrun1=5,Dayrun1=6),IF(Scaler1=2,F80,(VLOOKUP(A80,ScaledPrice1,5))*(2-(VLOOKUP(A80,ScaledPrice1,3)))),0))</f>
        <v> </v>
      </c>
      <c r="H80" s="317" t="str">
        <f aca="false">IF($A80="N/A"," ",IF(OR(Dayrun1=2,Dayrun1=3,Dayrun1=10),VLOOKUP($A80,ScaledPrice1,9),0))</f>
        <v> </v>
      </c>
      <c r="I80" s="317" t="str">
        <f aca="false">IF(A80="N/A"," ",IF(OR(Dayrun1=3,Dayrun1=6,Dayrun1=9),(VLOOKUP(A80,ScaledPrice1,IF(Scaler1=2,7,8))),0))</f>
        <v> </v>
      </c>
      <c r="J80" s="317" t="str">
        <f aca="false">IF(A80="N/A"," ",IF(OR(Dayrun1=3,Dayrun1=6),IF(Scaler1=2,I80,(VLOOKUP(A80,ScaledPrice1,7))*(2-(VLOOKUP(A80,ScaledPrice1,3)))),0))</f>
        <v> </v>
      </c>
      <c r="K80" s="317" t="str">
        <f aca="false">IF($A80="N/A"," ",IF(OR(Dayrun1=3,Dayrun1=10),VLOOKUP($A80,ScaledPrice1,9),0))</f>
        <v> </v>
      </c>
      <c r="L80" s="318" t="str">
        <f aca="false">IF($A80="N/A"," ",IF(Pricetype1=2,MAX(C80,0),IF(OR(Pricetype1=1,Pricetype1=4),IF(C80=0,0,(EURO(C80,Strikeprice1,0,0,($AH80+IF(Smile=TRUE(),VLOOKUP(MAX(-5,Strikeprice1-C80),Volsmile,2),0)),($A80-DateToday)+15,IF(Pricetype1=1,1,0),0))),C80)))</f>
        <v> </v>
      </c>
      <c r="M80" s="318" t="str">
        <f aca="false">IF($A80="N/A"," ",IF(Pricetype1=2,MAX(D80,0),IF(OR(Pricetype1=1,Pricetype1=4),IF(D80=0,0,(EURO(D80,Strikeprice1,0,0,($AH80+IF(Smile=TRUE(),VLOOKUP(MAX(-5,Strikeprice1-D80),Volsmile,2),0)),($A80-DateToday)+15,IF(Pricetype1=1,1,0),0))),D80)))</f>
        <v> </v>
      </c>
      <c r="N80" s="318" t="str">
        <f aca="false">IF($A80="N/A"," ",IF(Pricetype1=2,MAX(E80,0),IF(OR(Pricetype1=1,Pricetype1=4),IF(E80=0,0,(EURO(E80,Strikeprice1,0,0,($AK80+IF(Smile=TRUE(),VLOOKUP(MAX(-5,Strikeprice1-E80),Volsmile,2),0)),($A80-DateToday)+15,IF(Pricetype1=1,1,0),0))),E80)))</f>
        <v> </v>
      </c>
      <c r="O80" s="318" t="str">
        <f aca="false">IF($A80="N/A"," ",IF(Pricetype1=2,MAX(F80,0),IF(OR(Pricetype1=1,Pricetype1=4),IF(F80=0,0,(EURO(F80,Strikeprice1,0,0,($AK80+IF(Smile=TRUE(),VLOOKUP(MAX(-5,Strikeprice1-F80),Volsmile,2),0)),($A80-DateToday)+15,IF(Pricetype1=1,1,0),0))),F80)))</f>
        <v> </v>
      </c>
      <c r="P80" s="318" t="str">
        <f aca="false">IF($A80="N/A"," ",IF(Pricetype1=2,MAX(G80,0),IF(OR(Pricetype1=1,Pricetype1=4),IF(G80=0,0,(EURO(G80,Strikeprice1,0,0,($AK80+IF(Smile=TRUE(),VLOOKUP(MAX(-5,Strikeprice1-G80),Volsmile,2),0)),($A80-DateToday)+15,IF(Pricetype1=1,1,0),0))),G80)))</f>
        <v> </v>
      </c>
      <c r="Q80" s="318" t="str">
        <f aca="false">IF($A80="N/A"," ",IF(Pricetype1=2,MAX(H80,0),IF(OR(Pricetype1=1,Pricetype1=4),IF(H80=0,0,(EURO(H80,Strikeprice1,0,0,($AK80+IF(Smile=TRUE(),VLOOKUP(MAX(-5,Strikeprice1-H80),Volsmile,2),0)),($A80-DateToday)+15,IF(Pricetype1=1,1,0),0))),H80)))</f>
        <v> </v>
      </c>
      <c r="R80" s="318" t="str">
        <f aca="false">IF($A80="N/A"," ",IF(Pricetype1=2,MAX(I80,0),IF(OR(Pricetype1=1,Pricetype1=4),IF(I80=0,0,(EURO(I80,Strikeprice1,0,0,($AK80+IF(Smile=TRUE(),VLOOKUP(MAX(-5,Strikeprice1-I80),Volsmile,2),0)),($A80-DateToday)+15,IF(Pricetype1=1,1,0),0))),I80)))</f>
        <v> </v>
      </c>
      <c r="S80" s="318" t="str">
        <f aca="false">IF($A80="N/A"," ",IF(Pricetype1=2,MAX(J80,0),IF(OR(Pricetype1=1,Pricetype1=4),IF(J80=0,0,(EURO(J80,Strikeprice1,0,0,($AK80+IF(Smile=TRUE(),VLOOKUP(MAX(-5,Strikeprice1-J80),Volsmile,2),0)),($A80-DateToday)+15,IF(Pricetype1=1,1,0),0))),J80)))</f>
        <v> </v>
      </c>
      <c r="T80" s="318" t="str">
        <f aca="false">IF($A80="N/A"," ",IF(Pricetype1=2,MAX(K80,0),IF(OR(Pricetype1=1,Pricetype1=4),IF(K80=0,0,(EURO(K80,Strikeprice1,0,0,($AK80+IF(Smile=TRUE(),VLOOKUP(MAX(-5,Strikeprice1-K80),Volsmile,2),0)),($A80-DateToday)+15,IF(Pricetype1=1,1,0),0))),K80)))</f>
        <v> </v>
      </c>
      <c r="U80" s="319" t="str">
        <f aca="false">IF($A80="N/A"," ",Volume1*$AM80)</f>
        <v> </v>
      </c>
      <c r="V80" s="320" t="str">
        <f aca="false">IF($A80="N/A"," ",$U80*(8*($BQ80))*L80)</f>
        <v> </v>
      </c>
      <c r="W80" s="320" t="str">
        <f aca="false">IF($A80="N/A"," ",$U80*(8*($BQ80))*M80)</f>
        <v> </v>
      </c>
      <c r="X80" s="320" t="str">
        <f aca="false">IF($A80="N/A"," ",$U80*(8*($BQ80))*N80)</f>
        <v> </v>
      </c>
      <c r="Y80" s="320" t="str">
        <f aca="false">IF($A80="N/A"," ",$U80*(8*($BR80))*O80)</f>
        <v> </v>
      </c>
      <c r="Z80" s="320" t="str">
        <f aca="false">IF($A80="N/A"," ",$U80*(8*($BR80))*P80)</f>
        <v> </v>
      </c>
      <c r="AA80" s="320" t="str">
        <f aca="false">IF($A80="N/A"," ",$U80*(8*($BR80))*Q80)</f>
        <v> </v>
      </c>
      <c r="AB80" s="320" t="str">
        <f aca="false">IF($A80="N/A"," ",$U80*(8*($BS80))*R80)</f>
        <v> </v>
      </c>
      <c r="AC80" s="320" t="str">
        <f aca="false">IF($A80="N/A"," ",$U80*(8*($BS80))*S80)</f>
        <v> </v>
      </c>
      <c r="AD80" s="320" t="str">
        <f aca="false">IF($A80="N/A"," ",$U80*(8*($BS80))*T80)</f>
        <v> </v>
      </c>
      <c r="AE80" s="320" t="str">
        <f aca="false">IF($A80="N/A"," ",SUM(V80:AD80))</f>
        <v> </v>
      </c>
      <c r="AF80" s="321" t="str">
        <f aca="false">IF(A80="N/A"," ",(VLOOKUP(A80,PowerVolTable,(IF(VolBMO1=2,7,IF(VolBMO1=1,6,8))),FALSE())))</f>
        <v> </v>
      </c>
      <c r="AG80" s="321" t="str">
        <f aca="false">IF(A80="N/A"," ",(VLOOKUP(A80,IntraPowerVol,(IF(VolBMO1=2,3,IF(VolBMO1=1,2,4))),FALSE())*VLOOKUP(MONTH($A80),Volscale,2)))</f>
        <v> </v>
      </c>
      <c r="AH80" s="321" t="str">
        <f aca="false">IF($A80="N/A"," ",IF(VolType1=1,AG80,AF80))</f>
        <v> </v>
      </c>
      <c r="AI80" s="321" t="str">
        <f aca="false">IF($A80="N/A"," ",(VLOOKUP($A80,OffPwrVolTable,(IF(VolBMO1=2,7,IF(VolBMO1=1,6,8))),FALSE())))</f>
        <v> </v>
      </c>
      <c r="AJ80" s="321" t="str">
        <f aca="false">IF($A80="N/A"," ",(VLOOKUP($A80,OffPwrVolTable,(IF(VolBMO1=2,3,IF(VolBMO1=1,2,4))),FALSE())*VLOOKUP(MONTH($A80),Volscale,2)))</f>
        <v> </v>
      </c>
      <c r="AK80" s="321" t="str">
        <f aca="false">IF($A80="N/A"," ",IF(VolType1=1,AJ80,AI80))</f>
        <v> </v>
      </c>
      <c r="AL80" s="321" t="str">
        <f aca="false">IF($A80="N/A"," ",IF(PV=1,0,'Pricing Inputs1'!R113))</f>
        <v> </v>
      </c>
      <c r="AM80" s="323" t="str">
        <f aca="false">IF($A80="N/A"," ",(1+AL80/2)^(-2*((EOMONTH(A80,0)+20)-DateToday)/365.25))</f>
        <v> </v>
      </c>
      <c r="BQ80" s="0" t="str">
        <f aca="false">IF($A80="N/A"," ",(VLOOKUP($A80,NumberofDaysTable,2)))</f>
        <v> </v>
      </c>
      <c r="BR80" s="0" t="str">
        <f aca="false">IF($A80="N/A"," ",(VLOOKUP($A80,NumberofDaysTable,3)))</f>
        <v> </v>
      </c>
      <c r="BS80" s="0" t="str">
        <f aca="false">IF($A80="N/A"," ",(VLOOKUP($A80,NumberofDaysTable,4)))</f>
        <v> </v>
      </c>
    </row>
    <row r="81" customFormat="false" ht="12.75" hidden="false" customHeight="false" outlineLevel="0" collapsed="false">
      <c r="A81" s="315" t="str">
        <f aca="false">IF(A80="N/A","N/A",IF(EDATE(A80,1)&gt;Inputs!$M$5,"N/A",EDATE(A80,1)))</f>
        <v>N/A</v>
      </c>
      <c r="B81" s="316" t="str">
        <f aca="false">IF(A81="N/A"," ",YEAR(A81))</f>
        <v> </v>
      </c>
      <c r="C81" s="317" t="str">
        <f aca="false">IF($A81="N/A"," ",IF(Dayrun1=10,0,IF(Scaler1=1,(VLOOKUP(A81,ScaledPrice1,4)),(VLOOKUP(A81,ScaledPrice1,2)))))</f>
        <v> </v>
      </c>
      <c r="D81" s="317" t="str">
        <f aca="false">IF(A81="N/A"," ",IF(Dayrun1&gt;=7,0,IF(Scaler1=2,VLOOKUP(A81,ScaledPrice1,2),(VLOOKUP(A81,ScaledPrice1,2))*(2-(VLOOKUP(A81,ScaledPrice1,3))))))</f>
        <v> </v>
      </c>
      <c r="E81" s="317" t="str">
        <f aca="false">IF($A81="N/A"," ",IF(AND(Dayrun1&gt;=4,Dayrun1&lt;=9),0,VLOOKUP($A81,ScaledPrice1,9)))</f>
        <v> </v>
      </c>
      <c r="F81" s="317" t="str">
        <f aca="false">IF(A81="N/A"," ",IF(OR(Dayrun1=2,Dayrun1=3,Dayrun1=5,Dayrun1=6,Dayrun1=8,Dayrun1=9),VLOOKUP(A81,ScaledPrice1,IF(Scaler1=1,6,5)),0))</f>
        <v> </v>
      </c>
      <c r="G81" s="317" t="str">
        <f aca="false">IF(A81="N/A"," ",IF(OR(Dayrun1=2,Dayrun1=3,Dayrun1=5,Dayrun1=6),IF(Scaler1=2,F81,(VLOOKUP(A81,ScaledPrice1,5))*(2-(VLOOKUP(A81,ScaledPrice1,3)))),0))</f>
        <v> </v>
      </c>
      <c r="H81" s="317" t="str">
        <f aca="false">IF($A81="N/A"," ",IF(OR(Dayrun1=2,Dayrun1=3,Dayrun1=10),VLOOKUP($A81,ScaledPrice1,9),0))</f>
        <v> </v>
      </c>
      <c r="I81" s="317" t="str">
        <f aca="false">IF(A81="N/A"," ",IF(OR(Dayrun1=3,Dayrun1=6,Dayrun1=9),(VLOOKUP(A81,ScaledPrice1,IF(Scaler1=2,7,8))),0))</f>
        <v> </v>
      </c>
      <c r="J81" s="317" t="str">
        <f aca="false">IF(A81="N/A"," ",IF(OR(Dayrun1=3,Dayrun1=6),IF(Scaler1=2,I81,(VLOOKUP(A81,ScaledPrice1,7))*(2-(VLOOKUP(A81,ScaledPrice1,3)))),0))</f>
        <v> </v>
      </c>
      <c r="K81" s="317" t="str">
        <f aca="false">IF($A81="N/A"," ",IF(OR(Dayrun1=3,Dayrun1=10),VLOOKUP($A81,ScaledPrice1,9),0))</f>
        <v> </v>
      </c>
      <c r="L81" s="318" t="str">
        <f aca="false">IF($A81="N/A"," ",IF(Pricetype1=2,MAX(C81,0),IF(OR(Pricetype1=1,Pricetype1=4),IF(C81=0,0,(EURO(C81,Strikeprice1,0,0,($AH81+IF(Smile=TRUE(),VLOOKUP(MAX(-5,Strikeprice1-C81),Volsmile,2),0)),($A81-DateToday)+15,IF(Pricetype1=1,1,0),0))),C81)))</f>
        <v> </v>
      </c>
      <c r="M81" s="318" t="str">
        <f aca="false">IF($A81="N/A"," ",IF(Pricetype1=2,MAX(D81,0),IF(OR(Pricetype1=1,Pricetype1=4),IF(D81=0,0,(EURO(D81,Strikeprice1,0,0,($AH81+IF(Smile=TRUE(),VLOOKUP(MAX(-5,Strikeprice1-D81),Volsmile,2),0)),($A81-DateToday)+15,IF(Pricetype1=1,1,0),0))),D81)))</f>
        <v> </v>
      </c>
      <c r="N81" s="318" t="str">
        <f aca="false">IF($A81="N/A"," ",IF(Pricetype1=2,MAX(E81,0),IF(OR(Pricetype1=1,Pricetype1=4),IF(E81=0,0,(EURO(E81,Strikeprice1,0,0,($AK81+IF(Smile=TRUE(),VLOOKUP(MAX(-5,Strikeprice1-E81),Volsmile,2),0)),($A81-DateToday)+15,IF(Pricetype1=1,1,0),0))),E81)))</f>
        <v> </v>
      </c>
      <c r="O81" s="318" t="str">
        <f aca="false">IF($A81="N/A"," ",IF(Pricetype1=2,MAX(F81,0),IF(OR(Pricetype1=1,Pricetype1=4),IF(F81=0,0,(EURO(F81,Strikeprice1,0,0,($AK81+IF(Smile=TRUE(),VLOOKUP(MAX(-5,Strikeprice1-F81),Volsmile,2),0)),($A81-DateToday)+15,IF(Pricetype1=1,1,0),0))),F81)))</f>
        <v> </v>
      </c>
      <c r="P81" s="318" t="str">
        <f aca="false">IF($A81="N/A"," ",IF(Pricetype1=2,MAX(G81,0),IF(OR(Pricetype1=1,Pricetype1=4),IF(G81=0,0,(EURO(G81,Strikeprice1,0,0,($AK81+IF(Smile=TRUE(),VLOOKUP(MAX(-5,Strikeprice1-G81),Volsmile,2),0)),($A81-DateToday)+15,IF(Pricetype1=1,1,0),0))),G81)))</f>
        <v> </v>
      </c>
      <c r="Q81" s="318" t="str">
        <f aca="false">IF($A81="N/A"," ",IF(Pricetype1=2,MAX(H81,0),IF(OR(Pricetype1=1,Pricetype1=4),IF(H81=0,0,(EURO(H81,Strikeprice1,0,0,($AK81+IF(Smile=TRUE(),VLOOKUP(MAX(-5,Strikeprice1-H81),Volsmile,2),0)),($A81-DateToday)+15,IF(Pricetype1=1,1,0),0))),H81)))</f>
        <v> </v>
      </c>
      <c r="R81" s="318" t="str">
        <f aca="false">IF($A81="N/A"," ",IF(Pricetype1=2,MAX(I81,0),IF(OR(Pricetype1=1,Pricetype1=4),IF(I81=0,0,(EURO(I81,Strikeprice1,0,0,($AK81+IF(Smile=TRUE(),VLOOKUP(MAX(-5,Strikeprice1-I81),Volsmile,2),0)),($A81-DateToday)+15,IF(Pricetype1=1,1,0),0))),I81)))</f>
        <v> </v>
      </c>
      <c r="S81" s="318" t="str">
        <f aca="false">IF($A81="N/A"," ",IF(Pricetype1=2,MAX(J81,0),IF(OR(Pricetype1=1,Pricetype1=4),IF(J81=0,0,(EURO(J81,Strikeprice1,0,0,($AK81+IF(Smile=TRUE(),VLOOKUP(MAX(-5,Strikeprice1-J81),Volsmile,2),0)),($A81-DateToday)+15,IF(Pricetype1=1,1,0),0))),J81)))</f>
        <v> </v>
      </c>
      <c r="T81" s="318" t="str">
        <f aca="false">IF($A81="N/A"," ",IF(Pricetype1=2,MAX(K81,0),IF(OR(Pricetype1=1,Pricetype1=4),IF(K81=0,0,(EURO(K81,Strikeprice1,0,0,($AK81+IF(Smile=TRUE(),VLOOKUP(MAX(-5,Strikeprice1-K81),Volsmile,2),0)),($A81-DateToday)+15,IF(Pricetype1=1,1,0),0))),K81)))</f>
        <v> </v>
      </c>
      <c r="U81" s="319" t="str">
        <f aca="false">IF($A81="N/A"," ",Volume1*$AM81)</f>
        <v> </v>
      </c>
      <c r="V81" s="320" t="str">
        <f aca="false">IF($A81="N/A"," ",$U81*(8*($BQ81))*L81)</f>
        <v> </v>
      </c>
      <c r="W81" s="320" t="str">
        <f aca="false">IF($A81="N/A"," ",$U81*(8*($BQ81))*M81)</f>
        <v> </v>
      </c>
      <c r="X81" s="320" t="str">
        <f aca="false">IF($A81="N/A"," ",$U81*(8*($BQ81))*N81)</f>
        <v> </v>
      </c>
      <c r="Y81" s="320" t="str">
        <f aca="false">IF($A81="N/A"," ",$U81*(8*($BR81))*O81)</f>
        <v> </v>
      </c>
      <c r="Z81" s="320" t="str">
        <f aca="false">IF($A81="N/A"," ",$U81*(8*($BR81))*P81)</f>
        <v> </v>
      </c>
      <c r="AA81" s="320" t="str">
        <f aca="false">IF($A81="N/A"," ",$U81*(8*($BR81))*Q81)</f>
        <v> </v>
      </c>
      <c r="AB81" s="320" t="str">
        <f aca="false">IF($A81="N/A"," ",$U81*(8*($BS81))*R81)</f>
        <v> </v>
      </c>
      <c r="AC81" s="320" t="str">
        <f aca="false">IF($A81="N/A"," ",$U81*(8*($BS81))*S81)</f>
        <v> </v>
      </c>
      <c r="AD81" s="320" t="str">
        <f aca="false">IF($A81="N/A"," ",$U81*(8*($BS81))*T81)</f>
        <v> </v>
      </c>
      <c r="AE81" s="320" t="str">
        <f aca="false">IF($A81="N/A"," ",SUM(V81:AD81))</f>
        <v> </v>
      </c>
      <c r="AF81" s="321" t="str">
        <f aca="false">IF(A81="N/A"," ",(VLOOKUP(A81,PowerVolTable,(IF(VolBMO1=2,7,IF(VolBMO1=1,6,8))),FALSE())))</f>
        <v> </v>
      </c>
      <c r="AG81" s="321" t="str">
        <f aca="false">IF(A81="N/A"," ",(VLOOKUP(A81,IntraPowerVol,(IF(VolBMO1=2,3,IF(VolBMO1=1,2,4))),FALSE())*VLOOKUP(MONTH($A81),Volscale,2)))</f>
        <v> </v>
      </c>
      <c r="AH81" s="321" t="str">
        <f aca="false">IF($A81="N/A"," ",IF(VolType1=1,AG81,AF81))</f>
        <v> </v>
      </c>
      <c r="AI81" s="321" t="str">
        <f aca="false">IF($A81="N/A"," ",(VLOOKUP($A81,OffPwrVolTable,(IF(VolBMO1=2,7,IF(VolBMO1=1,6,8))),FALSE())))</f>
        <v> </v>
      </c>
      <c r="AJ81" s="321" t="str">
        <f aca="false">IF($A81="N/A"," ",(VLOOKUP($A81,OffPwrVolTable,(IF(VolBMO1=2,3,IF(VolBMO1=1,2,4))),FALSE())*VLOOKUP(MONTH($A81),Volscale,2)))</f>
        <v> </v>
      </c>
      <c r="AK81" s="321" t="str">
        <f aca="false">IF($A81="N/A"," ",IF(VolType1=1,AJ81,AI81))</f>
        <v> </v>
      </c>
      <c r="AL81" s="321" t="str">
        <f aca="false">IF($A81="N/A"," ",IF(PV=1,0,'Pricing Inputs1'!R114))</f>
        <v> </v>
      </c>
      <c r="AM81" s="323" t="str">
        <f aca="false">IF($A81="N/A"," ",(1+AL81/2)^(-2*((EOMONTH(A81,0)+20)-DateToday)/365.25))</f>
        <v> </v>
      </c>
      <c r="BQ81" s="0" t="str">
        <f aca="false">IF($A81="N/A"," ",(VLOOKUP($A81,NumberofDaysTable,2)))</f>
        <v> </v>
      </c>
      <c r="BR81" s="0" t="str">
        <f aca="false">IF($A81="N/A"," ",(VLOOKUP($A81,NumberofDaysTable,3)))</f>
        <v> </v>
      </c>
      <c r="BS81" s="0" t="str">
        <f aca="false">IF($A81="N/A"," ",(VLOOKUP($A81,NumberofDaysTable,4)))</f>
        <v> </v>
      </c>
    </row>
    <row r="82" customFormat="false" ht="12.75" hidden="false" customHeight="false" outlineLevel="0" collapsed="false">
      <c r="A82" s="315" t="str">
        <f aca="false">IF(A81="N/A","N/A",IF(EDATE(A81,1)&gt;Inputs!$M$5,"N/A",EDATE(A81,1)))</f>
        <v>N/A</v>
      </c>
      <c r="B82" s="316" t="str">
        <f aca="false">IF(A82="N/A"," ",YEAR(A82))</f>
        <v> </v>
      </c>
      <c r="C82" s="317" t="str">
        <f aca="false">IF($A82="N/A"," ",IF(Dayrun1=10,0,IF(Scaler1=1,(VLOOKUP(A82,ScaledPrice1,4)),(VLOOKUP(A82,ScaledPrice1,2)))))</f>
        <v> </v>
      </c>
      <c r="D82" s="317" t="str">
        <f aca="false">IF(A82="N/A"," ",IF(Dayrun1&gt;=7,0,IF(Scaler1=2,VLOOKUP(A82,ScaledPrice1,2),(VLOOKUP(A82,ScaledPrice1,2))*(2-(VLOOKUP(A82,ScaledPrice1,3))))))</f>
        <v> </v>
      </c>
      <c r="E82" s="317" t="str">
        <f aca="false">IF($A82="N/A"," ",IF(AND(Dayrun1&gt;=4,Dayrun1&lt;=9),0,VLOOKUP($A82,ScaledPrice1,9)))</f>
        <v> </v>
      </c>
      <c r="F82" s="317" t="str">
        <f aca="false">IF(A82="N/A"," ",IF(OR(Dayrun1=2,Dayrun1=3,Dayrun1=5,Dayrun1=6,Dayrun1=8,Dayrun1=9),VLOOKUP(A82,ScaledPrice1,IF(Scaler1=1,6,5)),0))</f>
        <v> </v>
      </c>
      <c r="G82" s="317" t="str">
        <f aca="false">IF(A82="N/A"," ",IF(OR(Dayrun1=2,Dayrun1=3,Dayrun1=5,Dayrun1=6),IF(Scaler1=2,F82,(VLOOKUP(A82,ScaledPrice1,5))*(2-(VLOOKUP(A82,ScaledPrice1,3)))),0))</f>
        <v> </v>
      </c>
      <c r="H82" s="317" t="str">
        <f aca="false">IF($A82="N/A"," ",IF(OR(Dayrun1=2,Dayrun1=3,Dayrun1=10),VLOOKUP($A82,ScaledPrice1,9),0))</f>
        <v> </v>
      </c>
      <c r="I82" s="317" t="str">
        <f aca="false">IF(A82="N/A"," ",IF(OR(Dayrun1=3,Dayrun1=6,Dayrun1=9),(VLOOKUP(A82,ScaledPrice1,IF(Scaler1=2,7,8))),0))</f>
        <v> </v>
      </c>
      <c r="J82" s="317" t="str">
        <f aca="false">IF(A82="N/A"," ",IF(OR(Dayrun1=3,Dayrun1=6),IF(Scaler1=2,I82,(VLOOKUP(A82,ScaledPrice1,7))*(2-(VLOOKUP(A82,ScaledPrice1,3)))),0))</f>
        <v> </v>
      </c>
      <c r="K82" s="317" t="str">
        <f aca="false">IF($A82="N/A"," ",IF(OR(Dayrun1=3,Dayrun1=10),VLOOKUP($A82,ScaledPrice1,9),0))</f>
        <v> </v>
      </c>
      <c r="L82" s="318" t="str">
        <f aca="false">IF($A82="N/A"," ",IF(Pricetype1=2,MAX(C82,0),IF(OR(Pricetype1=1,Pricetype1=4),IF(C82=0,0,(EURO(C82,Strikeprice1,0,0,($AH82+IF(Smile=TRUE(),VLOOKUP(MAX(-5,Strikeprice1-C82),Volsmile,2),0)),($A82-DateToday)+15,IF(Pricetype1=1,1,0),0))),C82)))</f>
        <v> </v>
      </c>
      <c r="M82" s="318" t="str">
        <f aca="false">IF($A82="N/A"," ",IF(Pricetype1=2,MAX(D82,0),IF(OR(Pricetype1=1,Pricetype1=4),IF(D82=0,0,(EURO(D82,Strikeprice1,0,0,($AH82+IF(Smile=TRUE(),VLOOKUP(MAX(-5,Strikeprice1-D82),Volsmile,2),0)),($A82-DateToday)+15,IF(Pricetype1=1,1,0),0))),D82)))</f>
        <v> </v>
      </c>
      <c r="N82" s="318" t="str">
        <f aca="false">IF($A82="N/A"," ",IF(Pricetype1=2,MAX(E82,0),IF(OR(Pricetype1=1,Pricetype1=4),IF(E82=0,0,(EURO(E82,Strikeprice1,0,0,($AK82+IF(Smile=TRUE(),VLOOKUP(MAX(-5,Strikeprice1-E82),Volsmile,2),0)),($A82-DateToday)+15,IF(Pricetype1=1,1,0),0))),E82)))</f>
        <v> </v>
      </c>
      <c r="O82" s="318" t="str">
        <f aca="false">IF($A82="N/A"," ",IF(Pricetype1=2,MAX(F82,0),IF(OR(Pricetype1=1,Pricetype1=4),IF(F82=0,0,(EURO(F82,Strikeprice1,0,0,($AK82+IF(Smile=TRUE(),VLOOKUP(MAX(-5,Strikeprice1-F82),Volsmile,2),0)),($A82-DateToday)+15,IF(Pricetype1=1,1,0),0))),F82)))</f>
        <v> </v>
      </c>
      <c r="P82" s="318" t="str">
        <f aca="false">IF($A82="N/A"," ",IF(Pricetype1=2,MAX(G82,0),IF(OR(Pricetype1=1,Pricetype1=4),IF(G82=0,0,(EURO(G82,Strikeprice1,0,0,($AK82+IF(Smile=TRUE(),VLOOKUP(MAX(-5,Strikeprice1-G82),Volsmile,2),0)),($A82-DateToday)+15,IF(Pricetype1=1,1,0),0))),G82)))</f>
        <v> </v>
      </c>
      <c r="Q82" s="318" t="str">
        <f aca="false">IF($A82="N/A"," ",IF(Pricetype1=2,MAX(H82,0),IF(OR(Pricetype1=1,Pricetype1=4),IF(H82=0,0,(EURO(H82,Strikeprice1,0,0,($AK82+IF(Smile=TRUE(),VLOOKUP(MAX(-5,Strikeprice1-H82),Volsmile,2),0)),($A82-DateToday)+15,IF(Pricetype1=1,1,0),0))),H82)))</f>
        <v> </v>
      </c>
      <c r="R82" s="318" t="str">
        <f aca="false">IF($A82="N/A"," ",IF(Pricetype1=2,MAX(I82,0),IF(OR(Pricetype1=1,Pricetype1=4),IF(I82=0,0,(EURO(I82,Strikeprice1,0,0,($AK82+IF(Smile=TRUE(),VLOOKUP(MAX(-5,Strikeprice1-I82),Volsmile,2),0)),($A82-DateToday)+15,IF(Pricetype1=1,1,0),0))),I82)))</f>
        <v> </v>
      </c>
      <c r="S82" s="318" t="str">
        <f aca="false">IF($A82="N/A"," ",IF(Pricetype1=2,MAX(J82,0),IF(OR(Pricetype1=1,Pricetype1=4),IF(J82=0,0,(EURO(J82,Strikeprice1,0,0,($AK82+IF(Smile=TRUE(),VLOOKUP(MAX(-5,Strikeprice1-J82),Volsmile,2),0)),($A82-DateToday)+15,IF(Pricetype1=1,1,0),0))),J82)))</f>
        <v> </v>
      </c>
      <c r="T82" s="318" t="str">
        <f aca="false">IF($A82="N/A"," ",IF(Pricetype1=2,MAX(K82,0),IF(OR(Pricetype1=1,Pricetype1=4),IF(K82=0,0,(EURO(K82,Strikeprice1,0,0,($AK82+IF(Smile=TRUE(),VLOOKUP(MAX(-5,Strikeprice1-K82),Volsmile,2),0)),($A82-DateToday)+15,IF(Pricetype1=1,1,0),0))),K82)))</f>
        <v> </v>
      </c>
      <c r="U82" s="319" t="str">
        <f aca="false">IF($A82="N/A"," ",Volume1*$AM82)</f>
        <v> </v>
      </c>
      <c r="V82" s="320" t="str">
        <f aca="false">IF($A82="N/A"," ",$U82*(8*($BQ82))*L82)</f>
        <v> </v>
      </c>
      <c r="W82" s="320" t="str">
        <f aca="false">IF($A82="N/A"," ",$U82*(8*($BQ82))*M82)</f>
        <v> </v>
      </c>
      <c r="X82" s="320" t="str">
        <f aca="false">IF($A82="N/A"," ",$U82*(8*($BQ82))*N82)</f>
        <v> </v>
      </c>
      <c r="Y82" s="320" t="str">
        <f aca="false">IF($A82="N/A"," ",$U82*(8*($BR82))*O82)</f>
        <v> </v>
      </c>
      <c r="Z82" s="320" t="str">
        <f aca="false">IF($A82="N/A"," ",$U82*(8*($BR82))*P82)</f>
        <v> </v>
      </c>
      <c r="AA82" s="320" t="str">
        <f aca="false">IF($A82="N/A"," ",$U82*(8*($BR82))*Q82)</f>
        <v> </v>
      </c>
      <c r="AB82" s="320" t="str">
        <f aca="false">IF($A82="N/A"," ",$U82*(8*($BS82))*R82)</f>
        <v> </v>
      </c>
      <c r="AC82" s="320" t="str">
        <f aca="false">IF($A82="N/A"," ",$U82*(8*($BS82))*S82)</f>
        <v> </v>
      </c>
      <c r="AD82" s="320" t="str">
        <f aca="false">IF($A82="N/A"," ",$U82*(8*($BS82))*T82)</f>
        <v> </v>
      </c>
      <c r="AE82" s="320" t="str">
        <f aca="false">IF($A82="N/A"," ",SUM(V82:AD82))</f>
        <v> </v>
      </c>
      <c r="AF82" s="321" t="str">
        <f aca="false">IF(A82="N/A"," ",(VLOOKUP(A82,PowerVolTable,(IF(VolBMO1=2,7,IF(VolBMO1=1,6,8))),FALSE())))</f>
        <v> </v>
      </c>
      <c r="AG82" s="321" t="str">
        <f aca="false">IF(A82="N/A"," ",(VLOOKUP(A82,IntraPowerVol,(IF(VolBMO1=2,3,IF(VolBMO1=1,2,4))),FALSE())*VLOOKUP(MONTH($A82),Volscale,2)))</f>
        <v> </v>
      </c>
      <c r="AH82" s="321" t="str">
        <f aca="false">IF($A82="N/A"," ",IF(VolType1=1,AG82,AF82))</f>
        <v> </v>
      </c>
      <c r="AI82" s="321" t="str">
        <f aca="false">IF($A82="N/A"," ",(VLOOKUP($A82,OffPwrVolTable,(IF(VolBMO1=2,7,IF(VolBMO1=1,6,8))),FALSE())))</f>
        <v> </v>
      </c>
      <c r="AJ82" s="321" t="str">
        <f aca="false">IF($A82="N/A"," ",(VLOOKUP($A82,OffPwrVolTable,(IF(VolBMO1=2,3,IF(VolBMO1=1,2,4))),FALSE())*VLOOKUP(MONTH($A82),Volscale,2)))</f>
        <v> </v>
      </c>
      <c r="AK82" s="321" t="str">
        <f aca="false">IF($A82="N/A"," ",IF(VolType1=1,AJ82,AI82))</f>
        <v> </v>
      </c>
      <c r="AL82" s="321" t="str">
        <f aca="false">IF($A82="N/A"," ",IF(PV=1,0,'Pricing Inputs1'!R115))</f>
        <v> </v>
      </c>
      <c r="AM82" s="323" t="str">
        <f aca="false">IF($A82="N/A"," ",(1+AL82/2)^(-2*((EOMONTH(A82,0)+20)-DateToday)/365.25))</f>
        <v> </v>
      </c>
      <c r="BQ82" s="0" t="str">
        <f aca="false">IF($A82="N/A"," ",(VLOOKUP($A82,NumberofDaysTable,2)))</f>
        <v> </v>
      </c>
      <c r="BR82" s="0" t="str">
        <f aca="false">IF($A82="N/A"," ",(VLOOKUP($A82,NumberofDaysTable,3)))</f>
        <v> </v>
      </c>
      <c r="BS82" s="0" t="str">
        <f aca="false">IF($A82="N/A"," ",(VLOOKUP($A82,NumberofDaysTable,4)))</f>
        <v> </v>
      </c>
    </row>
    <row r="83" customFormat="false" ht="12.75" hidden="false" customHeight="false" outlineLevel="0" collapsed="false">
      <c r="A83" s="315" t="str">
        <f aca="false">IF(A82="N/A","N/A",IF(EDATE(A82,1)&gt;Inputs!$M$5,"N/A",EDATE(A82,1)))</f>
        <v>N/A</v>
      </c>
      <c r="B83" s="316" t="str">
        <f aca="false">IF(A83="N/A"," ",YEAR(A83))</f>
        <v> </v>
      </c>
      <c r="C83" s="317" t="str">
        <f aca="false">IF($A83="N/A"," ",IF(Dayrun1=10,0,IF(Scaler1=1,(VLOOKUP(A83,ScaledPrice1,4)),(VLOOKUP(A83,ScaledPrice1,2)))))</f>
        <v> </v>
      </c>
      <c r="D83" s="317" t="str">
        <f aca="false">IF(A83="N/A"," ",IF(Dayrun1&gt;=7,0,IF(Scaler1=2,VLOOKUP(A83,ScaledPrice1,2),(VLOOKUP(A83,ScaledPrice1,2))*(2-(VLOOKUP(A83,ScaledPrice1,3))))))</f>
        <v> </v>
      </c>
      <c r="E83" s="317" t="str">
        <f aca="false">IF($A83="N/A"," ",IF(AND(Dayrun1&gt;=4,Dayrun1&lt;=9),0,VLOOKUP($A83,ScaledPrice1,9)))</f>
        <v> </v>
      </c>
      <c r="F83" s="317" t="str">
        <f aca="false">IF(A83="N/A"," ",IF(OR(Dayrun1=2,Dayrun1=3,Dayrun1=5,Dayrun1=6,Dayrun1=8,Dayrun1=9),VLOOKUP(A83,ScaledPrice1,IF(Scaler1=1,6,5)),0))</f>
        <v> </v>
      </c>
      <c r="G83" s="317" t="str">
        <f aca="false">IF(A83="N/A"," ",IF(OR(Dayrun1=2,Dayrun1=3,Dayrun1=5,Dayrun1=6),IF(Scaler1=2,F83,(VLOOKUP(A83,ScaledPrice1,5))*(2-(VLOOKUP(A83,ScaledPrice1,3)))),0))</f>
        <v> </v>
      </c>
      <c r="H83" s="317" t="str">
        <f aca="false">IF($A83="N/A"," ",IF(OR(Dayrun1=2,Dayrun1=3,Dayrun1=10),VLOOKUP($A83,ScaledPrice1,9),0))</f>
        <v> </v>
      </c>
      <c r="I83" s="317" t="str">
        <f aca="false">IF(A83="N/A"," ",IF(OR(Dayrun1=3,Dayrun1=6,Dayrun1=9),(VLOOKUP(A83,ScaledPrice1,IF(Scaler1=2,7,8))),0))</f>
        <v> </v>
      </c>
      <c r="J83" s="317" t="str">
        <f aca="false">IF(A83="N/A"," ",IF(OR(Dayrun1=3,Dayrun1=6),IF(Scaler1=2,I83,(VLOOKUP(A83,ScaledPrice1,7))*(2-(VLOOKUP(A83,ScaledPrice1,3)))),0))</f>
        <v> </v>
      </c>
      <c r="K83" s="317" t="str">
        <f aca="false">IF($A83="N/A"," ",IF(OR(Dayrun1=3,Dayrun1=10),VLOOKUP($A83,ScaledPrice1,9),0))</f>
        <v> </v>
      </c>
      <c r="L83" s="318" t="str">
        <f aca="false">IF($A83="N/A"," ",IF(Pricetype1=2,MAX(C83,0),IF(OR(Pricetype1=1,Pricetype1=4),IF(C83=0,0,(EURO(C83,Strikeprice1,0,0,($AH83+IF(Smile=TRUE(),VLOOKUP(MAX(-5,Strikeprice1-C83),Volsmile,2),0)),($A83-DateToday)+15,IF(Pricetype1=1,1,0),0))),C83)))</f>
        <v> </v>
      </c>
      <c r="M83" s="318" t="str">
        <f aca="false">IF($A83="N/A"," ",IF(Pricetype1=2,MAX(D83,0),IF(OR(Pricetype1=1,Pricetype1=4),IF(D83=0,0,(EURO(D83,Strikeprice1,0,0,($AH83+IF(Smile=TRUE(),VLOOKUP(MAX(-5,Strikeprice1-D83),Volsmile,2),0)),($A83-DateToday)+15,IF(Pricetype1=1,1,0),0))),D83)))</f>
        <v> </v>
      </c>
      <c r="N83" s="318" t="str">
        <f aca="false">IF($A83="N/A"," ",IF(Pricetype1=2,MAX(E83,0),IF(OR(Pricetype1=1,Pricetype1=4),IF(E83=0,0,(EURO(E83,Strikeprice1,0,0,($AK83+IF(Smile=TRUE(),VLOOKUP(MAX(-5,Strikeprice1-E83),Volsmile,2),0)),($A83-DateToday)+15,IF(Pricetype1=1,1,0),0))),E83)))</f>
        <v> </v>
      </c>
      <c r="O83" s="318" t="str">
        <f aca="false">IF($A83="N/A"," ",IF(Pricetype1=2,MAX(F83,0),IF(OR(Pricetype1=1,Pricetype1=4),IF(F83=0,0,(EURO(F83,Strikeprice1,0,0,($AK83+IF(Smile=TRUE(),VLOOKUP(MAX(-5,Strikeprice1-F83),Volsmile,2),0)),($A83-DateToday)+15,IF(Pricetype1=1,1,0),0))),F83)))</f>
        <v> </v>
      </c>
      <c r="P83" s="318" t="str">
        <f aca="false">IF($A83="N/A"," ",IF(Pricetype1=2,MAX(G83,0),IF(OR(Pricetype1=1,Pricetype1=4),IF(G83=0,0,(EURO(G83,Strikeprice1,0,0,($AK83+IF(Smile=TRUE(),VLOOKUP(MAX(-5,Strikeprice1-G83),Volsmile,2),0)),($A83-DateToday)+15,IF(Pricetype1=1,1,0),0))),G83)))</f>
        <v> </v>
      </c>
      <c r="Q83" s="318" t="str">
        <f aca="false">IF($A83="N/A"," ",IF(Pricetype1=2,MAX(H83,0),IF(OR(Pricetype1=1,Pricetype1=4),IF(H83=0,0,(EURO(H83,Strikeprice1,0,0,($AK83+IF(Smile=TRUE(),VLOOKUP(MAX(-5,Strikeprice1-H83),Volsmile,2),0)),($A83-DateToday)+15,IF(Pricetype1=1,1,0),0))),H83)))</f>
        <v> </v>
      </c>
      <c r="R83" s="318" t="str">
        <f aca="false">IF($A83="N/A"," ",IF(Pricetype1=2,MAX(I83,0),IF(OR(Pricetype1=1,Pricetype1=4),IF(I83=0,0,(EURO(I83,Strikeprice1,0,0,($AK83+IF(Smile=TRUE(),VLOOKUP(MAX(-5,Strikeprice1-I83),Volsmile,2),0)),($A83-DateToday)+15,IF(Pricetype1=1,1,0),0))),I83)))</f>
        <v> </v>
      </c>
      <c r="S83" s="318" t="str">
        <f aca="false">IF($A83="N/A"," ",IF(Pricetype1=2,MAX(J83,0),IF(OR(Pricetype1=1,Pricetype1=4),IF(J83=0,0,(EURO(J83,Strikeprice1,0,0,($AK83+IF(Smile=TRUE(),VLOOKUP(MAX(-5,Strikeprice1-J83),Volsmile,2),0)),($A83-DateToday)+15,IF(Pricetype1=1,1,0),0))),J83)))</f>
        <v> </v>
      </c>
      <c r="T83" s="318" t="str">
        <f aca="false">IF($A83="N/A"," ",IF(Pricetype1=2,MAX(K83,0),IF(OR(Pricetype1=1,Pricetype1=4),IF(K83=0,0,(EURO(K83,Strikeprice1,0,0,($AK83+IF(Smile=TRUE(),VLOOKUP(MAX(-5,Strikeprice1-K83),Volsmile,2),0)),($A83-DateToday)+15,IF(Pricetype1=1,1,0),0))),K83)))</f>
        <v> </v>
      </c>
      <c r="U83" s="319" t="str">
        <f aca="false">IF($A83="N/A"," ",Volume1*$AM83)</f>
        <v> </v>
      </c>
      <c r="V83" s="320" t="str">
        <f aca="false">IF($A83="N/A"," ",$U83*(8*($BQ83))*L83)</f>
        <v> </v>
      </c>
      <c r="W83" s="320" t="str">
        <f aca="false">IF($A83="N/A"," ",$U83*(8*($BQ83))*M83)</f>
        <v> </v>
      </c>
      <c r="X83" s="320" t="str">
        <f aca="false">IF($A83="N/A"," ",$U83*(8*($BQ83))*N83)</f>
        <v> </v>
      </c>
      <c r="Y83" s="320" t="str">
        <f aca="false">IF($A83="N/A"," ",$U83*(8*($BR83))*O83)</f>
        <v> </v>
      </c>
      <c r="Z83" s="320" t="str">
        <f aca="false">IF($A83="N/A"," ",$U83*(8*($BR83))*P83)</f>
        <v> </v>
      </c>
      <c r="AA83" s="320" t="str">
        <f aca="false">IF($A83="N/A"," ",$U83*(8*($BR83))*Q83)</f>
        <v> </v>
      </c>
      <c r="AB83" s="320" t="str">
        <f aca="false">IF($A83="N/A"," ",$U83*(8*($BS83))*R83)</f>
        <v> </v>
      </c>
      <c r="AC83" s="320" t="str">
        <f aca="false">IF($A83="N/A"," ",$U83*(8*($BS83))*S83)</f>
        <v> </v>
      </c>
      <c r="AD83" s="320" t="str">
        <f aca="false">IF($A83="N/A"," ",$U83*(8*($BS83))*T83)</f>
        <v> </v>
      </c>
      <c r="AE83" s="320" t="str">
        <f aca="false">IF($A83="N/A"," ",SUM(V83:AD83))</f>
        <v> </v>
      </c>
      <c r="AF83" s="321" t="str">
        <f aca="false">IF(A83="N/A"," ",(VLOOKUP(A83,PowerVolTable,(IF(VolBMO1=2,7,IF(VolBMO1=1,6,8))),FALSE())))</f>
        <v> </v>
      </c>
      <c r="AG83" s="321" t="str">
        <f aca="false">IF(A83="N/A"," ",(VLOOKUP(A83,IntraPowerVol,(IF(VolBMO1=2,3,IF(VolBMO1=1,2,4))),FALSE())*VLOOKUP(MONTH($A83),Volscale,2)))</f>
        <v> </v>
      </c>
      <c r="AH83" s="321" t="str">
        <f aca="false">IF($A83="N/A"," ",IF(VolType1=1,AG83,AF83))</f>
        <v> </v>
      </c>
      <c r="AI83" s="321" t="str">
        <f aca="false">IF($A83="N/A"," ",(VLOOKUP($A83,OffPwrVolTable,(IF(VolBMO1=2,7,IF(VolBMO1=1,6,8))),FALSE())))</f>
        <v> </v>
      </c>
      <c r="AJ83" s="321" t="str">
        <f aca="false">IF($A83="N/A"," ",(VLOOKUP($A83,OffPwrVolTable,(IF(VolBMO1=2,3,IF(VolBMO1=1,2,4))),FALSE())*VLOOKUP(MONTH($A83),Volscale,2)))</f>
        <v> </v>
      </c>
      <c r="AK83" s="321" t="str">
        <f aca="false">IF($A83="N/A"," ",IF(VolType1=1,AJ83,AI83))</f>
        <v> </v>
      </c>
      <c r="AL83" s="321" t="str">
        <f aca="false">IF($A83="N/A"," ",IF(PV=1,0,'Pricing Inputs1'!R116))</f>
        <v> </v>
      </c>
      <c r="AM83" s="323" t="str">
        <f aca="false">IF($A83="N/A"," ",(1+AL83/2)^(-2*((EOMONTH(A83,0)+20)-DateToday)/365.25))</f>
        <v> </v>
      </c>
      <c r="BQ83" s="0" t="str">
        <f aca="false">IF($A83="N/A"," ",(VLOOKUP($A83,NumberofDaysTable,2)))</f>
        <v> </v>
      </c>
      <c r="BR83" s="0" t="str">
        <f aca="false">IF($A83="N/A"," ",(VLOOKUP($A83,NumberofDaysTable,3)))</f>
        <v> </v>
      </c>
      <c r="BS83" s="0" t="str">
        <f aca="false">IF($A83="N/A"," ",(VLOOKUP($A83,NumberofDaysTable,4)))</f>
        <v> </v>
      </c>
    </row>
    <row r="84" customFormat="false" ht="12.75" hidden="false" customHeight="false" outlineLevel="0" collapsed="false">
      <c r="A84" s="315" t="str">
        <f aca="false">IF(A83="N/A","N/A",IF(EDATE(A83,1)&gt;Inputs!$M$5,"N/A",EDATE(A83,1)))</f>
        <v>N/A</v>
      </c>
      <c r="B84" s="316" t="str">
        <f aca="false">IF(A84="N/A"," ",YEAR(A84))</f>
        <v> </v>
      </c>
      <c r="C84" s="317" t="str">
        <f aca="false">IF($A84="N/A"," ",IF(Dayrun1=10,0,IF(Scaler1=1,(VLOOKUP(A84,ScaledPrice1,4)),(VLOOKUP(A84,ScaledPrice1,2)))))</f>
        <v> </v>
      </c>
      <c r="D84" s="317" t="str">
        <f aca="false">IF(A84="N/A"," ",IF(Dayrun1&gt;=7,0,IF(Scaler1=2,VLOOKUP(A84,ScaledPrice1,2),(VLOOKUP(A84,ScaledPrice1,2))*(2-(VLOOKUP(A84,ScaledPrice1,3))))))</f>
        <v> </v>
      </c>
      <c r="E84" s="317" t="str">
        <f aca="false">IF($A84="N/A"," ",IF(AND(Dayrun1&gt;=4,Dayrun1&lt;=9),0,VLOOKUP($A84,ScaledPrice1,9)))</f>
        <v> </v>
      </c>
      <c r="F84" s="317" t="str">
        <f aca="false">IF(A84="N/A"," ",IF(OR(Dayrun1=2,Dayrun1=3,Dayrun1=5,Dayrun1=6,Dayrun1=8,Dayrun1=9),VLOOKUP(A84,ScaledPrice1,IF(Scaler1=1,6,5)),0))</f>
        <v> </v>
      </c>
      <c r="G84" s="317" t="str">
        <f aca="false">IF(A84="N/A"," ",IF(OR(Dayrun1=2,Dayrun1=3,Dayrun1=5,Dayrun1=6),IF(Scaler1=2,F84,(VLOOKUP(A84,ScaledPrice1,5))*(2-(VLOOKUP(A84,ScaledPrice1,3)))),0))</f>
        <v> </v>
      </c>
      <c r="H84" s="317" t="str">
        <f aca="false">IF($A84="N/A"," ",IF(OR(Dayrun1=2,Dayrun1=3,Dayrun1=10),VLOOKUP($A84,ScaledPrice1,9),0))</f>
        <v> </v>
      </c>
      <c r="I84" s="317" t="str">
        <f aca="false">IF(A84="N/A"," ",IF(OR(Dayrun1=3,Dayrun1=6,Dayrun1=9),(VLOOKUP(A84,ScaledPrice1,IF(Scaler1=2,7,8))),0))</f>
        <v> </v>
      </c>
      <c r="J84" s="317" t="str">
        <f aca="false">IF(A84="N/A"," ",IF(OR(Dayrun1=3,Dayrun1=6),IF(Scaler1=2,I84,(VLOOKUP(A84,ScaledPrice1,7))*(2-(VLOOKUP(A84,ScaledPrice1,3)))),0))</f>
        <v> </v>
      </c>
      <c r="K84" s="317" t="str">
        <f aca="false">IF($A84="N/A"," ",IF(OR(Dayrun1=3,Dayrun1=10),VLOOKUP($A84,ScaledPrice1,9),0))</f>
        <v> </v>
      </c>
      <c r="L84" s="318" t="str">
        <f aca="false">IF($A84="N/A"," ",IF(Pricetype1=2,MAX(C84,0),IF(OR(Pricetype1=1,Pricetype1=4),IF(C84=0,0,(EURO(C84,Strikeprice1,0,0,($AH84+IF(Smile=TRUE(),VLOOKUP(MAX(-5,Strikeprice1-C84),Volsmile,2),0)),($A84-DateToday)+15,IF(Pricetype1=1,1,0),0))),C84)))</f>
        <v> </v>
      </c>
      <c r="M84" s="318" t="str">
        <f aca="false">IF($A84="N/A"," ",IF(Pricetype1=2,MAX(D84,0),IF(OR(Pricetype1=1,Pricetype1=4),IF(D84=0,0,(EURO(D84,Strikeprice1,0,0,($AH84+IF(Smile=TRUE(),VLOOKUP(MAX(-5,Strikeprice1-D84),Volsmile,2),0)),($A84-DateToday)+15,IF(Pricetype1=1,1,0),0))),D84)))</f>
        <v> </v>
      </c>
      <c r="N84" s="318" t="str">
        <f aca="false">IF($A84="N/A"," ",IF(Pricetype1=2,MAX(E84,0),IF(OR(Pricetype1=1,Pricetype1=4),IF(E84=0,0,(EURO(E84,Strikeprice1,0,0,($AK84+IF(Smile=TRUE(),VLOOKUP(MAX(-5,Strikeprice1-E84),Volsmile,2),0)),($A84-DateToday)+15,IF(Pricetype1=1,1,0),0))),E84)))</f>
        <v> </v>
      </c>
      <c r="O84" s="318" t="str">
        <f aca="false">IF($A84="N/A"," ",IF(Pricetype1=2,MAX(F84,0),IF(OR(Pricetype1=1,Pricetype1=4),IF(F84=0,0,(EURO(F84,Strikeprice1,0,0,($AK84+IF(Smile=TRUE(),VLOOKUP(MAX(-5,Strikeprice1-F84),Volsmile,2),0)),($A84-DateToday)+15,IF(Pricetype1=1,1,0),0))),F84)))</f>
        <v> </v>
      </c>
      <c r="P84" s="318" t="str">
        <f aca="false">IF($A84="N/A"," ",IF(Pricetype1=2,MAX(G84,0),IF(OR(Pricetype1=1,Pricetype1=4),IF(G84=0,0,(EURO(G84,Strikeprice1,0,0,($AK84+IF(Smile=TRUE(),VLOOKUP(MAX(-5,Strikeprice1-G84),Volsmile,2),0)),($A84-DateToday)+15,IF(Pricetype1=1,1,0),0))),G84)))</f>
        <v> </v>
      </c>
      <c r="Q84" s="318" t="str">
        <f aca="false">IF($A84="N/A"," ",IF(Pricetype1=2,MAX(H84,0),IF(OR(Pricetype1=1,Pricetype1=4),IF(H84=0,0,(EURO(H84,Strikeprice1,0,0,($AK84+IF(Smile=TRUE(),VLOOKUP(MAX(-5,Strikeprice1-H84),Volsmile,2),0)),($A84-DateToday)+15,IF(Pricetype1=1,1,0),0))),H84)))</f>
        <v> </v>
      </c>
      <c r="R84" s="318" t="str">
        <f aca="false">IF($A84="N/A"," ",IF(Pricetype1=2,MAX(I84,0),IF(OR(Pricetype1=1,Pricetype1=4),IF(I84=0,0,(EURO(I84,Strikeprice1,0,0,($AK84+IF(Smile=TRUE(),VLOOKUP(MAX(-5,Strikeprice1-I84),Volsmile,2),0)),($A84-DateToday)+15,IF(Pricetype1=1,1,0),0))),I84)))</f>
        <v> </v>
      </c>
      <c r="S84" s="318" t="str">
        <f aca="false">IF($A84="N/A"," ",IF(Pricetype1=2,MAX(J84,0),IF(OR(Pricetype1=1,Pricetype1=4),IF(J84=0,0,(EURO(J84,Strikeprice1,0,0,($AK84+IF(Smile=TRUE(),VLOOKUP(MAX(-5,Strikeprice1-J84),Volsmile,2),0)),($A84-DateToday)+15,IF(Pricetype1=1,1,0),0))),J84)))</f>
        <v> </v>
      </c>
      <c r="T84" s="318" t="str">
        <f aca="false">IF($A84="N/A"," ",IF(Pricetype1=2,MAX(K84,0),IF(OR(Pricetype1=1,Pricetype1=4),IF(K84=0,0,(EURO(K84,Strikeprice1,0,0,($AK84+IF(Smile=TRUE(),VLOOKUP(MAX(-5,Strikeprice1-K84),Volsmile,2),0)),($A84-DateToday)+15,IF(Pricetype1=1,1,0),0))),K84)))</f>
        <v> </v>
      </c>
      <c r="U84" s="319" t="str">
        <f aca="false">IF($A84="N/A"," ",Volume1*$AM84)</f>
        <v> </v>
      </c>
      <c r="V84" s="320" t="str">
        <f aca="false">IF($A84="N/A"," ",$U84*(8*($BQ84))*L84)</f>
        <v> </v>
      </c>
      <c r="W84" s="320" t="str">
        <f aca="false">IF($A84="N/A"," ",$U84*(8*($BQ84))*M84)</f>
        <v> </v>
      </c>
      <c r="X84" s="320" t="str">
        <f aca="false">IF($A84="N/A"," ",$U84*(8*($BQ84))*N84)</f>
        <v> </v>
      </c>
      <c r="Y84" s="320" t="str">
        <f aca="false">IF($A84="N/A"," ",$U84*(8*($BR84))*O84)</f>
        <v> </v>
      </c>
      <c r="Z84" s="320" t="str">
        <f aca="false">IF($A84="N/A"," ",$U84*(8*($BR84))*P84)</f>
        <v> </v>
      </c>
      <c r="AA84" s="320" t="str">
        <f aca="false">IF($A84="N/A"," ",$U84*(8*($BR84))*Q84)</f>
        <v> </v>
      </c>
      <c r="AB84" s="320" t="str">
        <f aca="false">IF($A84="N/A"," ",$U84*(8*($BS84))*R84)</f>
        <v> </v>
      </c>
      <c r="AC84" s="320" t="str">
        <f aca="false">IF($A84="N/A"," ",$U84*(8*($BS84))*S84)</f>
        <v> </v>
      </c>
      <c r="AD84" s="320" t="str">
        <f aca="false">IF($A84="N/A"," ",$U84*(8*($BS84))*T84)</f>
        <v> </v>
      </c>
      <c r="AE84" s="320" t="str">
        <f aca="false">IF($A84="N/A"," ",SUM(V84:AD84))</f>
        <v> </v>
      </c>
      <c r="AF84" s="321" t="str">
        <f aca="false">IF(A84="N/A"," ",(VLOOKUP(A84,PowerVolTable,(IF(VolBMO1=2,7,IF(VolBMO1=1,6,8))),FALSE())))</f>
        <v> </v>
      </c>
      <c r="AG84" s="321" t="str">
        <f aca="false">IF(A84="N/A"," ",(VLOOKUP(A84,IntraPowerVol,(IF(VolBMO1=2,3,IF(VolBMO1=1,2,4))),FALSE())*VLOOKUP(MONTH($A84),Volscale,2)))</f>
        <v> </v>
      </c>
      <c r="AH84" s="321" t="str">
        <f aca="false">IF($A84="N/A"," ",IF(VolType1=1,AG84,AF84))</f>
        <v> </v>
      </c>
      <c r="AI84" s="321" t="str">
        <f aca="false">IF($A84="N/A"," ",(VLOOKUP($A84,OffPwrVolTable,(IF(VolBMO1=2,7,IF(VolBMO1=1,6,8))),FALSE())))</f>
        <v> </v>
      </c>
      <c r="AJ84" s="321" t="str">
        <f aca="false">IF($A84="N/A"," ",(VLOOKUP($A84,OffPwrVolTable,(IF(VolBMO1=2,3,IF(VolBMO1=1,2,4))),FALSE())*VLOOKUP(MONTH($A84),Volscale,2)))</f>
        <v> </v>
      </c>
      <c r="AK84" s="321" t="str">
        <f aca="false">IF($A84="N/A"," ",IF(VolType1=1,AJ84,AI84))</f>
        <v> </v>
      </c>
      <c r="AL84" s="321" t="str">
        <f aca="false">IF($A84="N/A"," ",IF(PV=1,0,'Pricing Inputs1'!R117))</f>
        <v> </v>
      </c>
      <c r="AM84" s="323" t="str">
        <f aca="false">IF($A84="N/A"," ",(1+AL84/2)^(-2*((EOMONTH(A84,0)+20)-DateToday)/365.25))</f>
        <v> </v>
      </c>
      <c r="BQ84" s="0" t="str">
        <f aca="false">IF($A84="N/A"," ",(VLOOKUP($A84,NumberofDaysTable,2)))</f>
        <v> </v>
      </c>
      <c r="BR84" s="0" t="str">
        <f aca="false">IF($A84="N/A"," ",(VLOOKUP($A84,NumberofDaysTable,3)))</f>
        <v> </v>
      </c>
      <c r="BS84" s="0" t="str">
        <f aca="false">IF($A84="N/A"," ",(VLOOKUP($A84,NumberofDaysTable,4)))</f>
        <v> </v>
      </c>
    </row>
    <row r="85" customFormat="false" ht="12.75" hidden="false" customHeight="false" outlineLevel="0" collapsed="false">
      <c r="A85" s="315" t="str">
        <f aca="false">IF(A84="N/A","N/A",IF(EDATE(A84,1)&gt;Inputs!$M$5,"N/A",EDATE(A84,1)))</f>
        <v>N/A</v>
      </c>
      <c r="B85" s="316" t="str">
        <f aca="false">IF(A85="N/A"," ",YEAR(A85))</f>
        <v> </v>
      </c>
      <c r="C85" s="317" t="str">
        <f aca="false">IF($A85="N/A"," ",IF(Dayrun1=10,0,IF(Scaler1=1,(VLOOKUP(A85,ScaledPrice1,4)),(VLOOKUP(A85,ScaledPrice1,2)))))</f>
        <v> </v>
      </c>
      <c r="D85" s="317" t="str">
        <f aca="false">IF(A85="N/A"," ",IF(Dayrun1&gt;=7,0,IF(Scaler1=2,VLOOKUP(A85,ScaledPrice1,2),(VLOOKUP(A85,ScaledPrice1,2))*(2-(VLOOKUP(A85,ScaledPrice1,3))))))</f>
        <v> </v>
      </c>
      <c r="E85" s="317" t="str">
        <f aca="false">IF($A85="N/A"," ",IF(AND(Dayrun1&gt;=4,Dayrun1&lt;=9),0,VLOOKUP($A85,ScaledPrice1,9)))</f>
        <v> </v>
      </c>
      <c r="F85" s="317" t="str">
        <f aca="false">IF(A85="N/A"," ",IF(OR(Dayrun1=2,Dayrun1=3,Dayrun1=5,Dayrun1=6,Dayrun1=8,Dayrun1=9),VLOOKUP(A85,ScaledPrice1,IF(Scaler1=1,6,5)),0))</f>
        <v> </v>
      </c>
      <c r="G85" s="317" t="str">
        <f aca="false">IF(A85="N/A"," ",IF(OR(Dayrun1=2,Dayrun1=3,Dayrun1=5,Dayrun1=6),IF(Scaler1=2,F85,(VLOOKUP(A85,ScaledPrice1,5))*(2-(VLOOKUP(A85,ScaledPrice1,3)))),0))</f>
        <v> </v>
      </c>
      <c r="H85" s="317" t="str">
        <f aca="false">IF($A85="N/A"," ",IF(OR(Dayrun1=2,Dayrun1=3,Dayrun1=10),VLOOKUP($A85,ScaledPrice1,9),0))</f>
        <v> </v>
      </c>
      <c r="I85" s="317" t="str">
        <f aca="false">IF(A85="N/A"," ",IF(OR(Dayrun1=3,Dayrun1=6,Dayrun1=9),(VLOOKUP(A85,ScaledPrice1,IF(Scaler1=2,7,8))),0))</f>
        <v> </v>
      </c>
      <c r="J85" s="317" t="str">
        <f aca="false">IF(A85="N/A"," ",IF(OR(Dayrun1=3,Dayrun1=6),IF(Scaler1=2,I85,(VLOOKUP(A85,ScaledPrice1,7))*(2-(VLOOKUP(A85,ScaledPrice1,3)))),0))</f>
        <v> </v>
      </c>
      <c r="K85" s="317" t="str">
        <f aca="false">IF($A85="N/A"," ",IF(OR(Dayrun1=3,Dayrun1=10),VLOOKUP($A85,ScaledPrice1,9),0))</f>
        <v> </v>
      </c>
      <c r="L85" s="318" t="str">
        <f aca="false">IF($A85="N/A"," ",IF(Pricetype1=2,MAX(C85,0),IF(OR(Pricetype1=1,Pricetype1=4),IF(C85=0,0,(EURO(C85,Strikeprice1,0,0,($AH85+IF(Smile=TRUE(),VLOOKUP(MAX(-5,Strikeprice1-C85),Volsmile,2),0)),($A85-DateToday)+15,IF(Pricetype1=1,1,0),0))),C85)))</f>
        <v> </v>
      </c>
      <c r="M85" s="318" t="str">
        <f aca="false">IF($A85="N/A"," ",IF(Pricetype1=2,MAX(D85,0),IF(OR(Pricetype1=1,Pricetype1=4),IF(D85=0,0,(EURO(D85,Strikeprice1,0,0,($AH85+IF(Smile=TRUE(),VLOOKUP(MAX(-5,Strikeprice1-D85),Volsmile,2),0)),($A85-DateToday)+15,IF(Pricetype1=1,1,0),0))),D85)))</f>
        <v> </v>
      </c>
      <c r="N85" s="318" t="str">
        <f aca="false">IF($A85="N/A"," ",IF(Pricetype1=2,MAX(E85,0),IF(OR(Pricetype1=1,Pricetype1=4),IF(E85=0,0,(EURO(E85,Strikeprice1,0,0,($AK85+IF(Smile=TRUE(),VLOOKUP(MAX(-5,Strikeprice1-E85),Volsmile,2),0)),($A85-DateToday)+15,IF(Pricetype1=1,1,0),0))),E85)))</f>
        <v> </v>
      </c>
      <c r="O85" s="318" t="str">
        <f aca="false">IF($A85="N/A"," ",IF(Pricetype1=2,MAX(F85,0),IF(OR(Pricetype1=1,Pricetype1=4),IF(F85=0,0,(EURO(F85,Strikeprice1,0,0,($AK85+IF(Smile=TRUE(),VLOOKUP(MAX(-5,Strikeprice1-F85),Volsmile,2),0)),($A85-DateToday)+15,IF(Pricetype1=1,1,0),0))),F85)))</f>
        <v> </v>
      </c>
      <c r="P85" s="318" t="str">
        <f aca="false">IF($A85="N/A"," ",IF(Pricetype1=2,MAX(G85,0),IF(OR(Pricetype1=1,Pricetype1=4),IF(G85=0,0,(EURO(G85,Strikeprice1,0,0,($AK85+IF(Smile=TRUE(),VLOOKUP(MAX(-5,Strikeprice1-G85),Volsmile,2),0)),($A85-DateToday)+15,IF(Pricetype1=1,1,0),0))),G85)))</f>
        <v> </v>
      </c>
      <c r="Q85" s="318" t="str">
        <f aca="false">IF($A85="N/A"," ",IF(Pricetype1=2,MAX(H85,0),IF(OR(Pricetype1=1,Pricetype1=4),IF(H85=0,0,(EURO(H85,Strikeprice1,0,0,($AK85+IF(Smile=TRUE(),VLOOKUP(MAX(-5,Strikeprice1-H85),Volsmile,2),0)),($A85-DateToday)+15,IF(Pricetype1=1,1,0),0))),H85)))</f>
        <v> </v>
      </c>
      <c r="R85" s="318" t="str">
        <f aca="false">IF($A85="N/A"," ",IF(Pricetype1=2,MAX(I85,0),IF(OR(Pricetype1=1,Pricetype1=4),IF(I85=0,0,(EURO(I85,Strikeprice1,0,0,($AK85+IF(Smile=TRUE(),VLOOKUP(MAX(-5,Strikeprice1-I85),Volsmile,2),0)),($A85-DateToday)+15,IF(Pricetype1=1,1,0),0))),I85)))</f>
        <v> </v>
      </c>
      <c r="S85" s="318" t="str">
        <f aca="false">IF($A85="N/A"," ",IF(Pricetype1=2,MAX(J85,0),IF(OR(Pricetype1=1,Pricetype1=4),IF(J85=0,0,(EURO(J85,Strikeprice1,0,0,($AK85+IF(Smile=TRUE(),VLOOKUP(MAX(-5,Strikeprice1-J85),Volsmile,2),0)),($A85-DateToday)+15,IF(Pricetype1=1,1,0),0))),J85)))</f>
        <v> </v>
      </c>
      <c r="T85" s="318" t="str">
        <f aca="false">IF($A85="N/A"," ",IF(Pricetype1=2,MAX(K85,0),IF(OR(Pricetype1=1,Pricetype1=4),IF(K85=0,0,(EURO(K85,Strikeprice1,0,0,($AK85+IF(Smile=TRUE(),VLOOKUP(MAX(-5,Strikeprice1-K85),Volsmile,2),0)),($A85-DateToday)+15,IF(Pricetype1=1,1,0),0))),K85)))</f>
        <v> </v>
      </c>
      <c r="U85" s="319" t="str">
        <f aca="false">IF($A85="N/A"," ",Volume1*$AM85)</f>
        <v> </v>
      </c>
      <c r="V85" s="320" t="str">
        <f aca="false">IF($A85="N/A"," ",$U85*(8*($BQ85))*L85)</f>
        <v> </v>
      </c>
      <c r="W85" s="320" t="str">
        <f aca="false">IF($A85="N/A"," ",$U85*(8*($BQ85))*M85)</f>
        <v> </v>
      </c>
      <c r="X85" s="320" t="str">
        <f aca="false">IF($A85="N/A"," ",$U85*(8*($BQ85))*N85)</f>
        <v> </v>
      </c>
      <c r="Y85" s="320" t="str">
        <f aca="false">IF($A85="N/A"," ",$U85*(8*($BR85))*O85)</f>
        <v> </v>
      </c>
      <c r="Z85" s="320" t="str">
        <f aca="false">IF($A85="N/A"," ",$U85*(8*($BR85))*P85)</f>
        <v> </v>
      </c>
      <c r="AA85" s="320" t="str">
        <f aca="false">IF($A85="N/A"," ",$U85*(8*($BR85))*Q85)</f>
        <v> </v>
      </c>
      <c r="AB85" s="320" t="str">
        <f aca="false">IF($A85="N/A"," ",$U85*(8*($BS85))*R85)</f>
        <v> </v>
      </c>
      <c r="AC85" s="320" t="str">
        <f aca="false">IF($A85="N/A"," ",$U85*(8*($BS85))*S85)</f>
        <v> </v>
      </c>
      <c r="AD85" s="320" t="str">
        <f aca="false">IF($A85="N/A"," ",$U85*(8*($BS85))*T85)</f>
        <v> </v>
      </c>
      <c r="AE85" s="320" t="str">
        <f aca="false">IF($A85="N/A"," ",SUM(V85:AD85))</f>
        <v> </v>
      </c>
      <c r="AF85" s="321" t="str">
        <f aca="false">IF(A85="N/A"," ",(VLOOKUP(A85,PowerVolTable,(IF(VolBMO1=2,7,IF(VolBMO1=1,6,8))),FALSE())))</f>
        <v> </v>
      </c>
      <c r="AG85" s="321" t="str">
        <f aca="false">IF(A85="N/A"," ",(VLOOKUP(A85,IntraPowerVol,(IF(VolBMO1=2,3,IF(VolBMO1=1,2,4))),FALSE())*VLOOKUP(MONTH($A85),Volscale,2)))</f>
        <v> </v>
      </c>
      <c r="AH85" s="321" t="str">
        <f aca="false">IF($A85="N/A"," ",IF(VolType1=1,AG85,AF85))</f>
        <v> </v>
      </c>
      <c r="AI85" s="321" t="str">
        <f aca="false">IF($A85="N/A"," ",(VLOOKUP($A85,OffPwrVolTable,(IF(VolBMO1=2,7,IF(VolBMO1=1,6,8))),FALSE())))</f>
        <v> </v>
      </c>
      <c r="AJ85" s="321" t="str">
        <f aca="false">IF($A85="N/A"," ",(VLOOKUP($A85,OffPwrVolTable,(IF(VolBMO1=2,3,IF(VolBMO1=1,2,4))),FALSE())*VLOOKUP(MONTH($A85),Volscale,2)))</f>
        <v> </v>
      </c>
      <c r="AK85" s="321" t="str">
        <f aca="false">IF($A85="N/A"," ",IF(VolType1=1,AJ85,AI85))</f>
        <v> </v>
      </c>
      <c r="AL85" s="321" t="str">
        <f aca="false">IF($A85="N/A"," ",IF(PV=1,0,'Pricing Inputs1'!R118))</f>
        <v> </v>
      </c>
      <c r="AM85" s="323" t="str">
        <f aca="false">IF($A85="N/A"," ",(1+AL85/2)^(-2*((EOMONTH(A85,0)+20)-DateToday)/365.25))</f>
        <v> </v>
      </c>
      <c r="BQ85" s="0" t="str">
        <f aca="false">IF($A85="N/A"," ",(VLOOKUP($A85,NumberofDaysTable,2)))</f>
        <v> </v>
      </c>
      <c r="BR85" s="0" t="str">
        <f aca="false">IF($A85="N/A"," ",(VLOOKUP($A85,NumberofDaysTable,3)))</f>
        <v> </v>
      </c>
      <c r="BS85" s="0" t="str">
        <f aca="false">IF($A85="N/A"," ",(VLOOKUP($A85,NumberofDaysTable,4)))</f>
        <v> </v>
      </c>
    </row>
    <row r="86" customFormat="false" ht="12.75" hidden="false" customHeight="false" outlineLevel="0" collapsed="false">
      <c r="A86" s="315" t="str">
        <f aca="false">IF(A85="N/A","N/A",IF(EDATE(A85,1)&gt;Inputs!$M$5,"N/A",EDATE(A85,1)))</f>
        <v>N/A</v>
      </c>
      <c r="B86" s="316" t="str">
        <f aca="false">IF(A86="N/A"," ",YEAR(A86))</f>
        <v> </v>
      </c>
      <c r="C86" s="317" t="str">
        <f aca="false">IF($A86="N/A"," ",IF(Dayrun1=10,0,IF(Scaler1=1,(VLOOKUP(A86,ScaledPrice1,4)),(VLOOKUP(A86,ScaledPrice1,2)))))</f>
        <v> </v>
      </c>
      <c r="D86" s="317" t="str">
        <f aca="false">IF(A86="N/A"," ",IF(Dayrun1&gt;=7,0,IF(Scaler1=2,VLOOKUP(A86,ScaledPrice1,2),(VLOOKUP(A86,ScaledPrice1,2))*(2-(VLOOKUP(A86,ScaledPrice1,3))))))</f>
        <v> </v>
      </c>
      <c r="E86" s="317" t="str">
        <f aca="false">IF($A86="N/A"," ",IF(AND(Dayrun1&gt;=4,Dayrun1&lt;=9),0,VLOOKUP($A86,ScaledPrice1,9)))</f>
        <v> </v>
      </c>
      <c r="F86" s="317" t="str">
        <f aca="false">IF(A86="N/A"," ",IF(OR(Dayrun1=2,Dayrun1=3,Dayrun1=5,Dayrun1=6,Dayrun1=8,Dayrun1=9),VLOOKUP(A86,ScaledPrice1,IF(Scaler1=1,6,5)),0))</f>
        <v> </v>
      </c>
      <c r="G86" s="317" t="str">
        <f aca="false">IF(A86="N/A"," ",IF(OR(Dayrun1=2,Dayrun1=3,Dayrun1=5,Dayrun1=6),IF(Scaler1=2,F86,(VLOOKUP(A86,ScaledPrice1,5))*(2-(VLOOKUP(A86,ScaledPrice1,3)))),0))</f>
        <v> </v>
      </c>
      <c r="H86" s="317" t="str">
        <f aca="false">IF($A86="N/A"," ",IF(OR(Dayrun1=2,Dayrun1=3,Dayrun1=10),VLOOKUP($A86,ScaledPrice1,9),0))</f>
        <v> </v>
      </c>
      <c r="I86" s="317" t="str">
        <f aca="false">IF(A86="N/A"," ",IF(OR(Dayrun1=3,Dayrun1=6,Dayrun1=9),(VLOOKUP(A86,ScaledPrice1,IF(Scaler1=2,7,8))),0))</f>
        <v> </v>
      </c>
      <c r="J86" s="317" t="str">
        <f aca="false">IF(A86="N/A"," ",IF(OR(Dayrun1=3,Dayrun1=6),IF(Scaler1=2,I86,(VLOOKUP(A86,ScaledPrice1,7))*(2-(VLOOKUP(A86,ScaledPrice1,3)))),0))</f>
        <v> </v>
      </c>
      <c r="K86" s="317" t="str">
        <f aca="false">IF($A86="N/A"," ",IF(OR(Dayrun1=3,Dayrun1=10),VLOOKUP($A86,ScaledPrice1,9),0))</f>
        <v> </v>
      </c>
      <c r="L86" s="318" t="str">
        <f aca="false">IF($A86="N/A"," ",IF(Pricetype1=2,MAX(C86,0),IF(OR(Pricetype1=1,Pricetype1=4),IF(C86=0,0,(EURO(C86,Strikeprice1,0,0,($AH86+IF(Smile=TRUE(),VLOOKUP(MAX(-5,Strikeprice1-C86),Volsmile,2),0)),($A86-DateToday)+15,IF(Pricetype1=1,1,0),0))),C86)))</f>
        <v> </v>
      </c>
      <c r="M86" s="318" t="str">
        <f aca="false">IF($A86="N/A"," ",IF(Pricetype1=2,MAX(D86,0),IF(OR(Pricetype1=1,Pricetype1=4),IF(D86=0,0,(EURO(D86,Strikeprice1,0,0,($AH86+IF(Smile=TRUE(),VLOOKUP(MAX(-5,Strikeprice1-D86),Volsmile,2),0)),($A86-DateToday)+15,IF(Pricetype1=1,1,0),0))),D86)))</f>
        <v> </v>
      </c>
      <c r="N86" s="318" t="str">
        <f aca="false">IF($A86="N/A"," ",IF(Pricetype1=2,MAX(E86,0),IF(OR(Pricetype1=1,Pricetype1=4),IF(E86=0,0,(EURO(E86,Strikeprice1,0,0,($AK86+IF(Smile=TRUE(),VLOOKUP(MAX(-5,Strikeprice1-E86),Volsmile,2),0)),($A86-DateToday)+15,IF(Pricetype1=1,1,0),0))),E86)))</f>
        <v> </v>
      </c>
      <c r="O86" s="318" t="str">
        <f aca="false">IF($A86="N/A"," ",IF(Pricetype1=2,MAX(F86,0),IF(OR(Pricetype1=1,Pricetype1=4),IF(F86=0,0,(EURO(F86,Strikeprice1,0,0,($AK86+IF(Smile=TRUE(),VLOOKUP(MAX(-5,Strikeprice1-F86),Volsmile,2),0)),($A86-DateToday)+15,IF(Pricetype1=1,1,0),0))),F86)))</f>
        <v> </v>
      </c>
      <c r="P86" s="318" t="str">
        <f aca="false">IF($A86="N/A"," ",IF(Pricetype1=2,MAX(G86,0),IF(OR(Pricetype1=1,Pricetype1=4),IF(G86=0,0,(EURO(G86,Strikeprice1,0,0,($AK86+IF(Smile=TRUE(),VLOOKUP(MAX(-5,Strikeprice1-G86),Volsmile,2),0)),($A86-DateToday)+15,IF(Pricetype1=1,1,0),0))),G86)))</f>
        <v> </v>
      </c>
      <c r="Q86" s="318" t="str">
        <f aca="false">IF($A86="N/A"," ",IF(Pricetype1=2,MAX(H86,0),IF(OR(Pricetype1=1,Pricetype1=4),IF(H86=0,0,(EURO(H86,Strikeprice1,0,0,($AK86+IF(Smile=TRUE(),VLOOKUP(MAX(-5,Strikeprice1-H86),Volsmile,2),0)),($A86-DateToday)+15,IF(Pricetype1=1,1,0),0))),H86)))</f>
        <v> </v>
      </c>
      <c r="R86" s="318" t="str">
        <f aca="false">IF($A86="N/A"," ",IF(Pricetype1=2,MAX(I86,0),IF(OR(Pricetype1=1,Pricetype1=4),IF(I86=0,0,(EURO(I86,Strikeprice1,0,0,($AK86+IF(Smile=TRUE(),VLOOKUP(MAX(-5,Strikeprice1-I86),Volsmile,2),0)),($A86-DateToday)+15,IF(Pricetype1=1,1,0),0))),I86)))</f>
        <v> </v>
      </c>
      <c r="S86" s="318" t="str">
        <f aca="false">IF($A86="N/A"," ",IF(Pricetype1=2,MAX(J86,0),IF(OR(Pricetype1=1,Pricetype1=4),IF(J86=0,0,(EURO(J86,Strikeprice1,0,0,($AK86+IF(Smile=TRUE(),VLOOKUP(MAX(-5,Strikeprice1-J86),Volsmile,2),0)),($A86-DateToday)+15,IF(Pricetype1=1,1,0),0))),J86)))</f>
        <v> </v>
      </c>
      <c r="T86" s="318" t="str">
        <f aca="false">IF($A86="N/A"," ",IF(Pricetype1=2,MAX(K86,0),IF(OR(Pricetype1=1,Pricetype1=4),IF(K86=0,0,(EURO(K86,Strikeprice1,0,0,($AK86+IF(Smile=TRUE(),VLOOKUP(MAX(-5,Strikeprice1-K86),Volsmile,2),0)),($A86-DateToday)+15,IF(Pricetype1=1,1,0),0))),K86)))</f>
        <v> </v>
      </c>
      <c r="U86" s="319" t="str">
        <f aca="false">IF($A86="N/A"," ",Volume1*$AM86)</f>
        <v> </v>
      </c>
      <c r="V86" s="320" t="str">
        <f aca="false">IF($A86="N/A"," ",$U86*(8*($BQ86))*L86)</f>
        <v> </v>
      </c>
      <c r="W86" s="320" t="str">
        <f aca="false">IF($A86="N/A"," ",$U86*(8*($BQ86))*M86)</f>
        <v> </v>
      </c>
      <c r="X86" s="320" t="str">
        <f aca="false">IF($A86="N/A"," ",$U86*(8*($BQ86))*N86)</f>
        <v> </v>
      </c>
      <c r="Y86" s="320" t="str">
        <f aca="false">IF($A86="N/A"," ",$U86*(8*($BR86))*O86)</f>
        <v> </v>
      </c>
      <c r="Z86" s="320" t="str">
        <f aca="false">IF($A86="N/A"," ",$U86*(8*($BR86))*P86)</f>
        <v> </v>
      </c>
      <c r="AA86" s="320" t="str">
        <f aca="false">IF($A86="N/A"," ",$U86*(8*($BR86))*Q86)</f>
        <v> </v>
      </c>
      <c r="AB86" s="320" t="str">
        <f aca="false">IF($A86="N/A"," ",$U86*(8*($BS86))*R86)</f>
        <v> </v>
      </c>
      <c r="AC86" s="320" t="str">
        <f aca="false">IF($A86="N/A"," ",$U86*(8*($BS86))*S86)</f>
        <v> </v>
      </c>
      <c r="AD86" s="320" t="str">
        <f aca="false">IF($A86="N/A"," ",$U86*(8*($BS86))*T86)</f>
        <v> </v>
      </c>
      <c r="AE86" s="320" t="str">
        <f aca="false">IF($A86="N/A"," ",SUM(V86:AD86))</f>
        <v> </v>
      </c>
      <c r="AF86" s="321" t="str">
        <f aca="false">IF(A86="N/A"," ",(VLOOKUP(A86,PowerVolTable,(IF(VolBMO1=2,7,IF(VolBMO1=1,6,8))),FALSE())))</f>
        <v> </v>
      </c>
      <c r="AG86" s="321" t="str">
        <f aca="false">IF(A86="N/A"," ",(VLOOKUP(A86,IntraPowerVol,(IF(VolBMO1=2,3,IF(VolBMO1=1,2,4))),FALSE())*VLOOKUP(MONTH($A86),Volscale,2)))</f>
        <v> </v>
      </c>
      <c r="AH86" s="321" t="str">
        <f aca="false">IF($A86="N/A"," ",IF(VolType1=1,AG86,AF86))</f>
        <v> </v>
      </c>
      <c r="AI86" s="321" t="str">
        <f aca="false">IF($A86="N/A"," ",(VLOOKUP($A86,OffPwrVolTable,(IF(VolBMO1=2,7,IF(VolBMO1=1,6,8))),FALSE())))</f>
        <v> </v>
      </c>
      <c r="AJ86" s="321" t="str">
        <f aca="false">IF($A86="N/A"," ",(VLOOKUP($A86,OffPwrVolTable,(IF(VolBMO1=2,3,IF(VolBMO1=1,2,4))),FALSE())*VLOOKUP(MONTH($A86),Volscale,2)))</f>
        <v> </v>
      </c>
      <c r="AK86" s="321" t="str">
        <f aca="false">IF($A86="N/A"," ",IF(VolType1=1,AJ86,AI86))</f>
        <v> </v>
      </c>
      <c r="AL86" s="321" t="str">
        <f aca="false">IF($A86="N/A"," ",IF(PV=1,0,'Pricing Inputs1'!R119))</f>
        <v> </v>
      </c>
      <c r="AM86" s="323" t="str">
        <f aca="false">IF($A86="N/A"," ",(1+AL86/2)^(-2*((EOMONTH(A86,0)+20)-DateToday)/365.25))</f>
        <v> </v>
      </c>
      <c r="BQ86" s="0" t="str">
        <f aca="false">IF($A86="N/A"," ",(VLOOKUP($A86,NumberofDaysTable,2)))</f>
        <v> </v>
      </c>
      <c r="BR86" s="0" t="str">
        <f aca="false">IF($A86="N/A"," ",(VLOOKUP($A86,NumberofDaysTable,3)))</f>
        <v> </v>
      </c>
      <c r="BS86" s="0" t="str">
        <f aca="false">IF($A86="N/A"," ",(VLOOKUP($A86,NumberofDaysTable,4)))</f>
        <v> </v>
      </c>
    </row>
    <row r="87" customFormat="false" ht="12.75" hidden="false" customHeight="false" outlineLevel="0" collapsed="false">
      <c r="A87" s="315" t="str">
        <f aca="false">IF(A86="N/A","N/A",IF(EDATE(A86,1)&gt;Inputs!$M$5,"N/A",EDATE(A86,1)))</f>
        <v>N/A</v>
      </c>
      <c r="B87" s="316" t="str">
        <f aca="false">IF(A87="N/A"," ",YEAR(A87))</f>
        <v> </v>
      </c>
      <c r="C87" s="317" t="str">
        <f aca="false">IF($A87="N/A"," ",IF(Dayrun1=10,0,IF(Scaler1=1,(VLOOKUP(A87,ScaledPrice1,4)),(VLOOKUP(A87,ScaledPrice1,2)))))</f>
        <v> </v>
      </c>
      <c r="D87" s="317" t="str">
        <f aca="false">IF(A87="N/A"," ",IF(Dayrun1&gt;=7,0,IF(Scaler1=2,VLOOKUP(A87,ScaledPrice1,2),(VLOOKUP(A87,ScaledPrice1,2))*(2-(VLOOKUP(A87,ScaledPrice1,3))))))</f>
        <v> </v>
      </c>
      <c r="E87" s="317" t="str">
        <f aca="false">IF($A87="N/A"," ",IF(AND(Dayrun1&gt;=4,Dayrun1&lt;=9),0,VLOOKUP($A87,ScaledPrice1,9)))</f>
        <v> </v>
      </c>
      <c r="F87" s="317" t="str">
        <f aca="false">IF(A87="N/A"," ",IF(OR(Dayrun1=2,Dayrun1=3,Dayrun1=5,Dayrun1=6,Dayrun1=8,Dayrun1=9),VLOOKUP(A87,ScaledPrice1,IF(Scaler1=1,6,5)),0))</f>
        <v> </v>
      </c>
      <c r="G87" s="317" t="str">
        <f aca="false">IF(A87="N/A"," ",IF(OR(Dayrun1=2,Dayrun1=3,Dayrun1=5,Dayrun1=6),IF(Scaler1=2,F87,(VLOOKUP(A87,ScaledPrice1,5))*(2-(VLOOKUP(A87,ScaledPrice1,3)))),0))</f>
        <v> </v>
      </c>
      <c r="H87" s="317" t="str">
        <f aca="false">IF($A87="N/A"," ",IF(OR(Dayrun1=2,Dayrun1=3,Dayrun1=10),VLOOKUP($A87,ScaledPrice1,9),0))</f>
        <v> </v>
      </c>
      <c r="I87" s="317" t="str">
        <f aca="false">IF(A87="N/A"," ",IF(OR(Dayrun1=3,Dayrun1=6,Dayrun1=9),(VLOOKUP(A87,ScaledPrice1,IF(Scaler1=2,7,8))),0))</f>
        <v> </v>
      </c>
      <c r="J87" s="317" t="str">
        <f aca="false">IF(A87="N/A"," ",IF(OR(Dayrun1=3,Dayrun1=6),IF(Scaler1=2,I87,(VLOOKUP(A87,ScaledPrice1,7))*(2-(VLOOKUP(A87,ScaledPrice1,3)))),0))</f>
        <v> </v>
      </c>
      <c r="K87" s="317" t="str">
        <f aca="false">IF($A87="N/A"," ",IF(OR(Dayrun1=3,Dayrun1=10),VLOOKUP($A87,ScaledPrice1,9),0))</f>
        <v> </v>
      </c>
      <c r="L87" s="318" t="str">
        <f aca="false">IF($A87="N/A"," ",IF(Pricetype1=2,MAX(C87,0),IF(OR(Pricetype1=1,Pricetype1=4),IF(C87=0,0,(EURO(C87,Strikeprice1,0,0,($AH87+IF(Smile=TRUE(),VLOOKUP(MAX(-5,Strikeprice1-C87),Volsmile,2),0)),($A87-DateToday)+15,IF(Pricetype1=1,1,0),0))),C87)))</f>
        <v> </v>
      </c>
      <c r="M87" s="318" t="str">
        <f aca="false">IF($A87="N/A"," ",IF(Pricetype1=2,MAX(D87,0),IF(OR(Pricetype1=1,Pricetype1=4),IF(D87=0,0,(EURO(D87,Strikeprice1,0,0,($AH87+IF(Smile=TRUE(),VLOOKUP(MAX(-5,Strikeprice1-D87),Volsmile,2),0)),($A87-DateToday)+15,IF(Pricetype1=1,1,0),0))),D87)))</f>
        <v> </v>
      </c>
      <c r="N87" s="318" t="str">
        <f aca="false">IF($A87="N/A"," ",IF(Pricetype1=2,MAX(E87,0),IF(OR(Pricetype1=1,Pricetype1=4),IF(E87=0,0,(EURO(E87,Strikeprice1,0,0,($AK87+IF(Smile=TRUE(),VLOOKUP(MAX(-5,Strikeprice1-E87),Volsmile,2),0)),($A87-DateToday)+15,IF(Pricetype1=1,1,0),0))),E87)))</f>
        <v> </v>
      </c>
      <c r="O87" s="318" t="str">
        <f aca="false">IF($A87="N/A"," ",IF(Pricetype1=2,MAX(F87,0),IF(OR(Pricetype1=1,Pricetype1=4),IF(F87=0,0,(EURO(F87,Strikeprice1,0,0,($AK87+IF(Smile=TRUE(),VLOOKUP(MAX(-5,Strikeprice1-F87),Volsmile,2),0)),($A87-DateToday)+15,IF(Pricetype1=1,1,0),0))),F87)))</f>
        <v> </v>
      </c>
      <c r="P87" s="318" t="str">
        <f aca="false">IF($A87="N/A"," ",IF(Pricetype1=2,MAX(G87,0),IF(OR(Pricetype1=1,Pricetype1=4),IF(G87=0,0,(EURO(G87,Strikeprice1,0,0,($AK87+IF(Smile=TRUE(),VLOOKUP(MAX(-5,Strikeprice1-G87),Volsmile,2),0)),($A87-DateToday)+15,IF(Pricetype1=1,1,0),0))),G87)))</f>
        <v> </v>
      </c>
      <c r="Q87" s="318" t="str">
        <f aca="false">IF($A87="N/A"," ",IF(Pricetype1=2,MAX(H87,0),IF(OR(Pricetype1=1,Pricetype1=4),IF(H87=0,0,(EURO(H87,Strikeprice1,0,0,($AK87+IF(Smile=TRUE(),VLOOKUP(MAX(-5,Strikeprice1-H87),Volsmile,2),0)),($A87-DateToday)+15,IF(Pricetype1=1,1,0),0))),H87)))</f>
        <v> </v>
      </c>
      <c r="R87" s="318" t="str">
        <f aca="false">IF($A87="N/A"," ",IF(Pricetype1=2,MAX(I87,0),IF(OR(Pricetype1=1,Pricetype1=4),IF(I87=0,0,(EURO(I87,Strikeprice1,0,0,($AK87+IF(Smile=TRUE(),VLOOKUP(MAX(-5,Strikeprice1-I87),Volsmile,2),0)),($A87-DateToday)+15,IF(Pricetype1=1,1,0),0))),I87)))</f>
        <v> </v>
      </c>
      <c r="S87" s="318" t="str">
        <f aca="false">IF($A87="N/A"," ",IF(Pricetype1=2,MAX(J87,0),IF(OR(Pricetype1=1,Pricetype1=4),IF(J87=0,0,(EURO(J87,Strikeprice1,0,0,($AK87+IF(Smile=TRUE(),VLOOKUP(MAX(-5,Strikeprice1-J87),Volsmile,2),0)),($A87-DateToday)+15,IF(Pricetype1=1,1,0),0))),J87)))</f>
        <v> </v>
      </c>
      <c r="T87" s="318" t="str">
        <f aca="false">IF($A87="N/A"," ",IF(Pricetype1=2,MAX(K87,0),IF(OR(Pricetype1=1,Pricetype1=4),IF(K87=0,0,(EURO(K87,Strikeprice1,0,0,($AK87+IF(Smile=TRUE(),VLOOKUP(MAX(-5,Strikeprice1-K87),Volsmile,2),0)),($A87-DateToday)+15,IF(Pricetype1=1,1,0),0))),K87)))</f>
        <v> </v>
      </c>
      <c r="U87" s="319" t="str">
        <f aca="false">IF($A87="N/A"," ",Volume1*$AM87)</f>
        <v> </v>
      </c>
      <c r="V87" s="320" t="str">
        <f aca="false">IF($A87="N/A"," ",$U87*(8*($BQ87))*L87)</f>
        <v> </v>
      </c>
      <c r="W87" s="320" t="str">
        <f aca="false">IF($A87="N/A"," ",$U87*(8*($BQ87))*M87)</f>
        <v> </v>
      </c>
      <c r="X87" s="320" t="str">
        <f aca="false">IF($A87="N/A"," ",$U87*(8*($BQ87))*N87)</f>
        <v> </v>
      </c>
      <c r="Y87" s="320" t="str">
        <f aca="false">IF($A87="N/A"," ",$U87*(8*($BR87))*O87)</f>
        <v> </v>
      </c>
      <c r="Z87" s="320" t="str">
        <f aca="false">IF($A87="N/A"," ",$U87*(8*($BR87))*P87)</f>
        <v> </v>
      </c>
      <c r="AA87" s="320" t="str">
        <f aca="false">IF($A87="N/A"," ",$U87*(8*($BR87))*Q87)</f>
        <v> </v>
      </c>
      <c r="AB87" s="320" t="str">
        <f aca="false">IF($A87="N/A"," ",$U87*(8*($BS87))*R87)</f>
        <v> </v>
      </c>
      <c r="AC87" s="320" t="str">
        <f aca="false">IF($A87="N/A"," ",$U87*(8*($BS87))*S87)</f>
        <v> </v>
      </c>
      <c r="AD87" s="320" t="str">
        <f aca="false">IF($A87="N/A"," ",$U87*(8*($BS87))*T87)</f>
        <v> </v>
      </c>
      <c r="AE87" s="320" t="str">
        <f aca="false">IF($A87="N/A"," ",SUM(V87:AD87))</f>
        <v> </v>
      </c>
      <c r="AF87" s="321" t="str">
        <f aca="false">IF(A87="N/A"," ",(VLOOKUP(A87,PowerVolTable,(IF(VolBMO1=2,7,IF(VolBMO1=1,6,8))),FALSE())))</f>
        <v> </v>
      </c>
      <c r="AG87" s="321" t="str">
        <f aca="false">IF(A87="N/A"," ",(VLOOKUP(A87,IntraPowerVol,(IF(VolBMO1=2,3,IF(VolBMO1=1,2,4))),FALSE())*VLOOKUP(MONTH($A87),Volscale,2)))</f>
        <v> </v>
      </c>
      <c r="AH87" s="321" t="str">
        <f aca="false">IF($A87="N/A"," ",IF(VolType1=1,AG87,AF87))</f>
        <v> </v>
      </c>
      <c r="AI87" s="321" t="str">
        <f aca="false">IF($A87="N/A"," ",(VLOOKUP($A87,OffPwrVolTable,(IF(VolBMO1=2,7,IF(VolBMO1=1,6,8))),FALSE())))</f>
        <v> </v>
      </c>
      <c r="AJ87" s="321" t="str">
        <f aca="false">IF($A87="N/A"," ",(VLOOKUP($A87,OffPwrVolTable,(IF(VolBMO1=2,3,IF(VolBMO1=1,2,4))),FALSE())*VLOOKUP(MONTH($A87),Volscale,2)))</f>
        <v> </v>
      </c>
      <c r="AK87" s="321" t="str">
        <f aca="false">IF($A87="N/A"," ",IF(VolType1=1,AJ87,AI87))</f>
        <v> </v>
      </c>
      <c r="AL87" s="321" t="str">
        <f aca="false">IF($A87="N/A"," ",IF(PV=1,0,'Pricing Inputs1'!R120))</f>
        <v> </v>
      </c>
      <c r="AM87" s="323" t="str">
        <f aca="false">IF($A87="N/A"," ",(1+AL87/2)^(-2*((EOMONTH(A87,0)+20)-DateToday)/365.25))</f>
        <v> </v>
      </c>
      <c r="BQ87" s="0" t="str">
        <f aca="false">IF($A87="N/A"," ",(VLOOKUP($A87,NumberofDaysTable,2)))</f>
        <v> </v>
      </c>
      <c r="BR87" s="0" t="str">
        <f aca="false">IF($A87="N/A"," ",(VLOOKUP($A87,NumberofDaysTable,3)))</f>
        <v> </v>
      </c>
      <c r="BS87" s="0" t="str">
        <f aca="false">IF($A87="N/A"," ",(VLOOKUP($A87,NumberofDaysTable,4)))</f>
        <v> </v>
      </c>
    </row>
    <row r="88" customFormat="false" ht="12.75" hidden="false" customHeight="false" outlineLevel="0" collapsed="false">
      <c r="A88" s="315" t="str">
        <f aca="false">IF(A87="N/A","N/A",IF(EDATE(A87,1)&gt;Inputs!$M$5,"N/A",EDATE(A87,1)))</f>
        <v>N/A</v>
      </c>
      <c r="B88" s="316" t="str">
        <f aca="false">IF(A88="N/A"," ",YEAR(A88))</f>
        <v> </v>
      </c>
      <c r="C88" s="317" t="str">
        <f aca="false">IF($A88="N/A"," ",IF(Dayrun1=10,0,IF(Scaler1=1,(VLOOKUP(A88,ScaledPrice1,4)),(VLOOKUP(A88,ScaledPrice1,2)))))</f>
        <v> </v>
      </c>
      <c r="D88" s="317" t="str">
        <f aca="false">IF(A88="N/A"," ",IF(Dayrun1&gt;=7,0,IF(Scaler1=2,VLOOKUP(A88,ScaledPrice1,2),(VLOOKUP(A88,ScaledPrice1,2))*(2-(VLOOKUP(A88,ScaledPrice1,3))))))</f>
        <v> </v>
      </c>
      <c r="E88" s="317" t="str">
        <f aca="false">IF($A88="N/A"," ",IF(AND(Dayrun1&gt;=4,Dayrun1&lt;=9),0,VLOOKUP($A88,ScaledPrice1,9)))</f>
        <v> </v>
      </c>
      <c r="F88" s="317" t="str">
        <f aca="false">IF(A88="N/A"," ",IF(OR(Dayrun1=2,Dayrun1=3,Dayrun1=5,Dayrun1=6,Dayrun1=8,Dayrun1=9),VLOOKUP(A88,ScaledPrice1,IF(Scaler1=1,6,5)),0))</f>
        <v> </v>
      </c>
      <c r="G88" s="317" t="str">
        <f aca="false">IF(A88="N/A"," ",IF(OR(Dayrun1=2,Dayrun1=3,Dayrun1=5,Dayrun1=6),IF(Scaler1=2,F88,(VLOOKUP(A88,ScaledPrice1,5))*(2-(VLOOKUP(A88,ScaledPrice1,3)))),0))</f>
        <v> </v>
      </c>
      <c r="H88" s="317" t="str">
        <f aca="false">IF($A88="N/A"," ",IF(OR(Dayrun1=2,Dayrun1=3,Dayrun1=10),VLOOKUP($A88,ScaledPrice1,9),0))</f>
        <v> </v>
      </c>
      <c r="I88" s="317" t="str">
        <f aca="false">IF(A88="N/A"," ",IF(OR(Dayrun1=3,Dayrun1=6,Dayrun1=9),(VLOOKUP(A88,ScaledPrice1,IF(Scaler1=2,7,8))),0))</f>
        <v> </v>
      </c>
      <c r="J88" s="317" t="str">
        <f aca="false">IF(A88="N/A"," ",IF(OR(Dayrun1=3,Dayrun1=6),IF(Scaler1=2,I88,(VLOOKUP(A88,ScaledPrice1,7))*(2-(VLOOKUP(A88,ScaledPrice1,3)))),0))</f>
        <v> </v>
      </c>
      <c r="K88" s="317" t="str">
        <f aca="false">IF($A88="N/A"," ",IF(OR(Dayrun1=3,Dayrun1=10),VLOOKUP($A88,ScaledPrice1,9),0))</f>
        <v> </v>
      </c>
      <c r="L88" s="318" t="str">
        <f aca="false">IF($A88="N/A"," ",IF(Pricetype1=2,MAX(C88,0),IF(OR(Pricetype1=1,Pricetype1=4),IF(C88=0,0,(EURO(C88,Strikeprice1,0,0,($AH88+IF(Smile=TRUE(),VLOOKUP(MAX(-5,Strikeprice1-C88),Volsmile,2),0)),($A88-DateToday)+15,IF(Pricetype1=1,1,0),0))),C88)))</f>
        <v> </v>
      </c>
      <c r="M88" s="318" t="str">
        <f aca="false">IF($A88="N/A"," ",IF(Pricetype1=2,MAX(D88,0),IF(OR(Pricetype1=1,Pricetype1=4),IF(D88=0,0,(EURO(D88,Strikeprice1,0,0,($AH88+IF(Smile=TRUE(),VLOOKUP(MAX(-5,Strikeprice1-D88),Volsmile,2),0)),($A88-DateToday)+15,IF(Pricetype1=1,1,0),0))),D88)))</f>
        <v> </v>
      </c>
      <c r="N88" s="318" t="str">
        <f aca="false">IF($A88="N/A"," ",IF(Pricetype1=2,MAX(E88,0),IF(OR(Pricetype1=1,Pricetype1=4),IF(E88=0,0,(EURO(E88,Strikeprice1,0,0,($AK88+IF(Smile=TRUE(),VLOOKUP(MAX(-5,Strikeprice1-E88),Volsmile,2),0)),($A88-DateToday)+15,IF(Pricetype1=1,1,0),0))),E88)))</f>
        <v> </v>
      </c>
      <c r="O88" s="318" t="str">
        <f aca="false">IF($A88="N/A"," ",IF(Pricetype1=2,MAX(F88,0),IF(OR(Pricetype1=1,Pricetype1=4),IF(F88=0,0,(EURO(F88,Strikeprice1,0,0,($AK88+IF(Smile=TRUE(),VLOOKUP(MAX(-5,Strikeprice1-F88),Volsmile,2),0)),($A88-DateToday)+15,IF(Pricetype1=1,1,0),0))),F88)))</f>
        <v> </v>
      </c>
      <c r="P88" s="318" t="str">
        <f aca="false">IF($A88="N/A"," ",IF(Pricetype1=2,MAX(G88,0),IF(OR(Pricetype1=1,Pricetype1=4),IF(G88=0,0,(EURO(G88,Strikeprice1,0,0,($AK88+IF(Smile=TRUE(),VLOOKUP(MAX(-5,Strikeprice1-G88),Volsmile,2),0)),($A88-DateToday)+15,IF(Pricetype1=1,1,0),0))),G88)))</f>
        <v> </v>
      </c>
      <c r="Q88" s="318" t="str">
        <f aca="false">IF($A88="N/A"," ",IF(Pricetype1=2,MAX(H88,0),IF(OR(Pricetype1=1,Pricetype1=4),IF(H88=0,0,(EURO(H88,Strikeprice1,0,0,($AK88+IF(Smile=TRUE(),VLOOKUP(MAX(-5,Strikeprice1-H88),Volsmile,2),0)),($A88-DateToday)+15,IF(Pricetype1=1,1,0),0))),H88)))</f>
        <v> </v>
      </c>
      <c r="R88" s="318" t="str">
        <f aca="false">IF($A88="N/A"," ",IF(Pricetype1=2,MAX(I88,0),IF(OR(Pricetype1=1,Pricetype1=4),IF(I88=0,0,(EURO(I88,Strikeprice1,0,0,($AK88+IF(Smile=TRUE(),VLOOKUP(MAX(-5,Strikeprice1-I88),Volsmile,2),0)),($A88-DateToday)+15,IF(Pricetype1=1,1,0),0))),I88)))</f>
        <v> </v>
      </c>
      <c r="S88" s="318" t="str">
        <f aca="false">IF($A88="N/A"," ",IF(Pricetype1=2,MAX(J88,0),IF(OR(Pricetype1=1,Pricetype1=4),IF(J88=0,0,(EURO(J88,Strikeprice1,0,0,($AK88+IF(Smile=TRUE(),VLOOKUP(MAX(-5,Strikeprice1-J88),Volsmile,2),0)),($A88-DateToday)+15,IF(Pricetype1=1,1,0),0))),J88)))</f>
        <v> </v>
      </c>
      <c r="T88" s="318" t="str">
        <f aca="false">IF($A88="N/A"," ",IF(Pricetype1=2,MAX(K88,0),IF(OR(Pricetype1=1,Pricetype1=4),IF(K88=0,0,(EURO(K88,Strikeprice1,0,0,($AK88+IF(Smile=TRUE(),VLOOKUP(MAX(-5,Strikeprice1-K88),Volsmile,2),0)),($A88-DateToday)+15,IF(Pricetype1=1,1,0),0))),K88)))</f>
        <v> </v>
      </c>
      <c r="U88" s="319" t="str">
        <f aca="false">IF($A88="N/A"," ",Volume1*$AM88)</f>
        <v> </v>
      </c>
      <c r="V88" s="320" t="str">
        <f aca="false">IF($A88="N/A"," ",$U88*(8*($BQ88))*L88)</f>
        <v> </v>
      </c>
      <c r="W88" s="320" t="str">
        <f aca="false">IF($A88="N/A"," ",$U88*(8*($BQ88))*M88)</f>
        <v> </v>
      </c>
      <c r="X88" s="320" t="str">
        <f aca="false">IF($A88="N/A"," ",$U88*(8*($BQ88))*N88)</f>
        <v> </v>
      </c>
      <c r="Y88" s="320" t="str">
        <f aca="false">IF($A88="N/A"," ",$U88*(8*($BR88))*O88)</f>
        <v> </v>
      </c>
      <c r="Z88" s="320" t="str">
        <f aca="false">IF($A88="N/A"," ",$U88*(8*($BR88))*P88)</f>
        <v> </v>
      </c>
      <c r="AA88" s="320" t="str">
        <f aca="false">IF($A88="N/A"," ",$U88*(8*($BR88))*Q88)</f>
        <v> </v>
      </c>
      <c r="AB88" s="320" t="str">
        <f aca="false">IF($A88="N/A"," ",$U88*(8*($BS88))*R88)</f>
        <v> </v>
      </c>
      <c r="AC88" s="320" t="str">
        <f aca="false">IF($A88="N/A"," ",$U88*(8*($BS88))*S88)</f>
        <v> </v>
      </c>
      <c r="AD88" s="320" t="str">
        <f aca="false">IF($A88="N/A"," ",$U88*(8*($BS88))*T88)</f>
        <v> </v>
      </c>
      <c r="AE88" s="320" t="str">
        <f aca="false">IF($A88="N/A"," ",SUM(V88:AD88))</f>
        <v> </v>
      </c>
      <c r="AF88" s="321" t="str">
        <f aca="false">IF(A88="N/A"," ",(VLOOKUP(A88,PowerVolTable,(IF(VolBMO1=2,7,IF(VolBMO1=1,6,8))),FALSE())))</f>
        <v> </v>
      </c>
      <c r="AG88" s="321" t="str">
        <f aca="false">IF(A88="N/A"," ",(VLOOKUP(A88,IntraPowerVol,(IF(VolBMO1=2,3,IF(VolBMO1=1,2,4))),FALSE())*VLOOKUP(MONTH($A88),Volscale,2)))</f>
        <v> </v>
      </c>
      <c r="AH88" s="321" t="str">
        <f aca="false">IF($A88="N/A"," ",IF(VolType1=1,AG88,AF88))</f>
        <v> </v>
      </c>
      <c r="AI88" s="321" t="str">
        <f aca="false">IF($A88="N/A"," ",(VLOOKUP($A88,OffPwrVolTable,(IF(VolBMO1=2,7,IF(VolBMO1=1,6,8))),FALSE())))</f>
        <v> </v>
      </c>
      <c r="AJ88" s="321" t="str">
        <f aca="false">IF($A88="N/A"," ",(VLOOKUP($A88,OffPwrVolTable,(IF(VolBMO1=2,3,IF(VolBMO1=1,2,4))),FALSE())*VLOOKUP(MONTH($A88),Volscale,2)))</f>
        <v> </v>
      </c>
      <c r="AK88" s="321" t="str">
        <f aca="false">IF($A88="N/A"," ",IF(VolType1=1,AJ88,AI88))</f>
        <v> </v>
      </c>
      <c r="AL88" s="321" t="str">
        <f aca="false">IF($A88="N/A"," ",IF(PV=1,0,'Pricing Inputs1'!R121))</f>
        <v> </v>
      </c>
      <c r="AM88" s="323" t="str">
        <f aca="false">IF($A88="N/A"," ",(1+AL88/2)^(-2*((EOMONTH(A88,0)+20)-DateToday)/365.25))</f>
        <v> </v>
      </c>
      <c r="BQ88" s="0" t="str">
        <f aca="false">IF($A88="N/A"," ",(VLOOKUP($A88,NumberofDaysTable,2)))</f>
        <v> </v>
      </c>
      <c r="BR88" s="0" t="str">
        <f aca="false">IF($A88="N/A"," ",(VLOOKUP($A88,NumberofDaysTable,3)))</f>
        <v> </v>
      </c>
      <c r="BS88" s="0" t="str">
        <f aca="false">IF($A88="N/A"," ",(VLOOKUP($A88,NumberofDaysTable,4)))</f>
        <v> </v>
      </c>
    </row>
    <row r="89" customFormat="false" ht="12.75" hidden="false" customHeight="false" outlineLevel="0" collapsed="false">
      <c r="A89" s="315" t="str">
        <f aca="false">IF(A88="N/A","N/A",IF(EDATE(A88,1)&gt;Inputs!$M$5,"N/A",EDATE(A88,1)))</f>
        <v>N/A</v>
      </c>
      <c r="B89" s="316" t="str">
        <f aca="false">IF(A89="N/A"," ",YEAR(A89))</f>
        <v> </v>
      </c>
      <c r="C89" s="317" t="str">
        <f aca="false">IF($A89="N/A"," ",IF(Dayrun1=10,0,IF(Scaler1=1,(VLOOKUP(A89,ScaledPrice1,4)),(VLOOKUP(A89,ScaledPrice1,2)))))</f>
        <v> </v>
      </c>
      <c r="D89" s="317" t="str">
        <f aca="false">IF(A89="N/A"," ",IF(Dayrun1&gt;=7,0,IF(Scaler1=2,VLOOKUP(A89,ScaledPrice1,2),(VLOOKUP(A89,ScaledPrice1,2))*(2-(VLOOKUP(A89,ScaledPrice1,3))))))</f>
        <v> </v>
      </c>
      <c r="E89" s="317" t="str">
        <f aca="false">IF($A89="N/A"," ",IF(AND(Dayrun1&gt;=4,Dayrun1&lt;=9),0,VLOOKUP($A89,ScaledPrice1,9)))</f>
        <v> </v>
      </c>
      <c r="F89" s="317" t="str">
        <f aca="false">IF(A89="N/A"," ",IF(OR(Dayrun1=2,Dayrun1=3,Dayrun1=5,Dayrun1=6,Dayrun1=8,Dayrun1=9),VLOOKUP(A89,ScaledPrice1,IF(Scaler1=1,6,5)),0))</f>
        <v> </v>
      </c>
      <c r="G89" s="317" t="str">
        <f aca="false">IF(A89="N/A"," ",IF(OR(Dayrun1=2,Dayrun1=3,Dayrun1=5,Dayrun1=6),IF(Scaler1=2,F89,(VLOOKUP(A89,ScaledPrice1,5))*(2-(VLOOKUP(A89,ScaledPrice1,3)))),0))</f>
        <v> </v>
      </c>
      <c r="H89" s="317" t="str">
        <f aca="false">IF($A89="N/A"," ",IF(OR(Dayrun1=2,Dayrun1=3,Dayrun1=10),VLOOKUP($A89,ScaledPrice1,9),0))</f>
        <v> </v>
      </c>
      <c r="I89" s="317" t="str">
        <f aca="false">IF(A89="N/A"," ",IF(OR(Dayrun1=3,Dayrun1=6,Dayrun1=9),(VLOOKUP(A89,ScaledPrice1,IF(Scaler1=2,7,8))),0))</f>
        <v> </v>
      </c>
      <c r="J89" s="317" t="str">
        <f aca="false">IF(A89="N/A"," ",IF(OR(Dayrun1=3,Dayrun1=6),IF(Scaler1=2,I89,(VLOOKUP(A89,ScaledPrice1,7))*(2-(VLOOKUP(A89,ScaledPrice1,3)))),0))</f>
        <v> </v>
      </c>
      <c r="K89" s="317" t="str">
        <f aca="false">IF($A89="N/A"," ",IF(OR(Dayrun1=3,Dayrun1=10),VLOOKUP($A89,ScaledPrice1,9),0))</f>
        <v> </v>
      </c>
      <c r="L89" s="318" t="str">
        <f aca="false">IF($A89="N/A"," ",IF(Pricetype1=2,MAX(C89,0),IF(OR(Pricetype1=1,Pricetype1=4),IF(C89=0,0,(EURO(C89,Strikeprice1,0,0,($AH89+IF(Smile=TRUE(),VLOOKUP(MAX(-5,Strikeprice1-C89),Volsmile,2),0)),($A89-DateToday)+15,IF(Pricetype1=1,1,0),0))),C89)))</f>
        <v> </v>
      </c>
      <c r="M89" s="318" t="str">
        <f aca="false">IF($A89="N/A"," ",IF(Pricetype1=2,MAX(D89,0),IF(OR(Pricetype1=1,Pricetype1=4),IF(D89=0,0,(EURO(D89,Strikeprice1,0,0,($AH89+IF(Smile=TRUE(),VLOOKUP(MAX(-5,Strikeprice1-D89),Volsmile,2),0)),($A89-DateToday)+15,IF(Pricetype1=1,1,0),0))),D89)))</f>
        <v> </v>
      </c>
      <c r="N89" s="318" t="str">
        <f aca="false">IF($A89="N/A"," ",IF(Pricetype1=2,MAX(E89,0),IF(OR(Pricetype1=1,Pricetype1=4),IF(E89=0,0,(EURO(E89,Strikeprice1,0,0,($AK89+IF(Smile=TRUE(),VLOOKUP(MAX(-5,Strikeprice1-E89),Volsmile,2),0)),($A89-DateToday)+15,IF(Pricetype1=1,1,0),0))),E89)))</f>
        <v> </v>
      </c>
      <c r="O89" s="318" t="str">
        <f aca="false">IF($A89="N/A"," ",IF(Pricetype1=2,MAX(F89,0),IF(OR(Pricetype1=1,Pricetype1=4),IF(F89=0,0,(EURO(F89,Strikeprice1,0,0,($AK89+IF(Smile=TRUE(),VLOOKUP(MAX(-5,Strikeprice1-F89),Volsmile,2),0)),($A89-DateToday)+15,IF(Pricetype1=1,1,0),0))),F89)))</f>
        <v> </v>
      </c>
      <c r="P89" s="318" t="str">
        <f aca="false">IF($A89="N/A"," ",IF(Pricetype1=2,MAX(G89,0),IF(OR(Pricetype1=1,Pricetype1=4),IF(G89=0,0,(EURO(G89,Strikeprice1,0,0,($AK89+IF(Smile=TRUE(),VLOOKUP(MAX(-5,Strikeprice1-G89),Volsmile,2),0)),($A89-DateToday)+15,IF(Pricetype1=1,1,0),0))),G89)))</f>
        <v> </v>
      </c>
      <c r="Q89" s="318" t="str">
        <f aca="false">IF($A89="N/A"," ",IF(Pricetype1=2,MAX(H89,0),IF(OR(Pricetype1=1,Pricetype1=4),IF(H89=0,0,(EURO(H89,Strikeprice1,0,0,($AK89+IF(Smile=TRUE(),VLOOKUP(MAX(-5,Strikeprice1-H89),Volsmile,2),0)),($A89-DateToday)+15,IF(Pricetype1=1,1,0),0))),H89)))</f>
        <v> </v>
      </c>
      <c r="R89" s="318" t="str">
        <f aca="false">IF($A89="N/A"," ",IF(Pricetype1=2,MAX(I89,0),IF(OR(Pricetype1=1,Pricetype1=4),IF(I89=0,0,(EURO(I89,Strikeprice1,0,0,($AK89+IF(Smile=TRUE(),VLOOKUP(MAX(-5,Strikeprice1-I89),Volsmile,2),0)),($A89-DateToday)+15,IF(Pricetype1=1,1,0),0))),I89)))</f>
        <v> </v>
      </c>
      <c r="S89" s="318" t="str">
        <f aca="false">IF($A89="N/A"," ",IF(Pricetype1=2,MAX(J89,0),IF(OR(Pricetype1=1,Pricetype1=4),IF(J89=0,0,(EURO(J89,Strikeprice1,0,0,($AK89+IF(Smile=TRUE(),VLOOKUP(MAX(-5,Strikeprice1-J89),Volsmile,2),0)),($A89-DateToday)+15,IF(Pricetype1=1,1,0),0))),J89)))</f>
        <v> </v>
      </c>
      <c r="T89" s="318" t="str">
        <f aca="false">IF($A89="N/A"," ",IF(Pricetype1=2,MAX(K89,0),IF(OR(Pricetype1=1,Pricetype1=4),IF(K89=0,0,(EURO(K89,Strikeprice1,0,0,($AK89+IF(Smile=TRUE(),VLOOKUP(MAX(-5,Strikeprice1-K89),Volsmile,2),0)),($A89-DateToday)+15,IF(Pricetype1=1,1,0),0))),K89)))</f>
        <v> </v>
      </c>
      <c r="U89" s="319" t="str">
        <f aca="false">IF($A89="N/A"," ",Volume1*$AM89)</f>
        <v> </v>
      </c>
      <c r="V89" s="320" t="str">
        <f aca="false">IF($A89="N/A"," ",$U89*(8*($BQ89))*L89)</f>
        <v> </v>
      </c>
      <c r="W89" s="320" t="str">
        <f aca="false">IF($A89="N/A"," ",$U89*(8*($BQ89))*M89)</f>
        <v> </v>
      </c>
      <c r="X89" s="320" t="str">
        <f aca="false">IF($A89="N/A"," ",$U89*(8*($BQ89))*N89)</f>
        <v> </v>
      </c>
      <c r="Y89" s="320" t="str">
        <f aca="false">IF($A89="N/A"," ",$U89*(8*($BR89))*O89)</f>
        <v> </v>
      </c>
      <c r="Z89" s="320" t="str">
        <f aca="false">IF($A89="N/A"," ",$U89*(8*($BR89))*P89)</f>
        <v> </v>
      </c>
      <c r="AA89" s="320" t="str">
        <f aca="false">IF($A89="N/A"," ",$U89*(8*($BR89))*Q89)</f>
        <v> </v>
      </c>
      <c r="AB89" s="320" t="str">
        <f aca="false">IF($A89="N/A"," ",$U89*(8*($BS89))*R89)</f>
        <v> </v>
      </c>
      <c r="AC89" s="320" t="str">
        <f aca="false">IF($A89="N/A"," ",$U89*(8*($BS89))*S89)</f>
        <v> </v>
      </c>
      <c r="AD89" s="320" t="str">
        <f aca="false">IF($A89="N/A"," ",$U89*(8*($BS89))*T89)</f>
        <v> </v>
      </c>
      <c r="AE89" s="320" t="str">
        <f aca="false">IF($A89="N/A"," ",SUM(V89:AD89))</f>
        <v> </v>
      </c>
      <c r="AF89" s="321" t="str">
        <f aca="false">IF(A89="N/A"," ",(VLOOKUP(A89,PowerVolTable,(IF(VolBMO1=2,7,IF(VolBMO1=1,6,8))),FALSE())))</f>
        <v> </v>
      </c>
      <c r="AG89" s="321" t="str">
        <f aca="false">IF(A89="N/A"," ",(VLOOKUP(A89,IntraPowerVol,(IF(VolBMO1=2,3,IF(VolBMO1=1,2,4))),FALSE())*VLOOKUP(MONTH($A89),Volscale,2)))</f>
        <v> </v>
      </c>
      <c r="AH89" s="321" t="str">
        <f aca="false">IF($A89="N/A"," ",IF(VolType1=1,AG89,AF89))</f>
        <v> </v>
      </c>
      <c r="AI89" s="321" t="str">
        <f aca="false">IF($A89="N/A"," ",(VLOOKUP($A89,OffPwrVolTable,(IF(VolBMO1=2,7,IF(VolBMO1=1,6,8))),FALSE())))</f>
        <v> </v>
      </c>
      <c r="AJ89" s="321" t="str">
        <f aca="false">IF($A89="N/A"," ",(VLOOKUP($A89,OffPwrVolTable,(IF(VolBMO1=2,3,IF(VolBMO1=1,2,4))),FALSE())*VLOOKUP(MONTH($A89),Volscale,2)))</f>
        <v> </v>
      </c>
      <c r="AK89" s="321" t="str">
        <f aca="false">IF($A89="N/A"," ",IF(VolType1=1,AJ89,AI89))</f>
        <v> </v>
      </c>
      <c r="AL89" s="321" t="str">
        <f aca="false">IF($A89="N/A"," ",IF(PV=1,0,'Pricing Inputs1'!R122))</f>
        <v> </v>
      </c>
      <c r="AM89" s="323" t="str">
        <f aca="false">IF($A89="N/A"," ",(1+AL89/2)^(-2*((EOMONTH(A89,0)+20)-DateToday)/365.25))</f>
        <v> </v>
      </c>
      <c r="BQ89" s="0" t="str">
        <f aca="false">IF($A89="N/A"," ",(VLOOKUP($A89,NumberofDaysTable,2)))</f>
        <v> </v>
      </c>
      <c r="BR89" s="0" t="str">
        <f aca="false">IF($A89="N/A"," ",(VLOOKUP($A89,NumberofDaysTable,3)))</f>
        <v> </v>
      </c>
      <c r="BS89" s="0" t="str">
        <f aca="false">IF($A89="N/A"," ",(VLOOKUP($A89,NumberofDaysTable,4)))</f>
        <v> </v>
      </c>
    </row>
    <row r="90" customFormat="false" ht="12.75" hidden="false" customHeight="false" outlineLevel="0" collapsed="false">
      <c r="A90" s="315" t="str">
        <f aca="false">IF(A89="N/A","N/A",IF(EDATE(A89,1)&gt;Inputs!$M$5,"N/A",EDATE(A89,1)))</f>
        <v>N/A</v>
      </c>
      <c r="B90" s="316" t="str">
        <f aca="false">IF(A90="N/A"," ",YEAR(A90))</f>
        <v> </v>
      </c>
      <c r="C90" s="317" t="str">
        <f aca="false">IF($A90="N/A"," ",IF(Dayrun1=10,0,IF(Scaler1=1,(VLOOKUP(A90,ScaledPrice1,4)),(VLOOKUP(A90,ScaledPrice1,2)))))</f>
        <v> </v>
      </c>
      <c r="D90" s="317" t="str">
        <f aca="false">IF(A90="N/A"," ",IF(Dayrun1&gt;=7,0,IF(Scaler1=2,VLOOKUP(A90,ScaledPrice1,2),(VLOOKUP(A90,ScaledPrice1,2))*(2-(VLOOKUP(A90,ScaledPrice1,3))))))</f>
        <v> </v>
      </c>
      <c r="E90" s="317" t="str">
        <f aca="false">IF($A90="N/A"," ",IF(AND(Dayrun1&gt;=4,Dayrun1&lt;=9),0,VLOOKUP($A90,ScaledPrice1,9)))</f>
        <v> </v>
      </c>
      <c r="F90" s="317" t="str">
        <f aca="false">IF(A90="N/A"," ",IF(OR(Dayrun1=2,Dayrun1=3,Dayrun1=5,Dayrun1=6,Dayrun1=8,Dayrun1=9),VLOOKUP(A90,ScaledPrice1,IF(Scaler1=1,6,5)),0))</f>
        <v> </v>
      </c>
      <c r="G90" s="317" t="str">
        <f aca="false">IF(A90="N/A"," ",IF(OR(Dayrun1=2,Dayrun1=3,Dayrun1=5,Dayrun1=6),IF(Scaler1=2,F90,(VLOOKUP(A90,ScaledPrice1,5))*(2-(VLOOKUP(A90,ScaledPrice1,3)))),0))</f>
        <v> </v>
      </c>
      <c r="H90" s="317" t="str">
        <f aca="false">IF($A90="N/A"," ",IF(OR(Dayrun1=2,Dayrun1=3,Dayrun1=10),VLOOKUP($A90,ScaledPrice1,9),0))</f>
        <v> </v>
      </c>
      <c r="I90" s="317" t="str">
        <f aca="false">IF(A90="N/A"," ",IF(OR(Dayrun1=3,Dayrun1=6,Dayrun1=9),(VLOOKUP(A90,ScaledPrice1,IF(Scaler1=2,7,8))),0))</f>
        <v> </v>
      </c>
      <c r="J90" s="317" t="str">
        <f aca="false">IF(A90="N/A"," ",IF(OR(Dayrun1=3,Dayrun1=6),IF(Scaler1=2,I90,(VLOOKUP(A90,ScaledPrice1,7))*(2-(VLOOKUP(A90,ScaledPrice1,3)))),0))</f>
        <v> </v>
      </c>
      <c r="K90" s="317" t="str">
        <f aca="false">IF($A90="N/A"," ",IF(OR(Dayrun1=3,Dayrun1=10),VLOOKUP($A90,ScaledPrice1,9),0))</f>
        <v> </v>
      </c>
      <c r="L90" s="318" t="str">
        <f aca="false">IF($A90="N/A"," ",IF(Pricetype1=2,MAX(C90,0),IF(OR(Pricetype1=1,Pricetype1=4),IF(C90=0,0,(EURO(C90,Strikeprice1,0,0,($AH90+IF(Smile=TRUE(),VLOOKUP(MAX(-5,Strikeprice1-C90),Volsmile,2),0)),($A90-DateToday)+15,IF(Pricetype1=1,1,0),0))),C90)))</f>
        <v> </v>
      </c>
      <c r="M90" s="318" t="str">
        <f aca="false">IF($A90="N/A"," ",IF(Pricetype1=2,MAX(D90,0),IF(OR(Pricetype1=1,Pricetype1=4),IF(D90=0,0,(EURO(D90,Strikeprice1,0,0,($AH90+IF(Smile=TRUE(),VLOOKUP(MAX(-5,Strikeprice1-D90),Volsmile,2),0)),($A90-DateToday)+15,IF(Pricetype1=1,1,0),0))),D90)))</f>
        <v> </v>
      </c>
      <c r="N90" s="318" t="str">
        <f aca="false">IF($A90="N/A"," ",IF(Pricetype1=2,MAX(E90,0),IF(OR(Pricetype1=1,Pricetype1=4),IF(E90=0,0,(EURO(E90,Strikeprice1,0,0,($AK90+IF(Smile=TRUE(),VLOOKUP(MAX(-5,Strikeprice1-E90),Volsmile,2),0)),($A90-DateToday)+15,IF(Pricetype1=1,1,0),0))),E90)))</f>
        <v> </v>
      </c>
      <c r="O90" s="318" t="str">
        <f aca="false">IF($A90="N/A"," ",IF(Pricetype1=2,MAX(F90,0),IF(OR(Pricetype1=1,Pricetype1=4),IF(F90=0,0,(EURO(F90,Strikeprice1,0,0,($AK90+IF(Smile=TRUE(),VLOOKUP(MAX(-5,Strikeprice1-F90),Volsmile,2),0)),($A90-DateToday)+15,IF(Pricetype1=1,1,0),0))),F90)))</f>
        <v> </v>
      </c>
      <c r="P90" s="318" t="str">
        <f aca="false">IF($A90="N/A"," ",IF(Pricetype1=2,MAX(G90,0),IF(OR(Pricetype1=1,Pricetype1=4),IF(G90=0,0,(EURO(G90,Strikeprice1,0,0,($AK90+IF(Smile=TRUE(),VLOOKUP(MAX(-5,Strikeprice1-G90),Volsmile,2),0)),($A90-DateToday)+15,IF(Pricetype1=1,1,0),0))),G90)))</f>
        <v> </v>
      </c>
      <c r="Q90" s="318" t="str">
        <f aca="false">IF($A90="N/A"," ",IF(Pricetype1=2,MAX(H90,0),IF(OR(Pricetype1=1,Pricetype1=4),IF(H90=0,0,(EURO(H90,Strikeprice1,0,0,($AK90+IF(Smile=TRUE(),VLOOKUP(MAX(-5,Strikeprice1-H90),Volsmile,2),0)),($A90-DateToday)+15,IF(Pricetype1=1,1,0),0))),H90)))</f>
        <v> </v>
      </c>
      <c r="R90" s="318" t="str">
        <f aca="false">IF($A90="N/A"," ",IF(Pricetype1=2,MAX(I90,0),IF(OR(Pricetype1=1,Pricetype1=4),IF(I90=0,0,(EURO(I90,Strikeprice1,0,0,($AK90+IF(Smile=TRUE(),VLOOKUP(MAX(-5,Strikeprice1-I90),Volsmile,2),0)),($A90-DateToday)+15,IF(Pricetype1=1,1,0),0))),I90)))</f>
        <v> </v>
      </c>
      <c r="S90" s="318" t="str">
        <f aca="false">IF($A90="N/A"," ",IF(Pricetype1=2,MAX(J90,0),IF(OR(Pricetype1=1,Pricetype1=4),IF(J90=0,0,(EURO(J90,Strikeprice1,0,0,($AK90+IF(Smile=TRUE(),VLOOKUP(MAX(-5,Strikeprice1-J90),Volsmile,2),0)),($A90-DateToday)+15,IF(Pricetype1=1,1,0),0))),J90)))</f>
        <v> </v>
      </c>
      <c r="T90" s="318" t="str">
        <f aca="false">IF($A90="N/A"," ",IF(Pricetype1=2,MAX(K90,0),IF(OR(Pricetype1=1,Pricetype1=4),IF(K90=0,0,(EURO(K90,Strikeprice1,0,0,($AK90+IF(Smile=TRUE(),VLOOKUP(MAX(-5,Strikeprice1-K90),Volsmile,2),0)),($A90-DateToday)+15,IF(Pricetype1=1,1,0),0))),K90)))</f>
        <v> </v>
      </c>
      <c r="U90" s="319" t="str">
        <f aca="false">IF($A90="N/A"," ",Volume1*$AM90)</f>
        <v> </v>
      </c>
      <c r="V90" s="320" t="str">
        <f aca="false">IF($A90="N/A"," ",$U90*(8*($BQ90))*L90)</f>
        <v> </v>
      </c>
      <c r="W90" s="320" t="str">
        <f aca="false">IF($A90="N/A"," ",$U90*(8*($BQ90))*M90)</f>
        <v> </v>
      </c>
      <c r="X90" s="320" t="str">
        <f aca="false">IF($A90="N/A"," ",$U90*(8*($BQ90))*N90)</f>
        <v> </v>
      </c>
      <c r="Y90" s="320" t="str">
        <f aca="false">IF($A90="N/A"," ",$U90*(8*($BR90))*O90)</f>
        <v> </v>
      </c>
      <c r="Z90" s="320" t="str">
        <f aca="false">IF($A90="N/A"," ",$U90*(8*($BR90))*P90)</f>
        <v> </v>
      </c>
      <c r="AA90" s="320" t="str">
        <f aca="false">IF($A90="N/A"," ",$U90*(8*($BR90))*Q90)</f>
        <v> </v>
      </c>
      <c r="AB90" s="320" t="str">
        <f aca="false">IF($A90="N/A"," ",$U90*(8*($BS90))*R90)</f>
        <v> </v>
      </c>
      <c r="AC90" s="320" t="str">
        <f aca="false">IF($A90="N/A"," ",$U90*(8*($BS90))*S90)</f>
        <v> </v>
      </c>
      <c r="AD90" s="320" t="str">
        <f aca="false">IF($A90="N/A"," ",$U90*(8*($BS90))*T90)</f>
        <v> </v>
      </c>
      <c r="AE90" s="320" t="str">
        <f aca="false">IF($A90="N/A"," ",SUM(V90:AD90))</f>
        <v> </v>
      </c>
      <c r="AF90" s="321" t="str">
        <f aca="false">IF(A90="N/A"," ",(VLOOKUP(A90,PowerVolTable,(IF(VolBMO1=2,7,IF(VolBMO1=1,6,8))),FALSE())))</f>
        <v> </v>
      </c>
      <c r="AG90" s="321" t="str">
        <f aca="false">IF(A90="N/A"," ",(VLOOKUP(A90,IntraPowerVol,(IF(VolBMO1=2,3,IF(VolBMO1=1,2,4))),FALSE())*VLOOKUP(MONTH($A90),Volscale,2)))</f>
        <v> </v>
      </c>
      <c r="AH90" s="321" t="str">
        <f aca="false">IF($A90="N/A"," ",IF(VolType1=1,AG90,AF90))</f>
        <v> </v>
      </c>
      <c r="AI90" s="321" t="str">
        <f aca="false">IF($A90="N/A"," ",(VLOOKUP($A90,OffPwrVolTable,(IF(VolBMO1=2,7,IF(VolBMO1=1,6,8))),FALSE())))</f>
        <v> </v>
      </c>
      <c r="AJ90" s="321" t="str">
        <f aca="false">IF($A90="N/A"," ",(VLOOKUP($A90,OffPwrVolTable,(IF(VolBMO1=2,3,IF(VolBMO1=1,2,4))),FALSE())*VLOOKUP(MONTH($A90),Volscale,2)))</f>
        <v> </v>
      </c>
      <c r="AK90" s="321" t="str">
        <f aca="false">IF($A90="N/A"," ",IF(VolType1=1,AJ90,AI90))</f>
        <v> </v>
      </c>
      <c r="AL90" s="321" t="str">
        <f aca="false">IF($A90="N/A"," ",IF(PV=1,0,'Pricing Inputs1'!R123))</f>
        <v> </v>
      </c>
      <c r="AM90" s="323" t="str">
        <f aca="false">IF($A90="N/A"," ",(1+AL90/2)^(-2*((EOMONTH(A90,0)+20)-DateToday)/365.25))</f>
        <v> </v>
      </c>
      <c r="BQ90" s="0" t="str">
        <f aca="false">IF($A90="N/A"," ",(VLOOKUP($A90,NumberofDaysTable,2)))</f>
        <v> </v>
      </c>
      <c r="BR90" s="0" t="str">
        <f aca="false">IF($A90="N/A"," ",(VLOOKUP($A90,NumberofDaysTable,3)))</f>
        <v> </v>
      </c>
      <c r="BS90" s="0" t="str">
        <f aca="false">IF($A90="N/A"," ",(VLOOKUP($A90,NumberofDaysTable,4)))</f>
        <v> </v>
      </c>
    </row>
    <row r="91" customFormat="false" ht="12.75" hidden="false" customHeight="false" outlineLevel="0" collapsed="false">
      <c r="A91" s="315" t="str">
        <f aca="false">IF(A90="N/A","N/A",IF(EDATE(A90,1)&gt;Inputs!$M$5,"N/A",EDATE(A90,1)))</f>
        <v>N/A</v>
      </c>
      <c r="B91" s="316" t="str">
        <f aca="false">IF(A91="N/A"," ",YEAR(A91))</f>
        <v> </v>
      </c>
      <c r="C91" s="317" t="str">
        <f aca="false">IF($A91="N/A"," ",IF(Dayrun1=10,0,IF(Scaler1=1,(VLOOKUP(A91,ScaledPrice1,4)),(VLOOKUP(A91,ScaledPrice1,2)))))</f>
        <v> </v>
      </c>
      <c r="D91" s="317" t="str">
        <f aca="false">IF(A91="N/A"," ",IF(Dayrun1&gt;=7,0,IF(Scaler1=2,VLOOKUP(A91,ScaledPrice1,2),(VLOOKUP(A91,ScaledPrice1,2))*(2-(VLOOKUP(A91,ScaledPrice1,3))))))</f>
        <v> </v>
      </c>
      <c r="E91" s="317" t="str">
        <f aca="false">IF($A91="N/A"," ",IF(AND(Dayrun1&gt;=4,Dayrun1&lt;=9),0,VLOOKUP($A91,ScaledPrice1,9)))</f>
        <v> </v>
      </c>
      <c r="F91" s="317" t="str">
        <f aca="false">IF(A91="N/A"," ",IF(OR(Dayrun1=2,Dayrun1=3,Dayrun1=5,Dayrun1=6,Dayrun1=8,Dayrun1=9),VLOOKUP(A91,ScaledPrice1,IF(Scaler1=1,6,5)),0))</f>
        <v> </v>
      </c>
      <c r="G91" s="317" t="str">
        <f aca="false">IF(A91="N/A"," ",IF(OR(Dayrun1=2,Dayrun1=3,Dayrun1=5,Dayrun1=6),IF(Scaler1=2,F91,(VLOOKUP(A91,ScaledPrice1,5))*(2-(VLOOKUP(A91,ScaledPrice1,3)))),0))</f>
        <v> </v>
      </c>
      <c r="H91" s="317" t="str">
        <f aca="false">IF($A91="N/A"," ",IF(OR(Dayrun1=2,Dayrun1=3,Dayrun1=10),VLOOKUP($A91,ScaledPrice1,9),0))</f>
        <v> </v>
      </c>
      <c r="I91" s="317" t="str">
        <f aca="false">IF(A91="N/A"," ",IF(OR(Dayrun1=3,Dayrun1=6,Dayrun1=9),(VLOOKUP(A91,ScaledPrice1,IF(Scaler1=2,7,8))),0))</f>
        <v> </v>
      </c>
      <c r="J91" s="317" t="str">
        <f aca="false">IF(A91="N/A"," ",IF(OR(Dayrun1=3,Dayrun1=6),IF(Scaler1=2,I91,(VLOOKUP(A91,ScaledPrice1,7))*(2-(VLOOKUP(A91,ScaledPrice1,3)))),0))</f>
        <v> </v>
      </c>
      <c r="K91" s="317" t="str">
        <f aca="false">IF($A91="N/A"," ",IF(OR(Dayrun1=3,Dayrun1=10),VLOOKUP($A91,ScaledPrice1,9),0))</f>
        <v> </v>
      </c>
      <c r="L91" s="318" t="str">
        <f aca="false">IF($A91="N/A"," ",IF(Pricetype1=2,MAX(C91,0),IF(OR(Pricetype1=1,Pricetype1=4),IF(C91=0,0,(EURO(C91,Strikeprice1,0,0,($AH91+IF(Smile=TRUE(),VLOOKUP(MAX(-5,Strikeprice1-C91),Volsmile,2),0)),($A91-DateToday)+15,IF(Pricetype1=1,1,0),0))),C91)))</f>
        <v> </v>
      </c>
      <c r="M91" s="318" t="str">
        <f aca="false">IF($A91="N/A"," ",IF(Pricetype1=2,MAX(D91,0),IF(OR(Pricetype1=1,Pricetype1=4),IF(D91=0,0,(EURO(D91,Strikeprice1,0,0,($AH91+IF(Smile=TRUE(),VLOOKUP(MAX(-5,Strikeprice1-D91),Volsmile,2),0)),($A91-DateToday)+15,IF(Pricetype1=1,1,0),0))),D91)))</f>
        <v> </v>
      </c>
      <c r="N91" s="318" t="str">
        <f aca="false">IF($A91="N/A"," ",IF(Pricetype1=2,MAX(E91,0),IF(OR(Pricetype1=1,Pricetype1=4),IF(E91=0,0,(EURO(E91,Strikeprice1,0,0,($AK91+IF(Smile=TRUE(),VLOOKUP(MAX(-5,Strikeprice1-E91),Volsmile,2),0)),($A91-DateToday)+15,IF(Pricetype1=1,1,0),0))),E91)))</f>
        <v> </v>
      </c>
      <c r="O91" s="318" t="str">
        <f aca="false">IF($A91="N/A"," ",IF(Pricetype1=2,MAX(F91,0),IF(OR(Pricetype1=1,Pricetype1=4),IF(F91=0,0,(EURO(F91,Strikeprice1,0,0,($AK91+IF(Smile=TRUE(),VLOOKUP(MAX(-5,Strikeprice1-F91),Volsmile,2),0)),($A91-DateToday)+15,IF(Pricetype1=1,1,0),0))),F91)))</f>
        <v> </v>
      </c>
      <c r="P91" s="318" t="str">
        <f aca="false">IF($A91="N/A"," ",IF(Pricetype1=2,MAX(G91,0),IF(OR(Pricetype1=1,Pricetype1=4),IF(G91=0,0,(EURO(G91,Strikeprice1,0,0,($AK91+IF(Smile=TRUE(),VLOOKUP(MAX(-5,Strikeprice1-G91),Volsmile,2),0)),($A91-DateToday)+15,IF(Pricetype1=1,1,0),0))),G91)))</f>
        <v> </v>
      </c>
      <c r="Q91" s="318" t="str">
        <f aca="false">IF($A91="N/A"," ",IF(Pricetype1=2,MAX(H91,0),IF(OR(Pricetype1=1,Pricetype1=4),IF(H91=0,0,(EURO(H91,Strikeprice1,0,0,($AK91+IF(Smile=TRUE(),VLOOKUP(MAX(-5,Strikeprice1-H91),Volsmile,2),0)),($A91-DateToday)+15,IF(Pricetype1=1,1,0),0))),H91)))</f>
        <v> </v>
      </c>
      <c r="R91" s="318" t="str">
        <f aca="false">IF($A91="N/A"," ",IF(Pricetype1=2,MAX(I91,0),IF(OR(Pricetype1=1,Pricetype1=4),IF(I91=0,0,(EURO(I91,Strikeprice1,0,0,($AK91+IF(Smile=TRUE(),VLOOKUP(MAX(-5,Strikeprice1-I91),Volsmile,2),0)),($A91-DateToday)+15,IF(Pricetype1=1,1,0),0))),I91)))</f>
        <v> </v>
      </c>
      <c r="S91" s="318" t="str">
        <f aca="false">IF($A91="N/A"," ",IF(Pricetype1=2,MAX(J91,0),IF(OR(Pricetype1=1,Pricetype1=4),IF(J91=0,0,(EURO(J91,Strikeprice1,0,0,($AK91+IF(Smile=TRUE(),VLOOKUP(MAX(-5,Strikeprice1-J91),Volsmile,2),0)),($A91-DateToday)+15,IF(Pricetype1=1,1,0),0))),J91)))</f>
        <v> </v>
      </c>
      <c r="T91" s="318" t="str">
        <f aca="false">IF($A91="N/A"," ",IF(Pricetype1=2,MAX(K91,0),IF(OR(Pricetype1=1,Pricetype1=4),IF(K91=0,0,(EURO(K91,Strikeprice1,0,0,($AK91+IF(Smile=TRUE(),VLOOKUP(MAX(-5,Strikeprice1-K91),Volsmile,2),0)),($A91-DateToday)+15,IF(Pricetype1=1,1,0),0))),K91)))</f>
        <v> </v>
      </c>
      <c r="U91" s="319" t="str">
        <f aca="false">IF($A91="N/A"," ",Volume1*$AM91)</f>
        <v> </v>
      </c>
      <c r="V91" s="320" t="str">
        <f aca="false">IF($A91="N/A"," ",$U91*(8*($BQ91))*L91)</f>
        <v> </v>
      </c>
      <c r="W91" s="320" t="str">
        <f aca="false">IF($A91="N/A"," ",$U91*(8*($BQ91))*M91)</f>
        <v> </v>
      </c>
      <c r="X91" s="320" t="str">
        <f aca="false">IF($A91="N/A"," ",$U91*(8*($BQ91))*N91)</f>
        <v> </v>
      </c>
      <c r="Y91" s="320" t="str">
        <f aca="false">IF($A91="N/A"," ",$U91*(8*($BR91))*O91)</f>
        <v> </v>
      </c>
      <c r="Z91" s="320" t="str">
        <f aca="false">IF($A91="N/A"," ",$U91*(8*($BR91))*P91)</f>
        <v> </v>
      </c>
      <c r="AA91" s="320" t="str">
        <f aca="false">IF($A91="N/A"," ",$U91*(8*($BR91))*Q91)</f>
        <v> </v>
      </c>
      <c r="AB91" s="320" t="str">
        <f aca="false">IF($A91="N/A"," ",$U91*(8*($BS91))*R91)</f>
        <v> </v>
      </c>
      <c r="AC91" s="320" t="str">
        <f aca="false">IF($A91="N/A"," ",$U91*(8*($BS91))*S91)</f>
        <v> </v>
      </c>
      <c r="AD91" s="320" t="str">
        <f aca="false">IF($A91="N/A"," ",$U91*(8*($BS91))*T91)</f>
        <v> </v>
      </c>
      <c r="AE91" s="320" t="str">
        <f aca="false">IF($A91="N/A"," ",SUM(V91:AD91))</f>
        <v> </v>
      </c>
      <c r="AF91" s="321" t="str">
        <f aca="false">IF(A91="N/A"," ",(VLOOKUP(A91,PowerVolTable,(IF(VolBMO1=2,7,IF(VolBMO1=1,6,8))),FALSE())))</f>
        <v> </v>
      </c>
      <c r="AG91" s="321" t="str">
        <f aca="false">IF(A91="N/A"," ",(VLOOKUP(A91,IntraPowerVol,(IF(VolBMO1=2,3,IF(VolBMO1=1,2,4))),FALSE())*VLOOKUP(MONTH($A91),Volscale,2)))</f>
        <v> </v>
      </c>
      <c r="AH91" s="321" t="str">
        <f aca="false">IF($A91="N/A"," ",IF(VolType1=1,AG91,AF91))</f>
        <v> </v>
      </c>
      <c r="AI91" s="321" t="str">
        <f aca="false">IF($A91="N/A"," ",(VLOOKUP($A91,OffPwrVolTable,(IF(VolBMO1=2,7,IF(VolBMO1=1,6,8))),FALSE())))</f>
        <v> </v>
      </c>
      <c r="AJ91" s="321" t="str">
        <f aca="false">IF($A91="N/A"," ",(VLOOKUP($A91,OffPwrVolTable,(IF(VolBMO1=2,3,IF(VolBMO1=1,2,4))),FALSE())*VLOOKUP(MONTH($A91),Volscale,2)))</f>
        <v> </v>
      </c>
      <c r="AK91" s="321" t="str">
        <f aca="false">IF($A91="N/A"," ",IF(VolType1=1,AJ91,AI91))</f>
        <v> </v>
      </c>
      <c r="AL91" s="321" t="str">
        <f aca="false">IF($A91="N/A"," ",IF(PV=1,0,'Pricing Inputs1'!R124))</f>
        <v> </v>
      </c>
      <c r="AM91" s="323" t="str">
        <f aca="false">IF($A91="N/A"," ",(1+AL91/2)^(-2*((EOMONTH(A91,0)+20)-DateToday)/365.25))</f>
        <v> </v>
      </c>
      <c r="BQ91" s="0" t="str">
        <f aca="false">IF($A91="N/A"," ",(VLOOKUP($A91,NumberofDaysTable,2)))</f>
        <v> </v>
      </c>
      <c r="BR91" s="0" t="str">
        <f aca="false">IF($A91="N/A"," ",(VLOOKUP($A91,NumberofDaysTable,3)))</f>
        <v> </v>
      </c>
      <c r="BS91" s="0" t="str">
        <f aca="false">IF($A91="N/A"," ",(VLOOKUP($A91,NumberofDaysTable,4)))</f>
        <v> </v>
      </c>
    </row>
    <row r="92" customFormat="false" ht="12.75" hidden="false" customHeight="false" outlineLevel="0" collapsed="false">
      <c r="A92" s="315" t="str">
        <f aca="false">IF(A91="N/A","N/A",IF(EDATE(A91,1)&gt;Inputs!$M$5,"N/A",EDATE(A91,1)))</f>
        <v>N/A</v>
      </c>
      <c r="B92" s="316" t="str">
        <f aca="false">IF(A92="N/A"," ",YEAR(A92))</f>
        <v> </v>
      </c>
      <c r="C92" s="317" t="str">
        <f aca="false">IF($A92="N/A"," ",IF(Dayrun1=10,0,IF(Scaler1=1,(VLOOKUP(A92,ScaledPrice1,4)),(VLOOKUP(A92,ScaledPrice1,2)))))</f>
        <v> </v>
      </c>
      <c r="D92" s="317" t="str">
        <f aca="false">IF(A92="N/A"," ",IF(Dayrun1&gt;=7,0,IF(Scaler1=2,VLOOKUP(A92,ScaledPrice1,2),(VLOOKUP(A92,ScaledPrice1,2))*(2-(VLOOKUP(A92,ScaledPrice1,3))))))</f>
        <v> </v>
      </c>
      <c r="E92" s="317" t="str">
        <f aca="false">IF($A92="N/A"," ",IF(AND(Dayrun1&gt;=4,Dayrun1&lt;=9),0,VLOOKUP($A92,ScaledPrice1,9)))</f>
        <v> </v>
      </c>
      <c r="F92" s="317" t="str">
        <f aca="false">IF(A92="N/A"," ",IF(OR(Dayrun1=2,Dayrun1=3,Dayrun1=5,Dayrun1=6,Dayrun1=8,Dayrun1=9),VLOOKUP(A92,ScaledPrice1,IF(Scaler1=1,6,5)),0))</f>
        <v> </v>
      </c>
      <c r="G92" s="317" t="str">
        <f aca="false">IF(A92="N/A"," ",IF(OR(Dayrun1=2,Dayrun1=3,Dayrun1=5,Dayrun1=6),IF(Scaler1=2,F92,(VLOOKUP(A92,ScaledPrice1,5))*(2-(VLOOKUP(A92,ScaledPrice1,3)))),0))</f>
        <v> </v>
      </c>
      <c r="H92" s="317" t="str">
        <f aca="false">IF($A92="N/A"," ",IF(OR(Dayrun1=2,Dayrun1=3,Dayrun1=10),VLOOKUP($A92,ScaledPrice1,9),0))</f>
        <v> </v>
      </c>
      <c r="I92" s="317" t="str">
        <f aca="false">IF(A92="N/A"," ",IF(OR(Dayrun1=3,Dayrun1=6,Dayrun1=9),(VLOOKUP(A92,ScaledPrice1,IF(Scaler1=2,7,8))),0))</f>
        <v> </v>
      </c>
      <c r="J92" s="317" t="str">
        <f aca="false">IF(A92="N/A"," ",IF(OR(Dayrun1=3,Dayrun1=6),IF(Scaler1=2,I92,(VLOOKUP(A92,ScaledPrice1,7))*(2-(VLOOKUP(A92,ScaledPrice1,3)))),0))</f>
        <v> </v>
      </c>
      <c r="K92" s="317" t="str">
        <f aca="false">IF($A92="N/A"," ",IF(OR(Dayrun1=3,Dayrun1=10),VLOOKUP($A92,ScaledPrice1,9),0))</f>
        <v> </v>
      </c>
      <c r="L92" s="318" t="str">
        <f aca="false">IF($A92="N/A"," ",IF(Pricetype1=2,MAX(C92,0),IF(OR(Pricetype1=1,Pricetype1=4),IF(C92=0,0,(EURO(C92,Strikeprice1,0,0,($AH92+IF(Smile=TRUE(),VLOOKUP(MAX(-5,Strikeprice1-C92),Volsmile,2),0)),($A92-DateToday)+15,IF(Pricetype1=1,1,0),0))),C92)))</f>
        <v> </v>
      </c>
      <c r="M92" s="318" t="str">
        <f aca="false">IF($A92="N/A"," ",IF(Pricetype1=2,MAX(D92,0),IF(OR(Pricetype1=1,Pricetype1=4),IF(D92=0,0,(EURO(D92,Strikeprice1,0,0,($AH92+IF(Smile=TRUE(),VLOOKUP(MAX(-5,Strikeprice1-D92),Volsmile,2),0)),($A92-DateToday)+15,IF(Pricetype1=1,1,0),0))),D92)))</f>
        <v> </v>
      </c>
      <c r="N92" s="318" t="str">
        <f aca="false">IF($A92="N/A"," ",IF(Pricetype1=2,MAX(E92,0),IF(OR(Pricetype1=1,Pricetype1=4),IF(E92=0,0,(EURO(E92,Strikeprice1,0,0,($AK92+IF(Smile=TRUE(),VLOOKUP(MAX(-5,Strikeprice1-E92),Volsmile,2),0)),($A92-DateToday)+15,IF(Pricetype1=1,1,0),0))),E92)))</f>
        <v> </v>
      </c>
      <c r="O92" s="318" t="str">
        <f aca="false">IF($A92="N/A"," ",IF(Pricetype1=2,MAX(F92,0),IF(OR(Pricetype1=1,Pricetype1=4),IF(F92=0,0,(EURO(F92,Strikeprice1,0,0,($AK92+IF(Smile=TRUE(),VLOOKUP(MAX(-5,Strikeprice1-F92),Volsmile,2),0)),($A92-DateToday)+15,IF(Pricetype1=1,1,0),0))),F92)))</f>
        <v> </v>
      </c>
      <c r="P92" s="318" t="str">
        <f aca="false">IF($A92="N/A"," ",IF(Pricetype1=2,MAX(G92,0),IF(OR(Pricetype1=1,Pricetype1=4),IF(G92=0,0,(EURO(G92,Strikeprice1,0,0,($AK92+IF(Smile=TRUE(),VLOOKUP(MAX(-5,Strikeprice1-G92),Volsmile,2),0)),($A92-DateToday)+15,IF(Pricetype1=1,1,0),0))),G92)))</f>
        <v> </v>
      </c>
      <c r="Q92" s="318" t="str">
        <f aca="false">IF($A92="N/A"," ",IF(Pricetype1=2,MAX(H92,0),IF(OR(Pricetype1=1,Pricetype1=4),IF(H92=0,0,(EURO(H92,Strikeprice1,0,0,($AK92+IF(Smile=TRUE(),VLOOKUP(MAX(-5,Strikeprice1-H92),Volsmile,2),0)),($A92-DateToday)+15,IF(Pricetype1=1,1,0),0))),H92)))</f>
        <v> </v>
      </c>
      <c r="R92" s="318" t="str">
        <f aca="false">IF($A92="N/A"," ",IF(Pricetype1=2,MAX(I92,0),IF(OR(Pricetype1=1,Pricetype1=4),IF(I92=0,0,(EURO(I92,Strikeprice1,0,0,($AK92+IF(Smile=TRUE(),VLOOKUP(MAX(-5,Strikeprice1-I92),Volsmile,2),0)),($A92-DateToday)+15,IF(Pricetype1=1,1,0),0))),I92)))</f>
        <v> </v>
      </c>
      <c r="S92" s="318" t="str">
        <f aca="false">IF($A92="N/A"," ",IF(Pricetype1=2,MAX(J92,0),IF(OR(Pricetype1=1,Pricetype1=4),IF(J92=0,0,(EURO(J92,Strikeprice1,0,0,($AK92+IF(Smile=TRUE(),VLOOKUP(MAX(-5,Strikeprice1-J92),Volsmile,2),0)),($A92-DateToday)+15,IF(Pricetype1=1,1,0),0))),J92)))</f>
        <v> </v>
      </c>
      <c r="T92" s="318" t="str">
        <f aca="false">IF($A92="N/A"," ",IF(Pricetype1=2,MAX(K92,0),IF(OR(Pricetype1=1,Pricetype1=4),IF(K92=0,0,(EURO(K92,Strikeprice1,0,0,($AK92+IF(Smile=TRUE(),VLOOKUP(MAX(-5,Strikeprice1-K92),Volsmile,2),0)),($A92-DateToday)+15,IF(Pricetype1=1,1,0),0))),K92)))</f>
        <v> </v>
      </c>
      <c r="U92" s="319" t="str">
        <f aca="false">IF($A92="N/A"," ",Volume1*$AM92)</f>
        <v> </v>
      </c>
      <c r="V92" s="320" t="str">
        <f aca="false">IF($A92="N/A"," ",$U92*(8*($BQ92))*L92)</f>
        <v> </v>
      </c>
      <c r="W92" s="320" t="str">
        <f aca="false">IF($A92="N/A"," ",$U92*(8*($BQ92))*M92)</f>
        <v> </v>
      </c>
      <c r="X92" s="320" t="str">
        <f aca="false">IF($A92="N/A"," ",$U92*(8*($BQ92))*N92)</f>
        <v> </v>
      </c>
      <c r="Y92" s="320" t="str">
        <f aca="false">IF($A92="N/A"," ",$U92*(8*($BR92))*O92)</f>
        <v> </v>
      </c>
      <c r="Z92" s="320" t="str">
        <f aca="false">IF($A92="N/A"," ",$U92*(8*($BR92))*P92)</f>
        <v> </v>
      </c>
      <c r="AA92" s="320" t="str">
        <f aca="false">IF($A92="N/A"," ",$U92*(8*($BR92))*Q92)</f>
        <v> </v>
      </c>
      <c r="AB92" s="320" t="str">
        <f aca="false">IF($A92="N/A"," ",$U92*(8*($BS92))*R92)</f>
        <v> </v>
      </c>
      <c r="AC92" s="320" t="str">
        <f aca="false">IF($A92="N/A"," ",$U92*(8*($BS92))*S92)</f>
        <v> </v>
      </c>
      <c r="AD92" s="320" t="str">
        <f aca="false">IF($A92="N/A"," ",$U92*(8*($BS92))*T92)</f>
        <v> </v>
      </c>
      <c r="AE92" s="320" t="str">
        <f aca="false">IF($A92="N/A"," ",SUM(V92:AD92))</f>
        <v> </v>
      </c>
      <c r="AF92" s="321" t="str">
        <f aca="false">IF(A92="N/A"," ",(VLOOKUP(A92,PowerVolTable,(IF(VolBMO1=2,7,IF(VolBMO1=1,6,8))),FALSE())))</f>
        <v> </v>
      </c>
      <c r="AG92" s="321" t="str">
        <f aca="false">IF(A92="N/A"," ",(VLOOKUP(A92,IntraPowerVol,(IF(VolBMO1=2,3,IF(VolBMO1=1,2,4))),FALSE())*VLOOKUP(MONTH($A92),Volscale,2)))</f>
        <v> </v>
      </c>
      <c r="AH92" s="321" t="str">
        <f aca="false">IF($A92="N/A"," ",IF(VolType1=1,AG92,AF92))</f>
        <v> </v>
      </c>
      <c r="AI92" s="321" t="str">
        <f aca="false">IF($A92="N/A"," ",(VLOOKUP($A92,OffPwrVolTable,(IF(VolBMO1=2,7,IF(VolBMO1=1,6,8))),FALSE())))</f>
        <v> </v>
      </c>
      <c r="AJ92" s="321" t="str">
        <f aca="false">IF($A92="N/A"," ",(VLOOKUP($A92,OffPwrVolTable,(IF(VolBMO1=2,3,IF(VolBMO1=1,2,4))),FALSE())*VLOOKUP(MONTH($A92),Volscale,2)))</f>
        <v> </v>
      </c>
      <c r="AK92" s="321" t="str">
        <f aca="false">IF($A92="N/A"," ",IF(VolType1=1,AJ92,AI92))</f>
        <v> </v>
      </c>
      <c r="AL92" s="321" t="str">
        <f aca="false">IF($A92="N/A"," ",IF(PV=1,0,'Pricing Inputs1'!R125))</f>
        <v> </v>
      </c>
      <c r="AM92" s="323" t="str">
        <f aca="false">IF($A92="N/A"," ",(1+AL92/2)^(-2*((EOMONTH(A92,0)+20)-DateToday)/365.25))</f>
        <v> </v>
      </c>
      <c r="BQ92" s="0" t="str">
        <f aca="false">IF($A92="N/A"," ",(VLOOKUP($A92,NumberofDaysTable,2)))</f>
        <v> </v>
      </c>
      <c r="BR92" s="0" t="str">
        <f aca="false">IF($A92="N/A"," ",(VLOOKUP($A92,NumberofDaysTable,3)))</f>
        <v> </v>
      </c>
      <c r="BS92" s="0" t="str">
        <f aca="false">IF($A92="N/A"," ",(VLOOKUP($A92,NumberofDaysTable,4)))</f>
        <v> </v>
      </c>
    </row>
    <row r="93" customFormat="false" ht="12.75" hidden="false" customHeight="false" outlineLevel="0" collapsed="false">
      <c r="A93" s="315" t="str">
        <f aca="false">IF(A92="N/A","N/A",IF(EDATE(A92,1)&gt;Inputs!$M$5,"N/A",EDATE(A92,1)))</f>
        <v>N/A</v>
      </c>
      <c r="B93" s="316" t="str">
        <f aca="false">IF(A93="N/A"," ",YEAR(A93))</f>
        <v> </v>
      </c>
      <c r="C93" s="317" t="str">
        <f aca="false">IF($A93="N/A"," ",IF(Dayrun1=10,0,IF(Scaler1=1,(VLOOKUP(A93,ScaledPrice1,4)),(VLOOKUP(A93,ScaledPrice1,2)))))</f>
        <v> </v>
      </c>
      <c r="D93" s="317" t="str">
        <f aca="false">IF(A93="N/A"," ",IF(Dayrun1&gt;=7,0,IF(Scaler1=2,VLOOKUP(A93,ScaledPrice1,2),(VLOOKUP(A93,ScaledPrice1,2))*(2-(VLOOKUP(A93,ScaledPrice1,3))))))</f>
        <v> </v>
      </c>
      <c r="E93" s="317" t="str">
        <f aca="false">IF($A93="N/A"," ",IF(AND(Dayrun1&gt;=4,Dayrun1&lt;=9),0,VLOOKUP($A93,ScaledPrice1,9)))</f>
        <v> </v>
      </c>
      <c r="F93" s="317" t="str">
        <f aca="false">IF(A93="N/A"," ",IF(OR(Dayrun1=2,Dayrun1=3,Dayrun1=5,Dayrun1=6,Dayrun1=8,Dayrun1=9),VLOOKUP(A93,ScaledPrice1,IF(Scaler1=1,6,5)),0))</f>
        <v> </v>
      </c>
      <c r="G93" s="317" t="str">
        <f aca="false">IF(A93="N/A"," ",IF(OR(Dayrun1=2,Dayrun1=3,Dayrun1=5,Dayrun1=6),IF(Scaler1=2,F93,(VLOOKUP(A93,ScaledPrice1,5))*(2-(VLOOKUP(A93,ScaledPrice1,3)))),0))</f>
        <v> </v>
      </c>
      <c r="H93" s="317" t="str">
        <f aca="false">IF($A93="N/A"," ",IF(OR(Dayrun1=2,Dayrun1=3,Dayrun1=10),VLOOKUP($A93,ScaledPrice1,9),0))</f>
        <v> </v>
      </c>
      <c r="I93" s="317" t="str">
        <f aca="false">IF(A93="N/A"," ",IF(OR(Dayrun1=3,Dayrun1=6,Dayrun1=9),(VLOOKUP(A93,ScaledPrice1,IF(Scaler1=2,7,8))),0))</f>
        <v> </v>
      </c>
      <c r="J93" s="317" t="str">
        <f aca="false">IF(A93="N/A"," ",IF(OR(Dayrun1=3,Dayrun1=6),IF(Scaler1=2,I93,(VLOOKUP(A93,ScaledPrice1,7))*(2-(VLOOKUP(A93,ScaledPrice1,3)))),0))</f>
        <v> </v>
      </c>
      <c r="K93" s="317" t="str">
        <f aca="false">IF($A93="N/A"," ",IF(OR(Dayrun1=3,Dayrun1=10),VLOOKUP($A93,ScaledPrice1,9),0))</f>
        <v> </v>
      </c>
      <c r="L93" s="318" t="str">
        <f aca="false">IF($A93="N/A"," ",IF(Pricetype1=2,MAX(C93,0),IF(OR(Pricetype1=1,Pricetype1=4),IF(C93=0,0,(EURO(C93,Strikeprice1,0,0,($AH93+IF(Smile=TRUE(),VLOOKUP(MAX(-5,Strikeprice1-C93),Volsmile,2),0)),($A93-DateToday)+15,IF(Pricetype1=1,1,0),0))),C93)))</f>
        <v> </v>
      </c>
      <c r="M93" s="318" t="str">
        <f aca="false">IF($A93="N/A"," ",IF(Pricetype1=2,MAX(D93,0),IF(OR(Pricetype1=1,Pricetype1=4),IF(D93=0,0,(EURO(D93,Strikeprice1,0,0,($AH93+IF(Smile=TRUE(),VLOOKUP(MAX(-5,Strikeprice1-D93),Volsmile,2),0)),($A93-DateToday)+15,IF(Pricetype1=1,1,0),0))),D93)))</f>
        <v> </v>
      </c>
      <c r="N93" s="318" t="str">
        <f aca="false">IF($A93="N/A"," ",IF(Pricetype1=2,MAX(E93,0),IF(OR(Pricetype1=1,Pricetype1=4),IF(E93=0,0,(EURO(E93,Strikeprice1,0,0,($AK93+IF(Smile=TRUE(),VLOOKUP(MAX(-5,Strikeprice1-E93),Volsmile,2),0)),($A93-DateToday)+15,IF(Pricetype1=1,1,0),0))),E93)))</f>
        <v> </v>
      </c>
      <c r="O93" s="318" t="str">
        <f aca="false">IF($A93="N/A"," ",IF(Pricetype1=2,MAX(F93,0),IF(OR(Pricetype1=1,Pricetype1=4),IF(F93=0,0,(EURO(F93,Strikeprice1,0,0,($AK93+IF(Smile=TRUE(),VLOOKUP(MAX(-5,Strikeprice1-F93),Volsmile,2),0)),($A93-DateToday)+15,IF(Pricetype1=1,1,0),0))),F93)))</f>
        <v> </v>
      </c>
      <c r="P93" s="318" t="str">
        <f aca="false">IF($A93="N/A"," ",IF(Pricetype1=2,MAX(G93,0),IF(OR(Pricetype1=1,Pricetype1=4),IF(G93=0,0,(EURO(G93,Strikeprice1,0,0,($AK93+IF(Smile=TRUE(),VLOOKUP(MAX(-5,Strikeprice1-G93),Volsmile,2),0)),($A93-DateToday)+15,IF(Pricetype1=1,1,0),0))),G93)))</f>
        <v> </v>
      </c>
      <c r="Q93" s="318" t="str">
        <f aca="false">IF($A93="N/A"," ",IF(Pricetype1=2,MAX(H93,0),IF(OR(Pricetype1=1,Pricetype1=4),IF(H93=0,0,(EURO(H93,Strikeprice1,0,0,($AK93+IF(Smile=TRUE(),VLOOKUP(MAX(-5,Strikeprice1-H93),Volsmile,2),0)),($A93-DateToday)+15,IF(Pricetype1=1,1,0),0))),H93)))</f>
        <v> </v>
      </c>
      <c r="R93" s="318" t="str">
        <f aca="false">IF($A93="N/A"," ",IF(Pricetype1=2,MAX(I93,0),IF(OR(Pricetype1=1,Pricetype1=4),IF(I93=0,0,(EURO(I93,Strikeprice1,0,0,($AK93+IF(Smile=TRUE(),VLOOKUP(MAX(-5,Strikeprice1-I93),Volsmile,2),0)),($A93-DateToday)+15,IF(Pricetype1=1,1,0),0))),I93)))</f>
        <v> </v>
      </c>
      <c r="S93" s="318" t="str">
        <f aca="false">IF($A93="N/A"," ",IF(Pricetype1=2,MAX(J93,0),IF(OR(Pricetype1=1,Pricetype1=4),IF(J93=0,0,(EURO(J93,Strikeprice1,0,0,($AK93+IF(Smile=TRUE(),VLOOKUP(MAX(-5,Strikeprice1-J93),Volsmile,2),0)),($A93-DateToday)+15,IF(Pricetype1=1,1,0),0))),J93)))</f>
        <v> </v>
      </c>
      <c r="T93" s="318" t="str">
        <f aca="false">IF($A93="N/A"," ",IF(Pricetype1=2,MAX(K93,0),IF(OR(Pricetype1=1,Pricetype1=4),IF(K93=0,0,(EURO(K93,Strikeprice1,0,0,($AK93+IF(Smile=TRUE(),VLOOKUP(MAX(-5,Strikeprice1-K93),Volsmile,2),0)),($A93-DateToday)+15,IF(Pricetype1=1,1,0),0))),K93)))</f>
        <v> </v>
      </c>
      <c r="U93" s="319" t="str">
        <f aca="false">IF($A93="N/A"," ",Volume1*$AM93)</f>
        <v> </v>
      </c>
      <c r="V93" s="320" t="str">
        <f aca="false">IF($A93="N/A"," ",$U93*(8*($BQ93))*L93)</f>
        <v> </v>
      </c>
      <c r="W93" s="320" t="str">
        <f aca="false">IF($A93="N/A"," ",$U93*(8*($BQ93))*M93)</f>
        <v> </v>
      </c>
      <c r="X93" s="320" t="str">
        <f aca="false">IF($A93="N/A"," ",$U93*(8*($BQ93))*N93)</f>
        <v> </v>
      </c>
      <c r="Y93" s="320" t="str">
        <f aca="false">IF($A93="N/A"," ",$U93*(8*($BR93))*O93)</f>
        <v> </v>
      </c>
      <c r="Z93" s="320" t="str">
        <f aca="false">IF($A93="N/A"," ",$U93*(8*($BR93))*P93)</f>
        <v> </v>
      </c>
      <c r="AA93" s="320" t="str">
        <f aca="false">IF($A93="N/A"," ",$U93*(8*($BR93))*Q93)</f>
        <v> </v>
      </c>
      <c r="AB93" s="320" t="str">
        <f aca="false">IF($A93="N/A"," ",$U93*(8*($BS93))*R93)</f>
        <v> </v>
      </c>
      <c r="AC93" s="320" t="str">
        <f aca="false">IF($A93="N/A"," ",$U93*(8*($BS93))*S93)</f>
        <v> </v>
      </c>
      <c r="AD93" s="320" t="str">
        <f aca="false">IF($A93="N/A"," ",$U93*(8*($BS93))*T93)</f>
        <v> </v>
      </c>
      <c r="AE93" s="320" t="str">
        <f aca="false">IF($A93="N/A"," ",SUM(V93:AD93))</f>
        <v> </v>
      </c>
      <c r="AF93" s="321" t="str">
        <f aca="false">IF(A93="N/A"," ",(VLOOKUP(A93,PowerVolTable,(IF(VolBMO1=2,7,IF(VolBMO1=1,6,8))),FALSE())))</f>
        <v> </v>
      </c>
      <c r="AG93" s="321" t="str">
        <f aca="false">IF(A93="N/A"," ",(VLOOKUP(A93,IntraPowerVol,(IF(VolBMO1=2,3,IF(VolBMO1=1,2,4))),FALSE())*VLOOKUP(MONTH($A93),Volscale,2)))</f>
        <v> </v>
      </c>
      <c r="AH93" s="321" t="str">
        <f aca="false">IF($A93="N/A"," ",IF(VolType1=1,AG93,AF93))</f>
        <v> </v>
      </c>
      <c r="AI93" s="321" t="str">
        <f aca="false">IF($A93="N/A"," ",(VLOOKUP($A93,OffPwrVolTable,(IF(VolBMO1=2,7,IF(VolBMO1=1,6,8))),FALSE())))</f>
        <v> </v>
      </c>
      <c r="AJ93" s="321" t="str">
        <f aca="false">IF($A93="N/A"," ",(VLOOKUP($A93,OffPwrVolTable,(IF(VolBMO1=2,3,IF(VolBMO1=1,2,4))),FALSE())*VLOOKUP(MONTH($A93),Volscale,2)))</f>
        <v> </v>
      </c>
      <c r="AK93" s="321" t="str">
        <f aca="false">IF($A93="N/A"," ",IF(VolType1=1,AJ93,AI93))</f>
        <v> </v>
      </c>
      <c r="AL93" s="321" t="str">
        <f aca="false">IF($A93="N/A"," ",IF(PV=1,0,'Pricing Inputs1'!R126))</f>
        <v> </v>
      </c>
      <c r="AM93" s="323" t="str">
        <f aca="false">IF($A93="N/A"," ",(1+AL93/2)^(-2*((EOMONTH(A93,0)+20)-DateToday)/365.25))</f>
        <v> </v>
      </c>
      <c r="BQ93" s="0" t="str">
        <f aca="false">IF($A93="N/A"," ",(VLOOKUP($A93,NumberofDaysTable,2)))</f>
        <v> </v>
      </c>
      <c r="BR93" s="0" t="str">
        <f aca="false">IF($A93="N/A"," ",(VLOOKUP($A93,NumberofDaysTable,3)))</f>
        <v> </v>
      </c>
      <c r="BS93" s="0" t="str">
        <f aca="false">IF($A93="N/A"," ",(VLOOKUP($A93,NumberofDaysTable,4)))</f>
        <v> </v>
      </c>
    </row>
    <row r="94" customFormat="false" ht="12.75" hidden="false" customHeight="false" outlineLevel="0" collapsed="false">
      <c r="A94" s="315" t="str">
        <f aca="false">IF(A93="N/A","N/A",IF(EDATE(A93,1)&gt;Inputs!$M$5,"N/A",EDATE(A93,1)))</f>
        <v>N/A</v>
      </c>
      <c r="B94" s="316" t="str">
        <f aca="false">IF(A94="N/A"," ",YEAR(A94))</f>
        <v> </v>
      </c>
      <c r="C94" s="317" t="str">
        <f aca="false">IF($A94="N/A"," ",IF(Dayrun1=10,0,IF(Scaler1=1,(VLOOKUP(A94,ScaledPrice1,4)),(VLOOKUP(A94,ScaledPrice1,2)))))</f>
        <v> </v>
      </c>
      <c r="D94" s="317" t="str">
        <f aca="false">IF(A94="N/A"," ",IF(Dayrun1&gt;=7,0,IF(Scaler1=2,VLOOKUP(A94,ScaledPrice1,2),(VLOOKUP(A94,ScaledPrice1,2))*(2-(VLOOKUP(A94,ScaledPrice1,3))))))</f>
        <v> </v>
      </c>
      <c r="E94" s="317" t="str">
        <f aca="false">IF($A94="N/A"," ",IF(AND(Dayrun1&gt;=4,Dayrun1&lt;=9),0,VLOOKUP($A94,ScaledPrice1,9)))</f>
        <v> </v>
      </c>
      <c r="F94" s="317" t="str">
        <f aca="false">IF(A94="N/A"," ",IF(OR(Dayrun1=2,Dayrun1=3,Dayrun1=5,Dayrun1=6,Dayrun1=8,Dayrun1=9),VLOOKUP(A94,ScaledPrice1,IF(Scaler1=1,6,5)),0))</f>
        <v> </v>
      </c>
      <c r="G94" s="317" t="str">
        <f aca="false">IF(A94="N/A"," ",IF(OR(Dayrun1=2,Dayrun1=3,Dayrun1=5,Dayrun1=6),IF(Scaler1=2,F94,(VLOOKUP(A94,ScaledPrice1,5))*(2-(VLOOKUP(A94,ScaledPrice1,3)))),0))</f>
        <v> </v>
      </c>
      <c r="H94" s="317" t="str">
        <f aca="false">IF($A94="N/A"," ",IF(OR(Dayrun1=2,Dayrun1=3,Dayrun1=10),VLOOKUP($A94,ScaledPrice1,9),0))</f>
        <v> </v>
      </c>
      <c r="I94" s="317" t="str">
        <f aca="false">IF(A94="N/A"," ",IF(OR(Dayrun1=3,Dayrun1=6,Dayrun1=9),(VLOOKUP(A94,ScaledPrice1,IF(Scaler1=2,7,8))),0))</f>
        <v> </v>
      </c>
      <c r="J94" s="317" t="str">
        <f aca="false">IF(A94="N/A"," ",IF(OR(Dayrun1=3,Dayrun1=6),IF(Scaler1=2,I94,(VLOOKUP(A94,ScaledPrice1,7))*(2-(VLOOKUP(A94,ScaledPrice1,3)))),0))</f>
        <v> </v>
      </c>
      <c r="K94" s="317" t="str">
        <f aca="false">IF($A94="N/A"," ",IF(OR(Dayrun1=3,Dayrun1=10),VLOOKUP($A94,ScaledPrice1,9),0))</f>
        <v> </v>
      </c>
      <c r="L94" s="318" t="str">
        <f aca="false">IF($A94="N/A"," ",IF(Pricetype1=2,MAX(C94,0),IF(OR(Pricetype1=1,Pricetype1=4),IF(C94=0,0,(EURO(C94,Strikeprice1,0,0,($AH94+IF(Smile=TRUE(),VLOOKUP(MAX(-5,Strikeprice1-C94),Volsmile,2),0)),($A94-DateToday)+15,IF(Pricetype1=1,1,0),0))),C94)))</f>
        <v> </v>
      </c>
      <c r="M94" s="318" t="str">
        <f aca="false">IF($A94="N/A"," ",IF(Pricetype1=2,MAX(D94,0),IF(OR(Pricetype1=1,Pricetype1=4),IF(D94=0,0,(EURO(D94,Strikeprice1,0,0,($AH94+IF(Smile=TRUE(),VLOOKUP(MAX(-5,Strikeprice1-D94),Volsmile,2),0)),($A94-DateToday)+15,IF(Pricetype1=1,1,0),0))),D94)))</f>
        <v> </v>
      </c>
      <c r="N94" s="318" t="str">
        <f aca="false">IF($A94="N/A"," ",IF(Pricetype1=2,MAX(E94,0),IF(OR(Pricetype1=1,Pricetype1=4),IF(E94=0,0,(EURO(E94,Strikeprice1,0,0,($AK94+IF(Smile=TRUE(),VLOOKUP(MAX(-5,Strikeprice1-E94),Volsmile,2),0)),($A94-DateToday)+15,IF(Pricetype1=1,1,0),0))),E94)))</f>
        <v> </v>
      </c>
      <c r="O94" s="318" t="str">
        <f aca="false">IF($A94="N/A"," ",IF(Pricetype1=2,MAX(F94,0),IF(OR(Pricetype1=1,Pricetype1=4),IF(F94=0,0,(EURO(F94,Strikeprice1,0,0,($AK94+IF(Smile=TRUE(),VLOOKUP(MAX(-5,Strikeprice1-F94),Volsmile,2),0)),($A94-DateToday)+15,IF(Pricetype1=1,1,0),0))),F94)))</f>
        <v> </v>
      </c>
      <c r="P94" s="318" t="str">
        <f aca="false">IF($A94="N/A"," ",IF(Pricetype1=2,MAX(G94,0),IF(OR(Pricetype1=1,Pricetype1=4),IF(G94=0,0,(EURO(G94,Strikeprice1,0,0,($AK94+IF(Smile=TRUE(),VLOOKUP(MAX(-5,Strikeprice1-G94),Volsmile,2),0)),($A94-DateToday)+15,IF(Pricetype1=1,1,0),0))),G94)))</f>
        <v> </v>
      </c>
      <c r="Q94" s="318" t="str">
        <f aca="false">IF($A94="N/A"," ",IF(Pricetype1=2,MAX(H94,0),IF(OR(Pricetype1=1,Pricetype1=4),IF(H94=0,0,(EURO(H94,Strikeprice1,0,0,($AK94+IF(Smile=TRUE(),VLOOKUP(MAX(-5,Strikeprice1-H94),Volsmile,2),0)),($A94-DateToday)+15,IF(Pricetype1=1,1,0),0))),H94)))</f>
        <v> </v>
      </c>
      <c r="R94" s="318" t="str">
        <f aca="false">IF($A94="N/A"," ",IF(Pricetype1=2,MAX(I94,0),IF(OR(Pricetype1=1,Pricetype1=4),IF(I94=0,0,(EURO(I94,Strikeprice1,0,0,($AK94+IF(Smile=TRUE(),VLOOKUP(MAX(-5,Strikeprice1-I94),Volsmile,2),0)),($A94-DateToday)+15,IF(Pricetype1=1,1,0),0))),I94)))</f>
        <v> </v>
      </c>
      <c r="S94" s="318" t="str">
        <f aca="false">IF($A94="N/A"," ",IF(Pricetype1=2,MAX(J94,0),IF(OR(Pricetype1=1,Pricetype1=4),IF(J94=0,0,(EURO(J94,Strikeprice1,0,0,($AK94+IF(Smile=TRUE(),VLOOKUP(MAX(-5,Strikeprice1-J94),Volsmile,2),0)),($A94-DateToday)+15,IF(Pricetype1=1,1,0),0))),J94)))</f>
        <v> </v>
      </c>
      <c r="T94" s="318" t="str">
        <f aca="false">IF($A94="N/A"," ",IF(Pricetype1=2,MAX(K94,0),IF(OR(Pricetype1=1,Pricetype1=4),IF(K94=0,0,(EURO(K94,Strikeprice1,0,0,($AK94+IF(Smile=TRUE(),VLOOKUP(MAX(-5,Strikeprice1-K94),Volsmile,2),0)),($A94-DateToday)+15,IF(Pricetype1=1,1,0),0))),K94)))</f>
        <v> </v>
      </c>
      <c r="U94" s="319" t="str">
        <f aca="false">IF($A94="N/A"," ",Volume1*$AM94)</f>
        <v> </v>
      </c>
      <c r="V94" s="320" t="str">
        <f aca="false">IF($A94="N/A"," ",$U94*(8*($BQ94))*L94)</f>
        <v> </v>
      </c>
      <c r="W94" s="320" t="str">
        <f aca="false">IF($A94="N/A"," ",$U94*(8*($BQ94))*M94)</f>
        <v> </v>
      </c>
      <c r="X94" s="320" t="str">
        <f aca="false">IF($A94="N/A"," ",$U94*(8*($BQ94))*N94)</f>
        <v> </v>
      </c>
      <c r="Y94" s="320" t="str">
        <f aca="false">IF($A94="N/A"," ",$U94*(8*($BR94))*O94)</f>
        <v> </v>
      </c>
      <c r="Z94" s="320" t="str">
        <f aca="false">IF($A94="N/A"," ",$U94*(8*($BR94))*P94)</f>
        <v> </v>
      </c>
      <c r="AA94" s="320" t="str">
        <f aca="false">IF($A94="N/A"," ",$U94*(8*($BR94))*Q94)</f>
        <v> </v>
      </c>
      <c r="AB94" s="320" t="str">
        <f aca="false">IF($A94="N/A"," ",$U94*(8*($BS94))*R94)</f>
        <v> </v>
      </c>
      <c r="AC94" s="320" t="str">
        <f aca="false">IF($A94="N/A"," ",$U94*(8*($BS94))*S94)</f>
        <v> </v>
      </c>
      <c r="AD94" s="320" t="str">
        <f aca="false">IF($A94="N/A"," ",$U94*(8*($BS94))*T94)</f>
        <v> </v>
      </c>
      <c r="AE94" s="320" t="str">
        <f aca="false">IF($A94="N/A"," ",SUM(V94:AD94))</f>
        <v> </v>
      </c>
      <c r="AF94" s="321" t="str">
        <f aca="false">IF(A94="N/A"," ",(VLOOKUP(A94,PowerVolTable,(IF(VolBMO1=2,7,IF(VolBMO1=1,6,8))),FALSE())))</f>
        <v> </v>
      </c>
      <c r="AG94" s="321" t="str">
        <f aca="false">IF(A94="N/A"," ",(VLOOKUP(A94,IntraPowerVol,(IF(VolBMO1=2,3,IF(VolBMO1=1,2,4))),FALSE())*VLOOKUP(MONTH($A94),Volscale,2)))</f>
        <v> </v>
      </c>
      <c r="AH94" s="321" t="str">
        <f aca="false">IF($A94="N/A"," ",IF(VolType1=1,AG94,AF94))</f>
        <v> </v>
      </c>
      <c r="AI94" s="321" t="str">
        <f aca="false">IF($A94="N/A"," ",(VLOOKUP($A94,OffPwrVolTable,(IF(VolBMO1=2,7,IF(VolBMO1=1,6,8))),FALSE())))</f>
        <v> </v>
      </c>
      <c r="AJ94" s="321" t="str">
        <f aca="false">IF($A94="N/A"," ",(VLOOKUP($A94,OffPwrVolTable,(IF(VolBMO1=2,3,IF(VolBMO1=1,2,4))),FALSE())*VLOOKUP(MONTH($A94),Volscale,2)))</f>
        <v> </v>
      </c>
      <c r="AK94" s="321" t="str">
        <f aca="false">IF($A94="N/A"," ",IF(VolType1=1,AJ94,AI94))</f>
        <v> </v>
      </c>
      <c r="AL94" s="321" t="str">
        <f aca="false">IF($A94="N/A"," ",IF(PV=1,0,'Pricing Inputs1'!R127))</f>
        <v> </v>
      </c>
      <c r="AM94" s="323" t="str">
        <f aca="false">IF($A94="N/A"," ",(1+AL94/2)^(-2*((EOMONTH(A94,0)+20)-DateToday)/365.25))</f>
        <v> </v>
      </c>
      <c r="BQ94" s="0" t="str">
        <f aca="false">IF($A94="N/A"," ",(VLOOKUP($A94,NumberofDaysTable,2)))</f>
        <v> </v>
      </c>
      <c r="BR94" s="0" t="str">
        <f aca="false">IF($A94="N/A"," ",(VLOOKUP($A94,NumberofDaysTable,3)))</f>
        <v> </v>
      </c>
      <c r="BS94" s="0" t="str">
        <f aca="false">IF($A94="N/A"," ",(VLOOKUP($A94,NumberofDaysTable,4)))</f>
        <v> </v>
      </c>
    </row>
    <row r="95" customFormat="false" ht="12.75" hidden="false" customHeight="false" outlineLevel="0" collapsed="false">
      <c r="A95" s="315" t="str">
        <f aca="false">IF(A94="N/A","N/A",IF(EDATE(A94,1)&gt;Inputs!$M$5,"N/A",EDATE(A94,1)))</f>
        <v>N/A</v>
      </c>
      <c r="B95" s="316" t="str">
        <f aca="false">IF(A95="N/A"," ",YEAR(A95))</f>
        <v> </v>
      </c>
      <c r="C95" s="317" t="str">
        <f aca="false">IF($A95="N/A"," ",IF(Dayrun1=10,0,IF(Scaler1=1,(VLOOKUP(A95,ScaledPrice1,4)),(VLOOKUP(A95,ScaledPrice1,2)))))</f>
        <v> </v>
      </c>
      <c r="D95" s="317" t="str">
        <f aca="false">IF(A95="N/A"," ",IF(Dayrun1&gt;=7,0,IF(Scaler1=2,VLOOKUP(A95,ScaledPrice1,2),(VLOOKUP(A95,ScaledPrice1,2))*(2-(VLOOKUP(A95,ScaledPrice1,3))))))</f>
        <v> </v>
      </c>
      <c r="E95" s="317" t="str">
        <f aca="false">IF($A95="N/A"," ",IF(AND(Dayrun1&gt;=4,Dayrun1&lt;=9),0,VLOOKUP($A95,ScaledPrice1,9)))</f>
        <v> </v>
      </c>
      <c r="F95" s="317" t="str">
        <f aca="false">IF(A95="N/A"," ",IF(OR(Dayrun1=2,Dayrun1=3,Dayrun1=5,Dayrun1=6,Dayrun1=8,Dayrun1=9),VLOOKUP(A95,ScaledPrice1,IF(Scaler1=1,6,5)),0))</f>
        <v> </v>
      </c>
      <c r="G95" s="317" t="str">
        <f aca="false">IF(A95="N/A"," ",IF(OR(Dayrun1=2,Dayrun1=3,Dayrun1=5,Dayrun1=6),IF(Scaler1=2,F95,(VLOOKUP(A95,ScaledPrice1,5))*(2-(VLOOKUP(A95,ScaledPrice1,3)))),0))</f>
        <v> </v>
      </c>
      <c r="H95" s="317" t="str">
        <f aca="false">IF($A95="N/A"," ",IF(OR(Dayrun1=2,Dayrun1=3,Dayrun1=10),VLOOKUP($A95,ScaledPrice1,9),0))</f>
        <v> </v>
      </c>
      <c r="I95" s="317" t="str">
        <f aca="false">IF(A95="N/A"," ",IF(OR(Dayrun1=3,Dayrun1=6,Dayrun1=9),(VLOOKUP(A95,ScaledPrice1,IF(Scaler1=2,7,8))),0))</f>
        <v> </v>
      </c>
      <c r="J95" s="317" t="str">
        <f aca="false">IF(A95="N/A"," ",IF(OR(Dayrun1=3,Dayrun1=6),IF(Scaler1=2,I95,(VLOOKUP(A95,ScaledPrice1,7))*(2-(VLOOKUP(A95,ScaledPrice1,3)))),0))</f>
        <v> </v>
      </c>
      <c r="K95" s="317" t="str">
        <f aca="false">IF($A95="N/A"," ",IF(OR(Dayrun1=3,Dayrun1=10),VLOOKUP($A95,ScaledPrice1,9),0))</f>
        <v> </v>
      </c>
      <c r="L95" s="318" t="str">
        <f aca="false">IF($A95="N/A"," ",IF(Pricetype1=2,MAX(C95,0),IF(OR(Pricetype1=1,Pricetype1=4),IF(C95=0,0,(EURO(C95,Strikeprice1,0,0,($AH95+IF(Smile=TRUE(),VLOOKUP(MAX(-5,Strikeprice1-C95),Volsmile,2),0)),($A95-DateToday)+15,IF(Pricetype1=1,1,0),0))),C95)))</f>
        <v> </v>
      </c>
      <c r="M95" s="318" t="str">
        <f aca="false">IF($A95="N/A"," ",IF(Pricetype1=2,MAX(D95,0),IF(OR(Pricetype1=1,Pricetype1=4),IF(D95=0,0,(EURO(D95,Strikeprice1,0,0,($AH95+IF(Smile=TRUE(),VLOOKUP(MAX(-5,Strikeprice1-D95),Volsmile,2),0)),($A95-DateToday)+15,IF(Pricetype1=1,1,0),0))),D95)))</f>
        <v> </v>
      </c>
      <c r="N95" s="318" t="str">
        <f aca="false">IF($A95="N/A"," ",IF(Pricetype1=2,MAX(E95,0),IF(OR(Pricetype1=1,Pricetype1=4),IF(E95=0,0,(EURO(E95,Strikeprice1,0,0,($AK95+IF(Smile=TRUE(),VLOOKUP(MAX(-5,Strikeprice1-E95),Volsmile,2),0)),($A95-DateToday)+15,IF(Pricetype1=1,1,0),0))),E95)))</f>
        <v> </v>
      </c>
      <c r="O95" s="318" t="str">
        <f aca="false">IF($A95="N/A"," ",IF(Pricetype1=2,MAX(F95,0),IF(OR(Pricetype1=1,Pricetype1=4),IF(F95=0,0,(EURO(F95,Strikeprice1,0,0,($AK95+IF(Smile=TRUE(),VLOOKUP(MAX(-5,Strikeprice1-F95),Volsmile,2),0)),($A95-DateToday)+15,IF(Pricetype1=1,1,0),0))),F95)))</f>
        <v> </v>
      </c>
      <c r="P95" s="318" t="str">
        <f aca="false">IF($A95="N/A"," ",IF(Pricetype1=2,MAX(G95,0),IF(OR(Pricetype1=1,Pricetype1=4),IF(G95=0,0,(EURO(G95,Strikeprice1,0,0,($AK95+IF(Smile=TRUE(),VLOOKUP(MAX(-5,Strikeprice1-G95),Volsmile,2),0)),($A95-DateToday)+15,IF(Pricetype1=1,1,0),0))),G95)))</f>
        <v> </v>
      </c>
      <c r="Q95" s="318" t="str">
        <f aca="false">IF($A95="N/A"," ",IF(Pricetype1=2,MAX(H95,0),IF(OR(Pricetype1=1,Pricetype1=4),IF(H95=0,0,(EURO(H95,Strikeprice1,0,0,($AK95+IF(Smile=TRUE(),VLOOKUP(MAX(-5,Strikeprice1-H95),Volsmile,2),0)),($A95-DateToday)+15,IF(Pricetype1=1,1,0),0))),H95)))</f>
        <v> </v>
      </c>
      <c r="R95" s="318" t="str">
        <f aca="false">IF($A95="N/A"," ",IF(Pricetype1=2,MAX(I95,0),IF(OR(Pricetype1=1,Pricetype1=4),IF(I95=0,0,(EURO(I95,Strikeprice1,0,0,($AK95+IF(Smile=TRUE(),VLOOKUP(MAX(-5,Strikeprice1-I95),Volsmile,2),0)),($A95-DateToday)+15,IF(Pricetype1=1,1,0),0))),I95)))</f>
        <v> </v>
      </c>
      <c r="S95" s="318" t="str">
        <f aca="false">IF($A95="N/A"," ",IF(Pricetype1=2,MAX(J95,0),IF(OR(Pricetype1=1,Pricetype1=4),IF(J95=0,0,(EURO(J95,Strikeprice1,0,0,($AK95+IF(Smile=TRUE(),VLOOKUP(MAX(-5,Strikeprice1-J95),Volsmile,2),0)),($A95-DateToday)+15,IF(Pricetype1=1,1,0),0))),J95)))</f>
        <v> </v>
      </c>
      <c r="T95" s="318" t="str">
        <f aca="false">IF($A95="N/A"," ",IF(Pricetype1=2,MAX(K95,0),IF(OR(Pricetype1=1,Pricetype1=4),IF(K95=0,0,(EURO(K95,Strikeprice1,0,0,($AK95+IF(Smile=TRUE(),VLOOKUP(MAX(-5,Strikeprice1-K95),Volsmile,2),0)),($A95-DateToday)+15,IF(Pricetype1=1,1,0),0))),K95)))</f>
        <v> </v>
      </c>
      <c r="U95" s="319" t="str">
        <f aca="false">IF($A95="N/A"," ",Volume1*$AM95)</f>
        <v> </v>
      </c>
      <c r="V95" s="320" t="str">
        <f aca="false">IF($A95="N/A"," ",$U95*(8*($BQ95))*L95)</f>
        <v> </v>
      </c>
      <c r="W95" s="320" t="str">
        <f aca="false">IF($A95="N/A"," ",$U95*(8*($BQ95))*M95)</f>
        <v> </v>
      </c>
      <c r="X95" s="320" t="str">
        <f aca="false">IF($A95="N/A"," ",$U95*(8*($BQ95))*N95)</f>
        <v> </v>
      </c>
      <c r="Y95" s="320" t="str">
        <f aca="false">IF($A95="N/A"," ",$U95*(8*($BR95))*O95)</f>
        <v> </v>
      </c>
      <c r="Z95" s="320" t="str">
        <f aca="false">IF($A95="N/A"," ",$U95*(8*($BR95))*P95)</f>
        <v> </v>
      </c>
      <c r="AA95" s="320" t="str">
        <f aca="false">IF($A95="N/A"," ",$U95*(8*($BR95))*Q95)</f>
        <v> </v>
      </c>
      <c r="AB95" s="320" t="str">
        <f aca="false">IF($A95="N/A"," ",$U95*(8*($BS95))*R95)</f>
        <v> </v>
      </c>
      <c r="AC95" s="320" t="str">
        <f aca="false">IF($A95="N/A"," ",$U95*(8*($BS95))*S95)</f>
        <v> </v>
      </c>
      <c r="AD95" s="320" t="str">
        <f aca="false">IF($A95="N/A"," ",$U95*(8*($BS95))*T95)</f>
        <v> </v>
      </c>
      <c r="AE95" s="320" t="str">
        <f aca="false">IF($A95="N/A"," ",SUM(V95:AD95))</f>
        <v> </v>
      </c>
      <c r="AF95" s="321" t="str">
        <f aca="false">IF(A95="N/A"," ",(VLOOKUP(A95,PowerVolTable,(IF(VolBMO1=2,7,IF(VolBMO1=1,6,8))),FALSE())))</f>
        <v> </v>
      </c>
      <c r="AG95" s="321" t="str">
        <f aca="false">IF(A95="N/A"," ",(VLOOKUP(A95,IntraPowerVol,(IF(VolBMO1=2,3,IF(VolBMO1=1,2,4))),FALSE())*VLOOKUP(MONTH($A95),Volscale,2)))</f>
        <v> </v>
      </c>
      <c r="AH95" s="321" t="str">
        <f aca="false">IF($A95="N/A"," ",IF(VolType1=1,AG95,AF95))</f>
        <v> </v>
      </c>
      <c r="AI95" s="321" t="str">
        <f aca="false">IF($A95="N/A"," ",(VLOOKUP($A95,OffPwrVolTable,(IF(VolBMO1=2,7,IF(VolBMO1=1,6,8))),FALSE())))</f>
        <v> </v>
      </c>
      <c r="AJ95" s="321" t="str">
        <f aca="false">IF($A95="N/A"," ",(VLOOKUP($A95,OffPwrVolTable,(IF(VolBMO1=2,3,IF(VolBMO1=1,2,4))),FALSE())*VLOOKUP(MONTH($A95),Volscale,2)))</f>
        <v> </v>
      </c>
      <c r="AK95" s="321" t="str">
        <f aca="false">IF($A95="N/A"," ",IF(VolType1=1,AJ95,AI95))</f>
        <v> </v>
      </c>
      <c r="AL95" s="321" t="str">
        <f aca="false">IF($A95="N/A"," ",IF(PV=1,0,'Pricing Inputs1'!R128))</f>
        <v> </v>
      </c>
      <c r="AM95" s="323" t="str">
        <f aca="false">IF($A95="N/A"," ",(1+AL95/2)^(-2*((EOMONTH(A95,0)+20)-DateToday)/365.25))</f>
        <v> </v>
      </c>
      <c r="BQ95" s="0" t="str">
        <f aca="false">IF($A95="N/A"," ",(VLOOKUP($A95,NumberofDaysTable,2)))</f>
        <v> </v>
      </c>
      <c r="BR95" s="0" t="str">
        <f aca="false">IF($A95="N/A"," ",(VLOOKUP($A95,NumberofDaysTable,3)))</f>
        <v> </v>
      </c>
      <c r="BS95" s="0" t="str">
        <f aca="false">IF($A95="N/A"," ",(VLOOKUP($A95,NumberofDaysTable,4)))</f>
        <v> </v>
      </c>
    </row>
    <row r="96" customFormat="false" ht="12.75" hidden="false" customHeight="false" outlineLevel="0" collapsed="false">
      <c r="A96" s="315" t="str">
        <f aca="false">IF(A95="N/A","N/A",IF(EDATE(A95,1)&gt;Inputs!$M$5,"N/A",EDATE(A95,1)))</f>
        <v>N/A</v>
      </c>
      <c r="B96" s="316" t="str">
        <f aca="false">IF(A96="N/A"," ",YEAR(A96))</f>
        <v> </v>
      </c>
      <c r="C96" s="317" t="str">
        <f aca="false">IF($A96="N/A"," ",IF(Dayrun1=10,0,IF(Scaler1=1,(VLOOKUP(A96,ScaledPrice1,4)),(VLOOKUP(A96,ScaledPrice1,2)))))</f>
        <v> </v>
      </c>
      <c r="D96" s="317" t="str">
        <f aca="false">IF(A96="N/A"," ",IF(Dayrun1&gt;=7,0,IF(Scaler1=2,VLOOKUP(A96,ScaledPrice1,2),(VLOOKUP(A96,ScaledPrice1,2))*(2-(VLOOKUP(A96,ScaledPrice1,3))))))</f>
        <v> </v>
      </c>
      <c r="E96" s="317" t="str">
        <f aca="false">IF($A96="N/A"," ",IF(AND(Dayrun1&gt;=4,Dayrun1&lt;=9),0,VLOOKUP($A96,ScaledPrice1,9)))</f>
        <v> </v>
      </c>
      <c r="F96" s="317" t="str">
        <f aca="false">IF(A96="N/A"," ",IF(OR(Dayrun1=2,Dayrun1=3,Dayrun1=5,Dayrun1=6,Dayrun1=8,Dayrun1=9),VLOOKUP(A96,ScaledPrice1,IF(Scaler1=1,6,5)),0))</f>
        <v> </v>
      </c>
      <c r="G96" s="317" t="str">
        <f aca="false">IF(A96="N/A"," ",IF(OR(Dayrun1=2,Dayrun1=3,Dayrun1=5,Dayrun1=6),IF(Scaler1=2,F96,(VLOOKUP(A96,ScaledPrice1,5))*(2-(VLOOKUP(A96,ScaledPrice1,3)))),0))</f>
        <v> </v>
      </c>
      <c r="H96" s="317" t="str">
        <f aca="false">IF($A96="N/A"," ",IF(OR(Dayrun1=2,Dayrun1=3,Dayrun1=10),VLOOKUP($A96,ScaledPrice1,9),0))</f>
        <v> </v>
      </c>
      <c r="I96" s="317" t="str">
        <f aca="false">IF(A96="N/A"," ",IF(OR(Dayrun1=3,Dayrun1=6,Dayrun1=9),(VLOOKUP(A96,ScaledPrice1,IF(Scaler1=2,7,8))),0))</f>
        <v> </v>
      </c>
      <c r="J96" s="317" t="str">
        <f aca="false">IF(A96="N/A"," ",IF(OR(Dayrun1=3,Dayrun1=6),IF(Scaler1=2,I96,(VLOOKUP(A96,ScaledPrice1,7))*(2-(VLOOKUP(A96,ScaledPrice1,3)))),0))</f>
        <v> </v>
      </c>
      <c r="K96" s="317" t="str">
        <f aca="false">IF($A96="N/A"," ",IF(OR(Dayrun1=3,Dayrun1=10),VLOOKUP($A96,ScaledPrice1,9),0))</f>
        <v> </v>
      </c>
      <c r="L96" s="318" t="str">
        <f aca="false">IF($A96="N/A"," ",IF(Pricetype1=2,MAX(C96,0),IF(OR(Pricetype1=1,Pricetype1=4),IF(C96=0,0,(EURO(C96,Strikeprice1,0,0,($AH96+IF(Smile=TRUE(),VLOOKUP(MAX(-5,Strikeprice1-C96),Volsmile,2),0)),($A96-DateToday)+15,IF(Pricetype1=1,1,0),0))),C96)))</f>
        <v> </v>
      </c>
      <c r="M96" s="318" t="str">
        <f aca="false">IF($A96="N/A"," ",IF(Pricetype1=2,MAX(D96,0),IF(OR(Pricetype1=1,Pricetype1=4),IF(D96=0,0,(EURO(D96,Strikeprice1,0,0,($AH96+IF(Smile=TRUE(),VLOOKUP(MAX(-5,Strikeprice1-D96),Volsmile,2),0)),($A96-DateToday)+15,IF(Pricetype1=1,1,0),0))),D96)))</f>
        <v> </v>
      </c>
      <c r="N96" s="318" t="str">
        <f aca="false">IF($A96="N/A"," ",IF(Pricetype1=2,MAX(E96,0),IF(OR(Pricetype1=1,Pricetype1=4),IF(E96=0,0,(EURO(E96,Strikeprice1,0,0,($AK96+IF(Smile=TRUE(),VLOOKUP(MAX(-5,Strikeprice1-E96),Volsmile,2),0)),($A96-DateToday)+15,IF(Pricetype1=1,1,0),0))),E96)))</f>
        <v> </v>
      </c>
      <c r="O96" s="318" t="str">
        <f aca="false">IF($A96="N/A"," ",IF(Pricetype1=2,MAX(F96,0),IF(OR(Pricetype1=1,Pricetype1=4),IF(F96=0,0,(EURO(F96,Strikeprice1,0,0,($AK96+IF(Smile=TRUE(),VLOOKUP(MAX(-5,Strikeprice1-F96),Volsmile,2),0)),($A96-DateToday)+15,IF(Pricetype1=1,1,0),0))),F96)))</f>
        <v> </v>
      </c>
      <c r="P96" s="318" t="str">
        <f aca="false">IF($A96="N/A"," ",IF(Pricetype1=2,MAX(G96,0),IF(OR(Pricetype1=1,Pricetype1=4),IF(G96=0,0,(EURO(G96,Strikeprice1,0,0,($AK96+IF(Smile=TRUE(),VLOOKUP(MAX(-5,Strikeprice1-G96),Volsmile,2),0)),($A96-DateToday)+15,IF(Pricetype1=1,1,0),0))),G96)))</f>
        <v> </v>
      </c>
      <c r="Q96" s="318" t="str">
        <f aca="false">IF($A96="N/A"," ",IF(Pricetype1=2,MAX(H96,0),IF(OR(Pricetype1=1,Pricetype1=4),IF(H96=0,0,(EURO(H96,Strikeprice1,0,0,($AK96+IF(Smile=TRUE(),VLOOKUP(MAX(-5,Strikeprice1-H96),Volsmile,2),0)),($A96-DateToday)+15,IF(Pricetype1=1,1,0),0))),H96)))</f>
        <v> </v>
      </c>
      <c r="R96" s="318" t="str">
        <f aca="false">IF($A96="N/A"," ",IF(Pricetype1=2,MAX(I96,0),IF(OR(Pricetype1=1,Pricetype1=4),IF(I96=0,0,(EURO(I96,Strikeprice1,0,0,($AK96+IF(Smile=TRUE(),VLOOKUP(MAX(-5,Strikeprice1-I96),Volsmile,2),0)),($A96-DateToday)+15,IF(Pricetype1=1,1,0),0))),I96)))</f>
        <v> </v>
      </c>
      <c r="S96" s="318" t="str">
        <f aca="false">IF($A96="N/A"," ",IF(Pricetype1=2,MAX(J96,0),IF(OR(Pricetype1=1,Pricetype1=4),IF(J96=0,0,(EURO(J96,Strikeprice1,0,0,($AK96+IF(Smile=TRUE(),VLOOKUP(MAX(-5,Strikeprice1-J96),Volsmile,2),0)),($A96-DateToday)+15,IF(Pricetype1=1,1,0),0))),J96)))</f>
        <v> </v>
      </c>
      <c r="T96" s="318" t="str">
        <f aca="false">IF($A96="N/A"," ",IF(Pricetype1=2,MAX(K96,0),IF(OR(Pricetype1=1,Pricetype1=4),IF(K96=0,0,(EURO(K96,Strikeprice1,0,0,($AK96+IF(Smile=TRUE(),VLOOKUP(MAX(-5,Strikeprice1-K96),Volsmile,2),0)),($A96-DateToday)+15,IF(Pricetype1=1,1,0),0))),K96)))</f>
        <v> </v>
      </c>
      <c r="U96" s="319" t="str">
        <f aca="false">IF($A96="N/A"," ",Volume1*$AM96)</f>
        <v> </v>
      </c>
      <c r="V96" s="320" t="str">
        <f aca="false">IF($A96="N/A"," ",$U96*(8*($BQ96))*L96)</f>
        <v> </v>
      </c>
      <c r="W96" s="320" t="str">
        <f aca="false">IF($A96="N/A"," ",$U96*(8*($BQ96))*M96)</f>
        <v> </v>
      </c>
      <c r="X96" s="320" t="str">
        <f aca="false">IF($A96="N/A"," ",$U96*(8*($BQ96))*N96)</f>
        <v> </v>
      </c>
      <c r="Y96" s="320" t="str">
        <f aca="false">IF($A96="N/A"," ",$U96*(8*($BR96))*O96)</f>
        <v> </v>
      </c>
      <c r="Z96" s="320" t="str">
        <f aca="false">IF($A96="N/A"," ",$U96*(8*($BR96))*P96)</f>
        <v> </v>
      </c>
      <c r="AA96" s="320" t="str">
        <f aca="false">IF($A96="N/A"," ",$U96*(8*($BR96))*Q96)</f>
        <v> </v>
      </c>
      <c r="AB96" s="320" t="str">
        <f aca="false">IF($A96="N/A"," ",$U96*(8*($BS96))*R96)</f>
        <v> </v>
      </c>
      <c r="AC96" s="320" t="str">
        <f aca="false">IF($A96="N/A"," ",$U96*(8*($BS96))*S96)</f>
        <v> </v>
      </c>
      <c r="AD96" s="320" t="str">
        <f aca="false">IF($A96="N/A"," ",$U96*(8*($BS96))*T96)</f>
        <v> </v>
      </c>
      <c r="AE96" s="320" t="str">
        <f aca="false">IF($A96="N/A"," ",SUM(V96:AD96))</f>
        <v> </v>
      </c>
      <c r="AF96" s="321" t="str">
        <f aca="false">IF(A96="N/A"," ",(VLOOKUP(A96,PowerVolTable,(IF(VolBMO1=2,7,IF(VolBMO1=1,6,8))),FALSE())))</f>
        <v> </v>
      </c>
      <c r="AG96" s="321" t="str">
        <f aca="false">IF(A96="N/A"," ",(VLOOKUP(A96,IntraPowerVol,(IF(VolBMO1=2,3,IF(VolBMO1=1,2,4))),FALSE())*VLOOKUP(MONTH($A96),Volscale,2)))</f>
        <v> </v>
      </c>
      <c r="AH96" s="321" t="str">
        <f aca="false">IF($A96="N/A"," ",IF(VolType1=1,AG96,AF96))</f>
        <v> </v>
      </c>
      <c r="AI96" s="321" t="str">
        <f aca="false">IF($A96="N/A"," ",(VLOOKUP($A96,OffPwrVolTable,(IF(VolBMO1=2,7,IF(VolBMO1=1,6,8))),FALSE())))</f>
        <v> </v>
      </c>
      <c r="AJ96" s="321" t="str">
        <f aca="false">IF($A96="N/A"," ",(VLOOKUP($A96,OffPwrVolTable,(IF(VolBMO1=2,3,IF(VolBMO1=1,2,4))),FALSE())*VLOOKUP(MONTH($A96),Volscale,2)))</f>
        <v> </v>
      </c>
      <c r="AK96" s="321" t="str">
        <f aca="false">IF($A96="N/A"," ",IF(VolType1=1,AJ96,AI96))</f>
        <v> </v>
      </c>
      <c r="AL96" s="321" t="str">
        <f aca="false">IF($A96="N/A"," ",IF(PV=1,0,'Pricing Inputs1'!R129))</f>
        <v> </v>
      </c>
      <c r="AM96" s="323" t="str">
        <f aca="false">IF($A96="N/A"," ",(1+AL96/2)^(-2*((EOMONTH(A96,0)+20)-DateToday)/365.25))</f>
        <v> </v>
      </c>
      <c r="BQ96" s="0" t="str">
        <f aca="false">IF($A96="N/A"," ",(VLOOKUP($A96,NumberofDaysTable,2)))</f>
        <v> </v>
      </c>
      <c r="BR96" s="0" t="str">
        <f aca="false">IF($A96="N/A"," ",(VLOOKUP($A96,NumberofDaysTable,3)))</f>
        <v> </v>
      </c>
      <c r="BS96" s="0" t="str">
        <f aca="false">IF($A96="N/A"," ",(VLOOKUP($A96,NumberofDaysTable,4)))</f>
        <v> </v>
      </c>
    </row>
    <row r="97" customFormat="false" ht="12.75" hidden="false" customHeight="false" outlineLevel="0" collapsed="false">
      <c r="A97" s="315" t="str">
        <f aca="false">IF(A96="N/A","N/A",IF(EDATE(A96,1)&gt;Inputs!$M$5,"N/A",EDATE(A96,1)))</f>
        <v>N/A</v>
      </c>
      <c r="B97" s="316" t="str">
        <f aca="false">IF(A97="N/A"," ",YEAR(A97))</f>
        <v> </v>
      </c>
      <c r="C97" s="317" t="str">
        <f aca="false">IF($A97="N/A"," ",IF(Dayrun1=10,0,IF(Scaler1=1,(VLOOKUP(A97,ScaledPrice1,4)),(VLOOKUP(A97,ScaledPrice1,2)))))</f>
        <v> </v>
      </c>
      <c r="D97" s="317" t="str">
        <f aca="false">IF(A97="N/A"," ",IF(Dayrun1&gt;=7,0,IF(Scaler1=2,VLOOKUP(A97,ScaledPrice1,2),(VLOOKUP(A97,ScaledPrice1,2))*(2-(VLOOKUP(A97,ScaledPrice1,3))))))</f>
        <v> </v>
      </c>
      <c r="E97" s="317" t="str">
        <f aca="false">IF($A97="N/A"," ",IF(AND(Dayrun1&gt;=4,Dayrun1&lt;=9),0,VLOOKUP($A97,ScaledPrice1,9)))</f>
        <v> </v>
      </c>
      <c r="F97" s="317" t="str">
        <f aca="false">IF(A97="N/A"," ",IF(OR(Dayrun1=2,Dayrun1=3,Dayrun1=5,Dayrun1=6,Dayrun1=8,Dayrun1=9),VLOOKUP(A97,ScaledPrice1,IF(Scaler1=1,6,5)),0))</f>
        <v> </v>
      </c>
      <c r="G97" s="317" t="str">
        <f aca="false">IF(A97="N/A"," ",IF(OR(Dayrun1=2,Dayrun1=3,Dayrun1=5,Dayrun1=6),IF(Scaler1=2,F97,(VLOOKUP(A97,ScaledPrice1,5))*(2-(VLOOKUP(A97,ScaledPrice1,3)))),0))</f>
        <v> </v>
      </c>
      <c r="H97" s="317" t="str">
        <f aca="false">IF($A97="N/A"," ",IF(OR(Dayrun1=2,Dayrun1=3,Dayrun1=10),VLOOKUP($A97,ScaledPrice1,9),0))</f>
        <v> </v>
      </c>
      <c r="I97" s="317" t="str">
        <f aca="false">IF(A97="N/A"," ",IF(OR(Dayrun1=3,Dayrun1=6,Dayrun1=9),(VLOOKUP(A97,ScaledPrice1,IF(Scaler1=2,7,8))),0))</f>
        <v> </v>
      </c>
      <c r="J97" s="317" t="str">
        <f aca="false">IF(A97="N/A"," ",IF(OR(Dayrun1=3,Dayrun1=6),IF(Scaler1=2,I97,(VLOOKUP(A97,ScaledPrice1,7))*(2-(VLOOKUP(A97,ScaledPrice1,3)))),0))</f>
        <v> </v>
      </c>
      <c r="K97" s="317" t="str">
        <f aca="false">IF($A97="N/A"," ",IF(OR(Dayrun1=3,Dayrun1=10),VLOOKUP($A97,ScaledPrice1,9),0))</f>
        <v> </v>
      </c>
      <c r="L97" s="318" t="str">
        <f aca="false">IF($A97="N/A"," ",IF(Pricetype1=2,MAX(C97,0),IF(OR(Pricetype1=1,Pricetype1=4),IF(C97=0,0,(EURO(C97,Strikeprice1,0,0,($AH97+IF(Smile=TRUE(),VLOOKUP(MAX(-5,Strikeprice1-C97),Volsmile,2),0)),($A97-DateToday)+15,IF(Pricetype1=1,1,0),0))),C97)))</f>
        <v> </v>
      </c>
      <c r="M97" s="318" t="str">
        <f aca="false">IF($A97="N/A"," ",IF(Pricetype1=2,MAX(D97,0),IF(OR(Pricetype1=1,Pricetype1=4),IF(D97=0,0,(EURO(D97,Strikeprice1,0,0,($AH97+IF(Smile=TRUE(),VLOOKUP(MAX(-5,Strikeprice1-D97),Volsmile,2),0)),($A97-DateToday)+15,IF(Pricetype1=1,1,0),0))),D97)))</f>
        <v> </v>
      </c>
      <c r="N97" s="318" t="str">
        <f aca="false">IF($A97="N/A"," ",IF(Pricetype1=2,MAX(E97,0),IF(OR(Pricetype1=1,Pricetype1=4),IF(E97=0,0,(EURO(E97,Strikeprice1,0,0,($AK97+IF(Smile=TRUE(),VLOOKUP(MAX(-5,Strikeprice1-E97),Volsmile,2),0)),($A97-DateToday)+15,IF(Pricetype1=1,1,0),0))),E97)))</f>
        <v> </v>
      </c>
      <c r="O97" s="318" t="str">
        <f aca="false">IF($A97="N/A"," ",IF(Pricetype1=2,MAX(F97,0),IF(OR(Pricetype1=1,Pricetype1=4),IF(F97=0,0,(EURO(F97,Strikeprice1,0,0,($AK97+IF(Smile=TRUE(),VLOOKUP(MAX(-5,Strikeprice1-F97),Volsmile,2),0)),($A97-DateToday)+15,IF(Pricetype1=1,1,0),0))),F97)))</f>
        <v> </v>
      </c>
      <c r="P97" s="318" t="str">
        <f aca="false">IF($A97="N/A"," ",IF(Pricetype1=2,MAX(G97,0),IF(OR(Pricetype1=1,Pricetype1=4),IF(G97=0,0,(EURO(G97,Strikeprice1,0,0,($AK97+IF(Smile=TRUE(),VLOOKUP(MAX(-5,Strikeprice1-G97),Volsmile,2),0)),($A97-DateToday)+15,IF(Pricetype1=1,1,0),0))),G97)))</f>
        <v> </v>
      </c>
      <c r="Q97" s="318" t="str">
        <f aca="false">IF($A97="N/A"," ",IF(Pricetype1=2,MAX(H97,0),IF(OR(Pricetype1=1,Pricetype1=4),IF(H97=0,0,(EURO(H97,Strikeprice1,0,0,($AK97+IF(Smile=TRUE(),VLOOKUP(MAX(-5,Strikeprice1-H97),Volsmile,2),0)),($A97-DateToday)+15,IF(Pricetype1=1,1,0),0))),H97)))</f>
        <v> </v>
      </c>
      <c r="R97" s="318" t="str">
        <f aca="false">IF($A97="N/A"," ",IF(Pricetype1=2,MAX(I97,0),IF(OR(Pricetype1=1,Pricetype1=4),IF(I97=0,0,(EURO(I97,Strikeprice1,0,0,($AK97+IF(Smile=TRUE(),VLOOKUP(MAX(-5,Strikeprice1-I97),Volsmile,2),0)),($A97-DateToday)+15,IF(Pricetype1=1,1,0),0))),I97)))</f>
        <v> </v>
      </c>
      <c r="S97" s="318" t="str">
        <f aca="false">IF($A97="N/A"," ",IF(Pricetype1=2,MAX(J97,0),IF(OR(Pricetype1=1,Pricetype1=4),IF(J97=0,0,(EURO(J97,Strikeprice1,0,0,($AK97+IF(Smile=TRUE(),VLOOKUP(MAX(-5,Strikeprice1-J97),Volsmile,2),0)),($A97-DateToday)+15,IF(Pricetype1=1,1,0),0))),J97)))</f>
        <v> </v>
      </c>
      <c r="T97" s="318" t="str">
        <f aca="false">IF($A97="N/A"," ",IF(Pricetype1=2,MAX(K97,0),IF(OR(Pricetype1=1,Pricetype1=4),IF(K97=0,0,(EURO(K97,Strikeprice1,0,0,($AK97+IF(Smile=TRUE(),VLOOKUP(MAX(-5,Strikeprice1-K97),Volsmile,2),0)),($A97-DateToday)+15,IF(Pricetype1=1,1,0),0))),K97)))</f>
        <v> </v>
      </c>
      <c r="U97" s="319" t="str">
        <f aca="false">IF($A97="N/A"," ",Volume1*$AM97)</f>
        <v> </v>
      </c>
      <c r="V97" s="320" t="str">
        <f aca="false">IF($A97="N/A"," ",$U97*(8*($BQ97))*L97)</f>
        <v> </v>
      </c>
      <c r="W97" s="320" t="str">
        <f aca="false">IF($A97="N/A"," ",$U97*(8*($BQ97))*M97)</f>
        <v> </v>
      </c>
      <c r="X97" s="320" t="str">
        <f aca="false">IF($A97="N/A"," ",$U97*(8*($BQ97))*N97)</f>
        <v> </v>
      </c>
      <c r="Y97" s="320" t="str">
        <f aca="false">IF($A97="N/A"," ",$U97*(8*($BR97))*O97)</f>
        <v> </v>
      </c>
      <c r="Z97" s="320" t="str">
        <f aca="false">IF($A97="N/A"," ",$U97*(8*($BR97))*P97)</f>
        <v> </v>
      </c>
      <c r="AA97" s="320" t="str">
        <f aca="false">IF($A97="N/A"," ",$U97*(8*($BR97))*Q97)</f>
        <v> </v>
      </c>
      <c r="AB97" s="320" t="str">
        <f aca="false">IF($A97="N/A"," ",$U97*(8*($BS97))*R97)</f>
        <v> </v>
      </c>
      <c r="AC97" s="320" t="str">
        <f aca="false">IF($A97="N/A"," ",$U97*(8*($BS97))*S97)</f>
        <v> </v>
      </c>
      <c r="AD97" s="320" t="str">
        <f aca="false">IF($A97="N/A"," ",$U97*(8*($BS97))*T97)</f>
        <v> </v>
      </c>
      <c r="AE97" s="320" t="str">
        <f aca="false">IF($A97="N/A"," ",SUM(V97:AD97))</f>
        <v> </v>
      </c>
      <c r="AF97" s="321" t="str">
        <f aca="false">IF(A97="N/A"," ",(VLOOKUP(A97,PowerVolTable,(IF(VolBMO1=2,7,IF(VolBMO1=1,6,8))),FALSE())))</f>
        <v> </v>
      </c>
      <c r="AG97" s="321" t="str">
        <f aca="false">IF(A97="N/A"," ",(VLOOKUP(A97,IntraPowerVol,(IF(VolBMO1=2,3,IF(VolBMO1=1,2,4))),FALSE())*VLOOKUP(MONTH($A97),Volscale,2)))</f>
        <v> </v>
      </c>
      <c r="AH97" s="321" t="str">
        <f aca="false">IF($A97="N/A"," ",IF(VolType1=1,AG97,AF97))</f>
        <v> </v>
      </c>
      <c r="AI97" s="321" t="str">
        <f aca="false">IF($A97="N/A"," ",(VLOOKUP($A97,OffPwrVolTable,(IF(VolBMO1=2,7,IF(VolBMO1=1,6,8))),FALSE())))</f>
        <v> </v>
      </c>
      <c r="AJ97" s="321" t="str">
        <f aca="false">IF($A97="N/A"," ",(VLOOKUP($A97,OffPwrVolTable,(IF(VolBMO1=2,3,IF(VolBMO1=1,2,4))),FALSE())*VLOOKUP(MONTH($A97),Volscale,2)))</f>
        <v> </v>
      </c>
      <c r="AK97" s="321" t="str">
        <f aca="false">IF($A97="N/A"," ",IF(VolType1=1,AJ97,AI97))</f>
        <v> </v>
      </c>
      <c r="AL97" s="321" t="str">
        <f aca="false">IF($A97="N/A"," ",IF(PV=1,0,'Pricing Inputs1'!R130))</f>
        <v> </v>
      </c>
      <c r="AM97" s="323" t="str">
        <f aca="false">IF($A97="N/A"," ",(1+AL97/2)^(-2*((EOMONTH(A97,0)+20)-DateToday)/365.25))</f>
        <v> </v>
      </c>
      <c r="BQ97" s="0" t="str">
        <f aca="false">IF($A97="N/A"," ",(VLOOKUP($A97,NumberofDaysTable,2)))</f>
        <v> </v>
      </c>
      <c r="BR97" s="0" t="str">
        <f aca="false">IF($A97="N/A"," ",(VLOOKUP($A97,NumberofDaysTable,3)))</f>
        <v> </v>
      </c>
      <c r="BS97" s="0" t="str">
        <f aca="false">IF($A97="N/A"," ",(VLOOKUP($A97,NumberofDaysTable,4)))</f>
        <v> </v>
      </c>
    </row>
    <row r="98" customFormat="false" ht="12.75" hidden="false" customHeight="false" outlineLevel="0" collapsed="false">
      <c r="A98" s="315" t="str">
        <f aca="false">IF(A97="N/A","N/A",IF(EDATE(A97,1)&gt;Inputs!$M$5,"N/A",EDATE(A97,1)))</f>
        <v>N/A</v>
      </c>
      <c r="B98" s="316" t="str">
        <f aca="false">IF(A98="N/A"," ",YEAR(A98))</f>
        <v> </v>
      </c>
      <c r="C98" s="317" t="str">
        <f aca="false">IF($A98="N/A"," ",IF(Dayrun1=10,0,IF(Scaler1=1,(VLOOKUP(A98,ScaledPrice1,4)),(VLOOKUP(A98,ScaledPrice1,2)))))</f>
        <v> </v>
      </c>
      <c r="D98" s="317" t="str">
        <f aca="false">IF(A98="N/A"," ",IF(Dayrun1&gt;=7,0,IF(Scaler1=2,VLOOKUP(A98,ScaledPrice1,2),(VLOOKUP(A98,ScaledPrice1,2))*(2-(VLOOKUP(A98,ScaledPrice1,3))))))</f>
        <v> </v>
      </c>
      <c r="E98" s="317" t="str">
        <f aca="false">IF($A98="N/A"," ",IF(AND(Dayrun1&gt;=4,Dayrun1&lt;=9),0,VLOOKUP($A98,ScaledPrice1,9)))</f>
        <v> </v>
      </c>
      <c r="F98" s="317" t="str">
        <f aca="false">IF(A98="N/A"," ",IF(OR(Dayrun1=2,Dayrun1=3,Dayrun1=5,Dayrun1=6,Dayrun1=8,Dayrun1=9),VLOOKUP(A98,ScaledPrice1,IF(Scaler1=1,6,5)),0))</f>
        <v> </v>
      </c>
      <c r="G98" s="317" t="str">
        <f aca="false">IF(A98="N/A"," ",IF(OR(Dayrun1=2,Dayrun1=3,Dayrun1=5,Dayrun1=6),IF(Scaler1=2,F98,(VLOOKUP(A98,ScaledPrice1,5))*(2-(VLOOKUP(A98,ScaledPrice1,3)))),0))</f>
        <v> </v>
      </c>
      <c r="H98" s="317" t="str">
        <f aca="false">IF($A98="N/A"," ",IF(OR(Dayrun1=2,Dayrun1=3,Dayrun1=10),VLOOKUP($A98,ScaledPrice1,9),0))</f>
        <v> </v>
      </c>
      <c r="I98" s="317" t="str">
        <f aca="false">IF(A98="N/A"," ",IF(OR(Dayrun1=3,Dayrun1=6,Dayrun1=9),(VLOOKUP(A98,ScaledPrice1,IF(Scaler1=2,7,8))),0))</f>
        <v> </v>
      </c>
      <c r="J98" s="317" t="str">
        <f aca="false">IF(A98="N/A"," ",IF(OR(Dayrun1=3,Dayrun1=6),IF(Scaler1=2,I98,(VLOOKUP(A98,ScaledPrice1,7))*(2-(VLOOKUP(A98,ScaledPrice1,3)))),0))</f>
        <v> </v>
      </c>
      <c r="K98" s="317" t="str">
        <f aca="false">IF($A98="N/A"," ",IF(OR(Dayrun1=3,Dayrun1=10),VLOOKUP($A98,ScaledPrice1,9),0))</f>
        <v> </v>
      </c>
      <c r="L98" s="318" t="str">
        <f aca="false">IF($A98="N/A"," ",IF(Pricetype1=2,MAX(C98,0),IF(OR(Pricetype1=1,Pricetype1=4),IF(C98=0,0,(EURO(C98,Strikeprice1,0,0,($AH98+IF(Smile=TRUE(),VLOOKUP(MAX(-5,Strikeprice1-C98),Volsmile,2),0)),($A98-DateToday)+15,IF(Pricetype1=1,1,0),0))),C98)))</f>
        <v> </v>
      </c>
      <c r="M98" s="318" t="str">
        <f aca="false">IF($A98="N/A"," ",IF(Pricetype1=2,MAX(D98,0),IF(OR(Pricetype1=1,Pricetype1=4),IF(D98=0,0,(EURO(D98,Strikeprice1,0,0,($AH98+IF(Smile=TRUE(),VLOOKUP(MAX(-5,Strikeprice1-D98),Volsmile,2),0)),($A98-DateToday)+15,IF(Pricetype1=1,1,0),0))),D98)))</f>
        <v> </v>
      </c>
      <c r="N98" s="318" t="str">
        <f aca="false">IF($A98="N/A"," ",IF(Pricetype1=2,MAX(E98,0),IF(OR(Pricetype1=1,Pricetype1=4),IF(E98=0,0,(EURO(E98,Strikeprice1,0,0,($AK98+IF(Smile=TRUE(),VLOOKUP(MAX(-5,Strikeprice1-E98),Volsmile,2),0)),($A98-DateToday)+15,IF(Pricetype1=1,1,0),0))),E98)))</f>
        <v> </v>
      </c>
      <c r="O98" s="318" t="str">
        <f aca="false">IF($A98="N/A"," ",IF(Pricetype1=2,MAX(F98,0),IF(OR(Pricetype1=1,Pricetype1=4),IF(F98=0,0,(EURO(F98,Strikeprice1,0,0,($AK98+IF(Smile=TRUE(),VLOOKUP(MAX(-5,Strikeprice1-F98),Volsmile,2),0)),($A98-DateToday)+15,IF(Pricetype1=1,1,0),0))),F98)))</f>
        <v> </v>
      </c>
      <c r="P98" s="318" t="str">
        <f aca="false">IF($A98="N/A"," ",IF(Pricetype1=2,MAX(G98,0),IF(OR(Pricetype1=1,Pricetype1=4),IF(G98=0,0,(EURO(G98,Strikeprice1,0,0,($AK98+IF(Smile=TRUE(),VLOOKUP(MAX(-5,Strikeprice1-G98),Volsmile,2),0)),($A98-DateToday)+15,IF(Pricetype1=1,1,0),0))),G98)))</f>
        <v> </v>
      </c>
      <c r="Q98" s="318" t="str">
        <f aca="false">IF($A98="N/A"," ",IF(Pricetype1=2,MAX(H98,0),IF(OR(Pricetype1=1,Pricetype1=4),IF(H98=0,0,(EURO(H98,Strikeprice1,0,0,($AK98+IF(Smile=TRUE(),VLOOKUP(MAX(-5,Strikeprice1-H98),Volsmile,2),0)),($A98-DateToday)+15,IF(Pricetype1=1,1,0),0))),H98)))</f>
        <v> </v>
      </c>
      <c r="R98" s="318" t="str">
        <f aca="false">IF($A98="N/A"," ",IF(Pricetype1=2,MAX(I98,0),IF(OR(Pricetype1=1,Pricetype1=4),IF(I98=0,0,(EURO(I98,Strikeprice1,0,0,($AK98+IF(Smile=TRUE(),VLOOKUP(MAX(-5,Strikeprice1-I98),Volsmile,2),0)),($A98-DateToday)+15,IF(Pricetype1=1,1,0),0))),I98)))</f>
        <v> </v>
      </c>
      <c r="S98" s="318" t="str">
        <f aca="false">IF($A98="N/A"," ",IF(Pricetype1=2,MAX(J98,0),IF(OR(Pricetype1=1,Pricetype1=4),IF(J98=0,0,(EURO(J98,Strikeprice1,0,0,($AK98+IF(Smile=TRUE(),VLOOKUP(MAX(-5,Strikeprice1-J98),Volsmile,2),0)),($A98-DateToday)+15,IF(Pricetype1=1,1,0),0))),J98)))</f>
        <v> </v>
      </c>
      <c r="T98" s="318" t="str">
        <f aca="false">IF($A98="N/A"," ",IF(Pricetype1=2,MAX(K98,0),IF(OR(Pricetype1=1,Pricetype1=4),IF(K98=0,0,(EURO(K98,Strikeprice1,0,0,($AK98+IF(Smile=TRUE(),VLOOKUP(MAX(-5,Strikeprice1-K98),Volsmile,2),0)),($A98-DateToday)+15,IF(Pricetype1=1,1,0),0))),K98)))</f>
        <v> </v>
      </c>
      <c r="U98" s="319" t="str">
        <f aca="false">IF($A98="N/A"," ",Volume1*$AM98)</f>
        <v> </v>
      </c>
      <c r="V98" s="320" t="str">
        <f aca="false">IF($A98="N/A"," ",$U98*(8*($BQ98))*L98)</f>
        <v> </v>
      </c>
      <c r="W98" s="320" t="str">
        <f aca="false">IF($A98="N/A"," ",$U98*(8*($BQ98))*M98)</f>
        <v> </v>
      </c>
      <c r="X98" s="320" t="str">
        <f aca="false">IF($A98="N/A"," ",$U98*(8*($BQ98))*N98)</f>
        <v> </v>
      </c>
      <c r="Y98" s="320" t="str">
        <f aca="false">IF($A98="N/A"," ",$U98*(8*($BR98))*O98)</f>
        <v> </v>
      </c>
      <c r="Z98" s="320" t="str">
        <f aca="false">IF($A98="N/A"," ",$U98*(8*($BR98))*P98)</f>
        <v> </v>
      </c>
      <c r="AA98" s="320" t="str">
        <f aca="false">IF($A98="N/A"," ",$U98*(8*($BR98))*Q98)</f>
        <v> </v>
      </c>
      <c r="AB98" s="320" t="str">
        <f aca="false">IF($A98="N/A"," ",$U98*(8*($BS98))*R98)</f>
        <v> </v>
      </c>
      <c r="AC98" s="320" t="str">
        <f aca="false">IF($A98="N/A"," ",$U98*(8*($BS98))*S98)</f>
        <v> </v>
      </c>
      <c r="AD98" s="320" t="str">
        <f aca="false">IF($A98="N/A"," ",$U98*(8*($BS98))*T98)</f>
        <v> </v>
      </c>
      <c r="AE98" s="320" t="str">
        <f aca="false">IF($A98="N/A"," ",SUM(V98:AD98))</f>
        <v> </v>
      </c>
      <c r="AF98" s="321" t="str">
        <f aca="false">IF(A98="N/A"," ",(VLOOKUP(A98,PowerVolTable,(IF(VolBMO1=2,7,IF(VolBMO1=1,6,8))),FALSE())))</f>
        <v> </v>
      </c>
      <c r="AG98" s="321" t="str">
        <f aca="false">IF(A98="N/A"," ",(VLOOKUP(A98,IntraPowerVol,(IF(VolBMO1=2,3,IF(VolBMO1=1,2,4))),FALSE())*VLOOKUP(MONTH($A98),Volscale,2)))</f>
        <v> </v>
      </c>
      <c r="AH98" s="321" t="str">
        <f aca="false">IF($A98="N/A"," ",IF(VolType1=1,AG98,AF98))</f>
        <v> </v>
      </c>
      <c r="AI98" s="321" t="str">
        <f aca="false">IF($A98="N/A"," ",(VLOOKUP($A98,OffPwrVolTable,(IF(VolBMO1=2,7,IF(VolBMO1=1,6,8))),FALSE())))</f>
        <v> </v>
      </c>
      <c r="AJ98" s="321" t="str">
        <f aca="false">IF($A98="N/A"," ",(VLOOKUP($A98,OffPwrVolTable,(IF(VolBMO1=2,3,IF(VolBMO1=1,2,4))),FALSE())*VLOOKUP(MONTH($A98),Volscale,2)))</f>
        <v> </v>
      </c>
      <c r="AK98" s="321" t="str">
        <f aca="false">IF($A98="N/A"," ",IF(VolType1=1,AJ98,AI98))</f>
        <v> </v>
      </c>
      <c r="AL98" s="321" t="str">
        <f aca="false">IF($A98="N/A"," ",IF(PV=1,0,'Pricing Inputs1'!R131))</f>
        <v> </v>
      </c>
      <c r="AM98" s="323" t="str">
        <f aca="false">IF($A98="N/A"," ",(1+AL98/2)^(-2*((EOMONTH(A98,0)+20)-DateToday)/365.25))</f>
        <v> </v>
      </c>
      <c r="BQ98" s="0" t="str">
        <f aca="false">IF($A98="N/A"," ",(VLOOKUP($A98,NumberofDaysTable,2)))</f>
        <v> </v>
      </c>
      <c r="BR98" s="0" t="str">
        <f aca="false">IF($A98="N/A"," ",(VLOOKUP($A98,NumberofDaysTable,3)))</f>
        <v> </v>
      </c>
      <c r="BS98" s="0" t="str">
        <f aca="false">IF($A98="N/A"," ",(VLOOKUP($A98,NumberofDaysTable,4)))</f>
        <v> </v>
      </c>
    </row>
    <row r="99" customFormat="false" ht="12.75" hidden="false" customHeight="false" outlineLevel="0" collapsed="false">
      <c r="A99" s="315" t="str">
        <f aca="false">IF(A98="N/A","N/A",IF(EDATE(A98,1)&gt;Inputs!$M$5,"N/A",EDATE(A98,1)))</f>
        <v>N/A</v>
      </c>
      <c r="B99" s="316" t="str">
        <f aca="false">IF(A99="N/A"," ",YEAR(A99))</f>
        <v> </v>
      </c>
      <c r="C99" s="317" t="str">
        <f aca="false">IF($A99="N/A"," ",IF(Dayrun1=10,0,IF(Scaler1=1,(VLOOKUP(A99,ScaledPrice1,4)),(VLOOKUP(A99,ScaledPrice1,2)))))</f>
        <v> </v>
      </c>
      <c r="D99" s="317" t="str">
        <f aca="false">IF(A99="N/A"," ",IF(Dayrun1&gt;=7,0,IF(Scaler1=2,VLOOKUP(A99,ScaledPrice1,2),(VLOOKUP(A99,ScaledPrice1,2))*(2-(VLOOKUP(A99,ScaledPrice1,3))))))</f>
        <v> </v>
      </c>
      <c r="E99" s="317" t="str">
        <f aca="false">IF($A99="N/A"," ",IF(AND(Dayrun1&gt;=4,Dayrun1&lt;=9),0,VLOOKUP($A99,ScaledPrice1,9)))</f>
        <v> </v>
      </c>
      <c r="F99" s="317" t="str">
        <f aca="false">IF(A99="N/A"," ",IF(OR(Dayrun1=2,Dayrun1=3,Dayrun1=5,Dayrun1=6,Dayrun1=8,Dayrun1=9),VLOOKUP(A99,ScaledPrice1,IF(Scaler1=1,6,5)),0))</f>
        <v> </v>
      </c>
      <c r="G99" s="317" t="str">
        <f aca="false">IF(A99="N/A"," ",IF(OR(Dayrun1=2,Dayrun1=3,Dayrun1=5,Dayrun1=6),IF(Scaler1=2,F99,(VLOOKUP(A99,ScaledPrice1,5))*(2-(VLOOKUP(A99,ScaledPrice1,3)))),0))</f>
        <v> </v>
      </c>
      <c r="H99" s="317" t="str">
        <f aca="false">IF($A99="N/A"," ",IF(OR(Dayrun1=2,Dayrun1=3,Dayrun1=10),VLOOKUP($A99,ScaledPrice1,9),0))</f>
        <v> </v>
      </c>
      <c r="I99" s="317" t="str">
        <f aca="false">IF(A99="N/A"," ",IF(OR(Dayrun1=3,Dayrun1=6,Dayrun1=9),(VLOOKUP(A99,ScaledPrice1,IF(Scaler1=2,7,8))),0))</f>
        <v> </v>
      </c>
      <c r="J99" s="317" t="str">
        <f aca="false">IF(A99="N/A"," ",IF(OR(Dayrun1=3,Dayrun1=6),IF(Scaler1=2,I99,(VLOOKUP(A99,ScaledPrice1,7))*(2-(VLOOKUP(A99,ScaledPrice1,3)))),0))</f>
        <v> </v>
      </c>
      <c r="K99" s="317" t="str">
        <f aca="false">IF($A99="N/A"," ",IF(OR(Dayrun1=3,Dayrun1=10),VLOOKUP($A99,ScaledPrice1,9),0))</f>
        <v> </v>
      </c>
      <c r="L99" s="318" t="str">
        <f aca="false">IF($A99="N/A"," ",IF(Pricetype1=2,MAX(C99,0),IF(OR(Pricetype1=1,Pricetype1=4),IF(C99=0,0,(EURO(C99,Strikeprice1,0,0,($AH99+IF(Smile=TRUE(),VLOOKUP(MAX(-5,Strikeprice1-C99),Volsmile,2),0)),($A99-DateToday)+15,IF(Pricetype1=1,1,0),0))),C99)))</f>
        <v> </v>
      </c>
      <c r="M99" s="318" t="str">
        <f aca="false">IF($A99="N/A"," ",IF(Pricetype1=2,MAX(D99,0),IF(OR(Pricetype1=1,Pricetype1=4),IF(D99=0,0,(EURO(D99,Strikeprice1,0,0,($AH99+IF(Smile=TRUE(),VLOOKUP(MAX(-5,Strikeprice1-D99),Volsmile,2),0)),($A99-DateToday)+15,IF(Pricetype1=1,1,0),0))),D99)))</f>
        <v> </v>
      </c>
      <c r="N99" s="318" t="str">
        <f aca="false">IF($A99="N/A"," ",IF(Pricetype1=2,MAX(E99,0),IF(OR(Pricetype1=1,Pricetype1=4),IF(E99=0,0,(EURO(E99,Strikeprice1,0,0,($AK99+IF(Smile=TRUE(),VLOOKUP(MAX(-5,Strikeprice1-E99),Volsmile,2),0)),($A99-DateToday)+15,IF(Pricetype1=1,1,0),0))),E99)))</f>
        <v> </v>
      </c>
      <c r="O99" s="318" t="str">
        <f aca="false">IF($A99="N/A"," ",IF(Pricetype1=2,MAX(F99,0),IF(OR(Pricetype1=1,Pricetype1=4),IF(F99=0,0,(EURO(F99,Strikeprice1,0,0,($AK99+IF(Smile=TRUE(),VLOOKUP(MAX(-5,Strikeprice1-F99),Volsmile,2),0)),($A99-DateToday)+15,IF(Pricetype1=1,1,0),0))),F99)))</f>
        <v> </v>
      </c>
      <c r="P99" s="318" t="str">
        <f aca="false">IF($A99="N/A"," ",IF(Pricetype1=2,MAX(G99,0),IF(OR(Pricetype1=1,Pricetype1=4),IF(G99=0,0,(EURO(G99,Strikeprice1,0,0,($AK99+IF(Smile=TRUE(),VLOOKUP(MAX(-5,Strikeprice1-G99),Volsmile,2),0)),($A99-DateToday)+15,IF(Pricetype1=1,1,0),0))),G99)))</f>
        <v> </v>
      </c>
      <c r="Q99" s="318" t="str">
        <f aca="false">IF($A99="N/A"," ",IF(Pricetype1=2,MAX(H99,0),IF(OR(Pricetype1=1,Pricetype1=4),IF(H99=0,0,(EURO(H99,Strikeprice1,0,0,($AK99+IF(Smile=TRUE(),VLOOKUP(MAX(-5,Strikeprice1-H99),Volsmile,2),0)),($A99-DateToday)+15,IF(Pricetype1=1,1,0),0))),H99)))</f>
        <v> </v>
      </c>
      <c r="R99" s="318" t="str">
        <f aca="false">IF($A99="N/A"," ",IF(Pricetype1=2,MAX(I99,0),IF(OR(Pricetype1=1,Pricetype1=4),IF(I99=0,0,(EURO(I99,Strikeprice1,0,0,($AK99+IF(Smile=TRUE(),VLOOKUP(MAX(-5,Strikeprice1-I99),Volsmile,2),0)),($A99-DateToday)+15,IF(Pricetype1=1,1,0),0))),I99)))</f>
        <v> </v>
      </c>
      <c r="S99" s="318" t="str">
        <f aca="false">IF($A99="N/A"," ",IF(Pricetype1=2,MAX(J99,0),IF(OR(Pricetype1=1,Pricetype1=4),IF(J99=0,0,(EURO(J99,Strikeprice1,0,0,($AK99+IF(Smile=TRUE(),VLOOKUP(MAX(-5,Strikeprice1-J99),Volsmile,2),0)),($A99-DateToday)+15,IF(Pricetype1=1,1,0),0))),J99)))</f>
        <v> </v>
      </c>
      <c r="T99" s="318" t="str">
        <f aca="false">IF($A99="N/A"," ",IF(Pricetype1=2,MAX(K99,0),IF(OR(Pricetype1=1,Pricetype1=4),IF(K99=0,0,(EURO(K99,Strikeprice1,0,0,($AK99+IF(Smile=TRUE(),VLOOKUP(MAX(-5,Strikeprice1-K99),Volsmile,2),0)),($A99-DateToday)+15,IF(Pricetype1=1,1,0),0))),K99)))</f>
        <v> </v>
      </c>
      <c r="U99" s="319" t="str">
        <f aca="false">IF($A99="N/A"," ",Volume1*$AM99)</f>
        <v> </v>
      </c>
      <c r="V99" s="320" t="str">
        <f aca="false">IF($A99="N/A"," ",$U99*(8*($BQ99))*L99)</f>
        <v> </v>
      </c>
      <c r="W99" s="320" t="str">
        <f aca="false">IF($A99="N/A"," ",$U99*(8*($BQ99))*M99)</f>
        <v> </v>
      </c>
      <c r="X99" s="320" t="str">
        <f aca="false">IF($A99="N/A"," ",$U99*(8*($BQ99))*N99)</f>
        <v> </v>
      </c>
      <c r="Y99" s="320" t="str">
        <f aca="false">IF($A99="N/A"," ",$U99*(8*($BR99))*O99)</f>
        <v> </v>
      </c>
      <c r="Z99" s="320" t="str">
        <f aca="false">IF($A99="N/A"," ",$U99*(8*($BR99))*P99)</f>
        <v> </v>
      </c>
      <c r="AA99" s="320" t="str">
        <f aca="false">IF($A99="N/A"," ",$U99*(8*($BR99))*Q99)</f>
        <v> </v>
      </c>
      <c r="AB99" s="320" t="str">
        <f aca="false">IF($A99="N/A"," ",$U99*(8*($BS99))*R99)</f>
        <v> </v>
      </c>
      <c r="AC99" s="320" t="str">
        <f aca="false">IF($A99="N/A"," ",$U99*(8*($BS99))*S99)</f>
        <v> </v>
      </c>
      <c r="AD99" s="320" t="str">
        <f aca="false">IF($A99="N/A"," ",$U99*(8*($BS99))*T99)</f>
        <v> </v>
      </c>
      <c r="AE99" s="320" t="str">
        <f aca="false">IF($A99="N/A"," ",SUM(V99:AD99))</f>
        <v> </v>
      </c>
      <c r="AF99" s="321" t="str">
        <f aca="false">IF(A99="N/A"," ",(VLOOKUP(A99,PowerVolTable,(IF(VolBMO1=2,7,IF(VolBMO1=1,6,8))),FALSE())))</f>
        <v> </v>
      </c>
      <c r="AG99" s="321" t="str">
        <f aca="false">IF(A99="N/A"," ",(VLOOKUP(A99,IntraPowerVol,(IF(VolBMO1=2,3,IF(VolBMO1=1,2,4))),FALSE())*VLOOKUP(MONTH($A99),Volscale,2)))</f>
        <v> </v>
      </c>
      <c r="AH99" s="321" t="str">
        <f aca="false">IF($A99="N/A"," ",IF(VolType1=1,AG99,AF99))</f>
        <v> </v>
      </c>
      <c r="AI99" s="321" t="str">
        <f aca="false">IF($A99="N/A"," ",(VLOOKUP($A99,OffPwrVolTable,(IF(VolBMO1=2,7,IF(VolBMO1=1,6,8))),FALSE())))</f>
        <v> </v>
      </c>
      <c r="AJ99" s="321" t="str">
        <f aca="false">IF($A99="N/A"," ",(VLOOKUP($A99,OffPwrVolTable,(IF(VolBMO1=2,3,IF(VolBMO1=1,2,4))),FALSE())*VLOOKUP(MONTH($A99),Volscale,2)))</f>
        <v> </v>
      </c>
      <c r="AK99" s="321" t="str">
        <f aca="false">IF($A99="N/A"," ",IF(VolType1=1,AJ99,AI99))</f>
        <v> </v>
      </c>
      <c r="AL99" s="321" t="str">
        <f aca="false">IF($A99="N/A"," ",IF(PV=1,0,'Pricing Inputs1'!R132))</f>
        <v> </v>
      </c>
      <c r="AM99" s="323" t="str">
        <f aca="false">IF($A99="N/A"," ",(1+AL99/2)^(-2*((EOMONTH(A99,0)+20)-DateToday)/365.25))</f>
        <v> </v>
      </c>
      <c r="BQ99" s="0" t="str">
        <f aca="false">IF($A99="N/A"," ",(VLOOKUP($A99,NumberofDaysTable,2)))</f>
        <v> </v>
      </c>
      <c r="BR99" s="0" t="str">
        <f aca="false">IF($A99="N/A"," ",(VLOOKUP($A99,NumberofDaysTable,3)))</f>
        <v> </v>
      </c>
      <c r="BS99" s="0" t="str">
        <f aca="false">IF($A99="N/A"," ",(VLOOKUP($A99,NumberofDaysTable,4)))</f>
        <v> </v>
      </c>
    </row>
    <row r="100" customFormat="false" ht="12.75" hidden="false" customHeight="false" outlineLevel="0" collapsed="false">
      <c r="A100" s="315" t="str">
        <f aca="false">IF(A99="N/A","N/A",IF(EDATE(A99,1)&gt;Inputs!$M$5,"N/A",EDATE(A99,1)))</f>
        <v>N/A</v>
      </c>
      <c r="B100" s="316" t="str">
        <f aca="false">IF(A100="N/A"," ",YEAR(A100))</f>
        <v> </v>
      </c>
      <c r="C100" s="317" t="str">
        <f aca="false">IF($A100="N/A"," ",IF(Dayrun1=10,0,IF(Scaler1=1,(VLOOKUP(A100,ScaledPrice1,4)),(VLOOKUP(A100,ScaledPrice1,2)))))</f>
        <v> </v>
      </c>
      <c r="D100" s="317" t="str">
        <f aca="false">IF(A100="N/A"," ",IF(Dayrun1&gt;=7,0,IF(Scaler1=2,VLOOKUP(A100,ScaledPrice1,2),(VLOOKUP(A100,ScaledPrice1,2))*(2-(VLOOKUP(A100,ScaledPrice1,3))))))</f>
        <v> </v>
      </c>
      <c r="E100" s="317" t="str">
        <f aca="false">IF($A100="N/A"," ",IF(AND(Dayrun1&gt;=4,Dayrun1&lt;=9),0,VLOOKUP($A100,ScaledPrice1,9)))</f>
        <v> </v>
      </c>
      <c r="F100" s="317" t="str">
        <f aca="false">IF(A100="N/A"," ",IF(OR(Dayrun1=2,Dayrun1=3,Dayrun1=5,Dayrun1=6,Dayrun1=8,Dayrun1=9),VLOOKUP(A100,ScaledPrice1,IF(Scaler1=1,6,5)),0))</f>
        <v> </v>
      </c>
      <c r="G100" s="317" t="str">
        <f aca="false">IF(A100="N/A"," ",IF(OR(Dayrun1=2,Dayrun1=3,Dayrun1=5,Dayrun1=6),IF(Scaler1=2,F100,(VLOOKUP(A100,ScaledPrice1,5))*(2-(VLOOKUP(A100,ScaledPrice1,3)))),0))</f>
        <v> </v>
      </c>
      <c r="H100" s="317" t="str">
        <f aca="false">IF($A100="N/A"," ",IF(OR(Dayrun1=2,Dayrun1=3,Dayrun1=10),VLOOKUP($A100,ScaledPrice1,9),0))</f>
        <v> </v>
      </c>
      <c r="I100" s="317" t="str">
        <f aca="false">IF(A100="N/A"," ",IF(OR(Dayrun1=3,Dayrun1=6,Dayrun1=9),(VLOOKUP(A100,ScaledPrice1,IF(Scaler1=2,7,8))),0))</f>
        <v> </v>
      </c>
      <c r="J100" s="317" t="str">
        <f aca="false">IF(A100="N/A"," ",IF(OR(Dayrun1=3,Dayrun1=6),IF(Scaler1=2,I100,(VLOOKUP(A100,ScaledPrice1,7))*(2-(VLOOKUP(A100,ScaledPrice1,3)))),0))</f>
        <v> </v>
      </c>
      <c r="K100" s="317" t="str">
        <f aca="false">IF($A100="N/A"," ",IF(OR(Dayrun1=3,Dayrun1=10),VLOOKUP($A100,ScaledPrice1,9),0))</f>
        <v> </v>
      </c>
      <c r="L100" s="318" t="str">
        <f aca="false">IF($A100="N/A"," ",IF(Pricetype1=2,MAX(C100,0),IF(OR(Pricetype1=1,Pricetype1=4),IF(C100=0,0,(EURO(C100,Strikeprice1,0,0,($AH100+IF(Smile=TRUE(),VLOOKUP(MAX(-5,Strikeprice1-C100),Volsmile,2),0)),($A100-DateToday)+15,IF(Pricetype1=1,1,0),0))),C100)))</f>
        <v> </v>
      </c>
      <c r="M100" s="318" t="str">
        <f aca="false">IF($A100="N/A"," ",IF(Pricetype1=2,MAX(D100,0),IF(OR(Pricetype1=1,Pricetype1=4),IF(D100=0,0,(EURO(D100,Strikeprice1,0,0,($AH100+IF(Smile=TRUE(),VLOOKUP(MAX(-5,Strikeprice1-D100),Volsmile,2),0)),($A100-DateToday)+15,IF(Pricetype1=1,1,0),0))),D100)))</f>
        <v> </v>
      </c>
      <c r="N100" s="318" t="str">
        <f aca="false">IF($A100="N/A"," ",IF(Pricetype1=2,MAX(E100,0),IF(OR(Pricetype1=1,Pricetype1=4),IF(E100=0,0,(EURO(E100,Strikeprice1,0,0,($AK100+IF(Smile=TRUE(),VLOOKUP(MAX(-5,Strikeprice1-E100),Volsmile,2),0)),($A100-DateToday)+15,IF(Pricetype1=1,1,0),0))),E100)))</f>
        <v> </v>
      </c>
      <c r="O100" s="318" t="str">
        <f aca="false">IF($A100="N/A"," ",IF(Pricetype1=2,MAX(F100,0),IF(OR(Pricetype1=1,Pricetype1=4),IF(F100=0,0,(EURO(F100,Strikeprice1,0,0,($AK100+IF(Smile=TRUE(),VLOOKUP(MAX(-5,Strikeprice1-F100),Volsmile,2),0)),($A100-DateToday)+15,IF(Pricetype1=1,1,0),0))),F100)))</f>
        <v> </v>
      </c>
      <c r="P100" s="318" t="str">
        <f aca="false">IF($A100="N/A"," ",IF(Pricetype1=2,MAX(G100,0),IF(OR(Pricetype1=1,Pricetype1=4),IF(G100=0,0,(EURO(G100,Strikeprice1,0,0,($AK100+IF(Smile=TRUE(),VLOOKUP(MAX(-5,Strikeprice1-G100),Volsmile,2),0)),($A100-DateToday)+15,IF(Pricetype1=1,1,0),0))),G100)))</f>
        <v> </v>
      </c>
      <c r="Q100" s="318" t="str">
        <f aca="false">IF($A100="N/A"," ",IF(Pricetype1=2,MAX(H100,0),IF(OR(Pricetype1=1,Pricetype1=4),IF(H100=0,0,(EURO(H100,Strikeprice1,0,0,($AK100+IF(Smile=TRUE(),VLOOKUP(MAX(-5,Strikeprice1-H100),Volsmile,2),0)),($A100-DateToday)+15,IF(Pricetype1=1,1,0),0))),H100)))</f>
        <v> </v>
      </c>
      <c r="R100" s="318" t="str">
        <f aca="false">IF($A100="N/A"," ",IF(Pricetype1=2,MAX(I100,0),IF(OR(Pricetype1=1,Pricetype1=4),IF(I100=0,0,(EURO(I100,Strikeprice1,0,0,($AK100+IF(Smile=TRUE(),VLOOKUP(MAX(-5,Strikeprice1-I100),Volsmile,2),0)),($A100-DateToday)+15,IF(Pricetype1=1,1,0),0))),I100)))</f>
        <v> </v>
      </c>
      <c r="S100" s="318" t="str">
        <f aca="false">IF($A100="N/A"," ",IF(Pricetype1=2,MAX(J100,0),IF(OR(Pricetype1=1,Pricetype1=4),IF(J100=0,0,(EURO(J100,Strikeprice1,0,0,($AK100+IF(Smile=TRUE(),VLOOKUP(MAX(-5,Strikeprice1-J100),Volsmile,2),0)),($A100-DateToday)+15,IF(Pricetype1=1,1,0),0))),J100)))</f>
        <v> </v>
      </c>
      <c r="T100" s="318" t="str">
        <f aca="false">IF($A100="N/A"," ",IF(Pricetype1=2,MAX(K100,0),IF(OR(Pricetype1=1,Pricetype1=4),IF(K100=0,0,(EURO(K100,Strikeprice1,0,0,($AK100+IF(Smile=TRUE(),VLOOKUP(MAX(-5,Strikeprice1-K100),Volsmile,2),0)),($A100-DateToday)+15,IF(Pricetype1=1,1,0),0))),K100)))</f>
        <v> </v>
      </c>
      <c r="U100" s="319" t="str">
        <f aca="false">IF($A100="N/A"," ",Volume1*$AM100)</f>
        <v> </v>
      </c>
      <c r="V100" s="320" t="str">
        <f aca="false">IF($A100="N/A"," ",$U100*(8*($BQ100))*L100)</f>
        <v> </v>
      </c>
      <c r="W100" s="320" t="str">
        <f aca="false">IF($A100="N/A"," ",$U100*(8*($BQ100))*M100)</f>
        <v> </v>
      </c>
      <c r="X100" s="320" t="str">
        <f aca="false">IF($A100="N/A"," ",$U100*(8*($BQ100))*N100)</f>
        <v> </v>
      </c>
      <c r="Y100" s="320" t="str">
        <f aca="false">IF($A100="N/A"," ",$U100*(8*($BR100))*O100)</f>
        <v> </v>
      </c>
      <c r="Z100" s="320" t="str">
        <f aca="false">IF($A100="N/A"," ",$U100*(8*($BR100))*P100)</f>
        <v> </v>
      </c>
      <c r="AA100" s="320" t="str">
        <f aca="false">IF($A100="N/A"," ",$U100*(8*($BR100))*Q100)</f>
        <v> </v>
      </c>
      <c r="AB100" s="320" t="str">
        <f aca="false">IF($A100="N/A"," ",$U100*(8*($BS100))*R100)</f>
        <v> </v>
      </c>
      <c r="AC100" s="320" t="str">
        <f aca="false">IF($A100="N/A"," ",$U100*(8*($BS100))*S100)</f>
        <v> </v>
      </c>
      <c r="AD100" s="320" t="str">
        <f aca="false">IF($A100="N/A"," ",$U100*(8*($BS100))*T100)</f>
        <v> </v>
      </c>
      <c r="AE100" s="320" t="str">
        <f aca="false">IF($A100="N/A"," ",SUM(V100:AD100))</f>
        <v> </v>
      </c>
      <c r="AF100" s="321" t="str">
        <f aca="false">IF(A100="N/A"," ",(VLOOKUP(A100,PowerVolTable,(IF(VolBMO1=2,7,IF(VolBMO1=1,6,8))),FALSE())))</f>
        <v> </v>
      </c>
      <c r="AG100" s="321" t="str">
        <f aca="false">IF(A100="N/A"," ",(VLOOKUP(A100,IntraPowerVol,(IF(VolBMO1=2,3,IF(VolBMO1=1,2,4))),FALSE())*VLOOKUP(MONTH($A100),Volscale,2)))</f>
        <v> </v>
      </c>
      <c r="AH100" s="321" t="str">
        <f aca="false">IF($A100="N/A"," ",IF(VolType1=1,AG100,AF100))</f>
        <v> </v>
      </c>
      <c r="AI100" s="321" t="str">
        <f aca="false">IF($A100="N/A"," ",(VLOOKUP($A100,OffPwrVolTable,(IF(VolBMO1=2,7,IF(VolBMO1=1,6,8))),FALSE())))</f>
        <v> </v>
      </c>
      <c r="AJ100" s="321" t="str">
        <f aca="false">IF($A100="N/A"," ",(VLOOKUP($A100,OffPwrVolTable,(IF(VolBMO1=2,3,IF(VolBMO1=1,2,4))),FALSE())*VLOOKUP(MONTH($A100),Volscale,2)))</f>
        <v> </v>
      </c>
      <c r="AK100" s="321" t="str">
        <f aca="false">IF($A100="N/A"," ",IF(VolType1=1,AJ100,AI100))</f>
        <v> </v>
      </c>
      <c r="AL100" s="321" t="str">
        <f aca="false">IF($A100="N/A"," ",IF(PV=1,0,'Pricing Inputs1'!R133))</f>
        <v> </v>
      </c>
      <c r="AM100" s="323" t="str">
        <f aca="false">IF($A100="N/A"," ",(1+AL100/2)^(-2*((EOMONTH(A100,0)+20)-DateToday)/365.25))</f>
        <v> </v>
      </c>
      <c r="BQ100" s="0" t="str">
        <f aca="false">IF($A100="N/A"," ",(VLOOKUP($A100,NumberofDaysTable,2)))</f>
        <v> </v>
      </c>
      <c r="BR100" s="0" t="str">
        <f aca="false">IF($A100="N/A"," ",(VLOOKUP($A100,NumberofDaysTable,3)))</f>
        <v> </v>
      </c>
      <c r="BS100" s="0" t="str">
        <f aca="false">IF($A100="N/A"," ",(VLOOKUP($A100,NumberofDaysTable,4)))</f>
        <v> </v>
      </c>
    </row>
    <row r="101" customFormat="false" ht="12.75" hidden="false" customHeight="false" outlineLevel="0" collapsed="false">
      <c r="A101" s="315" t="str">
        <f aca="false">IF(A100="N/A","N/A",IF(EDATE(A100,1)&gt;Inputs!$M$5,"N/A",EDATE(A100,1)))</f>
        <v>N/A</v>
      </c>
      <c r="B101" s="316" t="str">
        <f aca="false">IF(A101="N/A"," ",YEAR(A101))</f>
        <v> </v>
      </c>
      <c r="C101" s="317" t="str">
        <f aca="false">IF($A101="N/A"," ",IF(Dayrun1=10,0,IF(Scaler1=1,(VLOOKUP(A101,ScaledPrice1,4)),(VLOOKUP(A101,ScaledPrice1,2)))))</f>
        <v> </v>
      </c>
      <c r="D101" s="317" t="str">
        <f aca="false">IF(A101="N/A"," ",IF(Dayrun1&gt;=7,0,IF(Scaler1=2,VLOOKUP(A101,ScaledPrice1,2),(VLOOKUP(A101,ScaledPrice1,2))*(2-(VLOOKUP(A101,ScaledPrice1,3))))))</f>
        <v> </v>
      </c>
      <c r="E101" s="317" t="str">
        <f aca="false">IF($A101="N/A"," ",IF(AND(Dayrun1&gt;=4,Dayrun1&lt;=9),0,VLOOKUP($A101,ScaledPrice1,9)))</f>
        <v> </v>
      </c>
      <c r="F101" s="317" t="str">
        <f aca="false">IF(A101="N/A"," ",IF(OR(Dayrun1=2,Dayrun1=3,Dayrun1=5,Dayrun1=6,Dayrun1=8,Dayrun1=9),VLOOKUP(A101,ScaledPrice1,IF(Scaler1=1,6,5)),0))</f>
        <v> </v>
      </c>
      <c r="G101" s="317" t="str">
        <f aca="false">IF(A101="N/A"," ",IF(OR(Dayrun1=2,Dayrun1=3,Dayrun1=5,Dayrun1=6),IF(Scaler1=2,F101,(VLOOKUP(A101,ScaledPrice1,5))*(2-(VLOOKUP(A101,ScaledPrice1,3)))),0))</f>
        <v> </v>
      </c>
      <c r="H101" s="317" t="str">
        <f aca="false">IF($A101="N/A"," ",IF(OR(Dayrun1=2,Dayrun1=3,Dayrun1=10),VLOOKUP($A101,ScaledPrice1,9),0))</f>
        <v> </v>
      </c>
      <c r="I101" s="317" t="str">
        <f aca="false">IF(A101="N/A"," ",IF(OR(Dayrun1=3,Dayrun1=6,Dayrun1=9),(VLOOKUP(A101,ScaledPrice1,IF(Scaler1=2,7,8))),0))</f>
        <v> </v>
      </c>
      <c r="J101" s="317" t="str">
        <f aca="false">IF(A101="N/A"," ",IF(OR(Dayrun1=3,Dayrun1=6),IF(Scaler1=2,I101,(VLOOKUP(A101,ScaledPrice1,7))*(2-(VLOOKUP(A101,ScaledPrice1,3)))),0))</f>
        <v> </v>
      </c>
      <c r="K101" s="317" t="str">
        <f aca="false">IF($A101="N/A"," ",IF(OR(Dayrun1=3,Dayrun1=10),VLOOKUP($A101,ScaledPrice1,9),0))</f>
        <v> </v>
      </c>
      <c r="L101" s="318" t="str">
        <f aca="false">IF($A101="N/A"," ",IF(Pricetype1=2,MAX(C101,0),IF(OR(Pricetype1=1,Pricetype1=4),IF(C101=0,0,(EURO(C101,Strikeprice1,0,0,($AH101+IF(Smile=TRUE(),VLOOKUP(MAX(-5,Strikeprice1-C101),Volsmile,2),0)),($A101-DateToday)+15,IF(Pricetype1=1,1,0),0))),C101)))</f>
        <v> </v>
      </c>
      <c r="M101" s="318" t="str">
        <f aca="false">IF($A101="N/A"," ",IF(Pricetype1=2,MAX(D101,0),IF(OR(Pricetype1=1,Pricetype1=4),IF(D101=0,0,(EURO(D101,Strikeprice1,0,0,($AH101+IF(Smile=TRUE(),VLOOKUP(MAX(-5,Strikeprice1-D101),Volsmile,2),0)),($A101-DateToday)+15,IF(Pricetype1=1,1,0),0))),D101)))</f>
        <v> </v>
      </c>
      <c r="N101" s="318" t="str">
        <f aca="false">IF($A101="N/A"," ",IF(Pricetype1=2,MAX(E101,0),IF(OR(Pricetype1=1,Pricetype1=4),IF(E101=0,0,(EURO(E101,Strikeprice1,0,0,($AK101+IF(Smile=TRUE(),VLOOKUP(MAX(-5,Strikeprice1-E101),Volsmile,2),0)),($A101-DateToday)+15,IF(Pricetype1=1,1,0),0))),E101)))</f>
        <v> </v>
      </c>
      <c r="O101" s="318" t="str">
        <f aca="false">IF($A101="N/A"," ",IF(Pricetype1=2,MAX(F101,0),IF(OR(Pricetype1=1,Pricetype1=4),IF(F101=0,0,(EURO(F101,Strikeprice1,0,0,($AK101+IF(Smile=TRUE(),VLOOKUP(MAX(-5,Strikeprice1-F101),Volsmile,2),0)),($A101-DateToday)+15,IF(Pricetype1=1,1,0),0))),F101)))</f>
        <v> </v>
      </c>
      <c r="P101" s="318" t="str">
        <f aca="false">IF($A101="N/A"," ",IF(Pricetype1=2,MAX(G101,0),IF(OR(Pricetype1=1,Pricetype1=4),IF(G101=0,0,(EURO(G101,Strikeprice1,0,0,($AK101+IF(Smile=TRUE(),VLOOKUP(MAX(-5,Strikeprice1-G101),Volsmile,2),0)),($A101-DateToday)+15,IF(Pricetype1=1,1,0),0))),G101)))</f>
        <v> </v>
      </c>
      <c r="Q101" s="318" t="str">
        <f aca="false">IF($A101="N/A"," ",IF(Pricetype1=2,MAX(H101,0),IF(OR(Pricetype1=1,Pricetype1=4),IF(H101=0,0,(EURO(H101,Strikeprice1,0,0,($AK101+IF(Smile=TRUE(),VLOOKUP(MAX(-5,Strikeprice1-H101),Volsmile,2),0)),($A101-DateToday)+15,IF(Pricetype1=1,1,0),0))),H101)))</f>
        <v> </v>
      </c>
      <c r="R101" s="318" t="str">
        <f aca="false">IF($A101="N/A"," ",IF(Pricetype1=2,MAX(I101,0),IF(OR(Pricetype1=1,Pricetype1=4),IF(I101=0,0,(EURO(I101,Strikeprice1,0,0,($AK101+IF(Smile=TRUE(),VLOOKUP(MAX(-5,Strikeprice1-I101),Volsmile,2),0)),($A101-DateToday)+15,IF(Pricetype1=1,1,0),0))),I101)))</f>
        <v> </v>
      </c>
      <c r="S101" s="318" t="str">
        <f aca="false">IF($A101="N/A"," ",IF(Pricetype1=2,MAX(J101,0),IF(OR(Pricetype1=1,Pricetype1=4),IF(J101=0,0,(EURO(J101,Strikeprice1,0,0,($AK101+IF(Smile=TRUE(),VLOOKUP(MAX(-5,Strikeprice1-J101),Volsmile,2),0)),($A101-DateToday)+15,IF(Pricetype1=1,1,0),0))),J101)))</f>
        <v> </v>
      </c>
      <c r="T101" s="318" t="str">
        <f aca="false">IF($A101="N/A"," ",IF(Pricetype1=2,MAX(K101,0),IF(OR(Pricetype1=1,Pricetype1=4),IF(K101=0,0,(EURO(K101,Strikeprice1,0,0,($AK101+IF(Smile=TRUE(),VLOOKUP(MAX(-5,Strikeprice1-K101),Volsmile,2),0)),($A101-DateToday)+15,IF(Pricetype1=1,1,0),0))),K101)))</f>
        <v> </v>
      </c>
      <c r="U101" s="319" t="str">
        <f aca="false">IF($A101="N/A"," ",Volume1*$AM101)</f>
        <v> </v>
      </c>
      <c r="V101" s="320" t="str">
        <f aca="false">IF($A101="N/A"," ",$U101*(8*($BQ101))*L101)</f>
        <v> </v>
      </c>
      <c r="W101" s="320" t="str">
        <f aca="false">IF($A101="N/A"," ",$U101*(8*($BQ101))*M101)</f>
        <v> </v>
      </c>
      <c r="X101" s="320" t="str">
        <f aca="false">IF($A101="N/A"," ",$U101*(8*($BQ101))*N101)</f>
        <v> </v>
      </c>
      <c r="Y101" s="320" t="str">
        <f aca="false">IF($A101="N/A"," ",$U101*(8*($BR101))*O101)</f>
        <v> </v>
      </c>
      <c r="Z101" s="320" t="str">
        <f aca="false">IF($A101="N/A"," ",$U101*(8*($BR101))*P101)</f>
        <v> </v>
      </c>
      <c r="AA101" s="320" t="str">
        <f aca="false">IF($A101="N/A"," ",$U101*(8*($BR101))*Q101)</f>
        <v> </v>
      </c>
      <c r="AB101" s="320" t="str">
        <f aca="false">IF($A101="N/A"," ",$U101*(8*($BS101))*R101)</f>
        <v> </v>
      </c>
      <c r="AC101" s="320" t="str">
        <f aca="false">IF($A101="N/A"," ",$U101*(8*($BS101))*S101)</f>
        <v> </v>
      </c>
      <c r="AD101" s="320" t="str">
        <f aca="false">IF($A101="N/A"," ",$U101*(8*($BS101))*T101)</f>
        <v> </v>
      </c>
      <c r="AE101" s="320" t="str">
        <f aca="false">IF($A101="N/A"," ",SUM(V101:AD101))</f>
        <v> </v>
      </c>
      <c r="AF101" s="321" t="str">
        <f aca="false">IF(A101="N/A"," ",(VLOOKUP(A101,PowerVolTable,(IF(VolBMO1=2,7,IF(VolBMO1=1,6,8))),FALSE())))</f>
        <v> </v>
      </c>
      <c r="AG101" s="321" t="str">
        <f aca="false">IF(A101="N/A"," ",(VLOOKUP(A101,IntraPowerVol,(IF(VolBMO1=2,3,IF(VolBMO1=1,2,4))),FALSE())*VLOOKUP(MONTH($A101),Volscale,2)))</f>
        <v> </v>
      </c>
      <c r="AH101" s="321" t="str">
        <f aca="false">IF($A101="N/A"," ",IF(VolType1=1,AG101,AF101))</f>
        <v> </v>
      </c>
      <c r="AI101" s="321" t="str">
        <f aca="false">IF($A101="N/A"," ",(VLOOKUP($A101,OffPwrVolTable,(IF(VolBMO1=2,7,IF(VolBMO1=1,6,8))),FALSE())))</f>
        <v> </v>
      </c>
      <c r="AJ101" s="321" t="str">
        <f aca="false">IF($A101="N/A"," ",(VLOOKUP($A101,OffPwrVolTable,(IF(VolBMO1=2,3,IF(VolBMO1=1,2,4))),FALSE())*VLOOKUP(MONTH($A101),Volscale,2)))</f>
        <v> </v>
      </c>
      <c r="AK101" s="321" t="str">
        <f aca="false">IF($A101="N/A"," ",IF(VolType1=1,AJ101,AI101))</f>
        <v> </v>
      </c>
      <c r="AL101" s="321" t="str">
        <f aca="false">IF($A101="N/A"," ",IF(PV=1,0,'Pricing Inputs1'!R134))</f>
        <v> </v>
      </c>
      <c r="AM101" s="323" t="str">
        <f aca="false">IF($A101="N/A"," ",(1+AL101/2)^(-2*((EOMONTH(A101,0)+20)-DateToday)/365.25))</f>
        <v> </v>
      </c>
      <c r="BQ101" s="0" t="str">
        <f aca="false">IF($A101="N/A"," ",(VLOOKUP($A101,NumberofDaysTable,2)))</f>
        <v> </v>
      </c>
      <c r="BR101" s="0" t="str">
        <f aca="false">IF($A101="N/A"," ",(VLOOKUP($A101,NumberofDaysTable,3)))</f>
        <v> </v>
      </c>
      <c r="BS101" s="0" t="str">
        <f aca="false">IF($A101="N/A"," ",(VLOOKUP($A101,NumberofDaysTable,4)))</f>
        <v> </v>
      </c>
    </row>
    <row r="102" customFormat="false" ht="12.75" hidden="false" customHeight="false" outlineLevel="0" collapsed="false">
      <c r="A102" s="315" t="str">
        <f aca="false">IF(A101="N/A","N/A",IF(EDATE(A101,1)&gt;Inputs!$M$5,"N/A",EDATE(A101,1)))</f>
        <v>N/A</v>
      </c>
      <c r="B102" s="316" t="str">
        <f aca="false">IF(A102="N/A"," ",YEAR(A102))</f>
        <v> </v>
      </c>
      <c r="C102" s="317" t="str">
        <f aca="false">IF($A102="N/A"," ",IF(Dayrun1=10,0,IF(Scaler1=1,(VLOOKUP(A102,ScaledPrice1,4)),(VLOOKUP(A102,ScaledPrice1,2)))))</f>
        <v> </v>
      </c>
      <c r="D102" s="317" t="str">
        <f aca="false">IF(A102="N/A"," ",IF(Dayrun1&gt;=7,0,IF(Scaler1=2,VLOOKUP(A102,ScaledPrice1,2),(VLOOKUP(A102,ScaledPrice1,2))*(2-(VLOOKUP(A102,ScaledPrice1,3))))))</f>
        <v> </v>
      </c>
      <c r="E102" s="317" t="str">
        <f aca="false">IF($A102="N/A"," ",IF(AND(Dayrun1&gt;=4,Dayrun1&lt;=9),0,VLOOKUP($A102,ScaledPrice1,9)))</f>
        <v> </v>
      </c>
      <c r="F102" s="317" t="str">
        <f aca="false">IF(A102="N/A"," ",IF(OR(Dayrun1=2,Dayrun1=3,Dayrun1=5,Dayrun1=6,Dayrun1=8,Dayrun1=9),VLOOKUP(A102,ScaledPrice1,IF(Scaler1=1,6,5)),0))</f>
        <v> </v>
      </c>
      <c r="G102" s="317" t="str">
        <f aca="false">IF(A102="N/A"," ",IF(OR(Dayrun1=2,Dayrun1=3,Dayrun1=5,Dayrun1=6),IF(Scaler1=2,F102,(VLOOKUP(A102,ScaledPrice1,5))*(2-(VLOOKUP(A102,ScaledPrice1,3)))),0))</f>
        <v> </v>
      </c>
      <c r="H102" s="317" t="str">
        <f aca="false">IF($A102="N/A"," ",IF(OR(Dayrun1=2,Dayrun1=3,Dayrun1=10),VLOOKUP($A102,ScaledPrice1,9),0))</f>
        <v> </v>
      </c>
      <c r="I102" s="317" t="str">
        <f aca="false">IF(A102="N/A"," ",IF(OR(Dayrun1=3,Dayrun1=6,Dayrun1=9),(VLOOKUP(A102,ScaledPrice1,IF(Scaler1=2,7,8))),0))</f>
        <v> </v>
      </c>
      <c r="J102" s="317" t="str">
        <f aca="false">IF(A102="N/A"," ",IF(OR(Dayrun1=3,Dayrun1=6),IF(Scaler1=2,I102,(VLOOKUP(A102,ScaledPrice1,7))*(2-(VLOOKUP(A102,ScaledPrice1,3)))),0))</f>
        <v> </v>
      </c>
      <c r="K102" s="317" t="str">
        <f aca="false">IF($A102="N/A"," ",IF(OR(Dayrun1=3,Dayrun1=10),VLOOKUP($A102,ScaledPrice1,9),0))</f>
        <v> </v>
      </c>
      <c r="L102" s="318" t="str">
        <f aca="false">IF($A102="N/A"," ",IF(Pricetype1=2,MAX(C102,0),IF(OR(Pricetype1=1,Pricetype1=4),IF(C102=0,0,(EURO(C102,Strikeprice1,0,0,($AH102+IF(Smile=TRUE(),VLOOKUP(MAX(-5,Strikeprice1-C102),Volsmile,2),0)),($A102-DateToday)+15,IF(Pricetype1=1,1,0),0))),C102)))</f>
        <v> </v>
      </c>
      <c r="M102" s="318" t="str">
        <f aca="false">IF($A102="N/A"," ",IF(Pricetype1=2,MAX(D102,0),IF(OR(Pricetype1=1,Pricetype1=4),IF(D102=0,0,(EURO(D102,Strikeprice1,0,0,($AH102+IF(Smile=TRUE(),VLOOKUP(MAX(-5,Strikeprice1-D102),Volsmile,2),0)),($A102-DateToday)+15,IF(Pricetype1=1,1,0),0))),D102)))</f>
        <v> </v>
      </c>
      <c r="N102" s="318" t="str">
        <f aca="false">IF($A102="N/A"," ",IF(Pricetype1=2,MAX(E102,0),IF(OR(Pricetype1=1,Pricetype1=4),IF(E102=0,0,(EURO(E102,Strikeprice1,0,0,($AK102+IF(Smile=TRUE(),VLOOKUP(MAX(-5,Strikeprice1-E102),Volsmile,2),0)),($A102-DateToday)+15,IF(Pricetype1=1,1,0),0))),E102)))</f>
        <v> </v>
      </c>
      <c r="O102" s="318" t="str">
        <f aca="false">IF($A102="N/A"," ",IF(Pricetype1=2,MAX(F102,0),IF(OR(Pricetype1=1,Pricetype1=4),IF(F102=0,0,(EURO(F102,Strikeprice1,0,0,($AK102+IF(Smile=TRUE(),VLOOKUP(MAX(-5,Strikeprice1-F102),Volsmile,2),0)),($A102-DateToday)+15,IF(Pricetype1=1,1,0),0))),F102)))</f>
        <v> </v>
      </c>
      <c r="P102" s="318" t="str">
        <f aca="false">IF($A102="N/A"," ",IF(Pricetype1=2,MAX(G102,0),IF(OR(Pricetype1=1,Pricetype1=4),IF(G102=0,0,(EURO(G102,Strikeprice1,0,0,($AK102+IF(Smile=TRUE(),VLOOKUP(MAX(-5,Strikeprice1-G102),Volsmile,2),0)),($A102-DateToday)+15,IF(Pricetype1=1,1,0),0))),G102)))</f>
        <v> </v>
      </c>
      <c r="Q102" s="318" t="str">
        <f aca="false">IF($A102="N/A"," ",IF(Pricetype1=2,MAX(H102,0),IF(OR(Pricetype1=1,Pricetype1=4),IF(H102=0,0,(EURO(H102,Strikeprice1,0,0,($AK102+IF(Smile=TRUE(),VLOOKUP(MAX(-5,Strikeprice1-H102),Volsmile,2),0)),($A102-DateToday)+15,IF(Pricetype1=1,1,0),0))),H102)))</f>
        <v> </v>
      </c>
      <c r="R102" s="318" t="str">
        <f aca="false">IF($A102="N/A"," ",IF(Pricetype1=2,MAX(I102,0),IF(OR(Pricetype1=1,Pricetype1=4),IF(I102=0,0,(EURO(I102,Strikeprice1,0,0,($AK102+IF(Smile=TRUE(),VLOOKUP(MAX(-5,Strikeprice1-I102),Volsmile,2),0)),($A102-DateToday)+15,IF(Pricetype1=1,1,0),0))),I102)))</f>
        <v> </v>
      </c>
      <c r="S102" s="318" t="str">
        <f aca="false">IF($A102="N/A"," ",IF(Pricetype1=2,MAX(J102,0),IF(OR(Pricetype1=1,Pricetype1=4),IF(J102=0,0,(EURO(J102,Strikeprice1,0,0,($AK102+IF(Smile=TRUE(),VLOOKUP(MAX(-5,Strikeprice1-J102),Volsmile,2),0)),($A102-DateToday)+15,IF(Pricetype1=1,1,0),0))),J102)))</f>
        <v> </v>
      </c>
      <c r="T102" s="318" t="str">
        <f aca="false">IF($A102="N/A"," ",IF(Pricetype1=2,MAX(K102,0),IF(OR(Pricetype1=1,Pricetype1=4),IF(K102=0,0,(EURO(K102,Strikeprice1,0,0,($AK102+IF(Smile=TRUE(),VLOOKUP(MAX(-5,Strikeprice1-K102),Volsmile,2),0)),($A102-DateToday)+15,IF(Pricetype1=1,1,0),0))),K102)))</f>
        <v> </v>
      </c>
      <c r="U102" s="319" t="str">
        <f aca="false">IF($A102="N/A"," ",Volume1*$AM102)</f>
        <v> </v>
      </c>
      <c r="V102" s="320" t="str">
        <f aca="false">IF($A102="N/A"," ",$U102*(8*($BQ102))*L102)</f>
        <v> </v>
      </c>
      <c r="W102" s="320" t="str">
        <f aca="false">IF($A102="N/A"," ",$U102*(8*($BQ102))*M102)</f>
        <v> </v>
      </c>
      <c r="X102" s="320" t="str">
        <f aca="false">IF($A102="N/A"," ",$U102*(8*($BQ102))*N102)</f>
        <v> </v>
      </c>
      <c r="Y102" s="320" t="str">
        <f aca="false">IF($A102="N/A"," ",$U102*(8*($BR102))*O102)</f>
        <v> </v>
      </c>
      <c r="Z102" s="320" t="str">
        <f aca="false">IF($A102="N/A"," ",$U102*(8*($BR102))*P102)</f>
        <v> </v>
      </c>
      <c r="AA102" s="320" t="str">
        <f aca="false">IF($A102="N/A"," ",$U102*(8*($BR102))*Q102)</f>
        <v> </v>
      </c>
      <c r="AB102" s="320" t="str">
        <f aca="false">IF($A102="N/A"," ",$U102*(8*($BS102))*R102)</f>
        <v> </v>
      </c>
      <c r="AC102" s="320" t="str">
        <f aca="false">IF($A102="N/A"," ",$U102*(8*($BS102))*S102)</f>
        <v> </v>
      </c>
      <c r="AD102" s="320" t="str">
        <f aca="false">IF($A102="N/A"," ",$U102*(8*($BS102))*T102)</f>
        <v> </v>
      </c>
      <c r="AE102" s="320" t="str">
        <f aca="false">IF($A102="N/A"," ",SUM(V102:AD102))</f>
        <v> </v>
      </c>
      <c r="AF102" s="321" t="str">
        <f aca="false">IF(A102="N/A"," ",(VLOOKUP(A102,PowerVolTable,(IF(VolBMO1=2,7,IF(VolBMO1=1,6,8))),FALSE())))</f>
        <v> </v>
      </c>
      <c r="AG102" s="321" t="str">
        <f aca="false">IF(A102="N/A"," ",(VLOOKUP(A102,IntraPowerVol,(IF(VolBMO1=2,3,IF(VolBMO1=1,2,4))),FALSE())*VLOOKUP(MONTH($A102),Volscale,2)))</f>
        <v> </v>
      </c>
      <c r="AH102" s="321" t="str">
        <f aca="false">IF($A102="N/A"," ",IF(VolType1=1,AG102,AF102))</f>
        <v> </v>
      </c>
      <c r="AI102" s="321" t="str">
        <f aca="false">IF($A102="N/A"," ",(VLOOKUP($A102,OffPwrVolTable,(IF(VolBMO1=2,7,IF(VolBMO1=1,6,8))),FALSE())))</f>
        <v> </v>
      </c>
      <c r="AJ102" s="321" t="str">
        <f aca="false">IF($A102="N/A"," ",(VLOOKUP($A102,OffPwrVolTable,(IF(VolBMO1=2,3,IF(VolBMO1=1,2,4))),FALSE())*VLOOKUP(MONTH($A102),Volscale,2)))</f>
        <v> </v>
      </c>
      <c r="AK102" s="321" t="str">
        <f aca="false">IF($A102="N/A"," ",IF(VolType1=1,AJ102,AI102))</f>
        <v> </v>
      </c>
      <c r="AL102" s="321" t="str">
        <f aca="false">IF($A102="N/A"," ",IF(PV=1,0,'Pricing Inputs1'!R135))</f>
        <v> </v>
      </c>
      <c r="AM102" s="323" t="str">
        <f aca="false">IF($A102="N/A"," ",(1+AL102/2)^(-2*((EOMONTH(A102,0)+20)-DateToday)/365.25))</f>
        <v> </v>
      </c>
      <c r="BQ102" s="0" t="str">
        <f aca="false">IF($A102="N/A"," ",(VLOOKUP($A102,NumberofDaysTable,2)))</f>
        <v> </v>
      </c>
      <c r="BR102" s="0" t="str">
        <f aca="false">IF($A102="N/A"," ",(VLOOKUP($A102,NumberofDaysTable,3)))</f>
        <v> </v>
      </c>
      <c r="BS102" s="0" t="str">
        <f aca="false">IF($A102="N/A"," ",(VLOOKUP($A102,NumberofDaysTable,4)))</f>
        <v> </v>
      </c>
    </row>
    <row r="103" customFormat="false" ht="12.75" hidden="false" customHeight="false" outlineLevel="0" collapsed="false">
      <c r="A103" s="315" t="str">
        <f aca="false">IF(A102="N/A","N/A",IF(EDATE(A102,1)&gt;Inputs!$M$5,"N/A",EDATE(A102,1)))</f>
        <v>N/A</v>
      </c>
      <c r="B103" s="316" t="str">
        <f aca="false">IF(A103="N/A"," ",YEAR(A103))</f>
        <v> </v>
      </c>
      <c r="C103" s="317" t="str">
        <f aca="false">IF($A103="N/A"," ",IF(Dayrun1=10,0,IF(Scaler1=1,(VLOOKUP(A103,ScaledPrice1,4)),(VLOOKUP(A103,ScaledPrice1,2)))))</f>
        <v> </v>
      </c>
      <c r="D103" s="317" t="str">
        <f aca="false">IF(A103="N/A"," ",IF(Dayrun1&gt;=7,0,IF(Scaler1=2,VLOOKUP(A103,ScaledPrice1,2),(VLOOKUP(A103,ScaledPrice1,2))*(2-(VLOOKUP(A103,ScaledPrice1,3))))))</f>
        <v> </v>
      </c>
      <c r="E103" s="317" t="str">
        <f aca="false">IF($A103="N/A"," ",IF(AND(Dayrun1&gt;=4,Dayrun1&lt;=9),0,VLOOKUP($A103,ScaledPrice1,9)))</f>
        <v> </v>
      </c>
      <c r="F103" s="317" t="str">
        <f aca="false">IF(A103="N/A"," ",IF(OR(Dayrun1=2,Dayrun1=3,Dayrun1=5,Dayrun1=6,Dayrun1=8,Dayrun1=9),VLOOKUP(A103,ScaledPrice1,IF(Scaler1=1,6,5)),0))</f>
        <v> </v>
      </c>
      <c r="G103" s="317" t="str">
        <f aca="false">IF(A103="N/A"," ",IF(OR(Dayrun1=2,Dayrun1=3,Dayrun1=5,Dayrun1=6),IF(Scaler1=2,F103,(VLOOKUP(A103,ScaledPrice1,5))*(2-(VLOOKUP(A103,ScaledPrice1,3)))),0))</f>
        <v> </v>
      </c>
      <c r="H103" s="317" t="str">
        <f aca="false">IF($A103="N/A"," ",IF(OR(Dayrun1=2,Dayrun1=3,Dayrun1=10),VLOOKUP($A103,ScaledPrice1,9),0))</f>
        <v> </v>
      </c>
      <c r="I103" s="317" t="str">
        <f aca="false">IF(A103="N/A"," ",IF(OR(Dayrun1=3,Dayrun1=6,Dayrun1=9),(VLOOKUP(A103,ScaledPrice1,IF(Scaler1=2,7,8))),0))</f>
        <v> </v>
      </c>
      <c r="J103" s="317" t="str">
        <f aca="false">IF(A103="N/A"," ",IF(OR(Dayrun1=3,Dayrun1=6),IF(Scaler1=2,I103,(VLOOKUP(A103,ScaledPrice1,7))*(2-(VLOOKUP(A103,ScaledPrice1,3)))),0))</f>
        <v> </v>
      </c>
      <c r="K103" s="317" t="str">
        <f aca="false">IF($A103="N/A"," ",IF(OR(Dayrun1=3,Dayrun1=10),VLOOKUP($A103,ScaledPrice1,9),0))</f>
        <v> </v>
      </c>
      <c r="L103" s="318" t="str">
        <f aca="false">IF($A103="N/A"," ",IF(Pricetype1=2,MAX(C103,0),IF(OR(Pricetype1=1,Pricetype1=4),IF(C103=0,0,(EURO(C103,Strikeprice1,0,0,($AH103+IF(Smile=TRUE(),VLOOKUP(MAX(-5,Strikeprice1-C103),Volsmile,2),0)),($A103-DateToday)+15,IF(Pricetype1=1,1,0),0))),C103)))</f>
        <v> </v>
      </c>
      <c r="M103" s="318" t="str">
        <f aca="false">IF($A103="N/A"," ",IF(Pricetype1=2,MAX(D103,0),IF(OR(Pricetype1=1,Pricetype1=4),IF(D103=0,0,(EURO(D103,Strikeprice1,0,0,($AH103+IF(Smile=TRUE(),VLOOKUP(MAX(-5,Strikeprice1-D103),Volsmile,2),0)),($A103-DateToday)+15,IF(Pricetype1=1,1,0),0))),D103)))</f>
        <v> </v>
      </c>
      <c r="N103" s="318" t="str">
        <f aca="false">IF($A103="N/A"," ",IF(Pricetype1=2,MAX(E103,0),IF(OR(Pricetype1=1,Pricetype1=4),IF(E103=0,0,(EURO(E103,Strikeprice1,0,0,($AK103+IF(Smile=TRUE(),VLOOKUP(MAX(-5,Strikeprice1-E103),Volsmile,2),0)),($A103-DateToday)+15,IF(Pricetype1=1,1,0),0))),E103)))</f>
        <v> </v>
      </c>
      <c r="O103" s="318" t="str">
        <f aca="false">IF($A103="N/A"," ",IF(Pricetype1=2,MAX(F103,0),IF(OR(Pricetype1=1,Pricetype1=4),IF(F103=0,0,(EURO(F103,Strikeprice1,0,0,($AK103+IF(Smile=TRUE(),VLOOKUP(MAX(-5,Strikeprice1-F103),Volsmile,2),0)),($A103-DateToday)+15,IF(Pricetype1=1,1,0),0))),F103)))</f>
        <v> </v>
      </c>
      <c r="P103" s="318" t="str">
        <f aca="false">IF($A103="N/A"," ",IF(Pricetype1=2,MAX(G103,0),IF(OR(Pricetype1=1,Pricetype1=4),IF(G103=0,0,(EURO(G103,Strikeprice1,0,0,($AK103+IF(Smile=TRUE(),VLOOKUP(MAX(-5,Strikeprice1-G103),Volsmile,2),0)),($A103-DateToday)+15,IF(Pricetype1=1,1,0),0))),G103)))</f>
        <v> </v>
      </c>
      <c r="Q103" s="318" t="str">
        <f aca="false">IF($A103="N/A"," ",IF(Pricetype1=2,MAX(H103,0),IF(OR(Pricetype1=1,Pricetype1=4),IF(H103=0,0,(EURO(H103,Strikeprice1,0,0,($AK103+IF(Smile=TRUE(),VLOOKUP(MAX(-5,Strikeprice1-H103),Volsmile,2),0)),($A103-DateToday)+15,IF(Pricetype1=1,1,0),0))),H103)))</f>
        <v> </v>
      </c>
      <c r="R103" s="318" t="str">
        <f aca="false">IF($A103="N/A"," ",IF(Pricetype1=2,MAX(I103,0),IF(OR(Pricetype1=1,Pricetype1=4),IF(I103=0,0,(EURO(I103,Strikeprice1,0,0,($AK103+IF(Smile=TRUE(),VLOOKUP(MAX(-5,Strikeprice1-I103),Volsmile,2),0)),($A103-DateToday)+15,IF(Pricetype1=1,1,0),0))),I103)))</f>
        <v> </v>
      </c>
      <c r="S103" s="318" t="str">
        <f aca="false">IF($A103="N/A"," ",IF(Pricetype1=2,MAX(J103,0),IF(OR(Pricetype1=1,Pricetype1=4),IF(J103=0,0,(EURO(J103,Strikeprice1,0,0,($AK103+IF(Smile=TRUE(),VLOOKUP(MAX(-5,Strikeprice1-J103),Volsmile,2),0)),($A103-DateToday)+15,IF(Pricetype1=1,1,0),0))),J103)))</f>
        <v> </v>
      </c>
      <c r="T103" s="318" t="str">
        <f aca="false">IF($A103="N/A"," ",IF(Pricetype1=2,MAX(K103,0),IF(OR(Pricetype1=1,Pricetype1=4),IF(K103=0,0,(EURO(K103,Strikeprice1,0,0,($AK103+IF(Smile=TRUE(),VLOOKUP(MAX(-5,Strikeprice1-K103),Volsmile,2),0)),($A103-DateToday)+15,IF(Pricetype1=1,1,0),0))),K103)))</f>
        <v> </v>
      </c>
      <c r="U103" s="319" t="str">
        <f aca="false">IF($A103="N/A"," ",Volume1*$AM103)</f>
        <v> </v>
      </c>
      <c r="V103" s="320" t="str">
        <f aca="false">IF($A103="N/A"," ",$U103*(8*($BQ103))*L103)</f>
        <v> </v>
      </c>
      <c r="W103" s="320" t="str">
        <f aca="false">IF($A103="N/A"," ",$U103*(8*($BQ103))*M103)</f>
        <v> </v>
      </c>
      <c r="X103" s="320" t="str">
        <f aca="false">IF($A103="N/A"," ",$U103*(8*($BQ103))*N103)</f>
        <v> </v>
      </c>
      <c r="Y103" s="320" t="str">
        <f aca="false">IF($A103="N/A"," ",$U103*(8*($BR103))*O103)</f>
        <v> </v>
      </c>
      <c r="Z103" s="320" t="str">
        <f aca="false">IF($A103="N/A"," ",$U103*(8*($BR103))*P103)</f>
        <v> </v>
      </c>
      <c r="AA103" s="320" t="str">
        <f aca="false">IF($A103="N/A"," ",$U103*(8*($BR103))*Q103)</f>
        <v> </v>
      </c>
      <c r="AB103" s="320" t="str">
        <f aca="false">IF($A103="N/A"," ",$U103*(8*($BS103))*R103)</f>
        <v> </v>
      </c>
      <c r="AC103" s="320" t="str">
        <f aca="false">IF($A103="N/A"," ",$U103*(8*($BS103))*S103)</f>
        <v> </v>
      </c>
      <c r="AD103" s="320" t="str">
        <f aca="false">IF($A103="N/A"," ",$U103*(8*($BS103))*T103)</f>
        <v> </v>
      </c>
      <c r="AE103" s="320" t="str">
        <f aca="false">IF($A103="N/A"," ",SUM(V103:AD103))</f>
        <v> </v>
      </c>
      <c r="AF103" s="321" t="str">
        <f aca="false">IF(A103="N/A"," ",(VLOOKUP(A103,PowerVolTable,(IF(VolBMO1=2,7,IF(VolBMO1=1,6,8))),FALSE())))</f>
        <v> </v>
      </c>
      <c r="AG103" s="321" t="str">
        <f aca="false">IF(A103="N/A"," ",(VLOOKUP(A103,IntraPowerVol,(IF(VolBMO1=2,3,IF(VolBMO1=1,2,4))),FALSE())*VLOOKUP(MONTH($A103),Volscale,2)))</f>
        <v> </v>
      </c>
      <c r="AH103" s="321" t="str">
        <f aca="false">IF($A103="N/A"," ",IF(VolType1=1,AG103,AF103))</f>
        <v> </v>
      </c>
      <c r="AI103" s="321" t="str">
        <f aca="false">IF($A103="N/A"," ",(VLOOKUP($A103,OffPwrVolTable,(IF(VolBMO1=2,7,IF(VolBMO1=1,6,8))),FALSE())))</f>
        <v> </v>
      </c>
      <c r="AJ103" s="321" t="str">
        <f aca="false">IF($A103="N/A"," ",(VLOOKUP($A103,OffPwrVolTable,(IF(VolBMO1=2,3,IF(VolBMO1=1,2,4))),FALSE())*VLOOKUP(MONTH($A103),Volscale,2)))</f>
        <v> </v>
      </c>
      <c r="AK103" s="321" t="str">
        <f aca="false">IF($A103="N/A"," ",IF(VolType1=1,AJ103,AI103))</f>
        <v> </v>
      </c>
      <c r="AL103" s="321" t="str">
        <f aca="false">IF($A103="N/A"," ",IF(PV=1,0,'Pricing Inputs1'!R136))</f>
        <v> </v>
      </c>
      <c r="AM103" s="323" t="str">
        <f aca="false">IF($A103="N/A"," ",(1+AL103/2)^(-2*((EOMONTH(A103,0)+20)-DateToday)/365.25))</f>
        <v> </v>
      </c>
      <c r="BQ103" s="0" t="str">
        <f aca="false">IF($A103="N/A"," ",(VLOOKUP($A103,NumberofDaysTable,2)))</f>
        <v> </v>
      </c>
      <c r="BR103" s="0" t="str">
        <f aca="false">IF($A103="N/A"," ",(VLOOKUP($A103,NumberofDaysTable,3)))</f>
        <v> </v>
      </c>
      <c r="BS103" s="0" t="str">
        <f aca="false">IF($A103="N/A"," ",(VLOOKUP($A103,NumberofDaysTable,4)))</f>
        <v> </v>
      </c>
    </row>
    <row r="104" customFormat="false" ht="12.75" hidden="false" customHeight="false" outlineLevel="0" collapsed="false">
      <c r="A104" s="315" t="str">
        <f aca="false">IF(A103="N/A","N/A",IF(EDATE(A103,1)&gt;Inputs!$M$5,"N/A",EDATE(A103,1)))</f>
        <v>N/A</v>
      </c>
      <c r="B104" s="316" t="str">
        <f aca="false">IF(A104="N/A"," ",YEAR(A104))</f>
        <v> </v>
      </c>
      <c r="C104" s="317" t="str">
        <f aca="false">IF($A104="N/A"," ",IF(Dayrun1=10,0,IF(Scaler1=1,(VLOOKUP(A104,ScaledPrice1,4)),(VLOOKUP(A104,ScaledPrice1,2)))))</f>
        <v> </v>
      </c>
      <c r="D104" s="317" t="str">
        <f aca="false">IF(A104="N/A"," ",IF(Dayrun1&gt;=7,0,IF(Scaler1=2,VLOOKUP(A104,ScaledPrice1,2),(VLOOKUP(A104,ScaledPrice1,2))*(2-(VLOOKUP(A104,ScaledPrice1,3))))))</f>
        <v> </v>
      </c>
      <c r="E104" s="317" t="str">
        <f aca="false">IF($A104="N/A"," ",IF(AND(Dayrun1&gt;=4,Dayrun1&lt;=9),0,VLOOKUP($A104,ScaledPrice1,9)))</f>
        <v> </v>
      </c>
      <c r="F104" s="317" t="str">
        <f aca="false">IF(A104="N/A"," ",IF(OR(Dayrun1=2,Dayrun1=3,Dayrun1=5,Dayrun1=6,Dayrun1=8,Dayrun1=9),VLOOKUP(A104,ScaledPrice1,IF(Scaler1=1,6,5)),0))</f>
        <v> </v>
      </c>
      <c r="G104" s="317" t="str">
        <f aca="false">IF(A104="N/A"," ",IF(OR(Dayrun1=2,Dayrun1=3,Dayrun1=5,Dayrun1=6),IF(Scaler1=2,F104,(VLOOKUP(A104,ScaledPrice1,5))*(2-(VLOOKUP(A104,ScaledPrice1,3)))),0))</f>
        <v> </v>
      </c>
      <c r="H104" s="317" t="str">
        <f aca="false">IF($A104="N/A"," ",IF(OR(Dayrun1=2,Dayrun1=3,Dayrun1=10),VLOOKUP($A104,ScaledPrice1,9),0))</f>
        <v> </v>
      </c>
      <c r="I104" s="317" t="str">
        <f aca="false">IF(A104="N/A"," ",IF(OR(Dayrun1=3,Dayrun1=6,Dayrun1=9),(VLOOKUP(A104,ScaledPrice1,IF(Scaler1=2,7,8))),0))</f>
        <v> </v>
      </c>
      <c r="J104" s="317" t="str">
        <f aca="false">IF(A104="N/A"," ",IF(OR(Dayrun1=3,Dayrun1=6),IF(Scaler1=2,I104,(VLOOKUP(A104,ScaledPrice1,7))*(2-(VLOOKUP(A104,ScaledPrice1,3)))),0))</f>
        <v> </v>
      </c>
      <c r="K104" s="317" t="str">
        <f aca="false">IF($A104="N/A"," ",IF(OR(Dayrun1=3,Dayrun1=10),VLOOKUP($A104,ScaledPrice1,9),0))</f>
        <v> </v>
      </c>
      <c r="L104" s="318" t="str">
        <f aca="false">IF($A104="N/A"," ",IF(Pricetype1=2,MAX(C104,0),IF(OR(Pricetype1=1,Pricetype1=4),IF(C104=0,0,(EURO(C104,Strikeprice1,0,0,($AH104+IF(Smile=TRUE(),VLOOKUP(MAX(-5,Strikeprice1-C104),Volsmile,2),0)),($A104-DateToday)+15,IF(Pricetype1=1,1,0),0))),C104)))</f>
        <v> </v>
      </c>
      <c r="M104" s="318" t="str">
        <f aca="false">IF($A104="N/A"," ",IF(Pricetype1=2,MAX(D104,0),IF(OR(Pricetype1=1,Pricetype1=4),IF(D104=0,0,(EURO(D104,Strikeprice1,0,0,($AH104+IF(Smile=TRUE(),VLOOKUP(MAX(-5,Strikeprice1-D104),Volsmile,2),0)),($A104-DateToday)+15,IF(Pricetype1=1,1,0),0))),D104)))</f>
        <v> </v>
      </c>
      <c r="N104" s="318" t="str">
        <f aca="false">IF($A104="N/A"," ",IF(Pricetype1=2,MAX(E104,0),IF(OR(Pricetype1=1,Pricetype1=4),IF(E104=0,0,(EURO(E104,Strikeprice1,0,0,($AK104+IF(Smile=TRUE(),VLOOKUP(MAX(-5,Strikeprice1-E104),Volsmile,2),0)),($A104-DateToday)+15,IF(Pricetype1=1,1,0),0))),E104)))</f>
        <v> </v>
      </c>
      <c r="O104" s="318" t="str">
        <f aca="false">IF($A104="N/A"," ",IF(Pricetype1=2,MAX(F104,0),IF(OR(Pricetype1=1,Pricetype1=4),IF(F104=0,0,(EURO(F104,Strikeprice1,0,0,($AK104+IF(Smile=TRUE(),VLOOKUP(MAX(-5,Strikeprice1-F104),Volsmile,2),0)),($A104-DateToday)+15,IF(Pricetype1=1,1,0),0))),F104)))</f>
        <v> </v>
      </c>
      <c r="P104" s="318" t="str">
        <f aca="false">IF($A104="N/A"," ",IF(Pricetype1=2,MAX(G104,0),IF(OR(Pricetype1=1,Pricetype1=4),IF(G104=0,0,(EURO(G104,Strikeprice1,0,0,($AK104+IF(Smile=TRUE(),VLOOKUP(MAX(-5,Strikeprice1-G104),Volsmile,2),0)),($A104-DateToday)+15,IF(Pricetype1=1,1,0),0))),G104)))</f>
        <v> </v>
      </c>
      <c r="Q104" s="318" t="str">
        <f aca="false">IF($A104="N/A"," ",IF(Pricetype1=2,MAX(H104,0),IF(OR(Pricetype1=1,Pricetype1=4),IF(H104=0,0,(EURO(H104,Strikeprice1,0,0,($AK104+IF(Smile=TRUE(),VLOOKUP(MAX(-5,Strikeprice1-H104),Volsmile,2),0)),($A104-DateToday)+15,IF(Pricetype1=1,1,0),0))),H104)))</f>
        <v> </v>
      </c>
      <c r="R104" s="318" t="str">
        <f aca="false">IF($A104="N/A"," ",IF(Pricetype1=2,MAX(I104,0),IF(OR(Pricetype1=1,Pricetype1=4),IF(I104=0,0,(EURO(I104,Strikeprice1,0,0,($AK104+IF(Smile=TRUE(),VLOOKUP(MAX(-5,Strikeprice1-I104),Volsmile,2),0)),($A104-DateToday)+15,IF(Pricetype1=1,1,0),0))),I104)))</f>
        <v> </v>
      </c>
      <c r="S104" s="318" t="str">
        <f aca="false">IF($A104="N/A"," ",IF(Pricetype1=2,MAX(J104,0),IF(OR(Pricetype1=1,Pricetype1=4),IF(J104=0,0,(EURO(J104,Strikeprice1,0,0,($AK104+IF(Smile=TRUE(),VLOOKUP(MAX(-5,Strikeprice1-J104),Volsmile,2),0)),($A104-DateToday)+15,IF(Pricetype1=1,1,0),0))),J104)))</f>
        <v> </v>
      </c>
      <c r="T104" s="318" t="str">
        <f aca="false">IF($A104="N/A"," ",IF(Pricetype1=2,MAX(K104,0),IF(OR(Pricetype1=1,Pricetype1=4),IF(K104=0,0,(EURO(K104,Strikeprice1,0,0,($AK104+IF(Smile=TRUE(),VLOOKUP(MAX(-5,Strikeprice1-K104),Volsmile,2),0)),($A104-DateToday)+15,IF(Pricetype1=1,1,0),0))),K104)))</f>
        <v> </v>
      </c>
      <c r="U104" s="319" t="str">
        <f aca="false">IF($A104="N/A"," ",Volume1*$AM104)</f>
        <v> </v>
      </c>
      <c r="V104" s="320" t="str">
        <f aca="false">IF($A104="N/A"," ",$U104*(8*($BQ104))*L104)</f>
        <v> </v>
      </c>
      <c r="W104" s="320" t="str">
        <f aca="false">IF($A104="N/A"," ",$U104*(8*($BQ104))*M104)</f>
        <v> </v>
      </c>
      <c r="X104" s="320" t="str">
        <f aca="false">IF($A104="N/A"," ",$U104*(8*($BQ104))*N104)</f>
        <v> </v>
      </c>
      <c r="Y104" s="320" t="str">
        <f aca="false">IF($A104="N/A"," ",$U104*(8*($BR104))*O104)</f>
        <v> </v>
      </c>
      <c r="Z104" s="320" t="str">
        <f aca="false">IF($A104="N/A"," ",$U104*(8*($BR104))*P104)</f>
        <v> </v>
      </c>
      <c r="AA104" s="320" t="str">
        <f aca="false">IF($A104="N/A"," ",$U104*(8*($BR104))*Q104)</f>
        <v> </v>
      </c>
      <c r="AB104" s="320" t="str">
        <f aca="false">IF($A104="N/A"," ",$U104*(8*($BS104))*R104)</f>
        <v> </v>
      </c>
      <c r="AC104" s="320" t="str">
        <f aca="false">IF($A104="N/A"," ",$U104*(8*($BS104))*S104)</f>
        <v> </v>
      </c>
      <c r="AD104" s="320" t="str">
        <f aca="false">IF($A104="N/A"," ",$U104*(8*($BS104))*T104)</f>
        <v> </v>
      </c>
      <c r="AE104" s="320" t="str">
        <f aca="false">IF($A104="N/A"," ",SUM(V104:AD104))</f>
        <v> </v>
      </c>
      <c r="AF104" s="321" t="str">
        <f aca="false">IF(A104="N/A"," ",(VLOOKUP(A104,PowerVolTable,(IF(VolBMO1=2,7,IF(VolBMO1=1,6,8))),FALSE())))</f>
        <v> </v>
      </c>
      <c r="AG104" s="321" t="str">
        <f aca="false">IF(A104="N/A"," ",(VLOOKUP(A104,IntraPowerVol,(IF(VolBMO1=2,3,IF(VolBMO1=1,2,4))),FALSE())*VLOOKUP(MONTH($A104),Volscale,2)))</f>
        <v> </v>
      </c>
      <c r="AH104" s="321" t="str">
        <f aca="false">IF($A104="N/A"," ",IF(VolType1=1,AG104,AF104))</f>
        <v> </v>
      </c>
      <c r="AI104" s="321" t="str">
        <f aca="false">IF($A104="N/A"," ",(VLOOKUP($A104,OffPwrVolTable,(IF(VolBMO1=2,7,IF(VolBMO1=1,6,8))),FALSE())))</f>
        <v> </v>
      </c>
      <c r="AJ104" s="321" t="str">
        <f aca="false">IF($A104="N/A"," ",(VLOOKUP($A104,OffPwrVolTable,(IF(VolBMO1=2,3,IF(VolBMO1=1,2,4))),FALSE())*VLOOKUP(MONTH($A104),Volscale,2)))</f>
        <v> </v>
      </c>
      <c r="AK104" s="321" t="str">
        <f aca="false">IF($A104="N/A"," ",IF(VolType1=1,AJ104,AI104))</f>
        <v> </v>
      </c>
      <c r="AL104" s="321" t="str">
        <f aca="false">IF($A104="N/A"," ",IF(PV=1,0,'Pricing Inputs1'!R137))</f>
        <v> </v>
      </c>
      <c r="AM104" s="323" t="str">
        <f aca="false">IF($A104="N/A"," ",(1+AL104/2)^(-2*((EOMONTH(A104,0)+20)-DateToday)/365.25))</f>
        <v> </v>
      </c>
      <c r="BQ104" s="0" t="str">
        <f aca="false">IF($A104="N/A"," ",(VLOOKUP($A104,NumberofDaysTable,2)))</f>
        <v> </v>
      </c>
      <c r="BR104" s="0" t="str">
        <f aca="false">IF($A104="N/A"," ",(VLOOKUP($A104,NumberofDaysTable,3)))</f>
        <v> </v>
      </c>
      <c r="BS104" s="0" t="str">
        <f aca="false">IF($A104="N/A"," ",(VLOOKUP($A104,NumberofDaysTable,4)))</f>
        <v> </v>
      </c>
    </row>
    <row r="105" customFormat="false" ht="12.75" hidden="false" customHeight="false" outlineLevel="0" collapsed="false">
      <c r="A105" s="315" t="str">
        <f aca="false">IF(A104="N/A","N/A",IF(EDATE(A104,1)&gt;Inputs!$M$5,"N/A",EDATE(A104,1)))</f>
        <v>N/A</v>
      </c>
      <c r="B105" s="316" t="str">
        <f aca="false">IF(A105="N/A"," ",YEAR(A105))</f>
        <v> </v>
      </c>
      <c r="C105" s="317" t="str">
        <f aca="false">IF($A105="N/A"," ",IF(Dayrun1=10,0,IF(Scaler1=1,(VLOOKUP(A105,ScaledPrice1,4)),(VLOOKUP(A105,ScaledPrice1,2)))))</f>
        <v> </v>
      </c>
      <c r="D105" s="317" t="str">
        <f aca="false">IF(A105="N/A"," ",IF(Dayrun1&gt;=7,0,IF(Scaler1=2,VLOOKUP(A105,ScaledPrice1,2),(VLOOKUP(A105,ScaledPrice1,2))*(2-(VLOOKUP(A105,ScaledPrice1,3))))))</f>
        <v> </v>
      </c>
      <c r="E105" s="317" t="str">
        <f aca="false">IF($A105="N/A"," ",IF(AND(Dayrun1&gt;=4,Dayrun1&lt;=9),0,VLOOKUP($A105,ScaledPrice1,9)))</f>
        <v> </v>
      </c>
      <c r="F105" s="317" t="str">
        <f aca="false">IF(A105="N/A"," ",IF(OR(Dayrun1=2,Dayrun1=3,Dayrun1=5,Dayrun1=6,Dayrun1=8,Dayrun1=9),VLOOKUP(A105,ScaledPrice1,IF(Scaler1=1,6,5)),0))</f>
        <v> </v>
      </c>
      <c r="G105" s="317" t="str">
        <f aca="false">IF(A105="N/A"," ",IF(OR(Dayrun1=2,Dayrun1=3,Dayrun1=5,Dayrun1=6),IF(Scaler1=2,F105,(VLOOKUP(A105,ScaledPrice1,5))*(2-(VLOOKUP(A105,ScaledPrice1,3)))),0))</f>
        <v> </v>
      </c>
      <c r="H105" s="317" t="str">
        <f aca="false">IF($A105="N/A"," ",IF(OR(Dayrun1=2,Dayrun1=3,Dayrun1=10),VLOOKUP($A105,ScaledPrice1,9),0))</f>
        <v> </v>
      </c>
      <c r="I105" s="317" t="str">
        <f aca="false">IF(A105="N/A"," ",IF(OR(Dayrun1=3,Dayrun1=6,Dayrun1=9),(VLOOKUP(A105,ScaledPrice1,IF(Scaler1=2,7,8))),0))</f>
        <v> </v>
      </c>
      <c r="J105" s="317" t="str">
        <f aca="false">IF(A105="N/A"," ",IF(OR(Dayrun1=3,Dayrun1=6),IF(Scaler1=2,I105,(VLOOKUP(A105,ScaledPrice1,7))*(2-(VLOOKUP(A105,ScaledPrice1,3)))),0))</f>
        <v> </v>
      </c>
      <c r="K105" s="317" t="str">
        <f aca="false">IF($A105="N/A"," ",IF(OR(Dayrun1=3,Dayrun1=10),VLOOKUP($A105,ScaledPrice1,9),0))</f>
        <v> </v>
      </c>
      <c r="L105" s="318" t="str">
        <f aca="false">IF($A105="N/A"," ",IF(Pricetype1=2,MAX(C105,0),IF(OR(Pricetype1=1,Pricetype1=4),IF(C105=0,0,(EURO(C105,Strikeprice1,0,0,($AH105+IF(Smile=TRUE(),VLOOKUP(MAX(-5,Strikeprice1-C105),Volsmile,2),0)),($A105-DateToday)+15,IF(Pricetype1=1,1,0),0))),C105)))</f>
        <v> </v>
      </c>
      <c r="M105" s="318" t="str">
        <f aca="false">IF($A105="N/A"," ",IF(Pricetype1=2,MAX(D105,0),IF(OR(Pricetype1=1,Pricetype1=4),IF(D105=0,0,(EURO(D105,Strikeprice1,0,0,($AH105+IF(Smile=TRUE(),VLOOKUP(MAX(-5,Strikeprice1-D105),Volsmile,2),0)),($A105-DateToday)+15,IF(Pricetype1=1,1,0),0))),D105)))</f>
        <v> </v>
      </c>
      <c r="N105" s="318" t="str">
        <f aca="false">IF($A105="N/A"," ",IF(Pricetype1=2,MAX(E105,0),IF(OR(Pricetype1=1,Pricetype1=4),IF(E105=0,0,(EURO(E105,Strikeprice1,0,0,($AK105+IF(Smile=TRUE(),VLOOKUP(MAX(-5,Strikeprice1-E105),Volsmile,2),0)),($A105-DateToday)+15,IF(Pricetype1=1,1,0),0))),E105)))</f>
        <v> </v>
      </c>
      <c r="O105" s="318" t="str">
        <f aca="false">IF($A105="N/A"," ",IF(Pricetype1=2,MAX(F105,0),IF(OR(Pricetype1=1,Pricetype1=4),IF(F105=0,0,(EURO(F105,Strikeprice1,0,0,($AK105+IF(Smile=TRUE(),VLOOKUP(MAX(-5,Strikeprice1-F105),Volsmile,2),0)),($A105-DateToday)+15,IF(Pricetype1=1,1,0),0))),F105)))</f>
        <v> </v>
      </c>
      <c r="P105" s="318" t="str">
        <f aca="false">IF($A105="N/A"," ",IF(Pricetype1=2,MAX(G105,0),IF(OR(Pricetype1=1,Pricetype1=4),IF(G105=0,0,(EURO(G105,Strikeprice1,0,0,($AK105+IF(Smile=TRUE(),VLOOKUP(MAX(-5,Strikeprice1-G105),Volsmile,2),0)),($A105-DateToday)+15,IF(Pricetype1=1,1,0),0))),G105)))</f>
        <v> </v>
      </c>
      <c r="Q105" s="318" t="str">
        <f aca="false">IF($A105="N/A"," ",IF(Pricetype1=2,MAX(H105,0),IF(OR(Pricetype1=1,Pricetype1=4),IF(H105=0,0,(EURO(H105,Strikeprice1,0,0,($AK105+IF(Smile=TRUE(),VLOOKUP(MAX(-5,Strikeprice1-H105),Volsmile,2),0)),($A105-DateToday)+15,IF(Pricetype1=1,1,0),0))),H105)))</f>
        <v> </v>
      </c>
      <c r="R105" s="318" t="str">
        <f aca="false">IF($A105="N/A"," ",IF(Pricetype1=2,MAX(I105,0),IF(OR(Pricetype1=1,Pricetype1=4),IF(I105=0,0,(EURO(I105,Strikeprice1,0,0,($AK105+IF(Smile=TRUE(),VLOOKUP(MAX(-5,Strikeprice1-I105),Volsmile,2),0)),($A105-DateToday)+15,IF(Pricetype1=1,1,0),0))),I105)))</f>
        <v> </v>
      </c>
      <c r="S105" s="318" t="str">
        <f aca="false">IF($A105="N/A"," ",IF(Pricetype1=2,MAX(J105,0),IF(OR(Pricetype1=1,Pricetype1=4),IF(J105=0,0,(EURO(J105,Strikeprice1,0,0,($AK105+IF(Smile=TRUE(),VLOOKUP(MAX(-5,Strikeprice1-J105),Volsmile,2),0)),($A105-DateToday)+15,IF(Pricetype1=1,1,0),0))),J105)))</f>
        <v> </v>
      </c>
      <c r="T105" s="318" t="str">
        <f aca="false">IF($A105="N/A"," ",IF(Pricetype1=2,MAX(K105,0),IF(OR(Pricetype1=1,Pricetype1=4),IF(K105=0,0,(EURO(K105,Strikeprice1,0,0,($AK105+IF(Smile=TRUE(),VLOOKUP(MAX(-5,Strikeprice1-K105),Volsmile,2),0)),($A105-DateToday)+15,IF(Pricetype1=1,1,0),0))),K105)))</f>
        <v> </v>
      </c>
      <c r="U105" s="319" t="str">
        <f aca="false">IF($A105="N/A"," ",Volume1*$AM105)</f>
        <v> </v>
      </c>
      <c r="V105" s="320" t="str">
        <f aca="false">IF($A105="N/A"," ",$U105*(8*($BQ105))*L105)</f>
        <v> </v>
      </c>
      <c r="W105" s="320" t="str">
        <f aca="false">IF($A105="N/A"," ",$U105*(8*($BQ105))*M105)</f>
        <v> </v>
      </c>
      <c r="X105" s="320" t="str">
        <f aca="false">IF($A105="N/A"," ",$U105*(8*($BQ105))*N105)</f>
        <v> </v>
      </c>
      <c r="Y105" s="320" t="str">
        <f aca="false">IF($A105="N/A"," ",$U105*(8*($BR105))*O105)</f>
        <v> </v>
      </c>
      <c r="Z105" s="320" t="str">
        <f aca="false">IF($A105="N/A"," ",$U105*(8*($BR105))*P105)</f>
        <v> </v>
      </c>
      <c r="AA105" s="320" t="str">
        <f aca="false">IF($A105="N/A"," ",$U105*(8*($BR105))*Q105)</f>
        <v> </v>
      </c>
      <c r="AB105" s="320" t="str">
        <f aca="false">IF($A105="N/A"," ",$U105*(8*($BS105))*R105)</f>
        <v> </v>
      </c>
      <c r="AC105" s="320" t="str">
        <f aca="false">IF($A105="N/A"," ",$U105*(8*($BS105))*S105)</f>
        <v> </v>
      </c>
      <c r="AD105" s="320" t="str">
        <f aca="false">IF($A105="N/A"," ",$U105*(8*($BS105))*T105)</f>
        <v> </v>
      </c>
      <c r="AE105" s="320" t="str">
        <f aca="false">IF($A105="N/A"," ",SUM(V105:AD105))</f>
        <v> </v>
      </c>
      <c r="AF105" s="321" t="str">
        <f aca="false">IF(A105="N/A"," ",(VLOOKUP(A105,PowerVolTable,(IF(VolBMO1=2,7,IF(VolBMO1=1,6,8))),FALSE())))</f>
        <v> </v>
      </c>
      <c r="AG105" s="321" t="str">
        <f aca="false">IF(A105="N/A"," ",(VLOOKUP(A105,IntraPowerVol,(IF(VolBMO1=2,3,IF(VolBMO1=1,2,4))),FALSE())*VLOOKUP(MONTH($A105),Volscale,2)))</f>
        <v> </v>
      </c>
      <c r="AH105" s="321" t="str">
        <f aca="false">IF($A105="N/A"," ",IF(VolType1=1,AG105,AF105))</f>
        <v> </v>
      </c>
      <c r="AI105" s="321" t="str">
        <f aca="false">IF($A105="N/A"," ",(VLOOKUP($A105,OffPwrVolTable,(IF(VolBMO1=2,7,IF(VolBMO1=1,6,8))),FALSE())))</f>
        <v> </v>
      </c>
      <c r="AJ105" s="321" t="str">
        <f aca="false">IF($A105="N/A"," ",(VLOOKUP($A105,OffPwrVolTable,(IF(VolBMO1=2,3,IF(VolBMO1=1,2,4))),FALSE())*VLOOKUP(MONTH($A105),Volscale,2)))</f>
        <v> </v>
      </c>
      <c r="AK105" s="321" t="str">
        <f aca="false">IF($A105="N/A"," ",IF(VolType1=1,AJ105,AI105))</f>
        <v> </v>
      </c>
      <c r="AL105" s="321" t="str">
        <f aca="false">IF($A105="N/A"," ",IF(PV=1,0,'Pricing Inputs1'!R138))</f>
        <v> </v>
      </c>
      <c r="AM105" s="323" t="str">
        <f aca="false">IF($A105="N/A"," ",(1+AL105/2)^(-2*((EOMONTH(A105,0)+20)-DateToday)/365.25))</f>
        <v> </v>
      </c>
      <c r="BQ105" s="0" t="str">
        <f aca="false">IF($A105="N/A"," ",(VLOOKUP($A105,NumberofDaysTable,2)))</f>
        <v> </v>
      </c>
      <c r="BR105" s="0" t="str">
        <f aca="false">IF($A105="N/A"," ",(VLOOKUP($A105,NumberofDaysTable,3)))</f>
        <v> </v>
      </c>
      <c r="BS105" s="0" t="str">
        <f aca="false">IF($A105="N/A"," ",(VLOOKUP($A105,NumberofDaysTable,4)))</f>
        <v> </v>
      </c>
    </row>
    <row r="106" customFormat="false" ht="12.75" hidden="false" customHeight="false" outlineLevel="0" collapsed="false">
      <c r="A106" s="315" t="str">
        <f aca="false">IF(A105="N/A","N/A",IF(EDATE(A105,1)&gt;Inputs!$M$5,"N/A",EDATE(A105,1)))</f>
        <v>N/A</v>
      </c>
      <c r="B106" s="316" t="str">
        <f aca="false">IF(A106="N/A"," ",YEAR(A106))</f>
        <v> </v>
      </c>
      <c r="C106" s="317" t="str">
        <f aca="false">IF($A106="N/A"," ",IF(Dayrun1=10,0,IF(Scaler1=1,(VLOOKUP(A106,ScaledPrice1,4)),(VLOOKUP(A106,ScaledPrice1,2)))))</f>
        <v> </v>
      </c>
      <c r="D106" s="317" t="str">
        <f aca="false">IF(A106="N/A"," ",IF(Dayrun1&gt;=7,0,IF(Scaler1=2,VLOOKUP(A106,ScaledPrice1,2),(VLOOKUP(A106,ScaledPrice1,2))*(2-(VLOOKUP(A106,ScaledPrice1,3))))))</f>
        <v> </v>
      </c>
      <c r="E106" s="317" t="str">
        <f aca="false">IF($A106="N/A"," ",IF(AND(Dayrun1&gt;=4,Dayrun1&lt;=9),0,VLOOKUP($A106,ScaledPrice1,9)))</f>
        <v> </v>
      </c>
      <c r="F106" s="317" t="str">
        <f aca="false">IF(A106="N/A"," ",IF(OR(Dayrun1=2,Dayrun1=3,Dayrun1=5,Dayrun1=6,Dayrun1=8,Dayrun1=9),VLOOKUP(A106,ScaledPrice1,IF(Scaler1=1,6,5)),0))</f>
        <v> </v>
      </c>
      <c r="G106" s="317" t="str">
        <f aca="false">IF(A106="N/A"," ",IF(OR(Dayrun1=2,Dayrun1=3,Dayrun1=5,Dayrun1=6),IF(Scaler1=2,F106,(VLOOKUP(A106,ScaledPrice1,5))*(2-(VLOOKUP(A106,ScaledPrice1,3)))),0))</f>
        <v> </v>
      </c>
      <c r="H106" s="317" t="str">
        <f aca="false">IF($A106="N/A"," ",IF(OR(Dayrun1=2,Dayrun1=3,Dayrun1=10),VLOOKUP($A106,ScaledPrice1,9),0))</f>
        <v> </v>
      </c>
      <c r="I106" s="317" t="str">
        <f aca="false">IF(A106="N/A"," ",IF(OR(Dayrun1=3,Dayrun1=6,Dayrun1=9),(VLOOKUP(A106,ScaledPrice1,IF(Scaler1=2,7,8))),0))</f>
        <v> </v>
      </c>
      <c r="J106" s="317" t="str">
        <f aca="false">IF(A106="N/A"," ",IF(OR(Dayrun1=3,Dayrun1=6),IF(Scaler1=2,I106,(VLOOKUP(A106,ScaledPrice1,7))*(2-(VLOOKUP(A106,ScaledPrice1,3)))),0))</f>
        <v> </v>
      </c>
      <c r="K106" s="317" t="str">
        <f aca="false">IF($A106="N/A"," ",IF(OR(Dayrun1=3,Dayrun1=10),VLOOKUP($A106,ScaledPrice1,9),0))</f>
        <v> </v>
      </c>
      <c r="L106" s="318" t="str">
        <f aca="false">IF($A106="N/A"," ",IF(Pricetype1=2,MAX(C106,0),IF(OR(Pricetype1=1,Pricetype1=4),IF(C106=0,0,(EURO(C106,Strikeprice1,0,0,($AH106+IF(Smile=TRUE(),VLOOKUP(MAX(-5,Strikeprice1-C106),Volsmile,2),0)),($A106-DateToday)+15,IF(Pricetype1=1,1,0),0))),C106)))</f>
        <v> </v>
      </c>
      <c r="M106" s="318" t="str">
        <f aca="false">IF($A106="N/A"," ",IF(Pricetype1=2,MAX(D106,0),IF(OR(Pricetype1=1,Pricetype1=4),IF(D106=0,0,(EURO(D106,Strikeprice1,0,0,($AH106+IF(Smile=TRUE(),VLOOKUP(MAX(-5,Strikeprice1-D106),Volsmile,2),0)),($A106-DateToday)+15,IF(Pricetype1=1,1,0),0))),D106)))</f>
        <v> </v>
      </c>
      <c r="N106" s="318" t="str">
        <f aca="false">IF($A106="N/A"," ",IF(Pricetype1=2,MAX(E106,0),IF(OR(Pricetype1=1,Pricetype1=4),IF(E106=0,0,(EURO(E106,Strikeprice1,0,0,($AK106+IF(Smile=TRUE(),VLOOKUP(MAX(-5,Strikeprice1-E106),Volsmile,2),0)),($A106-DateToday)+15,IF(Pricetype1=1,1,0),0))),E106)))</f>
        <v> </v>
      </c>
      <c r="O106" s="318" t="str">
        <f aca="false">IF($A106="N/A"," ",IF(Pricetype1=2,MAX(F106,0),IF(OR(Pricetype1=1,Pricetype1=4),IF(F106=0,0,(EURO(F106,Strikeprice1,0,0,($AK106+IF(Smile=TRUE(),VLOOKUP(MAX(-5,Strikeprice1-F106),Volsmile,2),0)),($A106-DateToday)+15,IF(Pricetype1=1,1,0),0))),F106)))</f>
        <v> </v>
      </c>
      <c r="P106" s="318" t="str">
        <f aca="false">IF($A106="N/A"," ",IF(Pricetype1=2,MAX(G106,0),IF(OR(Pricetype1=1,Pricetype1=4),IF(G106=0,0,(EURO(G106,Strikeprice1,0,0,($AK106+IF(Smile=TRUE(),VLOOKUP(MAX(-5,Strikeprice1-G106),Volsmile,2),0)),($A106-DateToday)+15,IF(Pricetype1=1,1,0),0))),G106)))</f>
        <v> </v>
      </c>
      <c r="Q106" s="318" t="str">
        <f aca="false">IF($A106="N/A"," ",IF(Pricetype1=2,MAX(H106,0),IF(OR(Pricetype1=1,Pricetype1=4),IF(H106=0,0,(EURO(H106,Strikeprice1,0,0,($AK106+IF(Smile=TRUE(),VLOOKUP(MAX(-5,Strikeprice1-H106),Volsmile,2),0)),($A106-DateToday)+15,IF(Pricetype1=1,1,0),0))),H106)))</f>
        <v> </v>
      </c>
      <c r="R106" s="318" t="str">
        <f aca="false">IF($A106="N/A"," ",IF(Pricetype1=2,MAX(I106,0),IF(OR(Pricetype1=1,Pricetype1=4),IF(I106=0,0,(EURO(I106,Strikeprice1,0,0,($AK106+IF(Smile=TRUE(),VLOOKUP(MAX(-5,Strikeprice1-I106),Volsmile,2),0)),($A106-DateToday)+15,IF(Pricetype1=1,1,0),0))),I106)))</f>
        <v> </v>
      </c>
      <c r="S106" s="318" t="str">
        <f aca="false">IF($A106="N/A"," ",IF(Pricetype1=2,MAX(J106,0),IF(OR(Pricetype1=1,Pricetype1=4),IF(J106=0,0,(EURO(J106,Strikeprice1,0,0,($AK106+IF(Smile=TRUE(),VLOOKUP(MAX(-5,Strikeprice1-J106),Volsmile,2),0)),($A106-DateToday)+15,IF(Pricetype1=1,1,0),0))),J106)))</f>
        <v> </v>
      </c>
      <c r="T106" s="318" t="str">
        <f aca="false">IF($A106="N/A"," ",IF(Pricetype1=2,MAX(K106,0),IF(OR(Pricetype1=1,Pricetype1=4),IF(K106=0,0,(EURO(K106,Strikeprice1,0,0,($AK106+IF(Smile=TRUE(),VLOOKUP(MAX(-5,Strikeprice1-K106),Volsmile,2),0)),($A106-DateToday)+15,IF(Pricetype1=1,1,0),0))),K106)))</f>
        <v> </v>
      </c>
      <c r="U106" s="319" t="str">
        <f aca="false">IF($A106="N/A"," ",Volume1*$AM106)</f>
        <v> </v>
      </c>
      <c r="V106" s="320" t="str">
        <f aca="false">IF($A106="N/A"," ",$U106*(8*($BQ106))*L106)</f>
        <v> </v>
      </c>
      <c r="W106" s="320" t="str">
        <f aca="false">IF($A106="N/A"," ",$U106*(8*($BQ106))*M106)</f>
        <v> </v>
      </c>
      <c r="X106" s="320" t="str">
        <f aca="false">IF($A106="N/A"," ",$U106*(8*($BQ106))*N106)</f>
        <v> </v>
      </c>
      <c r="Y106" s="320" t="str">
        <f aca="false">IF($A106="N/A"," ",$U106*(8*($BR106))*O106)</f>
        <v> </v>
      </c>
      <c r="Z106" s="320" t="str">
        <f aca="false">IF($A106="N/A"," ",$U106*(8*($BR106))*P106)</f>
        <v> </v>
      </c>
      <c r="AA106" s="320" t="str">
        <f aca="false">IF($A106="N/A"," ",$U106*(8*($BR106))*Q106)</f>
        <v> </v>
      </c>
      <c r="AB106" s="320" t="str">
        <f aca="false">IF($A106="N/A"," ",$U106*(8*($BS106))*R106)</f>
        <v> </v>
      </c>
      <c r="AC106" s="320" t="str">
        <f aca="false">IF($A106="N/A"," ",$U106*(8*($BS106))*S106)</f>
        <v> </v>
      </c>
      <c r="AD106" s="320" t="str">
        <f aca="false">IF($A106="N/A"," ",$U106*(8*($BS106))*T106)</f>
        <v> </v>
      </c>
      <c r="AE106" s="320" t="str">
        <f aca="false">IF($A106="N/A"," ",SUM(V106:AD106))</f>
        <v> </v>
      </c>
      <c r="AF106" s="321" t="str">
        <f aca="false">IF(A106="N/A"," ",(VLOOKUP(A106,PowerVolTable,(IF(VolBMO1=2,7,IF(VolBMO1=1,6,8))),FALSE())))</f>
        <v> </v>
      </c>
      <c r="AG106" s="321" t="str">
        <f aca="false">IF(A106="N/A"," ",(VLOOKUP(A106,IntraPowerVol,(IF(VolBMO1=2,3,IF(VolBMO1=1,2,4))),FALSE())*VLOOKUP(MONTH($A106),Volscale,2)))</f>
        <v> </v>
      </c>
      <c r="AH106" s="321" t="str">
        <f aca="false">IF($A106="N/A"," ",IF(VolType1=1,AG106,AF106))</f>
        <v> </v>
      </c>
      <c r="AI106" s="321" t="str">
        <f aca="false">IF($A106="N/A"," ",(VLOOKUP($A106,OffPwrVolTable,(IF(VolBMO1=2,7,IF(VolBMO1=1,6,8))),FALSE())))</f>
        <v> </v>
      </c>
      <c r="AJ106" s="321" t="str">
        <f aca="false">IF($A106="N/A"," ",(VLOOKUP($A106,OffPwrVolTable,(IF(VolBMO1=2,3,IF(VolBMO1=1,2,4))),FALSE())*VLOOKUP(MONTH($A106),Volscale,2)))</f>
        <v> </v>
      </c>
      <c r="AK106" s="321" t="str">
        <f aca="false">IF($A106="N/A"," ",IF(VolType1=1,AJ106,AI106))</f>
        <v> </v>
      </c>
      <c r="AL106" s="321" t="str">
        <f aca="false">IF($A106="N/A"," ",IF(PV=1,0,'Pricing Inputs1'!R139))</f>
        <v> </v>
      </c>
      <c r="AM106" s="323" t="str">
        <f aca="false">IF($A106="N/A"," ",(1+AL106/2)^(-2*((EOMONTH(A106,0)+20)-DateToday)/365.25))</f>
        <v> </v>
      </c>
      <c r="BQ106" s="0" t="str">
        <f aca="false">IF($A106="N/A"," ",(VLOOKUP($A106,NumberofDaysTable,2)))</f>
        <v> </v>
      </c>
      <c r="BR106" s="0" t="str">
        <f aca="false">IF($A106="N/A"," ",(VLOOKUP($A106,NumberofDaysTable,3)))</f>
        <v> </v>
      </c>
      <c r="BS106" s="0" t="str">
        <f aca="false">IF($A106="N/A"," ",(VLOOKUP($A106,NumberofDaysTable,4)))</f>
        <v> </v>
      </c>
    </row>
    <row r="107" customFormat="false" ht="12.75" hidden="false" customHeight="false" outlineLevel="0" collapsed="false">
      <c r="A107" s="315" t="str">
        <f aca="false">IF(A106="N/A","N/A",IF(EDATE(A106,1)&gt;Inputs!$M$5,"N/A",EDATE(A106,1)))</f>
        <v>N/A</v>
      </c>
      <c r="B107" s="316" t="str">
        <f aca="false">IF(A107="N/A"," ",YEAR(A107))</f>
        <v> </v>
      </c>
      <c r="C107" s="324" t="str">
        <f aca="false">IF($A107="N/A"," ",IF(Dayrun1=10,0,IF(Scaler1=1,(VLOOKUP(A107,ScaledPrice1,4)),(VLOOKUP(A107,ScaledPrice1,2)))))</f>
        <v> </v>
      </c>
      <c r="D107" s="317" t="str">
        <f aca="false">IF(A107="N/A"," ",IF(Dayrun1&gt;=7,0,IF(Scaler1=2,VLOOKUP(A107,ScaledPrice1,2),(VLOOKUP(A107,ScaledPrice1,2))*(2-(VLOOKUP(A107,ScaledPrice1,3))))))</f>
        <v> </v>
      </c>
      <c r="E107" s="317" t="str">
        <f aca="false">IF($A107="N/A"," ",IF(AND(Dayrun1&gt;=4,Dayrun1&lt;=9),0,VLOOKUP($A107,ScaledPrice1,9)))</f>
        <v> </v>
      </c>
      <c r="F107" s="317" t="str">
        <f aca="false">IF(A107="N/A"," ",IF(OR(Dayrun1=2,Dayrun1=3,Dayrun1=5,Dayrun1=6,Dayrun1=8,Dayrun1=9),VLOOKUP(A107,ScaledPrice1,IF(Scaler1=1,6,5)),0))</f>
        <v> </v>
      </c>
      <c r="G107" s="317" t="str">
        <f aca="false">IF(A107="N/A"," ",IF(OR(Dayrun1=2,Dayrun1=3,Dayrun1=5,Dayrun1=6),IF(Scaler1=2,F107,(VLOOKUP(A107,ScaledPrice1,5))*(2-(VLOOKUP(A107,ScaledPrice1,3)))),0))</f>
        <v> </v>
      </c>
      <c r="H107" s="317" t="str">
        <f aca="false">IF($A107="N/A"," ",IF(OR(Dayrun1=2,Dayrun1=3,Dayrun1=10),VLOOKUP($A107,ScaledPrice1,9),0))</f>
        <v> </v>
      </c>
      <c r="I107" s="317" t="str">
        <f aca="false">IF(A107="N/A"," ",IF(OR(Dayrun1=3,Dayrun1=6,Dayrun1=9),(VLOOKUP(A107,ScaledPrice1,IF(Scaler1=2,7,8))),0))</f>
        <v> </v>
      </c>
      <c r="J107" s="317" t="str">
        <f aca="false">IF(A107="N/A"," ",IF(OR(Dayrun1=3,Dayrun1=6),IF(Scaler1=2,I107,(VLOOKUP(A107,ScaledPrice1,7))*(2-(VLOOKUP(A107,ScaledPrice1,3)))),0))</f>
        <v> </v>
      </c>
      <c r="K107" s="317" t="str">
        <f aca="false">IF($A107="N/A"," ",IF(OR(Dayrun1=3,Dayrun1=10),VLOOKUP($A107,ScaledPrice1,9),0))</f>
        <v> </v>
      </c>
      <c r="L107" s="318" t="str">
        <f aca="false">IF($A107="N/A"," ",IF(Pricetype1=2,MAX(C107,0),IF(OR(Pricetype1=1,Pricetype1=4),IF(C107=0,0,(EURO(C107,Strikeprice1,0,0,($AH107+IF(Smile=TRUE(),VLOOKUP(MAX(-5,Strikeprice1-C107),Volsmile,2),0)),($A107-DateToday)+15,IF(Pricetype1=1,1,0),0))),C107)))</f>
        <v> </v>
      </c>
      <c r="M107" s="318" t="str">
        <f aca="false">IF($A107="N/A"," ",IF(Pricetype1=2,MAX(D107,0),IF(OR(Pricetype1=1,Pricetype1=4),IF(D107=0,0,(EURO(D107,Strikeprice1,0,0,($AH107+IF(Smile=TRUE(),VLOOKUP(MAX(-5,Strikeprice1-D107),Volsmile,2),0)),($A107-DateToday)+15,IF(Pricetype1=1,1,0),0))),D107)))</f>
        <v> </v>
      </c>
      <c r="N107" s="318" t="str">
        <f aca="false">IF($A107="N/A"," ",IF(Pricetype1=2,MAX(E107,0),IF(OR(Pricetype1=1,Pricetype1=4),IF(E107=0,0,(EURO(E107,Strikeprice1,0,0,($AK107+IF(Smile=TRUE(),VLOOKUP(MAX(-5,Strikeprice1-E107),Volsmile,2),0)),($A107-DateToday)+15,IF(Pricetype1=1,1,0),0))),E107)))</f>
        <v> </v>
      </c>
      <c r="O107" s="318" t="str">
        <f aca="false">IF($A107="N/A"," ",IF(Pricetype1=2,MAX(F107,0),IF(OR(Pricetype1=1,Pricetype1=4),IF(F107=0,0,(EURO(F107,Strikeprice1,0,0,($AK107+IF(Smile=TRUE(),VLOOKUP(MAX(-5,Strikeprice1-F107),Volsmile,2),0)),($A107-DateToday)+15,IF(Pricetype1=1,1,0),0))),F107)))</f>
        <v> </v>
      </c>
      <c r="P107" s="318" t="str">
        <f aca="false">IF($A107="N/A"," ",IF(Pricetype1=2,MAX(G107,0),IF(OR(Pricetype1=1,Pricetype1=4),IF(G107=0,0,(EURO(G107,Strikeprice1,0,0,($AK107+IF(Smile=TRUE(),VLOOKUP(MAX(-5,Strikeprice1-G107),Volsmile,2),0)),($A107-DateToday)+15,IF(Pricetype1=1,1,0),0))),G107)))</f>
        <v> </v>
      </c>
      <c r="Q107" s="318" t="str">
        <f aca="false">IF($A107="N/A"," ",IF(Pricetype1=2,MAX(H107,0),IF(OR(Pricetype1=1,Pricetype1=4),IF(H107=0,0,(EURO(H107,Strikeprice1,0,0,($AK107+IF(Smile=TRUE(),VLOOKUP(MAX(-5,Strikeprice1-H107),Volsmile,2),0)),($A107-DateToday)+15,IF(Pricetype1=1,1,0),0))),H107)))</f>
        <v> </v>
      </c>
      <c r="R107" s="318" t="str">
        <f aca="false">IF($A107="N/A"," ",IF(Pricetype1=2,MAX(I107,0),IF(OR(Pricetype1=1,Pricetype1=4),IF(I107=0,0,(EURO(I107,Strikeprice1,0,0,($AK107+IF(Smile=TRUE(),VLOOKUP(MAX(-5,Strikeprice1-I107),Volsmile,2),0)),($A107-DateToday)+15,IF(Pricetype1=1,1,0),0))),I107)))</f>
        <v> </v>
      </c>
      <c r="S107" s="318" t="str">
        <f aca="false">IF($A107="N/A"," ",IF(Pricetype1=2,MAX(J107,0),IF(OR(Pricetype1=1,Pricetype1=4),IF(J107=0,0,(EURO(J107,Strikeprice1,0,0,($AK107+IF(Smile=TRUE(),VLOOKUP(MAX(-5,Strikeprice1-J107),Volsmile,2),0)),($A107-DateToday)+15,IF(Pricetype1=1,1,0),0))),J107)))</f>
        <v> </v>
      </c>
      <c r="T107" s="318" t="str">
        <f aca="false">IF($A107="N/A"," ",IF(Pricetype1=2,MAX(K107,0),IF(OR(Pricetype1=1,Pricetype1=4),IF(K107=0,0,(EURO(K107,Strikeprice1,0,0,($AK107+IF(Smile=TRUE(),VLOOKUP(MAX(-5,Strikeprice1-K107),Volsmile,2),0)),($A107-DateToday)+15,IF(Pricetype1=1,1,0),0))),K107)))</f>
        <v> </v>
      </c>
      <c r="U107" s="319" t="str">
        <f aca="false">IF($A107="N/A"," ",Volume1*$AM107)</f>
        <v> </v>
      </c>
      <c r="V107" s="320" t="str">
        <f aca="false">IF($A107="N/A"," ",$U107*(8*($BQ107))*L107)</f>
        <v> </v>
      </c>
      <c r="W107" s="320" t="str">
        <f aca="false">IF($A107="N/A"," ",$U107*(8*($BQ107))*M107)</f>
        <v> </v>
      </c>
      <c r="X107" s="320" t="str">
        <f aca="false">IF($A107="N/A"," ",$U107*(8*($BQ107))*N107)</f>
        <v> </v>
      </c>
      <c r="Y107" s="320" t="str">
        <f aca="false">IF($A107="N/A"," ",$U107*(8*($BR107))*O107)</f>
        <v> </v>
      </c>
      <c r="Z107" s="320" t="str">
        <f aca="false">IF($A107="N/A"," ",$U107*(8*($BR107))*P107)</f>
        <v> </v>
      </c>
      <c r="AA107" s="320" t="str">
        <f aca="false">IF($A107="N/A"," ",$U107*(8*($BR107))*Q107)</f>
        <v> </v>
      </c>
      <c r="AB107" s="320" t="str">
        <f aca="false">IF($A107="N/A"," ",$U107*(8*($BS107))*R107)</f>
        <v> </v>
      </c>
      <c r="AC107" s="320" t="str">
        <f aca="false">IF($A107="N/A"," ",$U107*(8*($BS107))*S107)</f>
        <v> </v>
      </c>
      <c r="AD107" s="320" t="str">
        <f aca="false">IF($A107="N/A"," ",$U107*(8*($BS107))*T107)</f>
        <v> </v>
      </c>
      <c r="AE107" s="320" t="str">
        <f aca="false">IF($A107="N/A"," ",SUM(V107:AD107))</f>
        <v> </v>
      </c>
      <c r="AF107" s="321" t="str">
        <f aca="false">IF(A107="N/A"," ",(VLOOKUP(A107,PowerVolTable,(IF(VolBMO1=2,7,IF(VolBMO1=1,6,8))),FALSE())))</f>
        <v> </v>
      </c>
      <c r="AG107" s="321" t="str">
        <f aca="false">IF(A107="N/A"," ",(VLOOKUP(A107,IntraPowerVol,(IF(VolBMO1=2,3,IF(VolBMO1=1,2,4))),FALSE())*VLOOKUP(MONTH($A107),Volscale,2)))</f>
        <v> </v>
      </c>
      <c r="AH107" s="321" t="str">
        <f aca="false">IF($A107="N/A"," ",IF(VolType1=1,AG107,AF107))</f>
        <v> </v>
      </c>
      <c r="AI107" s="321" t="str">
        <f aca="false">IF($A107="N/A"," ",(VLOOKUP($A107,OffPwrVolTable,(IF(VolBMO1=2,7,IF(VolBMO1=1,6,8))),FALSE())))</f>
        <v> </v>
      </c>
      <c r="AJ107" s="321" t="str">
        <f aca="false">IF($A107="N/A"," ",(VLOOKUP($A107,OffPwrVolTable,(IF(VolBMO1=2,3,IF(VolBMO1=1,2,4))),FALSE())*VLOOKUP(MONTH($A107),Volscale,2)))</f>
        <v> </v>
      </c>
      <c r="AK107" s="321" t="str">
        <f aca="false">IF($A107="N/A"," ",IF(VolType1=1,AJ107,AI107))</f>
        <v> </v>
      </c>
      <c r="AL107" s="321" t="str">
        <f aca="false">IF($A107="N/A"," ",IF(PV=1,0,'Pricing Inputs1'!R140))</f>
        <v> </v>
      </c>
      <c r="AM107" s="323" t="str">
        <f aca="false">IF($A107="N/A"," ",(1+AL107/2)^(-2*((EOMONTH(A107,0)+20)-DateToday)/365.25))</f>
        <v> </v>
      </c>
      <c r="BQ107" s="0" t="str">
        <f aca="false">IF($A107="N/A"," ",(VLOOKUP($A107,NumberofDaysTable,2)))</f>
        <v> </v>
      </c>
      <c r="BR107" s="0" t="str">
        <f aca="false">IF($A107="N/A"," ",(VLOOKUP($A107,NumberofDaysTable,3)))</f>
        <v> </v>
      </c>
      <c r="BS107" s="0" t="str">
        <f aca="false">IF($A107="N/A"," ",(VLOOKUP($A107,NumberofDaysTable,4)))</f>
        <v> </v>
      </c>
    </row>
    <row r="108" customFormat="false" ht="12.75" hidden="false" customHeight="false" outlineLevel="0" collapsed="false">
      <c r="A108" s="315" t="str">
        <f aca="false">IF(A107="N/A","N/A",IF(EDATE(A107,1)&gt;Inputs!$M$5,"N/A",EDATE(A107,1)))</f>
        <v>N/A</v>
      </c>
      <c r="B108" s="316" t="str">
        <f aca="false">IF(A108="N/A"," ",YEAR(A108))</f>
        <v> </v>
      </c>
      <c r="C108" s="324" t="str">
        <f aca="false">IF($A108="N/A"," ",IF(Dayrun1=10,0,IF(Scaler1=1,(VLOOKUP(A108,ScaledPrice1,4)),(VLOOKUP(A108,ScaledPrice1,2)))))</f>
        <v> </v>
      </c>
      <c r="D108" s="317" t="str">
        <f aca="false">IF(A108="N/A"," ",IF(Dayrun1&gt;=7,0,IF(Scaler1=2,VLOOKUP(A108,ScaledPrice1,2),(VLOOKUP(A108,ScaledPrice1,2))*(2-(VLOOKUP(A108,ScaledPrice1,3))))))</f>
        <v> </v>
      </c>
      <c r="E108" s="317" t="str">
        <f aca="false">IF($A108="N/A"," ",IF(AND(Dayrun1&gt;=4,Dayrun1&lt;=9),0,VLOOKUP($A108,ScaledPrice1,9)))</f>
        <v> </v>
      </c>
      <c r="F108" s="317" t="str">
        <f aca="false">IF(A108="N/A"," ",IF(OR(Dayrun1=2,Dayrun1=3,Dayrun1=5,Dayrun1=6,Dayrun1=8,Dayrun1=9),VLOOKUP(A108,ScaledPrice1,IF(Scaler1=1,6,5)),0))</f>
        <v> </v>
      </c>
      <c r="G108" s="317" t="str">
        <f aca="false">IF(A108="N/A"," ",IF(OR(Dayrun1=2,Dayrun1=3,Dayrun1=5,Dayrun1=6),IF(Scaler1=2,F108,(VLOOKUP(A108,ScaledPrice1,5))*(2-(VLOOKUP(A108,ScaledPrice1,3)))),0))</f>
        <v> </v>
      </c>
      <c r="H108" s="317" t="str">
        <f aca="false">IF($A108="N/A"," ",IF(OR(Dayrun1=2,Dayrun1=3,Dayrun1=10),VLOOKUP($A108,ScaledPrice1,9),0))</f>
        <v> </v>
      </c>
      <c r="I108" s="317" t="str">
        <f aca="false">IF(A108="N/A"," ",IF(OR(Dayrun1=3,Dayrun1=6,Dayrun1=9),(VLOOKUP(A108,ScaledPrice1,IF(Scaler1=2,7,8))),0))</f>
        <v> </v>
      </c>
      <c r="J108" s="317" t="str">
        <f aca="false">IF(A108="N/A"," ",IF(OR(Dayrun1=3,Dayrun1=6),IF(Scaler1=2,I108,(VLOOKUP(A108,ScaledPrice1,7))*(2-(VLOOKUP(A108,ScaledPrice1,3)))),0))</f>
        <v> </v>
      </c>
      <c r="K108" s="317" t="str">
        <f aca="false">IF($A108="N/A"," ",IF(OR(Dayrun1=3,Dayrun1=10),VLOOKUP($A108,ScaledPrice1,9),0))</f>
        <v> </v>
      </c>
      <c r="L108" s="318" t="str">
        <f aca="false">IF($A108="N/A"," ",IF(Pricetype1=2,MAX(C108,0),IF(OR(Pricetype1=1,Pricetype1=4),IF(C108=0,0,(EURO(C108,Strikeprice1,0,0,($AH108+IF(Smile=TRUE(),VLOOKUP(MAX(-5,Strikeprice1-C108),Volsmile,2),0)),($A108-DateToday)+15,IF(Pricetype1=1,1,0),0))),C108)))</f>
        <v> </v>
      </c>
      <c r="M108" s="318" t="str">
        <f aca="false">IF($A108="N/A"," ",IF(Pricetype1=2,MAX(D108,0),IF(OR(Pricetype1=1,Pricetype1=4),IF(D108=0,0,(EURO(D108,Strikeprice1,0,0,($AH108+IF(Smile=TRUE(),VLOOKUP(MAX(-5,Strikeprice1-D108),Volsmile,2),0)),($A108-DateToday)+15,IF(Pricetype1=1,1,0),0))),D108)))</f>
        <v> </v>
      </c>
      <c r="N108" s="318" t="str">
        <f aca="false">IF($A108="N/A"," ",IF(Pricetype1=2,MAX(E108,0),IF(OR(Pricetype1=1,Pricetype1=4),IF(E108=0,0,(EURO(E108,Strikeprice1,0,0,($AK108+IF(Smile=TRUE(),VLOOKUP(MAX(-5,Strikeprice1-E108),Volsmile,2),0)),($A108-DateToday)+15,IF(Pricetype1=1,1,0),0))),E108)))</f>
        <v> </v>
      </c>
      <c r="O108" s="318" t="str">
        <f aca="false">IF($A108="N/A"," ",IF(Pricetype1=2,MAX(F108,0),IF(OR(Pricetype1=1,Pricetype1=4),IF(F108=0,0,(EURO(F108,Strikeprice1,0,0,($AK108+IF(Smile=TRUE(),VLOOKUP(MAX(-5,Strikeprice1-F108),Volsmile,2),0)),($A108-DateToday)+15,IF(Pricetype1=1,1,0),0))),F108)))</f>
        <v> </v>
      </c>
      <c r="P108" s="318" t="str">
        <f aca="false">IF($A108="N/A"," ",IF(Pricetype1=2,MAX(G108,0),IF(OR(Pricetype1=1,Pricetype1=4),IF(G108=0,0,(EURO(G108,Strikeprice1,0,0,($AK108+IF(Smile=TRUE(),VLOOKUP(MAX(-5,Strikeprice1-G108),Volsmile,2),0)),($A108-DateToday)+15,IF(Pricetype1=1,1,0),0))),G108)))</f>
        <v> </v>
      </c>
      <c r="Q108" s="318" t="str">
        <f aca="false">IF($A108="N/A"," ",IF(Pricetype1=2,MAX(H108,0),IF(OR(Pricetype1=1,Pricetype1=4),IF(H108=0,0,(EURO(H108,Strikeprice1,0,0,($AK108+IF(Smile=TRUE(),VLOOKUP(MAX(-5,Strikeprice1-H108),Volsmile,2),0)),($A108-DateToday)+15,IF(Pricetype1=1,1,0),0))),H108)))</f>
        <v> </v>
      </c>
      <c r="R108" s="318" t="str">
        <f aca="false">IF($A108="N/A"," ",IF(Pricetype1=2,MAX(I108,0),IF(OR(Pricetype1=1,Pricetype1=4),IF(I108=0,0,(EURO(I108,Strikeprice1,0,0,($AK108+IF(Smile=TRUE(),VLOOKUP(MAX(-5,Strikeprice1-I108),Volsmile,2),0)),($A108-DateToday)+15,IF(Pricetype1=1,1,0),0))),I108)))</f>
        <v> </v>
      </c>
      <c r="S108" s="318" t="str">
        <f aca="false">IF($A108="N/A"," ",IF(Pricetype1=2,MAX(J108,0),IF(OR(Pricetype1=1,Pricetype1=4),IF(J108=0,0,(EURO(J108,Strikeprice1,0,0,($AK108+IF(Smile=TRUE(),VLOOKUP(MAX(-5,Strikeprice1-J108),Volsmile,2),0)),($A108-DateToday)+15,IF(Pricetype1=1,1,0),0))),J108)))</f>
        <v> </v>
      </c>
      <c r="T108" s="318" t="str">
        <f aca="false">IF($A108="N/A"," ",IF(Pricetype1=2,MAX(K108,0),IF(OR(Pricetype1=1,Pricetype1=4),IF(K108=0,0,(EURO(K108,Strikeprice1,0,0,($AK108+IF(Smile=TRUE(),VLOOKUP(MAX(-5,Strikeprice1-K108),Volsmile,2),0)),($A108-DateToday)+15,IF(Pricetype1=1,1,0),0))),K108)))</f>
        <v> </v>
      </c>
      <c r="U108" s="319" t="str">
        <f aca="false">IF($A108="N/A"," ",Volume1*$AM108)</f>
        <v> </v>
      </c>
      <c r="V108" s="320" t="str">
        <f aca="false">IF($A108="N/A"," ",$U108*(8*($BQ108))*L108)</f>
        <v> </v>
      </c>
      <c r="W108" s="320" t="str">
        <f aca="false">IF($A108="N/A"," ",$U108*(8*($BQ108))*M108)</f>
        <v> </v>
      </c>
      <c r="X108" s="320" t="str">
        <f aca="false">IF($A108="N/A"," ",$U108*(8*($BQ108))*N108)</f>
        <v> </v>
      </c>
      <c r="Y108" s="320" t="str">
        <f aca="false">IF($A108="N/A"," ",$U108*(8*($BR108))*O108)</f>
        <v> </v>
      </c>
      <c r="Z108" s="320" t="str">
        <f aca="false">IF($A108="N/A"," ",$U108*(8*($BR108))*P108)</f>
        <v> </v>
      </c>
      <c r="AA108" s="320" t="str">
        <f aca="false">IF($A108="N/A"," ",$U108*(8*($BR108))*Q108)</f>
        <v> </v>
      </c>
      <c r="AB108" s="320" t="str">
        <f aca="false">IF($A108="N/A"," ",$U108*(8*($BS108))*R108)</f>
        <v> </v>
      </c>
      <c r="AC108" s="320" t="str">
        <f aca="false">IF($A108="N/A"," ",$U108*(8*($BS108))*S108)</f>
        <v> </v>
      </c>
      <c r="AD108" s="320" t="str">
        <f aca="false">IF($A108="N/A"," ",$U108*(8*($BS108))*T108)</f>
        <v> </v>
      </c>
      <c r="AE108" s="320" t="str">
        <f aca="false">IF($A108="N/A"," ",SUM(V108:AD108))</f>
        <v> </v>
      </c>
      <c r="AF108" s="321" t="str">
        <f aca="false">IF(A108="N/A"," ",(VLOOKUP(A108,PowerVolTable,(IF(VolBMO1=2,7,IF(VolBMO1=1,6,8))),FALSE())))</f>
        <v> </v>
      </c>
      <c r="AG108" s="321" t="str">
        <f aca="false">IF(A108="N/A"," ",(VLOOKUP(A108,IntraPowerVol,(IF(VolBMO1=2,3,IF(VolBMO1=1,2,4))),FALSE())*VLOOKUP(MONTH($A108),Volscale,2)))</f>
        <v> </v>
      </c>
      <c r="AH108" s="321" t="str">
        <f aca="false">IF($A108="N/A"," ",IF(VolType1=1,AG108,AF108))</f>
        <v> </v>
      </c>
      <c r="AI108" s="321" t="str">
        <f aca="false">IF($A108="N/A"," ",(VLOOKUP($A108,OffPwrVolTable,(IF(VolBMO1=2,7,IF(VolBMO1=1,6,8))),FALSE())))</f>
        <v> </v>
      </c>
      <c r="AJ108" s="321" t="str">
        <f aca="false">IF($A108="N/A"," ",(VLOOKUP($A108,OffPwrVolTable,(IF(VolBMO1=2,3,IF(VolBMO1=1,2,4))),FALSE())*VLOOKUP(MONTH($A108),Volscale,2)))</f>
        <v> </v>
      </c>
      <c r="AK108" s="321" t="str">
        <f aca="false">IF($A108="N/A"," ",IF(VolType1=1,AJ108,AI108))</f>
        <v> </v>
      </c>
      <c r="AL108" s="321" t="str">
        <f aca="false">IF($A108="N/A"," ",IF(PV=1,0,'Pricing Inputs1'!R141))</f>
        <v> </v>
      </c>
      <c r="AM108" s="323" t="str">
        <f aca="false">IF($A108="N/A"," ",(1+AL108/2)^(-2*((EOMONTH(A108,0)+20)-DateToday)/365.25))</f>
        <v> </v>
      </c>
      <c r="BQ108" s="0" t="str">
        <f aca="false">IF($A108="N/A"," ",(VLOOKUP($A108,NumberofDaysTable,2)))</f>
        <v> </v>
      </c>
      <c r="BR108" s="0" t="str">
        <f aca="false">IF($A108="N/A"," ",(VLOOKUP($A108,NumberofDaysTable,3)))</f>
        <v> </v>
      </c>
      <c r="BS108" s="0" t="str">
        <f aca="false">IF($A108="N/A"," ",(VLOOKUP($A108,NumberofDaysTable,4)))</f>
        <v> </v>
      </c>
    </row>
    <row r="109" customFormat="false" ht="12.75" hidden="false" customHeight="false" outlineLevel="0" collapsed="false">
      <c r="A109" s="315" t="str">
        <f aca="false">IF(A108="N/A","N/A",IF(EDATE(A108,1)&gt;Inputs!$M$5,"N/A",EDATE(A108,1)))</f>
        <v>N/A</v>
      </c>
      <c r="B109" s="316" t="str">
        <f aca="false">IF(A109="N/A"," ",YEAR(A109))</f>
        <v> </v>
      </c>
      <c r="C109" s="324" t="str">
        <f aca="false">IF($A109="N/A"," ",IF(Dayrun1=10,0,IF(Scaler1=1,(VLOOKUP(A109,ScaledPrice1,4)),(VLOOKUP(A109,ScaledPrice1,2)))))</f>
        <v> </v>
      </c>
      <c r="D109" s="317" t="str">
        <f aca="false">IF(A109="N/A"," ",IF(Dayrun1&gt;=7,0,IF(Scaler1=2,VLOOKUP(A109,ScaledPrice1,2),(VLOOKUP(A109,ScaledPrice1,2))*(2-(VLOOKUP(A109,ScaledPrice1,3))))))</f>
        <v> </v>
      </c>
      <c r="E109" s="317" t="str">
        <f aca="false">IF($A109="N/A"," ",IF(AND(Dayrun1&gt;=4,Dayrun1&lt;=9),0,VLOOKUP($A109,ScaledPrice1,9)))</f>
        <v> </v>
      </c>
      <c r="F109" s="317" t="str">
        <f aca="false">IF(A109="N/A"," ",IF(OR(Dayrun1=2,Dayrun1=3,Dayrun1=5,Dayrun1=6,Dayrun1=8,Dayrun1=9),VLOOKUP(A109,ScaledPrice1,IF(Scaler1=1,6,5)),0))</f>
        <v> </v>
      </c>
      <c r="G109" s="317" t="str">
        <f aca="false">IF(A109="N/A"," ",IF(OR(Dayrun1=2,Dayrun1=3,Dayrun1=5,Dayrun1=6),IF(Scaler1=2,F109,(VLOOKUP(A109,ScaledPrice1,5))*(2-(VLOOKUP(A109,ScaledPrice1,3)))),0))</f>
        <v> </v>
      </c>
      <c r="H109" s="317" t="str">
        <f aca="false">IF($A109="N/A"," ",IF(OR(Dayrun1=2,Dayrun1=3,Dayrun1=10),VLOOKUP($A109,ScaledPrice1,9),0))</f>
        <v> </v>
      </c>
      <c r="I109" s="317" t="str">
        <f aca="false">IF(A109="N/A"," ",IF(OR(Dayrun1=3,Dayrun1=6,Dayrun1=9),(VLOOKUP(A109,ScaledPrice1,IF(Scaler1=2,7,8))),0))</f>
        <v> </v>
      </c>
      <c r="J109" s="317" t="str">
        <f aca="false">IF(A109="N/A"," ",IF(OR(Dayrun1=3,Dayrun1=6),IF(Scaler1=2,I109,(VLOOKUP(A109,ScaledPrice1,7))*(2-(VLOOKUP(A109,ScaledPrice1,3)))),0))</f>
        <v> </v>
      </c>
      <c r="K109" s="317" t="str">
        <f aca="false">IF($A109="N/A"," ",IF(OR(Dayrun1=3,Dayrun1=10),VLOOKUP($A109,ScaledPrice1,9),0))</f>
        <v> </v>
      </c>
      <c r="L109" s="318" t="str">
        <f aca="false">IF($A109="N/A"," ",IF(Pricetype1=2,MAX(C109,0),IF(OR(Pricetype1=1,Pricetype1=4),IF(C109=0,0,(EURO(C109,Strikeprice1,0,0,($AH109+IF(Smile=TRUE(),VLOOKUP(MAX(-5,Strikeprice1-C109),Volsmile,2),0)),($A109-DateToday)+15,IF(Pricetype1=1,1,0),0))),C109)))</f>
        <v> </v>
      </c>
      <c r="M109" s="318" t="str">
        <f aca="false">IF($A109="N/A"," ",IF(Pricetype1=2,MAX(D109,0),IF(OR(Pricetype1=1,Pricetype1=4),IF(D109=0,0,(EURO(D109,Strikeprice1,0,0,($AH109+IF(Smile=TRUE(),VLOOKUP(MAX(-5,Strikeprice1-D109),Volsmile,2),0)),($A109-DateToday)+15,IF(Pricetype1=1,1,0),0))),D109)))</f>
        <v> </v>
      </c>
      <c r="N109" s="318" t="str">
        <f aca="false">IF($A109="N/A"," ",IF(Pricetype1=2,MAX(E109,0),IF(OR(Pricetype1=1,Pricetype1=4),IF(E109=0,0,(EURO(E109,Strikeprice1,0,0,($AK109+IF(Smile=TRUE(),VLOOKUP(MAX(-5,Strikeprice1-E109),Volsmile,2),0)),($A109-DateToday)+15,IF(Pricetype1=1,1,0),0))),E109)))</f>
        <v> </v>
      </c>
      <c r="O109" s="318" t="str">
        <f aca="false">IF($A109="N/A"," ",IF(Pricetype1=2,MAX(F109,0),IF(OR(Pricetype1=1,Pricetype1=4),IF(F109=0,0,(EURO(F109,Strikeprice1,0,0,($AK109+IF(Smile=TRUE(),VLOOKUP(MAX(-5,Strikeprice1-F109),Volsmile,2),0)),($A109-DateToday)+15,IF(Pricetype1=1,1,0),0))),F109)))</f>
        <v> </v>
      </c>
      <c r="P109" s="318" t="str">
        <f aca="false">IF($A109="N/A"," ",IF(Pricetype1=2,MAX(G109,0),IF(OR(Pricetype1=1,Pricetype1=4),IF(G109=0,0,(EURO(G109,Strikeprice1,0,0,($AK109+IF(Smile=TRUE(),VLOOKUP(MAX(-5,Strikeprice1-G109),Volsmile,2),0)),($A109-DateToday)+15,IF(Pricetype1=1,1,0),0))),G109)))</f>
        <v> </v>
      </c>
      <c r="Q109" s="318" t="str">
        <f aca="false">IF($A109="N/A"," ",IF(Pricetype1=2,MAX(H109,0),IF(OR(Pricetype1=1,Pricetype1=4),IF(H109=0,0,(EURO(H109,Strikeprice1,0,0,($AK109+IF(Smile=TRUE(),VLOOKUP(MAX(-5,Strikeprice1-H109),Volsmile,2),0)),($A109-DateToday)+15,IF(Pricetype1=1,1,0),0))),H109)))</f>
        <v> </v>
      </c>
      <c r="R109" s="318" t="str">
        <f aca="false">IF($A109="N/A"," ",IF(Pricetype1=2,MAX(I109,0),IF(OR(Pricetype1=1,Pricetype1=4),IF(I109=0,0,(EURO(I109,Strikeprice1,0,0,($AK109+IF(Smile=TRUE(),VLOOKUP(MAX(-5,Strikeprice1-I109),Volsmile,2),0)),($A109-DateToday)+15,IF(Pricetype1=1,1,0),0))),I109)))</f>
        <v> </v>
      </c>
      <c r="S109" s="318" t="str">
        <f aca="false">IF($A109="N/A"," ",IF(Pricetype1=2,MAX(J109,0),IF(OR(Pricetype1=1,Pricetype1=4),IF(J109=0,0,(EURO(J109,Strikeprice1,0,0,($AK109+IF(Smile=TRUE(),VLOOKUP(MAX(-5,Strikeprice1-J109),Volsmile,2),0)),($A109-DateToday)+15,IF(Pricetype1=1,1,0),0))),J109)))</f>
        <v> </v>
      </c>
      <c r="T109" s="318" t="str">
        <f aca="false">IF($A109="N/A"," ",IF(Pricetype1=2,MAX(K109,0),IF(OR(Pricetype1=1,Pricetype1=4),IF(K109=0,0,(EURO(K109,Strikeprice1,0,0,($AK109+IF(Smile=TRUE(),VLOOKUP(MAX(-5,Strikeprice1-K109),Volsmile,2),0)),($A109-DateToday)+15,IF(Pricetype1=1,1,0),0))),K109)))</f>
        <v> </v>
      </c>
      <c r="U109" s="319" t="str">
        <f aca="false">IF($A109="N/A"," ",Volume1*$AM109)</f>
        <v> </v>
      </c>
      <c r="V109" s="320" t="str">
        <f aca="false">IF($A109="N/A"," ",$U109*(8*($BQ109))*L109)</f>
        <v> </v>
      </c>
      <c r="W109" s="320" t="str">
        <f aca="false">IF($A109="N/A"," ",$U109*(8*($BQ109))*M109)</f>
        <v> </v>
      </c>
      <c r="X109" s="320" t="str">
        <f aca="false">IF($A109="N/A"," ",$U109*(8*($BQ109))*N109)</f>
        <v> </v>
      </c>
      <c r="Y109" s="320" t="str">
        <f aca="false">IF($A109="N/A"," ",$U109*(8*($BR109))*O109)</f>
        <v> </v>
      </c>
      <c r="Z109" s="320" t="str">
        <f aca="false">IF($A109="N/A"," ",$U109*(8*($BR109))*P109)</f>
        <v> </v>
      </c>
      <c r="AA109" s="320" t="str">
        <f aca="false">IF($A109="N/A"," ",$U109*(8*($BR109))*Q109)</f>
        <v> </v>
      </c>
      <c r="AB109" s="320" t="str">
        <f aca="false">IF($A109="N/A"," ",$U109*(8*($BS109))*R109)</f>
        <v> </v>
      </c>
      <c r="AC109" s="320" t="str">
        <f aca="false">IF($A109="N/A"," ",$U109*(8*($BS109))*S109)</f>
        <v> </v>
      </c>
      <c r="AD109" s="320" t="str">
        <f aca="false">IF($A109="N/A"," ",$U109*(8*($BS109))*T109)</f>
        <v> </v>
      </c>
      <c r="AE109" s="320" t="str">
        <f aca="false">IF($A109="N/A"," ",SUM(V109:AD109))</f>
        <v> </v>
      </c>
      <c r="AF109" s="321" t="str">
        <f aca="false">IF(A109="N/A"," ",(VLOOKUP(A109,PowerVolTable,(IF(VolBMO1=2,7,IF(VolBMO1=1,6,8))),FALSE())))</f>
        <v> </v>
      </c>
      <c r="AG109" s="321" t="str">
        <f aca="false">IF(A109="N/A"," ",(VLOOKUP(A109,IntraPowerVol,(IF(VolBMO1=2,3,IF(VolBMO1=1,2,4))),FALSE())*VLOOKUP(MONTH($A109),Volscale,2)))</f>
        <v> </v>
      </c>
      <c r="AH109" s="321" t="str">
        <f aca="false">IF($A109="N/A"," ",IF(VolType1=1,AG109,AF109))</f>
        <v> </v>
      </c>
      <c r="AI109" s="321" t="str">
        <f aca="false">IF($A109="N/A"," ",(VLOOKUP($A109,OffPwrVolTable,(IF(VolBMO1=2,7,IF(VolBMO1=1,6,8))),FALSE())))</f>
        <v> </v>
      </c>
      <c r="AJ109" s="321" t="str">
        <f aca="false">IF($A109="N/A"," ",(VLOOKUP($A109,OffPwrVolTable,(IF(VolBMO1=2,3,IF(VolBMO1=1,2,4))),FALSE())*VLOOKUP(MONTH($A109),Volscale,2)))</f>
        <v> </v>
      </c>
      <c r="AK109" s="321" t="str">
        <f aca="false">IF($A109="N/A"," ",IF(VolType1=1,AJ109,AI109))</f>
        <v> </v>
      </c>
      <c r="AL109" s="321" t="str">
        <f aca="false">IF($A109="N/A"," ",IF(PV=1,0,'Pricing Inputs1'!R142))</f>
        <v> </v>
      </c>
      <c r="AM109" s="323" t="str">
        <f aca="false">IF($A109="N/A"," ",(1+AL109/2)^(-2*((EOMONTH(A109,0)+20)-DateToday)/365.25))</f>
        <v> </v>
      </c>
      <c r="BQ109" s="0" t="str">
        <f aca="false">IF($A109="N/A"," ",(VLOOKUP($A109,NumberofDaysTable,2)))</f>
        <v> </v>
      </c>
      <c r="BR109" s="0" t="str">
        <f aca="false">IF($A109="N/A"," ",(VLOOKUP($A109,NumberofDaysTable,3)))</f>
        <v> </v>
      </c>
      <c r="BS109" s="0" t="str">
        <f aca="false">IF($A109="N/A"," ",(VLOOKUP($A109,NumberofDaysTable,4)))</f>
        <v> </v>
      </c>
    </row>
    <row r="110" customFormat="false" ht="12.75" hidden="false" customHeight="false" outlineLevel="0" collapsed="false">
      <c r="A110" s="315" t="str">
        <f aca="false">IF(A109="N/A","N/A",IF(EDATE(A109,1)&gt;Inputs!$M$5,"N/A",EDATE(A109,1)))</f>
        <v>N/A</v>
      </c>
      <c r="B110" s="316" t="str">
        <f aca="false">IF(A110="N/A"," ",YEAR(A110))</f>
        <v> </v>
      </c>
      <c r="C110" s="324" t="str">
        <f aca="false">IF($A110="N/A"," ",IF(Dayrun1=10,0,IF(Scaler1=1,(VLOOKUP(A110,ScaledPrice1,4)),(VLOOKUP(A110,ScaledPrice1,2)))))</f>
        <v> </v>
      </c>
      <c r="D110" s="317" t="str">
        <f aca="false">IF(A110="N/A"," ",IF(Dayrun1&gt;=7,0,IF(Scaler1=2,VLOOKUP(A110,ScaledPrice1,2),(VLOOKUP(A110,ScaledPrice1,2))*(2-(VLOOKUP(A110,ScaledPrice1,3))))))</f>
        <v> </v>
      </c>
      <c r="E110" s="317" t="str">
        <f aca="false">IF($A110="N/A"," ",IF(AND(Dayrun1&gt;=4,Dayrun1&lt;=9),0,VLOOKUP($A110,ScaledPrice1,9)))</f>
        <v> </v>
      </c>
      <c r="F110" s="317" t="str">
        <f aca="false">IF(A110="N/A"," ",IF(OR(Dayrun1=2,Dayrun1=3,Dayrun1=5,Dayrun1=6,Dayrun1=8,Dayrun1=9),VLOOKUP(A110,ScaledPrice1,IF(Scaler1=1,6,5)),0))</f>
        <v> </v>
      </c>
      <c r="G110" s="317" t="str">
        <f aca="false">IF(A110="N/A"," ",IF(OR(Dayrun1=2,Dayrun1=3,Dayrun1=5,Dayrun1=6),IF(Scaler1=2,F110,(VLOOKUP(A110,ScaledPrice1,5))*(2-(VLOOKUP(A110,ScaledPrice1,3)))),0))</f>
        <v> </v>
      </c>
      <c r="H110" s="317" t="str">
        <f aca="false">IF($A110="N/A"," ",IF(OR(Dayrun1=2,Dayrun1=3,Dayrun1=10),VLOOKUP($A110,ScaledPrice1,9),0))</f>
        <v> </v>
      </c>
      <c r="I110" s="317" t="str">
        <f aca="false">IF(A110="N/A"," ",IF(OR(Dayrun1=3,Dayrun1=6,Dayrun1=9),(VLOOKUP(A110,ScaledPrice1,IF(Scaler1=2,7,8))),0))</f>
        <v> </v>
      </c>
      <c r="J110" s="317" t="str">
        <f aca="false">IF(A110="N/A"," ",IF(OR(Dayrun1=3,Dayrun1=6),IF(Scaler1=2,I110,(VLOOKUP(A110,ScaledPrice1,7))*(2-(VLOOKUP(A110,ScaledPrice1,3)))),0))</f>
        <v> </v>
      </c>
      <c r="K110" s="317" t="str">
        <f aca="false">IF($A110="N/A"," ",IF(OR(Dayrun1=3,Dayrun1=10),VLOOKUP($A110,ScaledPrice1,9),0))</f>
        <v> </v>
      </c>
      <c r="L110" s="318" t="str">
        <f aca="false">IF($A110="N/A"," ",IF(Pricetype1=2,MAX(C110,0),IF(OR(Pricetype1=1,Pricetype1=4),IF(C110=0,0,(EURO(C110,Strikeprice1,0,0,($AH110+IF(Smile=TRUE(),VLOOKUP(MAX(-5,Strikeprice1-C110),Volsmile,2),0)),($A110-DateToday)+15,IF(Pricetype1=1,1,0),0))),C110)))</f>
        <v> </v>
      </c>
      <c r="M110" s="318" t="str">
        <f aca="false">IF($A110="N/A"," ",IF(Pricetype1=2,MAX(D110,0),IF(OR(Pricetype1=1,Pricetype1=4),IF(D110=0,0,(EURO(D110,Strikeprice1,0,0,($AH110+IF(Smile=TRUE(),VLOOKUP(MAX(-5,Strikeprice1-D110),Volsmile,2),0)),($A110-DateToday)+15,IF(Pricetype1=1,1,0),0))),D110)))</f>
        <v> </v>
      </c>
      <c r="N110" s="318" t="str">
        <f aca="false">IF($A110="N/A"," ",IF(Pricetype1=2,MAX(E110,0),IF(OR(Pricetype1=1,Pricetype1=4),IF(E110=0,0,(EURO(E110,Strikeprice1,0,0,($AK110+IF(Smile=TRUE(),VLOOKUP(MAX(-5,Strikeprice1-E110),Volsmile,2),0)),($A110-DateToday)+15,IF(Pricetype1=1,1,0),0))),E110)))</f>
        <v> </v>
      </c>
      <c r="O110" s="318" t="str">
        <f aca="false">IF($A110="N/A"," ",IF(Pricetype1=2,MAX(F110,0),IF(OR(Pricetype1=1,Pricetype1=4),IF(F110=0,0,(EURO(F110,Strikeprice1,0,0,($AK110+IF(Smile=TRUE(),VLOOKUP(MAX(-5,Strikeprice1-F110),Volsmile,2),0)),($A110-DateToday)+15,IF(Pricetype1=1,1,0),0))),F110)))</f>
        <v> </v>
      </c>
      <c r="P110" s="318" t="str">
        <f aca="false">IF($A110="N/A"," ",IF(Pricetype1=2,MAX(G110,0),IF(OR(Pricetype1=1,Pricetype1=4),IF(G110=0,0,(EURO(G110,Strikeprice1,0,0,($AK110+IF(Smile=TRUE(),VLOOKUP(MAX(-5,Strikeprice1-G110),Volsmile,2),0)),($A110-DateToday)+15,IF(Pricetype1=1,1,0),0))),G110)))</f>
        <v> </v>
      </c>
      <c r="Q110" s="318" t="str">
        <f aca="false">IF($A110="N/A"," ",IF(Pricetype1=2,MAX(H110,0),IF(OR(Pricetype1=1,Pricetype1=4),IF(H110=0,0,(EURO(H110,Strikeprice1,0,0,($AK110+IF(Smile=TRUE(),VLOOKUP(MAX(-5,Strikeprice1-H110),Volsmile,2),0)),($A110-DateToday)+15,IF(Pricetype1=1,1,0),0))),H110)))</f>
        <v> </v>
      </c>
      <c r="R110" s="318" t="str">
        <f aca="false">IF($A110="N/A"," ",IF(Pricetype1=2,MAX(I110,0),IF(OR(Pricetype1=1,Pricetype1=4),IF(I110=0,0,(EURO(I110,Strikeprice1,0,0,($AK110+IF(Smile=TRUE(),VLOOKUP(MAX(-5,Strikeprice1-I110),Volsmile,2),0)),($A110-DateToday)+15,IF(Pricetype1=1,1,0),0))),I110)))</f>
        <v> </v>
      </c>
      <c r="S110" s="318" t="str">
        <f aca="false">IF($A110="N/A"," ",IF(Pricetype1=2,MAX(J110,0),IF(OR(Pricetype1=1,Pricetype1=4),IF(J110=0,0,(EURO(J110,Strikeprice1,0,0,($AK110+IF(Smile=TRUE(),VLOOKUP(MAX(-5,Strikeprice1-J110),Volsmile,2),0)),($A110-DateToday)+15,IF(Pricetype1=1,1,0),0))),J110)))</f>
        <v> </v>
      </c>
      <c r="T110" s="318" t="str">
        <f aca="false">IF($A110="N/A"," ",IF(Pricetype1=2,MAX(K110,0),IF(OR(Pricetype1=1,Pricetype1=4),IF(K110=0,0,(EURO(K110,Strikeprice1,0,0,($AK110+IF(Smile=TRUE(),VLOOKUP(MAX(-5,Strikeprice1-K110),Volsmile,2),0)),($A110-DateToday)+15,IF(Pricetype1=1,1,0),0))),K110)))</f>
        <v> </v>
      </c>
      <c r="U110" s="319" t="str">
        <f aca="false">IF($A110="N/A"," ",Volume1*$AM110)</f>
        <v> </v>
      </c>
      <c r="V110" s="320" t="str">
        <f aca="false">IF($A110="N/A"," ",$U110*(8*($BQ110))*L110)</f>
        <v> </v>
      </c>
      <c r="W110" s="320" t="str">
        <f aca="false">IF($A110="N/A"," ",$U110*(8*($BQ110))*M110)</f>
        <v> </v>
      </c>
      <c r="X110" s="320" t="str">
        <f aca="false">IF($A110="N/A"," ",$U110*(8*($BQ110))*N110)</f>
        <v> </v>
      </c>
      <c r="Y110" s="320" t="str">
        <f aca="false">IF($A110="N/A"," ",$U110*(8*($BR110))*O110)</f>
        <v> </v>
      </c>
      <c r="Z110" s="320" t="str">
        <f aca="false">IF($A110="N/A"," ",$U110*(8*($BR110))*P110)</f>
        <v> </v>
      </c>
      <c r="AA110" s="320" t="str">
        <f aca="false">IF($A110="N/A"," ",$U110*(8*($BR110))*Q110)</f>
        <v> </v>
      </c>
      <c r="AB110" s="320" t="str">
        <f aca="false">IF($A110="N/A"," ",$U110*(8*($BS110))*R110)</f>
        <v> </v>
      </c>
      <c r="AC110" s="320" t="str">
        <f aca="false">IF($A110="N/A"," ",$U110*(8*($BS110))*S110)</f>
        <v> </v>
      </c>
      <c r="AD110" s="320" t="str">
        <f aca="false">IF($A110="N/A"," ",$U110*(8*($BS110))*T110)</f>
        <v> </v>
      </c>
      <c r="AE110" s="320" t="str">
        <f aca="false">IF($A110="N/A"," ",SUM(V110:AD110))</f>
        <v> </v>
      </c>
      <c r="AF110" s="321" t="str">
        <f aca="false">IF(A110="N/A"," ",(VLOOKUP(A110,PowerVolTable,(IF(VolBMO1=2,7,IF(VolBMO1=1,6,8))),FALSE())))</f>
        <v> </v>
      </c>
      <c r="AG110" s="321" t="str">
        <f aca="false">IF(A110="N/A"," ",(VLOOKUP(A110,IntraPowerVol,(IF(VolBMO1=2,3,IF(VolBMO1=1,2,4))),FALSE())*VLOOKUP(MONTH($A110),Volscale,2)))</f>
        <v> </v>
      </c>
      <c r="AH110" s="321" t="str">
        <f aca="false">IF($A110="N/A"," ",IF(VolType1=1,AG110,AF110))</f>
        <v> </v>
      </c>
      <c r="AI110" s="321" t="str">
        <f aca="false">IF($A110="N/A"," ",(VLOOKUP($A110,OffPwrVolTable,(IF(VolBMO1=2,7,IF(VolBMO1=1,6,8))),FALSE())))</f>
        <v> </v>
      </c>
      <c r="AJ110" s="321" t="str">
        <f aca="false">IF($A110="N/A"," ",(VLOOKUP($A110,OffPwrVolTable,(IF(VolBMO1=2,3,IF(VolBMO1=1,2,4))),FALSE())*VLOOKUP(MONTH($A110),Volscale,2)))</f>
        <v> </v>
      </c>
      <c r="AK110" s="321" t="str">
        <f aca="false">IF($A110="N/A"," ",IF(VolType1=1,AJ110,AI110))</f>
        <v> </v>
      </c>
      <c r="AL110" s="321" t="str">
        <f aca="false">IF($A110="N/A"," ",IF(PV=1,0,'Pricing Inputs1'!R143))</f>
        <v> </v>
      </c>
      <c r="AM110" s="323" t="str">
        <f aca="false">IF($A110="N/A"," ",(1+AL110/2)^(-2*((EOMONTH(A110,0)+20)-DateToday)/365.25))</f>
        <v> </v>
      </c>
      <c r="BQ110" s="0" t="str">
        <f aca="false">IF($A110="N/A"," ",(VLOOKUP($A110,NumberofDaysTable,2)))</f>
        <v> </v>
      </c>
      <c r="BR110" s="0" t="str">
        <f aca="false">IF($A110="N/A"," ",(VLOOKUP($A110,NumberofDaysTable,3)))</f>
        <v> </v>
      </c>
      <c r="BS110" s="0" t="str">
        <f aca="false">IF($A110="N/A"," ",(VLOOKUP($A110,NumberofDaysTable,4)))</f>
        <v> </v>
      </c>
    </row>
    <row r="111" customFormat="false" ht="12.75" hidden="false" customHeight="false" outlineLevel="0" collapsed="false">
      <c r="A111" s="315" t="str">
        <f aca="false">IF(A110="N/A","N/A",IF(EDATE(A110,1)&gt;Inputs!$M$5,"N/A",EDATE(A110,1)))</f>
        <v>N/A</v>
      </c>
      <c r="B111" s="316" t="str">
        <f aca="false">IF(A111="N/A"," ",YEAR(A111))</f>
        <v> </v>
      </c>
      <c r="C111" s="324" t="str">
        <f aca="false">IF($A111="N/A"," ",IF(Dayrun1=10,0,IF(Scaler1=1,(VLOOKUP(A111,ScaledPrice1,4)),(VLOOKUP(A111,ScaledPrice1,2)))))</f>
        <v> </v>
      </c>
      <c r="D111" s="317" t="str">
        <f aca="false">IF(A111="N/A"," ",IF(Dayrun1&gt;=7,0,IF(Scaler1=2,VLOOKUP(A111,ScaledPrice1,2),(VLOOKUP(A111,ScaledPrice1,2))*(2-(VLOOKUP(A111,ScaledPrice1,3))))))</f>
        <v> </v>
      </c>
      <c r="E111" s="317" t="str">
        <f aca="false">IF($A111="N/A"," ",IF(AND(Dayrun1&gt;=4,Dayrun1&lt;=9),0,VLOOKUP($A111,ScaledPrice1,9)))</f>
        <v> </v>
      </c>
      <c r="F111" s="317" t="str">
        <f aca="false">IF(A111="N/A"," ",IF(OR(Dayrun1=2,Dayrun1=3,Dayrun1=5,Dayrun1=6,Dayrun1=8,Dayrun1=9),VLOOKUP(A111,ScaledPrice1,IF(Scaler1=1,6,5)),0))</f>
        <v> </v>
      </c>
      <c r="G111" s="317" t="str">
        <f aca="false">IF(A111="N/A"," ",IF(OR(Dayrun1=2,Dayrun1=3,Dayrun1=5,Dayrun1=6),IF(Scaler1=2,F111,(VLOOKUP(A111,ScaledPrice1,5))*(2-(VLOOKUP(A111,ScaledPrice1,3)))),0))</f>
        <v> </v>
      </c>
      <c r="H111" s="317" t="str">
        <f aca="false">IF($A111="N/A"," ",IF(OR(Dayrun1=2,Dayrun1=3,Dayrun1=10),VLOOKUP($A111,ScaledPrice1,9),0))</f>
        <v> </v>
      </c>
      <c r="I111" s="317" t="str">
        <f aca="false">IF(A111="N/A"," ",IF(OR(Dayrun1=3,Dayrun1=6,Dayrun1=9),(VLOOKUP(A111,ScaledPrice1,IF(Scaler1=2,7,8))),0))</f>
        <v> </v>
      </c>
      <c r="J111" s="317" t="str">
        <f aca="false">IF(A111="N/A"," ",IF(OR(Dayrun1=3,Dayrun1=6),IF(Scaler1=2,I111,(VLOOKUP(A111,ScaledPrice1,7))*(2-(VLOOKUP(A111,ScaledPrice1,3)))),0))</f>
        <v> </v>
      </c>
      <c r="K111" s="317" t="str">
        <f aca="false">IF($A111="N/A"," ",IF(OR(Dayrun1=3,Dayrun1=10),VLOOKUP($A111,ScaledPrice1,9),0))</f>
        <v> </v>
      </c>
      <c r="L111" s="318" t="str">
        <f aca="false">IF($A111="N/A"," ",IF(Pricetype1=2,MAX(C111,0),IF(OR(Pricetype1=1,Pricetype1=4),IF(C111=0,0,(EURO(C111,Strikeprice1,0,0,($AH111+IF(Smile=TRUE(),VLOOKUP(MAX(-5,Strikeprice1-C111),Volsmile,2),0)),($A111-DateToday)+15,IF(Pricetype1=1,1,0),0))),C111)))</f>
        <v> </v>
      </c>
      <c r="M111" s="318" t="str">
        <f aca="false">IF($A111="N/A"," ",IF(Pricetype1=2,MAX(D111,0),IF(OR(Pricetype1=1,Pricetype1=4),IF(D111=0,0,(EURO(D111,Strikeprice1,0,0,($AH111+IF(Smile=TRUE(),VLOOKUP(MAX(-5,Strikeprice1-D111),Volsmile,2),0)),($A111-DateToday)+15,IF(Pricetype1=1,1,0),0))),D111)))</f>
        <v> </v>
      </c>
      <c r="N111" s="318" t="str">
        <f aca="false">IF($A111="N/A"," ",IF(Pricetype1=2,MAX(E111,0),IF(OR(Pricetype1=1,Pricetype1=4),IF(E111=0,0,(EURO(E111,Strikeprice1,0,0,($AK111+IF(Smile=TRUE(),VLOOKUP(MAX(-5,Strikeprice1-E111),Volsmile,2),0)),($A111-DateToday)+15,IF(Pricetype1=1,1,0),0))),E111)))</f>
        <v> </v>
      </c>
      <c r="O111" s="318" t="str">
        <f aca="false">IF($A111="N/A"," ",IF(Pricetype1=2,MAX(F111,0),IF(OR(Pricetype1=1,Pricetype1=4),IF(F111=0,0,(EURO(F111,Strikeprice1,0,0,($AK111+IF(Smile=TRUE(),VLOOKUP(MAX(-5,Strikeprice1-F111),Volsmile,2),0)),($A111-DateToday)+15,IF(Pricetype1=1,1,0),0))),F111)))</f>
        <v> </v>
      </c>
      <c r="P111" s="318" t="str">
        <f aca="false">IF($A111="N/A"," ",IF(Pricetype1=2,MAX(G111,0),IF(OR(Pricetype1=1,Pricetype1=4),IF(G111=0,0,(EURO(G111,Strikeprice1,0,0,($AK111+IF(Smile=TRUE(),VLOOKUP(MAX(-5,Strikeprice1-G111),Volsmile,2),0)),($A111-DateToday)+15,IF(Pricetype1=1,1,0),0))),G111)))</f>
        <v> </v>
      </c>
      <c r="Q111" s="318" t="str">
        <f aca="false">IF($A111="N/A"," ",IF(Pricetype1=2,MAX(H111,0),IF(OR(Pricetype1=1,Pricetype1=4),IF(H111=0,0,(EURO(H111,Strikeprice1,0,0,($AK111+IF(Smile=TRUE(),VLOOKUP(MAX(-5,Strikeprice1-H111),Volsmile,2),0)),($A111-DateToday)+15,IF(Pricetype1=1,1,0),0))),H111)))</f>
        <v> </v>
      </c>
      <c r="R111" s="318" t="str">
        <f aca="false">IF($A111="N/A"," ",IF(Pricetype1=2,MAX(I111,0),IF(OR(Pricetype1=1,Pricetype1=4),IF(I111=0,0,(EURO(I111,Strikeprice1,0,0,($AK111+IF(Smile=TRUE(),VLOOKUP(MAX(-5,Strikeprice1-I111),Volsmile,2),0)),($A111-DateToday)+15,IF(Pricetype1=1,1,0),0))),I111)))</f>
        <v> </v>
      </c>
      <c r="S111" s="318" t="str">
        <f aca="false">IF($A111="N/A"," ",IF(Pricetype1=2,MAX(J111,0),IF(OR(Pricetype1=1,Pricetype1=4),IF(J111=0,0,(EURO(J111,Strikeprice1,0,0,($AK111+IF(Smile=TRUE(),VLOOKUP(MAX(-5,Strikeprice1-J111),Volsmile,2),0)),($A111-DateToday)+15,IF(Pricetype1=1,1,0),0))),J111)))</f>
        <v> </v>
      </c>
      <c r="T111" s="318" t="str">
        <f aca="false">IF($A111="N/A"," ",IF(Pricetype1=2,MAX(K111,0),IF(OR(Pricetype1=1,Pricetype1=4),IF(K111=0,0,(EURO(K111,Strikeprice1,0,0,($AK111+IF(Smile=TRUE(),VLOOKUP(MAX(-5,Strikeprice1-K111),Volsmile,2),0)),($A111-DateToday)+15,IF(Pricetype1=1,1,0),0))),K111)))</f>
        <v> </v>
      </c>
      <c r="U111" s="319" t="str">
        <f aca="false">IF($A111="N/A"," ",Volume1*$AM111)</f>
        <v> </v>
      </c>
      <c r="V111" s="320" t="str">
        <f aca="false">IF($A111="N/A"," ",$U111*(8*($BQ111))*L111)</f>
        <v> </v>
      </c>
      <c r="W111" s="320" t="str">
        <f aca="false">IF($A111="N/A"," ",$U111*(8*($BQ111))*M111)</f>
        <v> </v>
      </c>
      <c r="X111" s="320" t="str">
        <f aca="false">IF($A111="N/A"," ",$U111*(8*($BQ111))*N111)</f>
        <v> </v>
      </c>
      <c r="Y111" s="320" t="str">
        <f aca="false">IF($A111="N/A"," ",$U111*(8*($BR111))*O111)</f>
        <v> </v>
      </c>
      <c r="Z111" s="320" t="str">
        <f aca="false">IF($A111="N/A"," ",$U111*(8*($BR111))*P111)</f>
        <v> </v>
      </c>
      <c r="AA111" s="320" t="str">
        <f aca="false">IF($A111="N/A"," ",$U111*(8*($BR111))*Q111)</f>
        <v> </v>
      </c>
      <c r="AB111" s="320" t="str">
        <f aca="false">IF($A111="N/A"," ",$U111*(8*($BS111))*R111)</f>
        <v> </v>
      </c>
      <c r="AC111" s="320" t="str">
        <f aca="false">IF($A111="N/A"," ",$U111*(8*($BS111))*S111)</f>
        <v> </v>
      </c>
      <c r="AD111" s="320" t="str">
        <f aca="false">IF($A111="N/A"," ",$U111*(8*($BS111))*T111)</f>
        <v> </v>
      </c>
      <c r="AE111" s="320" t="str">
        <f aca="false">IF($A111="N/A"," ",SUM(V111:AD111))</f>
        <v> </v>
      </c>
      <c r="AF111" s="321" t="str">
        <f aca="false">IF(A111="N/A"," ",(VLOOKUP(A111,PowerVolTable,(IF(VolBMO1=2,7,IF(VolBMO1=1,6,8))),FALSE())))</f>
        <v> </v>
      </c>
      <c r="AG111" s="321" t="str">
        <f aca="false">IF(A111="N/A"," ",(VLOOKUP(A111,IntraPowerVol,(IF(VolBMO1=2,3,IF(VolBMO1=1,2,4))),FALSE())*VLOOKUP(MONTH($A111),Volscale,2)))</f>
        <v> </v>
      </c>
      <c r="AH111" s="321" t="str">
        <f aca="false">IF($A111="N/A"," ",IF(VolType1=1,AG111,AF111))</f>
        <v> </v>
      </c>
      <c r="AI111" s="321" t="str">
        <f aca="false">IF($A111="N/A"," ",(VLOOKUP($A111,OffPwrVolTable,(IF(VolBMO1=2,7,IF(VolBMO1=1,6,8))),FALSE())))</f>
        <v> </v>
      </c>
      <c r="AJ111" s="321" t="str">
        <f aca="false">IF($A111="N/A"," ",(VLOOKUP($A111,OffPwrVolTable,(IF(VolBMO1=2,3,IF(VolBMO1=1,2,4))),FALSE())*VLOOKUP(MONTH($A111),Volscale,2)))</f>
        <v> </v>
      </c>
      <c r="AK111" s="321" t="str">
        <f aca="false">IF($A111="N/A"," ",IF(VolType1=1,AJ111,AI111))</f>
        <v> </v>
      </c>
      <c r="AL111" s="321" t="str">
        <f aca="false">IF($A111="N/A"," ",IF(PV=1,0,'Pricing Inputs1'!R144))</f>
        <v> </v>
      </c>
      <c r="AM111" s="323" t="str">
        <f aca="false">IF($A111="N/A"," ",(1+AL111/2)^(-2*((EOMONTH(A111,0)+20)-DateToday)/365.25))</f>
        <v> </v>
      </c>
      <c r="BQ111" s="0" t="str">
        <f aca="false">IF($A111="N/A"," ",(VLOOKUP($A111,NumberofDaysTable,2)))</f>
        <v> </v>
      </c>
      <c r="BR111" s="0" t="str">
        <f aca="false">IF($A111="N/A"," ",(VLOOKUP($A111,NumberofDaysTable,3)))</f>
        <v> </v>
      </c>
      <c r="BS111" s="0" t="str">
        <f aca="false">IF($A111="N/A"," ",(VLOOKUP($A111,NumberofDaysTable,4)))</f>
        <v> </v>
      </c>
    </row>
    <row r="112" customFormat="false" ht="12.75" hidden="false" customHeight="false" outlineLevel="0" collapsed="false">
      <c r="A112" s="315" t="str">
        <f aca="false">IF(A111="N/A","N/A",IF(EDATE(A111,1)&gt;Inputs!$M$5,"N/A",EDATE(A111,1)))</f>
        <v>N/A</v>
      </c>
      <c r="B112" s="316" t="str">
        <f aca="false">IF(A112="N/A"," ",YEAR(A112))</f>
        <v> </v>
      </c>
      <c r="C112" s="324" t="str">
        <f aca="false">IF($A112="N/A"," ",IF(Dayrun1=10,0,IF(Scaler1=1,(VLOOKUP(A112,ScaledPrice1,4)),(VLOOKUP(A112,ScaledPrice1,2)))))</f>
        <v> </v>
      </c>
      <c r="D112" s="317" t="str">
        <f aca="false">IF(A112="N/A"," ",IF(Dayrun1&gt;=7,0,IF(Scaler1=2,VLOOKUP(A112,ScaledPrice1,2),(VLOOKUP(A112,ScaledPrice1,2))*(2-(VLOOKUP(A112,ScaledPrice1,3))))))</f>
        <v> </v>
      </c>
      <c r="E112" s="317" t="str">
        <f aca="false">IF($A112="N/A"," ",IF(AND(Dayrun1&gt;=4,Dayrun1&lt;=9),0,VLOOKUP($A112,ScaledPrice1,9)))</f>
        <v> </v>
      </c>
      <c r="F112" s="317" t="str">
        <f aca="false">IF(A112="N/A"," ",IF(OR(Dayrun1=2,Dayrun1=3,Dayrun1=5,Dayrun1=6,Dayrun1=8,Dayrun1=9),VLOOKUP(A112,ScaledPrice1,IF(Scaler1=1,6,5)),0))</f>
        <v> </v>
      </c>
      <c r="G112" s="317" t="str">
        <f aca="false">IF(A112="N/A"," ",IF(OR(Dayrun1=2,Dayrun1=3,Dayrun1=5,Dayrun1=6),IF(Scaler1=2,F112,(VLOOKUP(A112,ScaledPrice1,5))*(2-(VLOOKUP(A112,ScaledPrice1,3)))),0))</f>
        <v> </v>
      </c>
      <c r="H112" s="317" t="str">
        <f aca="false">IF($A112="N/A"," ",IF(OR(Dayrun1=2,Dayrun1=3,Dayrun1=10),VLOOKUP($A112,ScaledPrice1,9),0))</f>
        <v> </v>
      </c>
      <c r="I112" s="317" t="str">
        <f aca="false">IF(A112="N/A"," ",IF(OR(Dayrun1=3,Dayrun1=6,Dayrun1=9),(VLOOKUP(A112,ScaledPrice1,IF(Scaler1=2,7,8))),0))</f>
        <v> </v>
      </c>
      <c r="J112" s="317" t="str">
        <f aca="false">IF(A112="N/A"," ",IF(OR(Dayrun1=3,Dayrun1=6),IF(Scaler1=2,I112,(VLOOKUP(A112,ScaledPrice1,7))*(2-(VLOOKUP(A112,ScaledPrice1,3)))),0))</f>
        <v> </v>
      </c>
      <c r="K112" s="317" t="str">
        <f aca="false">IF($A112="N/A"," ",IF(OR(Dayrun1=3,Dayrun1=10),VLOOKUP($A112,ScaledPrice1,9),0))</f>
        <v> </v>
      </c>
      <c r="L112" s="318" t="str">
        <f aca="false">IF($A112="N/A"," ",IF(Pricetype1=2,MAX(C112,0),IF(OR(Pricetype1=1,Pricetype1=4),IF(C112=0,0,(EURO(C112,Strikeprice1,0,0,($AH112+IF(Smile=TRUE(),VLOOKUP(MAX(-5,Strikeprice1-C112),Volsmile,2),0)),($A112-DateToday)+15,IF(Pricetype1=1,1,0),0))),C112)))</f>
        <v> </v>
      </c>
      <c r="M112" s="318" t="str">
        <f aca="false">IF($A112="N/A"," ",IF(Pricetype1=2,MAX(D112,0),IF(OR(Pricetype1=1,Pricetype1=4),IF(D112=0,0,(EURO(D112,Strikeprice1,0,0,($AH112+IF(Smile=TRUE(),VLOOKUP(MAX(-5,Strikeprice1-D112),Volsmile,2),0)),($A112-DateToday)+15,IF(Pricetype1=1,1,0),0))),D112)))</f>
        <v> </v>
      </c>
      <c r="N112" s="318" t="str">
        <f aca="false">IF($A112="N/A"," ",IF(Pricetype1=2,MAX(E112,0),IF(OR(Pricetype1=1,Pricetype1=4),IF(E112=0,0,(EURO(E112,Strikeprice1,0,0,($AK112+IF(Smile=TRUE(),VLOOKUP(MAX(-5,Strikeprice1-E112),Volsmile,2),0)),($A112-DateToday)+15,IF(Pricetype1=1,1,0),0))),E112)))</f>
        <v> </v>
      </c>
      <c r="O112" s="318" t="str">
        <f aca="false">IF($A112="N/A"," ",IF(Pricetype1=2,MAX(F112,0),IF(OR(Pricetype1=1,Pricetype1=4),IF(F112=0,0,(EURO(F112,Strikeprice1,0,0,($AK112+IF(Smile=TRUE(),VLOOKUP(MAX(-5,Strikeprice1-F112),Volsmile,2),0)),($A112-DateToday)+15,IF(Pricetype1=1,1,0),0))),F112)))</f>
        <v> </v>
      </c>
      <c r="P112" s="318" t="str">
        <f aca="false">IF($A112="N/A"," ",IF(Pricetype1=2,MAX(G112,0),IF(OR(Pricetype1=1,Pricetype1=4),IF(G112=0,0,(EURO(G112,Strikeprice1,0,0,($AK112+IF(Smile=TRUE(),VLOOKUP(MAX(-5,Strikeprice1-G112),Volsmile,2),0)),($A112-DateToday)+15,IF(Pricetype1=1,1,0),0))),G112)))</f>
        <v> </v>
      </c>
      <c r="Q112" s="318" t="str">
        <f aca="false">IF($A112="N/A"," ",IF(Pricetype1=2,MAX(H112,0),IF(OR(Pricetype1=1,Pricetype1=4),IF(H112=0,0,(EURO(H112,Strikeprice1,0,0,($AK112+IF(Smile=TRUE(),VLOOKUP(MAX(-5,Strikeprice1-H112),Volsmile,2),0)),($A112-DateToday)+15,IF(Pricetype1=1,1,0),0))),H112)))</f>
        <v> </v>
      </c>
      <c r="R112" s="318" t="str">
        <f aca="false">IF($A112="N/A"," ",IF(Pricetype1=2,MAX(I112,0),IF(OR(Pricetype1=1,Pricetype1=4),IF(I112=0,0,(EURO(I112,Strikeprice1,0,0,($AK112+IF(Smile=TRUE(),VLOOKUP(MAX(-5,Strikeprice1-I112),Volsmile,2),0)),($A112-DateToday)+15,IF(Pricetype1=1,1,0),0))),I112)))</f>
        <v> </v>
      </c>
      <c r="S112" s="318" t="str">
        <f aca="false">IF($A112="N/A"," ",IF(Pricetype1=2,MAX(J112,0),IF(OR(Pricetype1=1,Pricetype1=4),IF(J112=0,0,(EURO(J112,Strikeprice1,0,0,($AK112+IF(Smile=TRUE(),VLOOKUP(MAX(-5,Strikeprice1-J112),Volsmile,2),0)),($A112-DateToday)+15,IF(Pricetype1=1,1,0),0))),J112)))</f>
        <v> </v>
      </c>
      <c r="T112" s="318" t="str">
        <f aca="false">IF($A112="N/A"," ",IF(Pricetype1=2,MAX(K112,0),IF(OR(Pricetype1=1,Pricetype1=4),IF(K112=0,0,(EURO(K112,Strikeprice1,0,0,($AK112+IF(Smile=TRUE(),VLOOKUP(MAX(-5,Strikeprice1-K112),Volsmile,2),0)),($A112-DateToday)+15,IF(Pricetype1=1,1,0),0))),K112)))</f>
        <v> </v>
      </c>
      <c r="U112" s="319" t="str">
        <f aca="false">IF($A112="N/A"," ",Volume1*$AM112)</f>
        <v> </v>
      </c>
      <c r="V112" s="320" t="str">
        <f aca="false">IF($A112="N/A"," ",$U112*(8*($BQ112))*L112)</f>
        <v> </v>
      </c>
      <c r="W112" s="320" t="str">
        <f aca="false">IF($A112="N/A"," ",$U112*(8*($BQ112))*M112)</f>
        <v> </v>
      </c>
      <c r="X112" s="320" t="str">
        <f aca="false">IF($A112="N/A"," ",$U112*(8*($BQ112))*N112)</f>
        <v> </v>
      </c>
      <c r="Y112" s="320" t="str">
        <f aca="false">IF($A112="N/A"," ",$U112*(8*($BR112))*O112)</f>
        <v> </v>
      </c>
      <c r="Z112" s="320" t="str">
        <f aca="false">IF($A112="N/A"," ",$U112*(8*($BR112))*P112)</f>
        <v> </v>
      </c>
      <c r="AA112" s="320" t="str">
        <f aca="false">IF($A112="N/A"," ",$U112*(8*($BR112))*Q112)</f>
        <v> </v>
      </c>
      <c r="AB112" s="320" t="str">
        <f aca="false">IF($A112="N/A"," ",$U112*(8*($BS112))*R112)</f>
        <v> </v>
      </c>
      <c r="AC112" s="320" t="str">
        <f aca="false">IF($A112="N/A"," ",$U112*(8*($BS112))*S112)</f>
        <v> </v>
      </c>
      <c r="AD112" s="320" t="str">
        <f aca="false">IF($A112="N/A"," ",$U112*(8*($BS112))*T112)</f>
        <v> </v>
      </c>
      <c r="AE112" s="320" t="str">
        <f aca="false">IF($A112="N/A"," ",SUM(V112:AD112))</f>
        <v> </v>
      </c>
      <c r="AF112" s="321" t="str">
        <f aca="false">IF(A112="N/A"," ",(VLOOKUP(A112,PowerVolTable,(IF(VolBMO1=2,7,IF(VolBMO1=1,6,8))),FALSE())))</f>
        <v> </v>
      </c>
      <c r="AG112" s="321" t="str">
        <f aca="false">IF(A112="N/A"," ",(VLOOKUP(A112,IntraPowerVol,(IF(VolBMO1=2,3,IF(VolBMO1=1,2,4))),FALSE())*VLOOKUP(MONTH($A112),Volscale,2)))</f>
        <v> </v>
      </c>
      <c r="AH112" s="321" t="str">
        <f aca="false">IF($A112="N/A"," ",IF(VolType1=1,AG112,AF112))</f>
        <v> </v>
      </c>
      <c r="AI112" s="321" t="str">
        <f aca="false">IF($A112="N/A"," ",(VLOOKUP($A112,OffPwrVolTable,(IF(VolBMO1=2,7,IF(VolBMO1=1,6,8))),FALSE())))</f>
        <v> </v>
      </c>
      <c r="AJ112" s="321" t="str">
        <f aca="false">IF($A112="N/A"," ",(VLOOKUP($A112,OffPwrVolTable,(IF(VolBMO1=2,3,IF(VolBMO1=1,2,4))),FALSE())*VLOOKUP(MONTH($A112),Volscale,2)))</f>
        <v> </v>
      </c>
      <c r="AK112" s="321" t="str">
        <f aca="false">IF($A112="N/A"," ",IF(VolType1=1,AJ112,AI112))</f>
        <v> </v>
      </c>
      <c r="AL112" s="321" t="str">
        <f aca="false">IF($A112="N/A"," ",IF(PV=1,0,'Pricing Inputs1'!R145))</f>
        <v> </v>
      </c>
      <c r="AM112" s="323" t="str">
        <f aca="false">IF($A112="N/A"," ",(1+AL112/2)^(-2*((EOMONTH(A112,0)+20)-DateToday)/365.25))</f>
        <v> </v>
      </c>
      <c r="BQ112" s="0" t="str">
        <f aca="false">IF($A112="N/A"," ",(VLOOKUP($A112,NumberofDaysTable,2)))</f>
        <v> </v>
      </c>
      <c r="BR112" s="0" t="str">
        <f aca="false">IF($A112="N/A"," ",(VLOOKUP($A112,NumberofDaysTable,3)))</f>
        <v> </v>
      </c>
      <c r="BS112" s="0" t="str">
        <f aca="false">IF($A112="N/A"," ",(VLOOKUP($A112,NumberofDaysTable,4)))</f>
        <v> </v>
      </c>
    </row>
    <row r="113" customFormat="false" ht="12.75" hidden="false" customHeight="false" outlineLevel="0" collapsed="false">
      <c r="A113" s="315" t="str">
        <f aca="false">IF(A112="N/A","N/A",IF(EDATE(A112,1)&gt;Inputs!$M$5,"N/A",EDATE(A112,1)))</f>
        <v>N/A</v>
      </c>
      <c r="B113" s="316" t="str">
        <f aca="false">IF(A113="N/A"," ",YEAR(A113))</f>
        <v> </v>
      </c>
      <c r="C113" s="324" t="str">
        <f aca="false">IF($A113="N/A"," ",IF(Dayrun1=10,0,IF(Scaler1=1,(VLOOKUP(A113,ScaledPrice1,4)),(VLOOKUP(A113,ScaledPrice1,2)))))</f>
        <v> </v>
      </c>
      <c r="D113" s="317" t="str">
        <f aca="false">IF(A113="N/A"," ",IF(Dayrun1&gt;=7,0,IF(Scaler1=2,VLOOKUP(A113,ScaledPrice1,2),(VLOOKUP(A113,ScaledPrice1,2))*(2-(VLOOKUP(A113,ScaledPrice1,3))))))</f>
        <v> </v>
      </c>
      <c r="E113" s="317" t="str">
        <f aca="false">IF($A113="N/A"," ",IF(AND(Dayrun1&gt;=4,Dayrun1&lt;=9),0,VLOOKUP($A113,ScaledPrice1,9)))</f>
        <v> </v>
      </c>
      <c r="F113" s="317" t="str">
        <f aca="false">IF(A113="N/A"," ",IF(OR(Dayrun1=2,Dayrun1=3,Dayrun1=5,Dayrun1=6,Dayrun1=8,Dayrun1=9),VLOOKUP(A113,ScaledPrice1,IF(Scaler1=1,6,5)),0))</f>
        <v> </v>
      </c>
      <c r="G113" s="317" t="str">
        <f aca="false">IF(A113="N/A"," ",IF(OR(Dayrun1=2,Dayrun1=3,Dayrun1=5,Dayrun1=6),IF(Scaler1=2,F113,(VLOOKUP(A113,ScaledPrice1,5))*(2-(VLOOKUP(A113,ScaledPrice1,3)))),0))</f>
        <v> </v>
      </c>
      <c r="H113" s="317" t="str">
        <f aca="false">IF($A113="N/A"," ",IF(OR(Dayrun1=2,Dayrun1=3,Dayrun1=10),VLOOKUP($A113,ScaledPrice1,9),0))</f>
        <v> </v>
      </c>
      <c r="I113" s="317" t="str">
        <f aca="false">IF(A113="N/A"," ",IF(OR(Dayrun1=3,Dayrun1=6,Dayrun1=9),(VLOOKUP(A113,ScaledPrice1,IF(Scaler1=2,7,8))),0))</f>
        <v> </v>
      </c>
      <c r="J113" s="317" t="str">
        <f aca="false">IF(A113="N/A"," ",IF(OR(Dayrun1=3,Dayrun1=6),IF(Scaler1=2,I113,(VLOOKUP(A113,ScaledPrice1,7))*(2-(VLOOKUP(A113,ScaledPrice1,3)))),0))</f>
        <v> </v>
      </c>
      <c r="K113" s="317" t="str">
        <f aca="false">IF($A113="N/A"," ",IF(OR(Dayrun1=3,Dayrun1=10),VLOOKUP($A113,ScaledPrice1,9),0))</f>
        <v> </v>
      </c>
      <c r="L113" s="318" t="str">
        <f aca="false">IF($A113="N/A"," ",IF(Pricetype1=2,MAX(C113,0),IF(OR(Pricetype1=1,Pricetype1=4),IF(C113=0,0,(EURO(C113,Strikeprice1,0,0,($AH113+IF(Smile=TRUE(),VLOOKUP(MAX(-5,Strikeprice1-C113),Volsmile,2),0)),($A113-DateToday)+15,IF(Pricetype1=1,1,0),0))),C113)))</f>
        <v> </v>
      </c>
      <c r="M113" s="318" t="str">
        <f aca="false">IF($A113="N/A"," ",IF(Pricetype1=2,MAX(D113,0),IF(OR(Pricetype1=1,Pricetype1=4),IF(D113=0,0,(EURO(D113,Strikeprice1,0,0,($AH113+IF(Smile=TRUE(),VLOOKUP(MAX(-5,Strikeprice1-D113),Volsmile,2),0)),($A113-DateToday)+15,IF(Pricetype1=1,1,0),0))),D113)))</f>
        <v> </v>
      </c>
      <c r="N113" s="318" t="str">
        <f aca="false">IF($A113="N/A"," ",IF(Pricetype1=2,MAX(E113,0),IF(OR(Pricetype1=1,Pricetype1=4),IF(E113=0,0,(EURO(E113,Strikeprice1,0,0,($AK113+IF(Smile=TRUE(),VLOOKUP(MAX(-5,Strikeprice1-E113),Volsmile,2),0)),($A113-DateToday)+15,IF(Pricetype1=1,1,0),0))),E113)))</f>
        <v> </v>
      </c>
      <c r="O113" s="318" t="str">
        <f aca="false">IF($A113="N/A"," ",IF(Pricetype1=2,MAX(F113,0),IF(OR(Pricetype1=1,Pricetype1=4),IF(F113=0,0,(EURO(F113,Strikeprice1,0,0,($AK113+IF(Smile=TRUE(),VLOOKUP(MAX(-5,Strikeprice1-F113),Volsmile,2),0)),($A113-DateToday)+15,IF(Pricetype1=1,1,0),0))),F113)))</f>
        <v> </v>
      </c>
      <c r="P113" s="318" t="str">
        <f aca="false">IF($A113="N/A"," ",IF(Pricetype1=2,MAX(G113,0),IF(OR(Pricetype1=1,Pricetype1=4),IF(G113=0,0,(EURO(G113,Strikeprice1,0,0,($AK113+IF(Smile=TRUE(),VLOOKUP(MAX(-5,Strikeprice1-G113),Volsmile,2),0)),($A113-DateToday)+15,IF(Pricetype1=1,1,0),0))),G113)))</f>
        <v> </v>
      </c>
      <c r="Q113" s="318" t="str">
        <f aca="false">IF($A113="N/A"," ",IF(Pricetype1=2,MAX(H113,0),IF(OR(Pricetype1=1,Pricetype1=4),IF(H113=0,0,(EURO(H113,Strikeprice1,0,0,($AK113+IF(Smile=TRUE(),VLOOKUP(MAX(-5,Strikeprice1-H113),Volsmile,2),0)),($A113-DateToday)+15,IF(Pricetype1=1,1,0),0))),H113)))</f>
        <v> </v>
      </c>
      <c r="R113" s="318" t="str">
        <f aca="false">IF($A113="N/A"," ",IF(Pricetype1=2,MAX(I113,0),IF(OR(Pricetype1=1,Pricetype1=4),IF(I113=0,0,(EURO(I113,Strikeprice1,0,0,($AK113+IF(Smile=TRUE(),VLOOKUP(MAX(-5,Strikeprice1-I113),Volsmile,2),0)),($A113-DateToday)+15,IF(Pricetype1=1,1,0),0))),I113)))</f>
        <v> </v>
      </c>
      <c r="S113" s="318" t="str">
        <f aca="false">IF($A113="N/A"," ",IF(Pricetype1=2,MAX(J113,0),IF(OR(Pricetype1=1,Pricetype1=4),IF(J113=0,0,(EURO(J113,Strikeprice1,0,0,($AK113+IF(Smile=TRUE(),VLOOKUP(MAX(-5,Strikeprice1-J113),Volsmile,2),0)),($A113-DateToday)+15,IF(Pricetype1=1,1,0),0))),J113)))</f>
        <v> </v>
      </c>
      <c r="T113" s="318" t="str">
        <f aca="false">IF($A113="N/A"," ",IF(Pricetype1=2,MAX(K113,0),IF(OR(Pricetype1=1,Pricetype1=4),IF(K113=0,0,(EURO(K113,Strikeprice1,0,0,($AK113+IF(Smile=TRUE(),VLOOKUP(MAX(-5,Strikeprice1-K113),Volsmile,2),0)),($A113-DateToday)+15,IF(Pricetype1=1,1,0),0))),K113)))</f>
        <v> </v>
      </c>
      <c r="U113" s="319" t="str">
        <f aca="false">IF($A113="N/A"," ",Volume1*$AM113)</f>
        <v> </v>
      </c>
      <c r="V113" s="320" t="str">
        <f aca="false">IF($A113="N/A"," ",$U113*(8*($BQ113))*L113)</f>
        <v> </v>
      </c>
      <c r="W113" s="320" t="str">
        <f aca="false">IF($A113="N/A"," ",$U113*(8*($BQ113))*M113)</f>
        <v> </v>
      </c>
      <c r="X113" s="320" t="str">
        <f aca="false">IF($A113="N/A"," ",$U113*(8*($BQ113))*N113)</f>
        <v> </v>
      </c>
      <c r="Y113" s="320" t="str">
        <f aca="false">IF($A113="N/A"," ",$U113*(8*($BR113))*O113)</f>
        <v> </v>
      </c>
      <c r="Z113" s="320" t="str">
        <f aca="false">IF($A113="N/A"," ",$U113*(8*($BR113))*P113)</f>
        <v> </v>
      </c>
      <c r="AA113" s="320" t="str">
        <f aca="false">IF($A113="N/A"," ",$U113*(8*($BR113))*Q113)</f>
        <v> </v>
      </c>
      <c r="AB113" s="320" t="str">
        <f aca="false">IF($A113="N/A"," ",$U113*(8*($BS113))*R113)</f>
        <v> </v>
      </c>
      <c r="AC113" s="320" t="str">
        <f aca="false">IF($A113="N/A"," ",$U113*(8*($BS113))*S113)</f>
        <v> </v>
      </c>
      <c r="AD113" s="320" t="str">
        <f aca="false">IF($A113="N/A"," ",$U113*(8*($BS113))*T113)</f>
        <v> </v>
      </c>
      <c r="AE113" s="320" t="str">
        <f aca="false">IF($A113="N/A"," ",SUM(V113:AD113))</f>
        <v> </v>
      </c>
      <c r="AF113" s="321" t="str">
        <f aca="false">IF(A113="N/A"," ",(VLOOKUP(A113,PowerVolTable,(IF(VolBMO1=2,7,IF(VolBMO1=1,6,8))),FALSE())))</f>
        <v> </v>
      </c>
      <c r="AG113" s="321" t="str">
        <f aca="false">IF(A113="N/A"," ",(VLOOKUP(A113,IntraPowerVol,(IF(VolBMO1=2,3,IF(VolBMO1=1,2,4))),FALSE())*VLOOKUP(MONTH($A113),Volscale,2)))</f>
        <v> </v>
      </c>
      <c r="AH113" s="321" t="str">
        <f aca="false">IF($A113="N/A"," ",IF(VolType1=1,AG113,AF113))</f>
        <v> </v>
      </c>
      <c r="AI113" s="321" t="str">
        <f aca="false">IF($A113="N/A"," ",(VLOOKUP($A113,OffPwrVolTable,(IF(VolBMO1=2,7,IF(VolBMO1=1,6,8))),FALSE())))</f>
        <v> </v>
      </c>
      <c r="AJ113" s="321" t="str">
        <f aca="false">IF($A113="N/A"," ",(VLOOKUP($A113,OffPwrVolTable,(IF(VolBMO1=2,3,IF(VolBMO1=1,2,4))),FALSE())*VLOOKUP(MONTH($A113),Volscale,2)))</f>
        <v> </v>
      </c>
      <c r="AK113" s="321" t="str">
        <f aca="false">IF($A113="N/A"," ",IF(VolType1=1,AJ113,AI113))</f>
        <v> </v>
      </c>
      <c r="AL113" s="321" t="str">
        <f aca="false">IF($A113="N/A"," ",IF(PV=1,0,'Pricing Inputs1'!R146))</f>
        <v> </v>
      </c>
      <c r="AM113" s="323" t="str">
        <f aca="false">IF($A113="N/A"," ",(1+AL113/2)^(-2*((EOMONTH(A113,0)+20)-DateToday)/365.25))</f>
        <v> </v>
      </c>
      <c r="BQ113" s="0" t="str">
        <f aca="false">IF($A113="N/A"," ",(VLOOKUP($A113,NumberofDaysTable,2)))</f>
        <v> </v>
      </c>
      <c r="BR113" s="0" t="str">
        <f aca="false">IF($A113="N/A"," ",(VLOOKUP($A113,NumberofDaysTable,3)))</f>
        <v> </v>
      </c>
      <c r="BS113" s="0" t="str">
        <f aca="false">IF($A113="N/A"," ",(VLOOKUP($A113,NumberofDaysTable,4)))</f>
        <v> </v>
      </c>
    </row>
    <row r="114" customFormat="false" ht="12.75" hidden="false" customHeight="false" outlineLevel="0" collapsed="false">
      <c r="A114" s="315" t="str">
        <f aca="false">IF(A113="N/A","N/A",IF(EDATE(A113,1)&gt;Inputs!$M$5,"N/A",EDATE(A113,1)))</f>
        <v>N/A</v>
      </c>
      <c r="B114" s="316" t="str">
        <f aca="false">IF(A114="N/A"," ",YEAR(A114))</f>
        <v> </v>
      </c>
      <c r="C114" s="324" t="str">
        <f aca="false">IF($A114="N/A"," ",IF(Dayrun1=10,0,IF(Scaler1=1,(VLOOKUP(A114,ScaledPrice1,4)),(VLOOKUP(A114,ScaledPrice1,2)))))</f>
        <v> </v>
      </c>
      <c r="D114" s="317" t="str">
        <f aca="false">IF(A114="N/A"," ",IF(Dayrun1&gt;=7,0,IF(Scaler1=2,VLOOKUP(A114,ScaledPrice1,2),(VLOOKUP(A114,ScaledPrice1,2))*(2-(VLOOKUP(A114,ScaledPrice1,3))))))</f>
        <v> </v>
      </c>
      <c r="E114" s="317" t="str">
        <f aca="false">IF($A114="N/A"," ",IF(AND(Dayrun1&gt;=4,Dayrun1&lt;=9),0,VLOOKUP($A114,ScaledPrice1,9)))</f>
        <v> </v>
      </c>
      <c r="F114" s="317" t="str">
        <f aca="false">IF(A114="N/A"," ",IF(OR(Dayrun1=2,Dayrun1=3,Dayrun1=5,Dayrun1=6,Dayrun1=8,Dayrun1=9),VLOOKUP(A114,ScaledPrice1,IF(Scaler1=1,6,5)),0))</f>
        <v> </v>
      </c>
      <c r="G114" s="317" t="str">
        <f aca="false">IF(A114="N/A"," ",IF(OR(Dayrun1=2,Dayrun1=3,Dayrun1=5,Dayrun1=6),IF(Scaler1=2,F114,(VLOOKUP(A114,ScaledPrice1,5))*(2-(VLOOKUP(A114,ScaledPrice1,3)))),0))</f>
        <v> </v>
      </c>
      <c r="H114" s="317" t="str">
        <f aca="false">IF($A114="N/A"," ",IF(OR(Dayrun1=2,Dayrun1=3,Dayrun1=10),VLOOKUP($A114,ScaledPrice1,9),0))</f>
        <v> </v>
      </c>
      <c r="I114" s="317" t="str">
        <f aca="false">IF(A114="N/A"," ",IF(OR(Dayrun1=3,Dayrun1=6,Dayrun1=9),(VLOOKUP(A114,ScaledPrice1,IF(Scaler1=2,7,8))),0))</f>
        <v> </v>
      </c>
      <c r="J114" s="317" t="str">
        <f aca="false">IF(A114="N/A"," ",IF(OR(Dayrun1=3,Dayrun1=6),IF(Scaler1=2,I114,(VLOOKUP(A114,ScaledPrice1,7))*(2-(VLOOKUP(A114,ScaledPrice1,3)))),0))</f>
        <v> </v>
      </c>
      <c r="K114" s="317" t="str">
        <f aca="false">IF($A114="N/A"," ",IF(OR(Dayrun1=3,Dayrun1=10),VLOOKUP($A114,ScaledPrice1,9),0))</f>
        <v> </v>
      </c>
      <c r="L114" s="318" t="str">
        <f aca="false">IF($A114="N/A"," ",IF(Pricetype1=2,MAX(C114,0),IF(OR(Pricetype1=1,Pricetype1=4),IF(C114=0,0,(EURO(C114,Strikeprice1,0,0,($AH114+IF(Smile=TRUE(),VLOOKUP(MAX(-5,Strikeprice1-C114),Volsmile,2),0)),($A114-DateToday)+15,IF(Pricetype1=1,1,0),0))),C114)))</f>
        <v> </v>
      </c>
      <c r="M114" s="318" t="str">
        <f aca="false">IF($A114="N/A"," ",IF(Pricetype1=2,MAX(D114,0),IF(OR(Pricetype1=1,Pricetype1=4),IF(D114=0,0,(EURO(D114,Strikeprice1,0,0,($AH114+IF(Smile=TRUE(),VLOOKUP(MAX(-5,Strikeprice1-D114),Volsmile,2),0)),($A114-DateToday)+15,IF(Pricetype1=1,1,0),0))),D114)))</f>
        <v> </v>
      </c>
      <c r="N114" s="318" t="str">
        <f aca="false">IF($A114="N/A"," ",IF(Pricetype1=2,MAX(E114,0),IF(OR(Pricetype1=1,Pricetype1=4),IF(E114=0,0,(EURO(E114,Strikeprice1,0,0,($AK114+IF(Smile=TRUE(),VLOOKUP(MAX(-5,Strikeprice1-E114),Volsmile,2),0)),($A114-DateToday)+15,IF(Pricetype1=1,1,0),0))),E114)))</f>
        <v> </v>
      </c>
      <c r="O114" s="318" t="str">
        <f aca="false">IF($A114="N/A"," ",IF(Pricetype1=2,MAX(F114,0),IF(OR(Pricetype1=1,Pricetype1=4),IF(F114=0,0,(EURO(F114,Strikeprice1,0,0,($AK114+IF(Smile=TRUE(),VLOOKUP(MAX(-5,Strikeprice1-F114),Volsmile,2),0)),($A114-DateToday)+15,IF(Pricetype1=1,1,0),0))),F114)))</f>
        <v> </v>
      </c>
      <c r="P114" s="318" t="str">
        <f aca="false">IF($A114="N/A"," ",IF(Pricetype1=2,MAX(G114,0),IF(OR(Pricetype1=1,Pricetype1=4),IF(G114=0,0,(EURO(G114,Strikeprice1,0,0,($AK114+IF(Smile=TRUE(),VLOOKUP(MAX(-5,Strikeprice1-G114),Volsmile,2),0)),($A114-DateToday)+15,IF(Pricetype1=1,1,0),0))),G114)))</f>
        <v> </v>
      </c>
      <c r="Q114" s="318" t="str">
        <f aca="false">IF($A114="N/A"," ",IF(Pricetype1=2,MAX(H114,0),IF(OR(Pricetype1=1,Pricetype1=4),IF(H114=0,0,(EURO(H114,Strikeprice1,0,0,($AK114+IF(Smile=TRUE(),VLOOKUP(MAX(-5,Strikeprice1-H114),Volsmile,2),0)),($A114-DateToday)+15,IF(Pricetype1=1,1,0),0))),H114)))</f>
        <v> </v>
      </c>
      <c r="R114" s="318" t="str">
        <f aca="false">IF($A114="N/A"," ",IF(Pricetype1=2,MAX(I114,0),IF(OR(Pricetype1=1,Pricetype1=4),IF(I114=0,0,(EURO(I114,Strikeprice1,0,0,($AK114+IF(Smile=TRUE(),VLOOKUP(MAX(-5,Strikeprice1-I114),Volsmile,2),0)),($A114-DateToday)+15,IF(Pricetype1=1,1,0),0))),I114)))</f>
        <v> </v>
      </c>
      <c r="S114" s="318" t="str">
        <f aca="false">IF($A114="N/A"," ",IF(Pricetype1=2,MAX(J114,0),IF(OR(Pricetype1=1,Pricetype1=4),IF(J114=0,0,(EURO(J114,Strikeprice1,0,0,($AK114+IF(Smile=TRUE(),VLOOKUP(MAX(-5,Strikeprice1-J114),Volsmile,2),0)),($A114-DateToday)+15,IF(Pricetype1=1,1,0),0))),J114)))</f>
        <v> </v>
      </c>
      <c r="T114" s="318" t="str">
        <f aca="false">IF($A114="N/A"," ",IF(Pricetype1=2,MAX(K114,0),IF(OR(Pricetype1=1,Pricetype1=4),IF(K114=0,0,(EURO(K114,Strikeprice1,0,0,($AK114+IF(Smile=TRUE(),VLOOKUP(MAX(-5,Strikeprice1-K114),Volsmile,2),0)),($A114-DateToday)+15,IF(Pricetype1=1,1,0),0))),K114)))</f>
        <v> </v>
      </c>
      <c r="U114" s="319" t="str">
        <f aca="false">IF($A114="N/A"," ",Volume1*$AM114)</f>
        <v> </v>
      </c>
      <c r="V114" s="320" t="str">
        <f aca="false">IF($A114="N/A"," ",$U114*(8*($BQ114))*L114)</f>
        <v> </v>
      </c>
      <c r="W114" s="320" t="str">
        <f aca="false">IF($A114="N/A"," ",$U114*(8*($BQ114))*M114)</f>
        <v> </v>
      </c>
      <c r="X114" s="320" t="str">
        <f aca="false">IF($A114="N/A"," ",$U114*(8*($BQ114))*N114)</f>
        <v> </v>
      </c>
      <c r="Y114" s="320" t="str">
        <f aca="false">IF($A114="N/A"," ",$U114*(8*($BR114))*O114)</f>
        <v> </v>
      </c>
      <c r="Z114" s="320" t="str">
        <f aca="false">IF($A114="N/A"," ",$U114*(8*($BR114))*P114)</f>
        <v> </v>
      </c>
      <c r="AA114" s="320" t="str">
        <f aca="false">IF($A114="N/A"," ",$U114*(8*($BR114))*Q114)</f>
        <v> </v>
      </c>
      <c r="AB114" s="320" t="str">
        <f aca="false">IF($A114="N/A"," ",$U114*(8*($BS114))*R114)</f>
        <v> </v>
      </c>
      <c r="AC114" s="320" t="str">
        <f aca="false">IF($A114="N/A"," ",$U114*(8*($BS114))*S114)</f>
        <v> </v>
      </c>
      <c r="AD114" s="320" t="str">
        <f aca="false">IF($A114="N/A"," ",$U114*(8*($BS114))*T114)</f>
        <v> </v>
      </c>
      <c r="AE114" s="320" t="str">
        <f aca="false">IF($A114="N/A"," ",SUM(V114:AD114))</f>
        <v> </v>
      </c>
      <c r="AF114" s="321" t="str">
        <f aca="false">IF(A114="N/A"," ",(VLOOKUP(A114,PowerVolTable,(IF(VolBMO1=2,7,IF(VolBMO1=1,6,8))),FALSE())))</f>
        <v> </v>
      </c>
      <c r="AG114" s="321" t="str">
        <f aca="false">IF(A114="N/A"," ",(VLOOKUP(A114,IntraPowerVol,(IF(VolBMO1=2,3,IF(VolBMO1=1,2,4))),FALSE())*VLOOKUP(MONTH($A114),Volscale,2)))</f>
        <v> </v>
      </c>
      <c r="AH114" s="321" t="str">
        <f aca="false">IF($A114="N/A"," ",IF(VolType1=1,AG114,AF114))</f>
        <v> </v>
      </c>
      <c r="AI114" s="321" t="str">
        <f aca="false">IF($A114="N/A"," ",(VLOOKUP($A114,OffPwrVolTable,(IF(VolBMO1=2,7,IF(VolBMO1=1,6,8))),FALSE())))</f>
        <v> </v>
      </c>
      <c r="AJ114" s="321" t="str">
        <f aca="false">IF($A114="N/A"," ",(VLOOKUP($A114,OffPwrVolTable,(IF(VolBMO1=2,3,IF(VolBMO1=1,2,4))),FALSE())*VLOOKUP(MONTH($A114),Volscale,2)))</f>
        <v> </v>
      </c>
      <c r="AK114" s="321" t="str">
        <f aca="false">IF($A114="N/A"," ",IF(VolType1=1,AJ114,AI114))</f>
        <v> </v>
      </c>
      <c r="AL114" s="321" t="str">
        <f aca="false">IF($A114="N/A"," ",IF(PV=1,0,'Pricing Inputs1'!R147))</f>
        <v> </v>
      </c>
      <c r="AM114" s="323" t="str">
        <f aca="false">IF($A114="N/A"," ",(1+AL114/2)^(-2*((EOMONTH(A114,0)+20)-DateToday)/365.25))</f>
        <v> </v>
      </c>
      <c r="BQ114" s="0" t="str">
        <f aca="false">IF($A114="N/A"," ",(VLOOKUP($A114,NumberofDaysTable,2)))</f>
        <v> </v>
      </c>
      <c r="BR114" s="0" t="str">
        <f aca="false">IF($A114="N/A"," ",(VLOOKUP($A114,NumberofDaysTable,3)))</f>
        <v> </v>
      </c>
      <c r="BS114" s="0" t="str">
        <f aca="false">IF($A114="N/A"," ",(VLOOKUP($A114,NumberofDaysTable,4)))</f>
        <v> </v>
      </c>
    </row>
    <row r="115" customFormat="false" ht="12.75" hidden="false" customHeight="false" outlineLevel="0" collapsed="false">
      <c r="A115" s="315" t="str">
        <f aca="false">IF(A114="N/A","N/A",IF(EDATE(A114,1)&gt;Inputs!$M$5,"N/A",EDATE(A114,1)))</f>
        <v>N/A</v>
      </c>
      <c r="B115" s="316" t="str">
        <f aca="false">IF(A115="N/A"," ",YEAR(A115))</f>
        <v> </v>
      </c>
      <c r="C115" s="324" t="str">
        <f aca="false">IF($A115="N/A"," ",IF(Dayrun1=10,0,IF(Scaler1=1,(VLOOKUP(A115,ScaledPrice1,4)),(VLOOKUP(A115,ScaledPrice1,2)))))</f>
        <v> </v>
      </c>
      <c r="D115" s="317" t="str">
        <f aca="false">IF(A115="N/A"," ",IF(Dayrun1&gt;=7,0,IF(Scaler1=2,VLOOKUP(A115,ScaledPrice1,2),(VLOOKUP(A115,ScaledPrice1,2))*(2-(VLOOKUP(A115,ScaledPrice1,3))))))</f>
        <v> </v>
      </c>
      <c r="E115" s="317" t="str">
        <f aca="false">IF($A115="N/A"," ",IF(AND(Dayrun1&gt;=4,Dayrun1&lt;=9),0,VLOOKUP($A115,ScaledPrice1,9)))</f>
        <v> </v>
      </c>
      <c r="F115" s="317" t="str">
        <f aca="false">IF(A115="N/A"," ",IF(OR(Dayrun1=2,Dayrun1=3,Dayrun1=5,Dayrun1=6,Dayrun1=8,Dayrun1=9),VLOOKUP(A115,ScaledPrice1,IF(Scaler1=1,6,5)),0))</f>
        <v> </v>
      </c>
      <c r="G115" s="317" t="str">
        <f aca="false">IF(A115="N/A"," ",IF(OR(Dayrun1=2,Dayrun1=3,Dayrun1=5,Dayrun1=6),IF(Scaler1=2,F115,(VLOOKUP(A115,ScaledPrice1,5))*(2-(VLOOKUP(A115,ScaledPrice1,3)))),0))</f>
        <v> </v>
      </c>
      <c r="H115" s="317" t="str">
        <f aca="false">IF($A115="N/A"," ",IF(OR(Dayrun1=2,Dayrun1=3,Dayrun1=10),VLOOKUP($A115,ScaledPrice1,9),0))</f>
        <v> </v>
      </c>
      <c r="I115" s="317" t="str">
        <f aca="false">IF(A115="N/A"," ",IF(OR(Dayrun1=3,Dayrun1=6,Dayrun1=9),(VLOOKUP(A115,ScaledPrice1,IF(Scaler1=2,7,8))),0))</f>
        <v> </v>
      </c>
      <c r="J115" s="317" t="str">
        <f aca="false">IF(A115="N/A"," ",IF(OR(Dayrun1=3,Dayrun1=6),IF(Scaler1=2,I115,(VLOOKUP(A115,ScaledPrice1,7))*(2-(VLOOKUP(A115,ScaledPrice1,3)))),0))</f>
        <v> </v>
      </c>
      <c r="K115" s="317" t="str">
        <f aca="false">IF($A115="N/A"," ",IF(OR(Dayrun1=3,Dayrun1=10),VLOOKUP($A115,ScaledPrice1,9),0))</f>
        <v> </v>
      </c>
      <c r="L115" s="318" t="str">
        <f aca="false">IF($A115="N/A"," ",IF(Pricetype1=2,MAX(C115,0),IF(OR(Pricetype1=1,Pricetype1=4),IF(C115=0,0,(EURO(C115,Strikeprice1,0,0,($AH115+IF(Smile=TRUE(),VLOOKUP(MAX(-5,Strikeprice1-C115),Volsmile,2),0)),($A115-DateToday)+15,IF(Pricetype1=1,1,0),0))),C115)))</f>
        <v> </v>
      </c>
      <c r="M115" s="318" t="str">
        <f aca="false">IF($A115="N/A"," ",IF(Pricetype1=2,MAX(D115,0),IF(OR(Pricetype1=1,Pricetype1=4),IF(D115=0,0,(EURO(D115,Strikeprice1,0,0,($AH115+IF(Smile=TRUE(),VLOOKUP(MAX(-5,Strikeprice1-D115),Volsmile,2),0)),($A115-DateToday)+15,IF(Pricetype1=1,1,0),0))),D115)))</f>
        <v> </v>
      </c>
      <c r="N115" s="318" t="str">
        <f aca="false">IF($A115="N/A"," ",IF(Pricetype1=2,MAX(E115,0),IF(OR(Pricetype1=1,Pricetype1=4),IF(E115=0,0,(EURO(E115,Strikeprice1,0,0,($AK115+IF(Smile=TRUE(),VLOOKUP(MAX(-5,Strikeprice1-E115),Volsmile,2),0)),($A115-DateToday)+15,IF(Pricetype1=1,1,0),0))),E115)))</f>
        <v> </v>
      </c>
      <c r="O115" s="318" t="str">
        <f aca="false">IF($A115="N/A"," ",IF(Pricetype1=2,MAX(F115,0),IF(OR(Pricetype1=1,Pricetype1=4),IF(F115=0,0,(EURO(F115,Strikeprice1,0,0,($AK115+IF(Smile=TRUE(),VLOOKUP(MAX(-5,Strikeprice1-F115),Volsmile,2),0)),($A115-DateToday)+15,IF(Pricetype1=1,1,0),0))),F115)))</f>
        <v> </v>
      </c>
      <c r="P115" s="318" t="str">
        <f aca="false">IF($A115="N/A"," ",IF(Pricetype1=2,MAX(G115,0),IF(OR(Pricetype1=1,Pricetype1=4),IF(G115=0,0,(EURO(G115,Strikeprice1,0,0,($AK115+IF(Smile=TRUE(),VLOOKUP(MAX(-5,Strikeprice1-G115),Volsmile,2),0)),($A115-DateToday)+15,IF(Pricetype1=1,1,0),0))),G115)))</f>
        <v> </v>
      </c>
      <c r="Q115" s="318" t="str">
        <f aca="false">IF($A115="N/A"," ",IF(Pricetype1=2,MAX(H115,0),IF(OR(Pricetype1=1,Pricetype1=4),IF(H115=0,0,(EURO(H115,Strikeprice1,0,0,($AK115+IF(Smile=TRUE(),VLOOKUP(MAX(-5,Strikeprice1-H115),Volsmile,2),0)),($A115-DateToday)+15,IF(Pricetype1=1,1,0),0))),H115)))</f>
        <v> </v>
      </c>
      <c r="R115" s="318" t="str">
        <f aca="false">IF($A115="N/A"," ",IF(Pricetype1=2,MAX(I115,0),IF(OR(Pricetype1=1,Pricetype1=4),IF(I115=0,0,(EURO(I115,Strikeprice1,0,0,($AK115+IF(Smile=TRUE(),VLOOKUP(MAX(-5,Strikeprice1-I115),Volsmile,2),0)),($A115-DateToday)+15,IF(Pricetype1=1,1,0),0))),I115)))</f>
        <v> </v>
      </c>
      <c r="S115" s="318" t="str">
        <f aca="false">IF($A115="N/A"," ",IF(Pricetype1=2,MAX(J115,0),IF(OR(Pricetype1=1,Pricetype1=4),IF(J115=0,0,(EURO(J115,Strikeprice1,0,0,($AK115+IF(Smile=TRUE(),VLOOKUP(MAX(-5,Strikeprice1-J115),Volsmile,2),0)),($A115-DateToday)+15,IF(Pricetype1=1,1,0),0))),J115)))</f>
        <v> </v>
      </c>
      <c r="T115" s="318" t="str">
        <f aca="false">IF($A115="N/A"," ",IF(Pricetype1=2,MAX(K115,0),IF(OR(Pricetype1=1,Pricetype1=4),IF(K115=0,0,(EURO(K115,Strikeprice1,0,0,($AK115+IF(Smile=TRUE(),VLOOKUP(MAX(-5,Strikeprice1-K115),Volsmile,2),0)),($A115-DateToday)+15,IF(Pricetype1=1,1,0),0))),K115)))</f>
        <v> </v>
      </c>
      <c r="U115" s="319" t="str">
        <f aca="false">IF($A115="N/A"," ",Volume1*$AM115)</f>
        <v> </v>
      </c>
      <c r="V115" s="320" t="str">
        <f aca="false">IF($A115="N/A"," ",$U115*(8*($BQ115))*L115)</f>
        <v> </v>
      </c>
      <c r="W115" s="320" t="str">
        <f aca="false">IF($A115="N/A"," ",$U115*(8*($BQ115))*M115)</f>
        <v> </v>
      </c>
      <c r="X115" s="320" t="str">
        <f aca="false">IF($A115="N/A"," ",$U115*(8*($BQ115))*N115)</f>
        <v> </v>
      </c>
      <c r="Y115" s="320" t="str">
        <f aca="false">IF($A115="N/A"," ",$U115*(8*($BR115))*O115)</f>
        <v> </v>
      </c>
      <c r="Z115" s="320" t="str">
        <f aca="false">IF($A115="N/A"," ",$U115*(8*($BR115))*P115)</f>
        <v> </v>
      </c>
      <c r="AA115" s="320" t="str">
        <f aca="false">IF($A115="N/A"," ",$U115*(8*($BR115))*Q115)</f>
        <v> </v>
      </c>
      <c r="AB115" s="320" t="str">
        <f aca="false">IF($A115="N/A"," ",$U115*(8*($BS115))*R115)</f>
        <v> </v>
      </c>
      <c r="AC115" s="320" t="str">
        <f aca="false">IF($A115="N/A"," ",$U115*(8*($BS115))*S115)</f>
        <v> </v>
      </c>
      <c r="AD115" s="320" t="str">
        <f aca="false">IF($A115="N/A"," ",$U115*(8*($BS115))*T115)</f>
        <v> </v>
      </c>
      <c r="AE115" s="320" t="str">
        <f aca="false">IF($A115="N/A"," ",SUM(V115:AD115))</f>
        <v> </v>
      </c>
      <c r="AF115" s="321" t="str">
        <f aca="false">IF(A115="N/A"," ",(VLOOKUP(A115,PowerVolTable,(IF(VolBMO1=2,7,IF(VolBMO1=1,6,8))),FALSE())))</f>
        <v> </v>
      </c>
      <c r="AG115" s="321" t="str">
        <f aca="false">IF(A115="N/A"," ",(VLOOKUP(A115,IntraPowerVol,(IF(VolBMO1=2,3,IF(VolBMO1=1,2,4))),FALSE())*VLOOKUP(MONTH($A115),Volscale,2)))</f>
        <v> </v>
      </c>
      <c r="AH115" s="321" t="str">
        <f aca="false">IF($A115="N/A"," ",IF(VolType1=1,AG115,AF115))</f>
        <v> </v>
      </c>
      <c r="AI115" s="321" t="str">
        <f aca="false">IF($A115="N/A"," ",(VLOOKUP($A115,OffPwrVolTable,(IF(VolBMO1=2,7,IF(VolBMO1=1,6,8))),FALSE())))</f>
        <v> </v>
      </c>
      <c r="AJ115" s="321" t="str">
        <f aca="false">IF($A115="N/A"," ",(VLOOKUP($A115,OffPwrVolTable,(IF(VolBMO1=2,3,IF(VolBMO1=1,2,4))),FALSE())*VLOOKUP(MONTH($A115),Volscale,2)))</f>
        <v> </v>
      </c>
      <c r="AK115" s="321" t="str">
        <f aca="false">IF($A115="N/A"," ",IF(VolType1=1,AJ115,AI115))</f>
        <v> </v>
      </c>
      <c r="AL115" s="321" t="str">
        <f aca="false">IF($A115="N/A"," ",IF(PV=1,0,'Pricing Inputs1'!R148))</f>
        <v> </v>
      </c>
      <c r="AM115" s="323" t="str">
        <f aca="false">IF($A115="N/A"," ",(1+AL115/2)^(-2*((EOMONTH(A115,0)+20)-DateToday)/365.25))</f>
        <v> </v>
      </c>
      <c r="BQ115" s="0" t="str">
        <f aca="false">IF($A115="N/A"," ",(VLOOKUP($A115,NumberofDaysTable,2)))</f>
        <v> </v>
      </c>
      <c r="BR115" s="0" t="str">
        <f aca="false">IF($A115="N/A"," ",(VLOOKUP($A115,NumberofDaysTable,3)))</f>
        <v> </v>
      </c>
      <c r="BS115" s="0" t="str">
        <f aca="false">IF($A115="N/A"," ",(VLOOKUP($A115,NumberofDaysTable,4)))</f>
        <v> </v>
      </c>
    </row>
    <row r="116" customFormat="false" ht="12.75" hidden="false" customHeight="false" outlineLevel="0" collapsed="false">
      <c r="A116" s="315" t="str">
        <f aca="false">IF(A115="N/A","N/A",IF(EDATE(A115,1)&gt;Inputs!$M$5,"N/A",EDATE(A115,1)))</f>
        <v>N/A</v>
      </c>
      <c r="B116" s="316" t="str">
        <f aca="false">IF(A116="N/A"," ",YEAR(A116))</f>
        <v> </v>
      </c>
      <c r="C116" s="324" t="str">
        <f aca="false">IF($A116="N/A"," ",IF(Dayrun1=10,0,IF(Scaler1=1,(VLOOKUP(A116,ScaledPrice1,4)),(VLOOKUP(A116,ScaledPrice1,2)))))</f>
        <v> </v>
      </c>
      <c r="D116" s="317" t="str">
        <f aca="false">IF(A116="N/A"," ",IF(Dayrun1&gt;=7,0,IF(Scaler1=2,VLOOKUP(A116,ScaledPrice1,2),(VLOOKUP(A116,ScaledPrice1,2))*(2-(VLOOKUP(A116,ScaledPrice1,3))))))</f>
        <v> </v>
      </c>
      <c r="E116" s="317" t="str">
        <f aca="false">IF($A116="N/A"," ",IF(AND(Dayrun1&gt;=4,Dayrun1&lt;=9),0,VLOOKUP($A116,ScaledPrice1,9)))</f>
        <v> </v>
      </c>
      <c r="F116" s="317" t="str">
        <f aca="false">IF(A116="N/A"," ",IF(OR(Dayrun1=2,Dayrun1=3,Dayrun1=5,Dayrun1=6,Dayrun1=8,Dayrun1=9),VLOOKUP(A116,ScaledPrice1,IF(Scaler1=1,6,5)),0))</f>
        <v> </v>
      </c>
      <c r="G116" s="317" t="str">
        <f aca="false">IF(A116="N/A"," ",IF(OR(Dayrun1=2,Dayrun1=3,Dayrun1=5,Dayrun1=6),IF(Scaler1=2,F116,(VLOOKUP(A116,ScaledPrice1,5))*(2-(VLOOKUP(A116,ScaledPrice1,3)))),0))</f>
        <v> </v>
      </c>
      <c r="H116" s="317" t="str">
        <f aca="false">IF($A116="N/A"," ",IF(OR(Dayrun1=2,Dayrun1=3,Dayrun1=10),VLOOKUP($A116,ScaledPrice1,9),0))</f>
        <v> </v>
      </c>
      <c r="I116" s="317" t="str">
        <f aca="false">IF(A116="N/A"," ",IF(OR(Dayrun1=3,Dayrun1=6,Dayrun1=9),(VLOOKUP(A116,ScaledPrice1,IF(Scaler1=2,7,8))),0))</f>
        <v> </v>
      </c>
      <c r="J116" s="317" t="str">
        <f aca="false">IF(A116="N/A"," ",IF(OR(Dayrun1=3,Dayrun1=6),IF(Scaler1=2,I116,(VLOOKUP(A116,ScaledPrice1,7))*(2-(VLOOKUP(A116,ScaledPrice1,3)))),0))</f>
        <v> </v>
      </c>
      <c r="K116" s="317" t="str">
        <f aca="false">IF($A116="N/A"," ",IF(OR(Dayrun1=3,Dayrun1=10),VLOOKUP($A116,ScaledPrice1,9),0))</f>
        <v> </v>
      </c>
      <c r="L116" s="318" t="str">
        <f aca="false">IF($A116="N/A"," ",IF(Pricetype1=2,MAX(C116,0),IF(OR(Pricetype1=1,Pricetype1=4),IF(C116=0,0,(EURO(C116,Strikeprice1,0,0,($AH116+IF(Smile=TRUE(),VLOOKUP(MAX(-5,Strikeprice1-C116),Volsmile,2),0)),($A116-DateToday)+15,IF(Pricetype1=1,1,0),0))),C116)))</f>
        <v> </v>
      </c>
      <c r="M116" s="318" t="str">
        <f aca="false">IF($A116="N/A"," ",IF(Pricetype1=2,MAX(D116,0),IF(OR(Pricetype1=1,Pricetype1=4),IF(D116=0,0,(EURO(D116,Strikeprice1,0,0,($AH116+IF(Smile=TRUE(),VLOOKUP(MAX(-5,Strikeprice1-D116),Volsmile,2),0)),($A116-DateToday)+15,IF(Pricetype1=1,1,0),0))),D116)))</f>
        <v> </v>
      </c>
      <c r="N116" s="318" t="str">
        <f aca="false">IF($A116="N/A"," ",IF(Pricetype1=2,MAX(E116,0),IF(OR(Pricetype1=1,Pricetype1=4),IF(E116=0,0,(EURO(E116,Strikeprice1,0,0,($AK116+IF(Smile=TRUE(),VLOOKUP(MAX(-5,Strikeprice1-E116),Volsmile,2),0)),($A116-DateToday)+15,IF(Pricetype1=1,1,0),0))),E116)))</f>
        <v> </v>
      </c>
      <c r="O116" s="318" t="str">
        <f aca="false">IF($A116="N/A"," ",IF(Pricetype1=2,MAX(F116,0),IF(OR(Pricetype1=1,Pricetype1=4),IF(F116=0,0,(EURO(F116,Strikeprice1,0,0,($AK116+IF(Smile=TRUE(),VLOOKUP(MAX(-5,Strikeprice1-F116),Volsmile,2),0)),($A116-DateToday)+15,IF(Pricetype1=1,1,0),0))),F116)))</f>
        <v> </v>
      </c>
      <c r="P116" s="318" t="str">
        <f aca="false">IF($A116="N/A"," ",IF(Pricetype1=2,MAX(G116,0),IF(OR(Pricetype1=1,Pricetype1=4),IF(G116=0,0,(EURO(G116,Strikeprice1,0,0,($AK116+IF(Smile=TRUE(),VLOOKUP(MAX(-5,Strikeprice1-G116),Volsmile,2),0)),($A116-DateToday)+15,IF(Pricetype1=1,1,0),0))),G116)))</f>
        <v> </v>
      </c>
      <c r="Q116" s="318" t="str">
        <f aca="false">IF($A116="N/A"," ",IF(Pricetype1=2,MAX(H116,0),IF(OR(Pricetype1=1,Pricetype1=4),IF(H116=0,0,(EURO(H116,Strikeprice1,0,0,($AK116+IF(Smile=TRUE(),VLOOKUP(MAX(-5,Strikeprice1-H116),Volsmile,2),0)),($A116-DateToday)+15,IF(Pricetype1=1,1,0),0))),H116)))</f>
        <v> </v>
      </c>
      <c r="R116" s="318" t="str">
        <f aca="false">IF($A116="N/A"," ",IF(Pricetype1=2,MAX(I116,0),IF(OR(Pricetype1=1,Pricetype1=4),IF(I116=0,0,(EURO(I116,Strikeprice1,0,0,($AK116+IF(Smile=TRUE(),VLOOKUP(MAX(-5,Strikeprice1-I116),Volsmile,2),0)),($A116-DateToday)+15,IF(Pricetype1=1,1,0),0))),I116)))</f>
        <v> </v>
      </c>
      <c r="S116" s="318" t="str">
        <f aca="false">IF($A116="N/A"," ",IF(Pricetype1=2,MAX(J116,0),IF(OR(Pricetype1=1,Pricetype1=4),IF(J116=0,0,(EURO(J116,Strikeprice1,0,0,($AK116+IF(Smile=TRUE(),VLOOKUP(MAX(-5,Strikeprice1-J116),Volsmile,2),0)),($A116-DateToday)+15,IF(Pricetype1=1,1,0),0))),J116)))</f>
        <v> </v>
      </c>
      <c r="T116" s="318" t="str">
        <f aca="false">IF($A116="N/A"," ",IF(Pricetype1=2,MAX(K116,0),IF(OR(Pricetype1=1,Pricetype1=4),IF(K116=0,0,(EURO(K116,Strikeprice1,0,0,($AK116+IF(Smile=TRUE(),VLOOKUP(MAX(-5,Strikeprice1-K116),Volsmile,2),0)),($A116-DateToday)+15,IF(Pricetype1=1,1,0),0))),K116)))</f>
        <v> </v>
      </c>
      <c r="U116" s="319" t="str">
        <f aca="false">IF($A116="N/A"," ",Volume1*$AM116)</f>
        <v> </v>
      </c>
      <c r="V116" s="320" t="str">
        <f aca="false">IF($A116="N/A"," ",$U116*(8*($BQ116))*L116)</f>
        <v> </v>
      </c>
      <c r="W116" s="320" t="str">
        <f aca="false">IF($A116="N/A"," ",$U116*(8*($BQ116))*M116)</f>
        <v> </v>
      </c>
      <c r="X116" s="320" t="str">
        <f aca="false">IF($A116="N/A"," ",$U116*(8*($BQ116))*N116)</f>
        <v> </v>
      </c>
      <c r="Y116" s="320" t="str">
        <f aca="false">IF($A116="N/A"," ",$U116*(8*($BR116))*O116)</f>
        <v> </v>
      </c>
      <c r="Z116" s="320" t="str">
        <f aca="false">IF($A116="N/A"," ",$U116*(8*($BR116))*P116)</f>
        <v> </v>
      </c>
      <c r="AA116" s="320" t="str">
        <f aca="false">IF($A116="N/A"," ",$U116*(8*($BR116))*Q116)</f>
        <v> </v>
      </c>
      <c r="AB116" s="320" t="str">
        <f aca="false">IF($A116="N/A"," ",$U116*(8*($BS116))*R116)</f>
        <v> </v>
      </c>
      <c r="AC116" s="320" t="str">
        <f aca="false">IF($A116="N/A"," ",$U116*(8*($BS116))*S116)</f>
        <v> </v>
      </c>
      <c r="AD116" s="320" t="str">
        <f aca="false">IF($A116="N/A"," ",$U116*(8*($BS116))*T116)</f>
        <v> </v>
      </c>
      <c r="AE116" s="320" t="str">
        <f aca="false">IF($A116="N/A"," ",SUM(V116:AD116))</f>
        <v> </v>
      </c>
      <c r="AF116" s="321" t="str">
        <f aca="false">IF(A116="N/A"," ",(VLOOKUP(A116,PowerVolTable,(IF(VolBMO1=2,7,IF(VolBMO1=1,6,8))),FALSE())))</f>
        <v> </v>
      </c>
      <c r="AG116" s="321" t="str">
        <f aca="false">IF(A116="N/A"," ",(VLOOKUP(A116,IntraPowerVol,(IF(VolBMO1=2,3,IF(VolBMO1=1,2,4))),FALSE())*VLOOKUP(MONTH($A116),Volscale,2)))</f>
        <v> </v>
      </c>
      <c r="AH116" s="321" t="str">
        <f aca="false">IF($A116="N/A"," ",IF(VolType1=1,AG116,AF116))</f>
        <v> </v>
      </c>
      <c r="AI116" s="321" t="str">
        <f aca="false">IF($A116="N/A"," ",(VLOOKUP($A116,OffPwrVolTable,(IF(VolBMO1=2,7,IF(VolBMO1=1,6,8))),FALSE())))</f>
        <v> </v>
      </c>
      <c r="AJ116" s="321" t="str">
        <f aca="false">IF($A116="N/A"," ",(VLOOKUP($A116,OffPwrVolTable,(IF(VolBMO1=2,3,IF(VolBMO1=1,2,4))),FALSE())*VLOOKUP(MONTH($A116),Volscale,2)))</f>
        <v> </v>
      </c>
      <c r="AK116" s="321" t="str">
        <f aca="false">IF($A116="N/A"," ",IF(VolType1=1,AJ116,AI116))</f>
        <v> </v>
      </c>
      <c r="AL116" s="321" t="str">
        <f aca="false">IF($A116="N/A"," ",IF(PV=1,0,'Pricing Inputs1'!R149))</f>
        <v> </v>
      </c>
      <c r="AM116" s="323" t="str">
        <f aca="false">IF($A116="N/A"," ",(1+AL116/2)^(-2*((EOMONTH(A116,0)+20)-DateToday)/365.25))</f>
        <v> </v>
      </c>
      <c r="BQ116" s="0" t="str">
        <f aca="false">IF($A116="N/A"," ",(VLOOKUP($A116,NumberofDaysTable,2)))</f>
        <v> </v>
      </c>
      <c r="BR116" s="0" t="str">
        <f aca="false">IF($A116="N/A"," ",(VLOOKUP($A116,NumberofDaysTable,3)))</f>
        <v> </v>
      </c>
      <c r="BS116" s="0" t="str">
        <f aca="false">IF($A116="N/A"," ",(VLOOKUP($A116,NumberofDaysTable,4)))</f>
        <v> </v>
      </c>
    </row>
    <row r="117" customFormat="false" ht="12.75" hidden="false" customHeight="false" outlineLevel="0" collapsed="false">
      <c r="A117" s="315" t="str">
        <f aca="false">IF(A116="N/A","N/A",IF(EDATE(A116,1)&gt;Inputs!$M$5,"N/A",EDATE(A116,1)))</f>
        <v>N/A</v>
      </c>
      <c r="B117" s="316" t="str">
        <f aca="false">IF(A117="N/A"," ",YEAR(A117))</f>
        <v> </v>
      </c>
      <c r="C117" s="324" t="str">
        <f aca="false">IF($A117="N/A"," ",IF(Dayrun1=10,0,IF(Scaler1=1,(VLOOKUP(A117,ScaledPrice1,4)),(VLOOKUP(A117,ScaledPrice1,2)))))</f>
        <v> </v>
      </c>
      <c r="D117" s="317" t="str">
        <f aca="false">IF(A117="N/A"," ",IF(Dayrun1&gt;=7,0,IF(Scaler1=2,VLOOKUP(A117,ScaledPrice1,2),(VLOOKUP(A117,ScaledPrice1,2))*(2-(VLOOKUP(A117,ScaledPrice1,3))))))</f>
        <v> </v>
      </c>
      <c r="E117" s="317" t="str">
        <f aca="false">IF($A117="N/A"," ",IF(AND(Dayrun1&gt;=4,Dayrun1&lt;=9),0,VLOOKUP($A117,ScaledPrice1,9)))</f>
        <v> </v>
      </c>
      <c r="F117" s="317" t="str">
        <f aca="false">IF(A117="N/A"," ",IF(OR(Dayrun1=2,Dayrun1=3,Dayrun1=5,Dayrun1=6,Dayrun1=8,Dayrun1=9),VLOOKUP(A117,ScaledPrice1,IF(Scaler1=1,6,5)),0))</f>
        <v> </v>
      </c>
      <c r="G117" s="317" t="str">
        <f aca="false">IF(A117="N/A"," ",IF(OR(Dayrun1=2,Dayrun1=3,Dayrun1=5,Dayrun1=6),IF(Scaler1=2,F117,(VLOOKUP(A117,ScaledPrice1,5))*(2-(VLOOKUP(A117,ScaledPrice1,3)))),0))</f>
        <v> </v>
      </c>
      <c r="H117" s="317" t="str">
        <f aca="false">IF($A117="N/A"," ",IF(OR(Dayrun1=2,Dayrun1=3,Dayrun1=10),VLOOKUP($A117,ScaledPrice1,9),0))</f>
        <v> </v>
      </c>
      <c r="I117" s="317" t="str">
        <f aca="false">IF(A117="N/A"," ",IF(OR(Dayrun1=3,Dayrun1=6,Dayrun1=9),(VLOOKUP(A117,ScaledPrice1,IF(Scaler1=2,7,8))),0))</f>
        <v> </v>
      </c>
      <c r="J117" s="317" t="str">
        <f aca="false">IF(A117="N/A"," ",IF(OR(Dayrun1=3,Dayrun1=6),IF(Scaler1=2,I117,(VLOOKUP(A117,ScaledPrice1,7))*(2-(VLOOKUP(A117,ScaledPrice1,3)))),0))</f>
        <v> </v>
      </c>
      <c r="K117" s="317" t="str">
        <f aca="false">IF($A117="N/A"," ",IF(OR(Dayrun1=3,Dayrun1=10),VLOOKUP($A117,ScaledPrice1,9),0))</f>
        <v> </v>
      </c>
      <c r="L117" s="318" t="str">
        <f aca="false">IF($A117="N/A"," ",IF(Pricetype1=2,MAX(C117,0),IF(OR(Pricetype1=1,Pricetype1=4),IF(C117=0,0,(EURO(C117,Strikeprice1,0,0,($AH117+IF(Smile=TRUE(),VLOOKUP(MAX(-5,Strikeprice1-C117),Volsmile,2),0)),($A117-DateToday)+15,IF(Pricetype1=1,1,0),0))),C117)))</f>
        <v> </v>
      </c>
      <c r="M117" s="318" t="str">
        <f aca="false">IF($A117="N/A"," ",IF(Pricetype1=2,MAX(D117,0),IF(OR(Pricetype1=1,Pricetype1=4),IF(D117=0,0,(EURO(D117,Strikeprice1,0,0,($AH117+IF(Smile=TRUE(),VLOOKUP(MAX(-5,Strikeprice1-D117),Volsmile,2),0)),($A117-DateToday)+15,IF(Pricetype1=1,1,0),0))),D117)))</f>
        <v> </v>
      </c>
      <c r="N117" s="318" t="str">
        <f aca="false">IF($A117="N/A"," ",IF(Pricetype1=2,MAX(E117,0),IF(OR(Pricetype1=1,Pricetype1=4),IF(E117=0,0,(EURO(E117,Strikeprice1,0,0,($AK117+IF(Smile=TRUE(),VLOOKUP(MAX(-5,Strikeprice1-E117),Volsmile,2),0)),($A117-DateToday)+15,IF(Pricetype1=1,1,0),0))),E117)))</f>
        <v> </v>
      </c>
      <c r="O117" s="318" t="str">
        <f aca="false">IF($A117="N/A"," ",IF(Pricetype1=2,MAX(F117,0),IF(OR(Pricetype1=1,Pricetype1=4),IF(F117=0,0,(EURO(F117,Strikeprice1,0,0,($AK117+IF(Smile=TRUE(),VLOOKUP(MAX(-5,Strikeprice1-F117),Volsmile,2),0)),($A117-DateToday)+15,IF(Pricetype1=1,1,0),0))),F117)))</f>
        <v> </v>
      </c>
      <c r="P117" s="318" t="str">
        <f aca="false">IF($A117="N/A"," ",IF(Pricetype1=2,MAX(G117,0),IF(OR(Pricetype1=1,Pricetype1=4),IF(G117=0,0,(EURO(G117,Strikeprice1,0,0,($AK117+IF(Smile=TRUE(),VLOOKUP(MAX(-5,Strikeprice1-G117),Volsmile,2),0)),($A117-DateToday)+15,IF(Pricetype1=1,1,0),0))),G117)))</f>
        <v> </v>
      </c>
      <c r="Q117" s="318" t="str">
        <f aca="false">IF($A117="N/A"," ",IF(Pricetype1=2,MAX(H117,0),IF(OR(Pricetype1=1,Pricetype1=4),IF(H117=0,0,(EURO(H117,Strikeprice1,0,0,($AK117+IF(Smile=TRUE(),VLOOKUP(MAX(-5,Strikeprice1-H117),Volsmile,2),0)),($A117-DateToday)+15,IF(Pricetype1=1,1,0),0))),H117)))</f>
        <v> </v>
      </c>
      <c r="R117" s="318" t="str">
        <f aca="false">IF($A117="N/A"," ",IF(Pricetype1=2,MAX(I117,0),IF(OR(Pricetype1=1,Pricetype1=4),IF(I117=0,0,(EURO(I117,Strikeprice1,0,0,($AK117+IF(Smile=TRUE(),VLOOKUP(MAX(-5,Strikeprice1-I117),Volsmile,2),0)),($A117-DateToday)+15,IF(Pricetype1=1,1,0),0))),I117)))</f>
        <v> </v>
      </c>
      <c r="S117" s="318" t="str">
        <f aca="false">IF($A117="N/A"," ",IF(Pricetype1=2,MAX(J117,0),IF(OR(Pricetype1=1,Pricetype1=4),IF(J117=0,0,(EURO(J117,Strikeprice1,0,0,($AK117+IF(Smile=TRUE(),VLOOKUP(MAX(-5,Strikeprice1-J117),Volsmile,2),0)),($A117-DateToday)+15,IF(Pricetype1=1,1,0),0))),J117)))</f>
        <v> </v>
      </c>
      <c r="T117" s="318" t="str">
        <f aca="false">IF($A117="N/A"," ",IF(Pricetype1=2,MAX(K117,0),IF(OR(Pricetype1=1,Pricetype1=4),IF(K117=0,0,(EURO(K117,Strikeprice1,0,0,($AK117+IF(Smile=TRUE(),VLOOKUP(MAX(-5,Strikeprice1-K117),Volsmile,2),0)),($A117-DateToday)+15,IF(Pricetype1=1,1,0),0))),K117)))</f>
        <v> </v>
      </c>
      <c r="U117" s="319" t="str">
        <f aca="false">IF($A117="N/A"," ",Volume1*$AM117)</f>
        <v> </v>
      </c>
      <c r="V117" s="320" t="str">
        <f aca="false">IF($A117="N/A"," ",$U117*(8*($BQ117))*L117)</f>
        <v> </v>
      </c>
      <c r="W117" s="320" t="str">
        <f aca="false">IF($A117="N/A"," ",$U117*(8*($BQ117))*M117)</f>
        <v> </v>
      </c>
      <c r="X117" s="320" t="str">
        <f aca="false">IF($A117="N/A"," ",$U117*(8*($BQ117))*N117)</f>
        <v> </v>
      </c>
      <c r="Y117" s="320" t="str">
        <f aca="false">IF($A117="N/A"," ",$U117*(8*($BR117))*O117)</f>
        <v> </v>
      </c>
      <c r="Z117" s="320" t="str">
        <f aca="false">IF($A117="N/A"," ",$U117*(8*($BR117))*P117)</f>
        <v> </v>
      </c>
      <c r="AA117" s="320" t="str">
        <f aca="false">IF($A117="N/A"," ",$U117*(8*($BR117))*Q117)</f>
        <v> </v>
      </c>
      <c r="AB117" s="320" t="str">
        <f aca="false">IF($A117="N/A"," ",$U117*(8*($BS117))*R117)</f>
        <v> </v>
      </c>
      <c r="AC117" s="320" t="str">
        <f aca="false">IF($A117="N/A"," ",$U117*(8*($BS117))*S117)</f>
        <v> </v>
      </c>
      <c r="AD117" s="320" t="str">
        <f aca="false">IF($A117="N/A"," ",$U117*(8*($BS117))*T117)</f>
        <v> </v>
      </c>
      <c r="AE117" s="320" t="str">
        <f aca="false">IF($A117="N/A"," ",SUM(V117:AD117))</f>
        <v> </v>
      </c>
      <c r="AF117" s="321" t="str">
        <f aca="false">IF(A117="N/A"," ",(VLOOKUP(A117,PowerVolTable,(IF(VolBMO1=2,7,IF(VolBMO1=1,6,8))),FALSE())))</f>
        <v> </v>
      </c>
      <c r="AG117" s="321" t="str">
        <f aca="false">IF(A117="N/A"," ",(VLOOKUP(A117,IntraPowerVol,(IF(VolBMO1=2,3,IF(VolBMO1=1,2,4))),FALSE())*VLOOKUP(MONTH($A117),Volscale,2)))</f>
        <v> </v>
      </c>
      <c r="AH117" s="321" t="str">
        <f aca="false">IF($A117="N/A"," ",IF(VolType1=1,AG117,AF117))</f>
        <v> </v>
      </c>
      <c r="AI117" s="321" t="str">
        <f aca="false">IF($A117="N/A"," ",(VLOOKUP($A117,OffPwrVolTable,(IF(VolBMO1=2,7,IF(VolBMO1=1,6,8))),FALSE())))</f>
        <v> </v>
      </c>
      <c r="AJ117" s="321" t="str">
        <f aca="false">IF($A117="N/A"," ",(VLOOKUP($A117,OffPwrVolTable,(IF(VolBMO1=2,3,IF(VolBMO1=1,2,4))),FALSE())*VLOOKUP(MONTH($A117),Volscale,2)))</f>
        <v> </v>
      </c>
      <c r="AK117" s="321" t="str">
        <f aca="false">IF($A117="N/A"," ",IF(VolType1=1,AJ117,AI117))</f>
        <v> </v>
      </c>
      <c r="AL117" s="321" t="str">
        <f aca="false">IF($A117="N/A"," ",IF(PV=1,0,'Pricing Inputs1'!R150))</f>
        <v> </v>
      </c>
      <c r="AM117" s="323" t="str">
        <f aca="false">IF($A117="N/A"," ",(1+AL117/2)^(-2*((EOMONTH(A117,0)+20)-DateToday)/365.25))</f>
        <v> </v>
      </c>
      <c r="BQ117" s="0" t="str">
        <f aca="false">IF($A117="N/A"," ",(VLOOKUP($A117,NumberofDaysTable,2)))</f>
        <v> </v>
      </c>
      <c r="BR117" s="0" t="str">
        <f aca="false">IF($A117="N/A"," ",(VLOOKUP($A117,NumberofDaysTable,3)))</f>
        <v> </v>
      </c>
      <c r="BS117" s="0" t="str">
        <f aca="false">IF($A117="N/A"," ",(VLOOKUP($A117,NumberofDaysTable,4)))</f>
        <v> </v>
      </c>
    </row>
    <row r="118" customFormat="false" ht="12.75" hidden="false" customHeight="false" outlineLevel="0" collapsed="false">
      <c r="A118" s="315" t="str">
        <f aca="false">IF(A117="N/A","N/A",IF(EDATE(A117,1)&gt;Inputs!$M$5,"N/A",EDATE(A117,1)))</f>
        <v>N/A</v>
      </c>
      <c r="B118" s="316" t="str">
        <f aca="false">IF(A118="N/A"," ",YEAR(A118))</f>
        <v> </v>
      </c>
      <c r="C118" s="324" t="str">
        <f aca="false">IF($A118="N/A"," ",IF(Dayrun1=10,0,IF(Scaler1=1,(VLOOKUP(A118,ScaledPrice1,4)),(VLOOKUP(A118,ScaledPrice1,2)))))</f>
        <v> </v>
      </c>
      <c r="D118" s="317" t="str">
        <f aca="false">IF(A118="N/A"," ",IF(Dayrun1&gt;=7,0,IF(Scaler1=2,VLOOKUP(A118,ScaledPrice1,2),(VLOOKUP(A118,ScaledPrice1,2))*(2-(VLOOKUP(A118,ScaledPrice1,3))))))</f>
        <v> </v>
      </c>
      <c r="E118" s="317" t="str">
        <f aca="false">IF($A118="N/A"," ",IF(AND(Dayrun1&gt;=4,Dayrun1&lt;=9),0,VLOOKUP($A118,ScaledPrice1,9)))</f>
        <v> </v>
      </c>
      <c r="F118" s="317" t="str">
        <f aca="false">IF(A118="N/A"," ",IF(OR(Dayrun1=2,Dayrun1=3,Dayrun1=5,Dayrun1=6,Dayrun1=8,Dayrun1=9),VLOOKUP(A118,ScaledPrice1,IF(Scaler1=1,6,5)),0))</f>
        <v> </v>
      </c>
      <c r="G118" s="317" t="str">
        <f aca="false">IF(A118="N/A"," ",IF(OR(Dayrun1=2,Dayrun1=3,Dayrun1=5,Dayrun1=6),IF(Scaler1=2,F118,(VLOOKUP(A118,ScaledPrice1,5))*(2-(VLOOKUP(A118,ScaledPrice1,3)))),0))</f>
        <v> </v>
      </c>
      <c r="H118" s="317" t="str">
        <f aca="false">IF($A118="N/A"," ",IF(OR(Dayrun1=2,Dayrun1=3,Dayrun1=10),VLOOKUP($A118,ScaledPrice1,9),0))</f>
        <v> </v>
      </c>
      <c r="I118" s="317" t="str">
        <f aca="false">IF(A118="N/A"," ",IF(OR(Dayrun1=3,Dayrun1=6,Dayrun1=9),(VLOOKUP(A118,ScaledPrice1,IF(Scaler1=2,7,8))),0))</f>
        <v> </v>
      </c>
      <c r="J118" s="317" t="str">
        <f aca="false">IF(A118="N/A"," ",IF(OR(Dayrun1=3,Dayrun1=6),IF(Scaler1=2,I118,(VLOOKUP(A118,ScaledPrice1,7))*(2-(VLOOKUP(A118,ScaledPrice1,3)))),0))</f>
        <v> </v>
      </c>
      <c r="K118" s="317" t="str">
        <f aca="false">IF($A118="N/A"," ",IF(OR(Dayrun1=3,Dayrun1=10),VLOOKUP($A118,ScaledPrice1,9),0))</f>
        <v> </v>
      </c>
      <c r="L118" s="318" t="str">
        <f aca="false">IF($A118="N/A"," ",IF(Pricetype1=2,MAX(C118,0),IF(OR(Pricetype1=1,Pricetype1=4),IF(C118=0,0,(EURO(C118,Strikeprice1,0,0,($AH118+IF(Smile=TRUE(),VLOOKUP(MAX(-5,Strikeprice1-C118),Volsmile,2),0)),($A118-DateToday)+15,IF(Pricetype1=1,1,0),0))),C118)))</f>
        <v> </v>
      </c>
      <c r="M118" s="318" t="str">
        <f aca="false">IF($A118="N/A"," ",IF(Pricetype1=2,MAX(D118,0),IF(OR(Pricetype1=1,Pricetype1=4),IF(D118=0,0,(EURO(D118,Strikeprice1,0,0,($AH118+IF(Smile=TRUE(),VLOOKUP(MAX(-5,Strikeprice1-D118),Volsmile,2),0)),($A118-DateToday)+15,IF(Pricetype1=1,1,0),0))),D118)))</f>
        <v> </v>
      </c>
      <c r="N118" s="318" t="str">
        <f aca="false">IF($A118="N/A"," ",IF(Pricetype1=2,MAX(E118,0),IF(OR(Pricetype1=1,Pricetype1=4),IF(E118=0,0,(EURO(E118,Strikeprice1,0,0,($AK118+IF(Smile=TRUE(),VLOOKUP(MAX(-5,Strikeprice1-E118),Volsmile,2),0)),($A118-DateToday)+15,IF(Pricetype1=1,1,0),0))),E118)))</f>
        <v> </v>
      </c>
      <c r="O118" s="318" t="str">
        <f aca="false">IF($A118="N/A"," ",IF(Pricetype1=2,MAX(F118,0),IF(OR(Pricetype1=1,Pricetype1=4),IF(F118=0,0,(EURO(F118,Strikeprice1,0,0,($AK118+IF(Smile=TRUE(),VLOOKUP(MAX(-5,Strikeprice1-F118),Volsmile,2),0)),($A118-DateToday)+15,IF(Pricetype1=1,1,0),0))),F118)))</f>
        <v> </v>
      </c>
      <c r="P118" s="318" t="str">
        <f aca="false">IF($A118="N/A"," ",IF(Pricetype1=2,MAX(G118,0),IF(OR(Pricetype1=1,Pricetype1=4),IF(G118=0,0,(EURO(G118,Strikeprice1,0,0,($AK118+IF(Smile=TRUE(),VLOOKUP(MAX(-5,Strikeprice1-G118),Volsmile,2),0)),($A118-DateToday)+15,IF(Pricetype1=1,1,0),0))),G118)))</f>
        <v> </v>
      </c>
      <c r="Q118" s="318" t="str">
        <f aca="false">IF($A118="N/A"," ",IF(Pricetype1=2,MAX(H118,0),IF(OR(Pricetype1=1,Pricetype1=4),IF(H118=0,0,(EURO(H118,Strikeprice1,0,0,($AK118+IF(Smile=TRUE(),VLOOKUP(MAX(-5,Strikeprice1-H118),Volsmile,2),0)),($A118-DateToday)+15,IF(Pricetype1=1,1,0),0))),H118)))</f>
        <v> </v>
      </c>
      <c r="R118" s="318" t="str">
        <f aca="false">IF($A118="N/A"," ",IF(Pricetype1=2,MAX(I118,0),IF(OR(Pricetype1=1,Pricetype1=4),IF(I118=0,0,(EURO(I118,Strikeprice1,0,0,($AK118+IF(Smile=TRUE(),VLOOKUP(MAX(-5,Strikeprice1-I118),Volsmile,2),0)),($A118-DateToday)+15,IF(Pricetype1=1,1,0),0))),I118)))</f>
        <v> </v>
      </c>
      <c r="S118" s="318" t="str">
        <f aca="false">IF($A118="N/A"," ",IF(Pricetype1=2,MAX(J118,0),IF(OR(Pricetype1=1,Pricetype1=4),IF(J118=0,0,(EURO(J118,Strikeprice1,0,0,($AK118+IF(Smile=TRUE(),VLOOKUP(MAX(-5,Strikeprice1-J118),Volsmile,2),0)),($A118-DateToday)+15,IF(Pricetype1=1,1,0),0))),J118)))</f>
        <v> </v>
      </c>
      <c r="T118" s="318" t="str">
        <f aca="false">IF($A118="N/A"," ",IF(Pricetype1=2,MAX(K118,0),IF(OR(Pricetype1=1,Pricetype1=4),IF(K118=0,0,(EURO(K118,Strikeprice1,0,0,($AK118+IF(Smile=TRUE(),VLOOKUP(MAX(-5,Strikeprice1-K118),Volsmile,2),0)),($A118-DateToday)+15,IF(Pricetype1=1,1,0),0))),K118)))</f>
        <v> </v>
      </c>
      <c r="U118" s="319" t="str">
        <f aca="false">IF($A118="N/A"," ",Volume1*$AM118)</f>
        <v> </v>
      </c>
      <c r="V118" s="320" t="str">
        <f aca="false">IF($A118="N/A"," ",$U118*(8*($BQ118))*L118)</f>
        <v> </v>
      </c>
      <c r="W118" s="320" t="str">
        <f aca="false">IF($A118="N/A"," ",$U118*(8*($BQ118))*M118)</f>
        <v> </v>
      </c>
      <c r="X118" s="320" t="str">
        <f aca="false">IF($A118="N/A"," ",$U118*(8*($BQ118))*N118)</f>
        <v> </v>
      </c>
      <c r="Y118" s="320" t="str">
        <f aca="false">IF($A118="N/A"," ",$U118*(8*($BR118))*O118)</f>
        <v> </v>
      </c>
      <c r="Z118" s="320" t="str">
        <f aca="false">IF($A118="N/A"," ",$U118*(8*($BR118))*P118)</f>
        <v> </v>
      </c>
      <c r="AA118" s="320" t="str">
        <f aca="false">IF($A118="N/A"," ",$U118*(8*($BR118))*Q118)</f>
        <v> </v>
      </c>
      <c r="AB118" s="320" t="str">
        <f aca="false">IF($A118="N/A"," ",$U118*(8*($BS118))*R118)</f>
        <v> </v>
      </c>
      <c r="AC118" s="320" t="str">
        <f aca="false">IF($A118="N/A"," ",$U118*(8*($BS118))*S118)</f>
        <v> </v>
      </c>
      <c r="AD118" s="320" t="str">
        <f aca="false">IF($A118="N/A"," ",$U118*(8*($BS118))*T118)</f>
        <v> </v>
      </c>
      <c r="AE118" s="320" t="str">
        <f aca="false">IF($A118="N/A"," ",SUM(V118:AD118))</f>
        <v> </v>
      </c>
      <c r="AF118" s="321" t="str">
        <f aca="false">IF(A118="N/A"," ",(VLOOKUP(A118,PowerVolTable,(IF(VolBMO1=2,7,IF(VolBMO1=1,6,8))),FALSE())))</f>
        <v> </v>
      </c>
      <c r="AG118" s="321" t="str">
        <f aca="false">IF(A118="N/A"," ",(VLOOKUP(A118,IntraPowerVol,(IF(VolBMO1=2,3,IF(VolBMO1=1,2,4))),FALSE())*VLOOKUP(MONTH($A118),Volscale,2)))</f>
        <v> </v>
      </c>
      <c r="AH118" s="321" t="str">
        <f aca="false">IF($A118="N/A"," ",IF(VolType1=1,AG118,AF118))</f>
        <v> </v>
      </c>
      <c r="AI118" s="321" t="str">
        <f aca="false">IF($A118="N/A"," ",(VLOOKUP($A118,OffPwrVolTable,(IF(VolBMO1=2,7,IF(VolBMO1=1,6,8))),FALSE())))</f>
        <v> </v>
      </c>
      <c r="AJ118" s="321" t="str">
        <f aca="false">IF($A118="N/A"," ",(VLOOKUP($A118,OffPwrVolTable,(IF(VolBMO1=2,3,IF(VolBMO1=1,2,4))),FALSE())*VLOOKUP(MONTH($A118),Volscale,2)))</f>
        <v> </v>
      </c>
      <c r="AK118" s="321" t="str">
        <f aca="false">IF($A118="N/A"," ",IF(VolType1=1,AJ118,AI118))</f>
        <v> </v>
      </c>
      <c r="AL118" s="321" t="str">
        <f aca="false">IF($A118="N/A"," ",IF(PV=1,0,'Pricing Inputs1'!R151))</f>
        <v> </v>
      </c>
      <c r="AM118" s="323" t="str">
        <f aca="false">IF($A118="N/A"," ",(1+AL118/2)^(-2*((EOMONTH(A118,0)+20)-DateToday)/365.25))</f>
        <v> </v>
      </c>
      <c r="BQ118" s="0" t="str">
        <f aca="false">IF($A118="N/A"," ",(VLOOKUP($A118,NumberofDaysTable,2)))</f>
        <v> </v>
      </c>
      <c r="BR118" s="0" t="str">
        <f aca="false">IF($A118="N/A"," ",(VLOOKUP($A118,NumberofDaysTable,3)))</f>
        <v> </v>
      </c>
      <c r="BS118" s="0" t="str">
        <f aca="false">IF($A118="N/A"," ",(VLOOKUP($A118,NumberofDaysTable,4)))</f>
        <v> </v>
      </c>
    </row>
    <row r="119" customFormat="false" ht="12.75" hidden="false" customHeight="false" outlineLevel="0" collapsed="false">
      <c r="A119" s="315" t="str">
        <f aca="false">IF(A118="N/A","N/A",IF(EDATE(A118,1)&gt;Inputs!$M$5,"N/A",EDATE(A118,1)))</f>
        <v>N/A</v>
      </c>
      <c r="B119" s="316" t="str">
        <f aca="false">IF(A119="N/A"," ",YEAR(A119))</f>
        <v> </v>
      </c>
      <c r="C119" s="324" t="str">
        <f aca="false">IF($A119="N/A"," ",IF(Dayrun1=10,0,IF(Scaler1=1,(VLOOKUP(A119,ScaledPrice1,4)),(VLOOKUP(A119,ScaledPrice1,2)))))</f>
        <v> </v>
      </c>
      <c r="D119" s="317" t="str">
        <f aca="false">IF(A119="N/A"," ",IF(Dayrun1&gt;=7,0,IF(Scaler1=2,VLOOKUP(A119,ScaledPrice1,2),(VLOOKUP(A119,ScaledPrice1,2))*(2-(VLOOKUP(A119,ScaledPrice1,3))))))</f>
        <v> </v>
      </c>
      <c r="E119" s="317" t="str">
        <f aca="false">IF($A119="N/A"," ",IF(AND(Dayrun1&gt;=4,Dayrun1&lt;=9),0,VLOOKUP($A119,ScaledPrice1,9)))</f>
        <v> </v>
      </c>
      <c r="F119" s="317" t="str">
        <f aca="false">IF(A119="N/A"," ",IF(OR(Dayrun1=2,Dayrun1=3,Dayrun1=5,Dayrun1=6,Dayrun1=8,Dayrun1=9),VLOOKUP(A119,ScaledPrice1,IF(Scaler1=1,6,5)),0))</f>
        <v> </v>
      </c>
      <c r="G119" s="317" t="str">
        <f aca="false">IF(A119="N/A"," ",IF(OR(Dayrun1=2,Dayrun1=3,Dayrun1=5,Dayrun1=6),IF(Scaler1=2,F119,(VLOOKUP(A119,ScaledPrice1,5))*(2-(VLOOKUP(A119,ScaledPrice1,3)))),0))</f>
        <v> </v>
      </c>
      <c r="H119" s="317" t="str">
        <f aca="false">IF($A119="N/A"," ",IF(OR(Dayrun1=2,Dayrun1=3,Dayrun1=10),VLOOKUP($A119,ScaledPrice1,9),0))</f>
        <v> </v>
      </c>
      <c r="I119" s="317" t="str">
        <f aca="false">IF(A119="N/A"," ",IF(OR(Dayrun1=3,Dayrun1=6,Dayrun1=9),(VLOOKUP(A119,ScaledPrice1,IF(Scaler1=2,7,8))),0))</f>
        <v> </v>
      </c>
      <c r="J119" s="317" t="str">
        <f aca="false">IF(A119="N/A"," ",IF(OR(Dayrun1=3,Dayrun1=6),IF(Scaler1=2,I119,(VLOOKUP(A119,ScaledPrice1,7))*(2-(VLOOKUP(A119,ScaledPrice1,3)))),0))</f>
        <v> </v>
      </c>
      <c r="K119" s="317" t="str">
        <f aca="false">IF($A119="N/A"," ",IF(OR(Dayrun1=3,Dayrun1=10),VLOOKUP($A119,ScaledPrice1,9),0))</f>
        <v> </v>
      </c>
      <c r="L119" s="318" t="str">
        <f aca="false">IF($A119="N/A"," ",IF(Pricetype1=2,MAX(C119,0),IF(OR(Pricetype1=1,Pricetype1=4),IF(C119=0,0,(EURO(C119,Strikeprice1,0,0,($AH119+IF(Smile=TRUE(),VLOOKUP(MAX(-5,Strikeprice1-C119),Volsmile,2),0)),($A119-DateToday)+15,IF(Pricetype1=1,1,0),0))),C119)))</f>
        <v> </v>
      </c>
      <c r="M119" s="318" t="str">
        <f aca="false">IF($A119="N/A"," ",IF(Pricetype1=2,MAX(D119,0),IF(OR(Pricetype1=1,Pricetype1=4),IF(D119=0,0,(EURO(D119,Strikeprice1,0,0,($AH119+IF(Smile=TRUE(),VLOOKUP(MAX(-5,Strikeprice1-D119),Volsmile,2),0)),($A119-DateToday)+15,IF(Pricetype1=1,1,0),0))),D119)))</f>
        <v> </v>
      </c>
      <c r="N119" s="318" t="str">
        <f aca="false">IF($A119="N/A"," ",IF(Pricetype1=2,MAX(E119,0),IF(OR(Pricetype1=1,Pricetype1=4),IF(E119=0,0,(EURO(E119,Strikeprice1,0,0,($AK119+IF(Smile=TRUE(),VLOOKUP(MAX(-5,Strikeprice1-E119),Volsmile,2),0)),($A119-DateToday)+15,IF(Pricetype1=1,1,0),0))),E119)))</f>
        <v> </v>
      </c>
      <c r="O119" s="318" t="str">
        <f aca="false">IF($A119="N/A"," ",IF(Pricetype1=2,MAX(F119,0),IF(OR(Pricetype1=1,Pricetype1=4),IF(F119=0,0,(EURO(F119,Strikeprice1,0,0,($AK119+IF(Smile=TRUE(),VLOOKUP(MAX(-5,Strikeprice1-F119),Volsmile,2),0)),($A119-DateToday)+15,IF(Pricetype1=1,1,0),0))),F119)))</f>
        <v> </v>
      </c>
      <c r="P119" s="318" t="str">
        <f aca="false">IF($A119="N/A"," ",IF(Pricetype1=2,MAX(G119,0),IF(OR(Pricetype1=1,Pricetype1=4),IF(G119=0,0,(EURO(G119,Strikeprice1,0,0,($AK119+IF(Smile=TRUE(),VLOOKUP(MAX(-5,Strikeprice1-G119),Volsmile,2),0)),($A119-DateToday)+15,IF(Pricetype1=1,1,0),0))),G119)))</f>
        <v> </v>
      </c>
      <c r="Q119" s="318" t="str">
        <f aca="false">IF($A119="N/A"," ",IF(Pricetype1=2,MAX(H119,0),IF(OR(Pricetype1=1,Pricetype1=4),IF(H119=0,0,(EURO(H119,Strikeprice1,0,0,($AK119+IF(Smile=TRUE(),VLOOKUP(MAX(-5,Strikeprice1-H119),Volsmile,2),0)),($A119-DateToday)+15,IF(Pricetype1=1,1,0),0))),H119)))</f>
        <v> </v>
      </c>
      <c r="R119" s="318" t="str">
        <f aca="false">IF($A119="N/A"," ",IF(Pricetype1=2,MAX(I119,0),IF(OR(Pricetype1=1,Pricetype1=4),IF(I119=0,0,(EURO(I119,Strikeprice1,0,0,($AK119+IF(Smile=TRUE(),VLOOKUP(MAX(-5,Strikeprice1-I119),Volsmile,2),0)),($A119-DateToday)+15,IF(Pricetype1=1,1,0),0))),I119)))</f>
        <v> </v>
      </c>
      <c r="S119" s="318" t="str">
        <f aca="false">IF($A119="N/A"," ",IF(Pricetype1=2,MAX(J119,0),IF(OR(Pricetype1=1,Pricetype1=4),IF(J119=0,0,(EURO(J119,Strikeprice1,0,0,($AK119+IF(Smile=TRUE(),VLOOKUP(MAX(-5,Strikeprice1-J119),Volsmile,2),0)),($A119-DateToday)+15,IF(Pricetype1=1,1,0),0))),J119)))</f>
        <v> </v>
      </c>
      <c r="T119" s="318" t="str">
        <f aca="false">IF($A119="N/A"," ",IF(Pricetype1=2,MAX(K119,0),IF(OR(Pricetype1=1,Pricetype1=4),IF(K119=0,0,(EURO(K119,Strikeprice1,0,0,($AK119+IF(Smile=TRUE(),VLOOKUP(MAX(-5,Strikeprice1-K119),Volsmile,2),0)),($A119-DateToday)+15,IF(Pricetype1=1,1,0),0))),K119)))</f>
        <v> </v>
      </c>
      <c r="U119" s="319" t="str">
        <f aca="false">IF($A119="N/A"," ",Volume1*$AM119)</f>
        <v> </v>
      </c>
      <c r="V119" s="320" t="str">
        <f aca="false">IF($A119="N/A"," ",$U119*(8*($BQ119))*L119)</f>
        <v> </v>
      </c>
      <c r="W119" s="320" t="str">
        <f aca="false">IF($A119="N/A"," ",$U119*(8*($BQ119))*M119)</f>
        <v> </v>
      </c>
      <c r="X119" s="320" t="str">
        <f aca="false">IF($A119="N/A"," ",$U119*(8*($BQ119))*N119)</f>
        <v> </v>
      </c>
      <c r="Y119" s="320" t="str">
        <f aca="false">IF($A119="N/A"," ",$U119*(8*($BR119))*O119)</f>
        <v> </v>
      </c>
      <c r="Z119" s="320" t="str">
        <f aca="false">IF($A119="N/A"," ",$U119*(8*($BR119))*P119)</f>
        <v> </v>
      </c>
      <c r="AA119" s="320" t="str">
        <f aca="false">IF($A119="N/A"," ",$U119*(8*($BR119))*Q119)</f>
        <v> </v>
      </c>
      <c r="AB119" s="320" t="str">
        <f aca="false">IF($A119="N/A"," ",$U119*(8*($BS119))*R119)</f>
        <v> </v>
      </c>
      <c r="AC119" s="320" t="str">
        <f aca="false">IF($A119="N/A"," ",$U119*(8*($BS119))*S119)</f>
        <v> </v>
      </c>
      <c r="AD119" s="320" t="str">
        <f aca="false">IF($A119="N/A"," ",$U119*(8*($BS119))*T119)</f>
        <v> </v>
      </c>
      <c r="AE119" s="320" t="str">
        <f aca="false">IF($A119="N/A"," ",SUM(V119:AD119))</f>
        <v> </v>
      </c>
      <c r="AF119" s="321" t="str">
        <f aca="false">IF(A119="N/A"," ",(VLOOKUP(A119,PowerVolTable,(IF(VolBMO1=2,7,IF(VolBMO1=1,6,8))),FALSE())))</f>
        <v> </v>
      </c>
      <c r="AG119" s="321" t="str">
        <f aca="false">IF(A119="N/A"," ",(VLOOKUP(A119,IntraPowerVol,(IF(VolBMO1=2,3,IF(VolBMO1=1,2,4))),FALSE())*VLOOKUP(MONTH($A119),Volscale,2)))</f>
        <v> </v>
      </c>
      <c r="AH119" s="321" t="str">
        <f aca="false">IF($A119="N/A"," ",IF(VolType1=1,AG119,AF119))</f>
        <v> </v>
      </c>
      <c r="AI119" s="321" t="str">
        <f aca="false">IF($A119="N/A"," ",(VLOOKUP($A119,OffPwrVolTable,(IF(VolBMO1=2,7,IF(VolBMO1=1,6,8))),FALSE())))</f>
        <v> </v>
      </c>
      <c r="AJ119" s="321" t="str">
        <f aca="false">IF($A119="N/A"," ",(VLOOKUP($A119,OffPwrVolTable,(IF(VolBMO1=2,3,IF(VolBMO1=1,2,4))),FALSE())*VLOOKUP(MONTH($A119),Volscale,2)))</f>
        <v> </v>
      </c>
      <c r="AK119" s="321" t="str">
        <f aca="false">IF($A119="N/A"," ",IF(VolType1=1,AJ119,AI119))</f>
        <v> </v>
      </c>
      <c r="AL119" s="321" t="str">
        <f aca="false">IF($A119="N/A"," ",IF(PV=1,0,'Pricing Inputs1'!R152))</f>
        <v> </v>
      </c>
      <c r="AM119" s="323" t="str">
        <f aca="false">IF($A119="N/A"," ",(1+AL119/2)^(-2*((EOMONTH(A119,0)+20)-DateToday)/365.25))</f>
        <v> </v>
      </c>
      <c r="BQ119" s="0" t="str">
        <f aca="false">IF($A119="N/A"," ",(VLOOKUP($A119,NumberofDaysTable,2)))</f>
        <v> </v>
      </c>
      <c r="BR119" s="0" t="str">
        <f aca="false">IF($A119="N/A"," ",(VLOOKUP($A119,NumberofDaysTable,3)))</f>
        <v> </v>
      </c>
      <c r="BS119" s="0" t="str">
        <f aca="false">IF($A119="N/A"," ",(VLOOKUP($A119,NumberofDaysTable,4)))</f>
        <v> </v>
      </c>
    </row>
    <row r="120" customFormat="false" ht="12.75" hidden="false" customHeight="false" outlineLevel="0" collapsed="false">
      <c r="A120" s="315" t="str">
        <f aca="false">IF(A119="N/A","N/A",IF(EDATE(A119,1)&gt;Inputs!$M$5,"N/A",EDATE(A119,1)))</f>
        <v>N/A</v>
      </c>
      <c r="B120" s="316" t="str">
        <f aca="false">IF(A120="N/A"," ",YEAR(A120))</f>
        <v> </v>
      </c>
      <c r="C120" s="324" t="str">
        <f aca="false">IF($A120="N/A"," ",IF(Dayrun1=10,0,IF(Scaler1=1,(VLOOKUP(A120,ScaledPrice1,4)),(VLOOKUP(A120,ScaledPrice1,2)))))</f>
        <v> </v>
      </c>
      <c r="D120" s="317" t="str">
        <f aca="false">IF(A120="N/A"," ",IF(Dayrun1&gt;=7,0,IF(Scaler1=2,VLOOKUP(A120,ScaledPrice1,2),(VLOOKUP(A120,ScaledPrice1,2))*(2-(VLOOKUP(A120,ScaledPrice1,3))))))</f>
        <v> </v>
      </c>
      <c r="E120" s="317" t="str">
        <f aca="false">IF($A120="N/A"," ",IF(AND(Dayrun1&gt;=4,Dayrun1&lt;=9),0,VLOOKUP($A120,ScaledPrice1,9)))</f>
        <v> </v>
      </c>
      <c r="F120" s="317" t="str">
        <f aca="false">IF(A120="N/A"," ",IF(OR(Dayrun1=2,Dayrun1=3,Dayrun1=5,Dayrun1=6,Dayrun1=8,Dayrun1=9),VLOOKUP(A120,ScaledPrice1,IF(Scaler1=1,6,5)),0))</f>
        <v> </v>
      </c>
      <c r="G120" s="317" t="str">
        <f aca="false">IF(A120="N/A"," ",IF(OR(Dayrun1=2,Dayrun1=3,Dayrun1=5,Dayrun1=6),IF(Scaler1=2,F120,(VLOOKUP(A120,ScaledPrice1,5))*(2-(VLOOKUP(A120,ScaledPrice1,3)))),0))</f>
        <v> </v>
      </c>
      <c r="H120" s="317" t="str">
        <f aca="false">IF($A120="N/A"," ",IF(OR(Dayrun1=2,Dayrun1=3,Dayrun1=10),VLOOKUP($A120,ScaledPrice1,9),0))</f>
        <v> </v>
      </c>
      <c r="I120" s="317" t="str">
        <f aca="false">IF(A120="N/A"," ",IF(OR(Dayrun1=3,Dayrun1=6,Dayrun1=9),(VLOOKUP(A120,ScaledPrice1,IF(Scaler1=2,7,8))),0))</f>
        <v> </v>
      </c>
      <c r="J120" s="317" t="str">
        <f aca="false">IF(A120="N/A"," ",IF(OR(Dayrun1=3,Dayrun1=6),IF(Scaler1=2,I120,(VLOOKUP(A120,ScaledPrice1,7))*(2-(VLOOKUP(A120,ScaledPrice1,3)))),0))</f>
        <v> </v>
      </c>
      <c r="K120" s="317" t="str">
        <f aca="false">IF($A120="N/A"," ",IF(OR(Dayrun1=3,Dayrun1=10),VLOOKUP($A120,ScaledPrice1,9),0))</f>
        <v> </v>
      </c>
      <c r="L120" s="318" t="str">
        <f aca="false">IF($A120="N/A"," ",IF(Pricetype1=2,MAX(C120,0),IF(OR(Pricetype1=1,Pricetype1=4),IF(C120=0,0,(EURO(C120,Strikeprice1,0,0,($AH120+IF(Smile=TRUE(),VLOOKUP(MAX(-5,Strikeprice1-C120),Volsmile,2),0)),($A120-DateToday)+15,IF(Pricetype1=1,1,0),0))),C120)))</f>
        <v> </v>
      </c>
      <c r="M120" s="318" t="str">
        <f aca="false">IF($A120="N/A"," ",IF(Pricetype1=2,MAX(D120,0),IF(OR(Pricetype1=1,Pricetype1=4),IF(D120=0,0,(EURO(D120,Strikeprice1,0,0,($AH120+IF(Smile=TRUE(),VLOOKUP(MAX(-5,Strikeprice1-D120),Volsmile,2),0)),($A120-DateToday)+15,IF(Pricetype1=1,1,0),0))),D120)))</f>
        <v> </v>
      </c>
      <c r="N120" s="318" t="str">
        <f aca="false">IF($A120="N/A"," ",IF(Pricetype1=2,MAX(E120,0),IF(OR(Pricetype1=1,Pricetype1=4),IF(E120=0,0,(EURO(E120,Strikeprice1,0,0,($AK120+IF(Smile=TRUE(),VLOOKUP(MAX(-5,Strikeprice1-E120),Volsmile,2),0)),($A120-DateToday)+15,IF(Pricetype1=1,1,0),0))),E120)))</f>
        <v> </v>
      </c>
      <c r="O120" s="318" t="str">
        <f aca="false">IF($A120="N/A"," ",IF(Pricetype1=2,MAX(F120,0),IF(OR(Pricetype1=1,Pricetype1=4),IF(F120=0,0,(EURO(F120,Strikeprice1,0,0,($AK120+IF(Smile=TRUE(),VLOOKUP(MAX(-5,Strikeprice1-F120),Volsmile,2),0)),($A120-DateToday)+15,IF(Pricetype1=1,1,0),0))),F120)))</f>
        <v> </v>
      </c>
      <c r="P120" s="318" t="str">
        <f aca="false">IF($A120="N/A"," ",IF(Pricetype1=2,MAX(G120,0),IF(OR(Pricetype1=1,Pricetype1=4),IF(G120=0,0,(EURO(G120,Strikeprice1,0,0,($AK120+IF(Smile=TRUE(),VLOOKUP(MAX(-5,Strikeprice1-G120),Volsmile,2),0)),($A120-DateToday)+15,IF(Pricetype1=1,1,0),0))),G120)))</f>
        <v> </v>
      </c>
      <c r="Q120" s="318" t="str">
        <f aca="false">IF($A120="N/A"," ",IF(Pricetype1=2,MAX(H120,0),IF(OR(Pricetype1=1,Pricetype1=4),IF(H120=0,0,(EURO(H120,Strikeprice1,0,0,($AK120+IF(Smile=TRUE(),VLOOKUP(MAX(-5,Strikeprice1-H120),Volsmile,2),0)),($A120-DateToday)+15,IF(Pricetype1=1,1,0),0))),H120)))</f>
        <v> </v>
      </c>
      <c r="R120" s="318" t="str">
        <f aca="false">IF($A120="N/A"," ",IF(Pricetype1=2,MAX(I120,0),IF(OR(Pricetype1=1,Pricetype1=4),IF(I120=0,0,(EURO(I120,Strikeprice1,0,0,($AK120+IF(Smile=TRUE(),VLOOKUP(MAX(-5,Strikeprice1-I120),Volsmile,2),0)),($A120-DateToday)+15,IF(Pricetype1=1,1,0),0))),I120)))</f>
        <v> </v>
      </c>
      <c r="S120" s="318" t="str">
        <f aca="false">IF($A120="N/A"," ",IF(Pricetype1=2,MAX(J120,0),IF(OR(Pricetype1=1,Pricetype1=4),IF(J120=0,0,(EURO(J120,Strikeprice1,0,0,($AK120+IF(Smile=TRUE(),VLOOKUP(MAX(-5,Strikeprice1-J120),Volsmile,2),0)),($A120-DateToday)+15,IF(Pricetype1=1,1,0),0))),J120)))</f>
        <v> </v>
      </c>
      <c r="T120" s="318" t="str">
        <f aca="false">IF($A120="N/A"," ",IF(Pricetype1=2,MAX(K120,0),IF(OR(Pricetype1=1,Pricetype1=4),IF(K120=0,0,(EURO(K120,Strikeprice1,0,0,($AK120+IF(Smile=TRUE(),VLOOKUP(MAX(-5,Strikeprice1-K120),Volsmile,2),0)),($A120-DateToday)+15,IF(Pricetype1=1,1,0),0))),K120)))</f>
        <v> </v>
      </c>
      <c r="U120" s="319" t="str">
        <f aca="false">IF($A120="N/A"," ",Volume1*$AM120)</f>
        <v> </v>
      </c>
      <c r="V120" s="320" t="str">
        <f aca="false">IF($A120="N/A"," ",$U120*(8*($BQ120))*L120)</f>
        <v> </v>
      </c>
      <c r="W120" s="320" t="str">
        <f aca="false">IF($A120="N/A"," ",$U120*(8*($BQ120))*M120)</f>
        <v> </v>
      </c>
      <c r="X120" s="320" t="str">
        <f aca="false">IF($A120="N/A"," ",$U120*(8*($BQ120))*N120)</f>
        <v> </v>
      </c>
      <c r="Y120" s="320" t="str">
        <f aca="false">IF($A120="N/A"," ",$U120*(8*($BR120))*O120)</f>
        <v> </v>
      </c>
      <c r="Z120" s="320" t="str">
        <f aca="false">IF($A120="N/A"," ",$U120*(8*($BR120))*P120)</f>
        <v> </v>
      </c>
      <c r="AA120" s="320" t="str">
        <f aca="false">IF($A120="N/A"," ",$U120*(8*($BR120))*Q120)</f>
        <v> </v>
      </c>
      <c r="AB120" s="320" t="str">
        <f aca="false">IF($A120="N/A"," ",$U120*(8*($BS120))*R120)</f>
        <v> </v>
      </c>
      <c r="AC120" s="320" t="str">
        <f aca="false">IF($A120="N/A"," ",$U120*(8*($BS120))*S120)</f>
        <v> </v>
      </c>
      <c r="AD120" s="320" t="str">
        <f aca="false">IF($A120="N/A"," ",$U120*(8*($BS120))*T120)</f>
        <v> </v>
      </c>
      <c r="AE120" s="320" t="str">
        <f aca="false">IF($A120="N/A"," ",SUM(V120:AD120))</f>
        <v> </v>
      </c>
      <c r="AF120" s="321" t="str">
        <f aca="false">IF(A120="N/A"," ",(VLOOKUP(A120,PowerVolTable,(IF(VolBMO1=2,7,IF(VolBMO1=1,6,8))),FALSE())))</f>
        <v> </v>
      </c>
      <c r="AG120" s="321" t="str">
        <f aca="false">IF(A120="N/A"," ",(VLOOKUP(A120,IntraPowerVol,(IF(VolBMO1=2,3,IF(VolBMO1=1,2,4))),FALSE())*VLOOKUP(MONTH($A120),Volscale,2)))</f>
        <v> </v>
      </c>
      <c r="AH120" s="321" t="str">
        <f aca="false">IF($A120="N/A"," ",IF(VolType1=1,AG120,AF120))</f>
        <v> </v>
      </c>
      <c r="AI120" s="321" t="str">
        <f aca="false">IF($A120="N/A"," ",(VLOOKUP($A120,OffPwrVolTable,(IF(VolBMO1=2,7,IF(VolBMO1=1,6,8))),FALSE())))</f>
        <v> </v>
      </c>
      <c r="AJ120" s="321" t="str">
        <f aca="false">IF($A120="N/A"," ",(VLOOKUP($A120,OffPwrVolTable,(IF(VolBMO1=2,3,IF(VolBMO1=1,2,4))),FALSE())*VLOOKUP(MONTH($A120),Volscale,2)))</f>
        <v> </v>
      </c>
      <c r="AK120" s="321" t="str">
        <f aca="false">IF($A120="N/A"," ",IF(VolType1=1,AJ120,AI120))</f>
        <v> </v>
      </c>
      <c r="AL120" s="321" t="str">
        <f aca="false">IF($A120="N/A"," ",IF(PV=1,0,'Pricing Inputs1'!R153))</f>
        <v> </v>
      </c>
      <c r="AM120" s="323" t="str">
        <f aca="false">IF($A120="N/A"," ",(1+AL120/2)^(-2*((EOMONTH(A120,0)+20)-DateToday)/365.25))</f>
        <v> </v>
      </c>
      <c r="BQ120" s="0" t="str">
        <f aca="false">IF($A120="N/A"," ",(VLOOKUP($A120,NumberofDaysTable,2)))</f>
        <v> </v>
      </c>
      <c r="BR120" s="0" t="str">
        <f aca="false">IF($A120="N/A"," ",(VLOOKUP($A120,NumberofDaysTable,3)))</f>
        <v> </v>
      </c>
      <c r="BS120" s="0" t="str">
        <f aca="false">IF($A120="N/A"," ",(VLOOKUP($A120,NumberofDaysTable,4)))</f>
        <v> </v>
      </c>
    </row>
    <row r="121" customFormat="false" ht="12.75" hidden="false" customHeight="false" outlineLevel="0" collapsed="false">
      <c r="A121" s="315" t="str">
        <f aca="false">IF(A120="N/A","N/A",IF(EDATE(A120,1)&gt;Inputs!$M$5,"N/A",EDATE(A120,1)))</f>
        <v>N/A</v>
      </c>
      <c r="B121" s="316" t="str">
        <f aca="false">IF(A121="N/A"," ",YEAR(A121))</f>
        <v> </v>
      </c>
      <c r="C121" s="324" t="str">
        <f aca="false">IF($A121="N/A"," ",IF(Dayrun1=10,0,IF(Scaler1=1,(VLOOKUP(A121,ScaledPrice1,4)),(VLOOKUP(A121,ScaledPrice1,2)))))</f>
        <v> </v>
      </c>
      <c r="D121" s="317" t="str">
        <f aca="false">IF(A121="N/A"," ",IF(Dayrun1&gt;=7,0,IF(Scaler1=2,VLOOKUP(A121,ScaledPrice1,2),(VLOOKUP(A121,ScaledPrice1,2))*(2-(VLOOKUP(A121,ScaledPrice1,3))))))</f>
        <v> </v>
      </c>
      <c r="E121" s="317" t="str">
        <f aca="false">IF($A121="N/A"," ",IF(AND(Dayrun1&gt;=4,Dayrun1&lt;=9),0,VLOOKUP($A121,ScaledPrice1,9)))</f>
        <v> </v>
      </c>
      <c r="F121" s="317" t="str">
        <f aca="false">IF(A121="N/A"," ",IF(OR(Dayrun1=2,Dayrun1=3,Dayrun1=5,Dayrun1=6,Dayrun1=8,Dayrun1=9),VLOOKUP(A121,ScaledPrice1,IF(Scaler1=1,6,5)),0))</f>
        <v> </v>
      </c>
      <c r="G121" s="317" t="str">
        <f aca="false">IF(A121="N/A"," ",IF(OR(Dayrun1=2,Dayrun1=3,Dayrun1=5,Dayrun1=6),IF(Scaler1=2,F121,(VLOOKUP(A121,ScaledPrice1,5))*(2-(VLOOKUP(A121,ScaledPrice1,3)))),0))</f>
        <v> </v>
      </c>
      <c r="H121" s="317" t="str">
        <f aca="false">IF($A121="N/A"," ",IF(OR(Dayrun1=2,Dayrun1=3,Dayrun1=10),VLOOKUP($A121,ScaledPrice1,9),0))</f>
        <v> </v>
      </c>
      <c r="I121" s="317" t="str">
        <f aca="false">IF(A121="N/A"," ",IF(OR(Dayrun1=3,Dayrun1=6,Dayrun1=9),(VLOOKUP(A121,ScaledPrice1,IF(Scaler1=2,7,8))),0))</f>
        <v> </v>
      </c>
      <c r="J121" s="317" t="str">
        <f aca="false">IF(A121="N/A"," ",IF(OR(Dayrun1=3,Dayrun1=6),IF(Scaler1=2,I121,(VLOOKUP(A121,ScaledPrice1,7))*(2-(VLOOKUP(A121,ScaledPrice1,3)))),0))</f>
        <v> </v>
      </c>
      <c r="K121" s="317" t="str">
        <f aca="false">IF($A121="N/A"," ",IF(OR(Dayrun1=3,Dayrun1=10),VLOOKUP($A121,ScaledPrice1,9),0))</f>
        <v> </v>
      </c>
      <c r="L121" s="318" t="str">
        <f aca="false">IF($A121="N/A"," ",IF(Pricetype1=2,MAX(C121,0),IF(OR(Pricetype1=1,Pricetype1=4),IF(C121=0,0,(EURO(C121,Strikeprice1,0,0,($AH121+IF(Smile=TRUE(),VLOOKUP(MAX(-5,Strikeprice1-C121),Volsmile,2),0)),($A121-DateToday)+15,IF(Pricetype1=1,1,0),0))),C121)))</f>
        <v> </v>
      </c>
      <c r="M121" s="318" t="str">
        <f aca="false">IF($A121="N/A"," ",IF(Pricetype1=2,MAX(D121,0),IF(OR(Pricetype1=1,Pricetype1=4),IF(D121=0,0,(EURO(D121,Strikeprice1,0,0,($AH121+IF(Smile=TRUE(),VLOOKUP(MAX(-5,Strikeprice1-D121),Volsmile,2),0)),($A121-DateToday)+15,IF(Pricetype1=1,1,0),0))),D121)))</f>
        <v> </v>
      </c>
      <c r="N121" s="318" t="str">
        <f aca="false">IF($A121="N/A"," ",IF(Pricetype1=2,MAX(E121,0),IF(OR(Pricetype1=1,Pricetype1=4),IF(E121=0,0,(EURO(E121,Strikeprice1,0,0,($AK121+IF(Smile=TRUE(),VLOOKUP(MAX(-5,Strikeprice1-E121),Volsmile,2),0)),($A121-DateToday)+15,IF(Pricetype1=1,1,0),0))),E121)))</f>
        <v> </v>
      </c>
      <c r="O121" s="318" t="str">
        <f aca="false">IF($A121="N/A"," ",IF(Pricetype1=2,MAX(F121,0),IF(OR(Pricetype1=1,Pricetype1=4),IF(F121=0,0,(EURO(F121,Strikeprice1,0,0,($AK121+IF(Smile=TRUE(),VLOOKUP(MAX(-5,Strikeprice1-F121),Volsmile,2),0)),($A121-DateToday)+15,IF(Pricetype1=1,1,0),0))),F121)))</f>
        <v> </v>
      </c>
      <c r="P121" s="318" t="str">
        <f aca="false">IF($A121="N/A"," ",IF(Pricetype1=2,MAX(G121,0),IF(OR(Pricetype1=1,Pricetype1=4),IF(G121=0,0,(EURO(G121,Strikeprice1,0,0,($AK121+IF(Smile=TRUE(),VLOOKUP(MAX(-5,Strikeprice1-G121),Volsmile,2),0)),($A121-DateToday)+15,IF(Pricetype1=1,1,0),0))),G121)))</f>
        <v> </v>
      </c>
      <c r="Q121" s="318" t="str">
        <f aca="false">IF($A121="N/A"," ",IF(Pricetype1=2,MAX(H121,0),IF(OR(Pricetype1=1,Pricetype1=4),IF(H121=0,0,(EURO(H121,Strikeprice1,0,0,($AK121+IF(Smile=TRUE(),VLOOKUP(MAX(-5,Strikeprice1-H121),Volsmile,2),0)),($A121-DateToday)+15,IF(Pricetype1=1,1,0),0))),H121)))</f>
        <v> </v>
      </c>
      <c r="R121" s="318" t="str">
        <f aca="false">IF($A121="N/A"," ",IF(Pricetype1=2,MAX(I121,0),IF(OR(Pricetype1=1,Pricetype1=4),IF(I121=0,0,(EURO(I121,Strikeprice1,0,0,($AK121+IF(Smile=TRUE(),VLOOKUP(MAX(-5,Strikeprice1-I121),Volsmile,2),0)),($A121-DateToday)+15,IF(Pricetype1=1,1,0),0))),I121)))</f>
        <v> </v>
      </c>
      <c r="S121" s="318" t="str">
        <f aca="false">IF($A121="N/A"," ",IF(Pricetype1=2,MAX(J121,0),IF(OR(Pricetype1=1,Pricetype1=4),IF(J121=0,0,(EURO(J121,Strikeprice1,0,0,($AK121+IF(Smile=TRUE(),VLOOKUP(MAX(-5,Strikeprice1-J121),Volsmile,2),0)),($A121-DateToday)+15,IF(Pricetype1=1,1,0),0))),J121)))</f>
        <v> </v>
      </c>
      <c r="T121" s="318" t="str">
        <f aca="false">IF($A121="N/A"," ",IF(Pricetype1=2,MAX(K121,0),IF(OR(Pricetype1=1,Pricetype1=4),IF(K121=0,0,(EURO(K121,Strikeprice1,0,0,($AK121+IF(Smile=TRUE(),VLOOKUP(MAX(-5,Strikeprice1-K121),Volsmile,2),0)),($A121-DateToday)+15,IF(Pricetype1=1,1,0),0))),K121)))</f>
        <v> </v>
      </c>
      <c r="U121" s="319" t="str">
        <f aca="false">IF($A121="N/A"," ",Volume1*$AM121)</f>
        <v> </v>
      </c>
      <c r="V121" s="320" t="str">
        <f aca="false">IF($A121="N/A"," ",$U121*(8*($BQ121))*L121)</f>
        <v> </v>
      </c>
      <c r="W121" s="320" t="str">
        <f aca="false">IF($A121="N/A"," ",$U121*(8*($BQ121))*M121)</f>
        <v> </v>
      </c>
      <c r="X121" s="320" t="str">
        <f aca="false">IF($A121="N/A"," ",$U121*(8*($BQ121))*N121)</f>
        <v> </v>
      </c>
      <c r="Y121" s="320" t="str">
        <f aca="false">IF($A121="N/A"," ",$U121*(8*($BR121))*O121)</f>
        <v> </v>
      </c>
      <c r="Z121" s="320" t="str">
        <f aca="false">IF($A121="N/A"," ",$U121*(8*($BR121))*P121)</f>
        <v> </v>
      </c>
      <c r="AA121" s="320" t="str">
        <f aca="false">IF($A121="N/A"," ",$U121*(8*($BR121))*Q121)</f>
        <v> </v>
      </c>
      <c r="AB121" s="320" t="str">
        <f aca="false">IF($A121="N/A"," ",$U121*(8*($BS121))*R121)</f>
        <v> </v>
      </c>
      <c r="AC121" s="320" t="str">
        <f aca="false">IF($A121="N/A"," ",$U121*(8*($BS121))*S121)</f>
        <v> </v>
      </c>
      <c r="AD121" s="320" t="str">
        <f aca="false">IF($A121="N/A"," ",$U121*(8*($BS121))*T121)</f>
        <v> </v>
      </c>
      <c r="AE121" s="320" t="str">
        <f aca="false">IF($A121="N/A"," ",SUM(V121:AD121))</f>
        <v> </v>
      </c>
      <c r="AF121" s="321" t="str">
        <f aca="false">IF(A121="N/A"," ",(VLOOKUP(A121,PowerVolTable,(IF(VolBMO1=2,7,IF(VolBMO1=1,6,8))),FALSE())))</f>
        <v> </v>
      </c>
      <c r="AG121" s="321" t="str">
        <f aca="false">IF(A121="N/A"," ",(VLOOKUP(A121,IntraPowerVol,(IF(VolBMO1=2,3,IF(VolBMO1=1,2,4))),FALSE())*VLOOKUP(MONTH($A121),Volscale,2)))</f>
        <v> </v>
      </c>
      <c r="AH121" s="321" t="str">
        <f aca="false">IF($A121="N/A"," ",IF(VolType1=1,AG121,AF121))</f>
        <v> </v>
      </c>
      <c r="AI121" s="321" t="str">
        <f aca="false">IF($A121="N/A"," ",(VLOOKUP($A121,OffPwrVolTable,(IF(VolBMO1=2,7,IF(VolBMO1=1,6,8))),FALSE())))</f>
        <v> </v>
      </c>
      <c r="AJ121" s="321" t="str">
        <f aca="false">IF($A121="N/A"," ",(VLOOKUP($A121,OffPwrVolTable,(IF(VolBMO1=2,3,IF(VolBMO1=1,2,4))),FALSE())*VLOOKUP(MONTH($A121),Volscale,2)))</f>
        <v> </v>
      </c>
      <c r="AK121" s="321" t="str">
        <f aca="false">IF($A121="N/A"," ",IF(VolType1=1,AJ121,AI121))</f>
        <v> </v>
      </c>
      <c r="AL121" s="321" t="str">
        <f aca="false">IF($A121="N/A"," ",IF(PV=1,0,'Pricing Inputs1'!R154))</f>
        <v> </v>
      </c>
      <c r="AM121" s="323" t="str">
        <f aca="false">IF($A121="N/A"," ",(1+AL121/2)^(-2*((EOMONTH(A121,0)+20)-DateToday)/365.25))</f>
        <v> </v>
      </c>
      <c r="BQ121" s="0" t="str">
        <f aca="false">IF($A121="N/A"," ",(VLOOKUP($A121,NumberofDaysTable,2)))</f>
        <v> </v>
      </c>
      <c r="BR121" s="0" t="str">
        <f aca="false">IF($A121="N/A"," ",(VLOOKUP($A121,NumberofDaysTable,3)))</f>
        <v> </v>
      </c>
      <c r="BS121" s="0" t="str">
        <f aca="false">IF($A121="N/A"," ",(VLOOKUP($A121,NumberofDaysTable,4)))</f>
        <v> </v>
      </c>
    </row>
    <row r="122" customFormat="false" ht="12.75" hidden="false" customHeight="false" outlineLevel="0" collapsed="false">
      <c r="A122" s="315" t="str">
        <f aca="false">IF(A121="N/A","N/A",IF(EDATE(A121,1)&gt;Inputs!$M$5,"N/A",EDATE(A121,1)))</f>
        <v>N/A</v>
      </c>
      <c r="B122" s="316" t="str">
        <f aca="false">IF(A122="N/A"," ",YEAR(A122))</f>
        <v> </v>
      </c>
      <c r="C122" s="324" t="str">
        <f aca="false">IF($A122="N/A"," ",IF(Dayrun1=10,0,IF(Scaler1=1,(VLOOKUP(A122,ScaledPrice1,4)),(VLOOKUP(A122,ScaledPrice1,2)))))</f>
        <v> </v>
      </c>
      <c r="D122" s="317" t="str">
        <f aca="false">IF(A122="N/A"," ",IF(Dayrun1&gt;=7,0,IF(Scaler1=2,VLOOKUP(A122,ScaledPrice1,2),(VLOOKUP(A122,ScaledPrice1,2))*(2-(VLOOKUP(A122,ScaledPrice1,3))))))</f>
        <v> </v>
      </c>
      <c r="E122" s="317" t="str">
        <f aca="false">IF($A122="N/A"," ",IF(AND(Dayrun1&gt;=4,Dayrun1&lt;=9),0,VLOOKUP($A122,ScaledPrice1,9)))</f>
        <v> </v>
      </c>
      <c r="F122" s="317" t="str">
        <f aca="false">IF(A122="N/A"," ",IF(OR(Dayrun1=2,Dayrun1=3,Dayrun1=5,Dayrun1=6,Dayrun1=8,Dayrun1=9),VLOOKUP(A122,ScaledPrice1,IF(Scaler1=1,6,5)),0))</f>
        <v> </v>
      </c>
      <c r="G122" s="317" t="str">
        <f aca="false">IF(A122="N/A"," ",IF(OR(Dayrun1=2,Dayrun1=3,Dayrun1=5,Dayrun1=6),IF(Scaler1=2,F122,(VLOOKUP(A122,ScaledPrice1,5))*(2-(VLOOKUP(A122,ScaledPrice1,3)))),0))</f>
        <v> </v>
      </c>
      <c r="H122" s="317" t="str">
        <f aca="false">IF($A122="N/A"," ",IF(OR(Dayrun1=2,Dayrun1=3,Dayrun1=10),VLOOKUP($A122,ScaledPrice1,9),0))</f>
        <v> </v>
      </c>
      <c r="I122" s="317" t="str">
        <f aca="false">IF(A122="N/A"," ",IF(OR(Dayrun1=3,Dayrun1=6,Dayrun1=9),(VLOOKUP(A122,ScaledPrice1,IF(Scaler1=2,7,8))),0))</f>
        <v> </v>
      </c>
      <c r="J122" s="317" t="str">
        <f aca="false">IF(A122="N/A"," ",IF(OR(Dayrun1=3,Dayrun1=6),IF(Scaler1=2,I122,(VLOOKUP(A122,ScaledPrice1,7))*(2-(VLOOKUP(A122,ScaledPrice1,3)))),0))</f>
        <v> </v>
      </c>
      <c r="K122" s="317" t="str">
        <f aca="false">IF($A122="N/A"," ",IF(OR(Dayrun1=3,Dayrun1=10),VLOOKUP($A122,ScaledPrice1,9),0))</f>
        <v> </v>
      </c>
      <c r="L122" s="318" t="str">
        <f aca="false">IF($A122="N/A"," ",IF(Pricetype1=2,MAX(C122,0),IF(OR(Pricetype1=1,Pricetype1=4),IF(C122=0,0,(EURO(C122,Strikeprice1,0,0,($AH122+IF(Smile=TRUE(),VLOOKUP(MAX(-5,Strikeprice1-C122),Volsmile,2),0)),($A122-DateToday)+15,IF(Pricetype1=1,1,0),0))),C122)))</f>
        <v> </v>
      </c>
      <c r="M122" s="318" t="str">
        <f aca="false">IF($A122="N/A"," ",IF(Pricetype1=2,MAX(D122,0),IF(OR(Pricetype1=1,Pricetype1=4),IF(D122=0,0,(EURO(D122,Strikeprice1,0,0,($AH122+IF(Smile=TRUE(),VLOOKUP(MAX(-5,Strikeprice1-D122),Volsmile,2),0)),($A122-DateToday)+15,IF(Pricetype1=1,1,0),0))),D122)))</f>
        <v> </v>
      </c>
      <c r="N122" s="318" t="str">
        <f aca="false">IF($A122="N/A"," ",IF(Pricetype1=2,MAX(E122,0),IF(OR(Pricetype1=1,Pricetype1=4),IF(E122=0,0,(EURO(E122,Strikeprice1,0,0,($AK122+IF(Smile=TRUE(),VLOOKUP(MAX(-5,Strikeprice1-E122),Volsmile,2),0)),($A122-DateToday)+15,IF(Pricetype1=1,1,0),0))),E122)))</f>
        <v> </v>
      </c>
      <c r="O122" s="318" t="str">
        <f aca="false">IF($A122="N/A"," ",IF(Pricetype1=2,MAX(F122,0),IF(OR(Pricetype1=1,Pricetype1=4),IF(F122=0,0,(EURO(F122,Strikeprice1,0,0,($AK122+IF(Smile=TRUE(),VLOOKUP(MAX(-5,Strikeprice1-F122),Volsmile,2),0)),($A122-DateToday)+15,IF(Pricetype1=1,1,0),0))),F122)))</f>
        <v> </v>
      </c>
      <c r="P122" s="318" t="str">
        <f aca="false">IF($A122="N/A"," ",IF(Pricetype1=2,MAX(G122,0),IF(OR(Pricetype1=1,Pricetype1=4),IF(G122=0,0,(EURO(G122,Strikeprice1,0,0,($AK122+IF(Smile=TRUE(),VLOOKUP(MAX(-5,Strikeprice1-G122),Volsmile,2),0)),($A122-DateToday)+15,IF(Pricetype1=1,1,0),0))),G122)))</f>
        <v> </v>
      </c>
      <c r="Q122" s="318" t="str">
        <f aca="false">IF($A122="N/A"," ",IF(Pricetype1=2,MAX(H122,0),IF(OR(Pricetype1=1,Pricetype1=4),IF(H122=0,0,(EURO(H122,Strikeprice1,0,0,($AK122+IF(Smile=TRUE(),VLOOKUP(MAX(-5,Strikeprice1-H122),Volsmile,2),0)),($A122-DateToday)+15,IF(Pricetype1=1,1,0),0))),H122)))</f>
        <v> </v>
      </c>
      <c r="R122" s="318" t="str">
        <f aca="false">IF($A122="N/A"," ",IF(Pricetype1=2,MAX(I122,0),IF(OR(Pricetype1=1,Pricetype1=4),IF(I122=0,0,(EURO(I122,Strikeprice1,0,0,($AK122+IF(Smile=TRUE(),VLOOKUP(MAX(-5,Strikeprice1-I122),Volsmile,2),0)),($A122-DateToday)+15,IF(Pricetype1=1,1,0),0))),I122)))</f>
        <v> </v>
      </c>
      <c r="S122" s="318" t="str">
        <f aca="false">IF($A122="N/A"," ",IF(Pricetype1=2,MAX(J122,0),IF(OR(Pricetype1=1,Pricetype1=4),IF(J122=0,0,(EURO(J122,Strikeprice1,0,0,($AK122+IF(Smile=TRUE(),VLOOKUP(MAX(-5,Strikeprice1-J122),Volsmile,2),0)),($A122-DateToday)+15,IF(Pricetype1=1,1,0),0))),J122)))</f>
        <v> </v>
      </c>
      <c r="T122" s="318" t="str">
        <f aca="false">IF($A122="N/A"," ",IF(Pricetype1=2,MAX(K122,0),IF(OR(Pricetype1=1,Pricetype1=4),IF(K122=0,0,(EURO(K122,Strikeprice1,0,0,($AK122+IF(Smile=TRUE(),VLOOKUP(MAX(-5,Strikeprice1-K122),Volsmile,2),0)),($A122-DateToday)+15,IF(Pricetype1=1,1,0),0))),K122)))</f>
        <v> </v>
      </c>
      <c r="U122" s="319" t="str">
        <f aca="false">IF($A122="N/A"," ",Volume1*$AM122)</f>
        <v> </v>
      </c>
      <c r="V122" s="320" t="str">
        <f aca="false">IF($A122="N/A"," ",$U122*(8*($BQ122))*L122)</f>
        <v> </v>
      </c>
      <c r="W122" s="320" t="str">
        <f aca="false">IF($A122="N/A"," ",$U122*(8*($BQ122))*M122)</f>
        <v> </v>
      </c>
      <c r="X122" s="320" t="str">
        <f aca="false">IF($A122="N/A"," ",$U122*(8*($BQ122))*N122)</f>
        <v> </v>
      </c>
      <c r="Y122" s="320" t="str">
        <f aca="false">IF($A122="N/A"," ",$U122*(8*($BR122))*O122)</f>
        <v> </v>
      </c>
      <c r="Z122" s="320" t="str">
        <f aca="false">IF($A122="N/A"," ",$U122*(8*($BR122))*P122)</f>
        <v> </v>
      </c>
      <c r="AA122" s="320" t="str">
        <f aca="false">IF($A122="N/A"," ",$U122*(8*($BR122))*Q122)</f>
        <v> </v>
      </c>
      <c r="AB122" s="320" t="str">
        <f aca="false">IF($A122="N/A"," ",$U122*(8*($BS122))*R122)</f>
        <v> </v>
      </c>
      <c r="AC122" s="320" t="str">
        <f aca="false">IF($A122="N/A"," ",$U122*(8*($BS122))*S122)</f>
        <v> </v>
      </c>
      <c r="AD122" s="320" t="str">
        <f aca="false">IF($A122="N/A"," ",$U122*(8*($BS122))*T122)</f>
        <v> </v>
      </c>
      <c r="AE122" s="320" t="str">
        <f aca="false">IF($A122="N/A"," ",SUM(V122:AD122))</f>
        <v> </v>
      </c>
      <c r="AF122" s="321" t="str">
        <f aca="false">IF(A122="N/A"," ",(VLOOKUP(A122,PowerVolTable,(IF(VolBMO1=2,7,IF(VolBMO1=1,6,8))),FALSE())))</f>
        <v> </v>
      </c>
      <c r="AG122" s="321" t="str">
        <f aca="false">IF(A122="N/A"," ",(VLOOKUP(A122,IntraPowerVol,(IF(VolBMO1=2,3,IF(VolBMO1=1,2,4))),FALSE())*VLOOKUP(MONTH($A122),Volscale,2)))</f>
        <v> </v>
      </c>
      <c r="AH122" s="321" t="str">
        <f aca="false">IF($A122="N/A"," ",IF(VolType1=1,AG122,AF122))</f>
        <v> </v>
      </c>
      <c r="AI122" s="321" t="str">
        <f aca="false">IF($A122="N/A"," ",(VLOOKUP($A122,OffPwrVolTable,(IF(VolBMO1=2,7,IF(VolBMO1=1,6,8))),FALSE())))</f>
        <v> </v>
      </c>
      <c r="AJ122" s="321" t="str">
        <f aca="false">IF($A122="N/A"," ",(VLOOKUP($A122,OffPwrVolTable,(IF(VolBMO1=2,3,IF(VolBMO1=1,2,4))),FALSE())*VLOOKUP(MONTH($A122),Volscale,2)))</f>
        <v> </v>
      </c>
      <c r="AK122" s="321" t="str">
        <f aca="false">IF($A122="N/A"," ",IF(VolType1=1,AJ122,AI122))</f>
        <v> </v>
      </c>
      <c r="AL122" s="321" t="str">
        <f aca="false">IF($A122="N/A"," ",IF(PV=1,0,'Pricing Inputs1'!R155))</f>
        <v> </v>
      </c>
      <c r="AM122" s="323" t="str">
        <f aca="false">IF($A122="N/A"," ",(1+AL122/2)^(-2*((EOMONTH(A122,0)+20)-DateToday)/365.25))</f>
        <v> </v>
      </c>
      <c r="BQ122" s="0" t="str">
        <f aca="false">IF($A122="N/A"," ",(VLOOKUP($A122,NumberofDaysTable,2)))</f>
        <v> </v>
      </c>
      <c r="BR122" s="0" t="str">
        <f aca="false">IF($A122="N/A"," ",(VLOOKUP($A122,NumberofDaysTable,3)))</f>
        <v> </v>
      </c>
      <c r="BS122" s="0" t="str">
        <f aca="false">IF($A122="N/A"," ",(VLOOKUP($A122,NumberofDaysTable,4)))</f>
        <v> </v>
      </c>
    </row>
    <row r="123" customFormat="false" ht="12.75" hidden="false" customHeight="false" outlineLevel="0" collapsed="false">
      <c r="A123" s="315" t="str">
        <f aca="false">IF(A122="N/A","N/A",IF(EDATE(A122,1)&gt;Inputs!$M$5,"N/A",EDATE(A122,1)))</f>
        <v>N/A</v>
      </c>
      <c r="B123" s="316" t="str">
        <f aca="false">IF(A123="N/A"," ",YEAR(A123))</f>
        <v> </v>
      </c>
      <c r="C123" s="324" t="str">
        <f aca="false">IF($A123="N/A"," ",IF(Dayrun1=10,0,IF(Scaler1=1,(VLOOKUP(A123,ScaledPrice1,4)),(VLOOKUP(A123,ScaledPrice1,2)))))</f>
        <v> </v>
      </c>
      <c r="D123" s="317" t="str">
        <f aca="false">IF(A123="N/A"," ",IF(Dayrun1&gt;=7,0,IF(Scaler1=2,VLOOKUP(A123,ScaledPrice1,2),(VLOOKUP(A123,ScaledPrice1,2))*(2-(VLOOKUP(A123,ScaledPrice1,3))))))</f>
        <v> </v>
      </c>
      <c r="E123" s="317" t="str">
        <f aca="false">IF($A123="N/A"," ",IF(AND(Dayrun1&gt;=4,Dayrun1&lt;=9),0,VLOOKUP($A123,ScaledPrice1,9)))</f>
        <v> </v>
      </c>
      <c r="F123" s="317" t="str">
        <f aca="false">IF(A123="N/A"," ",IF(OR(Dayrun1=2,Dayrun1=3,Dayrun1=5,Dayrun1=6,Dayrun1=8,Dayrun1=9),VLOOKUP(A123,ScaledPrice1,IF(Scaler1=1,6,5)),0))</f>
        <v> </v>
      </c>
      <c r="G123" s="317" t="str">
        <f aca="false">IF(A123="N/A"," ",IF(OR(Dayrun1=2,Dayrun1=3,Dayrun1=5,Dayrun1=6),IF(Scaler1=2,F123,(VLOOKUP(A123,ScaledPrice1,5))*(2-(VLOOKUP(A123,ScaledPrice1,3)))),0))</f>
        <v> </v>
      </c>
      <c r="H123" s="317" t="str">
        <f aca="false">IF($A123="N/A"," ",IF(OR(Dayrun1=2,Dayrun1=3,Dayrun1=10),VLOOKUP($A123,ScaledPrice1,9),0))</f>
        <v> </v>
      </c>
      <c r="I123" s="317" t="str">
        <f aca="false">IF(A123="N/A"," ",IF(OR(Dayrun1=3,Dayrun1=6,Dayrun1=9),(VLOOKUP(A123,ScaledPrice1,IF(Scaler1=2,7,8))),0))</f>
        <v> </v>
      </c>
      <c r="J123" s="317" t="str">
        <f aca="false">IF(A123="N/A"," ",IF(OR(Dayrun1=3,Dayrun1=6),IF(Scaler1=2,I123,(VLOOKUP(A123,ScaledPrice1,7))*(2-(VLOOKUP(A123,ScaledPrice1,3)))),0))</f>
        <v> </v>
      </c>
      <c r="K123" s="317" t="str">
        <f aca="false">IF($A123="N/A"," ",IF(OR(Dayrun1=3,Dayrun1=10),VLOOKUP($A123,ScaledPrice1,9),0))</f>
        <v> </v>
      </c>
      <c r="L123" s="318" t="str">
        <f aca="false">IF($A123="N/A"," ",IF(Pricetype1=2,MAX(C123,0),IF(OR(Pricetype1=1,Pricetype1=4),IF(C123=0,0,(EURO(C123,Strikeprice1,0,0,($AH123+IF(Smile=TRUE(),VLOOKUP(MAX(-5,Strikeprice1-C123),Volsmile,2),0)),($A123-DateToday)+15,IF(Pricetype1=1,1,0),0))),C123)))</f>
        <v> </v>
      </c>
      <c r="M123" s="318" t="str">
        <f aca="false">IF($A123="N/A"," ",IF(Pricetype1=2,MAX(D123,0),IF(OR(Pricetype1=1,Pricetype1=4),IF(D123=0,0,(EURO(D123,Strikeprice1,0,0,($AH123+IF(Smile=TRUE(),VLOOKUP(MAX(-5,Strikeprice1-D123),Volsmile,2),0)),($A123-DateToday)+15,IF(Pricetype1=1,1,0),0))),D123)))</f>
        <v> </v>
      </c>
      <c r="N123" s="318" t="str">
        <f aca="false">IF($A123="N/A"," ",IF(Pricetype1=2,MAX(E123,0),IF(OR(Pricetype1=1,Pricetype1=4),IF(E123=0,0,(EURO(E123,Strikeprice1,0,0,($AK123+IF(Smile=TRUE(),VLOOKUP(MAX(-5,Strikeprice1-E123),Volsmile,2),0)),($A123-DateToday)+15,IF(Pricetype1=1,1,0),0))),E123)))</f>
        <v> </v>
      </c>
      <c r="O123" s="318" t="str">
        <f aca="false">IF($A123="N/A"," ",IF(Pricetype1=2,MAX(F123,0),IF(OR(Pricetype1=1,Pricetype1=4),IF(F123=0,0,(EURO(F123,Strikeprice1,0,0,($AK123+IF(Smile=TRUE(),VLOOKUP(MAX(-5,Strikeprice1-F123),Volsmile,2),0)),($A123-DateToday)+15,IF(Pricetype1=1,1,0),0))),F123)))</f>
        <v> </v>
      </c>
      <c r="P123" s="318" t="str">
        <f aca="false">IF($A123="N/A"," ",IF(Pricetype1=2,MAX(G123,0),IF(OR(Pricetype1=1,Pricetype1=4),IF(G123=0,0,(EURO(G123,Strikeprice1,0,0,($AK123+IF(Smile=TRUE(),VLOOKUP(MAX(-5,Strikeprice1-G123),Volsmile,2),0)),($A123-DateToday)+15,IF(Pricetype1=1,1,0),0))),G123)))</f>
        <v> </v>
      </c>
      <c r="Q123" s="318" t="str">
        <f aca="false">IF($A123="N/A"," ",IF(Pricetype1=2,MAX(H123,0),IF(OR(Pricetype1=1,Pricetype1=4),IF(H123=0,0,(EURO(H123,Strikeprice1,0,0,($AK123+IF(Smile=TRUE(),VLOOKUP(MAX(-5,Strikeprice1-H123),Volsmile,2),0)),($A123-DateToday)+15,IF(Pricetype1=1,1,0),0))),H123)))</f>
        <v> </v>
      </c>
      <c r="R123" s="318" t="str">
        <f aca="false">IF($A123="N/A"," ",IF(Pricetype1=2,MAX(I123,0),IF(OR(Pricetype1=1,Pricetype1=4),IF(I123=0,0,(EURO(I123,Strikeprice1,0,0,($AK123+IF(Smile=TRUE(),VLOOKUP(MAX(-5,Strikeprice1-I123),Volsmile,2),0)),($A123-DateToday)+15,IF(Pricetype1=1,1,0),0))),I123)))</f>
        <v> </v>
      </c>
      <c r="S123" s="318" t="str">
        <f aca="false">IF($A123="N/A"," ",IF(Pricetype1=2,MAX(J123,0),IF(OR(Pricetype1=1,Pricetype1=4),IF(J123=0,0,(EURO(J123,Strikeprice1,0,0,($AK123+IF(Smile=TRUE(),VLOOKUP(MAX(-5,Strikeprice1-J123),Volsmile,2),0)),($A123-DateToday)+15,IF(Pricetype1=1,1,0),0))),J123)))</f>
        <v> </v>
      </c>
      <c r="T123" s="318" t="str">
        <f aca="false">IF($A123="N/A"," ",IF(Pricetype1=2,MAX(K123,0),IF(OR(Pricetype1=1,Pricetype1=4),IF(K123=0,0,(EURO(K123,Strikeprice1,0,0,($AK123+IF(Smile=TRUE(),VLOOKUP(MAX(-5,Strikeprice1-K123),Volsmile,2),0)),($A123-DateToday)+15,IF(Pricetype1=1,1,0),0))),K123)))</f>
        <v> </v>
      </c>
      <c r="U123" s="319" t="str">
        <f aca="false">IF($A123="N/A"," ",Volume1*$AM123)</f>
        <v> </v>
      </c>
      <c r="V123" s="320" t="str">
        <f aca="false">IF($A123="N/A"," ",$U123*(8*($BQ123))*L123)</f>
        <v> </v>
      </c>
      <c r="W123" s="320" t="str">
        <f aca="false">IF($A123="N/A"," ",$U123*(8*($BQ123))*M123)</f>
        <v> </v>
      </c>
      <c r="X123" s="320" t="str">
        <f aca="false">IF($A123="N/A"," ",$U123*(8*($BQ123))*N123)</f>
        <v> </v>
      </c>
      <c r="Y123" s="320" t="str">
        <f aca="false">IF($A123="N/A"," ",$U123*(8*($BR123))*O123)</f>
        <v> </v>
      </c>
      <c r="Z123" s="320" t="str">
        <f aca="false">IF($A123="N/A"," ",$U123*(8*($BR123))*P123)</f>
        <v> </v>
      </c>
      <c r="AA123" s="320" t="str">
        <f aca="false">IF($A123="N/A"," ",$U123*(8*($BR123))*Q123)</f>
        <v> </v>
      </c>
      <c r="AB123" s="320" t="str">
        <f aca="false">IF($A123="N/A"," ",$U123*(8*($BS123))*R123)</f>
        <v> </v>
      </c>
      <c r="AC123" s="320" t="str">
        <f aca="false">IF($A123="N/A"," ",$U123*(8*($BS123))*S123)</f>
        <v> </v>
      </c>
      <c r="AD123" s="320" t="str">
        <f aca="false">IF($A123="N/A"," ",$U123*(8*($BS123))*T123)</f>
        <v> </v>
      </c>
      <c r="AE123" s="320" t="str">
        <f aca="false">IF($A123="N/A"," ",SUM(V123:AD123))</f>
        <v> </v>
      </c>
      <c r="AF123" s="321" t="str">
        <f aca="false">IF(A123="N/A"," ",(VLOOKUP(A123,PowerVolTable,(IF(VolBMO1=2,7,IF(VolBMO1=1,6,8))),FALSE())))</f>
        <v> </v>
      </c>
      <c r="AG123" s="321" t="str">
        <f aca="false">IF(A123="N/A"," ",(VLOOKUP(A123,IntraPowerVol,(IF(VolBMO1=2,3,IF(VolBMO1=1,2,4))),FALSE())*VLOOKUP(MONTH($A123),Volscale,2)))</f>
        <v> </v>
      </c>
      <c r="AH123" s="321" t="str">
        <f aca="false">IF($A123="N/A"," ",IF(VolType1=1,AG123,AF123))</f>
        <v> </v>
      </c>
      <c r="AI123" s="321" t="str">
        <f aca="false">IF($A123="N/A"," ",(VLOOKUP($A123,OffPwrVolTable,(IF(VolBMO1=2,7,IF(VolBMO1=1,6,8))),FALSE())))</f>
        <v> </v>
      </c>
      <c r="AJ123" s="321" t="str">
        <f aca="false">IF($A123="N/A"," ",(VLOOKUP($A123,OffPwrVolTable,(IF(VolBMO1=2,3,IF(VolBMO1=1,2,4))),FALSE())*VLOOKUP(MONTH($A123),Volscale,2)))</f>
        <v> </v>
      </c>
      <c r="AK123" s="321" t="str">
        <f aca="false">IF($A123="N/A"," ",IF(VolType1=1,AJ123,AI123))</f>
        <v> </v>
      </c>
      <c r="AL123" s="321" t="str">
        <f aca="false">IF($A123="N/A"," ",IF(PV=1,0,'Pricing Inputs1'!R156))</f>
        <v> </v>
      </c>
      <c r="AM123" s="323" t="str">
        <f aca="false">IF($A123="N/A"," ",(1+AL123/2)^(-2*((EOMONTH(A123,0)+20)-DateToday)/365.25))</f>
        <v> </v>
      </c>
      <c r="BQ123" s="0" t="str">
        <f aca="false">IF($A123="N/A"," ",(VLOOKUP($A123,NumberofDaysTable,2)))</f>
        <v> </v>
      </c>
      <c r="BR123" s="0" t="str">
        <f aca="false">IF($A123="N/A"," ",(VLOOKUP($A123,NumberofDaysTable,3)))</f>
        <v> </v>
      </c>
      <c r="BS123" s="0" t="str">
        <f aca="false">IF($A123="N/A"," ",(VLOOKUP($A123,NumberofDaysTable,4)))</f>
        <v> </v>
      </c>
    </row>
    <row r="124" customFormat="false" ht="12.75" hidden="false" customHeight="false" outlineLevel="0" collapsed="false">
      <c r="A124" s="315" t="str">
        <f aca="false">IF(A123="N/A","N/A",IF(EDATE(A123,1)&gt;Inputs!$M$5,"N/A",EDATE(A123,1)))</f>
        <v>N/A</v>
      </c>
      <c r="B124" s="316" t="str">
        <f aca="false">IF(A124="N/A"," ",YEAR(A124))</f>
        <v> </v>
      </c>
      <c r="C124" s="324" t="str">
        <f aca="false">IF($A124="N/A"," ",IF(Dayrun1=10,0,IF(Scaler1=1,(VLOOKUP(A124,ScaledPrice1,4)),(VLOOKUP(A124,ScaledPrice1,2)))))</f>
        <v> </v>
      </c>
      <c r="D124" s="317" t="str">
        <f aca="false">IF(A124="N/A"," ",IF(Dayrun1&gt;=7,0,IF(Scaler1=2,VLOOKUP(A124,ScaledPrice1,2),(VLOOKUP(A124,ScaledPrice1,2))*(2-(VLOOKUP(A124,ScaledPrice1,3))))))</f>
        <v> </v>
      </c>
      <c r="E124" s="317" t="str">
        <f aca="false">IF($A124="N/A"," ",IF(AND(Dayrun1&gt;=4,Dayrun1&lt;=9),0,VLOOKUP($A124,ScaledPrice1,9)))</f>
        <v> </v>
      </c>
      <c r="F124" s="317" t="str">
        <f aca="false">IF(A124="N/A"," ",IF(OR(Dayrun1=2,Dayrun1=3,Dayrun1=5,Dayrun1=6,Dayrun1=8,Dayrun1=9),VLOOKUP(A124,ScaledPrice1,IF(Scaler1=1,6,5)),0))</f>
        <v> </v>
      </c>
      <c r="G124" s="317" t="str">
        <f aca="false">IF(A124="N/A"," ",IF(OR(Dayrun1=2,Dayrun1=3,Dayrun1=5,Dayrun1=6),IF(Scaler1=2,F124,(VLOOKUP(A124,ScaledPrice1,5))*(2-(VLOOKUP(A124,ScaledPrice1,3)))),0))</f>
        <v> </v>
      </c>
      <c r="H124" s="317" t="str">
        <f aca="false">IF($A124="N/A"," ",IF(OR(Dayrun1=2,Dayrun1=3,Dayrun1=10),VLOOKUP($A124,ScaledPrice1,9),0))</f>
        <v> </v>
      </c>
      <c r="I124" s="317" t="str">
        <f aca="false">IF(A124="N/A"," ",IF(OR(Dayrun1=3,Dayrun1=6,Dayrun1=9),(VLOOKUP(A124,ScaledPrice1,IF(Scaler1=2,7,8))),0))</f>
        <v> </v>
      </c>
      <c r="J124" s="317" t="str">
        <f aca="false">IF(A124="N/A"," ",IF(OR(Dayrun1=3,Dayrun1=6),IF(Scaler1=2,I124,(VLOOKUP(A124,ScaledPrice1,7))*(2-(VLOOKUP(A124,ScaledPrice1,3)))),0))</f>
        <v> </v>
      </c>
      <c r="K124" s="317" t="str">
        <f aca="false">IF($A124="N/A"," ",IF(OR(Dayrun1=3,Dayrun1=10),VLOOKUP($A124,ScaledPrice1,9),0))</f>
        <v> </v>
      </c>
      <c r="L124" s="318" t="str">
        <f aca="false">IF($A124="N/A"," ",IF(Pricetype1=2,MAX(C124,0),IF(OR(Pricetype1=1,Pricetype1=4),IF(C124=0,0,(EURO(C124,Strikeprice1,0,0,($AH124+IF(Smile=TRUE(),VLOOKUP(MAX(-5,Strikeprice1-C124),Volsmile,2),0)),($A124-DateToday)+15,IF(Pricetype1=1,1,0),0))),C124)))</f>
        <v> </v>
      </c>
      <c r="M124" s="318" t="str">
        <f aca="false">IF($A124="N/A"," ",IF(Pricetype1=2,MAX(D124,0),IF(OR(Pricetype1=1,Pricetype1=4),IF(D124=0,0,(EURO(D124,Strikeprice1,0,0,($AH124+IF(Smile=TRUE(),VLOOKUP(MAX(-5,Strikeprice1-D124),Volsmile,2),0)),($A124-DateToday)+15,IF(Pricetype1=1,1,0),0))),D124)))</f>
        <v> </v>
      </c>
      <c r="N124" s="318" t="str">
        <f aca="false">IF($A124="N/A"," ",IF(Pricetype1=2,MAX(E124,0),IF(OR(Pricetype1=1,Pricetype1=4),IF(E124=0,0,(EURO(E124,Strikeprice1,0,0,($AK124+IF(Smile=TRUE(),VLOOKUP(MAX(-5,Strikeprice1-E124),Volsmile,2),0)),($A124-DateToday)+15,IF(Pricetype1=1,1,0),0))),E124)))</f>
        <v> </v>
      </c>
      <c r="O124" s="318" t="str">
        <f aca="false">IF($A124="N/A"," ",IF(Pricetype1=2,MAX(F124,0),IF(OR(Pricetype1=1,Pricetype1=4),IF(F124=0,0,(EURO(F124,Strikeprice1,0,0,($AK124+IF(Smile=TRUE(),VLOOKUP(MAX(-5,Strikeprice1-F124),Volsmile,2),0)),($A124-DateToday)+15,IF(Pricetype1=1,1,0),0))),F124)))</f>
        <v> </v>
      </c>
      <c r="P124" s="318" t="str">
        <f aca="false">IF($A124="N/A"," ",IF(Pricetype1=2,MAX(G124,0),IF(OR(Pricetype1=1,Pricetype1=4),IF(G124=0,0,(EURO(G124,Strikeprice1,0,0,($AK124+IF(Smile=TRUE(),VLOOKUP(MAX(-5,Strikeprice1-G124),Volsmile,2),0)),($A124-DateToday)+15,IF(Pricetype1=1,1,0),0))),G124)))</f>
        <v> </v>
      </c>
      <c r="Q124" s="318" t="str">
        <f aca="false">IF($A124="N/A"," ",IF(Pricetype1=2,MAX(H124,0),IF(OR(Pricetype1=1,Pricetype1=4),IF(H124=0,0,(EURO(H124,Strikeprice1,0,0,($AK124+IF(Smile=TRUE(),VLOOKUP(MAX(-5,Strikeprice1-H124),Volsmile,2),0)),($A124-DateToday)+15,IF(Pricetype1=1,1,0),0))),H124)))</f>
        <v> </v>
      </c>
      <c r="R124" s="318" t="str">
        <f aca="false">IF($A124="N/A"," ",IF(Pricetype1=2,MAX(I124,0),IF(OR(Pricetype1=1,Pricetype1=4),IF(I124=0,0,(EURO(I124,Strikeprice1,0,0,($AK124+IF(Smile=TRUE(),VLOOKUP(MAX(-5,Strikeprice1-I124),Volsmile,2),0)),($A124-DateToday)+15,IF(Pricetype1=1,1,0),0))),I124)))</f>
        <v> </v>
      </c>
      <c r="S124" s="318" t="str">
        <f aca="false">IF($A124="N/A"," ",IF(Pricetype1=2,MAX(J124,0),IF(OR(Pricetype1=1,Pricetype1=4),IF(J124=0,0,(EURO(J124,Strikeprice1,0,0,($AK124+IF(Smile=TRUE(),VLOOKUP(MAX(-5,Strikeprice1-J124),Volsmile,2),0)),($A124-DateToday)+15,IF(Pricetype1=1,1,0),0))),J124)))</f>
        <v> </v>
      </c>
      <c r="T124" s="318" t="str">
        <f aca="false">IF($A124="N/A"," ",IF(Pricetype1=2,MAX(K124,0),IF(OR(Pricetype1=1,Pricetype1=4),IF(K124=0,0,(EURO(K124,Strikeprice1,0,0,($AK124+IF(Smile=TRUE(),VLOOKUP(MAX(-5,Strikeprice1-K124),Volsmile,2),0)),($A124-DateToday)+15,IF(Pricetype1=1,1,0),0))),K124)))</f>
        <v> </v>
      </c>
      <c r="U124" s="319" t="str">
        <f aca="false">IF($A124="N/A"," ",Volume1*$AM124)</f>
        <v> </v>
      </c>
      <c r="V124" s="320" t="str">
        <f aca="false">IF($A124="N/A"," ",$U124*(8*($BQ124))*L124)</f>
        <v> </v>
      </c>
      <c r="W124" s="320" t="str">
        <f aca="false">IF($A124="N/A"," ",$U124*(8*($BQ124))*M124)</f>
        <v> </v>
      </c>
      <c r="X124" s="320" t="str">
        <f aca="false">IF($A124="N/A"," ",$U124*(8*($BQ124))*N124)</f>
        <v> </v>
      </c>
      <c r="Y124" s="320" t="str">
        <f aca="false">IF($A124="N/A"," ",$U124*(8*($BR124))*O124)</f>
        <v> </v>
      </c>
      <c r="Z124" s="320" t="str">
        <f aca="false">IF($A124="N/A"," ",$U124*(8*($BR124))*P124)</f>
        <v> </v>
      </c>
      <c r="AA124" s="320" t="str">
        <f aca="false">IF($A124="N/A"," ",$U124*(8*($BR124))*Q124)</f>
        <v> </v>
      </c>
      <c r="AB124" s="320" t="str">
        <f aca="false">IF($A124="N/A"," ",$U124*(8*($BS124))*R124)</f>
        <v> </v>
      </c>
      <c r="AC124" s="320" t="str">
        <f aca="false">IF($A124="N/A"," ",$U124*(8*($BS124))*S124)</f>
        <v> </v>
      </c>
      <c r="AD124" s="320" t="str">
        <f aca="false">IF($A124="N/A"," ",$U124*(8*($BS124))*T124)</f>
        <v> </v>
      </c>
      <c r="AE124" s="320" t="str">
        <f aca="false">IF($A124="N/A"," ",SUM(V124:AD124))</f>
        <v> </v>
      </c>
      <c r="AF124" s="321" t="str">
        <f aca="false">IF(A124="N/A"," ",(VLOOKUP(A124,PowerVolTable,(IF(VolBMO1=2,7,IF(VolBMO1=1,6,8))),FALSE())))</f>
        <v> </v>
      </c>
      <c r="AG124" s="321" t="str">
        <f aca="false">IF(A124="N/A"," ",(VLOOKUP(A124,IntraPowerVol,(IF(VolBMO1=2,3,IF(VolBMO1=1,2,4))),FALSE())*VLOOKUP(MONTH($A124),Volscale,2)))</f>
        <v> </v>
      </c>
      <c r="AH124" s="321" t="str">
        <f aca="false">IF($A124="N/A"," ",IF(VolType1=1,AG124,AF124))</f>
        <v> </v>
      </c>
      <c r="AI124" s="321" t="str">
        <f aca="false">IF($A124="N/A"," ",(VLOOKUP($A124,OffPwrVolTable,(IF(VolBMO1=2,7,IF(VolBMO1=1,6,8))),FALSE())))</f>
        <v> </v>
      </c>
      <c r="AJ124" s="321" t="str">
        <f aca="false">IF($A124="N/A"," ",(VLOOKUP($A124,OffPwrVolTable,(IF(VolBMO1=2,3,IF(VolBMO1=1,2,4))),FALSE())*VLOOKUP(MONTH($A124),Volscale,2)))</f>
        <v> </v>
      </c>
      <c r="AK124" s="321" t="str">
        <f aca="false">IF($A124="N/A"," ",IF(VolType1=1,AJ124,AI124))</f>
        <v> </v>
      </c>
      <c r="AL124" s="321" t="str">
        <f aca="false">IF($A124="N/A"," ",IF(PV=1,0,'Pricing Inputs1'!R157))</f>
        <v> </v>
      </c>
      <c r="AM124" s="323" t="str">
        <f aca="false">IF($A124="N/A"," ",(1+AL124/2)^(-2*((EOMONTH(A124,0)+20)-DateToday)/365.25))</f>
        <v> </v>
      </c>
      <c r="BQ124" s="0" t="str">
        <f aca="false">IF($A124="N/A"," ",(VLOOKUP($A124,NumberofDaysTable,2)))</f>
        <v> </v>
      </c>
      <c r="BR124" s="0" t="str">
        <f aca="false">IF($A124="N/A"," ",(VLOOKUP($A124,NumberofDaysTable,3)))</f>
        <v> </v>
      </c>
      <c r="BS124" s="0" t="str">
        <f aca="false">IF($A124="N/A"," ",(VLOOKUP($A124,NumberofDaysTable,4)))</f>
        <v> </v>
      </c>
    </row>
    <row r="125" customFormat="false" ht="12.75" hidden="false" customHeight="false" outlineLevel="0" collapsed="false">
      <c r="A125" s="315" t="str">
        <f aca="false">IF(A124="N/A","N/A",IF(EDATE(A124,1)&gt;Inputs!$M$5,"N/A",EDATE(A124,1)))</f>
        <v>N/A</v>
      </c>
      <c r="B125" s="316" t="str">
        <f aca="false">IF(A125="N/A"," ",YEAR(A125))</f>
        <v> </v>
      </c>
      <c r="C125" s="324" t="str">
        <f aca="false">IF($A125="N/A"," ",IF(Dayrun1=10,0,IF(Scaler1=1,(VLOOKUP(A125,ScaledPrice1,4)),(VLOOKUP(A125,ScaledPrice1,2)))))</f>
        <v> </v>
      </c>
      <c r="D125" s="317" t="str">
        <f aca="false">IF(A125="N/A"," ",IF(Dayrun1&gt;=7,0,IF(Scaler1=2,VLOOKUP(A125,ScaledPrice1,2),(VLOOKUP(A125,ScaledPrice1,2))*(2-(VLOOKUP(A125,ScaledPrice1,3))))))</f>
        <v> </v>
      </c>
      <c r="E125" s="317" t="str">
        <f aca="false">IF($A125="N/A"," ",IF(AND(Dayrun1&gt;=4,Dayrun1&lt;=9),0,VLOOKUP($A125,ScaledPrice1,9)))</f>
        <v> </v>
      </c>
      <c r="F125" s="317" t="str">
        <f aca="false">IF(A125="N/A"," ",IF(OR(Dayrun1=2,Dayrun1=3,Dayrun1=5,Dayrun1=6,Dayrun1=8,Dayrun1=9),VLOOKUP(A125,ScaledPrice1,IF(Scaler1=1,6,5)),0))</f>
        <v> </v>
      </c>
      <c r="G125" s="317" t="str">
        <f aca="false">IF(A125="N/A"," ",IF(OR(Dayrun1=2,Dayrun1=3,Dayrun1=5,Dayrun1=6),IF(Scaler1=2,F125,(VLOOKUP(A125,ScaledPrice1,5))*(2-(VLOOKUP(A125,ScaledPrice1,3)))),0))</f>
        <v> </v>
      </c>
      <c r="H125" s="317" t="str">
        <f aca="false">IF($A125="N/A"," ",IF(OR(Dayrun1=2,Dayrun1=3,Dayrun1=10),VLOOKUP($A125,ScaledPrice1,9),0))</f>
        <v> </v>
      </c>
      <c r="I125" s="317" t="str">
        <f aca="false">IF(A125="N/A"," ",IF(OR(Dayrun1=3,Dayrun1=6,Dayrun1=9),(VLOOKUP(A125,ScaledPrice1,IF(Scaler1=2,7,8))),0))</f>
        <v> </v>
      </c>
      <c r="J125" s="317" t="str">
        <f aca="false">IF(A125="N/A"," ",IF(OR(Dayrun1=3,Dayrun1=6),IF(Scaler1=2,I125,(VLOOKUP(A125,ScaledPrice1,7))*(2-(VLOOKUP(A125,ScaledPrice1,3)))),0))</f>
        <v> </v>
      </c>
      <c r="K125" s="317" t="str">
        <f aca="false">IF($A125="N/A"," ",IF(OR(Dayrun1=3,Dayrun1=10),VLOOKUP($A125,ScaledPrice1,9),0))</f>
        <v> </v>
      </c>
      <c r="L125" s="318" t="str">
        <f aca="false">IF($A125="N/A"," ",IF(Pricetype1=2,MAX(C125,0),IF(OR(Pricetype1=1,Pricetype1=4),IF(C125=0,0,(EURO(C125,Strikeprice1,0,0,($AH125+IF(Smile=TRUE(),VLOOKUP(MAX(-5,Strikeprice1-C125),Volsmile,2),0)),($A125-DateToday)+15,IF(Pricetype1=1,1,0),0))),C125)))</f>
        <v> </v>
      </c>
      <c r="M125" s="318" t="str">
        <f aca="false">IF($A125="N/A"," ",IF(Pricetype1=2,MAX(D125,0),IF(OR(Pricetype1=1,Pricetype1=4),IF(D125=0,0,(EURO(D125,Strikeprice1,0,0,($AH125+IF(Smile=TRUE(),VLOOKUP(MAX(-5,Strikeprice1-D125),Volsmile,2),0)),($A125-DateToday)+15,IF(Pricetype1=1,1,0),0))),D125)))</f>
        <v> </v>
      </c>
      <c r="N125" s="318" t="str">
        <f aca="false">IF($A125="N/A"," ",IF(Pricetype1=2,MAX(E125,0),IF(OR(Pricetype1=1,Pricetype1=4),IF(E125=0,0,(EURO(E125,Strikeprice1,0,0,($AK125+IF(Smile=TRUE(),VLOOKUP(MAX(-5,Strikeprice1-E125),Volsmile,2),0)),($A125-DateToday)+15,IF(Pricetype1=1,1,0),0))),E125)))</f>
        <v> </v>
      </c>
      <c r="O125" s="318" t="str">
        <f aca="false">IF($A125="N/A"," ",IF(Pricetype1=2,MAX(F125,0),IF(OR(Pricetype1=1,Pricetype1=4),IF(F125=0,0,(EURO(F125,Strikeprice1,0,0,($AK125+IF(Smile=TRUE(),VLOOKUP(MAX(-5,Strikeprice1-F125),Volsmile,2),0)),($A125-DateToday)+15,IF(Pricetype1=1,1,0),0))),F125)))</f>
        <v> </v>
      </c>
      <c r="P125" s="318" t="str">
        <f aca="false">IF($A125="N/A"," ",IF(Pricetype1=2,MAX(G125,0),IF(OR(Pricetype1=1,Pricetype1=4),IF(G125=0,0,(EURO(G125,Strikeprice1,0,0,($AK125+IF(Smile=TRUE(),VLOOKUP(MAX(-5,Strikeprice1-G125),Volsmile,2),0)),($A125-DateToday)+15,IF(Pricetype1=1,1,0),0))),G125)))</f>
        <v> </v>
      </c>
      <c r="Q125" s="318" t="str">
        <f aca="false">IF($A125="N/A"," ",IF(Pricetype1=2,MAX(H125,0),IF(OR(Pricetype1=1,Pricetype1=4),IF(H125=0,0,(EURO(H125,Strikeprice1,0,0,($AK125+IF(Smile=TRUE(),VLOOKUP(MAX(-5,Strikeprice1-H125),Volsmile,2),0)),($A125-DateToday)+15,IF(Pricetype1=1,1,0),0))),H125)))</f>
        <v> </v>
      </c>
      <c r="R125" s="318" t="str">
        <f aca="false">IF($A125="N/A"," ",IF(Pricetype1=2,MAX(I125,0),IF(OR(Pricetype1=1,Pricetype1=4),IF(I125=0,0,(EURO(I125,Strikeprice1,0,0,($AK125+IF(Smile=TRUE(),VLOOKUP(MAX(-5,Strikeprice1-I125),Volsmile,2),0)),($A125-DateToday)+15,IF(Pricetype1=1,1,0),0))),I125)))</f>
        <v> </v>
      </c>
      <c r="S125" s="318" t="str">
        <f aca="false">IF($A125="N/A"," ",IF(Pricetype1=2,MAX(J125,0),IF(OR(Pricetype1=1,Pricetype1=4),IF(J125=0,0,(EURO(J125,Strikeprice1,0,0,($AK125+IF(Smile=TRUE(),VLOOKUP(MAX(-5,Strikeprice1-J125),Volsmile,2),0)),($A125-DateToday)+15,IF(Pricetype1=1,1,0),0))),J125)))</f>
        <v> </v>
      </c>
      <c r="T125" s="318" t="str">
        <f aca="false">IF($A125="N/A"," ",IF(Pricetype1=2,MAX(K125,0),IF(OR(Pricetype1=1,Pricetype1=4),IF(K125=0,0,(EURO(K125,Strikeprice1,0,0,($AK125+IF(Smile=TRUE(),VLOOKUP(MAX(-5,Strikeprice1-K125),Volsmile,2),0)),($A125-DateToday)+15,IF(Pricetype1=1,1,0),0))),K125)))</f>
        <v> </v>
      </c>
      <c r="U125" s="319" t="str">
        <f aca="false">IF($A125="N/A"," ",Volume1*$AM125)</f>
        <v> </v>
      </c>
      <c r="V125" s="320" t="str">
        <f aca="false">IF($A125="N/A"," ",$U125*(8*($BQ125))*L125)</f>
        <v> </v>
      </c>
      <c r="W125" s="320" t="str">
        <f aca="false">IF($A125="N/A"," ",$U125*(8*($BQ125))*M125)</f>
        <v> </v>
      </c>
      <c r="X125" s="320" t="str">
        <f aca="false">IF($A125="N/A"," ",$U125*(8*($BQ125))*N125)</f>
        <v> </v>
      </c>
      <c r="Y125" s="320" t="str">
        <f aca="false">IF($A125="N/A"," ",$U125*(8*($BR125))*O125)</f>
        <v> </v>
      </c>
      <c r="Z125" s="320" t="str">
        <f aca="false">IF($A125="N/A"," ",$U125*(8*($BR125))*P125)</f>
        <v> </v>
      </c>
      <c r="AA125" s="320" t="str">
        <f aca="false">IF($A125="N/A"," ",$U125*(8*($BR125))*Q125)</f>
        <v> </v>
      </c>
      <c r="AB125" s="320" t="str">
        <f aca="false">IF($A125="N/A"," ",$U125*(8*($BS125))*R125)</f>
        <v> </v>
      </c>
      <c r="AC125" s="320" t="str">
        <f aca="false">IF($A125="N/A"," ",$U125*(8*($BS125))*S125)</f>
        <v> </v>
      </c>
      <c r="AD125" s="320" t="str">
        <f aca="false">IF($A125="N/A"," ",$U125*(8*($BS125))*T125)</f>
        <v> </v>
      </c>
      <c r="AE125" s="320" t="str">
        <f aca="false">IF($A125="N/A"," ",SUM(V125:AD125))</f>
        <v> </v>
      </c>
      <c r="AF125" s="321" t="str">
        <f aca="false">IF(A125="N/A"," ",(VLOOKUP(A125,PowerVolTable,(IF(VolBMO1=2,7,IF(VolBMO1=1,6,8))),FALSE())))</f>
        <v> </v>
      </c>
      <c r="AG125" s="321" t="str">
        <f aca="false">IF(A125="N/A"," ",(VLOOKUP(A125,IntraPowerVol,(IF(VolBMO1=2,3,IF(VolBMO1=1,2,4))),FALSE())*VLOOKUP(MONTH($A125),Volscale,2)))</f>
        <v> </v>
      </c>
      <c r="AH125" s="321" t="str">
        <f aca="false">IF($A125="N/A"," ",IF(VolType1=1,AG125,AF125))</f>
        <v> </v>
      </c>
      <c r="AI125" s="321" t="str">
        <f aca="false">IF($A125="N/A"," ",(VLOOKUP($A125,OffPwrVolTable,(IF(VolBMO1=2,7,IF(VolBMO1=1,6,8))),FALSE())))</f>
        <v> </v>
      </c>
      <c r="AJ125" s="321" t="str">
        <f aca="false">IF($A125="N/A"," ",(VLOOKUP($A125,OffPwrVolTable,(IF(VolBMO1=2,3,IF(VolBMO1=1,2,4))),FALSE())*VLOOKUP(MONTH($A125),Volscale,2)))</f>
        <v> </v>
      </c>
      <c r="AK125" s="321" t="str">
        <f aca="false">IF($A125="N/A"," ",IF(VolType1=1,AJ125,AI125))</f>
        <v> </v>
      </c>
      <c r="AL125" s="321" t="str">
        <f aca="false">IF($A125="N/A"," ",IF(PV=1,0,'Pricing Inputs1'!R158))</f>
        <v> </v>
      </c>
      <c r="AM125" s="323" t="str">
        <f aca="false">IF($A125="N/A"," ",(1+AL125/2)^(-2*((EOMONTH(A125,0)+20)-DateToday)/365.25))</f>
        <v> </v>
      </c>
      <c r="BQ125" s="0" t="str">
        <f aca="false">IF($A125="N/A"," ",(VLOOKUP($A125,NumberofDaysTable,2)))</f>
        <v> </v>
      </c>
      <c r="BR125" s="0" t="str">
        <f aca="false">IF($A125="N/A"," ",(VLOOKUP($A125,NumberofDaysTable,3)))</f>
        <v> </v>
      </c>
      <c r="BS125" s="0" t="str">
        <f aca="false">IF($A125="N/A"," ",(VLOOKUP($A125,NumberofDaysTable,4)))</f>
        <v> </v>
      </c>
    </row>
    <row r="126" customFormat="false" ht="12.75" hidden="false" customHeight="false" outlineLevel="0" collapsed="false">
      <c r="A126" s="315" t="str">
        <f aca="false">IF(A125="N/A","N/A",IF(EDATE(A125,1)&gt;Inputs!$M$5,"N/A",EDATE(A125,1)))</f>
        <v>N/A</v>
      </c>
      <c r="B126" s="316" t="str">
        <f aca="false">IF(A126="N/A"," ",YEAR(A126))</f>
        <v> </v>
      </c>
      <c r="C126" s="324" t="str">
        <f aca="false">IF($A126="N/A"," ",IF(Dayrun1=10,0,IF(Scaler1=1,(VLOOKUP(A126,ScaledPrice1,4)),(VLOOKUP(A126,ScaledPrice1,2)))))</f>
        <v> </v>
      </c>
      <c r="D126" s="317" t="str">
        <f aca="false">IF(A126="N/A"," ",IF(Dayrun1&gt;=7,0,IF(Scaler1=2,VLOOKUP(A126,ScaledPrice1,2),(VLOOKUP(A126,ScaledPrice1,2))*(2-(VLOOKUP(A126,ScaledPrice1,3))))))</f>
        <v> </v>
      </c>
      <c r="E126" s="317" t="str">
        <f aca="false">IF($A126="N/A"," ",IF(AND(Dayrun1&gt;=4,Dayrun1&lt;=9),0,VLOOKUP($A126,ScaledPrice1,9)))</f>
        <v> </v>
      </c>
      <c r="F126" s="317" t="str">
        <f aca="false">IF(A126="N/A"," ",IF(OR(Dayrun1=2,Dayrun1=3,Dayrun1=5,Dayrun1=6,Dayrun1=8,Dayrun1=9),VLOOKUP(A126,ScaledPrice1,IF(Scaler1=1,6,5)),0))</f>
        <v> </v>
      </c>
      <c r="G126" s="317" t="str">
        <f aca="false">IF(A126="N/A"," ",IF(OR(Dayrun1=2,Dayrun1=3,Dayrun1=5,Dayrun1=6),IF(Scaler1=2,F126,(VLOOKUP(A126,ScaledPrice1,5))*(2-(VLOOKUP(A126,ScaledPrice1,3)))),0))</f>
        <v> </v>
      </c>
      <c r="H126" s="317" t="str">
        <f aca="false">IF($A126="N/A"," ",IF(OR(Dayrun1=2,Dayrun1=3,Dayrun1=10),VLOOKUP($A126,ScaledPrice1,9),0))</f>
        <v> </v>
      </c>
      <c r="I126" s="317" t="str">
        <f aca="false">IF(A126="N/A"," ",IF(OR(Dayrun1=3,Dayrun1=6,Dayrun1=9),(VLOOKUP(A126,ScaledPrice1,IF(Scaler1=2,7,8))),0))</f>
        <v> </v>
      </c>
      <c r="J126" s="317" t="str">
        <f aca="false">IF(A126="N/A"," ",IF(OR(Dayrun1=3,Dayrun1=6),IF(Scaler1=2,I126,(VLOOKUP(A126,ScaledPrice1,7))*(2-(VLOOKUP(A126,ScaledPrice1,3)))),0))</f>
        <v> </v>
      </c>
      <c r="K126" s="317" t="str">
        <f aca="false">IF($A126="N/A"," ",IF(OR(Dayrun1=3,Dayrun1=10),VLOOKUP($A126,ScaledPrice1,9),0))</f>
        <v> </v>
      </c>
      <c r="L126" s="318" t="str">
        <f aca="false">IF($A126="N/A"," ",IF(Pricetype1=2,MAX(C126,0),IF(OR(Pricetype1=1,Pricetype1=4),IF(C126=0,0,(EURO(C126,Strikeprice1,0,0,($AH126+IF(Smile=TRUE(),VLOOKUP(MAX(-5,Strikeprice1-C126),Volsmile,2),0)),($A126-DateToday)+15,IF(Pricetype1=1,1,0),0))),C126)))</f>
        <v> </v>
      </c>
      <c r="M126" s="318" t="str">
        <f aca="false">IF($A126="N/A"," ",IF(Pricetype1=2,MAX(D126,0),IF(OR(Pricetype1=1,Pricetype1=4),IF(D126=0,0,(EURO(D126,Strikeprice1,0,0,($AH126+IF(Smile=TRUE(),VLOOKUP(MAX(-5,Strikeprice1-D126),Volsmile,2),0)),($A126-DateToday)+15,IF(Pricetype1=1,1,0),0))),D126)))</f>
        <v> </v>
      </c>
      <c r="N126" s="318" t="str">
        <f aca="false">IF($A126="N/A"," ",IF(Pricetype1=2,MAX(E126,0),IF(OR(Pricetype1=1,Pricetype1=4),IF(E126=0,0,(EURO(E126,Strikeprice1,0,0,($AK126+IF(Smile=TRUE(),VLOOKUP(MAX(-5,Strikeprice1-E126),Volsmile,2),0)),($A126-DateToday)+15,IF(Pricetype1=1,1,0),0))),E126)))</f>
        <v> </v>
      </c>
      <c r="O126" s="318" t="str">
        <f aca="false">IF($A126="N/A"," ",IF(Pricetype1=2,MAX(F126,0),IF(OR(Pricetype1=1,Pricetype1=4),IF(F126=0,0,(EURO(F126,Strikeprice1,0,0,($AK126+IF(Smile=TRUE(),VLOOKUP(MAX(-5,Strikeprice1-F126),Volsmile,2),0)),($A126-DateToday)+15,IF(Pricetype1=1,1,0),0))),F126)))</f>
        <v> </v>
      </c>
      <c r="P126" s="318" t="str">
        <f aca="false">IF($A126="N/A"," ",IF(Pricetype1=2,MAX(G126,0),IF(OR(Pricetype1=1,Pricetype1=4),IF(G126=0,0,(EURO(G126,Strikeprice1,0,0,($AK126+IF(Smile=TRUE(),VLOOKUP(MAX(-5,Strikeprice1-G126),Volsmile,2),0)),($A126-DateToday)+15,IF(Pricetype1=1,1,0),0))),G126)))</f>
        <v> </v>
      </c>
      <c r="Q126" s="318" t="str">
        <f aca="false">IF($A126="N/A"," ",IF(Pricetype1=2,MAX(H126,0),IF(OR(Pricetype1=1,Pricetype1=4),IF(H126=0,0,(EURO(H126,Strikeprice1,0,0,($AK126+IF(Smile=TRUE(),VLOOKUP(MAX(-5,Strikeprice1-H126),Volsmile,2),0)),($A126-DateToday)+15,IF(Pricetype1=1,1,0),0))),H126)))</f>
        <v> </v>
      </c>
      <c r="R126" s="318" t="str">
        <f aca="false">IF($A126="N/A"," ",IF(Pricetype1=2,MAX(I126,0),IF(OR(Pricetype1=1,Pricetype1=4),IF(I126=0,0,(EURO(I126,Strikeprice1,0,0,($AK126+IF(Smile=TRUE(),VLOOKUP(MAX(-5,Strikeprice1-I126),Volsmile,2),0)),($A126-DateToday)+15,IF(Pricetype1=1,1,0),0))),I126)))</f>
        <v> </v>
      </c>
      <c r="S126" s="318" t="str">
        <f aca="false">IF($A126="N/A"," ",IF(Pricetype1=2,MAX(J126,0),IF(OR(Pricetype1=1,Pricetype1=4),IF(J126=0,0,(EURO(J126,Strikeprice1,0,0,($AK126+IF(Smile=TRUE(),VLOOKUP(MAX(-5,Strikeprice1-J126),Volsmile,2),0)),($A126-DateToday)+15,IF(Pricetype1=1,1,0),0))),J126)))</f>
        <v> </v>
      </c>
      <c r="T126" s="318" t="str">
        <f aca="false">IF($A126="N/A"," ",IF(Pricetype1=2,MAX(K126,0),IF(OR(Pricetype1=1,Pricetype1=4),IF(K126=0,0,(EURO(K126,Strikeprice1,0,0,($AK126+IF(Smile=TRUE(),VLOOKUP(MAX(-5,Strikeprice1-K126),Volsmile,2),0)),($A126-DateToday)+15,IF(Pricetype1=1,1,0),0))),K126)))</f>
        <v> </v>
      </c>
      <c r="U126" s="319" t="str">
        <f aca="false">IF($A126="N/A"," ",Volume1*$AM126)</f>
        <v> </v>
      </c>
      <c r="V126" s="320" t="str">
        <f aca="false">IF($A126="N/A"," ",$U126*(8*($BQ126))*L126)</f>
        <v> </v>
      </c>
      <c r="W126" s="320" t="str">
        <f aca="false">IF($A126="N/A"," ",$U126*(8*($BQ126))*M126)</f>
        <v> </v>
      </c>
      <c r="X126" s="320" t="str">
        <f aca="false">IF($A126="N/A"," ",$U126*(8*($BQ126))*N126)</f>
        <v> </v>
      </c>
      <c r="Y126" s="320" t="str">
        <f aca="false">IF($A126="N/A"," ",$U126*(8*($BR126))*O126)</f>
        <v> </v>
      </c>
      <c r="Z126" s="320" t="str">
        <f aca="false">IF($A126="N/A"," ",$U126*(8*($BR126))*P126)</f>
        <v> </v>
      </c>
      <c r="AA126" s="320" t="str">
        <f aca="false">IF($A126="N/A"," ",$U126*(8*($BR126))*Q126)</f>
        <v> </v>
      </c>
      <c r="AB126" s="320" t="str">
        <f aca="false">IF($A126="N/A"," ",$U126*(8*($BS126))*R126)</f>
        <v> </v>
      </c>
      <c r="AC126" s="320" t="str">
        <f aca="false">IF($A126="N/A"," ",$U126*(8*($BS126))*S126)</f>
        <v> </v>
      </c>
      <c r="AD126" s="320" t="str">
        <f aca="false">IF($A126="N/A"," ",$U126*(8*($BS126))*T126)</f>
        <v> </v>
      </c>
      <c r="AE126" s="320" t="str">
        <f aca="false">IF($A126="N/A"," ",SUM(V126:AD126))</f>
        <v> </v>
      </c>
      <c r="AF126" s="321" t="str">
        <f aca="false">IF(A126="N/A"," ",(VLOOKUP(A126,PowerVolTable,(IF(VolBMO1=2,7,IF(VolBMO1=1,6,8))),FALSE())))</f>
        <v> </v>
      </c>
      <c r="AG126" s="321" t="str">
        <f aca="false">IF(A126="N/A"," ",(VLOOKUP(A126,IntraPowerVol,(IF(VolBMO1=2,3,IF(VolBMO1=1,2,4))),FALSE())*VLOOKUP(MONTH($A126),Volscale,2)))</f>
        <v> </v>
      </c>
      <c r="AH126" s="321" t="str">
        <f aca="false">IF($A126="N/A"," ",IF(VolType1=1,AG126,AF126))</f>
        <v> </v>
      </c>
      <c r="AI126" s="321" t="str">
        <f aca="false">IF($A126="N/A"," ",(VLOOKUP($A126,OffPwrVolTable,(IF(VolBMO1=2,7,IF(VolBMO1=1,6,8))),FALSE())))</f>
        <v> </v>
      </c>
      <c r="AJ126" s="321" t="str">
        <f aca="false">IF($A126="N/A"," ",(VLOOKUP($A126,OffPwrVolTable,(IF(VolBMO1=2,3,IF(VolBMO1=1,2,4))),FALSE())*VLOOKUP(MONTH($A126),Volscale,2)))</f>
        <v> </v>
      </c>
      <c r="AK126" s="321" t="str">
        <f aca="false">IF($A126="N/A"," ",IF(VolType1=1,AJ126,AI126))</f>
        <v> </v>
      </c>
      <c r="AL126" s="321" t="str">
        <f aca="false">IF($A126="N/A"," ",IF(PV=1,0,'Pricing Inputs1'!R159))</f>
        <v> </v>
      </c>
      <c r="AM126" s="323" t="str">
        <f aca="false">IF($A126="N/A"," ",(1+AL126/2)^(-2*((EOMONTH(A126,0)+20)-DateToday)/365.25))</f>
        <v> </v>
      </c>
      <c r="BQ126" s="0" t="str">
        <f aca="false">IF($A126="N/A"," ",(VLOOKUP($A126,NumberofDaysTable,2)))</f>
        <v> </v>
      </c>
      <c r="BR126" s="0" t="str">
        <f aca="false">IF($A126="N/A"," ",(VLOOKUP($A126,NumberofDaysTable,3)))</f>
        <v> </v>
      </c>
      <c r="BS126" s="0" t="str">
        <f aca="false">IF($A126="N/A"," ",(VLOOKUP($A126,NumberofDaysTable,4)))</f>
        <v> </v>
      </c>
    </row>
    <row r="127" customFormat="false" ht="12.75" hidden="false" customHeight="false" outlineLevel="0" collapsed="false">
      <c r="A127" s="315" t="str">
        <f aca="false">IF(A126="N/A","N/A",IF(EDATE(A126,1)&gt;Inputs!$M$5,"N/A",EDATE(A126,1)))</f>
        <v>N/A</v>
      </c>
      <c r="B127" s="316" t="str">
        <f aca="false">IF(A127="N/A"," ",YEAR(A127))</f>
        <v> </v>
      </c>
      <c r="C127" s="324" t="str">
        <f aca="false">IF($A127="N/A"," ",IF(Dayrun1=10,0,IF(Scaler1=1,(VLOOKUP(A127,ScaledPrice1,4)),(VLOOKUP(A127,ScaledPrice1,2)))))</f>
        <v> </v>
      </c>
      <c r="D127" s="317" t="str">
        <f aca="false">IF(A127="N/A"," ",IF(Dayrun1&gt;=7,0,IF(Scaler1=2,VLOOKUP(A127,ScaledPrice1,2),(VLOOKUP(A127,ScaledPrice1,2))*(2-(VLOOKUP(A127,ScaledPrice1,3))))))</f>
        <v> </v>
      </c>
      <c r="E127" s="317" t="str">
        <f aca="false">IF($A127="N/A"," ",IF(AND(Dayrun1&gt;=4,Dayrun1&lt;=9),0,VLOOKUP($A127,ScaledPrice1,9)))</f>
        <v> </v>
      </c>
      <c r="F127" s="317" t="str">
        <f aca="false">IF(A127="N/A"," ",IF(OR(Dayrun1=2,Dayrun1=3,Dayrun1=5,Dayrun1=6,Dayrun1=8,Dayrun1=9),VLOOKUP(A127,ScaledPrice1,IF(Scaler1=1,6,5)),0))</f>
        <v> </v>
      </c>
      <c r="G127" s="317" t="str">
        <f aca="false">IF(A127="N/A"," ",IF(OR(Dayrun1=2,Dayrun1=3,Dayrun1=5,Dayrun1=6),IF(Scaler1=2,F127,(VLOOKUP(A127,ScaledPrice1,5))*(2-(VLOOKUP(A127,ScaledPrice1,3)))),0))</f>
        <v> </v>
      </c>
      <c r="H127" s="317" t="str">
        <f aca="false">IF($A127="N/A"," ",IF(OR(Dayrun1=2,Dayrun1=3,Dayrun1=10),VLOOKUP($A127,ScaledPrice1,9),0))</f>
        <v> </v>
      </c>
      <c r="I127" s="317" t="str">
        <f aca="false">IF(A127="N/A"," ",IF(OR(Dayrun1=3,Dayrun1=6,Dayrun1=9),(VLOOKUP(A127,ScaledPrice1,IF(Scaler1=2,7,8))),0))</f>
        <v> </v>
      </c>
      <c r="J127" s="317" t="str">
        <f aca="false">IF(A127="N/A"," ",IF(OR(Dayrun1=3,Dayrun1=6),IF(Scaler1=2,I127,(VLOOKUP(A127,ScaledPrice1,7))*(2-(VLOOKUP(A127,ScaledPrice1,3)))),0))</f>
        <v> </v>
      </c>
      <c r="K127" s="317" t="str">
        <f aca="false">IF($A127="N/A"," ",IF(OR(Dayrun1=3,Dayrun1=10),VLOOKUP($A127,ScaledPrice1,9),0))</f>
        <v> </v>
      </c>
      <c r="L127" s="318" t="str">
        <f aca="false">IF($A127="N/A"," ",IF(Pricetype1=2,MAX(C127,0),IF(OR(Pricetype1=1,Pricetype1=4),IF(C127=0,0,(EURO(C127,Strikeprice1,0,0,($AH127+IF(Smile=TRUE(),VLOOKUP(MAX(-5,Strikeprice1-C127),Volsmile,2),0)),($A127-DateToday)+15,IF(Pricetype1=1,1,0),0))),C127)))</f>
        <v> </v>
      </c>
      <c r="M127" s="318" t="str">
        <f aca="false">IF($A127="N/A"," ",IF(Pricetype1=2,MAX(D127,0),IF(OR(Pricetype1=1,Pricetype1=4),IF(D127=0,0,(EURO(D127,Strikeprice1,0,0,($AH127+IF(Smile=TRUE(),VLOOKUP(MAX(-5,Strikeprice1-D127),Volsmile,2),0)),($A127-DateToday)+15,IF(Pricetype1=1,1,0),0))),D127)))</f>
        <v> </v>
      </c>
      <c r="N127" s="318" t="str">
        <f aca="false">IF($A127="N/A"," ",IF(Pricetype1=2,MAX(E127,0),IF(OR(Pricetype1=1,Pricetype1=4),IF(E127=0,0,(EURO(E127,Strikeprice1,0,0,($AK127+IF(Smile=TRUE(),VLOOKUP(MAX(-5,Strikeprice1-E127),Volsmile,2),0)),($A127-DateToday)+15,IF(Pricetype1=1,1,0),0))),E127)))</f>
        <v> </v>
      </c>
      <c r="O127" s="318" t="str">
        <f aca="false">IF($A127="N/A"," ",IF(Pricetype1=2,MAX(F127,0),IF(OR(Pricetype1=1,Pricetype1=4),IF(F127=0,0,(EURO(F127,Strikeprice1,0,0,($AK127+IF(Smile=TRUE(),VLOOKUP(MAX(-5,Strikeprice1-F127),Volsmile,2),0)),($A127-DateToday)+15,IF(Pricetype1=1,1,0),0))),F127)))</f>
        <v> </v>
      </c>
      <c r="P127" s="318" t="str">
        <f aca="false">IF($A127="N/A"," ",IF(Pricetype1=2,MAX(G127,0),IF(OR(Pricetype1=1,Pricetype1=4),IF(G127=0,0,(EURO(G127,Strikeprice1,0,0,($AK127+IF(Smile=TRUE(),VLOOKUP(MAX(-5,Strikeprice1-G127),Volsmile,2),0)),($A127-DateToday)+15,IF(Pricetype1=1,1,0),0))),G127)))</f>
        <v> </v>
      </c>
      <c r="Q127" s="318" t="str">
        <f aca="false">IF($A127="N/A"," ",IF(Pricetype1=2,MAX(H127,0),IF(OR(Pricetype1=1,Pricetype1=4),IF(H127=0,0,(EURO(H127,Strikeprice1,0,0,($AK127+IF(Smile=TRUE(),VLOOKUP(MAX(-5,Strikeprice1-H127),Volsmile,2),0)),($A127-DateToday)+15,IF(Pricetype1=1,1,0),0))),H127)))</f>
        <v> </v>
      </c>
      <c r="R127" s="318" t="str">
        <f aca="false">IF($A127="N/A"," ",IF(Pricetype1=2,MAX(I127,0),IF(OR(Pricetype1=1,Pricetype1=4),IF(I127=0,0,(EURO(I127,Strikeprice1,0,0,($AK127+IF(Smile=TRUE(),VLOOKUP(MAX(-5,Strikeprice1-I127),Volsmile,2),0)),($A127-DateToday)+15,IF(Pricetype1=1,1,0),0))),I127)))</f>
        <v> </v>
      </c>
      <c r="S127" s="318" t="str">
        <f aca="false">IF($A127="N/A"," ",IF(Pricetype1=2,MAX(J127,0),IF(OR(Pricetype1=1,Pricetype1=4),IF(J127=0,0,(EURO(J127,Strikeprice1,0,0,($AK127+IF(Smile=TRUE(),VLOOKUP(MAX(-5,Strikeprice1-J127),Volsmile,2),0)),($A127-DateToday)+15,IF(Pricetype1=1,1,0),0))),J127)))</f>
        <v> </v>
      </c>
      <c r="T127" s="318" t="str">
        <f aca="false">IF($A127="N/A"," ",IF(Pricetype1=2,MAX(K127,0),IF(OR(Pricetype1=1,Pricetype1=4),IF(K127=0,0,(EURO(K127,Strikeprice1,0,0,($AK127+IF(Smile=TRUE(),VLOOKUP(MAX(-5,Strikeprice1-K127),Volsmile,2),0)),($A127-DateToday)+15,IF(Pricetype1=1,1,0),0))),K127)))</f>
        <v> </v>
      </c>
      <c r="U127" s="319" t="str">
        <f aca="false">IF($A127="N/A"," ",Volume1*$AM127)</f>
        <v> </v>
      </c>
      <c r="V127" s="320" t="str">
        <f aca="false">IF($A127="N/A"," ",$U127*(8*($BQ127))*L127)</f>
        <v> </v>
      </c>
      <c r="W127" s="320" t="str">
        <f aca="false">IF($A127="N/A"," ",$U127*(8*($BQ127))*M127)</f>
        <v> </v>
      </c>
      <c r="X127" s="320" t="str">
        <f aca="false">IF($A127="N/A"," ",$U127*(8*($BQ127))*N127)</f>
        <v> </v>
      </c>
      <c r="Y127" s="320" t="str">
        <f aca="false">IF($A127="N/A"," ",$U127*(8*($BR127))*O127)</f>
        <v> </v>
      </c>
      <c r="Z127" s="320" t="str">
        <f aca="false">IF($A127="N/A"," ",$U127*(8*($BR127))*P127)</f>
        <v> </v>
      </c>
      <c r="AA127" s="320" t="str">
        <f aca="false">IF($A127="N/A"," ",$U127*(8*($BR127))*Q127)</f>
        <v> </v>
      </c>
      <c r="AB127" s="320" t="str">
        <f aca="false">IF($A127="N/A"," ",$U127*(8*($BS127))*R127)</f>
        <v> </v>
      </c>
      <c r="AC127" s="320" t="str">
        <f aca="false">IF($A127="N/A"," ",$U127*(8*($BS127))*S127)</f>
        <v> </v>
      </c>
      <c r="AD127" s="320" t="str">
        <f aca="false">IF($A127="N/A"," ",$U127*(8*($BS127))*T127)</f>
        <v> </v>
      </c>
      <c r="AE127" s="320" t="str">
        <f aca="false">IF($A127="N/A"," ",SUM(V127:AD127))</f>
        <v> </v>
      </c>
      <c r="AF127" s="321" t="str">
        <f aca="false">IF(A127="N/A"," ",(VLOOKUP(A127,PowerVolTable,(IF(VolBMO1=2,7,IF(VolBMO1=1,6,8))),FALSE())))</f>
        <v> </v>
      </c>
      <c r="AG127" s="321" t="str">
        <f aca="false">IF(A127="N/A"," ",(VLOOKUP(A127,IntraPowerVol,(IF(VolBMO1=2,3,IF(VolBMO1=1,2,4))),FALSE())*VLOOKUP(MONTH($A127),Volscale,2)))</f>
        <v> </v>
      </c>
      <c r="AH127" s="321" t="str">
        <f aca="false">IF($A127="N/A"," ",IF(VolType1=1,AG127,AF127))</f>
        <v> </v>
      </c>
      <c r="AI127" s="321" t="str">
        <f aca="false">IF($A127="N/A"," ",(VLOOKUP($A127,OffPwrVolTable,(IF(VolBMO1=2,7,IF(VolBMO1=1,6,8))),FALSE())))</f>
        <v> </v>
      </c>
      <c r="AJ127" s="321" t="str">
        <f aca="false">IF($A127="N/A"," ",(VLOOKUP($A127,OffPwrVolTable,(IF(VolBMO1=2,3,IF(VolBMO1=1,2,4))),FALSE())*VLOOKUP(MONTH($A127),Volscale,2)))</f>
        <v> </v>
      </c>
      <c r="AK127" s="321" t="str">
        <f aca="false">IF($A127="N/A"," ",IF(VolType1=1,AJ127,AI127))</f>
        <v> </v>
      </c>
      <c r="AL127" s="321" t="str">
        <f aca="false">IF($A127="N/A"," ",IF(PV=1,0,'Pricing Inputs1'!R160))</f>
        <v> </v>
      </c>
      <c r="AM127" s="323" t="str">
        <f aca="false">IF($A127="N/A"," ",(1+AL127/2)^(-2*((EOMONTH(A127,0)+20)-DateToday)/365.25))</f>
        <v> </v>
      </c>
      <c r="BQ127" s="0" t="str">
        <f aca="false">IF($A127="N/A"," ",(VLOOKUP($A127,NumberofDaysTable,2)))</f>
        <v> </v>
      </c>
      <c r="BR127" s="0" t="str">
        <f aca="false">IF($A127="N/A"," ",(VLOOKUP($A127,NumberofDaysTable,3)))</f>
        <v> </v>
      </c>
      <c r="BS127" s="0" t="str">
        <f aca="false">IF($A127="N/A"," ",(VLOOKUP($A127,NumberofDaysTable,4)))</f>
        <v> </v>
      </c>
    </row>
    <row r="128" customFormat="false" ht="12.75" hidden="false" customHeight="false" outlineLevel="0" collapsed="false">
      <c r="A128" s="315" t="str">
        <f aca="false">IF(A127="N/A","N/A",IF(EDATE(A127,1)&gt;Inputs!$M$5,"N/A",EDATE(A127,1)))</f>
        <v>N/A</v>
      </c>
      <c r="B128" s="316" t="str">
        <f aca="false">IF(A128="N/A"," ",YEAR(A128))</f>
        <v> </v>
      </c>
      <c r="C128" s="324" t="str">
        <f aca="false">IF($A128="N/A"," ",IF(Dayrun1=10,0,IF(Scaler1=1,(VLOOKUP(A128,ScaledPrice1,4)),(VLOOKUP(A128,ScaledPrice1,2)))))</f>
        <v> </v>
      </c>
      <c r="D128" s="317" t="str">
        <f aca="false">IF(A128="N/A"," ",IF(Dayrun1&gt;=7,0,IF(Scaler1=2,VLOOKUP(A128,ScaledPrice1,2),(VLOOKUP(A128,ScaledPrice1,2))*(2-(VLOOKUP(A128,ScaledPrice1,3))))))</f>
        <v> </v>
      </c>
      <c r="E128" s="317" t="str">
        <f aca="false">IF($A128="N/A"," ",IF(AND(Dayrun1&gt;=4,Dayrun1&lt;=9),0,VLOOKUP($A128,ScaledPrice1,9)))</f>
        <v> </v>
      </c>
      <c r="F128" s="317" t="str">
        <f aca="false">IF(A128="N/A"," ",IF(OR(Dayrun1=2,Dayrun1=3,Dayrun1=5,Dayrun1=6,Dayrun1=8,Dayrun1=9),VLOOKUP(A128,ScaledPrice1,IF(Scaler1=1,6,5)),0))</f>
        <v> </v>
      </c>
      <c r="G128" s="317" t="str">
        <f aca="false">IF(A128="N/A"," ",IF(OR(Dayrun1=2,Dayrun1=3,Dayrun1=5,Dayrun1=6),IF(Scaler1=2,F128,(VLOOKUP(A128,ScaledPrice1,5))*(2-(VLOOKUP(A128,ScaledPrice1,3)))),0))</f>
        <v> </v>
      </c>
      <c r="H128" s="317" t="str">
        <f aca="false">IF($A128="N/A"," ",IF(OR(Dayrun1=2,Dayrun1=3,Dayrun1=10),VLOOKUP($A128,ScaledPrice1,9),0))</f>
        <v> </v>
      </c>
      <c r="I128" s="317" t="str">
        <f aca="false">IF(A128="N/A"," ",IF(OR(Dayrun1=3,Dayrun1=6,Dayrun1=9),(VLOOKUP(A128,ScaledPrice1,IF(Scaler1=2,7,8))),0))</f>
        <v> </v>
      </c>
      <c r="J128" s="317" t="str">
        <f aca="false">IF(A128="N/A"," ",IF(OR(Dayrun1=3,Dayrun1=6),IF(Scaler1=2,I128,(VLOOKUP(A128,ScaledPrice1,7))*(2-(VLOOKUP(A128,ScaledPrice1,3)))),0))</f>
        <v> </v>
      </c>
      <c r="K128" s="317" t="str">
        <f aca="false">IF($A128="N/A"," ",IF(OR(Dayrun1=3,Dayrun1=10),VLOOKUP($A128,ScaledPrice1,9),0))</f>
        <v> </v>
      </c>
      <c r="L128" s="318" t="str">
        <f aca="false">IF($A128="N/A"," ",IF(Pricetype1=2,MAX(C128,0),IF(OR(Pricetype1=1,Pricetype1=4),IF(C128=0,0,(EURO(C128,Strikeprice1,0,0,($AH128+IF(Smile=TRUE(),VLOOKUP(MAX(-5,Strikeprice1-C128),Volsmile,2),0)),($A128-DateToday)+15,IF(Pricetype1=1,1,0),0))),C128)))</f>
        <v> </v>
      </c>
      <c r="M128" s="318" t="str">
        <f aca="false">IF($A128="N/A"," ",IF(Pricetype1=2,MAX(D128,0),IF(OR(Pricetype1=1,Pricetype1=4),IF(D128=0,0,(EURO(D128,Strikeprice1,0,0,($AH128+IF(Smile=TRUE(),VLOOKUP(MAX(-5,Strikeprice1-D128),Volsmile,2),0)),($A128-DateToday)+15,IF(Pricetype1=1,1,0),0))),D128)))</f>
        <v> </v>
      </c>
      <c r="N128" s="318" t="str">
        <f aca="false">IF($A128="N/A"," ",IF(Pricetype1=2,MAX(E128,0),IF(OR(Pricetype1=1,Pricetype1=4),IF(E128=0,0,(EURO(E128,Strikeprice1,0,0,($AK128+IF(Smile=TRUE(),VLOOKUP(MAX(-5,Strikeprice1-E128),Volsmile,2),0)),($A128-DateToday)+15,IF(Pricetype1=1,1,0),0))),E128)))</f>
        <v> </v>
      </c>
      <c r="O128" s="318" t="str">
        <f aca="false">IF($A128="N/A"," ",IF(Pricetype1=2,MAX(F128,0),IF(OR(Pricetype1=1,Pricetype1=4),IF(F128=0,0,(EURO(F128,Strikeprice1,0,0,($AK128+IF(Smile=TRUE(),VLOOKUP(MAX(-5,Strikeprice1-F128),Volsmile,2),0)),($A128-DateToday)+15,IF(Pricetype1=1,1,0),0))),F128)))</f>
        <v> </v>
      </c>
      <c r="P128" s="318" t="str">
        <f aca="false">IF($A128="N/A"," ",IF(Pricetype1=2,MAX(G128,0),IF(OR(Pricetype1=1,Pricetype1=4),IF(G128=0,0,(EURO(G128,Strikeprice1,0,0,($AK128+IF(Smile=TRUE(),VLOOKUP(MAX(-5,Strikeprice1-G128),Volsmile,2),0)),($A128-DateToday)+15,IF(Pricetype1=1,1,0),0))),G128)))</f>
        <v> </v>
      </c>
      <c r="Q128" s="318" t="str">
        <f aca="false">IF($A128="N/A"," ",IF(Pricetype1=2,MAX(H128,0),IF(OR(Pricetype1=1,Pricetype1=4),IF(H128=0,0,(EURO(H128,Strikeprice1,0,0,($AK128+IF(Smile=TRUE(),VLOOKUP(MAX(-5,Strikeprice1-H128),Volsmile,2),0)),($A128-DateToday)+15,IF(Pricetype1=1,1,0),0))),H128)))</f>
        <v> </v>
      </c>
      <c r="R128" s="318" t="str">
        <f aca="false">IF($A128="N/A"," ",IF(Pricetype1=2,MAX(I128,0),IF(OR(Pricetype1=1,Pricetype1=4),IF(I128=0,0,(EURO(I128,Strikeprice1,0,0,($AK128+IF(Smile=TRUE(),VLOOKUP(MAX(-5,Strikeprice1-I128),Volsmile,2),0)),($A128-DateToday)+15,IF(Pricetype1=1,1,0),0))),I128)))</f>
        <v> </v>
      </c>
      <c r="S128" s="318" t="str">
        <f aca="false">IF($A128="N/A"," ",IF(Pricetype1=2,MAX(J128,0),IF(OR(Pricetype1=1,Pricetype1=4),IF(J128=0,0,(EURO(J128,Strikeprice1,0,0,($AK128+IF(Smile=TRUE(),VLOOKUP(MAX(-5,Strikeprice1-J128),Volsmile,2),0)),($A128-DateToday)+15,IF(Pricetype1=1,1,0),0))),J128)))</f>
        <v> </v>
      </c>
      <c r="T128" s="318" t="str">
        <f aca="false">IF($A128="N/A"," ",IF(Pricetype1=2,MAX(K128,0),IF(OR(Pricetype1=1,Pricetype1=4),IF(K128=0,0,(EURO(K128,Strikeprice1,0,0,($AK128+IF(Smile=TRUE(),VLOOKUP(MAX(-5,Strikeprice1-K128),Volsmile,2),0)),($A128-DateToday)+15,IF(Pricetype1=1,1,0),0))),K128)))</f>
        <v> </v>
      </c>
      <c r="U128" s="319" t="str">
        <f aca="false">IF($A128="N/A"," ",Volume1*$AM128)</f>
        <v> </v>
      </c>
      <c r="V128" s="320" t="str">
        <f aca="false">IF($A128="N/A"," ",$U128*(8*($BQ128))*L128)</f>
        <v> </v>
      </c>
      <c r="W128" s="320" t="str">
        <f aca="false">IF($A128="N/A"," ",$U128*(8*($BQ128))*M128)</f>
        <v> </v>
      </c>
      <c r="X128" s="320" t="str">
        <f aca="false">IF($A128="N/A"," ",$U128*(8*($BQ128))*N128)</f>
        <v> </v>
      </c>
      <c r="Y128" s="320" t="str">
        <f aca="false">IF($A128="N/A"," ",$U128*(8*($BR128))*O128)</f>
        <v> </v>
      </c>
      <c r="Z128" s="320" t="str">
        <f aca="false">IF($A128="N/A"," ",$U128*(8*($BR128))*P128)</f>
        <v> </v>
      </c>
      <c r="AA128" s="320" t="str">
        <f aca="false">IF($A128="N/A"," ",$U128*(8*($BR128))*Q128)</f>
        <v> </v>
      </c>
      <c r="AB128" s="320" t="str">
        <f aca="false">IF($A128="N/A"," ",$U128*(8*($BS128))*R128)</f>
        <v> </v>
      </c>
      <c r="AC128" s="320" t="str">
        <f aca="false">IF($A128="N/A"," ",$U128*(8*($BS128))*S128)</f>
        <v> </v>
      </c>
      <c r="AD128" s="320" t="str">
        <f aca="false">IF($A128="N/A"," ",$U128*(8*($BS128))*T128)</f>
        <v> </v>
      </c>
      <c r="AE128" s="320" t="str">
        <f aca="false">IF($A128="N/A"," ",SUM(V128:AD128))</f>
        <v> </v>
      </c>
      <c r="AF128" s="321" t="str">
        <f aca="false">IF(A128="N/A"," ",(VLOOKUP(A128,PowerVolTable,(IF(VolBMO1=2,7,IF(VolBMO1=1,6,8))),FALSE())))</f>
        <v> </v>
      </c>
      <c r="AG128" s="321" t="str">
        <f aca="false">IF(A128="N/A"," ",(VLOOKUP(A128,IntraPowerVol,(IF(VolBMO1=2,3,IF(VolBMO1=1,2,4))),FALSE())*VLOOKUP(MONTH($A128),Volscale,2)))</f>
        <v> </v>
      </c>
      <c r="AH128" s="321" t="str">
        <f aca="false">IF($A128="N/A"," ",IF(VolType1=1,AG128,AF128))</f>
        <v> </v>
      </c>
      <c r="AI128" s="321" t="str">
        <f aca="false">IF($A128="N/A"," ",(VLOOKUP($A128,OffPwrVolTable,(IF(VolBMO1=2,7,IF(VolBMO1=1,6,8))),FALSE())))</f>
        <v> </v>
      </c>
      <c r="AJ128" s="321" t="str">
        <f aca="false">IF($A128="N/A"," ",(VLOOKUP($A128,OffPwrVolTable,(IF(VolBMO1=2,3,IF(VolBMO1=1,2,4))),FALSE())*VLOOKUP(MONTH($A128),Volscale,2)))</f>
        <v> </v>
      </c>
      <c r="AK128" s="321" t="str">
        <f aca="false">IF($A128="N/A"," ",IF(VolType1=1,AJ128,AI128))</f>
        <v> </v>
      </c>
      <c r="AL128" s="321" t="str">
        <f aca="false">IF($A128="N/A"," ",IF(PV=1,0,'Pricing Inputs1'!R161))</f>
        <v> </v>
      </c>
      <c r="AM128" s="323" t="str">
        <f aca="false">IF($A128="N/A"," ",(1+AL128/2)^(-2*((EOMONTH(A128,0)+20)-DateToday)/365.25))</f>
        <v> </v>
      </c>
      <c r="BQ128" s="0" t="str">
        <f aca="false">IF($A128="N/A"," ",(VLOOKUP($A128,NumberofDaysTable,2)))</f>
        <v> </v>
      </c>
      <c r="BR128" s="0" t="str">
        <f aca="false">IF($A128="N/A"," ",(VLOOKUP($A128,NumberofDaysTable,3)))</f>
        <v> </v>
      </c>
      <c r="BS128" s="0" t="str">
        <f aca="false">IF($A128="N/A"," ",(VLOOKUP($A128,NumberofDaysTable,4)))</f>
        <v> </v>
      </c>
    </row>
    <row r="129" customFormat="false" ht="12.75" hidden="false" customHeight="false" outlineLevel="0" collapsed="false">
      <c r="A129" s="315" t="str">
        <f aca="false">IF(A128="N/A","N/A",IF(EDATE(A128,1)&gt;Inputs!$M$5,"N/A",EDATE(A128,1)))</f>
        <v>N/A</v>
      </c>
      <c r="B129" s="316" t="str">
        <f aca="false">IF(A129="N/A"," ",YEAR(A129))</f>
        <v> </v>
      </c>
      <c r="C129" s="324" t="str">
        <f aca="false">IF($A129="N/A"," ",IF(Dayrun1=10,0,IF(Scaler1=1,(VLOOKUP(A129,ScaledPrice1,4)),(VLOOKUP(A129,ScaledPrice1,2)))))</f>
        <v> </v>
      </c>
      <c r="D129" s="317" t="str">
        <f aca="false">IF(A129="N/A"," ",IF(Dayrun1&gt;=7,0,IF(Scaler1=2,VLOOKUP(A129,ScaledPrice1,2),(VLOOKUP(A129,ScaledPrice1,2))*(2-(VLOOKUP(A129,ScaledPrice1,3))))))</f>
        <v> </v>
      </c>
      <c r="E129" s="317" t="str">
        <f aca="false">IF($A129="N/A"," ",IF(AND(Dayrun1&gt;=4,Dayrun1&lt;=9),0,VLOOKUP($A129,ScaledPrice1,9)))</f>
        <v> </v>
      </c>
      <c r="F129" s="317" t="str">
        <f aca="false">IF(A129="N/A"," ",IF(OR(Dayrun1=2,Dayrun1=3,Dayrun1=5,Dayrun1=6,Dayrun1=8,Dayrun1=9),VLOOKUP(A129,ScaledPrice1,IF(Scaler1=1,6,5)),0))</f>
        <v> </v>
      </c>
      <c r="G129" s="317" t="str">
        <f aca="false">IF(A129="N/A"," ",IF(OR(Dayrun1=2,Dayrun1=3,Dayrun1=5,Dayrun1=6),IF(Scaler1=2,F129,(VLOOKUP(A129,ScaledPrice1,5))*(2-(VLOOKUP(A129,ScaledPrice1,3)))),0))</f>
        <v> </v>
      </c>
      <c r="H129" s="317" t="str">
        <f aca="false">IF($A129="N/A"," ",IF(OR(Dayrun1=2,Dayrun1=3,Dayrun1=10),VLOOKUP($A129,ScaledPrice1,9),0))</f>
        <v> </v>
      </c>
      <c r="I129" s="317" t="str">
        <f aca="false">IF(A129="N/A"," ",IF(OR(Dayrun1=3,Dayrun1=6,Dayrun1=9),(VLOOKUP(A129,ScaledPrice1,IF(Scaler1=2,7,8))),0))</f>
        <v> </v>
      </c>
      <c r="J129" s="317" t="str">
        <f aca="false">IF(A129="N/A"," ",IF(OR(Dayrun1=3,Dayrun1=6),IF(Scaler1=2,I129,(VLOOKUP(A129,ScaledPrice1,7))*(2-(VLOOKUP(A129,ScaledPrice1,3)))),0))</f>
        <v> </v>
      </c>
      <c r="K129" s="317" t="str">
        <f aca="false">IF($A129="N/A"," ",IF(OR(Dayrun1=3,Dayrun1=10),VLOOKUP($A129,ScaledPrice1,9),0))</f>
        <v> </v>
      </c>
      <c r="L129" s="318" t="str">
        <f aca="false">IF($A129="N/A"," ",IF(Pricetype1=2,MAX(C129,0),IF(OR(Pricetype1=1,Pricetype1=4),IF(C129=0,0,(EURO(C129,Strikeprice1,0,0,($AH129+IF(Smile=TRUE(),VLOOKUP(MAX(-5,Strikeprice1-C129),Volsmile,2),0)),($A129-DateToday)+15,IF(Pricetype1=1,1,0),0))),C129)))</f>
        <v> </v>
      </c>
      <c r="M129" s="318" t="str">
        <f aca="false">IF($A129="N/A"," ",IF(Pricetype1=2,MAX(D129,0),IF(OR(Pricetype1=1,Pricetype1=4),IF(D129=0,0,(EURO(D129,Strikeprice1,0,0,($AH129+IF(Smile=TRUE(),VLOOKUP(MAX(-5,Strikeprice1-D129),Volsmile,2),0)),($A129-DateToday)+15,IF(Pricetype1=1,1,0),0))),D129)))</f>
        <v> </v>
      </c>
      <c r="N129" s="318" t="str">
        <f aca="false">IF($A129="N/A"," ",IF(Pricetype1=2,MAX(E129,0),IF(OR(Pricetype1=1,Pricetype1=4),IF(E129=0,0,(EURO(E129,Strikeprice1,0,0,($AK129+IF(Smile=TRUE(),VLOOKUP(MAX(-5,Strikeprice1-E129),Volsmile,2),0)),($A129-DateToday)+15,IF(Pricetype1=1,1,0),0))),E129)))</f>
        <v> </v>
      </c>
      <c r="O129" s="318" t="str">
        <f aca="false">IF($A129="N/A"," ",IF(Pricetype1=2,MAX(F129,0),IF(OR(Pricetype1=1,Pricetype1=4),IF(F129=0,0,(EURO(F129,Strikeprice1,0,0,($AK129+IF(Smile=TRUE(),VLOOKUP(MAX(-5,Strikeprice1-F129),Volsmile,2),0)),($A129-DateToday)+15,IF(Pricetype1=1,1,0),0))),F129)))</f>
        <v> </v>
      </c>
      <c r="P129" s="318" t="str">
        <f aca="false">IF($A129="N/A"," ",IF(Pricetype1=2,MAX(G129,0),IF(OR(Pricetype1=1,Pricetype1=4),IF(G129=0,0,(EURO(G129,Strikeprice1,0,0,($AK129+IF(Smile=TRUE(),VLOOKUP(MAX(-5,Strikeprice1-G129),Volsmile,2),0)),($A129-DateToday)+15,IF(Pricetype1=1,1,0),0))),G129)))</f>
        <v> </v>
      </c>
      <c r="Q129" s="318" t="str">
        <f aca="false">IF($A129="N/A"," ",IF(Pricetype1=2,MAX(H129,0),IF(OR(Pricetype1=1,Pricetype1=4),IF(H129=0,0,(EURO(H129,Strikeprice1,0,0,($AK129+IF(Smile=TRUE(),VLOOKUP(MAX(-5,Strikeprice1-H129),Volsmile,2),0)),($A129-DateToday)+15,IF(Pricetype1=1,1,0),0))),H129)))</f>
        <v> </v>
      </c>
      <c r="R129" s="318" t="str">
        <f aca="false">IF($A129="N/A"," ",IF(Pricetype1=2,MAX(I129,0),IF(OR(Pricetype1=1,Pricetype1=4),IF(I129=0,0,(EURO(I129,Strikeprice1,0,0,($AK129+IF(Smile=TRUE(),VLOOKUP(MAX(-5,Strikeprice1-I129),Volsmile,2),0)),($A129-DateToday)+15,IF(Pricetype1=1,1,0),0))),I129)))</f>
        <v> </v>
      </c>
      <c r="S129" s="318" t="str">
        <f aca="false">IF($A129="N/A"," ",IF(Pricetype1=2,MAX(J129,0),IF(OR(Pricetype1=1,Pricetype1=4),IF(J129=0,0,(EURO(J129,Strikeprice1,0,0,($AK129+IF(Smile=TRUE(),VLOOKUP(MAX(-5,Strikeprice1-J129),Volsmile,2),0)),($A129-DateToday)+15,IF(Pricetype1=1,1,0),0))),J129)))</f>
        <v> </v>
      </c>
      <c r="T129" s="318" t="str">
        <f aca="false">IF($A129="N/A"," ",IF(Pricetype1=2,MAX(K129,0),IF(OR(Pricetype1=1,Pricetype1=4),IF(K129=0,0,(EURO(K129,Strikeprice1,0,0,($AK129+IF(Smile=TRUE(),VLOOKUP(MAX(-5,Strikeprice1-K129),Volsmile,2),0)),($A129-DateToday)+15,IF(Pricetype1=1,1,0),0))),K129)))</f>
        <v> </v>
      </c>
      <c r="U129" s="319" t="str">
        <f aca="false">IF($A129="N/A"," ",Volume1*$AM129)</f>
        <v> </v>
      </c>
      <c r="V129" s="320" t="str">
        <f aca="false">IF($A129="N/A"," ",$U129*(8*($BQ129))*L129)</f>
        <v> </v>
      </c>
      <c r="W129" s="320" t="str">
        <f aca="false">IF($A129="N/A"," ",$U129*(8*($BQ129))*M129)</f>
        <v> </v>
      </c>
      <c r="X129" s="320" t="str">
        <f aca="false">IF($A129="N/A"," ",$U129*(8*($BQ129))*N129)</f>
        <v> </v>
      </c>
      <c r="Y129" s="320" t="str">
        <f aca="false">IF($A129="N/A"," ",$U129*(8*($BR129))*O129)</f>
        <v> </v>
      </c>
      <c r="Z129" s="320" t="str">
        <f aca="false">IF($A129="N/A"," ",$U129*(8*($BR129))*P129)</f>
        <v> </v>
      </c>
      <c r="AA129" s="320" t="str">
        <f aca="false">IF($A129="N/A"," ",$U129*(8*($BR129))*Q129)</f>
        <v> </v>
      </c>
      <c r="AB129" s="320" t="str">
        <f aca="false">IF($A129="N/A"," ",$U129*(8*($BS129))*R129)</f>
        <v> </v>
      </c>
      <c r="AC129" s="320" t="str">
        <f aca="false">IF($A129="N/A"," ",$U129*(8*($BS129))*S129)</f>
        <v> </v>
      </c>
      <c r="AD129" s="320" t="str">
        <f aca="false">IF($A129="N/A"," ",$U129*(8*($BS129))*T129)</f>
        <v> </v>
      </c>
      <c r="AE129" s="320" t="str">
        <f aca="false">IF($A129="N/A"," ",SUM(V129:AD129))</f>
        <v> </v>
      </c>
      <c r="AF129" s="321" t="str">
        <f aca="false">IF(A129="N/A"," ",(VLOOKUP(A129,PowerVolTable,(IF(VolBMO1=2,7,IF(VolBMO1=1,6,8))),FALSE())))</f>
        <v> </v>
      </c>
      <c r="AG129" s="321" t="str">
        <f aca="false">IF(A129="N/A"," ",(VLOOKUP(A129,IntraPowerVol,(IF(VolBMO1=2,3,IF(VolBMO1=1,2,4))),FALSE())*VLOOKUP(MONTH($A129),Volscale,2)))</f>
        <v> </v>
      </c>
      <c r="AH129" s="321" t="str">
        <f aca="false">IF($A129="N/A"," ",IF(VolType1=1,AG129,AF129))</f>
        <v> </v>
      </c>
      <c r="AI129" s="321" t="str">
        <f aca="false">IF($A129="N/A"," ",(VLOOKUP($A129,OffPwrVolTable,(IF(VolBMO1=2,7,IF(VolBMO1=1,6,8))),FALSE())))</f>
        <v> </v>
      </c>
      <c r="AJ129" s="321" t="str">
        <f aca="false">IF($A129="N/A"," ",(VLOOKUP($A129,OffPwrVolTable,(IF(VolBMO1=2,3,IF(VolBMO1=1,2,4))),FALSE())*VLOOKUP(MONTH($A129),Volscale,2)))</f>
        <v> </v>
      </c>
      <c r="AK129" s="321" t="str">
        <f aca="false">IF($A129="N/A"," ",IF(VolType1=1,AJ129,AI129))</f>
        <v> </v>
      </c>
      <c r="AL129" s="321" t="str">
        <f aca="false">IF($A129="N/A"," ",IF(PV=1,0,'Pricing Inputs1'!R162))</f>
        <v> </v>
      </c>
      <c r="AM129" s="323" t="str">
        <f aca="false">IF($A129="N/A"," ",(1+AL129/2)^(-2*((EOMONTH(A129,0)+20)-DateToday)/365.25))</f>
        <v> </v>
      </c>
      <c r="BQ129" s="0" t="str">
        <f aca="false">IF($A129="N/A"," ",(VLOOKUP($A129,NumberofDaysTable,2)))</f>
        <v> </v>
      </c>
      <c r="BR129" s="0" t="str">
        <f aca="false">IF($A129="N/A"," ",(VLOOKUP($A129,NumberofDaysTable,3)))</f>
        <v> </v>
      </c>
      <c r="BS129" s="0" t="str">
        <f aca="false">IF($A129="N/A"," ",(VLOOKUP($A129,NumberofDaysTable,4)))</f>
        <v> </v>
      </c>
    </row>
    <row r="130" customFormat="false" ht="12.75" hidden="false" customHeight="false" outlineLevel="0" collapsed="false">
      <c r="A130" s="315" t="str">
        <f aca="false">IF(A129="N/A","N/A",IF(EDATE(A129,1)&gt;Inputs!$M$5,"N/A",EDATE(A129,1)))</f>
        <v>N/A</v>
      </c>
      <c r="B130" s="316" t="str">
        <f aca="false">IF(A130="N/A"," ",YEAR(A130))</f>
        <v> </v>
      </c>
      <c r="C130" s="324" t="str">
        <f aca="false">IF($A130="N/A"," ",IF(Dayrun1=10,0,IF(Scaler1=1,(VLOOKUP(A130,ScaledPrice1,4)),(VLOOKUP(A130,ScaledPrice1,2)))))</f>
        <v> </v>
      </c>
      <c r="D130" s="317" t="str">
        <f aca="false">IF(A130="N/A"," ",IF(Dayrun1&gt;=7,0,IF(Scaler1=2,VLOOKUP(A130,ScaledPrice1,2),(VLOOKUP(A130,ScaledPrice1,2))*(2-(VLOOKUP(A130,ScaledPrice1,3))))))</f>
        <v> </v>
      </c>
      <c r="E130" s="317" t="str">
        <f aca="false">IF($A130="N/A"," ",IF(AND(Dayrun1&gt;=4,Dayrun1&lt;=9),0,VLOOKUP($A130,ScaledPrice1,9)))</f>
        <v> </v>
      </c>
      <c r="F130" s="317" t="str">
        <f aca="false">IF(A130="N/A"," ",IF(OR(Dayrun1=2,Dayrun1=3,Dayrun1=5,Dayrun1=6,Dayrun1=8,Dayrun1=9),VLOOKUP(A130,ScaledPrice1,IF(Scaler1=1,6,5)),0))</f>
        <v> </v>
      </c>
      <c r="G130" s="317" t="str">
        <f aca="false">IF(A130="N/A"," ",IF(OR(Dayrun1=2,Dayrun1=3,Dayrun1=5,Dayrun1=6),IF(Scaler1=2,F130,(VLOOKUP(A130,ScaledPrice1,5))*(2-(VLOOKUP(A130,ScaledPrice1,3)))),0))</f>
        <v> </v>
      </c>
      <c r="H130" s="317" t="str">
        <f aca="false">IF($A130="N/A"," ",IF(OR(Dayrun1=2,Dayrun1=3,Dayrun1=10),VLOOKUP($A130,ScaledPrice1,9),0))</f>
        <v> </v>
      </c>
      <c r="I130" s="317" t="str">
        <f aca="false">IF(A130="N/A"," ",IF(OR(Dayrun1=3,Dayrun1=6,Dayrun1=9),(VLOOKUP(A130,ScaledPrice1,IF(Scaler1=2,7,8))),0))</f>
        <v> </v>
      </c>
      <c r="J130" s="317" t="str">
        <f aca="false">IF(A130="N/A"," ",IF(OR(Dayrun1=3,Dayrun1=6),IF(Scaler1=2,I130,(VLOOKUP(A130,ScaledPrice1,7))*(2-(VLOOKUP(A130,ScaledPrice1,3)))),0))</f>
        <v> </v>
      </c>
      <c r="K130" s="317" t="str">
        <f aca="false">IF($A130="N/A"," ",IF(OR(Dayrun1=3,Dayrun1=10),VLOOKUP($A130,ScaledPrice1,9),0))</f>
        <v> </v>
      </c>
      <c r="L130" s="318" t="str">
        <f aca="false">IF($A130="N/A"," ",IF(Pricetype1=2,MAX(C130,0),IF(OR(Pricetype1=1,Pricetype1=4),IF(C130=0,0,(EURO(C130,Strikeprice1,0,0,($AH130+IF(Smile=TRUE(),VLOOKUP(MAX(-5,Strikeprice1-C130),Volsmile,2),0)),($A130-DateToday)+15,IF(Pricetype1=1,1,0),0))),C130)))</f>
        <v> </v>
      </c>
      <c r="M130" s="318" t="str">
        <f aca="false">IF($A130="N/A"," ",IF(Pricetype1=2,MAX(D130,0),IF(OR(Pricetype1=1,Pricetype1=4),IF(D130=0,0,(EURO(D130,Strikeprice1,0,0,($AH130+IF(Smile=TRUE(),VLOOKUP(MAX(-5,Strikeprice1-D130),Volsmile,2),0)),($A130-DateToday)+15,IF(Pricetype1=1,1,0),0))),D130)))</f>
        <v> </v>
      </c>
      <c r="N130" s="318" t="str">
        <f aca="false">IF($A130="N/A"," ",IF(Pricetype1=2,MAX(E130,0),IF(OR(Pricetype1=1,Pricetype1=4),IF(E130=0,0,(EURO(E130,Strikeprice1,0,0,($AK130+IF(Smile=TRUE(),VLOOKUP(MAX(-5,Strikeprice1-E130),Volsmile,2),0)),($A130-DateToday)+15,IF(Pricetype1=1,1,0),0))),E130)))</f>
        <v> </v>
      </c>
      <c r="O130" s="318" t="str">
        <f aca="false">IF($A130="N/A"," ",IF(Pricetype1=2,MAX(F130,0),IF(OR(Pricetype1=1,Pricetype1=4),IF(F130=0,0,(EURO(F130,Strikeprice1,0,0,($AK130+IF(Smile=TRUE(),VLOOKUP(MAX(-5,Strikeprice1-F130),Volsmile,2),0)),($A130-DateToday)+15,IF(Pricetype1=1,1,0),0))),F130)))</f>
        <v> </v>
      </c>
      <c r="P130" s="318" t="str">
        <f aca="false">IF($A130="N/A"," ",IF(Pricetype1=2,MAX(G130,0),IF(OR(Pricetype1=1,Pricetype1=4),IF(G130=0,0,(EURO(G130,Strikeprice1,0,0,($AK130+IF(Smile=TRUE(),VLOOKUP(MAX(-5,Strikeprice1-G130),Volsmile,2),0)),($A130-DateToday)+15,IF(Pricetype1=1,1,0),0))),G130)))</f>
        <v> </v>
      </c>
      <c r="Q130" s="318" t="str">
        <f aca="false">IF($A130="N/A"," ",IF(Pricetype1=2,MAX(H130,0),IF(OR(Pricetype1=1,Pricetype1=4),IF(H130=0,0,(EURO(H130,Strikeprice1,0,0,($AK130+IF(Smile=TRUE(),VLOOKUP(MAX(-5,Strikeprice1-H130),Volsmile,2),0)),($A130-DateToday)+15,IF(Pricetype1=1,1,0),0))),H130)))</f>
        <v> </v>
      </c>
      <c r="R130" s="318" t="str">
        <f aca="false">IF($A130="N/A"," ",IF(Pricetype1=2,MAX(I130,0),IF(OR(Pricetype1=1,Pricetype1=4),IF(I130=0,0,(EURO(I130,Strikeprice1,0,0,($AK130+IF(Smile=TRUE(),VLOOKUP(MAX(-5,Strikeprice1-I130),Volsmile,2),0)),($A130-DateToday)+15,IF(Pricetype1=1,1,0),0))),I130)))</f>
        <v> </v>
      </c>
      <c r="S130" s="318" t="str">
        <f aca="false">IF($A130="N/A"," ",IF(Pricetype1=2,MAX(J130,0),IF(OR(Pricetype1=1,Pricetype1=4),IF(J130=0,0,(EURO(J130,Strikeprice1,0,0,($AK130+IF(Smile=TRUE(),VLOOKUP(MAX(-5,Strikeprice1-J130),Volsmile,2),0)),($A130-DateToday)+15,IF(Pricetype1=1,1,0),0))),J130)))</f>
        <v> </v>
      </c>
      <c r="T130" s="318" t="str">
        <f aca="false">IF($A130="N/A"," ",IF(Pricetype1=2,MAX(K130,0),IF(OR(Pricetype1=1,Pricetype1=4),IF(K130=0,0,(EURO(K130,Strikeprice1,0,0,($AK130+IF(Smile=TRUE(),VLOOKUP(MAX(-5,Strikeprice1-K130),Volsmile,2),0)),($A130-DateToday)+15,IF(Pricetype1=1,1,0),0))),K130)))</f>
        <v> </v>
      </c>
      <c r="U130" s="319" t="str">
        <f aca="false">IF($A130="N/A"," ",Volume1*$AM130)</f>
        <v> </v>
      </c>
      <c r="V130" s="320" t="str">
        <f aca="false">IF($A130="N/A"," ",$U130*(8*($BQ130))*L130)</f>
        <v> </v>
      </c>
      <c r="W130" s="320" t="str">
        <f aca="false">IF($A130="N/A"," ",$U130*(8*($BQ130))*M130)</f>
        <v> </v>
      </c>
      <c r="X130" s="320" t="str">
        <f aca="false">IF($A130="N/A"," ",$U130*(8*($BQ130))*N130)</f>
        <v> </v>
      </c>
      <c r="Y130" s="320" t="str">
        <f aca="false">IF($A130="N/A"," ",$U130*(8*($BR130))*O130)</f>
        <v> </v>
      </c>
      <c r="Z130" s="320" t="str">
        <f aca="false">IF($A130="N/A"," ",$U130*(8*($BR130))*P130)</f>
        <v> </v>
      </c>
      <c r="AA130" s="320" t="str">
        <f aca="false">IF($A130="N/A"," ",$U130*(8*($BR130))*Q130)</f>
        <v> </v>
      </c>
      <c r="AB130" s="320" t="str">
        <f aca="false">IF($A130="N/A"," ",$U130*(8*($BS130))*R130)</f>
        <v> </v>
      </c>
      <c r="AC130" s="320" t="str">
        <f aca="false">IF($A130="N/A"," ",$U130*(8*($BS130))*S130)</f>
        <v> </v>
      </c>
      <c r="AD130" s="320" t="str">
        <f aca="false">IF($A130="N/A"," ",$U130*(8*($BS130))*T130)</f>
        <v> </v>
      </c>
      <c r="AE130" s="320" t="str">
        <f aca="false">IF($A130="N/A"," ",SUM(V130:AD130))</f>
        <v> </v>
      </c>
      <c r="AF130" s="321" t="str">
        <f aca="false">IF(A130="N/A"," ",(VLOOKUP(A130,PowerVolTable,(IF(VolBMO1=2,7,IF(VolBMO1=1,6,8))),FALSE())))</f>
        <v> </v>
      </c>
      <c r="AG130" s="321" t="str">
        <f aca="false">IF(A130="N/A"," ",(VLOOKUP(A130,IntraPowerVol,(IF(VolBMO1=2,3,IF(VolBMO1=1,2,4))),FALSE())*VLOOKUP(MONTH($A130),Volscale,2)))</f>
        <v> </v>
      </c>
      <c r="AH130" s="321" t="str">
        <f aca="false">IF($A130="N/A"," ",IF(VolType1=1,AG130,AF130))</f>
        <v> </v>
      </c>
      <c r="AI130" s="321" t="str">
        <f aca="false">IF($A130="N/A"," ",(VLOOKUP($A130,OffPwrVolTable,(IF(VolBMO1=2,7,IF(VolBMO1=1,6,8))),FALSE())))</f>
        <v> </v>
      </c>
      <c r="AJ130" s="321" t="str">
        <f aca="false">IF($A130="N/A"," ",(VLOOKUP($A130,OffPwrVolTable,(IF(VolBMO1=2,3,IF(VolBMO1=1,2,4))),FALSE())*VLOOKUP(MONTH($A130),Volscale,2)))</f>
        <v> </v>
      </c>
      <c r="AK130" s="321" t="str">
        <f aca="false">IF($A130="N/A"," ",IF(VolType1=1,AJ130,AI130))</f>
        <v> </v>
      </c>
      <c r="AL130" s="321" t="str">
        <f aca="false">IF($A130="N/A"," ",IF(PV=1,0,'Pricing Inputs1'!R163))</f>
        <v> </v>
      </c>
      <c r="AM130" s="323" t="str">
        <f aca="false">IF($A130="N/A"," ",(1+AL130/2)^(-2*((EOMONTH(A130,0)+20)-DateToday)/365.25))</f>
        <v> </v>
      </c>
      <c r="BQ130" s="0" t="str">
        <f aca="false">IF($A130="N/A"," ",(VLOOKUP($A130,NumberofDaysTable,2)))</f>
        <v> </v>
      </c>
      <c r="BR130" s="0" t="str">
        <f aca="false">IF($A130="N/A"," ",(VLOOKUP($A130,NumberofDaysTable,3)))</f>
        <v> </v>
      </c>
      <c r="BS130" s="0" t="str">
        <f aca="false">IF($A130="N/A"," ",(VLOOKUP($A130,NumberofDaysTable,4)))</f>
        <v> </v>
      </c>
    </row>
    <row r="131" customFormat="false" ht="12.75" hidden="false" customHeight="false" outlineLevel="0" collapsed="false">
      <c r="A131" s="315" t="str">
        <f aca="false">IF(A130="N/A","N/A",IF(EDATE(A130,1)&gt;Inputs!$M$5,"N/A",EDATE(A130,1)))</f>
        <v>N/A</v>
      </c>
      <c r="B131" s="316" t="str">
        <f aca="false">IF(A131="N/A"," ",YEAR(A131))</f>
        <v> </v>
      </c>
      <c r="C131" s="324" t="str">
        <f aca="false">IF($A131="N/A"," ",IF(Dayrun1=10,0,IF(Scaler1=1,(VLOOKUP(A131,ScaledPrice1,4)),(VLOOKUP(A131,ScaledPrice1,2)))))</f>
        <v> </v>
      </c>
      <c r="D131" s="317" t="str">
        <f aca="false">IF(A131="N/A"," ",IF(Dayrun1&gt;=7,0,IF(Scaler1=2,VLOOKUP(A131,ScaledPrice1,2),(VLOOKUP(A131,ScaledPrice1,2))*(2-(VLOOKUP(A131,ScaledPrice1,3))))))</f>
        <v> </v>
      </c>
      <c r="E131" s="317" t="str">
        <f aca="false">IF($A131="N/A"," ",IF(AND(Dayrun1&gt;=4,Dayrun1&lt;=9),0,VLOOKUP($A131,ScaledPrice1,9)))</f>
        <v> </v>
      </c>
      <c r="F131" s="317" t="str">
        <f aca="false">IF(A131="N/A"," ",IF(OR(Dayrun1=2,Dayrun1=3,Dayrun1=5,Dayrun1=6,Dayrun1=8,Dayrun1=9),VLOOKUP(A131,ScaledPrice1,IF(Scaler1=1,6,5)),0))</f>
        <v> </v>
      </c>
      <c r="G131" s="317" t="str">
        <f aca="false">IF(A131="N/A"," ",IF(OR(Dayrun1=2,Dayrun1=3,Dayrun1=5,Dayrun1=6),IF(Scaler1=2,F131,(VLOOKUP(A131,ScaledPrice1,5))*(2-(VLOOKUP(A131,ScaledPrice1,3)))),0))</f>
        <v> </v>
      </c>
      <c r="H131" s="317" t="str">
        <f aca="false">IF($A131="N/A"," ",IF(OR(Dayrun1=2,Dayrun1=3,Dayrun1=10),VLOOKUP($A131,ScaledPrice1,9),0))</f>
        <v> </v>
      </c>
      <c r="I131" s="317" t="str">
        <f aca="false">IF(A131="N/A"," ",IF(OR(Dayrun1=3,Dayrun1=6,Dayrun1=9),(VLOOKUP(A131,ScaledPrice1,IF(Scaler1=2,7,8))),0))</f>
        <v> </v>
      </c>
      <c r="J131" s="317" t="str">
        <f aca="false">IF(A131="N/A"," ",IF(OR(Dayrun1=3,Dayrun1=6),IF(Scaler1=2,I131,(VLOOKUP(A131,ScaledPrice1,7))*(2-(VLOOKUP(A131,ScaledPrice1,3)))),0))</f>
        <v> </v>
      </c>
      <c r="K131" s="317" t="str">
        <f aca="false">IF($A131="N/A"," ",IF(OR(Dayrun1=3,Dayrun1=10),VLOOKUP($A131,ScaledPrice1,9),0))</f>
        <v> </v>
      </c>
      <c r="L131" s="318" t="str">
        <f aca="false">IF($A131="N/A"," ",IF(Pricetype1=2,MAX(C131,0),IF(OR(Pricetype1=1,Pricetype1=4),IF(C131=0,0,(EURO(C131,Strikeprice1,0,0,($AH131+IF(Smile=TRUE(),VLOOKUP(MAX(-5,Strikeprice1-C131),Volsmile,2),0)),($A131-DateToday)+15,IF(Pricetype1=1,1,0),0))),C131)))</f>
        <v> </v>
      </c>
      <c r="M131" s="318" t="str">
        <f aca="false">IF($A131="N/A"," ",IF(Pricetype1=2,MAX(D131,0),IF(OR(Pricetype1=1,Pricetype1=4),IF(D131=0,0,(EURO(D131,Strikeprice1,0,0,($AH131+IF(Smile=TRUE(),VLOOKUP(MAX(-5,Strikeprice1-D131),Volsmile,2),0)),($A131-DateToday)+15,IF(Pricetype1=1,1,0),0))),D131)))</f>
        <v> </v>
      </c>
      <c r="N131" s="318" t="str">
        <f aca="false">IF($A131="N/A"," ",IF(Pricetype1=2,MAX(E131,0),IF(OR(Pricetype1=1,Pricetype1=4),IF(E131=0,0,(EURO(E131,Strikeprice1,0,0,($AK131+IF(Smile=TRUE(),VLOOKUP(MAX(-5,Strikeprice1-E131),Volsmile,2),0)),($A131-DateToday)+15,IF(Pricetype1=1,1,0),0))),E131)))</f>
        <v> </v>
      </c>
      <c r="O131" s="318" t="str">
        <f aca="false">IF($A131="N/A"," ",IF(Pricetype1=2,MAX(F131,0),IF(OR(Pricetype1=1,Pricetype1=4),IF(F131=0,0,(EURO(F131,Strikeprice1,0,0,($AK131+IF(Smile=TRUE(),VLOOKUP(MAX(-5,Strikeprice1-F131),Volsmile,2),0)),($A131-DateToday)+15,IF(Pricetype1=1,1,0),0))),F131)))</f>
        <v> </v>
      </c>
      <c r="P131" s="318" t="str">
        <f aca="false">IF($A131="N/A"," ",IF(Pricetype1=2,MAX(G131,0),IF(OR(Pricetype1=1,Pricetype1=4),IF(G131=0,0,(EURO(G131,Strikeprice1,0,0,($AK131+IF(Smile=TRUE(),VLOOKUP(MAX(-5,Strikeprice1-G131),Volsmile,2),0)),($A131-DateToday)+15,IF(Pricetype1=1,1,0),0))),G131)))</f>
        <v> </v>
      </c>
      <c r="Q131" s="318" t="str">
        <f aca="false">IF($A131="N/A"," ",IF(Pricetype1=2,MAX(H131,0),IF(OR(Pricetype1=1,Pricetype1=4),IF(H131=0,0,(EURO(H131,Strikeprice1,0,0,($AK131+IF(Smile=TRUE(),VLOOKUP(MAX(-5,Strikeprice1-H131),Volsmile,2),0)),($A131-DateToday)+15,IF(Pricetype1=1,1,0),0))),H131)))</f>
        <v> </v>
      </c>
      <c r="R131" s="318" t="str">
        <f aca="false">IF($A131="N/A"," ",IF(Pricetype1=2,MAX(I131,0),IF(OR(Pricetype1=1,Pricetype1=4),IF(I131=0,0,(EURO(I131,Strikeprice1,0,0,($AK131+IF(Smile=TRUE(),VLOOKUP(MAX(-5,Strikeprice1-I131),Volsmile,2),0)),($A131-DateToday)+15,IF(Pricetype1=1,1,0),0))),I131)))</f>
        <v> </v>
      </c>
      <c r="S131" s="318" t="str">
        <f aca="false">IF($A131="N/A"," ",IF(Pricetype1=2,MAX(J131,0),IF(OR(Pricetype1=1,Pricetype1=4),IF(J131=0,0,(EURO(J131,Strikeprice1,0,0,($AK131+IF(Smile=TRUE(),VLOOKUP(MAX(-5,Strikeprice1-J131),Volsmile,2),0)),($A131-DateToday)+15,IF(Pricetype1=1,1,0),0))),J131)))</f>
        <v> </v>
      </c>
      <c r="T131" s="318" t="str">
        <f aca="false">IF($A131="N/A"," ",IF(Pricetype1=2,MAX(K131,0),IF(OR(Pricetype1=1,Pricetype1=4),IF(K131=0,0,(EURO(K131,Strikeprice1,0,0,($AK131+IF(Smile=TRUE(),VLOOKUP(MAX(-5,Strikeprice1-K131),Volsmile,2),0)),($A131-DateToday)+15,IF(Pricetype1=1,1,0),0))),K131)))</f>
        <v> </v>
      </c>
      <c r="U131" s="319" t="str">
        <f aca="false">IF($A131="N/A"," ",Volume1*$AM131)</f>
        <v> </v>
      </c>
      <c r="V131" s="320" t="str">
        <f aca="false">IF($A131="N/A"," ",$U131*(8*($BQ131))*L131)</f>
        <v> </v>
      </c>
      <c r="W131" s="320" t="str">
        <f aca="false">IF($A131="N/A"," ",$U131*(8*($BQ131))*M131)</f>
        <v> </v>
      </c>
      <c r="X131" s="320" t="str">
        <f aca="false">IF($A131="N/A"," ",$U131*(8*($BQ131))*N131)</f>
        <v> </v>
      </c>
      <c r="Y131" s="320" t="str">
        <f aca="false">IF($A131="N/A"," ",$U131*(8*($BR131))*O131)</f>
        <v> </v>
      </c>
      <c r="Z131" s="320" t="str">
        <f aca="false">IF($A131="N/A"," ",$U131*(8*($BR131))*P131)</f>
        <v> </v>
      </c>
      <c r="AA131" s="320" t="str">
        <f aca="false">IF($A131="N/A"," ",$U131*(8*($BR131))*Q131)</f>
        <v> </v>
      </c>
      <c r="AB131" s="320" t="str">
        <f aca="false">IF($A131="N/A"," ",$U131*(8*($BS131))*R131)</f>
        <v> </v>
      </c>
      <c r="AC131" s="320" t="str">
        <f aca="false">IF($A131="N/A"," ",$U131*(8*($BS131))*S131)</f>
        <v> </v>
      </c>
      <c r="AD131" s="320" t="str">
        <f aca="false">IF($A131="N/A"," ",$U131*(8*($BS131))*T131)</f>
        <v> </v>
      </c>
      <c r="AE131" s="320" t="str">
        <f aca="false">IF($A131="N/A"," ",SUM(V131:AD131))</f>
        <v> </v>
      </c>
      <c r="AF131" s="321" t="str">
        <f aca="false">IF(A131="N/A"," ",(VLOOKUP(A131,PowerVolTable,(IF(VolBMO1=2,7,IF(VolBMO1=1,6,8))),FALSE())))</f>
        <v> </v>
      </c>
      <c r="AG131" s="321" t="str">
        <f aca="false">IF(A131="N/A"," ",(VLOOKUP(A131,IntraPowerVol,(IF(VolBMO1=2,3,IF(VolBMO1=1,2,4))),FALSE())*VLOOKUP(MONTH($A131),Volscale,2)))</f>
        <v> </v>
      </c>
      <c r="AH131" s="321" t="str">
        <f aca="false">IF($A131="N/A"," ",IF(VolType1=1,AG131,AF131))</f>
        <v> </v>
      </c>
      <c r="AI131" s="321" t="str">
        <f aca="false">IF($A131="N/A"," ",(VLOOKUP($A131,OffPwrVolTable,(IF(VolBMO1=2,7,IF(VolBMO1=1,6,8))),FALSE())))</f>
        <v> </v>
      </c>
      <c r="AJ131" s="321" t="str">
        <f aca="false">IF($A131="N/A"," ",(VLOOKUP($A131,OffPwrVolTable,(IF(VolBMO1=2,3,IF(VolBMO1=1,2,4))),FALSE())*VLOOKUP(MONTH($A131),Volscale,2)))</f>
        <v> </v>
      </c>
      <c r="AK131" s="321" t="str">
        <f aca="false">IF($A131="N/A"," ",IF(VolType1=1,AJ131,AI131))</f>
        <v> </v>
      </c>
      <c r="AL131" s="321" t="str">
        <f aca="false">IF($A131="N/A"," ",IF(PV=1,0,'Pricing Inputs1'!R164))</f>
        <v> </v>
      </c>
      <c r="AM131" s="323" t="str">
        <f aca="false">IF($A131="N/A"," ",(1+AL131/2)^(-2*((EOMONTH(A131,0)+20)-DateToday)/365.25))</f>
        <v> </v>
      </c>
      <c r="BQ131" s="0" t="str">
        <f aca="false">IF($A131="N/A"," ",(VLOOKUP($A131,NumberofDaysTable,2)))</f>
        <v> </v>
      </c>
      <c r="BR131" s="0" t="str">
        <f aca="false">IF($A131="N/A"," ",(VLOOKUP($A131,NumberofDaysTable,3)))</f>
        <v> </v>
      </c>
      <c r="BS131" s="0" t="str">
        <f aca="false">IF($A131="N/A"," ",(VLOOKUP($A131,NumberofDaysTable,4)))</f>
        <v> </v>
      </c>
    </row>
    <row r="132" customFormat="false" ht="12.75" hidden="false" customHeight="false" outlineLevel="0" collapsed="false">
      <c r="A132" s="315" t="str">
        <f aca="false">IF(A131="N/A","N/A",IF(EDATE(A131,1)&gt;Inputs!$M$5,"N/A",EDATE(A131,1)))</f>
        <v>N/A</v>
      </c>
      <c r="B132" s="316" t="str">
        <f aca="false">IF(A132="N/A"," ",YEAR(A132))</f>
        <v> </v>
      </c>
      <c r="C132" s="324" t="str">
        <f aca="false">IF($A132="N/A"," ",IF(Dayrun1=10,0,IF(Scaler1=1,(VLOOKUP(A132,ScaledPrice1,4)),(VLOOKUP(A132,ScaledPrice1,2)))))</f>
        <v> </v>
      </c>
      <c r="D132" s="317" t="str">
        <f aca="false">IF(A132="N/A"," ",IF(Dayrun1&gt;=7,0,IF(Scaler1=2,VLOOKUP(A132,ScaledPrice1,2),(VLOOKUP(A132,ScaledPrice1,2))*(2-(VLOOKUP(A132,ScaledPrice1,3))))))</f>
        <v> </v>
      </c>
      <c r="E132" s="317" t="str">
        <f aca="false">IF($A132="N/A"," ",IF(AND(Dayrun1&gt;=4,Dayrun1&lt;=9),0,VLOOKUP($A132,ScaledPrice1,9)))</f>
        <v> </v>
      </c>
      <c r="F132" s="317" t="str">
        <f aca="false">IF(A132="N/A"," ",IF(OR(Dayrun1=2,Dayrun1=3,Dayrun1=5,Dayrun1=6,Dayrun1=8,Dayrun1=9),VLOOKUP(A132,ScaledPrice1,IF(Scaler1=1,6,5)),0))</f>
        <v> </v>
      </c>
      <c r="G132" s="317" t="str">
        <f aca="false">IF(A132="N/A"," ",IF(OR(Dayrun1=2,Dayrun1=3,Dayrun1=5,Dayrun1=6),IF(Scaler1=2,F132,(VLOOKUP(A132,ScaledPrice1,5))*(2-(VLOOKUP(A132,ScaledPrice1,3)))),0))</f>
        <v> </v>
      </c>
      <c r="H132" s="317" t="str">
        <f aca="false">IF($A132="N/A"," ",IF(OR(Dayrun1=2,Dayrun1=3,Dayrun1=10),VLOOKUP($A132,ScaledPrice1,9),0))</f>
        <v> </v>
      </c>
      <c r="I132" s="317" t="str">
        <f aca="false">IF(A132="N/A"," ",IF(OR(Dayrun1=3,Dayrun1=6,Dayrun1=9),(VLOOKUP(A132,ScaledPrice1,IF(Scaler1=2,7,8))),0))</f>
        <v> </v>
      </c>
      <c r="J132" s="317" t="str">
        <f aca="false">IF(A132="N/A"," ",IF(OR(Dayrun1=3,Dayrun1=6),IF(Scaler1=2,I132,(VLOOKUP(A132,ScaledPrice1,7))*(2-(VLOOKUP(A132,ScaledPrice1,3)))),0))</f>
        <v> </v>
      </c>
      <c r="K132" s="317" t="str">
        <f aca="false">IF($A132="N/A"," ",IF(OR(Dayrun1=3,Dayrun1=10),VLOOKUP($A132,ScaledPrice1,9),0))</f>
        <v> </v>
      </c>
      <c r="L132" s="318" t="str">
        <f aca="false">IF($A132="N/A"," ",IF(Pricetype1=2,MAX(C132,0),IF(OR(Pricetype1=1,Pricetype1=4),IF(C132=0,0,(EURO(C132,Strikeprice1,0,0,($AH132+IF(Smile=TRUE(),VLOOKUP(MAX(-5,Strikeprice1-C132),Volsmile,2),0)),($A132-DateToday)+15,IF(Pricetype1=1,1,0),0))),C132)))</f>
        <v> </v>
      </c>
      <c r="M132" s="318" t="str">
        <f aca="false">IF($A132="N/A"," ",IF(Pricetype1=2,MAX(D132,0),IF(OR(Pricetype1=1,Pricetype1=4),IF(D132=0,0,(EURO(D132,Strikeprice1,0,0,($AH132+IF(Smile=TRUE(),VLOOKUP(MAX(-5,Strikeprice1-D132),Volsmile,2),0)),($A132-DateToday)+15,IF(Pricetype1=1,1,0),0))),D132)))</f>
        <v> </v>
      </c>
      <c r="N132" s="318" t="str">
        <f aca="false">IF($A132="N/A"," ",IF(Pricetype1=2,MAX(E132,0),IF(OR(Pricetype1=1,Pricetype1=4),IF(E132=0,0,(EURO(E132,Strikeprice1,0,0,($AK132+IF(Smile=TRUE(),VLOOKUP(MAX(-5,Strikeprice1-E132),Volsmile,2),0)),($A132-DateToday)+15,IF(Pricetype1=1,1,0),0))),E132)))</f>
        <v> </v>
      </c>
      <c r="O132" s="318" t="str">
        <f aca="false">IF($A132="N/A"," ",IF(Pricetype1=2,MAX(F132,0),IF(OR(Pricetype1=1,Pricetype1=4),IF(F132=0,0,(EURO(F132,Strikeprice1,0,0,($AK132+IF(Smile=TRUE(),VLOOKUP(MAX(-5,Strikeprice1-F132),Volsmile,2),0)),($A132-DateToday)+15,IF(Pricetype1=1,1,0),0))),F132)))</f>
        <v> </v>
      </c>
      <c r="P132" s="318" t="str">
        <f aca="false">IF($A132="N/A"," ",IF(Pricetype1=2,MAX(G132,0),IF(OR(Pricetype1=1,Pricetype1=4),IF(G132=0,0,(EURO(G132,Strikeprice1,0,0,($AK132+IF(Smile=TRUE(),VLOOKUP(MAX(-5,Strikeprice1-G132),Volsmile,2),0)),($A132-DateToday)+15,IF(Pricetype1=1,1,0),0))),G132)))</f>
        <v> </v>
      </c>
      <c r="Q132" s="318" t="str">
        <f aca="false">IF($A132="N/A"," ",IF(Pricetype1=2,MAX(H132,0),IF(OR(Pricetype1=1,Pricetype1=4),IF(H132=0,0,(EURO(H132,Strikeprice1,0,0,($AK132+IF(Smile=TRUE(),VLOOKUP(MAX(-5,Strikeprice1-H132),Volsmile,2),0)),($A132-DateToday)+15,IF(Pricetype1=1,1,0),0))),H132)))</f>
        <v> </v>
      </c>
      <c r="R132" s="318" t="str">
        <f aca="false">IF($A132="N/A"," ",IF(Pricetype1=2,MAX(I132,0),IF(OR(Pricetype1=1,Pricetype1=4),IF(I132=0,0,(EURO(I132,Strikeprice1,0,0,($AK132+IF(Smile=TRUE(),VLOOKUP(MAX(-5,Strikeprice1-I132),Volsmile,2),0)),($A132-DateToday)+15,IF(Pricetype1=1,1,0),0))),I132)))</f>
        <v> </v>
      </c>
      <c r="S132" s="318" t="str">
        <f aca="false">IF($A132="N/A"," ",IF(Pricetype1=2,MAX(J132,0),IF(OR(Pricetype1=1,Pricetype1=4),IF(J132=0,0,(EURO(J132,Strikeprice1,0,0,($AK132+IF(Smile=TRUE(),VLOOKUP(MAX(-5,Strikeprice1-J132),Volsmile,2),0)),($A132-DateToday)+15,IF(Pricetype1=1,1,0),0))),J132)))</f>
        <v> </v>
      </c>
      <c r="T132" s="318" t="str">
        <f aca="false">IF($A132="N/A"," ",IF(Pricetype1=2,MAX(K132,0),IF(OR(Pricetype1=1,Pricetype1=4),IF(K132=0,0,(EURO(K132,Strikeprice1,0,0,($AK132+IF(Smile=TRUE(),VLOOKUP(MAX(-5,Strikeprice1-K132),Volsmile,2),0)),($A132-DateToday)+15,IF(Pricetype1=1,1,0),0))),K132)))</f>
        <v> </v>
      </c>
      <c r="U132" s="319" t="str">
        <f aca="false">IF($A132="N/A"," ",Volume1*$AM132)</f>
        <v> </v>
      </c>
      <c r="V132" s="320" t="str">
        <f aca="false">IF($A132="N/A"," ",$U132*(8*($BQ132))*L132)</f>
        <v> </v>
      </c>
      <c r="W132" s="320" t="str">
        <f aca="false">IF($A132="N/A"," ",$U132*(8*($BQ132))*M132)</f>
        <v> </v>
      </c>
      <c r="X132" s="320" t="str">
        <f aca="false">IF($A132="N/A"," ",$U132*(8*($BQ132))*N132)</f>
        <v> </v>
      </c>
      <c r="Y132" s="320" t="str">
        <f aca="false">IF($A132="N/A"," ",$U132*(8*($BR132))*O132)</f>
        <v> </v>
      </c>
      <c r="Z132" s="320" t="str">
        <f aca="false">IF($A132="N/A"," ",$U132*(8*($BR132))*P132)</f>
        <v> </v>
      </c>
      <c r="AA132" s="320" t="str">
        <f aca="false">IF($A132="N/A"," ",$U132*(8*($BR132))*Q132)</f>
        <v> </v>
      </c>
      <c r="AB132" s="320" t="str">
        <f aca="false">IF($A132="N/A"," ",$U132*(8*($BS132))*R132)</f>
        <v> </v>
      </c>
      <c r="AC132" s="320" t="str">
        <f aca="false">IF($A132="N/A"," ",$U132*(8*($BS132))*S132)</f>
        <v> </v>
      </c>
      <c r="AD132" s="320" t="str">
        <f aca="false">IF($A132="N/A"," ",$U132*(8*($BS132))*T132)</f>
        <v> </v>
      </c>
      <c r="AE132" s="320" t="str">
        <f aca="false">IF($A132="N/A"," ",SUM(V132:AD132))</f>
        <v> </v>
      </c>
      <c r="AF132" s="321" t="str">
        <f aca="false">IF(A132="N/A"," ",(VLOOKUP(A132,PowerVolTable,(IF(VolBMO1=2,7,IF(VolBMO1=1,6,8))),FALSE())))</f>
        <v> </v>
      </c>
      <c r="AG132" s="321" t="str">
        <f aca="false">IF(A132="N/A"," ",(VLOOKUP(A132,IntraPowerVol,(IF(VolBMO1=2,3,IF(VolBMO1=1,2,4))),FALSE())*VLOOKUP(MONTH($A132),Volscale,2)))</f>
        <v> </v>
      </c>
      <c r="AH132" s="321" t="str">
        <f aca="false">IF($A132="N/A"," ",IF(VolType1=1,AG132,AF132))</f>
        <v> </v>
      </c>
      <c r="AI132" s="321" t="str">
        <f aca="false">IF($A132="N/A"," ",(VLOOKUP($A132,OffPwrVolTable,(IF(VolBMO1=2,7,IF(VolBMO1=1,6,8))),FALSE())))</f>
        <v> </v>
      </c>
      <c r="AJ132" s="321" t="str">
        <f aca="false">IF($A132="N/A"," ",(VLOOKUP($A132,OffPwrVolTable,(IF(VolBMO1=2,3,IF(VolBMO1=1,2,4))),FALSE())*VLOOKUP(MONTH($A132),Volscale,2)))</f>
        <v> </v>
      </c>
      <c r="AK132" s="321" t="str">
        <f aca="false">IF($A132="N/A"," ",IF(VolType1=1,AJ132,AI132))</f>
        <v> </v>
      </c>
      <c r="AL132" s="321" t="str">
        <f aca="false">IF($A132="N/A"," ",IF(PV=1,0,'Pricing Inputs1'!R165))</f>
        <v> </v>
      </c>
      <c r="AM132" s="323" t="str">
        <f aca="false">IF($A132="N/A"," ",(1+AL132/2)^(-2*((EOMONTH(A132,0)+20)-DateToday)/365.25))</f>
        <v> </v>
      </c>
      <c r="BQ132" s="0" t="str">
        <f aca="false">IF($A132="N/A"," ",(VLOOKUP($A132,NumberofDaysTable,2)))</f>
        <v> </v>
      </c>
      <c r="BR132" s="0" t="str">
        <f aca="false">IF($A132="N/A"," ",(VLOOKUP($A132,NumberofDaysTable,3)))</f>
        <v> </v>
      </c>
      <c r="BS132" s="0" t="str">
        <f aca="false">IF($A132="N/A"," ",(VLOOKUP($A132,NumberofDaysTable,4)))</f>
        <v> </v>
      </c>
    </row>
    <row r="133" customFormat="false" ht="12.75" hidden="false" customHeight="false" outlineLevel="0" collapsed="false">
      <c r="A133" s="315" t="str">
        <f aca="false">IF(A132="N/A","N/A",IF(EDATE(A132,1)&gt;Inputs!$M$5,"N/A",EDATE(A132,1)))</f>
        <v>N/A</v>
      </c>
      <c r="B133" s="316" t="str">
        <f aca="false">IF(A133="N/A"," ",YEAR(A133))</f>
        <v> </v>
      </c>
      <c r="C133" s="324" t="str">
        <f aca="false">IF($A133="N/A"," ",IF(Dayrun1=10,0,IF(Scaler1=1,(VLOOKUP(A133,ScaledPrice1,4)),(VLOOKUP(A133,ScaledPrice1,2)))))</f>
        <v> </v>
      </c>
      <c r="D133" s="317" t="str">
        <f aca="false">IF(A133="N/A"," ",IF(Dayrun1&gt;=7,0,IF(Scaler1=2,VLOOKUP(A133,ScaledPrice1,2),(VLOOKUP(A133,ScaledPrice1,2))*(2-(VLOOKUP(A133,ScaledPrice1,3))))))</f>
        <v> </v>
      </c>
      <c r="E133" s="317" t="str">
        <f aca="false">IF($A133="N/A"," ",IF(AND(Dayrun1&gt;=4,Dayrun1&lt;=9),0,VLOOKUP($A133,ScaledPrice1,9)))</f>
        <v> </v>
      </c>
      <c r="F133" s="317" t="str">
        <f aca="false">IF(A133="N/A"," ",IF(OR(Dayrun1=2,Dayrun1=3,Dayrun1=5,Dayrun1=6,Dayrun1=8,Dayrun1=9),VLOOKUP(A133,ScaledPrice1,IF(Scaler1=1,6,5)),0))</f>
        <v> </v>
      </c>
      <c r="G133" s="317" t="str">
        <f aca="false">IF(A133="N/A"," ",IF(OR(Dayrun1=2,Dayrun1=3,Dayrun1=5,Dayrun1=6),IF(Scaler1=2,F133,(VLOOKUP(A133,ScaledPrice1,5))*(2-(VLOOKUP(A133,ScaledPrice1,3)))),0))</f>
        <v> </v>
      </c>
      <c r="H133" s="317" t="str">
        <f aca="false">IF($A133="N/A"," ",IF(OR(Dayrun1=2,Dayrun1=3,Dayrun1=10),VLOOKUP($A133,ScaledPrice1,9),0))</f>
        <v> </v>
      </c>
      <c r="I133" s="317" t="str">
        <f aca="false">IF(A133="N/A"," ",IF(OR(Dayrun1=3,Dayrun1=6,Dayrun1=9),(VLOOKUP(A133,ScaledPrice1,IF(Scaler1=2,7,8))),0))</f>
        <v> </v>
      </c>
      <c r="J133" s="317" t="str">
        <f aca="false">IF(A133="N/A"," ",IF(OR(Dayrun1=3,Dayrun1=6),IF(Scaler1=2,I133,(VLOOKUP(A133,ScaledPrice1,7))*(2-(VLOOKUP(A133,ScaledPrice1,3)))),0))</f>
        <v> </v>
      </c>
      <c r="K133" s="317" t="str">
        <f aca="false">IF($A133="N/A"," ",IF(OR(Dayrun1=3,Dayrun1=10),VLOOKUP($A133,ScaledPrice1,9),0))</f>
        <v> </v>
      </c>
      <c r="L133" s="318" t="str">
        <f aca="false">IF($A133="N/A"," ",IF(Pricetype1=2,MAX(C133,0),IF(OR(Pricetype1=1,Pricetype1=4),IF(C133=0,0,(EURO(C133,Strikeprice1,0,0,($AH133+IF(Smile=TRUE(),VLOOKUP(MAX(-5,Strikeprice1-C133),Volsmile,2),0)),($A133-DateToday)+15,IF(Pricetype1=1,1,0),0))),C133)))</f>
        <v> </v>
      </c>
      <c r="M133" s="318" t="str">
        <f aca="false">IF($A133="N/A"," ",IF(Pricetype1=2,MAX(D133,0),IF(OR(Pricetype1=1,Pricetype1=4),IF(D133=0,0,(EURO(D133,Strikeprice1,0,0,($AH133+IF(Smile=TRUE(),VLOOKUP(MAX(-5,Strikeprice1-D133),Volsmile,2),0)),($A133-DateToday)+15,IF(Pricetype1=1,1,0),0))),D133)))</f>
        <v> </v>
      </c>
      <c r="N133" s="318" t="str">
        <f aca="false">IF($A133="N/A"," ",IF(Pricetype1=2,MAX(E133,0),IF(OR(Pricetype1=1,Pricetype1=4),IF(E133=0,0,(EURO(E133,Strikeprice1,0,0,($AK133+IF(Smile=TRUE(),VLOOKUP(MAX(-5,Strikeprice1-E133),Volsmile,2),0)),($A133-DateToday)+15,IF(Pricetype1=1,1,0),0))),E133)))</f>
        <v> </v>
      </c>
      <c r="O133" s="318" t="str">
        <f aca="false">IF($A133="N/A"," ",IF(Pricetype1=2,MAX(F133,0),IF(OR(Pricetype1=1,Pricetype1=4),IF(F133=0,0,(EURO(F133,Strikeprice1,0,0,($AK133+IF(Smile=TRUE(),VLOOKUP(MAX(-5,Strikeprice1-F133),Volsmile,2),0)),($A133-DateToday)+15,IF(Pricetype1=1,1,0),0))),F133)))</f>
        <v> </v>
      </c>
      <c r="P133" s="318" t="str">
        <f aca="false">IF($A133="N/A"," ",IF(Pricetype1=2,MAX(G133,0),IF(OR(Pricetype1=1,Pricetype1=4),IF(G133=0,0,(EURO(G133,Strikeprice1,0,0,($AK133+IF(Smile=TRUE(),VLOOKUP(MAX(-5,Strikeprice1-G133),Volsmile,2),0)),($A133-DateToday)+15,IF(Pricetype1=1,1,0),0))),G133)))</f>
        <v> </v>
      </c>
      <c r="Q133" s="318" t="str">
        <f aca="false">IF($A133="N/A"," ",IF(Pricetype1=2,MAX(H133,0),IF(OR(Pricetype1=1,Pricetype1=4),IF(H133=0,0,(EURO(H133,Strikeprice1,0,0,($AK133+IF(Smile=TRUE(),VLOOKUP(MAX(-5,Strikeprice1-H133),Volsmile,2),0)),($A133-DateToday)+15,IF(Pricetype1=1,1,0),0))),H133)))</f>
        <v> </v>
      </c>
      <c r="R133" s="318" t="str">
        <f aca="false">IF($A133="N/A"," ",IF(Pricetype1=2,MAX(I133,0),IF(OR(Pricetype1=1,Pricetype1=4),IF(I133=0,0,(EURO(I133,Strikeprice1,0,0,($AK133+IF(Smile=TRUE(),VLOOKUP(MAX(-5,Strikeprice1-I133),Volsmile,2),0)),($A133-DateToday)+15,IF(Pricetype1=1,1,0),0))),I133)))</f>
        <v> </v>
      </c>
      <c r="S133" s="318" t="str">
        <f aca="false">IF($A133="N/A"," ",IF(Pricetype1=2,MAX(J133,0),IF(OR(Pricetype1=1,Pricetype1=4),IF(J133=0,0,(EURO(J133,Strikeprice1,0,0,($AK133+IF(Smile=TRUE(),VLOOKUP(MAX(-5,Strikeprice1-J133),Volsmile,2),0)),($A133-DateToday)+15,IF(Pricetype1=1,1,0),0))),J133)))</f>
        <v> </v>
      </c>
      <c r="T133" s="318" t="str">
        <f aca="false">IF($A133="N/A"," ",IF(Pricetype1=2,MAX(K133,0),IF(OR(Pricetype1=1,Pricetype1=4),IF(K133=0,0,(EURO(K133,Strikeprice1,0,0,($AK133+IF(Smile=TRUE(),VLOOKUP(MAX(-5,Strikeprice1-K133),Volsmile,2),0)),($A133-DateToday)+15,IF(Pricetype1=1,1,0),0))),K133)))</f>
        <v> </v>
      </c>
      <c r="U133" s="319" t="str">
        <f aca="false">IF($A133="N/A"," ",Volume1*$AM133)</f>
        <v> </v>
      </c>
      <c r="V133" s="320" t="str">
        <f aca="false">IF($A133="N/A"," ",$U133*(8*($BQ133))*L133)</f>
        <v> </v>
      </c>
      <c r="W133" s="320" t="str">
        <f aca="false">IF($A133="N/A"," ",$U133*(8*($BQ133))*M133)</f>
        <v> </v>
      </c>
      <c r="X133" s="320" t="str">
        <f aca="false">IF($A133="N/A"," ",$U133*(8*($BQ133))*N133)</f>
        <v> </v>
      </c>
      <c r="Y133" s="320" t="str">
        <f aca="false">IF($A133="N/A"," ",$U133*(8*($BR133))*O133)</f>
        <v> </v>
      </c>
      <c r="Z133" s="320" t="str">
        <f aca="false">IF($A133="N/A"," ",$U133*(8*($BR133))*P133)</f>
        <v> </v>
      </c>
      <c r="AA133" s="320" t="str">
        <f aca="false">IF($A133="N/A"," ",$U133*(8*($BR133))*Q133)</f>
        <v> </v>
      </c>
      <c r="AB133" s="320" t="str">
        <f aca="false">IF($A133="N/A"," ",$U133*(8*($BS133))*R133)</f>
        <v> </v>
      </c>
      <c r="AC133" s="320" t="str">
        <f aca="false">IF($A133="N/A"," ",$U133*(8*($BS133))*S133)</f>
        <v> </v>
      </c>
      <c r="AD133" s="320" t="str">
        <f aca="false">IF($A133="N/A"," ",$U133*(8*($BS133))*T133)</f>
        <v> </v>
      </c>
      <c r="AE133" s="320" t="str">
        <f aca="false">IF($A133="N/A"," ",SUM(V133:AD133))</f>
        <v> </v>
      </c>
      <c r="AF133" s="321" t="str">
        <f aca="false">IF(A133="N/A"," ",(VLOOKUP(A133,PowerVolTable,(IF(VolBMO1=2,7,IF(VolBMO1=1,6,8))),FALSE())))</f>
        <v> </v>
      </c>
      <c r="AG133" s="321" t="str">
        <f aca="false">IF(A133="N/A"," ",(VLOOKUP(A133,IntraPowerVol,(IF(VolBMO1=2,3,IF(VolBMO1=1,2,4))),FALSE())*VLOOKUP(MONTH($A133),Volscale,2)))</f>
        <v> </v>
      </c>
      <c r="AH133" s="321" t="str">
        <f aca="false">IF($A133="N/A"," ",IF(VolType1=1,AG133,AF133))</f>
        <v> </v>
      </c>
      <c r="AI133" s="321" t="str">
        <f aca="false">IF($A133="N/A"," ",(VLOOKUP($A133,OffPwrVolTable,(IF(VolBMO1=2,7,IF(VolBMO1=1,6,8))),FALSE())))</f>
        <v> </v>
      </c>
      <c r="AJ133" s="321" t="str">
        <f aca="false">IF($A133="N/A"," ",(VLOOKUP($A133,OffPwrVolTable,(IF(VolBMO1=2,3,IF(VolBMO1=1,2,4))),FALSE())*VLOOKUP(MONTH($A133),Volscale,2)))</f>
        <v> </v>
      </c>
      <c r="AK133" s="321" t="str">
        <f aca="false">IF($A133="N/A"," ",IF(VolType1=1,AJ133,AI133))</f>
        <v> </v>
      </c>
      <c r="AL133" s="321" t="str">
        <f aca="false">IF($A133="N/A"," ",IF(PV=1,0,'Pricing Inputs1'!R166))</f>
        <v> </v>
      </c>
      <c r="AM133" s="323" t="str">
        <f aca="false">IF($A133="N/A"," ",(1+AL133/2)^(-2*((EOMONTH(A133,0)+20)-DateToday)/365.25))</f>
        <v> </v>
      </c>
      <c r="BQ133" s="0" t="str">
        <f aca="false">IF($A133="N/A"," ",(VLOOKUP($A133,NumberofDaysTable,2)))</f>
        <v> </v>
      </c>
      <c r="BR133" s="0" t="str">
        <f aca="false">IF($A133="N/A"," ",(VLOOKUP($A133,NumberofDaysTable,3)))</f>
        <v> </v>
      </c>
      <c r="BS133" s="0" t="str">
        <f aca="false">IF($A133="N/A"," ",(VLOOKUP($A133,NumberofDaysTable,4)))</f>
        <v> </v>
      </c>
    </row>
    <row r="134" customFormat="false" ht="12.75" hidden="false" customHeight="false" outlineLevel="0" collapsed="false">
      <c r="A134" s="315" t="str">
        <f aca="false">IF(A133="N/A","N/A",IF(EDATE(A133,1)&gt;Inputs!$M$5,"N/A",EDATE(A133,1)))</f>
        <v>N/A</v>
      </c>
      <c r="B134" s="316" t="str">
        <f aca="false">IF(A134="N/A"," ",YEAR(A134))</f>
        <v> </v>
      </c>
      <c r="C134" s="324" t="str">
        <f aca="false">IF($A134="N/A"," ",IF(Dayrun1=10,0,IF(Scaler1=1,(VLOOKUP(A134,ScaledPrice1,4)),(VLOOKUP(A134,ScaledPrice1,2)))))</f>
        <v> </v>
      </c>
      <c r="D134" s="317" t="str">
        <f aca="false">IF(A134="N/A"," ",IF(Dayrun1&gt;=7,0,IF(Scaler1=2,VLOOKUP(A134,ScaledPrice1,2),(VLOOKUP(A134,ScaledPrice1,2))*(2-(VLOOKUP(A134,ScaledPrice1,3))))))</f>
        <v> </v>
      </c>
      <c r="E134" s="317" t="str">
        <f aca="false">IF($A134="N/A"," ",IF(AND(Dayrun1&gt;=4,Dayrun1&lt;=9),0,VLOOKUP($A134,ScaledPrice1,9)))</f>
        <v> </v>
      </c>
      <c r="F134" s="317" t="str">
        <f aca="false">IF(A134="N/A"," ",IF(OR(Dayrun1=2,Dayrun1=3,Dayrun1=5,Dayrun1=6,Dayrun1=8,Dayrun1=9),VLOOKUP(A134,ScaledPrice1,IF(Scaler1=1,6,5)),0))</f>
        <v> </v>
      </c>
      <c r="G134" s="317" t="str">
        <f aca="false">IF(A134="N/A"," ",IF(OR(Dayrun1=2,Dayrun1=3,Dayrun1=5,Dayrun1=6),IF(Scaler1=2,F134,(VLOOKUP(A134,ScaledPrice1,5))*(2-(VLOOKUP(A134,ScaledPrice1,3)))),0))</f>
        <v> </v>
      </c>
      <c r="H134" s="317" t="str">
        <f aca="false">IF($A134="N/A"," ",IF(OR(Dayrun1=2,Dayrun1=3,Dayrun1=10),VLOOKUP($A134,ScaledPrice1,9),0))</f>
        <v> </v>
      </c>
      <c r="I134" s="317" t="str">
        <f aca="false">IF(A134="N/A"," ",IF(OR(Dayrun1=3,Dayrun1=6,Dayrun1=9),(VLOOKUP(A134,ScaledPrice1,IF(Scaler1=2,7,8))),0))</f>
        <v> </v>
      </c>
      <c r="J134" s="317" t="str">
        <f aca="false">IF(A134="N/A"," ",IF(OR(Dayrun1=3,Dayrun1=6),IF(Scaler1=2,I134,(VLOOKUP(A134,ScaledPrice1,7))*(2-(VLOOKUP(A134,ScaledPrice1,3)))),0))</f>
        <v> </v>
      </c>
      <c r="K134" s="317" t="str">
        <f aca="false">IF($A134="N/A"," ",IF(OR(Dayrun1=3,Dayrun1=10),VLOOKUP($A134,ScaledPrice1,9),0))</f>
        <v> </v>
      </c>
      <c r="L134" s="318" t="str">
        <f aca="false">IF($A134="N/A"," ",IF(Pricetype1=2,MAX(C134,0),IF(OR(Pricetype1=1,Pricetype1=4),IF(C134=0,0,(EURO(C134,Strikeprice1,0,0,($AH134+IF(Smile=TRUE(),VLOOKUP(MAX(-5,Strikeprice1-C134),Volsmile,2),0)),($A134-DateToday)+15,IF(Pricetype1=1,1,0),0))),C134)))</f>
        <v> </v>
      </c>
      <c r="M134" s="318" t="str">
        <f aca="false">IF($A134="N/A"," ",IF(Pricetype1=2,MAX(D134,0),IF(OR(Pricetype1=1,Pricetype1=4),IF(D134=0,0,(EURO(D134,Strikeprice1,0,0,($AH134+IF(Smile=TRUE(),VLOOKUP(MAX(-5,Strikeprice1-D134),Volsmile,2),0)),($A134-DateToday)+15,IF(Pricetype1=1,1,0),0))),D134)))</f>
        <v> </v>
      </c>
      <c r="N134" s="318" t="str">
        <f aca="false">IF($A134="N/A"," ",IF(Pricetype1=2,MAX(E134,0),IF(OR(Pricetype1=1,Pricetype1=4),IF(E134=0,0,(EURO(E134,Strikeprice1,0,0,($AK134+IF(Smile=TRUE(),VLOOKUP(MAX(-5,Strikeprice1-E134),Volsmile,2),0)),($A134-DateToday)+15,IF(Pricetype1=1,1,0),0))),E134)))</f>
        <v> </v>
      </c>
      <c r="O134" s="318" t="str">
        <f aca="false">IF($A134="N/A"," ",IF(Pricetype1=2,MAX(F134,0),IF(OR(Pricetype1=1,Pricetype1=4),IF(F134=0,0,(EURO(F134,Strikeprice1,0,0,($AK134+IF(Smile=TRUE(),VLOOKUP(MAX(-5,Strikeprice1-F134),Volsmile,2),0)),($A134-DateToday)+15,IF(Pricetype1=1,1,0),0))),F134)))</f>
        <v> </v>
      </c>
      <c r="P134" s="318" t="str">
        <f aca="false">IF($A134="N/A"," ",IF(Pricetype1=2,MAX(G134,0),IF(OR(Pricetype1=1,Pricetype1=4),IF(G134=0,0,(EURO(G134,Strikeprice1,0,0,($AK134+IF(Smile=TRUE(),VLOOKUP(MAX(-5,Strikeprice1-G134),Volsmile,2),0)),($A134-DateToday)+15,IF(Pricetype1=1,1,0),0))),G134)))</f>
        <v> </v>
      </c>
      <c r="Q134" s="318" t="str">
        <f aca="false">IF($A134="N/A"," ",IF(Pricetype1=2,MAX(H134,0),IF(OR(Pricetype1=1,Pricetype1=4),IF(H134=0,0,(EURO(H134,Strikeprice1,0,0,($AK134+IF(Smile=TRUE(),VLOOKUP(MAX(-5,Strikeprice1-H134),Volsmile,2),0)),($A134-DateToday)+15,IF(Pricetype1=1,1,0),0))),H134)))</f>
        <v> </v>
      </c>
      <c r="R134" s="318" t="str">
        <f aca="false">IF($A134="N/A"," ",IF(Pricetype1=2,MAX(I134,0),IF(OR(Pricetype1=1,Pricetype1=4),IF(I134=0,0,(EURO(I134,Strikeprice1,0,0,($AK134+IF(Smile=TRUE(),VLOOKUP(MAX(-5,Strikeprice1-I134),Volsmile,2),0)),($A134-DateToday)+15,IF(Pricetype1=1,1,0),0))),I134)))</f>
        <v> </v>
      </c>
      <c r="S134" s="318" t="str">
        <f aca="false">IF($A134="N/A"," ",IF(Pricetype1=2,MAX(J134,0),IF(OR(Pricetype1=1,Pricetype1=4),IF(J134=0,0,(EURO(J134,Strikeprice1,0,0,($AK134+IF(Smile=TRUE(),VLOOKUP(MAX(-5,Strikeprice1-J134),Volsmile,2),0)),($A134-DateToday)+15,IF(Pricetype1=1,1,0),0))),J134)))</f>
        <v> </v>
      </c>
      <c r="T134" s="318" t="str">
        <f aca="false">IF($A134="N/A"," ",IF(Pricetype1=2,MAX(K134,0),IF(OR(Pricetype1=1,Pricetype1=4),IF(K134=0,0,(EURO(K134,Strikeprice1,0,0,($AK134+IF(Smile=TRUE(),VLOOKUP(MAX(-5,Strikeprice1-K134),Volsmile,2),0)),($A134-DateToday)+15,IF(Pricetype1=1,1,0),0))),K134)))</f>
        <v> </v>
      </c>
      <c r="U134" s="319" t="str">
        <f aca="false">IF($A134="N/A"," ",Volume1*$AM134)</f>
        <v> </v>
      </c>
      <c r="V134" s="320" t="str">
        <f aca="false">IF($A134="N/A"," ",$U134*(8*($BQ134))*L134)</f>
        <v> </v>
      </c>
      <c r="W134" s="320" t="str">
        <f aca="false">IF($A134="N/A"," ",$U134*(8*($BQ134))*M134)</f>
        <v> </v>
      </c>
      <c r="X134" s="320" t="str">
        <f aca="false">IF($A134="N/A"," ",$U134*(8*($BQ134))*N134)</f>
        <v> </v>
      </c>
      <c r="Y134" s="320" t="str">
        <f aca="false">IF($A134="N/A"," ",$U134*(8*($BR134))*O134)</f>
        <v> </v>
      </c>
      <c r="Z134" s="320" t="str">
        <f aca="false">IF($A134="N/A"," ",$U134*(8*($BR134))*P134)</f>
        <v> </v>
      </c>
      <c r="AA134" s="320" t="str">
        <f aca="false">IF($A134="N/A"," ",$U134*(8*($BR134))*Q134)</f>
        <v> </v>
      </c>
      <c r="AB134" s="320" t="str">
        <f aca="false">IF($A134="N/A"," ",$U134*(8*($BS134))*R134)</f>
        <v> </v>
      </c>
      <c r="AC134" s="320" t="str">
        <f aca="false">IF($A134="N/A"," ",$U134*(8*($BS134))*S134)</f>
        <v> </v>
      </c>
      <c r="AD134" s="320" t="str">
        <f aca="false">IF($A134="N/A"," ",$U134*(8*($BS134))*T134)</f>
        <v> </v>
      </c>
      <c r="AE134" s="320" t="str">
        <f aca="false">IF($A134="N/A"," ",SUM(V134:AD134))</f>
        <v> </v>
      </c>
      <c r="AF134" s="321" t="str">
        <f aca="false">IF(A134="N/A"," ",(VLOOKUP(A134,PowerVolTable,(IF(VolBMO1=2,7,IF(VolBMO1=1,6,8))),FALSE())))</f>
        <v> </v>
      </c>
      <c r="AG134" s="321" t="str">
        <f aca="false">IF(A134="N/A"," ",(VLOOKUP(A134,IntraPowerVol,(IF(VolBMO1=2,3,IF(VolBMO1=1,2,4))),FALSE())*VLOOKUP(MONTH($A134),Volscale,2)))</f>
        <v> </v>
      </c>
      <c r="AH134" s="321" t="str">
        <f aca="false">IF($A134="N/A"," ",IF(VolType1=1,AG134,AF134))</f>
        <v> </v>
      </c>
      <c r="AI134" s="321" t="str">
        <f aca="false">IF($A134="N/A"," ",(VLOOKUP($A134,OffPwrVolTable,(IF(VolBMO1=2,7,IF(VolBMO1=1,6,8))),FALSE())))</f>
        <v> </v>
      </c>
      <c r="AJ134" s="321" t="str">
        <f aca="false">IF($A134="N/A"," ",(VLOOKUP($A134,OffPwrVolTable,(IF(VolBMO1=2,3,IF(VolBMO1=1,2,4))),FALSE())*VLOOKUP(MONTH($A134),Volscale,2)))</f>
        <v> </v>
      </c>
      <c r="AK134" s="321" t="str">
        <f aca="false">IF($A134="N/A"," ",IF(VolType1=1,AJ134,AI134))</f>
        <v> </v>
      </c>
      <c r="AL134" s="321" t="str">
        <f aca="false">IF($A134="N/A"," ",IF(PV=1,0,'Pricing Inputs1'!R167))</f>
        <v> </v>
      </c>
      <c r="AM134" s="323" t="str">
        <f aca="false">IF($A134="N/A"," ",(1+AL134/2)^(-2*((EOMONTH(A134,0)+20)-DateToday)/365.25))</f>
        <v> </v>
      </c>
      <c r="BQ134" s="0" t="str">
        <f aca="false">IF($A134="N/A"," ",(VLOOKUP($A134,NumberofDaysTable,2)))</f>
        <v> </v>
      </c>
      <c r="BR134" s="0" t="str">
        <f aca="false">IF($A134="N/A"," ",(VLOOKUP($A134,NumberofDaysTable,3)))</f>
        <v> </v>
      </c>
      <c r="BS134" s="0" t="str">
        <f aca="false">IF($A134="N/A"," ",(VLOOKUP($A134,NumberofDaysTable,4)))</f>
        <v> </v>
      </c>
    </row>
    <row r="135" customFormat="false" ht="12.75" hidden="false" customHeight="false" outlineLevel="0" collapsed="false">
      <c r="A135" s="315" t="str">
        <f aca="false">IF(A134="N/A","N/A",IF(EDATE(A134,1)&gt;Inputs!$M$5,"N/A",EDATE(A134,1)))</f>
        <v>N/A</v>
      </c>
      <c r="B135" s="316" t="str">
        <f aca="false">IF(A135="N/A"," ",YEAR(A135))</f>
        <v> </v>
      </c>
      <c r="C135" s="324" t="str">
        <f aca="false">IF($A135="N/A"," ",IF(Dayrun1=10,0,IF(Scaler1=1,(VLOOKUP(A135,ScaledPrice1,4)),(VLOOKUP(A135,ScaledPrice1,2)))))</f>
        <v> </v>
      </c>
      <c r="D135" s="317" t="str">
        <f aca="false">IF(A135="N/A"," ",IF(Dayrun1&gt;=7,0,IF(Scaler1=2,VLOOKUP(A135,ScaledPrice1,2),(VLOOKUP(A135,ScaledPrice1,2))*(2-(VLOOKUP(A135,ScaledPrice1,3))))))</f>
        <v> </v>
      </c>
      <c r="E135" s="317" t="str">
        <f aca="false">IF($A135="N/A"," ",IF(AND(Dayrun1&gt;=4,Dayrun1&lt;=9),0,VLOOKUP($A135,ScaledPrice1,9)))</f>
        <v> </v>
      </c>
      <c r="F135" s="317" t="str">
        <f aca="false">IF(A135="N/A"," ",IF(OR(Dayrun1=2,Dayrun1=3,Dayrun1=5,Dayrun1=6,Dayrun1=8,Dayrun1=9),VLOOKUP(A135,ScaledPrice1,IF(Scaler1=1,6,5)),0))</f>
        <v> </v>
      </c>
      <c r="G135" s="317" t="str">
        <f aca="false">IF(A135="N/A"," ",IF(OR(Dayrun1=2,Dayrun1=3,Dayrun1=5,Dayrun1=6),IF(Scaler1=2,F135,(VLOOKUP(A135,ScaledPrice1,5))*(2-(VLOOKUP(A135,ScaledPrice1,3)))),0))</f>
        <v> </v>
      </c>
      <c r="H135" s="317" t="str">
        <f aca="false">IF($A135="N/A"," ",IF(OR(Dayrun1=2,Dayrun1=3,Dayrun1=10),VLOOKUP($A135,ScaledPrice1,9),0))</f>
        <v> </v>
      </c>
      <c r="I135" s="317" t="str">
        <f aca="false">IF(A135="N/A"," ",IF(OR(Dayrun1=3,Dayrun1=6,Dayrun1=9),(VLOOKUP(A135,ScaledPrice1,IF(Scaler1=2,7,8))),0))</f>
        <v> </v>
      </c>
      <c r="J135" s="317" t="str">
        <f aca="false">IF(A135="N/A"," ",IF(OR(Dayrun1=3,Dayrun1=6),IF(Scaler1=2,I135,(VLOOKUP(A135,ScaledPrice1,7))*(2-(VLOOKUP(A135,ScaledPrice1,3)))),0))</f>
        <v> </v>
      </c>
      <c r="K135" s="317" t="str">
        <f aca="false">IF($A135="N/A"," ",IF(OR(Dayrun1=3,Dayrun1=10),VLOOKUP($A135,ScaledPrice1,9),0))</f>
        <v> </v>
      </c>
      <c r="L135" s="318" t="str">
        <f aca="false">IF($A135="N/A"," ",IF(Pricetype1=2,MAX(C135,0),IF(OR(Pricetype1=1,Pricetype1=4),IF(C135=0,0,(EURO(C135,Strikeprice1,0,0,($AH135+IF(Smile=TRUE(),VLOOKUP(MAX(-5,Strikeprice1-C135),Volsmile,2),0)),($A135-DateToday)+15,IF(Pricetype1=1,1,0),0))),C135)))</f>
        <v> </v>
      </c>
      <c r="M135" s="318" t="str">
        <f aca="false">IF($A135="N/A"," ",IF(Pricetype1=2,MAX(D135,0),IF(OR(Pricetype1=1,Pricetype1=4),IF(D135=0,0,(EURO(D135,Strikeprice1,0,0,($AH135+IF(Smile=TRUE(),VLOOKUP(MAX(-5,Strikeprice1-D135),Volsmile,2),0)),($A135-DateToday)+15,IF(Pricetype1=1,1,0),0))),D135)))</f>
        <v> </v>
      </c>
      <c r="N135" s="318" t="str">
        <f aca="false">IF($A135="N/A"," ",IF(Pricetype1=2,MAX(E135,0),IF(OR(Pricetype1=1,Pricetype1=4),IF(E135=0,0,(EURO(E135,Strikeprice1,0,0,($AK135+IF(Smile=TRUE(),VLOOKUP(MAX(-5,Strikeprice1-E135),Volsmile,2),0)),($A135-DateToday)+15,IF(Pricetype1=1,1,0),0))),E135)))</f>
        <v> </v>
      </c>
      <c r="O135" s="318" t="str">
        <f aca="false">IF($A135="N/A"," ",IF(Pricetype1=2,MAX(F135,0),IF(OR(Pricetype1=1,Pricetype1=4),IF(F135=0,0,(EURO(F135,Strikeprice1,0,0,($AK135+IF(Smile=TRUE(),VLOOKUP(MAX(-5,Strikeprice1-F135),Volsmile,2),0)),($A135-DateToday)+15,IF(Pricetype1=1,1,0),0))),F135)))</f>
        <v> </v>
      </c>
      <c r="P135" s="318" t="str">
        <f aca="false">IF($A135="N/A"," ",IF(Pricetype1=2,MAX(G135,0),IF(OR(Pricetype1=1,Pricetype1=4),IF(G135=0,0,(EURO(G135,Strikeprice1,0,0,($AK135+IF(Smile=TRUE(),VLOOKUP(MAX(-5,Strikeprice1-G135),Volsmile,2),0)),($A135-DateToday)+15,IF(Pricetype1=1,1,0),0))),G135)))</f>
        <v> </v>
      </c>
      <c r="Q135" s="318" t="str">
        <f aca="false">IF($A135="N/A"," ",IF(Pricetype1=2,MAX(H135,0),IF(OR(Pricetype1=1,Pricetype1=4),IF(H135=0,0,(EURO(H135,Strikeprice1,0,0,($AK135+IF(Smile=TRUE(),VLOOKUP(MAX(-5,Strikeprice1-H135),Volsmile,2),0)),($A135-DateToday)+15,IF(Pricetype1=1,1,0),0))),H135)))</f>
        <v> </v>
      </c>
      <c r="R135" s="318" t="str">
        <f aca="false">IF($A135="N/A"," ",IF(Pricetype1=2,MAX(I135,0),IF(OR(Pricetype1=1,Pricetype1=4),IF(I135=0,0,(EURO(I135,Strikeprice1,0,0,($AK135+IF(Smile=TRUE(),VLOOKUP(MAX(-5,Strikeprice1-I135),Volsmile,2),0)),($A135-DateToday)+15,IF(Pricetype1=1,1,0),0))),I135)))</f>
        <v> </v>
      </c>
      <c r="S135" s="318" t="str">
        <f aca="false">IF($A135="N/A"," ",IF(Pricetype1=2,MAX(J135,0),IF(OR(Pricetype1=1,Pricetype1=4),IF(J135=0,0,(EURO(J135,Strikeprice1,0,0,($AK135+IF(Smile=TRUE(),VLOOKUP(MAX(-5,Strikeprice1-J135),Volsmile,2),0)),($A135-DateToday)+15,IF(Pricetype1=1,1,0),0))),J135)))</f>
        <v> </v>
      </c>
      <c r="T135" s="318" t="str">
        <f aca="false">IF($A135="N/A"," ",IF(Pricetype1=2,MAX(K135,0),IF(OR(Pricetype1=1,Pricetype1=4),IF(K135=0,0,(EURO(K135,Strikeprice1,0,0,($AK135+IF(Smile=TRUE(),VLOOKUP(MAX(-5,Strikeprice1-K135),Volsmile,2),0)),($A135-DateToday)+15,IF(Pricetype1=1,1,0),0))),K135)))</f>
        <v> </v>
      </c>
      <c r="U135" s="319" t="str">
        <f aca="false">IF($A135="N/A"," ",Volume1*$AM135)</f>
        <v> </v>
      </c>
      <c r="V135" s="320" t="str">
        <f aca="false">IF($A135="N/A"," ",$U135*(8*($BQ135))*L135)</f>
        <v> </v>
      </c>
      <c r="W135" s="320" t="str">
        <f aca="false">IF($A135="N/A"," ",$U135*(8*($BQ135))*M135)</f>
        <v> </v>
      </c>
      <c r="X135" s="320" t="str">
        <f aca="false">IF($A135="N/A"," ",$U135*(8*($BQ135))*N135)</f>
        <v> </v>
      </c>
      <c r="Y135" s="320" t="str">
        <f aca="false">IF($A135="N/A"," ",$U135*(8*($BR135))*O135)</f>
        <v> </v>
      </c>
      <c r="Z135" s="320" t="str">
        <f aca="false">IF($A135="N/A"," ",$U135*(8*($BR135))*P135)</f>
        <v> </v>
      </c>
      <c r="AA135" s="320" t="str">
        <f aca="false">IF($A135="N/A"," ",$U135*(8*($BR135))*Q135)</f>
        <v> </v>
      </c>
      <c r="AB135" s="320" t="str">
        <f aca="false">IF($A135="N/A"," ",$U135*(8*($BS135))*R135)</f>
        <v> </v>
      </c>
      <c r="AC135" s="320" t="str">
        <f aca="false">IF($A135="N/A"," ",$U135*(8*($BS135))*S135)</f>
        <v> </v>
      </c>
      <c r="AD135" s="320" t="str">
        <f aca="false">IF($A135="N/A"," ",$U135*(8*($BS135))*T135)</f>
        <v> </v>
      </c>
      <c r="AE135" s="320" t="str">
        <f aca="false">IF($A135="N/A"," ",SUM(V135:AD135))</f>
        <v> </v>
      </c>
      <c r="AF135" s="321" t="str">
        <f aca="false">IF(A135="N/A"," ",(VLOOKUP(A135,PowerVolTable,(IF(VolBMO1=2,7,IF(VolBMO1=1,6,8))),FALSE())))</f>
        <v> </v>
      </c>
      <c r="AG135" s="321" t="str">
        <f aca="false">IF(A135="N/A"," ",(VLOOKUP(A135,IntraPowerVol,(IF(VolBMO1=2,3,IF(VolBMO1=1,2,4))),FALSE())*VLOOKUP(MONTH($A135),Volscale,2)))</f>
        <v> </v>
      </c>
      <c r="AH135" s="321" t="str">
        <f aca="false">IF($A135="N/A"," ",IF(VolType1=1,AG135,AF135))</f>
        <v> </v>
      </c>
      <c r="AI135" s="321" t="str">
        <f aca="false">IF($A135="N/A"," ",(VLOOKUP($A135,OffPwrVolTable,(IF(VolBMO1=2,7,IF(VolBMO1=1,6,8))),FALSE())))</f>
        <v> </v>
      </c>
      <c r="AJ135" s="321" t="str">
        <f aca="false">IF($A135="N/A"," ",(VLOOKUP($A135,OffPwrVolTable,(IF(VolBMO1=2,3,IF(VolBMO1=1,2,4))),FALSE())*VLOOKUP(MONTH($A135),Volscale,2)))</f>
        <v> </v>
      </c>
      <c r="AK135" s="321" t="str">
        <f aca="false">IF($A135="N/A"," ",IF(VolType1=1,AJ135,AI135))</f>
        <v> </v>
      </c>
      <c r="AL135" s="321" t="str">
        <f aca="false">IF($A135="N/A"," ",IF(PV=1,0,'Pricing Inputs1'!R168))</f>
        <v> </v>
      </c>
      <c r="AM135" s="323" t="str">
        <f aca="false">IF($A135="N/A"," ",(1+AL135/2)^(-2*((EOMONTH(A135,0)+20)-DateToday)/365.25))</f>
        <v> </v>
      </c>
      <c r="BQ135" s="0" t="str">
        <f aca="false">IF($A135="N/A"," ",(VLOOKUP($A135,NumberofDaysTable,2)))</f>
        <v> </v>
      </c>
      <c r="BR135" s="0" t="str">
        <f aca="false">IF($A135="N/A"," ",(VLOOKUP($A135,NumberofDaysTable,3)))</f>
        <v> </v>
      </c>
      <c r="BS135" s="0" t="str">
        <f aca="false">IF($A135="N/A"," ",(VLOOKUP($A135,NumberofDaysTable,4)))</f>
        <v> </v>
      </c>
    </row>
    <row r="136" customFormat="false" ht="12.75" hidden="false" customHeight="false" outlineLevel="0" collapsed="false">
      <c r="A136" s="315" t="str">
        <f aca="false">IF(A135="N/A","N/A",IF(EDATE(A135,1)&gt;Inputs!$M$5,"N/A",EDATE(A135,1)))</f>
        <v>N/A</v>
      </c>
      <c r="B136" s="316" t="str">
        <f aca="false">IF(A136="N/A"," ",YEAR(A136))</f>
        <v> </v>
      </c>
      <c r="C136" s="324" t="str">
        <f aca="false">IF($A136="N/A"," ",IF(Dayrun1=10,0,IF(Scaler1=1,(VLOOKUP(A136,ScaledPrice1,4)),(VLOOKUP(A136,ScaledPrice1,2)))))</f>
        <v> </v>
      </c>
      <c r="D136" s="317" t="str">
        <f aca="false">IF(A136="N/A"," ",IF(Dayrun1&gt;=7,0,IF(Scaler1=2,VLOOKUP(A136,ScaledPrice1,2),(VLOOKUP(A136,ScaledPrice1,2))*(2-(VLOOKUP(A136,ScaledPrice1,3))))))</f>
        <v> </v>
      </c>
      <c r="E136" s="317" t="str">
        <f aca="false">IF($A136="N/A"," ",IF(AND(Dayrun1&gt;=4,Dayrun1&lt;=9),0,VLOOKUP($A136,ScaledPrice1,9)))</f>
        <v> </v>
      </c>
      <c r="F136" s="317" t="str">
        <f aca="false">IF(A136="N/A"," ",IF(OR(Dayrun1=2,Dayrun1=3,Dayrun1=5,Dayrun1=6,Dayrun1=8,Dayrun1=9),VLOOKUP(A136,ScaledPrice1,IF(Scaler1=1,6,5)),0))</f>
        <v> </v>
      </c>
      <c r="G136" s="317" t="str">
        <f aca="false">IF(A136="N/A"," ",IF(OR(Dayrun1=2,Dayrun1=3,Dayrun1=5,Dayrun1=6),IF(Scaler1=2,F136,(VLOOKUP(A136,ScaledPrice1,5))*(2-(VLOOKUP(A136,ScaledPrice1,3)))),0))</f>
        <v> </v>
      </c>
      <c r="H136" s="317" t="str">
        <f aca="false">IF($A136="N/A"," ",IF(OR(Dayrun1=2,Dayrun1=3,Dayrun1=10),VLOOKUP($A136,ScaledPrice1,9),0))</f>
        <v> </v>
      </c>
      <c r="I136" s="317" t="str">
        <f aca="false">IF(A136="N/A"," ",IF(OR(Dayrun1=3,Dayrun1=6,Dayrun1=9),(VLOOKUP(A136,ScaledPrice1,IF(Scaler1=2,7,8))),0))</f>
        <v> </v>
      </c>
      <c r="J136" s="317" t="str">
        <f aca="false">IF(A136="N/A"," ",IF(OR(Dayrun1=3,Dayrun1=6),IF(Scaler1=2,I136,(VLOOKUP(A136,ScaledPrice1,7))*(2-(VLOOKUP(A136,ScaledPrice1,3)))),0))</f>
        <v> </v>
      </c>
      <c r="K136" s="317" t="str">
        <f aca="false">IF($A136="N/A"," ",IF(OR(Dayrun1=3,Dayrun1=10),VLOOKUP($A136,ScaledPrice1,9),0))</f>
        <v> </v>
      </c>
      <c r="L136" s="318" t="str">
        <f aca="false">IF($A136="N/A"," ",IF(Pricetype1=2,MAX(C136,0),IF(OR(Pricetype1=1,Pricetype1=4),IF(C136=0,0,(EURO(C136,Strikeprice1,0,0,($AH136+IF(Smile=TRUE(),VLOOKUP(MAX(-5,Strikeprice1-C136),Volsmile,2),0)),($A136-DateToday)+15,IF(Pricetype1=1,1,0),0))),C136)))</f>
        <v> </v>
      </c>
      <c r="M136" s="318" t="str">
        <f aca="false">IF($A136="N/A"," ",IF(Pricetype1=2,MAX(D136,0),IF(OR(Pricetype1=1,Pricetype1=4),IF(D136=0,0,(EURO(D136,Strikeprice1,0,0,($AH136+IF(Smile=TRUE(),VLOOKUP(MAX(-5,Strikeprice1-D136),Volsmile,2),0)),($A136-DateToday)+15,IF(Pricetype1=1,1,0),0))),D136)))</f>
        <v> </v>
      </c>
      <c r="N136" s="318" t="str">
        <f aca="false">IF($A136="N/A"," ",IF(Pricetype1=2,MAX(E136,0),IF(OR(Pricetype1=1,Pricetype1=4),IF(E136=0,0,(EURO(E136,Strikeprice1,0,0,($AK136+IF(Smile=TRUE(),VLOOKUP(MAX(-5,Strikeprice1-E136),Volsmile,2),0)),($A136-DateToday)+15,IF(Pricetype1=1,1,0),0))),E136)))</f>
        <v> </v>
      </c>
      <c r="O136" s="318" t="str">
        <f aca="false">IF($A136="N/A"," ",IF(Pricetype1=2,MAX(F136,0),IF(OR(Pricetype1=1,Pricetype1=4),IF(F136=0,0,(EURO(F136,Strikeprice1,0,0,($AK136+IF(Smile=TRUE(),VLOOKUP(MAX(-5,Strikeprice1-F136),Volsmile,2),0)),($A136-DateToday)+15,IF(Pricetype1=1,1,0),0))),F136)))</f>
        <v> </v>
      </c>
      <c r="P136" s="318" t="str">
        <f aca="false">IF($A136="N/A"," ",IF(Pricetype1=2,MAX(G136,0),IF(OR(Pricetype1=1,Pricetype1=4),IF(G136=0,0,(EURO(G136,Strikeprice1,0,0,($AK136+IF(Smile=TRUE(),VLOOKUP(MAX(-5,Strikeprice1-G136),Volsmile,2),0)),($A136-DateToday)+15,IF(Pricetype1=1,1,0),0))),G136)))</f>
        <v> </v>
      </c>
      <c r="Q136" s="318" t="str">
        <f aca="false">IF($A136="N/A"," ",IF(Pricetype1=2,MAX(H136,0),IF(OR(Pricetype1=1,Pricetype1=4),IF(H136=0,0,(EURO(H136,Strikeprice1,0,0,($AK136+IF(Smile=TRUE(),VLOOKUP(MAX(-5,Strikeprice1-H136),Volsmile,2),0)),($A136-DateToday)+15,IF(Pricetype1=1,1,0),0))),H136)))</f>
        <v> </v>
      </c>
      <c r="R136" s="318" t="str">
        <f aca="false">IF($A136="N/A"," ",IF(Pricetype1=2,MAX(I136,0),IF(OR(Pricetype1=1,Pricetype1=4),IF(I136=0,0,(EURO(I136,Strikeprice1,0,0,($AK136+IF(Smile=TRUE(),VLOOKUP(MAX(-5,Strikeprice1-I136),Volsmile,2),0)),($A136-DateToday)+15,IF(Pricetype1=1,1,0),0))),I136)))</f>
        <v> </v>
      </c>
      <c r="S136" s="318" t="str">
        <f aca="false">IF($A136="N/A"," ",IF(Pricetype1=2,MAX(J136,0),IF(OR(Pricetype1=1,Pricetype1=4),IF(J136=0,0,(EURO(J136,Strikeprice1,0,0,($AK136+IF(Smile=TRUE(),VLOOKUP(MAX(-5,Strikeprice1-J136),Volsmile,2),0)),($A136-DateToday)+15,IF(Pricetype1=1,1,0),0))),J136)))</f>
        <v> </v>
      </c>
      <c r="T136" s="318" t="str">
        <f aca="false">IF($A136="N/A"," ",IF(Pricetype1=2,MAX(K136,0),IF(OR(Pricetype1=1,Pricetype1=4),IF(K136=0,0,(EURO(K136,Strikeprice1,0,0,($AK136+IF(Smile=TRUE(),VLOOKUP(MAX(-5,Strikeprice1-K136),Volsmile,2),0)),($A136-DateToday)+15,IF(Pricetype1=1,1,0),0))),K136)))</f>
        <v> </v>
      </c>
      <c r="U136" s="319" t="str">
        <f aca="false">IF($A136="N/A"," ",Volume1*$AM136)</f>
        <v> </v>
      </c>
      <c r="V136" s="320" t="str">
        <f aca="false">IF($A136="N/A"," ",$U136*(8*($BQ136))*L136)</f>
        <v> </v>
      </c>
      <c r="W136" s="320" t="str">
        <f aca="false">IF($A136="N/A"," ",$U136*(8*($BQ136))*M136)</f>
        <v> </v>
      </c>
      <c r="X136" s="320" t="str">
        <f aca="false">IF($A136="N/A"," ",$U136*(8*($BQ136))*N136)</f>
        <v> </v>
      </c>
      <c r="Y136" s="320" t="str">
        <f aca="false">IF($A136="N/A"," ",$U136*(8*($BR136))*O136)</f>
        <v> </v>
      </c>
      <c r="Z136" s="320" t="str">
        <f aca="false">IF($A136="N/A"," ",$U136*(8*($BR136))*P136)</f>
        <v> </v>
      </c>
      <c r="AA136" s="320" t="str">
        <f aca="false">IF($A136="N/A"," ",$U136*(8*($BR136))*Q136)</f>
        <v> </v>
      </c>
      <c r="AB136" s="320" t="str">
        <f aca="false">IF($A136="N/A"," ",$U136*(8*($BS136))*R136)</f>
        <v> </v>
      </c>
      <c r="AC136" s="320" t="str">
        <f aca="false">IF($A136="N/A"," ",$U136*(8*($BS136))*S136)</f>
        <v> </v>
      </c>
      <c r="AD136" s="320" t="str">
        <f aca="false">IF($A136="N/A"," ",$U136*(8*($BS136))*T136)</f>
        <v> </v>
      </c>
      <c r="AE136" s="320" t="str">
        <f aca="false">IF($A136="N/A"," ",SUM(V136:AD136))</f>
        <v> </v>
      </c>
      <c r="AF136" s="321" t="str">
        <f aca="false">IF(A136="N/A"," ",(VLOOKUP(A136,PowerVolTable,(IF(VolBMO1=2,7,IF(VolBMO1=1,6,8))),FALSE())))</f>
        <v> </v>
      </c>
      <c r="AG136" s="321" t="str">
        <f aca="false">IF(A136="N/A"," ",(VLOOKUP(A136,IntraPowerVol,(IF(VolBMO1=2,3,IF(VolBMO1=1,2,4))),FALSE())*VLOOKUP(MONTH($A136),Volscale,2)))</f>
        <v> </v>
      </c>
      <c r="AH136" s="321" t="str">
        <f aca="false">IF($A136="N/A"," ",IF(VolType1=1,AG136,AF136))</f>
        <v> </v>
      </c>
      <c r="AI136" s="321" t="str">
        <f aca="false">IF($A136="N/A"," ",(VLOOKUP($A136,OffPwrVolTable,(IF(VolBMO1=2,7,IF(VolBMO1=1,6,8))),FALSE())))</f>
        <v> </v>
      </c>
      <c r="AJ136" s="321" t="str">
        <f aca="false">IF($A136="N/A"," ",(VLOOKUP($A136,OffPwrVolTable,(IF(VolBMO1=2,3,IF(VolBMO1=1,2,4))),FALSE())*VLOOKUP(MONTH($A136),Volscale,2)))</f>
        <v> </v>
      </c>
      <c r="AK136" s="321" t="str">
        <f aca="false">IF($A136="N/A"," ",IF(VolType1=1,AJ136,AI136))</f>
        <v> </v>
      </c>
      <c r="AL136" s="321" t="str">
        <f aca="false">IF($A136="N/A"," ",IF(PV=1,0,'Pricing Inputs1'!R169))</f>
        <v> </v>
      </c>
      <c r="AM136" s="323" t="str">
        <f aca="false">IF($A136="N/A"," ",(1+AL136/2)^(-2*((EOMONTH(A136,0)+20)-DateToday)/365.25))</f>
        <v> </v>
      </c>
      <c r="BQ136" s="0" t="str">
        <f aca="false">IF($A136="N/A"," ",(VLOOKUP($A136,NumberofDaysTable,2)))</f>
        <v> </v>
      </c>
      <c r="BR136" s="0" t="str">
        <f aca="false">IF($A136="N/A"," ",(VLOOKUP($A136,NumberofDaysTable,3)))</f>
        <v> </v>
      </c>
      <c r="BS136" s="0" t="str">
        <f aca="false">IF($A136="N/A"," ",(VLOOKUP($A136,NumberofDaysTable,4)))</f>
        <v> </v>
      </c>
    </row>
    <row r="137" customFormat="false" ht="12.75" hidden="false" customHeight="false" outlineLevel="0" collapsed="false">
      <c r="A137" s="315" t="str">
        <f aca="false">IF(A136="N/A","N/A",IF(EDATE(A136,1)&gt;Inputs!$M$5,"N/A",EDATE(A136,1)))</f>
        <v>N/A</v>
      </c>
      <c r="B137" s="316" t="str">
        <f aca="false">IF(A137="N/A"," ",YEAR(A137))</f>
        <v> </v>
      </c>
      <c r="C137" s="324" t="str">
        <f aca="false">IF($A137="N/A"," ",IF(Dayrun1=10,0,IF(Scaler1=1,(VLOOKUP(A137,ScaledPrice1,4)),(VLOOKUP(A137,ScaledPrice1,2)))))</f>
        <v> </v>
      </c>
      <c r="D137" s="317" t="str">
        <f aca="false">IF(A137="N/A"," ",IF(Dayrun1&gt;=7,0,IF(Scaler1=2,VLOOKUP(A137,ScaledPrice1,2),(VLOOKUP(A137,ScaledPrice1,2))*(2-(VLOOKUP(A137,ScaledPrice1,3))))))</f>
        <v> </v>
      </c>
      <c r="E137" s="317" t="str">
        <f aca="false">IF($A137="N/A"," ",IF(AND(Dayrun1&gt;=4,Dayrun1&lt;=9),0,VLOOKUP($A137,ScaledPrice1,9)))</f>
        <v> </v>
      </c>
      <c r="F137" s="317" t="str">
        <f aca="false">IF(A137="N/A"," ",IF(OR(Dayrun1=2,Dayrun1=3,Dayrun1=5,Dayrun1=6,Dayrun1=8,Dayrun1=9),VLOOKUP(A137,ScaledPrice1,IF(Scaler1=1,6,5)),0))</f>
        <v> </v>
      </c>
      <c r="G137" s="317" t="str">
        <f aca="false">IF(A137="N/A"," ",IF(OR(Dayrun1=2,Dayrun1=3,Dayrun1=5,Dayrun1=6),IF(Scaler1=2,F137,(VLOOKUP(A137,ScaledPrice1,5))*(2-(VLOOKUP(A137,ScaledPrice1,3)))),0))</f>
        <v> </v>
      </c>
      <c r="H137" s="317" t="str">
        <f aca="false">IF($A137="N/A"," ",IF(OR(Dayrun1=2,Dayrun1=3,Dayrun1=10),VLOOKUP($A137,ScaledPrice1,9),0))</f>
        <v> </v>
      </c>
      <c r="I137" s="317" t="str">
        <f aca="false">IF(A137="N/A"," ",IF(OR(Dayrun1=3,Dayrun1=6,Dayrun1=9),(VLOOKUP(A137,ScaledPrice1,IF(Scaler1=2,7,8))),0))</f>
        <v> </v>
      </c>
      <c r="J137" s="317" t="str">
        <f aca="false">IF(A137="N/A"," ",IF(OR(Dayrun1=3,Dayrun1=6),IF(Scaler1=2,I137,(VLOOKUP(A137,ScaledPrice1,7))*(2-(VLOOKUP(A137,ScaledPrice1,3)))),0))</f>
        <v> </v>
      </c>
      <c r="K137" s="317" t="str">
        <f aca="false">IF($A137="N/A"," ",IF(OR(Dayrun1=3,Dayrun1=10),VLOOKUP($A137,ScaledPrice1,9),0))</f>
        <v> </v>
      </c>
      <c r="L137" s="318" t="str">
        <f aca="false">IF($A137="N/A"," ",IF(Pricetype1=2,MAX(C137,0),IF(OR(Pricetype1=1,Pricetype1=4),IF(C137=0,0,(EURO(C137,Strikeprice1,0,0,($AH137+IF(Smile=TRUE(),VLOOKUP(MAX(-5,Strikeprice1-C137),Volsmile,2),0)),($A137-DateToday)+15,IF(Pricetype1=1,1,0),0))),C137)))</f>
        <v> </v>
      </c>
      <c r="M137" s="318" t="str">
        <f aca="false">IF($A137="N/A"," ",IF(Pricetype1=2,MAX(D137,0),IF(OR(Pricetype1=1,Pricetype1=4),IF(D137=0,0,(EURO(D137,Strikeprice1,0,0,($AH137+IF(Smile=TRUE(),VLOOKUP(MAX(-5,Strikeprice1-D137),Volsmile,2),0)),($A137-DateToday)+15,IF(Pricetype1=1,1,0),0))),D137)))</f>
        <v> </v>
      </c>
      <c r="N137" s="318" t="str">
        <f aca="false">IF($A137="N/A"," ",IF(Pricetype1=2,MAX(E137,0),IF(OR(Pricetype1=1,Pricetype1=4),IF(E137=0,0,(EURO(E137,Strikeprice1,0,0,($AK137+IF(Smile=TRUE(),VLOOKUP(MAX(-5,Strikeprice1-E137),Volsmile,2),0)),($A137-DateToday)+15,IF(Pricetype1=1,1,0),0))),E137)))</f>
        <v> </v>
      </c>
      <c r="O137" s="318" t="str">
        <f aca="false">IF($A137="N/A"," ",IF(Pricetype1=2,MAX(F137,0),IF(OR(Pricetype1=1,Pricetype1=4),IF(F137=0,0,(EURO(F137,Strikeprice1,0,0,($AK137+IF(Smile=TRUE(),VLOOKUP(MAX(-5,Strikeprice1-F137),Volsmile,2),0)),($A137-DateToday)+15,IF(Pricetype1=1,1,0),0))),F137)))</f>
        <v> </v>
      </c>
      <c r="P137" s="318" t="str">
        <f aca="false">IF($A137="N/A"," ",IF(Pricetype1=2,MAX(G137,0),IF(OR(Pricetype1=1,Pricetype1=4),IF(G137=0,0,(EURO(G137,Strikeprice1,0,0,($AK137+IF(Smile=TRUE(),VLOOKUP(MAX(-5,Strikeprice1-G137),Volsmile,2),0)),($A137-DateToday)+15,IF(Pricetype1=1,1,0),0))),G137)))</f>
        <v> </v>
      </c>
      <c r="Q137" s="318" t="str">
        <f aca="false">IF($A137="N/A"," ",IF(Pricetype1=2,MAX(H137,0),IF(OR(Pricetype1=1,Pricetype1=4),IF(H137=0,0,(EURO(H137,Strikeprice1,0,0,($AK137+IF(Smile=TRUE(),VLOOKUP(MAX(-5,Strikeprice1-H137),Volsmile,2),0)),($A137-DateToday)+15,IF(Pricetype1=1,1,0),0))),H137)))</f>
        <v> </v>
      </c>
      <c r="R137" s="318" t="str">
        <f aca="false">IF($A137="N/A"," ",IF(Pricetype1=2,MAX(I137,0),IF(OR(Pricetype1=1,Pricetype1=4),IF(I137=0,0,(EURO(I137,Strikeprice1,0,0,($AK137+IF(Smile=TRUE(),VLOOKUP(MAX(-5,Strikeprice1-I137),Volsmile,2),0)),($A137-DateToday)+15,IF(Pricetype1=1,1,0),0))),I137)))</f>
        <v> </v>
      </c>
      <c r="S137" s="318" t="str">
        <f aca="false">IF($A137="N/A"," ",IF(Pricetype1=2,MAX(J137,0),IF(OR(Pricetype1=1,Pricetype1=4),IF(J137=0,0,(EURO(J137,Strikeprice1,0,0,($AK137+IF(Smile=TRUE(),VLOOKUP(MAX(-5,Strikeprice1-J137),Volsmile,2),0)),($A137-DateToday)+15,IF(Pricetype1=1,1,0),0))),J137)))</f>
        <v> </v>
      </c>
      <c r="T137" s="318" t="str">
        <f aca="false">IF($A137="N/A"," ",IF(Pricetype1=2,MAX(K137,0),IF(OR(Pricetype1=1,Pricetype1=4),IF(K137=0,0,(EURO(K137,Strikeprice1,0,0,($AK137+IF(Smile=TRUE(),VLOOKUP(MAX(-5,Strikeprice1-K137),Volsmile,2),0)),($A137-DateToday)+15,IF(Pricetype1=1,1,0),0))),K137)))</f>
        <v> </v>
      </c>
      <c r="U137" s="319" t="str">
        <f aca="false">IF($A137="N/A"," ",Volume1*$AM137)</f>
        <v> </v>
      </c>
      <c r="V137" s="320" t="str">
        <f aca="false">IF($A137="N/A"," ",$U137*(8*($BQ137))*L137)</f>
        <v> </v>
      </c>
      <c r="W137" s="320" t="str">
        <f aca="false">IF($A137="N/A"," ",$U137*(8*($BQ137))*M137)</f>
        <v> </v>
      </c>
      <c r="X137" s="320" t="str">
        <f aca="false">IF($A137="N/A"," ",$U137*(8*($BQ137))*N137)</f>
        <v> </v>
      </c>
      <c r="Y137" s="320" t="str">
        <f aca="false">IF($A137="N/A"," ",$U137*(8*($BR137))*O137)</f>
        <v> </v>
      </c>
      <c r="Z137" s="320" t="str">
        <f aca="false">IF($A137="N/A"," ",$U137*(8*($BR137))*P137)</f>
        <v> </v>
      </c>
      <c r="AA137" s="320" t="str">
        <f aca="false">IF($A137="N/A"," ",$U137*(8*($BR137))*Q137)</f>
        <v> </v>
      </c>
      <c r="AB137" s="320" t="str">
        <f aca="false">IF($A137="N/A"," ",$U137*(8*($BS137))*R137)</f>
        <v> </v>
      </c>
      <c r="AC137" s="320" t="str">
        <f aca="false">IF($A137="N/A"," ",$U137*(8*($BS137))*S137)</f>
        <v> </v>
      </c>
      <c r="AD137" s="320" t="str">
        <f aca="false">IF($A137="N/A"," ",$U137*(8*($BS137))*T137)</f>
        <v> </v>
      </c>
      <c r="AE137" s="320" t="str">
        <f aca="false">IF($A137="N/A"," ",SUM(V137:AD137))</f>
        <v> </v>
      </c>
      <c r="AF137" s="321" t="str">
        <f aca="false">IF(A137="N/A"," ",(VLOOKUP(A137,PowerVolTable,(IF(VolBMO1=2,7,IF(VolBMO1=1,6,8))),FALSE())))</f>
        <v> </v>
      </c>
      <c r="AG137" s="321" t="str">
        <f aca="false">IF(A137="N/A"," ",(VLOOKUP(A137,IntraPowerVol,(IF(VolBMO1=2,3,IF(VolBMO1=1,2,4))),FALSE())*VLOOKUP(MONTH($A137),Volscale,2)))</f>
        <v> </v>
      </c>
      <c r="AH137" s="321" t="str">
        <f aca="false">IF($A137="N/A"," ",IF(VolType1=1,AG137,AF137))</f>
        <v> </v>
      </c>
      <c r="AI137" s="321" t="str">
        <f aca="false">IF($A137="N/A"," ",(VLOOKUP($A137,OffPwrVolTable,(IF(VolBMO1=2,7,IF(VolBMO1=1,6,8))),FALSE())))</f>
        <v> </v>
      </c>
      <c r="AJ137" s="321" t="str">
        <f aca="false">IF($A137="N/A"," ",(VLOOKUP($A137,OffPwrVolTable,(IF(VolBMO1=2,3,IF(VolBMO1=1,2,4))),FALSE())*VLOOKUP(MONTH($A137),Volscale,2)))</f>
        <v> </v>
      </c>
      <c r="AK137" s="321" t="str">
        <f aca="false">IF($A137="N/A"," ",IF(VolType1=1,AJ137,AI137))</f>
        <v> </v>
      </c>
      <c r="AL137" s="321" t="str">
        <f aca="false">IF($A137="N/A"," ",IF(PV=1,0,'Pricing Inputs1'!R170))</f>
        <v> </v>
      </c>
      <c r="AM137" s="323" t="str">
        <f aca="false">IF($A137="N/A"," ",(1+AL137/2)^(-2*((EOMONTH(A137,0)+20)-DateToday)/365.25))</f>
        <v> </v>
      </c>
      <c r="BQ137" s="0" t="str">
        <f aca="false">IF($A137="N/A"," ",(VLOOKUP($A137,NumberofDaysTable,2)))</f>
        <v> </v>
      </c>
      <c r="BR137" s="0" t="str">
        <f aca="false">IF($A137="N/A"," ",(VLOOKUP($A137,NumberofDaysTable,3)))</f>
        <v> </v>
      </c>
      <c r="BS137" s="0" t="str">
        <f aca="false">IF($A137="N/A"," ",(VLOOKUP($A137,NumberofDaysTable,4)))</f>
        <v> </v>
      </c>
    </row>
    <row r="138" customFormat="false" ht="12.75" hidden="false" customHeight="false" outlineLevel="0" collapsed="false">
      <c r="A138" s="315" t="str">
        <f aca="false">IF(A137="N/A","N/A",IF(EDATE(A137,1)&gt;Inputs!$M$5,"N/A",EDATE(A137,1)))</f>
        <v>N/A</v>
      </c>
      <c r="B138" s="316" t="str">
        <f aca="false">IF(A138="N/A"," ",YEAR(A138))</f>
        <v> </v>
      </c>
      <c r="C138" s="324" t="str">
        <f aca="false">IF($A138="N/A"," ",IF(Dayrun1=10,0,IF(Scaler1=1,(VLOOKUP(A138,ScaledPrice1,4)),(VLOOKUP(A138,ScaledPrice1,2)))))</f>
        <v> </v>
      </c>
      <c r="D138" s="317" t="str">
        <f aca="false">IF(A138="N/A"," ",IF(Dayrun1&gt;=7,0,IF(Scaler1=2,VLOOKUP(A138,ScaledPrice1,2),(VLOOKUP(A138,ScaledPrice1,2))*(2-(VLOOKUP(A138,ScaledPrice1,3))))))</f>
        <v> </v>
      </c>
      <c r="E138" s="317" t="str">
        <f aca="false">IF($A138="N/A"," ",IF(AND(Dayrun1&gt;=4,Dayrun1&lt;=9),0,VLOOKUP($A138,ScaledPrice1,9)))</f>
        <v> </v>
      </c>
      <c r="F138" s="317" t="str">
        <f aca="false">IF(A138="N/A"," ",IF(OR(Dayrun1=2,Dayrun1=3,Dayrun1=5,Dayrun1=6,Dayrun1=8,Dayrun1=9),VLOOKUP(A138,ScaledPrice1,IF(Scaler1=1,6,5)),0))</f>
        <v> </v>
      </c>
      <c r="G138" s="317" t="str">
        <f aca="false">IF(A138="N/A"," ",IF(OR(Dayrun1=2,Dayrun1=3,Dayrun1=5,Dayrun1=6),IF(Scaler1=2,F138,(VLOOKUP(A138,ScaledPrice1,5))*(2-(VLOOKUP(A138,ScaledPrice1,3)))),0))</f>
        <v> </v>
      </c>
      <c r="H138" s="317" t="str">
        <f aca="false">IF($A138="N/A"," ",IF(OR(Dayrun1=2,Dayrun1=3,Dayrun1=10),VLOOKUP($A138,ScaledPrice1,9),0))</f>
        <v> </v>
      </c>
      <c r="I138" s="317" t="str">
        <f aca="false">IF(A138="N/A"," ",IF(OR(Dayrun1=3,Dayrun1=6,Dayrun1=9),(VLOOKUP(A138,ScaledPrice1,IF(Scaler1=2,7,8))),0))</f>
        <v> </v>
      </c>
      <c r="J138" s="317" t="str">
        <f aca="false">IF(A138="N/A"," ",IF(OR(Dayrun1=3,Dayrun1=6),IF(Scaler1=2,I138,(VLOOKUP(A138,ScaledPrice1,7))*(2-(VLOOKUP(A138,ScaledPrice1,3)))),0))</f>
        <v> </v>
      </c>
      <c r="K138" s="317" t="str">
        <f aca="false">IF($A138="N/A"," ",IF(OR(Dayrun1=3,Dayrun1=10),VLOOKUP($A138,ScaledPrice1,9),0))</f>
        <v> </v>
      </c>
      <c r="L138" s="318" t="str">
        <f aca="false">IF($A138="N/A"," ",IF(Pricetype1=2,MAX(C138,0),IF(OR(Pricetype1=1,Pricetype1=4),IF(C138=0,0,(EURO(C138,Strikeprice1,0,0,($AH138+IF(Smile=TRUE(),VLOOKUP(MAX(-5,Strikeprice1-C138),Volsmile,2),0)),($A138-DateToday)+15,IF(Pricetype1=1,1,0),0))),C138)))</f>
        <v> </v>
      </c>
      <c r="M138" s="318" t="str">
        <f aca="false">IF($A138="N/A"," ",IF(Pricetype1=2,MAX(D138,0),IF(OR(Pricetype1=1,Pricetype1=4),IF(D138=0,0,(EURO(D138,Strikeprice1,0,0,($AH138+IF(Smile=TRUE(),VLOOKUP(MAX(-5,Strikeprice1-D138),Volsmile,2),0)),($A138-DateToday)+15,IF(Pricetype1=1,1,0),0))),D138)))</f>
        <v> </v>
      </c>
      <c r="N138" s="318" t="str">
        <f aca="false">IF($A138="N/A"," ",IF(Pricetype1=2,MAX(E138,0),IF(OR(Pricetype1=1,Pricetype1=4),IF(E138=0,0,(EURO(E138,Strikeprice1,0,0,($AK138+IF(Smile=TRUE(),VLOOKUP(MAX(-5,Strikeprice1-E138),Volsmile,2),0)),($A138-DateToday)+15,IF(Pricetype1=1,1,0),0))),E138)))</f>
        <v> </v>
      </c>
      <c r="O138" s="318" t="str">
        <f aca="false">IF($A138="N/A"," ",IF(Pricetype1=2,MAX(F138,0),IF(OR(Pricetype1=1,Pricetype1=4),IF(F138=0,0,(EURO(F138,Strikeprice1,0,0,($AK138+IF(Smile=TRUE(),VLOOKUP(MAX(-5,Strikeprice1-F138),Volsmile,2),0)),($A138-DateToday)+15,IF(Pricetype1=1,1,0),0))),F138)))</f>
        <v> </v>
      </c>
      <c r="P138" s="318" t="str">
        <f aca="false">IF($A138="N/A"," ",IF(Pricetype1=2,MAX(G138,0),IF(OR(Pricetype1=1,Pricetype1=4),IF(G138=0,0,(EURO(G138,Strikeprice1,0,0,($AK138+IF(Smile=TRUE(),VLOOKUP(MAX(-5,Strikeprice1-G138),Volsmile,2),0)),($A138-DateToday)+15,IF(Pricetype1=1,1,0),0))),G138)))</f>
        <v> </v>
      </c>
      <c r="Q138" s="318" t="str">
        <f aca="false">IF($A138="N/A"," ",IF(Pricetype1=2,MAX(H138,0),IF(OR(Pricetype1=1,Pricetype1=4),IF(H138=0,0,(EURO(H138,Strikeprice1,0,0,($AK138+IF(Smile=TRUE(),VLOOKUP(MAX(-5,Strikeprice1-H138),Volsmile,2),0)),($A138-DateToday)+15,IF(Pricetype1=1,1,0),0))),H138)))</f>
        <v> </v>
      </c>
      <c r="R138" s="318" t="str">
        <f aca="false">IF($A138="N/A"," ",IF(Pricetype1=2,MAX(I138,0),IF(OR(Pricetype1=1,Pricetype1=4),IF(I138=0,0,(EURO(I138,Strikeprice1,0,0,($AK138+IF(Smile=TRUE(),VLOOKUP(MAX(-5,Strikeprice1-I138),Volsmile,2),0)),($A138-DateToday)+15,IF(Pricetype1=1,1,0),0))),I138)))</f>
        <v> </v>
      </c>
      <c r="S138" s="318" t="str">
        <f aca="false">IF($A138="N/A"," ",IF(Pricetype1=2,MAX(J138,0),IF(OR(Pricetype1=1,Pricetype1=4),IF(J138=0,0,(EURO(J138,Strikeprice1,0,0,($AK138+IF(Smile=TRUE(),VLOOKUP(MAX(-5,Strikeprice1-J138),Volsmile,2),0)),($A138-DateToday)+15,IF(Pricetype1=1,1,0),0))),J138)))</f>
        <v> </v>
      </c>
      <c r="T138" s="318" t="str">
        <f aca="false">IF($A138="N/A"," ",IF(Pricetype1=2,MAX(K138,0),IF(OR(Pricetype1=1,Pricetype1=4),IF(K138=0,0,(EURO(K138,Strikeprice1,0,0,($AK138+IF(Smile=TRUE(),VLOOKUP(MAX(-5,Strikeprice1-K138),Volsmile,2),0)),($A138-DateToday)+15,IF(Pricetype1=1,1,0),0))),K138)))</f>
        <v> </v>
      </c>
      <c r="U138" s="319" t="str">
        <f aca="false">IF($A138="N/A"," ",Volume1*$AM138)</f>
        <v> </v>
      </c>
      <c r="V138" s="320" t="str">
        <f aca="false">IF($A138="N/A"," ",$U138*(8*($BQ138))*L138)</f>
        <v> </v>
      </c>
      <c r="W138" s="320" t="str">
        <f aca="false">IF($A138="N/A"," ",$U138*(8*($BQ138))*M138)</f>
        <v> </v>
      </c>
      <c r="X138" s="320" t="str">
        <f aca="false">IF($A138="N/A"," ",$U138*(8*($BQ138))*N138)</f>
        <v> </v>
      </c>
      <c r="Y138" s="320" t="str">
        <f aca="false">IF($A138="N/A"," ",$U138*(8*($BR138))*O138)</f>
        <v> </v>
      </c>
      <c r="Z138" s="320" t="str">
        <f aca="false">IF($A138="N/A"," ",$U138*(8*($BR138))*P138)</f>
        <v> </v>
      </c>
      <c r="AA138" s="320" t="str">
        <f aca="false">IF($A138="N/A"," ",$U138*(8*($BR138))*Q138)</f>
        <v> </v>
      </c>
      <c r="AB138" s="320" t="str">
        <f aca="false">IF($A138="N/A"," ",$U138*(8*($BS138))*R138)</f>
        <v> </v>
      </c>
      <c r="AC138" s="320" t="str">
        <f aca="false">IF($A138="N/A"," ",$U138*(8*($BS138))*S138)</f>
        <v> </v>
      </c>
      <c r="AD138" s="320" t="str">
        <f aca="false">IF($A138="N/A"," ",$U138*(8*($BS138))*T138)</f>
        <v> </v>
      </c>
      <c r="AE138" s="320" t="str">
        <f aca="false">IF($A138="N/A"," ",SUM(V138:AD138))</f>
        <v> </v>
      </c>
      <c r="AF138" s="321" t="str">
        <f aca="false">IF(A138="N/A"," ",(VLOOKUP(A138,PowerVolTable,(IF(VolBMO1=2,7,IF(VolBMO1=1,6,8))),FALSE())))</f>
        <v> </v>
      </c>
      <c r="AG138" s="321" t="str">
        <f aca="false">IF(A138="N/A"," ",(VLOOKUP(A138,IntraPowerVol,(IF(VolBMO1=2,3,IF(VolBMO1=1,2,4))),FALSE())*VLOOKUP(MONTH($A138),Volscale,2)))</f>
        <v> </v>
      </c>
      <c r="AH138" s="321" t="str">
        <f aca="false">IF($A138="N/A"," ",IF(VolType1=1,AG138,AF138))</f>
        <v> </v>
      </c>
      <c r="AI138" s="321" t="str">
        <f aca="false">IF($A138="N/A"," ",(VLOOKUP($A138,OffPwrVolTable,(IF(VolBMO1=2,7,IF(VolBMO1=1,6,8))),FALSE())))</f>
        <v> </v>
      </c>
      <c r="AJ138" s="321" t="str">
        <f aca="false">IF($A138="N/A"," ",(VLOOKUP($A138,OffPwrVolTable,(IF(VolBMO1=2,3,IF(VolBMO1=1,2,4))),FALSE())*VLOOKUP(MONTH($A138),Volscale,2)))</f>
        <v> </v>
      </c>
      <c r="AK138" s="321" t="str">
        <f aca="false">IF($A138="N/A"," ",IF(VolType1=1,AJ138,AI138))</f>
        <v> </v>
      </c>
      <c r="AL138" s="321" t="str">
        <f aca="false">IF($A138="N/A"," ",IF(PV=1,0,'Pricing Inputs1'!R171))</f>
        <v> </v>
      </c>
      <c r="AM138" s="323" t="str">
        <f aca="false">IF($A138="N/A"," ",(1+AL138/2)^(-2*((EOMONTH(A138,0)+20)-DateToday)/365.25))</f>
        <v> </v>
      </c>
      <c r="BQ138" s="0" t="str">
        <f aca="false">IF($A138="N/A"," ",(VLOOKUP($A138,NumberofDaysTable,2)))</f>
        <v> </v>
      </c>
      <c r="BR138" s="0" t="str">
        <f aca="false">IF($A138="N/A"," ",(VLOOKUP($A138,NumberofDaysTable,3)))</f>
        <v> </v>
      </c>
      <c r="BS138" s="0" t="str">
        <f aca="false">IF($A138="N/A"," ",(VLOOKUP($A138,NumberofDaysTable,4)))</f>
        <v> </v>
      </c>
    </row>
    <row r="139" customFormat="false" ht="12.75" hidden="false" customHeight="false" outlineLevel="0" collapsed="false">
      <c r="A139" s="315" t="str">
        <f aca="false">IF(A138="N/A","N/A",IF(EDATE(A138,1)&gt;Inputs!$M$5,"N/A",EDATE(A138,1)))</f>
        <v>N/A</v>
      </c>
      <c r="B139" s="316" t="str">
        <f aca="false">IF(A139="N/A"," ",YEAR(A139))</f>
        <v> </v>
      </c>
      <c r="C139" s="324" t="str">
        <f aca="false">IF($A139="N/A"," ",IF(Dayrun1=10,0,IF(Scaler1=1,(VLOOKUP(A139,ScaledPrice1,4)),(VLOOKUP(A139,ScaledPrice1,2)))))</f>
        <v> </v>
      </c>
      <c r="D139" s="317" t="str">
        <f aca="false">IF(A139="N/A"," ",IF(Dayrun1&gt;=7,0,IF(Scaler1=2,VLOOKUP(A139,ScaledPrice1,2),(VLOOKUP(A139,ScaledPrice1,2))*(2-(VLOOKUP(A139,ScaledPrice1,3))))))</f>
        <v> </v>
      </c>
      <c r="E139" s="317" t="str">
        <f aca="false">IF($A139="N/A"," ",IF(AND(Dayrun1&gt;=4,Dayrun1&lt;=9),0,VLOOKUP($A139,ScaledPrice1,9)))</f>
        <v> </v>
      </c>
      <c r="F139" s="317" t="str">
        <f aca="false">IF(A139="N/A"," ",IF(OR(Dayrun1=2,Dayrun1=3,Dayrun1=5,Dayrun1=6,Dayrun1=8,Dayrun1=9),VLOOKUP(A139,ScaledPrice1,IF(Scaler1=1,6,5)),0))</f>
        <v> </v>
      </c>
      <c r="G139" s="317" t="str">
        <f aca="false">IF(A139="N/A"," ",IF(OR(Dayrun1=2,Dayrun1=3,Dayrun1=5,Dayrun1=6),IF(Scaler1=2,F139,(VLOOKUP(A139,ScaledPrice1,5))*(2-(VLOOKUP(A139,ScaledPrice1,3)))),0))</f>
        <v> </v>
      </c>
      <c r="H139" s="317" t="str">
        <f aca="false">IF($A139="N/A"," ",IF(OR(Dayrun1=2,Dayrun1=3,Dayrun1=10),VLOOKUP($A139,ScaledPrice1,9),0))</f>
        <v> </v>
      </c>
      <c r="I139" s="317" t="str">
        <f aca="false">IF(A139="N/A"," ",IF(OR(Dayrun1=3,Dayrun1=6,Dayrun1=9),(VLOOKUP(A139,ScaledPrice1,IF(Scaler1=2,7,8))),0))</f>
        <v> </v>
      </c>
      <c r="J139" s="317" t="str">
        <f aca="false">IF(A139="N/A"," ",IF(OR(Dayrun1=3,Dayrun1=6),IF(Scaler1=2,I139,(VLOOKUP(A139,ScaledPrice1,7))*(2-(VLOOKUP(A139,ScaledPrice1,3)))),0))</f>
        <v> </v>
      </c>
      <c r="K139" s="317" t="str">
        <f aca="false">IF($A139="N/A"," ",IF(OR(Dayrun1=3,Dayrun1=10),VLOOKUP($A139,ScaledPrice1,9),0))</f>
        <v> </v>
      </c>
      <c r="L139" s="318" t="str">
        <f aca="false">IF($A139="N/A"," ",IF(Pricetype1=2,MAX(C139,0),IF(OR(Pricetype1=1,Pricetype1=4),IF(C139=0,0,(EURO(C139,Strikeprice1,0,0,($AH139+IF(Smile=TRUE(),VLOOKUP(MAX(-5,Strikeprice1-C139),Volsmile,2),0)),($A139-DateToday)+15,IF(Pricetype1=1,1,0),0))),C139)))</f>
        <v> </v>
      </c>
      <c r="M139" s="318" t="str">
        <f aca="false">IF($A139="N/A"," ",IF(Pricetype1=2,MAX(D139,0),IF(OR(Pricetype1=1,Pricetype1=4),IF(D139=0,0,(EURO(D139,Strikeprice1,0,0,($AH139+IF(Smile=TRUE(),VLOOKUP(MAX(-5,Strikeprice1-D139),Volsmile,2),0)),($A139-DateToday)+15,IF(Pricetype1=1,1,0),0))),D139)))</f>
        <v> </v>
      </c>
      <c r="N139" s="318" t="str">
        <f aca="false">IF($A139="N/A"," ",IF(Pricetype1=2,MAX(E139,0),IF(OR(Pricetype1=1,Pricetype1=4),IF(E139=0,0,(EURO(E139,Strikeprice1,0,0,($AK139+IF(Smile=TRUE(),VLOOKUP(MAX(-5,Strikeprice1-E139),Volsmile,2),0)),($A139-DateToday)+15,IF(Pricetype1=1,1,0),0))),E139)))</f>
        <v> </v>
      </c>
      <c r="O139" s="318" t="str">
        <f aca="false">IF($A139="N/A"," ",IF(Pricetype1=2,MAX(F139,0),IF(OR(Pricetype1=1,Pricetype1=4),IF(F139=0,0,(EURO(F139,Strikeprice1,0,0,($AK139+IF(Smile=TRUE(),VLOOKUP(MAX(-5,Strikeprice1-F139),Volsmile,2),0)),($A139-DateToday)+15,IF(Pricetype1=1,1,0),0))),F139)))</f>
        <v> </v>
      </c>
      <c r="P139" s="318" t="str">
        <f aca="false">IF($A139="N/A"," ",IF(Pricetype1=2,MAX(G139,0),IF(OR(Pricetype1=1,Pricetype1=4),IF(G139=0,0,(EURO(G139,Strikeprice1,0,0,($AK139+IF(Smile=TRUE(),VLOOKUP(MAX(-5,Strikeprice1-G139),Volsmile,2),0)),($A139-DateToday)+15,IF(Pricetype1=1,1,0),0))),G139)))</f>
        <v> </v>
      </c>
      <c r="Q139" s="318" t="str">
        <f aca="false">IF($A139="N/A"," ",IF(Pricetype1=2,MAX(H139,0),IF(OR(Pricetype1=1,Pricetype1=4),IF(H139=0,0,(EURO(H139,Strikeprice1,0,0,($AK139+IF(Smile=TRUE(),VLOOKUP(MAX(-5,Strikeprice1-H139),Volsmile,2),0)),($A139-DateToday)+15,IF(Pricetype1=1,1,0),0))),H139)))</f>
        <v> </v>
      </c>
      <c r="R139" s="318" t="str">
        <f aca="false">IF($A139="N/A"," ",IF(Pricetype1=2,MAX(I139,0),IF(OR(Pricetype1=1,Pricetype1=4),IF(I139=0,0,(EURO(I139,Strikeprice1,0,0,($AK139+IF(Smile=TRUE(),VLOOKUP(MAX(-5,Strikeprice1-I139),Volsmile,2),0)),($A139-DateToday)+15,IF(Pricetype1=1,1,0),0))),I139)))</f>
        <v> </v>
      </c>
      <c r="S139" s="318" t="str">
        <f aca="false">IF($A139="N/A"," ",IF(Pricetype1=2,MAX(J139,0),IF(OR(Pricetype1=1,Pricetype1=4),IF(J139=0,0,(EURO(J139,Strikeprice1,0,0,($AK139+IF(Smile=TRUE(),VLOOKUP(MAX(-5,Strikeprice1-J139),Volsmile,2),0)),($A139-DateToday)+15,IF(Pricetype1=1,1,0),0))),J139)))</f>
        <v> </v>
      </c>
      <c r="T139" s="318" t="str">
        <f aca="false">IF($A139="N/A"," ",IF(Pricetype1=2,MAX(K139,0),IF(OR(Pricetype1=1,Pricetype1=4),IF(K139=0,0,(EURO(K139,Strikeprice1,0,0,($AK139+IF(Smile=TRUE(),VLOOKUP(MAX(-5,Strikeprice1-K139),Volsmile,2),0)),($A139-DateToday)+15,IF(Pricetype1=1,1,0),0))),K139)))</f>
        <v> </v>
      </c>
      <c r="U139" s="319" t="str">
        <f aca="false">IF($A139="N/A"," ",Volume1*$AM139)</f>
        <v> </v>
      </c>
      <c r="V139" s="320" t="str">
        <f aca="false">IF($A139="N/A"," ",$U139*(8*($BQ139))*L139)</f>
        <v> </v>
      </c>
      <c r="W139" s="320" t="str">
        <f aca="false">IF($A139="N/A"," ",$U139*(8*($BQ139))*M139)</f>
        <v> </v>
      </c>
      <c r="X139" s="320" t="str">
        <f aca="false">IF($A139="N/A"," ",$U139*(8*($BQ139))*N139)</f>
        <v> </v>
      </c>
      <c r="Y139" s="320" t="str">
        <f aca="false">IF($A139="N/A"," ",$U139*(8*($BR139))*O139)</f>
        <v> </v>
      </c>
      <c r="Z139" s="320" t="str">
        <f aca="false">IF($A139="N/A"," ",$U139*(8*($BR139))*P139)</f>
        <v> </v>
      </c>
      <c r="AA139" s="320" t="str">
        <f aca="false">IF($A139="N/A"," ",$U139*(8*($BR139))*Q139)</f>
        <v> </v>
      </c>
      <c r="AB139" s="320" t="str">
        <f aca="false">IF($A139="N/A"," ",$U139*(8*($BS139))*R139)</f>
        <v> </v>
      </c>
      <c r="AC139" s="320" t="str">
        <f aca="false">IF($A139="N/A"," ",$U139*(8*($BS139))*S139)</f>
        <v> </v>
      </c>
      <c r="AD139" s="320" t="str">
        <f aca="false">IF($A139="N/A"," ",$U139*(8*($BS139))*T139)</f>
        <v> </v>
      </c>
      <c r="AE139" s="320" t="str">
        <f aca="false">IF($A139="N/A"," ",SUM(V139:AD139))</f>
        <v> </v>
      </c>
      <c r="AF139" s="321" t="str">
        <f aca="false">IF(A139="N/A"," ",(VLOOKUP(A139,PowerVolTable,(IF(VolBMO1=2,7,IF(VolBMO1=1,6,8))),FALSE())))</f>
        <v> </v>
      </c>
      <c r="AG139" s="321" t="str">
        <f aca="false">IF(A139="N/A"," ",(VLOOKUP(A139,IntraPowerVol,(IF(VolBMO1=2,3,IF(VolBMO1=1,2,4))),FALSE())*VLOOKUP(MONTH($A139),Volscale,2)))</f>
        <v> </v>
      </c>
      <c r="AH139" s="321" t="str">
        <f aca="false">IF($A139="N/A"," ",IF(VolType1=1,AG139,AF139))</f>
        <v> </v>
      </c>
      <c r="AI139" s="321" t="str">
        <f aca="false">IF($A139="N/A"," ",(VLOOKUP($A139,OffPwrVolTable,(IF(VolBMO1=2,7,IF(VolBMO1=1,6,8))),FALSE())))</f>
        <v> </v>
      </c>
      <c r="AJ139" s="321" t="str">
        <f aca="false">IF($A139="N/A"," ",(VLOOKUP($A139,OffPwrVolTable,(IF(VolBMO1=2,3,IF(VolBMO1=1,2,4))),FALSE())*VLOOKUP(MONTH($A139),Volscale,2)))</f>
        <v> </v>
      </c>
      <c r="AK139" s="321" t="str">
        <f aca="false">IF($A139="N/A"," ",IF(VolType1=1,AJ139,AI139))</f>
        <v> </v>
      </c>
      <c r="AL139" s="321" t="str">
        <f aca="false">IF($A139="N/A"," ",IF(PV=1,0,'Pricing Inputs1'!R172))</f>
        <v> </v>
      </c>
      <c r="AM139" s="323" t="str">
        <f aca="false">IF($A139="N/A"," ",(1+AL139/2)^(-2*((EOMONTH(A139,0)+20)-DateToday)/365.25))</f>
        <v> </v>
      </c>
      <c r="BQ139" s="0" t="str">
        <f aca="false">IF($A139="N/A"," ",(VLOOKUP($A139,NumberofDaysTable,2)))</f>
        <v> </v>
      </c>
      <c r="BR139" s="0" t="str">
        <f aca="false">IF($A139="N/A"," ",(VLOOKUP($A139,NumberofDaysTable,3)))</f>
        <v> </v>
      </c>
      <c r="BS139" s="0" t="str">
        <f aca="false">IF($A139="N/A"," ",(VLOOKUP($A139,NumberofDaysTable,4)))</f>
        <v> </v>
      </c>
    </row>
    <row r="140" customFormat="false" ht="12.75" hidden="false" customHeight="false" outlineLevel="0" collapsed="false">
      <c r="A140" s="315" t="str">
        <f aca="false">IF(A139="N/A","N/A",IF(EDATE(A139,1)&gt;Inputs!$M$5,"N/A",EDATE(A139,1)))</f>
        <v>N/A</v>
      </c>
      <c r="B140" s="316" t="str">
        <f aca="false">IF(A140="N/A"," ",YEAR(A140))</f>
        <v> </v>
      </c>
      <c r="C140" s="324" t="str">
        <f aca="false">IF($A140="N/A"," ",IF(Dayrun1=10,0,IF(Scaler1=1,(VLOOKUP(A140,ScaledPrice1,4)),(VLOOKUP(A140,ScaledPrice1,2)))))</f>
        <v> </v>
      </c>
      <c r="D140" s="317" t="str">
        <f aca="false">IF(A140="N/A"," ",IF(Dayrun1&gt;=7,0,IF(Scaler1=2,VLOOKUP(A140,ScaledPrice1,2),(VLOOKUP(A140,ScaledPrice1,2))*(2-(VLOOKUP(A140,ScaledPrice1,3))))))</f>
        <v> </v>
      </c>
      <c r="E140" s="317" t="str">
        <f aca="false">IF($A140="N/A"," ",IF(AND(Dayrun1&gt;=4,Dayrun1&lt;=9),0,VLOOKUP($A140,ScaledPrice1,9)))</f>
        <v> </v>
      </c>
      <c r="F140" s="317" t="str">
        <f aca="false">IF(A140="N/A"," ",IF(OR(Dayrun1=2,Dayrun1=3,Dayrun1=5,Dayrun1=6,Dayrun1=8,Dayrun1=9),VLOOKUP(A140,ScaledPrice1,IF(Scaler1=1,6,5)),0))</f>
        <v> </v>
      </c>
      <c r="G140" s="317" t="str">
        <f aca="false">IF(A140="N/A"," ",IF(OR(Dayrun1=2,Dayrun1=3,Dayrun1=5,Dayrun1=6),IF(Scaler1=2,F140,(VLOOKUP(A140,ScaledPrice1,5))*(2-(VLOOKUP(A140,ScaledPrice1,3)))),0))</f>
        <v> </v>
      </c>
      <c r="H140" s="317" t="str">
        <f aca="false">IF($A140="N/A"," ",IF(OR(Dayrun1=2,Dayrun1=3,Dayrun1=10),VLOOKUP($A140,ScaledPrice1,9),0))</f>
        <v> </v>
      </c>
      <c r="I140" s="317" t="str">
        <f aca="false">IF(A140="N/A"," ",IF(OR(Dayrun1=3,Dayrun1=6,Dayrun1=9),(VLOOKUP(A140,ScaledPrice1,IF(Scaler1=2,7,8))),0))</f>
        <v> </v>
      </c>
      <c r="J140" s="317" t="str">
        <f aca="false">IF(A140="N/A"," ",IF(OR(Dayrun1=3,Dayrun1=6),IF(Scaler1=2,I140,(VLOOKUP(A140,ScaledPrice1,7))*(2-(VLOOKUP(A140,ScaledPrice1,3)))),0))</f>
        <v> </v>
      </c>
      <c r="K140" s="317" t="str">
        <f aca="false">IF($A140="N/A"," ",IF(OR(Dayrun1=3,Dayrun1=10),VLOOKUP($A140,ScaledPrice1,9),0))</f>
        <v> </v>
      </c>
      <c r="L140" s="318" t="str">
        <f aca="false">IF($A140="N/A"," ",IF(Pricetype1=2,MAX(C140,0),IF(OR(Pricetype1=1,Pricetype1=4),IF(C140=0,0,(EURO(C140,Strikeprice1,0,0,($AH140+IF(Smile=TRUE(),VLOOKUP(MAX(-5,Strikeprice1-C140),Volsmile,2),0)),($A140-DateToday)+15,IF(Pricetype1=1,1,0),0))),C140)))</f>
        <v> </v>
      </c>
      <c r="M140" s="318" t="str">
        <f aca="false">IF($A140="N/A"," ",IF(Pricetype1=2,MAX(D140,0),IF(OR(Pricetype1=1,Pricetype1=4),IF(D140=0,0,(EURO(D140,Strikeprice1,0,0,($AH140+IF(Smile=TRUE(),VLOOKUP(MAX(-5,Strikeprice1-D140),Volsmile,2),0)),($A140-DateToday)+15,IF(Pricetype1=1,1,0),0))),D140)))</f>
        <v> </v>
      </c>
      <c r="N140" s="318" t="str">
        <f aca="false">IF($A140="N/A"," ",IF(Pricetype1=2,MAX(E140,0),IF(OR(Pricetype1=1,Pricetype1=4),IF(E140=0,0,(EURO(E140,Strikeprice1,0,0,($AK140+IF(Smile=TRUE(),VLOOKUP(MAX(-5,Strikeprice1-E140),Volsmile,2),0)),($A140-DateToday)+15,IF(Pricetype1=1,1,0),0))),E140)))</f>
        <v> </v>
      </c>
      <c r="O140" s="318" t="str">
        <f aca="false">IF($A140="N/A"," ",IF(Pricetype1=2,MAX(F140,0),IF(OR(Pricetype1=1,Pricetype1=4),IF(F140=0,0,(EURO(F140,Strikeprice1,0,0,($AK140+IF(Smile=TRUE(),VLOOKUP(MAX(-5,Strikeprice1-F140),Volsmile,2),0)),($A140-DateToday)+15,IF(Pricetype1=1,1,0),0))),F140)))</f>
        <v> </v>
      </c>
      <c r="P140" s="318" t="str">
        <f aca="false">IF($A140="N/A"," ",IF(Pricetype1=2,MAX(G140,0),IF(OR(Pricetype1=1,Pricetype1=4),IF(G140=0,0,(EURO(G140,Strikeprice1,0,0,($AK140+IF(Smile=TRUE(),VLOOKUP(MAX(-5,Strikeprice1-G140),Volsmile,2),0)),($A140-DateToday)+15,IF(Pricetype1=1,1,0),0))),G140)))</f>
        <v> </v>
      </c>
      <c r="Q140" s="318" t="str">
        <f aca="false">IF($A140="N/A"," ",IF(Pricetype1=2,MAX(H140,0),IF(OR(Pricetype1=1,Pricetype1=4),IF(H140=0,0,(EURO(H140,Strikeprice1,0,0,($AK140+IF(Smile=TRUE(),VLOOKUP(MAX(-5,Strikeprice1-H140),Volsmile,2),0)),($A140-DateToday)+15,IF(Pricetype1=1,1,0),0))),H140)))</f>
        <v> </v>
      </c>
      <c r="R140" s="318" t="str">
        <f aca="false">IF($A140="N/A"," ",IF(Pricetype1=2,MAX(I140,0),IF(OR(Pricetype1=1,Pricetype1=4),IF(I140=0,0,(EURO(I140,Strikeprice1,0,0,($AK140+IF(Smile=TRUE(),VLOOKUP(MAX(-5,Strikeprice1-I140),Volsmile,2),0)),($A140-DateToday)+15,IF(Pricetype1=1,1,0),0))),I140)))</f>
        <v> </v>
      </c>
      <c r="S140" s="318" t="str">
        <f aca="false">IF($A140="N/A"," ",IF(Pricetype1=2,MAX(J140,0),IF(OR(Pricetype1=1,Pricetype1=4),IF(J140=0,0,(EURO(J140,Strikeprice1,0,0,($AK140+IF(Smile=TRUE(),VLOOKUP(MAX(-5,Strikeprice1-J140),Volsmile,2),0)),($A140-DateToday)+15,IF(Pricetype1=1,1,0),0))),J140)))</f>
        <v> </v>
      </c>
      <c r="T140" s="318" t="str">
        <f aca="false">IF($A140="N/A"," ",IF(Pricetype1=2,MAX(K140,0),IF(OR(Pricetype1=1,Pricetype1=4),IF(K140=0,0,(EURO(K140,Strikeprice1,0,0,($AK140+IF(Smile=TRUE(),VLOOKUP(MAX(-5,Strikeprice1-K140),Volsmile,2),0)),($A140-DateToday)+15,IF(Pricetype1=1,1,0),0))),K140)))</f>
        <v> </v>
      </c>
      <c r="U140" s="319" t="str">
        <f aca="false">IF($A140="N/A"," ",Volume1*$AM140)</f>
        <v> </v>
      </c>
      <c r="V140" s="320" t="str">
        <f aca="false">IF($A140="N/A"," ",$U140*(8*($BQ140))*L140)</f>
        <v> </v>
      </c>
      <c r="W140" s="320" t="str">
        <f aca="false">IF($A140="N/A"," ",$U140*(8*($BQ140))*M140)</f>
        <v> </v>
      </c>
      <c r="X140" s="320" t="str">
        <f aca="false">IF($A140="N/A"," ",$U140*(8*($BQ140))*N140)</f>
        <v> </v>
      </c>
      <c r="Y140" s="320" t="str">
        <f aca="false">IF($A140="N/A"," ",$U140*(8*($BR140))*O140)</f>
        <v> </v>
      </c>
      <c r="Z140" s="320" t="str">
        <f aca="false">IF($A140="N/A"," ",$U140*(8*($BR140))*P140)</f>
        <v> </v>
      </c>
      <c r="AA140" s="320" t="str">
        <f aca="false">IF($A140="N/A"," ",$U140*(8*($BR140))*Q140)</f>
        <v> </v>
      </c>
      <c r="AB140" s="320" t="str">
        <f aca="false">IF($A140="N/A"," ",$U140*(8*($BS140))*R140)</f>
        <v> </v>
      </c>
      <c r="AC140" s="320" t="str">
        <f aca="false">IF($A140="N/A"," ",$U140*(8*($BS140))*S140)</f>
        <v> </v>
      </c>
      <c r="AD140" s="320" t="str">
        <f aca="false">IF($A140="N/A"," ",$U140*(8*($BS140))*T140)</f>
        <v> </v>
      </c>
      <c r="AE140" s="320" t="str">
        <f aca="false">IF($A140="N/A"," ",SUM(V140:AD140))</f>
        <v> </v>
      </c>
      <c r="AF140" s="321" t="str">
        <f aca="false">IF(A140="N/A"," ",(VLOOKUP(A140,PowerVolTable,(IF(VolBMO1=2,7,IF(VolBMO1=1,6,8))),FALSE())))</f>
        <v> </v>
      </c>
      <c r="AG140" s="321" t="str">
        <f aca="false">IF(A140="N/A"," ",(VLOOKUP(A140,IntraPowerVol,(IF(VolBMO1=2,3,IF(VolBMO1=1,2,4))),FALSE())*VLOOKUP(MONTH($A140),Volscale,2)))</f>
        <v> </v>
      </c>
      <c r="AH140" s="321" t="str">
        <f aca="false">IF($A140="N/A"," ",IF(VolType1=1,AG140,AF140))</f>
        <v> </v>
      </c>
      <c r="AI140" s="321" t="str">
        <f aca="false">IF($A140="N/A"," ",(VLOOKUP($A140,OffPwrVolTable,(IF(VolBMO1=2,7,IF(VolBMO1=1,6,8))),FALSE())))</f>
        <v> </v>
      </c>
      <c r="AJ140" s="321" t="str">
        <f aca="false">IF($A140="N/A"," ",(VLOOKUP($A140,OffPwrVolTable,(IF(VolBMO1=2,3,IF(VolBMO1=1,2,4))),FALSE())*VLOOKUP(MONTH($A140),Volscale,2)))</f>
        <v> </v>
      </c>
      <c r="AK140" s="321" t="str">
        <f aca="false">IF($A140="N/A"," ",IF(VolType1=1,AJ140,AI140))</f>
        <v> </v>
      </c>
      <c r="AL140" s="321" t="str">
        <f aca="false">IF($A140="N/A"," ",IF(PV=1,0,'Pricing Inputs1'!R173))</f>
        <v> </v>
      </c>
      <c r="AM140" s="323" t="str">
        <f aca="false">IF($A140="N/A"," ",(1+AL140/2)^(-2*((EOMONTH(A140,0)+20)-DateToday)/365.25))</f>
        <v> </v>
      </c>
      <c r="BQ140" s="0" t="str">
        <f aca="false">IF($A140="N/A"," ",(VLOOKUP($A140,NumberofDaysTable,2)))</f>
        <v> </v>
      </c>
      <c r="BR140" s="0" t="str">
        <f aca="false">IF($A140="N/A"," ",(VLOOKUP($A140,NumberofDaysTable,3)))</f>
        <v> </v>
      </c>
      <c r="BS140" s="0" t="str">
        <f aca="false">IF($A140="N/A"," ",(VLOOKUP($A140,NumberofDaysTable,4)))</f>
        <v> </v>
      </c>
    </row>
    <row r="141" customFormat="false" ht="12.75" hidden="false" customHeight="false" outlineLevel="0" collapsed="false">
      <c r="A141" s="315" t="str">
        <f aca="false">IF(A140="N/A","N/A",IF(EDATE(A140,1)&gt;Inputs!$M$5,"N/A",EDATE(A140,1)))</f>
        <v>N/A</v>
      </c>
      <c r="B141" s="316" t="str">
        <f aca="false">IF(A141="N/A"," ",YEAR(A141))</f>
        <v> </v>
      </c>
      <c r="C141" s="324" t="str">
        <f aca="false">IF($A141="N/A"," ",IF(Dayrun1=10,0,IF(Scaler1=1,(VLOOKUP(A141,ScaledPrice1,4)),(VLOOKUP(A141,ScaledPrice1,2)))))</f>
        <v> </v>
      </c>
      <c r="D141" s="317" t="str">
        <f aca="false">IF(A141="N/A"," ",IF(Dayrun1&gt;=7,0,IF(Scaler1=2,VLOOKUP(A141,ScaledPrice1,2),(VLOOKUP(A141,ScaledPrice1,2))*(2-(VLOOKUP(A141,ScaledPrice1,3))))))</f>
        <v> </v>
      </c>
      <c r="E141" s="317" t="str">
        <f aca="false">IF($A141="N/A"," ",IF(AND(Dayrun1&gt;=4,Dayrun1&lt;=9),0,VLOOKUP($A141,ScaledPrice1,9)))</f>
        <v> </v>
      </c>
      <c r="F141" s="317" t="str">
        <f aca="false">IF(A141="N/A"," ",IF(OR(Dayrun1=2,Dayrun1=3,Dayrun1=5,Dayrun1=6,Dayrun1=8,Dayrun1=9),VLOOKUP(A141,ScaledPrice1,IF(Scaler1=1,6,5)),0))</f>
        <v> </v>
      </c>
      <c r="G141" s="317" t="str">
        <f aca="false">IF(A141="N/A"," ",IF(OR(Dayrun1=2,Dayrun1=3,Dayrun1=5,Dayrun1=6),IF(Scaler1=2,F141,(VLOOKUP(A141,ScaledPrice1,5))*(2-(VLOOKUP(A141,ScaledPrice1,3)))),0))</f>
        <v> </v>
      </c>
      <c r="H141" s="317" t="str">
        <f aca="false">IF($A141="N/A"," ",IF(OR(Dayrun1=2,Dayrun1=3,Dayrun1=10),VLOOKUP($A141,ScaledPrice1,9),0))</f>
        <v> </v>
      </c>
      <c r="I141" s="317" t="str">
        <f aca="false">IF(A141="N/A"," ",IF(OR(Dayrun1=3,Dayrun1=6,Dayrun1=9),(VLOOKUP(A141,ScaledPrice1,IF(Scaler1=2,7,8))),0))</f>
        <v> </v>
      </c>
      <c r="J141" s="317" t="str">
        <f aca="false">IF(A141="N/A"," ",IF(OR(Dayrun1=3,Dayrun1=6),IF(Scaler1=2,I141,(VLOOKUP(A141,ScaledPrice1,7))*(2-(VLOOKUP(A141,ScaledPrice1,3)))),0))</f>
        <v> </v>
      </c>
      <c r="K141" s="317" t="str">
        <f aca="false">IF($A141="N/A"," ",IF(OR(Dayrun1=3,Dayrun1=10),VLOOKUP($A141,ScaledPrice1,9),0))</f>
        <v> </v>
      </c>
      <c r="L141" s="318" t="str">
        <f aca="false">IF($A141="N/A"," ",IF(Pricetype1=2,MAX(C141,0),IF(OR(Pricetype1=1,Pricetype1=4),IF(C141=0,0,(EURO(C141,Strikeprice1,0,0,($AH141+IF(Smile=TRUE(),VLOOKUP(MAX(-5,Strikeprice1-C141),Volsmile,2),0)),($A141-DateToday)+15,IF(Pricetype1=1,1,0),0))),C141)))</f>
        <v> </v>
      </c>
      <c r="M141" s="318" t="str">
        <f aca="false">IF($A141="N/A"," ",IF(Pricetype1=2,MAX(D141,0),IF(OR(Pricetype1=1,Pricetype1=4),IF(D141=0,0,(EURO(D141,Strikeprice1,0,0,($AH141+IF(Smile=TRUE(),VLOOKUP(MAX(-5,Strikeprice1-D141),Volsmile,2),0)),($A141-DateToday)+15,IF(Pricetype1=1,1,0),0))),D141)))</f>
        <v> </v>
      </c>
      <c r="N141" s="318" t="str">
        <f aca="false">IF($A141="N/A"," ",IF(Pricetype1=2,MAX(E141,0),IF(OR(Pricetype1=1,Pricetype1=4),IF(E141=0,0,(EURO(E141,Strikeprice1,0,0,($AK141+IF(Smile=TRUE(),VLOOKUP(MAX(-5,Strikeprice1-E141),Volsmile,2),0)),($A141-DateToday)+15,IF(Pricetype1=1,1,0),0))),E141)))</f>
        <v> </v>
      </c>
      <c r="O141" s="318" t="str">
        <f aca="false">IF($A141="N/A"," ",IF(Pricetype1=2,MAX(F141,0),IF(OR(Pricetype1=1,Pricetype1=4),IF(F141=0,0,(EURO(F141,Strikeprice1,0,0,($AK141+IF(Smile=TRUE(),VLOOKUP(MAX(-5,Strikeprice1-F141),Volsmile,2),0)),($A141-DateToday)+15,IF(Pricetype1=1,1,0),0))),F141)))</f>
        <v> </v>
      </c>
      <c r="P141" s="318" t="str">
        <f aca="false">IF($A141="N/A"," ",IF(Pricetype1=2,MAX(G141,0),IF(OR(Pricetype1=1,Pricetype1=4),IF(G141=0,0,(EURO(G141,Strikeprice1,0,0,($AK141+IF(Smile=TRUE(),VLOOKUP(MAX(-5,Strikeprice1-G141),Volsmile,2),0)),($A141-DateToday)+15,IF(Pricetype1=1,1,0),0))),G141)))</f>
        <v> </v>
      </c>
      <c r="Q141" s="318" t="str">
        <f aca="false">IF($A141="N/A"," ",IF(Pricetype1=2,MAX(H141,0),IF(OR(Pricetype1=1,Pricetype1=4),IF(H141=0,0,(EURO(H141,Strikeprice1,0,0,($AK141+IF(Smile=TRUE(),VLOOKUP(MAX(-5,Strikeprice1-H141),Volsmile,2),0)),($A141-DateToday)+15,IF(Pricetype1=1,1,0),0))),H141)))</f>
        <v> </v>
      </c>
      <c r="R141" s="318" t="str">
        <f aca="false">IF($A141="N/A"," ",IF(Pricetype1=2,MAX(I141,0),IF(OR(Pricetype1=1,Pricetype1=4),IF(I141=0,0,(EURO(I141,Strikeprice1,0,0,($AK141+IF(Smile=TRUE(),VLOOKUP(MAX(-5,Strikeprice1-I141),Volsmile,2),0)),($A141-DateToday)+15,IF(Pricetype1=1,1,0),0))),I141)))</f>
        <v> </v>
      </c>
      <c r="S141" s="318" t="str">
        <f aca="false">IF($A141="N/A"," ",IF(Pricetype1=2,MAX(J141,0),IF(OR(Pricetype1=1,Pricetype1=4),IF(J141=0,0,(EURO(J141,Strikeprice1,0,0,($AK141+IF(Smile=TRUE(),VLOOKUP(MAX(-5,Strikeprice1-J141),Volsmile,2),0)),($A141-DateToday)+15,IF(Pricetype1=1,1,0),0))),J141)))</f>
        <v> </v>
      </c>
      <c r="T141" s="318" t="str">
        <f aca="false">IF($A141="N/A"," ",IF(Pricetype1=2,MAX(K141,0),IF(OR(Pricetype1=1,Pricetype1=4),IF(K141=0,0,(EURO(K141,Strikeprice1,0,0,($AK141+IF(Smile=TRUE(),VLOOKUP(MAX(-5,Strikeprice1-K141),Volsmile,2),0)),($A141-DateToday)+15,IF(Pricetype1=1,1,0),0))),K141)))</f>
        <v> </v>
      </c>
      <c r="U141" s="319" t="str">
        <f aca="false">IF($A141="N/A"," ",Volume1*$AM141)</f>
        <v> </v>
      </c>
      <c r="V141" s="320" t="str">
        <f aca="false">IF($A141="N/A"," ",$U141*(8*($BQ141))*L141)</f>
        <v> </v>
      </c>
      <c r="W141" s="320" t="str">
        <f aca="false">IF($A141="N/A"," ",$U141*(8*($BQ141))*M141)</f>
        <v> </v>
      </c>
      <c r="X141" s="320" t="str">
        <f aca="false">IF($A141="N/A"," ",$U141*(8*($BQ141))*N141)</f>
        <v> </v>
      </c>
      <c r="Y141" s="320" t="str">
        <f aca="false">IF($A141="N/A"," ",$U141*(8*($BR141))*O141)</f>
        <v> </v>
      </c>
      <c r="Z141" s="320" t="str">
        <f aca="false">IF($A141="N/A"," ",$U141*(8*($BR141))*P141)</f>
        <v> </v>
      </c>
      <c r="AA141" s="320" t="str">
        <f aca="false">IF($A141="N/A"," ",$U141*(8*($BR141))*Q141)</f>
        <v> </v>
      </c>
      <c r="AB141" s="320" t="str">
        <f aca="false">IF($A141="N/A"," ",$U141*(8*($BS141))*R141)</f>
        <v> </v>
      </c>
      <c r="AC141" s="320" t="str">
        <f aca="false">IF($A141="N/A"," ",$U141*(8*($BS141))*S141)</f>
        <v> </v>
      </c>
      <c r="AD141" s="320" t="str">
        <f aca="false">IF($A141="N/A"," ",$U141*(8*($BS141))*T141)</f>
        <v> </v>
      </c>
      <c r="AE141" s="320" t="str">
        <f aca="false">IF($A141="N/A"," ",SUM(V141:AD141))</f>
        <v> </v>
      </c>
      <c r="AF141" s="321" t="str">
        <f aca="false">IF(A141="N/A"," ",(VLOOKUP(A141,PowerVolTable,(IF(VolBMO1=2,7,IF(VolBMO1=1,6,8))),FALSE())))</f>
        <v> </v>
      </c>
      <c r="AG141" s="321" t="str">
        <f aca="false">IF(A141="N/A"," ",(VLOOKUP(A141,IntraPowerVol,(IF(VolBMO1=2,3,IF(VolBMO1=1,2,4))),FALSE())*VLOOKUP(MONTH($A141),Volscale,2)))</f>
        <v> </v>
      </c>
      <c r="AH141" s="321" t="str">
        <f aca="false">IF($A141="N/A"," ",IF(VolType1=1,AG141,AF141))</f>
        <v> </v>
      </c>
      <c r="AI141" s="321" t="str">
        <f aca="false">IF($A141="N/A"," ",(VLOOKUP($A141,OffPwrVolTable,(IF(VolBMO1=2,7,IF(VolBMO1=1,6,8))),FALSE())))</f>
        <v> </v>
      </c>
      <c r="AJ141" s="321" t="str">
        <f aca="false">IF($A141="N/A"," ",(VLOOKUP($A141,OffPwrVolTable,(IF(VolBMO1=2,3,IF(VolBMO1=1,2,4))),FALSE())*VLOOKUP(MONTH($A141),Volscale,2)))</f>
        <v> </v>
      </c>
      <c r="AK141" s="321" t="str">
        <f aca="false">IF($A141="N/A"," ",IF(VolType1=1,AJ141,AI141))</f>
        <v> </v>
      </c>
      <c r="AL141" s="321" t="str">
        <f aca="false">IF($A141="N/A"," ",IF(PV=1,0,'Pricing Inputs1'!R174))</f>
        <v> </v>
      </c>
      <c r="AM141" s="323" t="str">
        <f aca="false">IF($A141="N/A"," ",(1+AL141/2)^(-2*((EOMONTH(A141,0)+20)-DateToday)/365.25))</f>
        <v> </v>
      </c>
      <c r="BQ141" s="0" t="str">
        <f aca="false">IF($A141="N/A"," ",(VLOOKUP($A141,NumberofDaysTable,2)))</f>
        <v> </v>
      </c>
      <c r="BR141" s="0" t="str">
        <f aca="false">IF($A141="N/A"," ",(VLOOKUP($A141,NumberofDaysTable,3)))</f>
        <v> </v>
      </c>
      <c r="BS141" s="0" t="str">
        <f aca="false">IF($A141="N/A"," ",(VLOOKUP($A141,NumberofDaysTable,4)))</f>
        <v> </v>
      </c>
    </row>
    <row r="142" customFormat="false" ht="12.75" hidden="false" customHeight="false" outlineLevel="0" collapsed="false">
      <c r="A142" s="315" t="str">
        <f aca="false">IF(A141="N/A","N/A",IF(EDATE(A141,1)&gt;Inputs!$M$5,"N/A",EDATE(A141,1)))</f>
        <v>N/A</v>
      </c>
      <c r="B142" s="316" t="str">
        <f aca="false">IF(A142="N/A"," ",YEAR(A142))</f>
        <v> </v>
      </c>
      <c r="C142" s="324" t="str">
        <f aca="false">IF($A142="N/A"," ",IF(Dayrun1=10,0,IF(Scaler1=1,(VLOOKUP(A142,ScaledPrice1,4)),(VLOOKUP(A142,ScaledPrice1,2)))))</f>
        <v> </v>
      </c>
      <c r="D142" s="317" t="str">
        <f aca="false">IF(A142="N/A"," ",IF(Dayrun1&gt;=7,0,IF(Scaler1=2,VLOOKUP(A142,ScaledPrice1,2),(VLOOKUP(A142,ScaledPrice1,2))*(2-(VLOOKUP(A142,ScaledPrice1,3))))))</f>
        <v> </v>
      </c>
      <c r="E142" s="317" t="str">
        <f aca="false">IF($A142="N/A"," ",IF(AND(Dayrun1&gt;=4,Dayrun1&lt;=9),0,VLOOKUP($A142,ScaledPrice1,9)))</f>
        <v> </v>
      </c>
      <c r="F142" s="317" t="str">
        <f aca="false">IF(A142="N/A"," ",IF(OR(Dayrun1=2,Dayrun1=3,Dayrun1=5,Dayrun1=6,Dayrun1=8,Dayrun1=9),VLOOKUP(A142,ScaledPrice1,IF(Scaler1=1,6,5)),0))</f>
        <v> </v>
      </c>
      <c r="G142" s="317" t="str">
        <f aca="false">IF(A142="N/A"," ",IF(OR(Dayrun1=2,Dayrun1=3,Dayrun1=5,Dayrun1=6),IF(Scaler1=2,F142,(VLOOKUP(A142,ScaledPrice1,5))*(2-(VLOOKUP(A142,ScaledPrice1,3)))),0))</f>
        <v> </v>
      </c>
      <c r="H142" s="317" t="str">
        <f aca="false">IF($A142="N/A"," ",IF(OR(Dayrun1=2,Dayrun1=3,Dayrun1=10),VLOOKUP($A142,ScaledPrice1,9),0))</f>
        <v> </v>
      </c>
      <c r="I142" s="317" t="str">
        <f aca="false">IF(A142="N/A"," ",IF(OR(Dayrun1=3,Dayrun1=6,Dayrun1=9),(VLOOKUP(A142,ScaledPrice1,IF(Scaler1=2,7,8))),0))</f>
        <v> </v>
      </c>
      <c r="J142" s="317" t="str">
        <f aca="false">IF(A142="N/A"," ",IF(OR(Dayrun1=3,Dayrun1=6),IF(Scaler1=2,I142,(VLOOKUP(A142,ScaledPrice1,7))*(2-(VLOOKUP(A142,ScaledPrice1,3)))),0))</f>
        <v> </v>
      </c>
      <c r="K142" s="317" t="str">
        <f aca="false">IF($A142="N/A"," ",IF(OR(Dayrun1=3,Dayrun1=10),VLOOKUP($A142,ScaledPrice1,9),0))</f>
        <v> </v>
      </c>
      <c r="L142" s="318" t="str">
        <f aca="false">IF($A142="N/A"," ",IF(Pricetype1=2,MAX(C142,0),IF(OR(Pricetype1=1,Pricetype1=4),IF(C142=0,0,(EURO(C142,Strikeprice1,0,0,($AH142+IF(Smile=TRUE(),VLOOKUP(MAX(-5,Strikeprice1-C142),Volsmile,2),0)),($A142-DateToday)+15,IF(Pricetype1=1,1,0),0))),C142)))</f>
        <v> </v>
      </c>
      <c r="M142" s="318" t="str">
        <f aca="false">IF($A142="N/A"," ",IF(Pricetype1=2,MAX(D142,0),IF(OR(Pricetype1=1,Pricetype1=4),IF(D142=0,0,(EURO(D142,Strikeprice1,0,0,($AH142+IF(Smile=TRUE(),VLOOKUP(MAX(-5,Strikeprice1-D142),Volsmile,2),0)),($A142-DateToday)+15,IF(Pricetype1=1,1,0),0))),D142)))</f>
        <v> </v>
      </c>
      <c r="N142" s="318" t="str">
        <f aca="false">IF($A142="N/A"," ",IF(Pricetype1=2,MAX(E142,0),IF(OR(Pricetype1=1,Pricetype1=4),IF(E142=0,0,(EURO(E142,Strikeprice1,0,0,($AK142+IF(Smile=TRUE(),VLOOKUP(MAX(-5,Strikeprice1-E142),Volsmile,2),0)),($A142-DateToday)+15,IF(Pricetype1=1,1,0),0))),E142)))</f>
        <v> </v>
      </c>
      <c r="O142" s="318" t="str">
        <f aca="false">IF($A142="N/A"," ",IF(Pricetype1=2,MAX(F142,0),IF(OR(Pricetype1=1,Pricetype1=4),IF(F142=0,0,(EURO(F142,Strikeprice1,0,0,($AK142+IF(Smile=TRUE(),VLOOKUP(MAX(-5,Strikeprice1-F142),Volsmile,2),0)),($A142-DateToday)+15,IF(Pricetype1=1,1,0),0))),F142)))</f>
        <v> </v>
      </c>
      <c r="P142" s="318" t="str">
        <f aca="false">IF($A142="N/A"," ",IF(Pricetype1=2,MAX(G142,0),IF(OR(Pricetype1=1,Pricetype1=4),IF(G142=0,0,(EURO(G142,Strikeprice1,0,0,($AK142+IF(Smile=TRUE(),VLOOKUP(MAX(-5,Strikeprice1-G142),Volsmile,2),0)),($A142-DateToday)+15,IF(Pricetype1=1,1,0),0))),G142)))</f>
        <v> </v>
      </c>
      <c r="Q142" s="318" t="str">
        <f aca="false">IF($A142="N/A"," ",IF(Pricetype1=2,MAX(H142,0),IF(OR(Pricetype1=1,Pricetype1=4),IF(H142=0,0,(EURO(H142,Strikeprice1,0,0,($AK142+IF(Smile=TRUE(),VLOOKUP(MAX(-5,Strikeprice1-H142),Volsmile,2),0)),($A142-DateToday)+15,IF(Pricetype1=1,1,0),0))),H142)))</f>
        <v> </v>
      </c>
      <c r="R142" s="318" t="str">
        <f aca="false">IF($A142="N/A"," ",IF(Pricetype1=2,MAX(I142,0),IF(OR(Pricetype1=1,Pricetype1=4),IF(I142=0,0,(EURO(I142,Strikeprice1,0,0,($AK142+IF(Smile=TRUE(),VLOOKUP(MAX(-5,Strikeprice1-I142),Volsmile,2),0)),($A142-DateToday)+15,IF(Pricetype1=1,1,0),0))),I142)))</f>
        <v> </v>
      </c>
      <c r="S142" s="318" t="str">
        <f aca="false">IF($A142="N/A"," ",IF(Pricetype1=2,MAX(J142,0),IF(OR(Pricetype1=1,Pricetype1=4),IF(J142=0,0,(EURO(J142,Strikeprice1,0,0,($AK142+IF(Smile=TRUE(),VLOOKUP(MAX(-5,Strikeprice1-J142),Volsmile,2),0)),($A142-DateToday)+15,IF(Pricetype1=1,1,0),0))),J142)))</f>
        <v> </v>
      </c>
      <c r="T142" s="318" t="str">
        <f aca="false">IF($A142="N/A"," ",IF(Pricetype1=2,MAX(K142,0),IF(OR(Pricetype1=1,Pricetype1=4),IF(K142=0,0,(EURO(K142,Strikeprice1,0,0,($AK142+IF(Smile=TRUE(),VLOOKUP(MAX(-5,Strikeprice1-K142),Volsmile,2),0)),($A142-DateToday)+15,IF(Pricetype1=1,1,0),0))),K142)))</f>
        <v> </v>
      </c>
      <c r="U142" s="319" t="str">
        <f aca="false">IF($A142="N/A"," ",Volume1*$AM142)</f>
        <v> </v>
      </c>
      <c r="V142" s="320" t="str">
        <f aca="false">IF($A142="N/A"," ",$U142*(8*($BQ142))*L142)</f>
        <v> </v>
      </c>
      <c r="W142" s="320" t="str">
        <f aca="false">IF($A142="N/A"," ",$U142*(8*($BQ142))*M142)</f>
        <v> </v>
      </c>
      <c r="X142" s="320" t="str">
        <f aca="false">IF($A142="N/A"," ",$U142*(8*($BQ142))*N142)</f>
        <v> </v>
      </c>
      <c r="Y142" s="320" t="str">
        <f aca="false">IF($A142="N/A"," ",$U142*(8*($BR142))*O142)</f>
        <v> </v>
      </c>
      <c r="Z142" s="320" t="str">
        <f aca="false">IF($A142="N/A"," ",$U142*(8*($BR142))*P142)</f>
        <v> </v>
      </c>
      <c r="AA142" s="320" t="str">
        <f aca="false">IF($A142="N/A"," ",$U142*(8*($BR142))*Q142)</f>
        <v> </v>
      </c>
      <c r="AB142" s="320" t="str">
        <f aca="false">IF($A142="N/A"," ",$U142*(8*($BS142))*R142)</f>
        <v> </v>
      </c>
      <c r="AC142" s="320" t="str">
        <f aca="false">IF($A142="N/A"," ",$U142*(8*($BS142))*S142)</f>
        <v> </v>
      </c>
      <c r="AD142" s="320" t="str">
        <f aca="false">IF($A142="N/A"," ",$U142*(8*($BS142))*T142)</f>
        <v> </v>
      </c>
      <c r="AE142" s="320" t="str">
        <f aca="false">IF($A142="N/A"," ",SUM(V142:AD142))</f>
        <v> </v>
      </c>
      <c r="AF142" s="321" t="str">
        <f aca="false">IF(A142="N/A"," ",(VLOOKUP(A142,PowerVolTable,(IF(VolBMO1=2,7,IF(VolBMO1=1,6,8))),FALSE())))</f>
        <v> </v>
      </c>
      <c r="AG142" s="321" t="str">
        <f aca="false">IF(A142="N/A"," ",(VLOOKUP(A142,IntraPowerVol,(IF(VolBMO1=2,3,IF(VolBMO1=1,2,4))),FALSE())*VLOOKUP(MONTH($A142),Volscale,2)))</f>
        <v> </v>
      </c>
      <c r="AH142" s="321" t="str">
        <f aca="false">IF($A142="N/A"," ",IF(VolType1=1,AG142,AF142))</f>
        <v> </v>
      </c>
      <c r="AI142" s="321" t="str">
        <f aca="false">IF($A142="N/A"," ",(VLOOKUP($A142,OffPwrVolTable,(IF(VolBMO1=2,7,IF(VolBMO1=1,6,8))),FALSE())))</f>
        <v> </v>
      </c>
      <c r="AJ142" s="321" t="str">
        <f aca="false">IF($A142="N/A"," ",(VLOOKUP($A142,OffPwrVolTable,(IF(VolBMO1=2,3,IF(VolBMO1=1,2,4))),FALSE())*VLOOKUP(MONTH($A142),Volscale,2)))</f>
        <v> </v>
      </c>
      <c r="AK142" s="321" t="str">
        <f aca="false">IF($A142="N/A"," ",IF(VolType1=1,AJ142,AI142))</f>
        <v> </v>
      </c>
      <c r="AL142" s="321" t="str">
        <f aca="false">IF($A142="N/A"," ",IF(PV=1,0,'Pricing Inputs1'!R175))</f>
        <v> </v>
      </c>
      <c r="AM142" s="323" t="str">
        <f aca="false">IF($A142="N/A"," ",(1+AL142/2)^(-2*((EOMONTH(A142,0)+20)-DateToday)/365.25))</f>
        <v> </v>
      </c>
      <c r="BQ142" s="0" t="str">
        <f aca="false">IF($A142="N/A"," ",(VLOOKUP($A142,NumberofDaysTable,2)))</f>
        <v> </v>
      </c>
      <c r="BR142" s="0" t="str">
        <f aca="false">IF($A142="N/A"," ",(VLOOKUP($A142,NumberofDaysTable,3)))</f>
        <v> </v>
      </c>
      <c r="BS142" s="0" t="str">
        <f aca="false">IF($A142="N/A"," ",(VLOOKUP($A142,NumberofDaysTable,4)))</f>
        <v> </v>
      </c>
    </row>
    <row r="143" customFormat="false" ht="12.75" hidden="false" customHeight="false" outlineLevel="0" collapsed="false">
      <c r="A143" s="315" t="str">
        <f aca="false">IF(A142="N/A","N/A",IF(EDATE(A142,1)&gt;Inputs!$M$5,"N/A",EDATE(A142,1)))</f>
        <v>N/A</v>
      </c>
      <c r="B143" s="316" t="str">
        <f aca="false">IF(A143="N/A"," ",YEAR(A143))</f>
        <v> </v>
      </c>
      <c r="C143" s="324" t="str">
        <f aca="false">IF($A143="N/A"," ",IF(Dayrun1=10,0,IF(Scaler1=1,(VLOOKUP(A143,ScaledPrice1,4)),(VLOOKUP(A143,ScaledPrice1,2)))))</f>
        <v> </v>
      </c>
      <c r="D143" s="317" t="str">
        <f aca="false">IF(A143="N/A"," ",IF(Dayrun1&gt;=7,0,IF(Scaler1=2,VLOOKUP(A143,ScaledPrice1,2),(VLOOKUP(A143,ScaledPrice1,2))*(2-(VLOOKUP(A143,ScaledPrice1,3))))))</f>
        <v> </v>
      </c>
      <c r="E143" s="317" t="str">
        <f aca="false">IF($A143="N/A"," ",IF(AND(Dayrun1&gt;=4,Dayrun1&lt;=9),0,VLOOKUP($A143,ScaledPrice1,9)))</f>
        <v> </v>
      </c>
      <c r="F143" s="317" t="str">
        <f aca="false">IF(A143="N/A"," ",IF(OR(Dayrun1=2,Dayrun1=3,Dayrun1=5,Dayrun1=6,Dayrun1=8,Dayrun1=9),VLOOKUP(A143,ScaledPrice1,IF(Scaler1=1,6,5)),0))</f>
        <v> </v>
      </c>
      <c r="G143" s="317" t="str">
        <f aca="false">IF(A143="N/A"," ",IF(OR(Dayrun1=2,Dayrun1=3,Dayrun1=5,Dayrun1=6),IF(Scaler1=2,F143,(VLOOKUP(A143,ScaledPrice1,5))*(2-(VLOOKUP(A143,ScaledPrice1,3)))),0))</f>
        <v> </v>
      </c>
      <c r="H143" s="317" t="str">
        <f aca="false">IF($A143="N/A"," ",IF(OR(Dayrun1=2,Dayrun1=3,Dayrun1=10),VLOOKUP($A143,ScaledPrice1,9),0))</f>
        <v> </v>
      </c>
      <c r="I143" s="317" t="str">
        <f aca="false">IF(A143="N/A"," ",IF(OR(Dayrun1=3,Dayrun1=6,Dayrun1=9),(VLOOKUP(A143,ScaledPrice1,IF(Scaler1=2,7,8))),0))</f>
        <v> </v>
      </c>
      <c r="J143" s="317" t="str">
        <f aca="false">IF(A143="N/A"," ",IF(OR(Dayrun1=3,Dayrun1=6),IF(Scaler1=2,I143,(VLOOKUP(A143,ScaledPrice1,7))*(2-(VLOOKUP(A143,ScaledPrice1,3)))),0))</f>
        <v> </v>
      </c>
      <c r="K143" s="317" t="str">
        <f aca="false">IF($A143="N/A"," ",IF(OR(Dayrun1=3,Dayrun1=10),VLOOKUP($A143,ScaledPrice1,9),0))</f>
        <v> </v>
      </c>
      <c r="L143" s="318" t="str">
        <f aca="false">IF($A143="N/A"," ",IF(Pricetype1=2,MAX(C143,0),IF(OR(Pricetype1=1,Pricetype1=4),IF(C143=0,0,(EURO(C143,Strikeprice1,0,0,($AH143+IF(Smile=TRUE(),VLOOKUP(MAX(-5,Strikeprice1-C143),Volsmile,2),0)),($A143-DateToday)+15,IF(Pricetype1=1,1,0),0))),C143)))</f>
        <v> </v>
      </c>
      <c r="M143" s="318" t="str">
        <f aca="false">IF($A143="N/A"," ",IF(Pricetype1=2,MAX(D143,0),IF(OR(Pricetype1=1,Pricetype1=4),IF(D143=0,0,(EURO(D143,Strikeprice1,0,0,($AH143+IF(Smile=TRUE(),VLOOKUP(MAX(-5,Strikeprice1-D143),Volsmile,2),0)),($A143-DateToday)+15,IF(Pricetype1=1,1,0),0))),D143)))</f>
        <v> </v>
      </c>
      <c r="N143" s="318" t="str">
        <f aca="false">IF($A143="N/A"," ",IF(Pricetype1=2,MAX(E143,0),IF(OR(Pricetype1=1,Pricetype1=4),IF(E143=0,0,(EURO(E143,Strikeprice1,0,0,($AK143+IF(Smile=TRUE(),VLOOKUP(MAX(-5,Strikeprice1-E143),Volsmile,2),0)),($A143-DateToday)+15,IF(Pricetype1=1,1,0),0))),E143)))</f>
        <v> </v>
      </c>
      <c r="O143" s="318" t="str">
        <f aca="false">IF($A143="N/A"," ",IF(Pricetype1=2,MAX(F143,0),IF(OR(Pricetype1=1,Pricetype1=4),IF(F143=0,0,(EURO(F143,Strikeprice1,0,0,($AK143+IF(Smile=TRUE(),VLOOKUP(MAX(-5,Strikeprice1-F143),Volsmile,2),0)),($A143-DateToday)+15,IF(Pricetype1=1,1,0),0))),F143)))</f>
        <v> </v>
      </c>
      <c r="P143" s="318" t="str">
        <f aca="false">IF($A143="N/A"," ",IF(Pricetype1=2,MAX(G143,0),IF(OR(Pricetype1=1,Pricetype1=4),IF(G143=0,0,(EURO(G143,Strikeprice1,0,0,($AK143+IF(Smile=TRUE(),VLOOKUP(MAX(-5,Strikeprice1-G143),Volsmile,2),0)),($A143-DateToday)+15,IF(Pricetype1=1,1,0),0))),G143)))</f>
        <v> </v>
      </c>
      <c r="Q143" s="318" t="str">
        <f aca="false">IF($A143="N/A"," ",IF(Pricetype1=2,MAX(H143,0),IF(OR(Pricetype1=1,Pricetype1=4),IF(H143=0,0,(EURO(H143,Strikeprice1,0,0,($AK143+IF(Smile=TRUE(),VLOOKUP(MAX(-5,Strikeprice1-H143),Volsmile,2),0)),($A143-DateToday)+15,IF(Pricetype1=1,1,0),0))),H143)))</f>
        <v> </v>
      </c>
      <c r="R143" s="318" t="str">
        <f aca="false">IF($A143="N/A"," ",IF(Pricetype1=2,MAX(I143,0),IF(OR(Pricetype1=1,Pricetype1=4),IF(I143=0,0,(EURO(I143,Strikeprice1,0,0,($AK143+IF(Smile=TRUE(),VLOOKUP(MAX(-5,Strikeprice1-I143),Volsmile,2),0)),($A143-DateToday)+15,IF(Pricetype1=1,1,0),0))),I143)))</f>
        <v> </v>
      </c>
      <c r="S143" s="318" t="str">
        <f aca="false">IF($A143="N/A"," ",IF(Pricetype1=2,MAX(J143,0),IF(OR(Pricetype1=1,Pricetype1=4),IF(J143=0,0,(EURO(J143,Strikeprice1,0,0,($AK143+IF(Smile=TRUE(),VLOOKUP(MAX(-5,Strikeprice1-J143),Volsmile,2),0)),($A143-DateToday)+15,IF(Pricetype1=1,1,0),0))),J143)))</f>
        <v> </v>
      </c>
      <c r="T143" s="318" t="str">
        <f aca="false">IF($A143="N/A"," ",IF(Pricetype1=2,MAX(K143,0),IF(OR(Pricetype1=1,Pricetype1=4),IF(K143=0,0,(EURO(K143,Strikeprice1,0,0,($AK143+IF(Smile=TRUE(),VLOOKUP(MAX(-5,Strikeprice1-K143),Volsmile,2),0)),($A143-DateToday)+15,IF(Pricetype1=1,1,0),0))),K143)))</f>
        <v> </v>
      </c>
      <c r="U143" s="319" t="str">
        <f aca="false">IF($A143="N/A"," ",Volume1*$AM143)</f>
        <v> </v>
      </c>
      <c r="V143" s="320" t="str">
        <f aca="false">IF($A143="N/A"," ",$U143*(8*($BQ143))*L143)</f>
        <v> </v>
      </c>
      <c r="W143" s="320" t="str">
        <f aca="false">IF($A143="N/A"," ",$U143*(8*($BQ143))*M143)</f>
        <v> </v>
      </c>
      <c r="X143" s="320" t="str">
        <f aca="false">IF($A143="N/A"," ",$U143*(8*($BQ143))*N143)</f>
        <v> </v>
      </c>
      <c r="Y143" s="320" t="str">
        <f aca="false">IF($A143="N/A"," ",$U143*(8*($BR143))*O143)</f>
        <v> </v>
      </c>
      <c r="Z143" s="320" t="str">
        <f aca="false">IF($A143="N/A"," ",$U143*(8*($BR143))*P143)</f>
        <v> </v>
      </c>
      <c r="AA143" s="320" t="str">
        <f aca="false">IF($A143="N/A"," ",$U143*(8*($BR143))*Q143)</f>
        <v> </v>
      </c>
      <c r="AB143" s="320" t="str">
        <f aca="false">IF($A143="N/A"," ",$U143*(8*($BS143))*R143)</f>
        <v> </v>
      </c>
      <c r="AC143" s="320" t="str">
        <f aca="false">IF($A143="N/A"," ",$U143*(8*($BS143))*S143)</f>
        <v> </v>
      </c>
      <c r="AD143" s="320" t="str">
        <f aca="false">IF($A143="N/A"," ",$U143*(8*($BS143))*T143)</f>
        <v> </v>
      </c>
      <c r="AE143" s="320" t="str">
        <f aca="false">IF($A143="N/A"," ",SUM(V143:AD143))</f>
        <v> </v>
      </c>
      <c r="AF143" s="321" t="str">
        <f aca="false">IF(A143="N/A"," ",(VLOOKUP(A143,PowerVolTable,(IF(VolBMO1=2,7,IF(VolBMO1=1,6,8))),FALSE())))</f>
        <v> </v>
      </c>
      <c r="AG143" s="321" t="str">
        <f aca="false">IF(A143="N/A"," ",(VLOOKUP(A143,IntraPowerVol,(IF(VolBMO1=2,3,IF(VolBMO1=1,2,4))),FALSE())*VLOOKUP(MONTH($A143),Volscale,2)))</f>
        <v> </v>
      </c>
      <c r="AH143" s="321" t="str">
        <f aca="false">IF($A143="N/A"," ",IF(VolType1=1,AG143,AF143))</f>
        <v> </v>
      </c>
      <c r="AI143" s="321" t="str">
        <f aca="false">IF($A143="N/A"," ",(VLOOKUP($A143,OffPwrVolTable,(IF(VolBMO1=2,7,IF(VolBMO1=1,6,8))),FALSE())))</f>
        <v> </v>
      </c>
      <c r="AJ143" s="321" t="str">
        <f aca="false">IF($A143="N/A"," ",(VLOOKUP($A143,OffPwrVolTable,(IF(VolBMO1=2,3,IF(VolBMO1=1,2,4))),FALSE())*VLOOKUP(MONTH($A143),Volscale,2)))</f>
        <v> </v>
      </c>
      <c r="AK143" s="321" t="str">
        <f aca="false">IF($A143="N/A"," ",IF(VolType1=1,AJ143,AI143))</f>
        <v> </v>
      </c>
      <c r="AL143" s="321" t="str">
        <f aca="false">IF($A143="N/A"," ",IF(PV=1,0,'Pricing Inputs1'!R176))</f>
        <v> </v>
      </c>
      <c r="AM143" s="323" t="str">
        <f aca="false">IF($A143="N/A"," ",(1+AL143/2)^(-2*((EOMONTH(A143,0)+20)-DateToday)/365.25))</f>
        <v> </v>
      </c>
      <c r="BQ143" s="0" t="str">
        <f aca="false">IF($A143="N/A"," ",(VLOOKUP($A143,NumberofDaysTable,2)))</f>
        <v> </v>
      </c>
      <c r="BR143" s="0" t="str">
        <f aca="false">IF($A143="N/A"," ",(VLOOKUP($A143,NumberofDaysTable,3)))</f>
        <v> </v>
      </c>
      <c r="BS143" s="0" t="str">
        <f aca="false">IF($A143="N/A"," ",(VLOOKUP($A143,NumberofDaysTable,4)))</f>
        <v> </v>
      </c>
    </row>
    <row r="144" customFormat="false" ht="12.75" hidden="false" customHeight="false" outlineLevel="0" collapsed="false">
      <c r="A144" s="315" t="str">
        <f aca="false">IF(A143="N/A","N/A",IF(EDATE(A143,1)&gt;Inputs!$M$5,"N/A",EDATE(A143,1)))</f>
        <v>N/A</v>
      </c>
      <c r="B144" s="316" t="str">
        <f aca="false">IF(A144="N/A"," ",YEAR(A144))</f>
        <v> </v>
      </c>
      <c r="C144" s="324" t="str">
        <f aca="false">IF($A144="N/A"," ",IF(Dayrun1=10,0,IF(Scaler1=1,(VLOOKUP(A144,ScaledPrice1,4)),(VLOOKUP(A144,ScaledPrice1,2)))))</f>
        <v> </v>
      </c>
      <c r="D144" s="317" t="str">
        <f aca="false">IF(A144="N/A"," ",IF(Dayrun1&gt;=7,0,IF(Scaler1=2,VLOOKUP(A144,ScaledPrice1,2),(VLOOKUP(A144,ScaledPrice1,2))*(2-(VLOOKUP(A144,ScaledPrice1,3))))))</f>
        <v> </v>
      </c>
      <c r="E144" s="317" t="str">
        <f aca="false">IF($A144="N/A"," ",IF(AND(Dayrun1&gt;=4,Dayrun1&lt;=9),0,VLOOKUP($A144,ScaledPrice1,9)))</f>
        <v> </v>
      </c>
      <c r="F144" s="317" t="str">
        <f aca="false">IF(A144="N/A"," ",IF(OR(Dayrun1=2,Dayrun1=3,Dayrun1=5,Dayrun1=6,Dayrun1=8,Dayrun1=9),VLOOKUP(A144,ScaledPrice1,IF(Scaler1=1,6,5)),0))</f>
        <v> </v>
      </c>
      <c r="G144" s="317" t="str">
        <f aca="false">IF(A144="N/A"," ",IF(OR(Dayrun1=2,Dayrun1=3,Dayrun1=5,Dayrun1=6),IF(Scaler1=2,F144,(VLOOKUP(A144,ScaledPrice1,5))*(2-(VLOOKUP(A144,ScaledPrice1,3)))),0))</f>
        <v> </v>
      </c>
      <c r="H144" s="317" t="str">
        <f aca="false">IF($A144="N/A"," ",IF(OR(Dayrun1=2,Dayrun1=3,Dayrun1=10),VLOOKUP($A144,ScaledPrice1,9),0))</f>
        <v> </v>
      </c>
      <c r="I144" s="317" t="str">
        <f aca="false">IF(A144="N/A"," ",IF(OR(Dayrun1=3,Dayrun1=6,Dayrun1=9),(VLOOKUP(A144,ScaledPrice1,IF(Scaler1=2,7,8))),0))</f>
        <v> </v>
      </c>
      <c r="J144" s="317" t="str">
        <f aca="false">IF(A144="N/A"," ",IF(OR(Dayrun1=3,Dayrun1=6),IF(Scaler1=2,I144,(VLOOKUP(A144,ScaledPrice1,7))*(2-(VLOOKUP(A144,ScaledPrice1,3)))),0))</f>
        <v> </v>
      </c>
      <c r="K144" s="317" t="str">
        <f aca="false">IF($A144="N/A"," ",IF(OR(Dayrun1=3,Dayrun1=10),VLOOKUP($A144,ScaledPrice1,9),0))</f>
        <v> </v>
      </c>
      <c r="L144" s="318" t="str">
        <f aca="false">IF($A144="N/A"," ",IF(Pricetype1=2,MAX(C144,0),IF(OR(Pricetype1=1,Pricetype1=4),IF(C144=0,0,(EURO(C144,Strikeprice1,0,0,($AH144+IF(Smile=TRUE(),VLOOKUP(MAX(-5,Strikeprice1-C144),Volsmile,2),0)),($A144-DateToday)+15,IF(Pricetype1=1,1,0),0))),C144)))</f>
        <v> </v>
      </c>
      <c r="M144" s="318" t="str">
        <f aca="false">IF($A144="N/A"," ",IF(Pricetype1=2,MAX(D144,0),IF(OR(Pricetype1=1,Pricetype1=4),IF(D144=0,0,(EURO(D144,Strikeprice1,0,0,($AH144+IF(Smile=TRUE(),VLOOKUP(MAX(-5,Strikeprice1-D144),Volsmile,2),0)),($A144-DateToday)+15,IF(Pricetype1=1,1,0),0))),D144)))</f>
        <v> </v>
      </c>
      <c r="N144" s="318" t="str">
        <f aca="false">IF($A144="N/A"," ",IF(Pricetype1=2,MAX(E144,0),IF(OR(Pricetype1=1,Pricetype1=4),IF(E144=0,0,(EURO(E144,Strikeprice1,0,0,($AK144+IF(Smile=TRUE(),VLOOKUP(MAX(-5,Strikeprice1-E144),Volsmile,2),0)),($A144-DateToday)+15,IF(Pricetype1=1,1,0),0))),E144)))</f>
        <v> </v>
      </c>
      <c r="O144" s="318" t="str">
        <f aca="false">IF($A144="N/A"," ",IF(Pricetype1=2,MAX(F144,0),IF(OR(Pricetype1=1,Pricetype1=4),IF(F144=0,0,(EURO(F144,Strikeprice1,0,0,($AK144+IF(Smile=TRUE(),VLOOKUP(MAX(-5,Strikeprice1-F144),Volsmile,2),0)),($A144-DateToday)+15,IF(Pricetype1=1,1,0),0))),F144)))</f>
        <v> </v>
      </c>
      <c r="P144" s="318" t="str">
        <f aca="false">IF($A144="N/A"," ",IF(Pricetype1=2,MAX(G144,0),IF(OR(Pricetype1=1,Pricetype1=4),IF(G144=0,0,(EURO(G144,Strikeprice1,0,0,($AK144+IF(Smile=TRUE(),VLOOKUP(MAX(-5,Strikeprice1-G144),Volsmile,2),0)),($A144-DateToday)+15,IF(Pricetype1=1,1,0),0))),G144)))</f>
        <v> </v>
      </c>
      <c r="Q144" s="318" t="str">
        <f aca="false">IF($A144="N/A"," ",IF(Pricetype1=2,MAX(H144,0),IF(OR(Pricetype1=1,Pricetype1=4),IF(H144=0,0,(EURO(H144,Strikeprice1,0,0,($AK144+IF(Smile=TRUE(),VLOOKUP(MAX(-5,Strikeprice1-H144),Volsmile,2),0)),($A144-DateToday)+15,IF(Pricetype1=1,1,0),0))),H144)))</f>
        <v> </v>
      </c>
      <c r="R144" s="318" t="str">
        <f aca="false">IF($A144="N/A"," ",IF(Pricetype1=2,MAX(I144,0),IF(OR(Pricetype1=1,Pricetype1=4),IF(I144=0,0,(EURO(I144,Strikeprice1,0,0,($AK144+IF(Smile=TRUE(),VLOOKUP(MAX(-5,Strikeprice1-I144),Volsmile,2),0)),($A144-DateToday)+15,IF(Pricetype1=1,1,0),0))),I144)))</f>
        <v> </v>
      </c>
      <c r="S144" s="318" t="str">
        <f aca="false">IF($A144="N/A"," ",IF(Pricetype1=2,MAX(J144,0),IF(OR(Pricetype1=1,Pricetype1=4),IF(J144=0,0,(EURO(J144,Strikeprice1,0,0,($AK144+IF(Smile=TRUE(),VLOOKUP(MAX(-5,Strikeprice1-J144),Volsmile,2),0)),($A144-DateToday)+15,IF(Pricetype1=1,1,0),0))),J144)))</f>
        <v> </v>
      </c>
      <c r="T144" s="318" t="str">
        <f aca="false">IF($A144="N/A"," ",IF(Pricetype1=2,MAX(K144,0),IF(OR(Pricetype1=1,Pricetype1=4),IF(K144=0,0,(EURO(K144,Strikeprice1,0,0,($AK144+IF(Smile=TRUE(),VLOOKUP(MAX(-5,Strikeprice1-K144),Volsmile,2),0)),($A144-DateToday)+15,IF(Pricetype1=1,1,0),0))),K144)))</f>
        <v> </v>
      </c>
      <c r="U144" s="319" t="str">
        <f aca="false">IF($A144="N/A"," ",Volume1*$AM144)</f>
        <v> </v>
      </c>
      <c r="V144" s="320" t="str">
        <f aca="false">IF($A144="N/A"," ",$U144*(8*($BQ144))*L144)</f>
        <v> </v>
      </c>
      <c r="W144" s="320" t="str">
        <f aca="false">IF($A144="N/A"," ",$U144*(8*($BQ144))*M144)</f>
        <v> </v>
      </c>
      <c r="X144" s="320" t="str">
        <f aca="false">IF($A144="N/A"," ",$U144*(8*($BQ144))*N144)</f>
        <v> </v>
      </c>
      <c r="Y144" s="320" t="str">
        <f aca="false">IF($A144="N/A"," ",$U144*(8*($BR144))*O144)</f>
        <v> </v>
      </c>
      <c r="Z144" s="320" t="str">
        <f aca="false">IF($A144="N/A"," ",$U144*(8*($BR144))*P144)</f>
        <v> </v>
      </c>
      <c r="AA144" s="320" t="str">
        <f aca="false">IF($A144="N/A"," ",$U144*(8*($BR144))*Q144)</f>
        <v> </v>
      </c>
      <c r="AB144" s="320" t="str">
        <f aca="false">IF($A144="N/A"," ",$U144*(8*($BS144))*R144)</f>
        <v> </v>
      </c>
      <c r="AC144" s="320" t="str">
        <f aca="false">IF($A144="N/A"," ",$U144*(8*($BS144))*S144)</f>
        <v> </v>
      </c>
      <c r="AD144" s="320" t="str">
        <f aca="false">IF($A144="N/A"," ",$U144*(8*($BS144))*T144)</f>
        <v> </v>
      </c>
      <c r="AE144" s="320" t="str">
        <f aca="false">IF($A144="N/A"," ",SUM(V144:AD144))</f>
        <v> </v>
      </c>
      <c r="AF144" s="321" t="str">
        <f aca="false">IF(A144="N/A"," ",(VLOOKUP(A144,PowerVolTable,(IF(VolBMO1=2,7,IF(VolBMO1=1,6,8))),FALSE())))</f>
        <v> </v>
      </c>
      <c r="AG144" s="321" t="str">
        <f aca="false">IF(A144="N/A"," ",(VLOOKUP(A144,IntraPowerVol,(IF(VolBMO1=2,3,IF(VolBMO1=1,2,4))),FALSE())*VLOOKUP(MONTH($A144),Volscale,2)))</f>
        <v> </v>
      </c>
      <c r="AH144" s="321" t="str">
        <f aca="false">IF($A144="N/A"," ",IF(VolType1=1,AG144,AF144))</f>
        <v> </v>
      </c>
      <c r="AI144" s="321" t="str">
        <f aca="false">IF($A144="N/A"," ",(VLOOKUP($A144,OffPwrVolTable,(IF(VolBMO1=2,7,IF(VolBMO1=1,6,8))),FALSE())))</f>
        <v> </v>
      </c>
      <c r="AJ144" s="321" t="str">
        <f aca="false">IF($A144="N/A"," ",(VLOOKUP($A144,OffPwrVolTable,(IF(VolBMO1=2,3,IF(VolBMO1=1,2,4))),FALSE())*VLOOKUP(MONTH($A144),Volscale,2)))</f>
        <v> </v>
      </c>
      <c r="AK144" s="321" t="str">
        <f aca="false">IF($A144="N/A"," ",IF(VolType1=1,AJ144,AI144))</f>
        <v> </v>
      </c>
      <c r="AL144" s="321" t="str">
        <f aca="false">IF($A144="N/A"," ",IF(PV=1,0,'Pricing Inputs1'!R177))</f>
        <v> </v>
      </c>
      <c r="AM144" s="323" t="str">
        <f aca="false">IF($A144="N/A"," ",(1+AL144/2)^(-2*((EOMONTH(A144,0)+20)-DateToday)/365.25))</f>
        <v> </v>
      </c>
      <c r="BQ144" s="0" t="str">
        <f aca="false">IF($A144="N/A"," ",(VLOOKUP($A144,NumberofDaysTable,2)))</f>
        <v> </v>
      </c>
      <c r="BR144" s="0" t="str">
        <f aca="false">IF($A144="N/A"," ",(VLOOKUP($A144,NumberofDaysTable,3)))</f>
        <v> </v>
      </c>
      <c r="BS144" s="0" t="str">
        <f aca="false">IF($A144="N/A"," ",(VLOOKUP($A144,NumberofDaysTable,4)))</f>
        <v> </v>
      </c>
    </row>
    <row r="145" customFormat="false" ht="12.75" hidden="false" customHeight="false" outlineLevel="0" collapsed="false">
      <c r="A145" s="315" t="str">
        <f aca="false">IF(A144="N/A","N/A",IF(EDATE(A144,1)&gt;Inputs!$M$5,"N/A",EDATE(A144,1)))</f>
        <v>N/A</v>
      </c>
      <c r="B145" s="316" t="str">
        <f aca="false">IF(A145="N/A"," ",YEAR(A145))</f>
        <v> </v>
      </c>
      <c r="C145" s="324" t="str">
        <f aca="false">IF($A145="N/A"," ",IF(Dayrun1=10,0,IF(Scaler1=1,(VLOOKUP(A145,ScaledPrice1,4)),(VLOOKUP(A145,ScaledPrice1,2)))))</f>
        <v> </v>
      </c>
      <c r="D145" s="317" t="str">
        <f aca="false">IF(A145="N/A"," ",IF(Dayrun1&gt;=7,0,IF(Scaler1=2,VLOOKUP(A145,ScaledPrice1,2),(VLOOKUP(A145,ScaledPrice1,2))*(2-(VLOOKUP(A145,ScaledPrice1,3))))))</f>
        <v> </v>
      </c>
      <c r="E145" s="317" t="str">
        <f aca="false">IF($A145="N/A"," ",IF(AND(Dayrun1&gt;=4,Dayrun1&lt;=9),0,VLOOKUP($A145,ScaledPrice1,9)))</f>
        <v> </v>
      </c>
      <c r="F145" s="317" t="str">
        <f aca="false">IF(A145="N/A"," ",IF(OR(Dayrun1=2,Dayrun1=3,Dayrun1=5,Dayrun1=6,Dayrun1=8,Dayrun1=9),VLOOKUP(A145,ScaledPrice1,IF(Scaler1=1,6,5)),0))</f>
        <v> </v>
      </c>
      <c r="G145" s="317" t="str">
        <f aca="false">IF(A145="N/A"," ",IF(OR(Dayrun1=2,Dayrun1=3,Dayrun1=5,Dayrun1=6),IF(Scaler1=2,F145,(VLOOKUP(A145,ScaledPrice1,5))*(2-(VLOOKUP(A145,ScaledPrice1,3)))),0))</f>
        <v> </v>
      </c>
      <c r="H145" s="317" t="str">
        <f aca="false">IF($A145="N/A"," ",IF(OR(Dayrun1=2,Dayrun1=3,Dayrun1=10),VLOOKUP($A145,ScaledPrice1,9),0))</f>
        <v> </v>
      </c>
      <c r="I145" s="317" t="str">
        <f aca="false">IF(A145="N/A"," ",IF(OR(Dayrun1=3,Dayrun1=6,Dayrun1=9),(VLOOKUP(A145,ScaledPrice1,IF(Scaler1=2,7,8))),0))</f>
        <v> </v>
      </c>
      <c r="J145" s="317" t="str">
        <f aca="false">IF(A145="N/A"," ",IF(OR(Dayrun1=3,Dayrun1=6),IF(Scaler1=2,I145,(VLOOKUP(A145,ScaledPrice1,7))*(2-(VLOOKUP(A145,ScaledPrice1,3)))),0))</f>
        <v> </v>
      </c>
      <c r="K145" s="317" t="str">
        <f aca="false">IF($A145="N/A"," ",IF(OR(Dayrun1=3,Dayrun1=10),VLOOKUP($A145,ScaledPrice1,9),0))</f>
        <v> </v>
      </c>
      <c r="L145" s="318" t="str">
        <f aca="false">IF($A145="N/A"," ",IF(Pricetype1=2,MAX(C145,0),IF(OR(Pricetype1=1,Pricetype1=4),IF(C145=0,0,(EURO(C145,Strikeprice1,0,0,($AH145+IF(Smile=TRUE(),VLOOKUP(MAX(-5,Strikeprice1-C145),Volsmile,2),0)),($A145-DateToday)+15,IF(Pricetype1=1,1,0),0))),C145)))</f>
        <v> </v>
      </c>
      <c r="M145" s="318" t="str">
        <f aca="false">IF($A145="N/A"," ",IF(Pricetype1=2,MAX(D145,0),IF(OR(Pricetype1=1,Pricetype1=4),IF(D145=0,0,(EURO(D145,Strikeprice1,0,0,($AH145+IF(Smile=TRUE(),VLOOKUP(MAX(-5,Strikeprice1-D145),Volsmile,2),0)),($A145-DateToday)+15,IF(Pricetype1=1,1,0),0))),D145)))</f>
        <v> </v>
      </c>
      <c r="N145" s="318" t="str">
        <f aca="false">IF($A145="N/A"," ",IF(Pricetype1=2,MAX(E145,0),IF(OR(Pricetype1=1,Pricetype1=4),IF(E145=0,0,(EURO(E145,Strikeprice1,0,0,($AK145+IF(Smile=TRUE(),VLOOKUP(MAX(-5,Strikeprice1-E145),Volsmile,2),0)),($A145-DateToday)+15,IF(Pricetype1=1,1,0),0))),E145)))</f>
        <v> </v>
      </c>
      <c r="O145" s="318" t="str">
        <f aca="false">IF($A145="N/A"," ",IF(Pricetype1=2,MAX(F145,0),IF(OR(Pricetype1=1,Pricetype1=4),IF(F145=0,0,(EURO(F145,Strikeprice1,0,0,($AK145+IF(Smile=TRUE(),VLOOKUP(MAX(-5,Strikeprice1-F145),Volsmile,2),0)),($A145-DateToday)+15,IF(Pricetype1=1,1,0),0))),F145)))</f>
        <v> </v>
      </c>
      <c r="P145" s="318" t="str">
        <f aca="false">IF($A145="N/A"," ",IF(Pricetype1=2,MAX(G145,0),IF(OR(Pricetype1=1,Pricetype1=4),IF(G145=0,0,(EURO(G145,Strikeprice1,0,0,($AK145+IF(Smile=TRUE(),VLOOKUP(MAX(-5,Strikeprice1-G145),Volsmile,2),0)),($A145-DateToday)+15,IF(Pricetype1=1,1,0),0))),G145)))</f>
        <v> </v>
      </c>
      <c r="Q145" s="318" t="str">
        <f aca="false">IF($A145="N/A"," ",IF(Pricetype1=2,MAX(H145,0),IF(OR(Pricetype1=1,Pricetype1=4),IF(H145=0,0,(EURO(H145,Strikeprice1,0,0,($AK145+IF(Smile=TRUE(),VLOOKUP(MAX(-5,Strikeprice1-H145),Volsmile,2),0)),($A145-DateToday)+15,IF(Pricetype1=1,1,0),0))),H145)))</f>
        <v> </v>
      </c>
      <c r="R145" s="318" t="str">
        <f aca="false">IF($A145="N/A"," ",IF(Pricetype1=2,MAX(I145,0),IF(OR(Pricetype1=1,Pricetype1=4),IF(I145=0,0,(EURO(I145,Strikeprice1,0,0,($AK145+IF(Smile=TRUE(),VLOOKUP(MAX(-5,Strikeprice1-I145),Volsmile,2),0)),($A145-DateToday)+15,IF(Pricetype1=1,1,0),0))),I145)))</f>
        <v> </v>
      </c>
      <c r="S145" s="318" t="str">
        <f aca="false">IF($A145="N/A"," ",IF(Pricetype1=2,MAX(J145,0),IF(OR(Pricetype1=1,Pricetype1=4),IF(J145=0,0,(EURO(J145,Strikeprice1,0,0,($AK145+IF(Smile=TRUE(),VLOOKUP(MAX(-5,Strikeprice1-J145),Volsmile,2),0)),($A145-DateToday)+15,IF(Pricetype1=1,1,0),0))),J145)))</f>
        <v> </v>
      </c>
      <c r="T145" s="318" t="str">
        <f aca="false">IF($A145="N/A"," ",IF(Pricetype1=2,MAX(K145,0),IF(OR(Pricetype1=1,Pricetype1=4),IF(K145=0,0,(EURO(K145,Strikeprice1,0,0,($AK145+IF(Smile=TRUE(),VLOOKUP(MAX(-5,Strikeprice1-K145),Volsmile,2),0)),($A145-DateToday)+15,IF(Pricetype1=1,1,0),0))),K145)))</f>
        <v> </v>
      </c>
      <c r="U145" s="319" t="str">
        <f aca="false">IF($A145="N/A"," ",Volume1*$AM145)</f>
        <v> </v>
      </c>
      <c r="V145" s="320" t="str">
        <f aca="false">IF($A145="N/A"," ",$U145*(8*($BQ145))*L145)</f>
        <v> </v>
      </c>
      <c r="W145" s="320" t="str">
        <f aca="false">IF($A145="N/A"," ",$U145*(8*($BQ145))*M145)</f>
        <v> </v>
      </c>
      <c r="X145" s="320" t="str">
        <f aca="false">IF($A145="N/A"," ",$U145*(8*($BQ145))*N145)</f>
        <v> </v>
      </c>
      <c r="Y145" s="320" t="str">
        <f aca="false">IF($A145="N/A"," ",$U145*(8*($BR145))*O145)</f>
        <v> </v>
      </c>
      <c r="Z145" s="320" t="str">
        <f aca="false">IF($A145="N/A"," ",$U145*(8*($BR145))*P145)</f>
        <v> </v>
      </c>
      <c r="AA145" s="320" t="str">
        <f aca="false">IF($A145="N/A"," ",$U145*(8*($BR145))*Q145)</f>
        <v> </v>
      </c>
      <c r="AB145" s="320" t="str">
        <f aca="false">IF($A145="N/A"," ",$U145*(8*($BS145))*R145)</f>
        <v> </v>
      </c>
      <c r="AC145" s="320" t="str">
        <f aca="false">IF($A145="N/A"," ",$U145*(8*($BS145))*S145)</f>
        <v> </v>
      </c>
      <c r="AD145" s="320" t="str">
        <f aca="false">IF($A145="N/A"," ",$U145*(8*($BS145))*T145)</f>
        <v> </v>
      </c>
      <c r="AE145" s="320" t="str">
        <f aca="false">IF($A145="N/A"," ",SUM(V145:AD145))</f>
        <v> </v>
      </c>
      <c r="AF145" s="321" t="str">
        <f aca="false">IF(A145="N/A"," ",(VLOOKUP(A145,PowerVolTable,(IF(VolBMO1=2,7,IF(VolBMO1=1,6,8))),FALSE())))</f>
        <v> </v>
      </c>
      <c r="AG145" s="321" t="str">
        <f aca="false">IF(A145="N/A"," ",(VLOOKUP(A145,IntraPowerVol,(IF(VolBMO1=2,3,IF(VolBMO1=1,2,4))),FALSE())*VLOOKUP(MONTH($A145),Volscale,2)))</f>
        <v> </v>
      </c>
      <c r="AH145" s="321" t="str">
        <f aca="false">IF($A145="N/A"," ",IF(VolType1=1,AG145,AF145))</f>
        <v> </v>
      </c>
      <c r="AI145" s="321" t="str">
        <f aca="false">IF($A145="N/A"," ",(VLOOKUP($A145,OffPwrVolTable,(IF(VolBMO1=2,7,IF(VolBMO1=1,6,8))),FALSE())))</f>
        <v> </v>
      </c>
      <c r="AJ145" s="321" t="str">
        <f aca="false">IF($A145="N/A"," ",(VLOOKUP($A145,OffPwrVolTable,(IF(VolBMO1=2,3,IF(VolBMO1=1,2,4))),FALSE())*VLOOKUP(MONTH($A145),Volscale,2)))</f>
        <v> </v>
      </c>
      <c r="AK145" s="321" t="str">
        <f aca="false">IF($A145="N/A"," ",IF(VolType1=1,AJ145,AI145))</f>
        <v> </v>
      </c>
      <c r="AL145" s="321" t="str">
        <f aca="false">IF($A145="N/A"," ",IF(PV=1,0,'Pricing Inputs1'!R178))</f>
        <v> </v>
      </c>
      <c r="AM145" s="323" t="str">
        <f aca="false">IF($A145="N/A"," ",(1+AL145/2)^(-2*((EOMONTH(A145,0)+20)-DateToday)/365.25))</f>
        <v> </v>
      </c>
      <c r="BQ145" s="0" t="str">
        <f aca="false">IF($A145="N/A"," ",(VLOOKUP($A145,NumberofDaysTable,2)))</f>
        <v> </v>
      </c>
      <c r="BR145" s="0" t="str">
        <f aca="false">IF($A145="N/A"," ",(VLOOKUP($A145,NumberofDaysTable,3)))</f>
        <v> </v>
      </c>
      <c r="BS145" s="0" t="str">
        <f aca="false">IF($A145="N/A"," ",(VLOOKUP($A145,NumberofDaysTable,4)))</f>
        <v> </v>
      </c>
    </row>
    <row r="146" customFormat="false" ht="12.75" hidden="false" customHeight="false" outlineLevel="0" collapsed="false">
      <c r="A146" s="315" t="str">
        <f aca="false">IF(A145="N/A","N/A",IF(EDATE(A145,1)&gt;Inputs!$M$5,"N/A",EDATE(A145,1)))</f>
        <v>N/A</v>
      </c>
      <c r="B146" s="316" t="str">
        <f aca="false">IF(A146="N/A"," ",YEAR(A146))</f>
        <v> </v>
      </c>
      <c r="C146" s="324" t="str">
        <f aca="false">IF($A146="N/A"," ",IF(Dayrun1=10,0,IF(Scaler1=1,(VLOOKUP(A146,ScaledPrice1,4)),(VLOOKUP(A146,ScaledPrice1,2)))))</f>
        <v> </v>
      </c>
      <c r="D146" s="317" t="str">
        <f aca="false">IF(A146="N/A"," ",IF(Dayrun1&gt;=7,0,IF(Scaler1=2,VLOOKUP(A146,ScaledPrice1,2),(VLOOKUP(A146,ScaledPrice1,2))*(2-(VLOOKUP(A146,ScaledPrice1,3))))))</f>
        <v> </v>
      </c>
      <c r="E146" s="317" t="str">
        <f aca="false">IF($A146="N/A"," ",IF(AND(Dayrun1&gt;=4,Dayrun1&lt;=9),0,VLOOKUP($A146,ScaledPrice1,9)))</f>
        <v> </v>
      </c>
      <c r="F146" s="317" t="str">
        <f aca="false">IF(A146="N/A"," ",IF(OR(Dayrun1=2,Dayrun1=3,Dayrun1=5,Dayrun1=6,Dayrun1=8,Dayrun1=9),VLOOKUP(A146,ScaledPrice1,IF(Scaler1=1,6,5)),0))</f>
        <v> </v>
      </c>
      <c r="G146" s="317" t="str">
        <f aca="false">IF(A146="N/A"," ",IF(OR(Dayrun1=2,Dayrun1=3,Dayrun1=5,Dayrun1=6),IF(Scaler1=2,F146,(VLOOKUP(A146,ScaledPrice1,5))*(2-(VLOOKUP(A146,ScaledPrice1,3)))),0))</f>
        <v> </v>
      </c>
      <c r="H146" s="317" t="str">
        <f aca="false">IF($A146="N/A"," ",IF(OR(Dayrun1=2,Dayrun1=3,Dayrun1=10),VLOOKUP($A146,ScaledPrice1,9),0))</f>
        <v> </v>
      </c>
      <c r="I146" s="317" t="str">
        <f aca="false">IF(A146="N/A"," ",IF(OR(Dayrun1=3,Dayrun1=6,Dayrun1=9),(VLOOKUP(A146,ScaledPrice1,IF(Scaler1=2,7,8))),0))</f>
        <v> </v>
      </c>
      <c r="J146" s="317" t="str">
        <f aca="false">IF(A146="N/A"," ",IF(OR(Dayrun1=3,Dayrun1=6),IF(Scaler1=2,I146,(VLOOKUP(A146,ScaledPrice1,7))*(2-(VLOOKUP(A146,ScaledPrice1,3)))),0))</f>
        <v> </v>
      </c>
      <c r="K146" s="317" t="str">
        <f aca="false">IF($A146="N/A"," ",IF(OR(Dayrun1=3,Dayrun1=10),VLOOKUP($A146,ScaledPrice1,9),0))</f>
        <v> </v>
      </c>
      <c r="L146" s="318" t="str">
        <f aca="false">IF($A146="N/A"," ",IF(Pricetype1=2,MAX(C146,0),IF(OR(Pricetype1=1,Pricetype1=4),IF(C146=0,0,(EURO(C146,Strikeprice1,0,0,($AH146+IF(Smile=TRUE(),VLOOKUP(MAX(-5,Strikeprice1-C146),Volsmile,2),0)),($A146-DateToday)+15,IF(Pricetype1=1,1,0),0))),C146)))</f>
        <v> </v>
      </c>
      <c r="M146" s="318" t="str">
        <f aca="false">IF($A146="N/A"," ",IF(Pricetype1=2,MAX(D146,0),IF(OR(Pricetype1=1,Pricetype1=4),IF(D146=0,0,(EURO(D146,Strikeprice1,0,0,($AH146+IF(Smile=TRUE(),VLOOKUP(MAX(-5,Strikeprice1-D146),Volsmile,2),0)),($A146-DateToday)+15,IF(Pricetype1=1,1,0),0))),D146)))</f>
        <v> </v>
      </c>
      <c r="N146" s="318" t="str">
        <f aca="false">IF($A146="N/A"," ",IF(Pricetype1=2,MAX(E146,0),IF(OR(Pricetype1=1,Pricetype1=4),IF(E146=0,0,(EURO(E146,Strikeprice1,0,0,($AK146+IF(Smile=TRUE(),VLOOKUP(MAX(-5,Strikeprice1-E146),Volsmile,2),0)),($A146-DateToday)+15,IF(Pricetype1=1,1,0),0))),E146)))</f>
        <v> </v>
      </c>
      <c r="O146" s="318" t="str">
        <f aca="false">IF($A146="N/A"," ",IF(Pricetype1=2,MAX(F146,0),IF(OR(Pricetype1=1,Pricetype1=4),IF(F146=0,0,(EURO(F146,Strikeprice1,0,0,($AK146+IF(Smile=TRUE(),VLOOKUP(MAX(-5,Strikeprice1-F146),Volsmile,2),0)),($A146-DateToday)+15,IF(Pricetype1=1,1,0),0))),F146)))</f>
        <v> </v>
      </c>
      <c r="P146" s="318" t="str">
        <f aca="false">IF($A146="N/A"," ",IF(Pricetype1=2,MAX(G146,0),IF(OR(Pricetype1=1,Pricetype1=4),IF(G146=0,0,(EURO(G146,Strikeprice1,0,0,($AK146+IF(Smile=TRUE(),VLOOKUP(MAX(-5,Strikeprice1-G146),Volsmile,2),0)),($A146-DateToday)+15,IF(Pricetype1=1,1,0),0))),G146)))</f>
        <v> </v>
      </c>
      <c r="Q146" s="318" t="str">
        <f aca="false">IF($A146="N/A"," ",IF(Pricetype1=2,MAX(H146,0),IF(OR(Pricetype1=1,Pricetype1=4),IF(H146=0,0,(EURO(H146,Strikeprice1,0,0,($AK146+IF(Smile=TRUE(),VLOOKUP(MAX(-5,Strikeprice1-H146),Volsmile,2),0)),($A146-DateToday)+15,IF(Pricetype1=1,1,0),0))),H146)))</f>
        <v> </v>
      </c>
      <c r="R146" s="318" t="str">
        <f aca="false">IF($A146="N/A"," ",IF(Pricetype1=2,MAX(I146,0),IF(OR(Pricetype1=1,Pricetype1=4),IF(I146=0,0,(EURO(I146,Strikeprice1,0,0,($AK146+IF(Smile=TRUE(),VLOOKUP(MAX(-5,Strikeprice1-I146),Volsmile,2),0)),($A146-DateToday)+15,IF(Pricetype1=1,1,0),0))),I146)))</f>
        <v> </v>
      </c>
      <c r="S146" s="318" t="str">
        <f aca="false">IF($A146="N/A"," ",IF(Pricetype1=2,MAX(J146,0),IF(OR(Pricetype1=1,Pricetype1=4),IF(J146=0,0,(EURO(J146,Strikeprice1,0,0,($AK146+IF(Smile=TRUE(),VLOOKUP(MAX(-5,Strikeprice1-J146),Volsmile,2),0)),($A146-DateToday)+15,IF(Pricetype1=1,1,0),0))),J146)))</f>
        <v> </v>
      </c>
      <c r="T146" s="318" t="str">
        <f aca="false">IF($A146="N/A"," ",IF(Pricetype1=2,MAX(K146,0),IF(OR(Pricetype1=1,Pricetype1=4),IF(K146=0,0,(EURO(K146,Strikeprice1,0,0,($AK146+IF(Smile=TRUE(),VLOOKUP(MAX(-5,Strikeprice1-K146),Volsmile,2),0)),($A146-DateToday)+15,IF(Pricetype1=1,1,0),0))),K146)))</f>
        <v> </v>
      </c>
      <c r="U146" s="319" t="str">
        <f aca="false">IF($A146="N/A"," ",Volume1*$AM146)</f>
        <v> </v>
      </c>
      <c r="V146" s="320" t="str">
        <f aca="false">IF($A146="N/A"," ",$U146*(8*($BQ146))*L146)</f>
        <v> </v>
      </c>
      <c r="W146" s="320" t="str">
        <f aca="false">IF($A146="N/A"," ",$U146*(8*($BQ146))*M146)</f>
        <v> </v>
      </c>
      <c r="X146" s="320" t="str">
        <f aca="false">IF($A146="N/A"," ",$U146*(8*($BQ146))*N146)</f>
        <v> </v>
      </c>
      <c r="Y146" s="320" t="str">
        <f aca="false">IF($A146="N/A"," ",$U146*(8*($BR146))*O146)</f>
        <v> </v>
      </c>
      <c r="Z146" s="320" t="str">
        <f aca="false">IF($A146="N/A"," ",$U146*(8*($BR146))*P146)</f>
        <v> </v>
      </c>
      <c r="AA146" s="320" t="str">
        <f aca="false">IF($A146="N/A"," ",$U146*(8*($BR146))*Q146)</f>
        <v> </v>
      </c>
      <c r="AB146" s="320" t="str">
        <f aca="false">IF($A146="N/A"," ",$U146*(8*($BS146))*R146)</f>
        <v> </v>
      </c>
      <c r="AC146" s="320" t="str">
        <f aca="false">IF($A146="N/A"," ",$U146*(8*($BS146))*S146)</f>
        <v> </v>
      </c>
      <c r="AD146" s="320" t="str">
        <f aca="false">IF($A146="N/A"," ",$U146*(8*($BS146))*T146)</f>
        <v> </v>
      </c>
      <c r="AE146" s="320" t="str">
        <f aca="false">IF($A146="N/A"," ",SUM(V146:AD146))</f>
        <v> </v>
      </c>
      <c r="AF146" s="321" t="str">
        <f aca="false">IF(A146="N/A"," ",(VLOOKUP(A146,PowerVolTable,(IF(VolBMO1=2,7,IF(VolBMO1=1,6,8))),FALSE())))</f>
        <v> </v>
      </c>
      <c r="AG146" s="321" t="str">
        <f aca="false">IF(A146="N/A"," ",(VLOOKUP(A146,IntraPowerVol,(IF(VolBMO1=2,3,IF(VolBMO1=1,2,4))),FALSE())*VLOOKUP(MONTH($A146),Volscale,2)))</f>
        <v> </v>
      </c>
      <c r="AH146" s="321" t="str">
        <f aca="false">IF($A146="N/A"," ",IF(VolType1=1,AG146,AF146))</f>
        <v> </v>
      </c>
      <c r="AI146" s="321" t="str">
        <f aca="false">IF($A146="N/A"," ",(VLOOKUP($A146,OffPwrVolTable,(IF(VolBMO1=2,7,IF(VolBMO1=1,6,8))),FALSE())))</f>
        <v> </v>
      </c>
      <c r="AJ146" s="321" t="str">
        <f aca="false">IF($A146="N/A"," ",(VLOOKUP($A146,OffPwrVolTable,(IF(VolBMO1=2,3,IF(VolBMO1=1,2,4))),FALSE())*VLOOKUP(MONTH($A146),Volscale,2)))</f>
        <v> </v>
      </c>
      <c r="AK146" s="321" t="str">
        <f aca="false">IF($A146="N/A"," ",IF(VolType1=1,AJ146,AI146))</f>
        <v> </v>
      </c>
      <c r="AL146" s="321" t="str">
        <f aca="false">IF($A146="N/A"," ",IF(PV=1,0,'Pricing Inputs1'!R179))</f>
        <v> </v>
      </c>
      <c r="AM146" s="323" t="str">
        <f aca="false">IF($A146="N/A"," ",(1+AL146/2)^(-2*((EOMONTH(A146,0)+20)-DateToday)/365.25))</f>
        <v> </v>
      </c>
      <c r="BQ146" s="0" t="str">
        <f aca="false">IF($A146="N/A"," ",(VLOOKUP($A146,NumberofDaysTable,2)))</f>
        <v> </v>
      </c>
      <c r="BR146" s="0" t="str">
        <f aca="false">IF($A146="N/A"," ",(VLOOKUP($A146,NumberofDaysTable,3)))</f>
        <v> </v>
      </c>
      <c r="BS146" s="0" t="str">
        <f aca="false">IF($A146="N/A"," ",(VLOOKUP($A146,NumberofDaysTable,4)))</f>
        <v> </v>
      </c>
    </row>
    <row r="147" customFormat="false" ht="12.75" hidden="false" customHeight="false" outlineLevel="0" collapsed="false">
      <c r="A147" s="315" t="str">
        <f aca="false">IF(A146="N/A","N/A",IF(EDATE(A146,1)&gt;Inputs!$M$5,"N/A",EDATE(A146,1)))</f>
        <v>N/A</v>
      </c>
      <c r="B147" s="316" t="str">
        <f aca="false">IF(A147="N/A"," ",YEAR(A147))</f>
        <v> </v>
      </c>
      <c r="C147" s="324" t="str">
        <f aca="false">IF($A147="N/A"," ",IF(Dayrun1=10,0,IF(Scaler1=1,(VLOOKUP(A147,ScaledPrice1,4)),(VLOOKUP(A147,ScaledPrice1,2)))))</f>
        <v> </v>
      </c>
      <c r="D147" s="317" t="str">
        <f aca="false">IF(A147="N/A"," ",IF(Dayrun1&gt;=7,0,IF(Scaler1=2,VLOOKUP(A147,ScaledPrice1,2),(VLOOKUP(A147,ScaledPrice1,2))*(2-(VLOOKUP(A147,ScaledPrice1,3))))))</f>
        <v> </v>
      </c>
      <c r="E147" s="317" t="str">
        <f aca="false">IF($A147="N/A"," ",IF(AND(Dayrun1&gt;=4,Dayrun1&lt;=9),0,VLOOKUP($A147,ScaledPrice1,9)))</f>
        <v> </v>
      </c>
      <c r="F147" s="317" t="str">
        <f aca="false">IF(A147="N/A"," ",IF(OR(Dayrun1=2,Dayrun1=3,Dayrun1=5,Dayrun1=6,Dayrun1=8,Dayrun1=9),VLOOKUP(A147,ScaledPrice1,IF(Scaler1=1,6,5)),0))</f>
        <v> </v>
      </c>
      <c r="G147" s="317" t="str">
        <f aca="false">IF(A147="N/A"," ",IF(OR(Dayrun1=2,Dayrun1=3,Dayrun1=5,Dayrun1=6),IF(Scaler1=2,F147,(VLOOKUP(A147,ScaledPrice1,5))*(2-(VLOOKUP(A147,ScaledPrice1,3)))),0))</f>
        <v> </v>
      </c>
      <c r="H147" s="317" t="str">
        <f aca="false">IF($A147="N/A"," ",IF(OR(Dayrun1=2,Dayrun1=3,Dayrun1=10),VLOOKUP($A147,ScaledPrice1,9),0))</f>
        <v> </v>
      </c>
      <c r="I147" s="317" t="str">
        <f aca="false">IF(A147="N/A"," ",IF(OR(Dayrun1=3,Dayrun1=6,Dayrun1=9),(VLOOKUP(A147,ScaledPrice1,IF(Scaler1=2,7,8))),0))</f>
        <v> </v>
      </c>
      <c r="J147" s="317" t="str">
        <f aca="false">IF(A147="N/A"," ",IF(OR(Dayrun1=3,Dayrun1=6),IF(Scaler1=2,I147,(VLOOKUP(A147,ScaledPrice1,7))*(2-(VLOOKUP(A147,ScaledPrice1,3)))),0))</f>
        <v> </v>
      </c>
      <c r="K147" s="317" t="str">
        <f aca="false">IF($A147="N/A"," ",IF(OR(Dayrun1=3,Dayrun1=10),VLOOKUP($A147,ScaledPrice1,9),0))</f>
        <v> </v>
      </c>
      <c r="L147" s="318" t="str">
        <f aca="false">IF($A147="N/A"," ",IF(Pricetype1=2,MAX(C147,0),IF(OR(Pricetype1=1,Pricetype1=4),IF(C147=0,0,(EURO(C147,Strikeprice1,0,0,($AH147+IF(Smile=TRUE(),VLOOKUP(MAX(-5,Strikeprice1-C147),Volsmile,2),0)),($A147-DateToday)+15,IF(Pricetype1=1,1,0),0))),C147)))</f>
        <v> </v>
      </c>
      <c r="M147" s="318" t="str">
        <f aca="false">IF($A147="N/A"," ",IF(Pricetype1=2,MAX(D147,0),IF(OR(Pricetype1=1,Pricetype1=4),IF(D147=0,0,(EURO(D147,Strikeprice1,0,0,($AH147+IF(Smile=TRUE(),VLOOKUP(MAX(-5,Strikeprice1-D147),Volsmile,2),0)),($A147-DateToday)+15,IF(Pricetype1=1,1,0),0))),D147)))</f>
        <v> </v>
      </c>
      <c r="N147" s="318" t="str">
        <f aca="false">IF($A147="N/A"," ",IF(Pricetype1=2,MAX(E147,0),IF(OR(Pricetype1=1,Pricetype1=4),IF(E147=0,0,(EURO(E147,Strikeprice1,0,0,($AK147+IF(Smile=TRUE(),VLOOKUP(MAX(-5,Strikeprice1-E147),Volsmile,2),0)),($A147-DateToday)+15,IF(Pricetype1=1,1,0),0))),E147)))</f>
        <v> </v>
      </c>
      <c r="O147" s="318" t="str">
        <f aca="false">IF($A147="N/A"," ",IF(Pricetype1=2,MAX(F147,0),IF(OR(Pricetype1=1,Pricetype1=4),IF(F147=0,0,(EURO(F147,Strikeprice1,0,0,($AK147+IF(Smile=TRUE(),VLOOKUP(MAX(-5,Strikeprice1-F147),Volsmile,2),0)),($A147-DateToday)+15,IF(Pricetype1=1,1,0),0))),F147)))</f>
        <v> </v>
      </c>
      <c r="P147" s="318" t="str">
        <f aca="false">IF($A147="N/A"," ",IF(Pricetype1=2,MAX(G147,0),IF(OR(Pricetype1=1,Pricetype1=4),IF(G147=0,0,(EURO(G147,Strikeprice1,0,0,($AK147+IF(Smile=TRUE(),VLOOKUP(MAX(-5,Strikeprice1-G147),Volsmile,2),0)),($A147-DateToday)+15,IF(Pricetype1=1,1,0),0))),G147)))</f>
        <v> </v>
      </c>
      <c r="Q147" s="318" t="str">
        <f aca="false">IF($A147="N/A"," ",IF(Pricetype1=2,MAX(H147,0),IF(OR(Pricetype1=1,Pricetype1=4),IF(H147=0,0,(EURO(H147,Strikeprice1,0,0,($AK147+IF(Smile=TRUE(),VLOOKUP(MAX(-5,Strikeprice1-H147),Volsmile,2),0)),($A147-DateToday)+15,IF(Pricetype1=1,1,0),0))),H147)))</f>
        <v> </v>
      </c>
      <c r="R147" s="318" t="str">
        <f aca="false">IF($A147="N/A"," ",IF(Pricetype1=2,MAX(I147,0),IF(OR(Pricetype1=1,Pricetype1=4),IF(I147=0,0,(EURO(I147,Strikeprice1,0,0,($AK147+IF(Smile=TRUE(),VLOOKUP(MAX(-5,Strikeprice1-I147),Volsmile,2),0)),($A147-DateToday)+15,IF(Pricetype1=1,1,0),0))),I147)))</f>
        <v> </v>
      </c>
      <c r="S147" s="318" t="str">
        <f aca="false">IF($A147="N/A"," ",IF(Pricetype1=2,MAX(J147,0),IF(OR(Pricetype1=1,Pricetype1=4),IF(J147=0,0,(EURO(J147,Strikeprice1,0,0,($AK147+IF(Smile=TRUE(),VLOOKUP(MAX(-5,Strikeprice1-J147),Volsmile,2),0)),($A147-DateToday)+15,IF(Pricetype1=1,1,0),0))),J147)))</f>
        <v> </v>
      </c>
      <c r="T147" s="318" t="str">
        <f aca="false">IF($A147="N/A"," ",IF(Pricetype1=2,MAX(K147,0),IF(OR(Pricetype1=1,Pricetype1=4),IF(K147=0,0,(EURO(K147,Strikeprice1,0,0,($AK147+IF(Smile=TRUE(),VLOOKUP(MAX(-5,Strikeprice1-K147),Volsmile,2),0)),($A147-DateToday)+15,IF(Pricetype1=1,1,0),0))),K147)))</f>
        <v> </v>
      </c>
      <c r="U147" s="319" t="str">
        <f aca="false">IF($A147="N/A"," ",Volume1*$AM147)</f>
        <v> </v>
      </c>
      <c r="V147" s="320" t="str">
        <f aca="false">IF($A147="N/A"," ",$U147*(8*($BQ147))*L147)</f>
        <v> </v>
      </c>
      <c r="W147" s="320" t="str">
        <f aca="false">IF($A147="N/A"," ",$U147*(8*($BQ147))*M147)</f>
        <v> </v>
      </c>
      <c r="X147" s="320" t="str">
        <f aca="false">IF($A147="N/A"," ",$U147*(8*($BQ147))*N147)</f>
        <v> </v>
      </c>
      <c r="Y147" s="320" t="str">
        <f aca="false">IF($A147="N/A"," ",$U147*(8*($BR147))*O147)</f>
        <v> </v>
      </c>
      <c r="Z147" s="320" t="str">
        <f aca="false">IF($A147="N/A"," ",$U147*(8*($BR147))*P147)</f>
        <v> </v>
      </c>
      <c r="AA147" s="320" t="str">
        <f aca="false">IF($A147="N/A"," ",$U147*(8*($BR147))*Q147)</f>
        <v> </v>
      </c>
      <c r="AB147" s="320" t="str">
        <f aca="false">IF($A147="N/A"," ",$U147*(8*($BS147))*R147)</f>
        <v> </v>
      </c>
      <c r="AC147" s="320" t="str">
        <f aca="false">IF($A147="N/A"," ",$U147*(8*($BS147))*S147)</f>
        <v> </v>
      </c>
      <c r="AD147" s="320" t="str">
        <f aca="false">IF($A147="N/A"," ",$U147*(8*($BS147))*T147)</f>
        <v> </v>
      </c>
      <c r="AE147" s="320" t="str">
        <f aca="false">IF($A147="N/A"," ",SUM(V147:AD147))</f>
        <v> </v>
      </c>
      <c r="AF147" s="321" t="str">
        <f aca="false">IF(A147="N/A"," ",(VLOOKUP(A147,PowerVolTable,(IF(VolBMO1=2,7,IF(VolBMO1=1,6,8))),FALSE())))</f>
        <v> </v>
      </c>
      <c r="AG147" s="321" t="str">
        <f aca="false">IF(A147="N/A"," ",(VLOOKUP(A147,IntraPowerVol,(IF(VolBMO1=2,3,IF(VolBMO1=1,2,4))),FALSE())*VLOOKUP(MONTH($A147),Volscale,2)))</f>
        <v> </v>
      </c>
      <c r="AH147" s="321" t="str">
        <f aca="false">IF($A147="N/A"," ",IF(VolType1=1,AG147,AF147))</f>
        <v> </v>
      </c>
      <c r="AI147" s="321" t="str">
        <f aca="false">IF($A147="N/A"," ",(VLOOKUP($A147,OffPwrVolTable,(IF(VolBMO1=2,7,IF(VolBMO1=1,6,8))),FALSE())))</f>
        <v> </v>
      </c>
      <c r="AJ147" s="321" t="str">
        <f aca="false">IF($A147="N/A"," ",(VLOOKUP($A147,OffPwrVolTable,(IF(VolBMO1=2,3,IF(VolBMO1=1,2,4))),FALSE())*VLOOKUP(MONTH($A147),Volscale,2)))</f>
        <v> </v>
      </c>
      <c r="AK147" s="321" t="str">
        <f aca="false">IF($A147="N/A"," ",IF(VolType1=1,AJ147,AI147))</f>
        <v> </v>
      </c>
      <c r="AL147" s="321" t="str">
        <f aca="false">IF($A147="N/A"," ",IF(PV=1,0,'Pricing Inputs1'!R180))</f>
        <v> </v>
      </c>
      <c r="AM147" s="323" t="str">
        <f aca="false">IF($A147="N/A"," ",(1+AL147/2)^(-2*((EOMONTH(A147,0)+20)-DateToday)/365.25))</f>
        <v> </v>
      </c>
      <c r="BQ147" s="0" t="str">
        <f aca="false">IF($A147="N/A"," ",(VLOOKUP($A147,NumberofDaysTable,2)))</f>
        <v> </v>
      </c>
      <c r="BR147" s="0" t="str">
        <f aca="false">IF($A147="N/A"," ",(VLOOKUP($A147,NumberofDaysTable,3)))</f>
        <v> </v>
      </c>
      <c r="BS147" s="0" t="str">
        <f aca="false">IF($A147="N/A"," ",(VLOOKUP($A147,NumberofDaysTable,4)))</f>
        <v> </v>
      </c>
    </row>
    <row r="148" customFormat="false" ht="12.75" hidden="false" customHeight="false" outlineLevel="0" collapsed="false">
      <c r="A148" s="315" t="str">
        <f aca="false">IF(A147="N/A","N/A",IF(EDATE(A147,1)&gt;Inputs!$M$5,"N/A",EDATE(A147,1)))</f>
        <v>N/A</v>
      </c>
      <c r="B148" s="316" t="str">
        <f aca="false">IF(A148="N/A"," ",YEAR(A148))</f>
        <v> </v>
      </c>
      <c r="C148" s="324" t="str">
        <f aca="false">IF($A148="N/A"," ",IF(Dayrun1=10,0,IF(Scaler1=1,(VLOOKUP(A148,ScaledPrice1,4)),(VLOOKUP(A148,ScaledPrice1,2)))))</f>
        <v> </v>
      </c>
      <c r="D148" s="317" t="str">
        <f aca="false">IF(A148="N/A"," ",IF(Dayrun1&gt;=7,0,IF(Scaler1=2,VLOOKUP(A148,ScaledPrice1,2),(VLOOKUP(A148,ScaledPrice1,2))*(2-(VLOOKUP(A148,ScaledPrice1,3))))))</f>
        <v> </v>
      </c>
      <c r="E148" s="317" t="str">
        <f aca="false">IF($A148="N/A"," ",IF(AND(Dayrun1&gt;=4,Dayrun1&lt;=9),0,VLOOKUP($A148,ScaledPrice1,9)))</f>
        <v> </v>
      </c>
      <c r="F148" s="317" t="str">
        <f aca="false">IF(A148="N/A"," ",IF(OR(Dayrun1=2,Dayrun1=3,Dayrun1=5,Dayrun1=6,Dayrun1=8,Dayrun1=9),VLOOKUP(A148,ScaledPrice1,IF(Scaler1=1,6,5)),0))</f>
        <v> </v>
      </c>
      <c r="G148" s="317" t="str">
        <f aca="false">IF(A148="N/A"," ",IF(OR(Dayrun1=2,Dayrun1=3,Dayrun1=5,Dayrun1=6),IF(Scaler1=2,F148,(VLOOKUP(A148,ScaledPrice1,5))*(2-(VLOOKUP(A148,ScaledPrice1,3)))),0))</f>
        <v> </v>
      </c>
      <c r="H148" s="317" t="str">
        <f aca="false">IF($A148="N/A"," ",IF(OR(Dayrun1=2,Dayrun1=3,Dayrun1=10),VLOOKUP($A148,ScaledPrice1,9),0))</f>
        <v> </v>
      </c>
      <c r="I148" s="317" t="str">
        <f aca="false">IF(A148="N/A"," ",IF(OR(Dayrun1=3,Dayrun1=6,Dayrun1=9),(VLOOKUP(A148,ScaledPrice1,IF(Scaler1=2,7,8))),0))</f>
        <v> </v>
      </c>
      <c r="J148" s="317" t="str">
        <f aca="false">IF(A148="N/A"," ",IF(OR(Dayrun1=3,Dayrun1=6),IF(Scaler1=2,I148,(VLOOKUP(A148,ScaledPrice1,7))*(2-(VLOOKUP(A148,ScaledPrice1,3)))),0))</f>
        <v> </v>
      </c>
      <c r="K148" s="317" t="str">
        <f aca="false">IF($A148="N/A"," ",IF(OR(Dayrun1=3,Dayrun1=10),VLOOKUP($A148,ScaledPrice1,9),0))</f>
        <v> </v>
      </c>
      <c r="L148" s="318" t="str">
        <f aca="false">IF($A148="N/A"," ",IF(Pricetype1=2,MAX(C148,0),IF(OR(Pricetype1=1,Pricetype1=4),IF(C148=0,0,(EURO(C148,Strikeprice1,0,0,($AH148+IF(Smile=TRUE(),VLOOKUP(MAX(-5,Strikeprice1-C148),Volsmile,2),0)),($A148-DateToday)+15,IF(Pricetype1=1,1,0),0))),C148)))</f>
        <v> </v>
      </c>
      <c r="M148" s="318" t="str">
        <f aca="false">IF($A148="N/A"," ",IF(Pricetype1=2,MAX(D148,0),IF(OR(Pricetype1=1,Pricetype1=4),IF(D148=0,0,(EURO(D148,Strikeprice1,0,0,($AH148+IF(Smile=TRUE(),VLOOKUP(MAX(-5,Strikeprice1-D148),Volsmile,2),0)),($A148-DateToday)+15,IF(Pricetype1=1,1,0),0))),D148)))</f>
        <v> </v>
      </c>
      <c r="N148" s="318" t="str">
        <f aca="false">IF($A148="N/A"," ",IF(Pricetype1=2,MAX(E148,0),IF(OR(Pricetype1=1,Pricetype1=4),IF(E148=0,0,(EURO(E148,Strikeprice1,0,0,($AK148+IF(Smile=TRUE(),VLOOKUP(MAX(-5,Strikeprice1-E148),Volsmile,2),0)),($A148-DateToday)+15,IF(Pricetype1=1,1,0),0))),E148)))</f>
        <v> </v>
      </c>
      <c r="O148" s="318" t="str">
        <f aca="false">IF($A148="N/A"," ",IF(Pricetype1=2,MAX(F148,0),IF(OR(Pricetype1=1,Pricetype1=4),IF(F148=0,0,(EURO(F148,Strikeprice1,0,0,($AK148+IF(Smile=TRUE(),VLOOKUP(MAX(-5,Strikeprice1-F148),Volsmile,2),0)),($A148-DateToday)+15,IF(Pricetype1=1,1,0),0))),F148)))</f>
        <v> </v>
      </c>
      <c r="P148" s="318" t="str">
        <f aca="false">IF($A148="N/A"," ",IF(Pricetype1=2,MAX(G148,0),IF(OR(Pricetype1=1,Pricetype1=4),IF(G148=0,0,(EURO(G148,Strikeprice1,0,0,($AK148+IF(Smile=TRUE(),VLOOKUP(MAX(-5,Strikeprice1-G148),Volsmile,2),0)),($A148-DateToday)+15,IF(Pricetype1=1,1,0),0))),G148)))</f>
        <v> </v>
      </c>
      <c r="Q148" s="318" t="str">
        <f aca="false">IF($A148="N/A"," ",IF(Pricetype1=2,MAX(H148,0),IF(OR(Pricetype1=1,Pricetype1=4),IF(H148=0,0,(EURO(H148,Strikeprice1,0,0,($AK148+IF(Smile=TRUE(),VLOOKUP(MAX(-5,Strikeprice1-H148),Volsmile,2),0)),($A148-DateToday)+15,IF(Pricetype1=1,1,0),0))),H148)))</f>
        <v> </v>
      </c>
      <c r="R148" s="318" t="str">
        <f aca="false">IF($A148="N/A"," ",IF(Pricetype1=2,MAX(I148,0),IF(OR(Pricetype1=1,Pricetype1=4),IF(I148=0,0,(EURO(I148,Strikeprice1,0,0,($AK148+IF(Smile=TRUE(),VLOOKUP(MAX(-5,Strikeprice1-I148),Volsmile,2),0)),($A148-DateToday)+15,IF(Pricetype1=1,1,0),0))),I148)))</f>
        <v> </v>
      </c>
      <c r="S148" s="318" t="str">
        <f aca="false">IF($A148="N/A"," ",IF(Pricetype1=2,MAX(J148,0),IF(OR(Pricetype1=1,Pricetype1=4),IF(J148=0,0,(EURO(J148,Strikeprice1,0,0,($AK148+IF(Smile=TRUE(),VLOOKUP(MAX(-5,Strikeprice1-J148),Volsmile,2),0)),($A148-DateToday)+15,IF(Pricetype1=1,1,0),0))),J148)))</f>
        <v> </v>
      </c>
      <c r="T148" s="318" t="str">
        <f aca="false">IF($A148="N/A"," ",IF(Pricetype1=2,MAX(K148,0),IF(OR(Pricetype1=1,Pricetype1=4),IF(K148=0,0,(EURO(K148,Strikeprice1,0,0,($AK148+IF(Smile=TRUE(),VLOOKUP(MAX(-5,Strikeprice1-K148),Volsmile,2),0)),($A148-DateToday)+15,IF(Pricetype1=1,1,0),0))),K148)))</f>
        <v> </v>
      </c>
      <c r="U148" s="319" t="str">
        <f aca="false">IF($A148="N/A"," ",Volume1*$AM148)</f>
        <v> </v>
      </c>
      <c r="V148" s="320" t="str">
        <f aca="false">IF($A148="N/A"," ",$U148*(8*($BQ148))*L148)</f>
        <v> </v>
      </c>
      <c r="W148" s="320" t="str">
        <f aca="false">IF($A148="N/A"," ",$U148*(8*($BQ148))*M148)</f>
        <v> </v>
      </c>
      <c r="X148" s="320" t="str">
        <f aca="false">IF($A148="N/A"," ",$U148*(8*($BQ148))*N148)</f>
        <v> </v>
      </c>
      <c r="Y148" s="320" t="str">
        <f aca="false">IF($A148="N/A"," ",$U148*(8*($BR148))*O148)</f>
        <v> </v>
      </c>
      <c r="Z148" s="320" t="str">
        <f aca="false">IF($A148="N/A"," ",$U148*(8*($BR148))*P148)</f>
        <v> </v>
      </c>
      <c r="AA148" s="320" t="str">
        <f aca="false">IF($A148="N/A"," ",$U148*(8*($BR148))*Q148)</f>
        <v> </v>
      </c>
      <c r="AB148" s="320" t="str">
        <f aca="false">IF($A148="N/A"," ",$U148*(8*($BS148))*R148)</f>
        <v> </v>
      </c>
      <c r="AC148" s="320" t="str">
        <f aca="false">IF($A148="N/A"," ",$U148*(8*($BS148))*S148)</f>
        <v> </v>
      </c>
      <c r="AD148" s="320" t="str">
        <f aca="false">IF($A148="N/A"," ",$U148*(8*($BS148))*T148)</f>
        <v> </v>
      </c>
      <c r="AE148" s="320" t="str">
        <f aca="false">IF($A148="N/A"," ",SUM(V148:AD148))</f>
        <v> </v>
      </c>
      <c r="AF148" s="321" t="str">
        <f aca="false">IF(A148="N/A"," ",(VLOOKUP(A148,PowerVolTable,(IF(VolBMO1=2,7,IF(VolBMO1=1,6,8))),FALSE())))</f>
        <v> </v>
      </c>
      <c r="AG148" s="321" t="str">
        <f aca="false">IF(A148="N/A"," ",(VLOOKUP(A148,IntraPowerVol,(IF(VolBMO1=2,3,IF(VolBMO1=1,2,4))),FALSE())*VLOOKUP(MONTH($A148),Volscale,2)))</f>
        <v> </v>
      </c>
      <c r="AH148" s="321" t="str">
        <f aca="false">IF($A148="N/A"," ",IF(VolType1=1,AG148,AF148))</f>
        <v> </v>
      </c>
      <c r="AI148" s="321" t="str">
        <f aca="false">IF($A148="N/A"," ",(VLOOKUP($A148,OffPwrVolTable,(IF(VolBMO1=2,7,IF(VolBMO1=1,6,8))),FALSE())))</f>
        <v> </v>
      </c>
      <c r="AJ148" s="321" t="str">
        <f aca="false">IF($A148="N/A"," ",(VLOOKUP($A148,OffPwrVolTable,(IF(VolBMO1=2,3,IF(VolBMO1=1,2,4))),FALSE())*VLOOKUP(MONTH($A148),Volscale,2)))</f>
        <v> </v>
      </c>
      <c r="AK148" s="321" t="str">
        <f aca="false">IF($A148="N/A"," ",IF(VolType1=1,AJ148,AI148))</f>
        <v> </v>
      </c>
      <c r="AL148" s="321" t="str">
        <f aca="false">IF($A148="N/A"," ",IF(PV=1,0,'Pricing Inputs1'!R181))</f>
        <v> </v>
      </c>
      <c r="AM148" s="323" t="str">
        <f aca="false">IF($A148="N/A"," ",(1+AL148/2)^(-2*((EOMONTH(A148,0)+20)-DateToday)/365.25))</f>
        <v> </v>
      </c>
      <c r="BQ148" s="0" t="str">
        <f aca="false">IF($A148="N/A"," ",(VLOOKUP($A148,NumberofDaysTable,2)))</f>
        <v> </v>
      </c>
      <c r="BR148" s="0" t="str">
        <f aca="false">IF($A148="N/A"," ",(VLOOKUP($A148,NumberofDaysTable,3)))</f>
        <v> </v>
      </c>
      <c r="BS148" s="0" t="str">
        <f aca="false">IF($A148="N/A"," ",(VLOOKUP($A148,NumberofDaysTable,4)))</f>
        <v> </v>
      </c>
    </row>
    <row r="149" customFormat="false" ht="12.75" hidden="false" customHeight="false" outlineLevel="0" collapsed="false">
      <c r="A149" s="315" t="str">
        <f aca="false">IF(A148="N/A","N/A",IF(EDATE(A148,1)&gt;Inputs!$M$5,"N/A",EDATE(A148,1)))</f>
        <v>N/A</v>
      </c>
      <c r="B149" s="316" t="str">
        <f aca="false">IF(A149="N/A"," ",YEAR(A149))</f>
        <v> </v>
      </c>
      <c r="C149" s="324" t="str">
        <f aca="false">IF($A149="N/A"," ",IF(Dayrun1=10,0,IF(Scaler1=1,(VLOOKUP(A149,ScaledPrice1,4)),(VLOOKUP(A149,ScaledPrice1,2)))))</f>
        <v> </v>
      </c>
      <c r="D149" s="317" t="str">
        <f aca="false">IF(A149="N/A"," ",IF(Dayrun1&gt;=7,0,IF(Scaler1=2,VLOOKUP(A149,ScaledPrice1,2),(VLOOKUP(A149,ScaledPrice1,2))*(2-(VLOOKUP(A149,ScaledPrice1,3))))))</f>
        <v> </v>
      </c>
      <c r="E149" s="317" t="str">
        <f aca="false">IF($A149="N/A"," ",IF(AND(Dayrun1&gt;=4,Dayrun1&lt;=9),0,VLOOKUP($A149,ScaledPrice1,9)))</f>
        <v> </v>
      </c>
      <c r="F149" s="317" t="str">
        <f aca="false">IF(A149="N/A"," ",IF(OR(Dayrun1=2,Dayrun1=3,Dayrun1=5,Dayrun1=6,Dayrun1=8,Dayrun1=9),VLOOKUP(A149,ScaledPrice1,IF(Scaler1=1,6,5)),0))</f>
        <v> </v>
      </c>
      <c r="G149" s="317" t="str">
        <f aca="false">IF(A149="N/A"," ",IF(OR(Dayrun1=2,Dayrun1=3,Dayrun1=5,Dayrun1=6),IF(Scaler1=2,F149,(VLOOKUP(A149,ScaledPrice1,5))*(2-(VLOOKUP(A149,ScaledPrice1,3)))),0))</f>
        <v> </v>
      </c>
      <c r="H149" s="317" t="str">
        <f aca="false">IF($A149="N/A"," ",IF(OR(Dayrun1=2,Dayrun1=3,Dayrun1=10),VLOOKUP($A149,ScaledPrice1,9),0))</f>
        <v> </v>
      </c>
      <c r="I149" s="317" t="str">
        <f aca="false">IF(A149="N/A"," ",IF(OR(Dayrun1=3,Dayrun1=6,Dayrun1=9),(VLOOKUP(A149,ScaledPrice1,IF(Scaler1=2,7,8))),0))</f>
        <v> </v>
      </c>
      <c r="J149" s="317" t="str">
        <f aca="false">IF(A149="N/A"," ",IF(OR(Dayrun1=3,Dayrun1=6),IF(Scaler1=2,I149,(VLOOKUP(A149,ScaledPrice1,7))*(2-(VLOOKUP(A149,ScaledPrice1,3)))),0))</f>
        <v> </v>
      </c>
      <c r="K149" s="317" t="str">
        <f aca="false">IF($A149="N/A"," ",IF(OR(Dayrun1=3,Dayrun1=10),VLOOKUP($A149,ScaledPrice1,9),0))</f>
        <v> </v>
      </c>
      <c r="L149" s="318" t="str">
        <f aca="false">IF($A149="N/A"," ",IF(Pricetype1=2,MAX(C149,0),IF(OR(Pricetype1=1,Pricetype1=4),IF(C149=0,0,(EURO(C149,Strikeprice1,0,0,($AH149+IF(Smile=TRUE(),VLOOKUP(MAX(-5,Strikeprice1-C149),Volsmile,2),0)),($A149-DateToday)+15,IF(Pricetype1=1,1,0),0))),C149)))</f>
        <v> </v>
      </c>
      <c r="M149" s="318" t="str">
        <f aca="false">IF($A149="N/A"," ",IF(Pricetype1=2,MAX(D149,0),IF(OR(Pricetype1=1,Pricetype1=4),IF(D149=0,0,(EURO(D149,Strikeprice1,0,0,($AH149+IF(Smile=TRUE(),VLOOKUP(MAX(-5,Strikeprice1-D149),Volsmile,2),0)),($A149-DateToday)+15,IF(Pricetype1=1,1,0),0))),D149)))</f>
        <v> </v>
      </c>
      <c r="N149" s="318" t="str">
        <f aca="false">IF($A149="N/A"," ",IF(Pricetype1=2,MAX(E149,0),IF(OR(Pricetype1=1,Pricetype1=4),IF(E149=0,0,(EURO(E149,Strikeprice1,0,0,($AK149+IF(Smile=TRUE(),VLOOKUP(MAX(-5,Strikeprice1-E149),Volsmile,2),0)),($A149-DateToday)+15,IF(Pricetype1=1,1,0),0))),E149)))</f>
        <v> </v>
      </c>
      <c r="O149" s="318" t="str">
        <f aca="false">IF($A149="N/A"," ",IF(Pricetype1=2,MAX(F149,0),IF(OR(Pricetype1=1,Pricetype1=4),IF(F149=0,0,(EURO(F149,Strikeprice1,0,0,($AK149+IF(Smile=TRUE(),VLOOKUP(MAX(-5,Strikeprice1-F149),Volsmile,2),0)),($A149-DateToday)+15,IF(Pricetype1=1,1,0),0))),F149)))</f>
        <v> </v>
      </c>
      <c r="P149" s="318" t="str">
        <f aca="false">IF($A149="N/A"," ",IF(Pricetype1=2,MAX(G149,0),IF(OR(Pricetype1=1,Pricetype1=4),IF(G149=0,0,(EURO(G149,Strikeprice1,0,0,($AK149+IF(Smile=TRUE(),VLOOKUP(MAX(-5,Strikeprice1-G149),Volsmile,2),0)),($A149-DateToday)+15,IF(Pricetype1=1,1,0),0))),G149)))</f>
        <v> </v>
      </c>
      <c r="Q149" s="318" t="str">
        <f aca="false">IF($A149="N/A"," ",IF(Pricetype1=2,MAX(H149,0),IF(OR(Pricetype1=1,Pricetype1=4),IF(H149=0,0,(EURO(H149,Strikeprice1,0,0,($AK149+IF(Smile=TRUE(),VLOOKUP(MAX(-5,Strikeprice1-H149),Volsmile,2),0)),($A149-DateToday)+15,IF(Pricetype1=1,1,0),0))),H149)))</f>
        <v> </v>
      </c>
      <c r="R149" s="318" t="str">
        <f aca="false">IF($A149="N/A"," ",IF(Pricetype1=2,MAX(I149,0),IF(OR(Pricetype1=1,Pricetype1=4),IF(I149=0,0,(EURO(I149,Strikeprice1,0,0,($AK149+IF(Smile=TRUE(),VLOOKUP(MAX(-5,Strikeprice1-I149),Volsmile,2),0)),($A149-DateToday)+15,IF(Pricetype1=1,1,0),0))),I149)))</f>
        <v> </v>
      </c>
      <c r="S149" s="318" t="str">
        <f aca="false">IF($A149="N/A"," ",IF(Pricetype1=2,MAX(J149,0),IF(OR(Pricetype1=1,Pricetype1=4),IF(J149=0,0,(EURO(J149,Strikeprice1,0,0,($AK149+IF(Smile=TRUE(),VLOOKUP(MAX(-5,Strikeprice1-J149),Volsmile,2),0)),($A149-DateToday)+15,IF(Pricetype1=1,1,0),0))),J149)))</f>
        <v> </v>
      </c>
      <c r="T149" s="318" t="str">
        <f aca="false">IF($A149="N/A"," ",IF(Pricetype1=2,MAX(K149,0),IF(OR(Pricetype1=1,Pricetype1=4),IF(K149=0,0,(EURO(K149,Strikeprice1,0,0,($AK149+IF(Smile=TRUE(),VLOOKUP(MAX(-5,Strikeprice1-K149),Volsmile,2),0)),($A149-DateToday)+15,IF(Pricetype1=1,1,0),0))),K149)))</f>
        <v> </v>
      </c>
      <c r="U149" s="319" t="str">
        <f aca="false">IF($A149="N/A"," ",Volume1*$AM149)</f>
        <v> </v>
      </c>
      <c r="V149" s="320" t="str">
        <f aca="false">IF($A149="N/A"," ",$U149*(8*($BQ149))*L149)</f>
        <v> </v>
      </c>
      <c r="W149" s="320" t="str">
        <f aca="false">IF($A149="N/A"," ",$U149*(8*($BQ149))*M149)</f>
        <v> </v>
      </c>
      <c r="X149" s="320" t="str">
        <f aca="false">IF($A149="N/A"," ",$U149*(8*($BQ149))*N149)</f>
        <v> </v>
      </c>
      <c r="Y149" s="320" t="str">
        <f aca="false">IF($A149="N/A"," ",$U149*(8*($BR149))*O149)</f>
        <v> </v>
      </c>
      <c r="Z149" s="320" t="str">
        <f aca="false">IF($A149="N/A"," ",$U149*(8*($BR149))*P149)</f>
        <v> </v>
      </c>
      <c r="AA149" s="320" t="str">
        <f aca="false">IF($A149="N/A"," ",$U149*(8*($BR149))*Q149)</f>
        <v> </v>
      </c>
      <c r="AB149" s="320" t="str">
        <f aca="false">IF($A149="N/A"," ",$U149*(8*($BS149))*R149)</f>
        <v> </v>
      </c>
      <c r="AC149" s="320" t="str">
        <f aca="false">IF($A149="N/A"," ",$U149*(8*($BS149))*S149)</f>
        <v> </v>
      </c>
      <c r="AD149" s="320" t="str">
        <f aca="false">IF($A149="N/A"," ",$U149*(8*($BS149))*T149)</f>
        <v> </v>
      </c>
      <c r="AE149" s="320" t="str">
        <f aca="false">IF($A149="N/A"," ",SUM(V149:AD149))</f>
        <v> </v>
      </c>
      <c r="AF149" s="321" t="str">
        <f aca="false">IF(A149="N/A"," ",(VLOOKUP(A149,PowerVolTable,(IF(VolBMO1=2,7,IF(VolBMO1=1,6,8))),FALSE())))</f>
        <v> </v>
      </c>
      <c r="AG149" s="321" t="str">
        <f aca="false">IF(A149="N/A"," ",(VLOOKUP(A149,IntraPowerVol,(IF(VolBMO1=2,3,IF(VolBMO1=1,2,4))),FALSE())*VLOOKUP(MONTH($A149),Volscale,2)))</f>
        <v> </v>
      </c>
      <c r="AH149" s="321" t="str">
        <f aca="false">IF($A149="N/A"," ",IF(VolType1=1,AG149,AF149))</f>
        <v> </v>
      </c>
      <c r="AI149" s="321" t="str">
        <f aca="false">IF($A149="N/A"," ",(VLOOKUP($A149,OffPwrVolTable,(IF(VolBMO1=2,7,IF(VolBMO1=1,6,8))),FALSE())))</f>
        <v> </v>
      </c>
      <c r="AJ149" s="321" t="str">
        <f aca="false">IF($A149="N/A"," ",(VLOOKUP($A149,OffPwrVolTable,(IF(VolBMO1=2,3,IF(VolBMO1=1,2,4))),FALSE())*VLOOKUP(MONTH($A149),Volscale,2)))</f>
        <v> </v>
      </c>
      <c r="AK149" s="321" t="str">
        <f aca="false">IF($A149="N/A"," ",IF(VolType1=1,AJ149,AI149))</f>
        <v> </v>
      </c>
      <c r="AL149" s="321" t="str">
        <f aca="false">IF($A149="N/A"," ",IF(PV=1,0,'Pricing Inputs1'!R182))</f>
        <v> </v>
      </c>
      <c r="AM149" s="323" t="str">
        <f aca="false">IF($A149="N/A"," ",(1+AL149/2)^(-2*((EOMONTH(A149,0)+20)-DateToday)/365.25))</f>
        <v> </v>
      </c>
      <c r="BQ149" s="0" t="str">
        <f aca="false">IF($A149="N/A"," ",(VLOOKUP($A149,NumberofDaysTable,2)))</f>
        <v> </v>
      </c>
      <c r="BR149" s="0" t="str">
        <f aca="false">IF($A149="N/A"," ",(VLOOKUP($A149,NumberofDaysTable,3)))</f>
        <v> </v>
      </c>
      <c r="BS149" s="0" t="str">
        <f aca="false">IF($A149="N/A"," ",(VLOOKUP($A149,NumberofDaysTable,4)))</f>
        <v> </v>
      </c>
    </row>
    <row r="150" customFormat="false" ht="12.75" hidden="false" customHeight="false" outlineLevel="0" collapsed="false">
      <c r="A150" s="315" t="str">
        <f aca="false">IF(A149="N/A","N/A",IF(EDATE(A149,1)&gt;Inputs!$M$5,"N/A",EDATE(A149,1)))</f>
        <v>N/A</v>
      </c>
      <c r="B150" s="316" t="str">
        <f aca="false">IF(A150="N/A"," ",YEAR(A150))</f>
        <v> </v>
      </c>
      <c r="C150" s="324" t="str">
        <f aca="false">IF($A150="N/A"," ",IF(Dayrun1=10,0,IF(Scaler1=1,(VLOOKUP(A150,ScaledPrice1,4)),(VLOOKUP(A150,ScaledPrice1,2)))))</f>
        <v> </v>
      </c>
      <c r="D150" s="317" t="str">
        <f aca="false">IF(A150="N/A"," ",IF(Dayrun1&gt;=7,0,IF(Scaler1=2,VLOOKUP(A150,ScaledPrice1,2),(VLOOKUP(A150,ScaledPrice1,2))*(2-(VLOOKUP(A150,ScaledPrice1,3))))))</f>
        <v> </v>
      </c>
      <c r="E150" s="317" t="str">
        <f aca="false">IF($A150="N/A"," ",IF(AND(Dayrun1&gt;=4,Dayrun1&lt;=9),0,VLOOKUP($A150,ScaledPrice1,9)))</f>
        <v> </v>
      </c>
      <c r="F150" s="317" t="str">
        <f aca="false">IF(A150="N/A"," ",IF(OR(Dayrun1=2,Dayrun1=3,Dayrun1=5,Dayrun1=6,Dayrun1=8,Dayrun1=9),VLOOKUP(A150,ScaledPrice1,IF(Scaler1=1,6,5)),0))</f>
        <v> </v>
      </c>
      <c r="G150" s="317" t="str">
        <f aca="false">IF(A150="N/A"," ",IF(OR(Dayrun1=2,Dayrun1=3,Dayrun1=5,Dayrun1=6),IF(Scaler1=2,F150,(VLOOKUP(A150,ScaledPrice1,5))*(2-(VLOOKUP(A150,ScaledPrice1,3)))),0))</f>
        <v> </v>
      </c>
      <c r="H150" s="317" t="str">
        <f aca="false">IF($A150="N/A"," ",IF(OR(Dayrun1=2,Dayrun1=3,Dayrun1=10),VLOOKUP($A150,ScaledPrice1,9),0))</f>
        <v> </v>
      </c>
      <c r="I150" s="317" t="str">
        <f aca="false">IF(A150="N/A"," ",IF(OR(Dayrun1=3,Dayrun1=6,Dayrun1=9),(VLOOKUP(A150,ScaledPrice1,IF(Scaler1=2,7,8))),0))</f>
        <v> </v>
      </c>
      <c r="J150" s="317" t="str">
        <f aca="false">IF(A150="N/A"," ",IF(OR(Dayrun1=3,Dayrun1=6),IF(Scaler1=2,I150,(VLOOKUP(A150,ScaledPrice1,7))*(2-(VLOOKUP(A150,ScaledPrice1,3)))),0))</f>
        <v> </v>
      </c>
      <c r="K150" s="317" t="str">
        <f aca="false">IF($A150="N/A"," ",IF(OR(Dayrun1=3,Dayrun1=10),VLOOKUP($A150,ScaledPrice1,9),0))</f>
        <v> </v>
      </c>
      <c r="L150" s="318" t="str">
        <f aca="false">IF($A150="N/A"," ",IF(Pricetype1=2,MAX(C150,0),IF(OR(Pricetype1=1,Pricetype1=4),IF(C150=0,0,(EURO(C150,Strikeprice1,0,0,($AH150+IF(Smile=TRUE(),VLOOKUP(MAX(-5,Strikeprice1-C150),Volsmile,2),0)),($A150-DateToday)+15,IF(Pricetype1=1,1,0),0))),C150)))</f>
        <v> </v>
      </c>
      <c r="M150" s="318" t="str">
        <f aca="false">IF($A150="N/A"," ",IF(Pricetype1=2,MAX(D150,0),IF(OR(Pricetype1=1,Pricetype1=4),IF(D150=0,0,(EURO(D150,Strikeprice1,0,0,($AH150+IF(Smile=TRUE(),VLOOKUP(MAX(-5,Strikeprice1-D150),Volsmile,2),0)),($A150-DateToday)+15,IF(Pricetype1=1,1,0),0))),D150)))</f>
        <v> </v>
      </c>
      <c r="N150" s="318" t="str">
        <f aca="false">IF($A150="N/A"," ",IF(Pricetype1=2,MAX(E150,0),IF(OR(Pricetype1=1,Pricetype1=4),IF(E150=0,0,(EURO(E150,Strikeprice1,0,0,($AK150+IF(Smile=TRUE(),VLOOKUP(MAX(-5,Strikeprice1-E150),Volsmile,2),0)),($A150-DateToday)+15,IF(Pricetype1=1,1,0),0))),E150)))</f>
        <v> </v>
      </c>
      <c r="O150" s="318" t="str">
        <f aca="false">IF($A150="N/A"," ",IF(Pricetype1=2,MAX(F150,0),IF(OR(Pricetype1=1,Pricetype1=4),IF(F150=0,0,(EURO(F150,Strikeprice1,0,0,($AK150+IF(Smile=TRUE(),VLOOKUP(MAX(-5,Strikeprice1-F150),Volsmile,2),0)),($A150-DateToday)+15,IF(Pricetype1=1,1,0),0))),F150)))</f>
        <v> </v>
      </c>
      <c r="P150" s="318" t="str">
        <f aca="false">IF($A150="N/A"," ",IF(Pricetype1=2,MAX(G150,0),IF(OR(Pricetype1=1,Pricetype1=4),IF(G150=0,0,(EURO(G150,Strikeprice1,0,0,($AK150+IF(Smile=TRUE(),VLOOKUP(MAX(-5,Strikeprice1-G150),Volsmile,2),0)),($A150-DateToday)+15,IF(Pricetype1=1,1,0),0))),G150)))</f>
        <v> </v>
      </c>
      <c r="Q150" s="318" t="str">
        <f aca="false">IF($A150="N/A"," ",IF(Pricetype1=2,MAX(H150,0),IF(OR(Pricetype1=1,Pricetype1=4),IF(H150=0,0,(EURO(H150,Strikeprice1,0,0,($AK150+IF(Smile=TRUE(),VLOOKUP(MAX(-5,Strikeprice1-H150),Volsmile,2),0)),($A150-DateToday)+15,IF(Pricetype1=1,1,0),0))),H150)))</f>
        <v> </v>
      </c>
      <c r="R150" s="318" t="str">
        <f aca="false">IF($A150="N/A"," ",IF(Pricetype1=2,MAX(I150,0),IF(OR(Pricetype1=1,Pricetype1=4),IF(I150=0,0,(EURO(I150,Strikeprice1,0,0,($AK150+IF(Smile=TRUE(),VLOOKUP(MAX(-5,Strikeprice1-I150),Volsmile,2),0)),($A150-DateToday)+15,IF(Pricetype1=1,1,0),0))),I150)))</f>
        <v> </v>
      </c>
      <c r="S150" s="318" t="str">
        <f aca="false">IF($A150="N/A"," ",IF(Pricetype1=2,MAX(J150,0),IF(OR(Pricetype1=1,Pricetype1=4),IF(J150=0,0,(EURO(J150,Strikeprice1,0,0,($AK150+IF(Smile=TRUE(),VLOOKUP(MAX(-5,Strikeprice1-J150),Volsmile,2),0)),($A150-DateToday)+15,IF(Pricetype1=1,1,0),0))),J150)))</f>
        <v> </v>
      </c>
      <c r="T150" s="318" t="str">
        <f aca="false">IF($A150="N/A"," ",IF(Pricetype1=2,MAX(K150,0),IF(OR(Pricetype1=1,Pricetype1=4),IF(K150=0,0,(EURO(K150,Strikeprice1,0,0,($AK150+IF(Smile=TRUE(),VLOOKUP(MAX(-5,Strikeprice1-K150),Volsmile,2),0)),($A150-DateToday)+15,IF(Pricetype1=1,1,0),0))),K150)))</f>
        <v> </v>
      </c>
      <c r="U150" s="319" t="str">
        <f aca="false">IF($A150="N/A"," ",Volume1*$AM150)</f>
        <v> </v>
      </c>
      <c r="V150" s="320" t="str">
        <f aca="false">IF($A150="N/A"," ",$U150*(8*($BQ150))*L150)</f>
        <v> </v>
      </c>
      <c r="W150" s="320" t="str">
        <f aca="false">IF($A150="N/A"," ",$U150*(8*($BQ150))*M150)</f>
        <v> </v>
      </c>
      <c r="X150" s="320" t="str">
        <f aca="false">IF($A150="N/A"," ",$U150*(8*($BQ150))*N150)</f>
        <v> </v>
      </c>
      <c r="Y150" s="320" t="str">
        <f aca="false">IF($A150="N/A"," ",$U150*(8*($BR150))*O150)</f>
        <v> </v>
      </c>
      <c r="Z150" s="320" t="str">
        <f aca="false">IF($A150="N/A"," ",$U150*(8*($BR150))*P150)</f>
        <v> </v>
      </c>
      <c r="AA150" s="320" t="str">
        <f aca="false">IF($A150="N/A"," ",$U150*(8*($BR150))*Q150)</f>
        <v> </v>
      </c>
      <c r="AB150" s="320" t="str">
        <f aca="false">IF($A150="N/A"," ",$U150*(8*($BS150))*R150)</f>
        <v> </v>
      </c>
      <c r="AC150" s="320" t="str">
        <f aca="false">IF($A150="N/A"," ",$U150*(8*($BS150))*S150)</f>
        <v> </v>
      </c>
      <c r="AD150" s="320" t="str">
        <f aca="false">IF($A150="N/A"," ",$U150*(8*($BS150))*T150)</f>
        <v> </v>
      </c>
      <c r="AE150" s="320" t="str">
        <f aca="false">IF($A150="N/A"," ",SUM(V150:AD150))</f>
        <v> </v>
      </c>
      <c r="AF150" s="321" t="str">
        <f aca="false">IF(A150="N/A"," ",(VLOOKUP(A150,PowerVolTable,(IF(VolBMO1=2,7,IF(VolBMO1=1,6,8))),FALSE())))</f>
        <v> </v>
      </c>
      <c r="AG150" s="321" t="str">
        <f aca="false">IF(A150="N/A"," ",(VLOOKUP(A150,IntraPowerVol,(IF(VolBMO1=2,3,IF(VolBMO1=1,2,4))),FALSE())*VLOOKUP(MONTH($A150),Volscale,2)))</f>
        <v> </v>
      </c>
      <c r="AH150" s="321" t="str">
        <f aca="false">IF($A150="N/A"," ",IF(VolType1=1,AG150,AF150))</f>
        <v> </v>
      </c>
      <c r="AI150" s="321" t="str">
        <f aca="false">IF($A150="N/A"," ",(VLOOKUP($A150,OffPwrVolTable,(IF(VolBMO1=2,7,IF(VolBMO1=1,6,8))),FALSE())))</f>
        <v> </v>
      </c>
      <c r="AJ150" s="321" t="str">
        <f aca="false">IF($A150="N/A"," ",(VLOOKUP($A150,OffPwrVolTable,(IF(VolBMO1=2,3,IF(VolBMO1=1,2,4))),FALSE())*VLOOKUP(MONTH($A150),Volscale,2)))</f>
        <v> </v>
      </c>
      <c r="AK150" s="321" t="str">
        <f aca="false">IF($A150="N/A"," ",IF(VolType1=1,AJ150,AI150))</f>
        <v> </v>
      </c>
      <c r="AL150" s="321" t="str">
        <f aca="false">IF($A150="N/A"," ",IF(PV=1,0,'Pricing Inputs1'!R183))</f>
        <v> </v>
      </c>
      <c r="AM150" s="323" t="str">
        <f aca="false">IF($A150="N/A"," ",(1+AL150/2)^(-2*((EOMONTH(A150,0)+20)-DateToday)/365.25))</f>
        <v> </v>
      </c>
      <c r="BQ150" s="0" t="str">
        <f aca="false">IF($A150="N/A"," ",(VLOOKUP($A150,NumberofDaysTable,2)))</f>
        <v> </v>
      </c>
      <c r="BR150" s="0" t="str">
        <f aca="false">IF($A150="N/A"," ",(VLOOKUP($A150,NumberofDaysTable,3)))</f>
        <v> </v>
      </c>
      <c r="BS150" s="0" t="str">
        <f aca="false">IF($A150="N/A"," ",(VLOOKUP($A150,NumberofDaysTable,4)))</f>
        <v> </v>
      </c>
    </row>
    <row r="151" customFormat="false" ht="12.75" hidden="false" customHeight="false" outlineLevel="0" collapsed="false">
      <c r="A151" s="315" t="str">
        <f aca="false">IF(A150="N/A","N/A",IF(EDATE(A150,1)&gt;Inputs!$M$5,"N/A",EDATE(A150,1)))</f>
        <v>N/A</v>
      </c>
      <c r="B151" s="316" t="str">
        <f aca="false">IF(A151="N/A"," ",YEAR(A151))</f>
        <v> </v>
      </c>
      <c r="C151" s="324" t="str">
        <f aca="false">IF($A151="N/A"," ",IF(Dayrun1=10,0,IF(Scaler1=1,(VLOOKUP(A151,ScaledPrice1,4)),(VLOOKUP(A151,ScaledPrice1,2)))))</f>
        <v> </v>
      </c>
      <c r="D151" s="317" t="str">
        <f aca="false">IF(A151="N/A"," ",IF(Dayrun1&gt;=7,0,IF(Scaler1=2,VLOOKUP(A151,ScaledPrice1,2),(VLOOKUP(A151,ScaledPrice1,2))*(2-(VLOOKUP(A151,ScaledPrice1,3))))))</f>
        <v> </v>
      </c>
      <c r="E151" s="317" t="str">
        <f aca="false">IF($A151="N/A"," ",IF(AND(Dayrun1&gt;=4,Dayrun1&lt;=9),0,VLOOKUP($A151,ScaledPrice1,9)))</f>
        <v> </v>
      </c>
      <c r="F151" s="317" t="str">
        <f aca="false">IF(A151="N/A"," ",IF(OR(Dayrun1=2,Dayrun1=3,Dayrun1=5,Dayrun1=6,Dayrun1=8,Dayrun1=9),VLOOKUP(A151,ScaledPrice1,IF(Scaler1=1,6,5)),0))</f>
        <v> </v>
      </c>
      <c r="G151" s="317" t="str">
        <f aca="false">IF(A151="N/A"," ",IF(OR(Dayrun1=2,Dayrun1=3,Dayrun1=5,Dayrun1=6),IF(Scaler1=2,F151,(VLOOKUP(A151,ScaledPrice1,5))*(2-(VLOOKUP(A151,ScaledPrice1,3)))),0))</f>
        <v> </v>
      </c>
      <c r="H151" s="317" t="str">
        <f aca="false">IF($A151="N/A"," ",IF(OR(Dayrun1=2,Dayrun1=3,Dayrun1=10),VLOOKUP($A151,ScaledPrice1,9),0))</f>
        <v> </v>
      </c>
      <c r="I151" s="317" t="str">
        <f aca="false">IF(A151="N/A"," ",IF(OR(Dayrun1=3,Dayrun1=6,Dayrun1=9),(VLOOKUP(A151,ScaledPrice1,IF(Scaler1=2,7,8))),0))</f>
        <v> </v>
      </c>
      <c r="J151" s="317" t="str">
        <f aca="false">IF(A151="N/A"," ",IF(OR(Dayrun1=3,Dayrun1=6),IF(Scaler1=2,I151,(VLOOKUP(A151,ScaledPrice1,7))*(2-(VLOOKUP(A151,ScaledPrice1,3)))),0))</f>
        <v> </v>
      </c>
      <c r="K151" s="317" t="str">
        <f aca="false">IF($A151="N/A"," ",IF(OR(Dayrun1=3,Dayrun1=10),VLOOKUP($A151,ScaledPrice1,9),0))</f>
        <v> </v>
      </c>
      <c r="L151" s="318" t="str">
        <f aca="false">IF($A151="N/A"," ",IF(Pricetype1=2,MAX(C151,0),IF(OR(Pricetype1=1,Pricetype1=4),IF(C151=0,0,(EURO(C151,Strikeprice1,0,0,($AH151+IF(Smile=TRUE(),VLOOKUP(MAX(-5,Strikeprice1-C151),Volsmile,2),0)),($A151-DateToday)+15,IF(Pricetype1=1,1,0),0))),C151)))</f>
        <v> </v>
      </c>
      <c r="M151" s="318" t="str">
        <f aca="false">IF($A151="N/A"," ",IF(Pricetype1=2,MAX(D151,0),IF(OR(Pricetype1=1,Pricetype1=4),IF(D151=0,0,(EURO(D151,Strikeprice1,0,0,($AH151+IF(Smile=TRUE(),VLOOKUP(MAX(-5,Strikeprice1-D151),Volsmile,2),0)),($A151-DateToday)+15,IF(Pricetype1=1,1,0),0))),D151)))</f>
        <v> </v>
      </c>
      <c r="N151" s="318" t="str">
        <f aca="false">IF($A151="N/A"," ",IF(Pricetype1=2,MAX(E151,0),IF(OR(Pricetype1=1,Pricetype1=4),IF(E151=0,0,(EURO(E151,Strikeprice1,0,0,($AK151+IF(Smile=TRUE(),VLOOKUP(MAX(-5,Strikeprice1-E151),Volsmile,2),0)),($A151-DateToday)+15,IF(Pricetype1=1,1,0),0))),E151)))</f>
        <v> </v>
      </c>
      <c r="O151" s="318" t="str">
        <f aca="false">IF($A151="N/A"," ",IF(Pricetype1=2,MAX(F151,0),IF(OR(Pricetype1=1,Pricetype1=4),IF(F151=0,0,(EURO(F151,Strikeprice1,0,0,($AK151+IF(Smile=TRUE(),VLOOKUP(MAX(-5,Strikeprice1-F151),Volsmile,2),0)),($A151-DateToday)+15,IF(Pricetype1=1,1,0),0))),F151)))</f>
        <v> </v>
      </c>
      <c r="P151" s="318" t="str">
        <f aca="false">IF($A151="N/A"," ",IF(Pricetype1=2,MAX(G151,0),IF(OR(Pricetype1=1,Pricetype1=4),IF(G151=0,0,(EURO(G151,Strikeprice1,0,0,($AK151+IF(Smile=TRUE(),VLOOKUP(MAX(-5,Strikeprice1-G151),Volsmile,2),0)),($A151-DateToday)+15,IF(Pricetype1=1,1,0),0))),G151)))</f>
        <v> </v>
      </c>
      <c r="Q151" s="318" t="str">
        <f aca="false">IF($A151="N/A"," ",IF(Pricetype1=2,MAX(H151,0),IF(OR(Pricetype1=1,Pricetype1=4),IF(H151=0,0,(EURO(H151,Strikeprice1,0,0,($AK151+IF(Smile=TRUE(),VLOOKUP(MAX(-5,Strikeprice1-H151),Volsmile,2),0)),($A151-DateToday)+15,IF(Pricetype1=1,1,0),0))),H151)))</f>
        <v> </v>
      </c>
      <c r="R151" s="318" t="str">
        <f aca="false">IF($A151="N/A"," ",IF(Pricetype1=2,MAX(I151,0),IF(OR(Pricetype1=1,Pricetype1=4),IF(I151=0,0,(EURO(I151,Strikeprice1,0,0,($AK151+IF(Smile=TRUE(),VLOOKUP(MAX(-5,Strikeprice1-I151),Volsmile,2),0)),($A151-DateToday)+15,IF(Pricetype1=1,1,0),0))),I151)))</f>
        <v> </v>
      </c>
      <c r="S151" s="318" t="str">
        <f aca="false">IF($A151="N/A"," ",IF(Pricetype1=2,MAX(J151,0),IF(OR(Pricetype1=1,Pricetype1=4),IF(J151=0,0,(EURO(J151,Strikeprice1,0,0,($AK151+IF(Smile=TRUE(),VLOOKUP(MAX(-5,Strikeprice1-J151),Volsmile,2),0)),($A151-DateToday)+15,IF(Pricetype1=1,1,0),0))),J151)))</f>
        <v> </v>
      </c>
      <c r="T151" s="318" t="str">
        <f aca="false">IF($A151="N/A"," ",IF(Pricetype1=2,MAX(K151,0),IF(OR(Pricetype1=1,Pricetype1=4),IF(K151=0,0,(EURO(K151,Strikeprice1,0,0,($AK151+IF(Smile=TRUE(),VLOOKUP(MAX(-5,Strikeprice1-K151),Volsmile,2),0)),($A151-DateToday)+15,IF(Pricetype1=1,1,0),0))),K151)))</f>
        <v> </v>
      </c>
      <c r="U151" s="319" t="str">
        <f aca="false">IF($A151="N/A"," ",Volume1*$AM151)</f>
        <v> </v>
      </c>
      <c r="V151" s="320" t="str">
        <f aca="false">IF($A151="N/A"," ",$U151*(8*($BQ151))*L151)</f>
        <v> </v>
      </c>
      <c r="W151" s="320" t="str">
        <f aca="false">IF($A151="N/A"," ",$U151*(8*($BQ151))*M151)</f>
        <v> </v>
      </c>
      <c r="X151" s="320" t="str">
        <f aca="false">IF($A151="N/A"," ",$U151*(8*($BQ151))*N151)</f>
        <v> </v>
      </c>
      <c r="Y151" s="320" t="str">
        <f aca="false">IF($A151="N/A"," ",$U151*(8*($BR151))*O151)</f>
        <v> </v>
      </c>
      <c r="Z151" s="320" t="str">
        <f aca="false">IF($A151="N/A"," ",$U151*(8*($BR151))*P151)</f>
        <v> </v>
      </c>
      <c r="AA151" s="320" t="str">
        <f aca="false">IF($A151="N/A"," ",$U151*(8*($BR151))*Q151)</f>
        <v> </v>
      </c>
      <c r="AB151" s="320" t="str">
        <f aca="false">IF($A151="N/A"," ",$U151*(8*($BS151))*R151)</f>
        <v> </v>
      </c>
      <c r="AC151" s="320" t="str">
        <f aca="false">IF($A151="N/A"," ",$U151*(8*($BS151))*S151)</f>
        <v> </v>
      </c>
      <c r="AD151" s="320" t="str">
        <f aca="false">IF($A151="N/A"," ",$U151*(8*($BS151))*T151)</f>
        <v> </v>
      </c>
      <c r="AE151" s="320" t="str">
        <f aca="false">IF($A151="N/A"," ",SUM(V151:AD151))</f>
        <v> </v>
      </c>
      <c r="AF151" s="321" t="str">
        <f aca="false">IF(A151="N/A"," ",(VLOOKUP(A151,PowerVolTable,(IF(VolBMO1=2,7,IF(VolBMO1=1,6,8))),FALSE())))</f>
        <v> </v>
      </c>
      <c r="AG151" s="321" t="str">
        <f aca="false">IF(A151="N/A"," ",(VLOOKUP(A151,IntraPowerVol,(IF(VolBMO1=2,3,IF(VolBMO1=1,2,4))),FALSE())*VLOOKUP(MONTH($A151),Volscale,2)))</f>
        <v> </v>
      </c>
      <c r="AH151" s="321" t="str">
        <f aca="false">IF($A151="N/A"," ",IF(VolType1=1,AG151,AF151))</f>
        <v> </v>
      </c>
      <c r="AI151" s="321" t="str">
        <f aca="false">IF($A151="N/A"," ",(VLOOKUP($A151,OffPwrVolTable,(IF(VolBMO1=2,7,IF(VolBMO1=1,6,8))),FALSE())))</f>
        <v> </v>
      </c>
      <c r="AJ151" s="321" t="str">
        <f aca="false">IF($A151="N/A"," ",(VLOOKUP($A151,OffPwrVolTable,(IF(VolBMO1=2,3,IF(VolBMO1=1,2,4))),FALSE())*VLOOKUP(MONTH($A151),Volscale,2)))</f>
        <v> </v>
      </c>
      <c r="AK151" s="321" t="str">
        <f aca="false">IF($A151="N/A"," ",IF(VolType1=1,AJ151,AI151))</f>
        <v> </v>
      </c>
      <c r="AL151" s="321" t="str">
        <f aca="false">IF($A151="N/A"," ",IF(PV=1,0,'Pricing Inputs1'!R184))</f>
        <v> </v>
      </c>
      <c r="AM151" s="323" t="str">
        <f aca="false">IF($A151="N/A"," ",(1+AL151/2)^(-2*((EOMONTH(A151,0)+20)-DateToday)/365.25))</f>
        <v> </v>
      </c>
      <c r="BQ151" s="0" t="str">
        <f aca="false">IF($A151="N/A"," ",(VLOOKUP($A151,NumberofDaysTable,2)))</f>
        <v> </v>
      </c>
      <c r="BR151" s="0" t="str">
        <f aca="false">IF($A151="N/A"," ",(VLOOKUP($A151,NumberofDaysTable,3)))</f>
        <v> </v>
      </c>
      <c r="BS151" s="0" t="str">
        <f aca="false">IF($A151="N/A"," ",(VLOOKUP($A151,NumberofDaysTable,4)))</f>
        <v> </v>
      </c>
    </row>
    <row r="152" customFormat="false" ht="12.75" hidden="false" customHeight="false" outlineLevel="0" collapsed="false">
      <c r="A152" s="315" t="str">
        <f aca="false">IF(A151="N/A","N/A",IF(EDATE(A151,1)&gt;Inputs!$M$5,"N/A",EDATE(A151,1)))</f>
        <v>N/A</v>
      </c>
      <c r="B152" s="316" t="str">
        <f aca="false">IF(A152="N/A"," ",YEAR(A152))</f>
        <v> </v>
      </c>
      <c r="C152" s="324" t="str">
        <f aca="false">IF($A152="N/A"," ",IF(Dayrun1=10,0,IF(Scaler1=1,(VLOOKUP(A152,ScaledPrice1,4)),(VLOOKUP(A152,ScaledPrice1,2)))))</f>
        <v> </v>
      </c>
      <c r="D152" s="317" t="str">
        <f aca="false">IF(A152="N/A"," ",IF(Dayrun1&gt;=7,0,IF(Scaler1=2,VLOOKUP(A152,ScaledPrice1,2),(VLOOKUP(A152,ScaledPrice1,2))*(2-(VLOOKUP(A152,ScaledPrice1,3))))))</f>
        <v> </v>
      </c>
      <c r="E152" s="317" t="str">
        <f aca="false">IF($A152="N/A"," ",IF(AND(Dayrun1&gt;=4,Dayrun1&lt;=9),0,VLOOKUP($A152,ScaledPrice1,9)))</f>
        <v> </v>
      </c>
      <c r="F152" s="317" t="str">
        <f aca="false">IF(A152="N/A"," ",IF(OR(Dayrun1=2,Dayrun1=3,Dayrun1=5,Dayrun1=6,Dayrun1=8,Dayrun1=9),VLOOKUP(A152,ScaledPrice1,IF(Scaler1=1,6,5)),0))</f>
        <v> </v>
      </c>
      <c r="G152" s="317" t="str">
        <f aca="false">IF(A152="N/A"," ",IF(OR(Dayrun1=2,Dayrun1=3,Dayrun1=5,Dayrun1=6),IF(Scaler1=2,F152,(VLOOKUP(A152,ScaledPrice1,5))*(2-(VLOOKUP(A152,ScaledPrice1,3)))),0))</f>
        <v> </v>
      </c>
      <c r="H152" s="317" t="str">
        <f aca="false">IF($A152="N/A"," ",IF(OR(Dayrun1=2,Dayrun1=3,Dayrun1=10),VLOOKUP($A152,ScaledPrice1,9),0))</f>
        <v> </v>
      </c>
      <c r="I152" s="317" t="str">
        <f aca="false">IF(A152="N/A"," ",IF(OR(Dayrun1=3,Dayrun1=6,Dayrun1=9),(VLOOKUP(A152,ScaledPrice1,IF(Scaler1=2,7,8))),0))</f>
        <v> </v>
      </c>
      <c r="J152" s="317" t="str">
        <f aca="false">IF(A152="N/A"," ",IF(OR(Dayrun1=3,Dayrun1=6),IF(Scaler1=2,I152,(VLOOKUP(A152,ScaledPrice1,7))*(2-(VLOOKUP(A152,ScaledPrice1,3)))),0))</f>
        <v> </v>
      </c>
      <c r="K152" s="317" t="str">
        <f aca="false">IF($A152="N/A"," ",IF(OR(Dayrun1=3,Dayrun1=10),VLOOKUP($A152,ScaledPrice1,9),0))</f>
        <v> </v>
      </c>
      <c r="L152" s="318" t="str">
        <f aca="false">IF($A152="N/A"," ",IF(Pricetype1=2,MAX(C152,0),IF(OR(Pricetype1=1,Pricetype1=4),IF(C152=0,0,(EURO(C152,Strikeprice1,0,0,($AH152+IF(Smile=TRUE(),VLOOKUP(MAX(-5,Strikeprice1-C152),Volsmile,2),0)),($A152-DateToday)+15,IF(Pricetype1=1,1,0),0))),C152)))</f>
        <v> </v>
      </c>
      <c r="M152" s="318" t="str">
        <f aca="false">IF($A152="N/A"," ",IF(Pricetype1=2,MAX(D152,0),IF(OR(Pricetype1=1,Pricetype1=4),IF(D152=0,0,(EURO(D152,Strikeprice1,0,0,($AH152+IF(Smile=TRUE(),VLOOKUP(MAX(-5,Strikeprice1-D152),Volsmile,2),0)),($A152-DateToday)+15,IF(Pricetype1=1,1,0),0))),D152)))</f>
        <v> </v>
      </c>
      <c r="N152" s="318" t="str">
        <f aca="false">IF($A152="N/A"," ",IF(Pricetype1=2,MAX(E152,0),IF(OR(Pricetype1=1,Pricetype1=4),IF(E152=0,0,(EURO(E152,Strikeprice1,0,0,($AK152+IF(Smile=TRUE(),VLOOKUP(MAX(-5,Strikeprice1-E152),Volsmile,2),0)),($A152-DateToday)+15,IF(Pricetype1=1,1,0),0))),E152)))</f>
        <v> </v>
      </c>
      <c r="O152" s="318" t="str">
        <f aca="false">IF($A152="N/A"," ",IF(Pricetype1=2,MAX(F152,0),IF(OR(Pricetype1=1,Pricetype1=4),IF(F152=0,0,(EURO(F152,Strikeprice1,0,0,($AK152+IF(Smile=TRUE(),VLOOKUP(MAX(-5,Strikeprice1-F152),Volsmile,2),0)),($A152-DateToday)+15,IF(Pricetype1=1,1,0),0))),F152)))</f>
        <v> </v>
      </c>
      <c r="P152" s="318" t="str">
        <f aca="false">IF($A152="N/A"," ",IF(Pricetype1=2,MAX(G152,0),IF(OR(Pricetype1=1,Pricetype1=4),IF(G152=0,0,(EURO(G152,Strikeprice1,0,0,($AK152+IF(Smile=TRUE(),VLOOKUP(MAX(-5,Strikeprice1-G152),Volsmile,2),0)),($A152-DateToday)+15,IF(Pricetype1=1,1,0),0))),G152)))</f>
        <v> </v>
      </c>
      <c r="Q152" s="318" t="str">
        <f aca="false">IF($A152="N/A"," ",IF(Pricetype1=2,MAX(H152,0),IF(OR(Pricetype1=1,Pricetype1=4),IF(H152=0,0,(EURO(H152,Strikeprice1,0,0,($AK152+IF(Smile=TRUE(),VLOOKUP(MAX(-5,Strikeprice1-H152),Volsmile,2),0)),($A152-DateToday)+15,IF(Pricetype1=1,1,0),0))),H152)))</f>
        <v> </v>
      </c>
      <c r="R152" s="318" t="str">
        <f aca="false">IF($A152="N/A"," ",IF(Pricetype1=2,MAX(I152,0),IF(OR(Pricetype1=1,Pricetype1=4),IF(I152=0,0,(EURO(I152,Strikeprice1,0,0,($AK152+IF(Smile=TRUE(),VLOOKUP(MAX(-5,Strikeprice1-I152),Volsmile,2),0)),($A152-DateToday)+15,IF(Pricetype1=1,1,0),0))),I152)))</f>
        <v> </v>
      </c>
      <c r="S152" s="318" t="str">
        <f aca="false">IF($A152="N/A"," ",IF(Pricetype1=2,MAX(J152,0),IF(OR(Pricetype1=1,Pricetype1=4),IF(J152=0,0,(EURO(J152,Strikeprice1,0,0,($AK152+IF(Smile=TRUE(),VLOOKUP(MAX(-5,Strikeprice1-J152),Volsmile,2),0)),($A152-DateToday)+15,IF(Pricetype1=1,1,0),0))),J152)))</f>
        <v> </v>
      </c>
      <c r="T152" s="318" t="str">
        <f aca="false">IF($A152="N/A"," ",IF(Pricetype1=2,MAX(K152,0),IF(OR(Pricetype1=1,Pricetype1=4),IF(K152=0,0,(EURO(K152,Strikeprice1,0,0,($AK152+IF(Smile=TRUE(),VLOOKUP(MAX(-5,Strikeprice1-K152),Volsmile,2),0)),($A152-DateToday)+15,IF(Pricetype1=1,1,0),0))),K152)))</f>
        <v> </v>
      </c>
      <c r="U152" s="319" t="str">
        <f aca="false">IF($A152="N/A"," ",Volume1*$AM152)</f>
        <v> </v>
      </c>
      <c r="V152" s="320" t="str">
        <f aca="false">IF($A152="N/A"," ",$U152*(8*($BQ152))*L152)</f>
        <v> </v>
      </c>
      <c r="W152" s="320" t="str">
        <f aca="false">IF($A152="N/A"," ",$U152*(8*($BQ152))*M152)</f>
        <v> </v>
      </c>
      <c r="X152" s="320" t="str">
        <f aca="false">IF($A152="N/A"," ",$U152*(8*($BQ152))*N152)</f>
        <v> </v>
      </c>
      <c r="Y152" s="320" t="str">
        <f aca="false">IF($A152="N/A"," ",$U152*(8*($BR152))*O152)</f>
        <v> </v>
      </c>
      <c r="Z152" s="320" t="str">
        <f aca="false">IF($A152="N/A"," ",$U152*(8*($BR152))*P152)</f>
        <v> </v>
      </c>
      <c r="AA152" s="320" t="str">
        <f aca="false">IF($A152="N/A"," ",$U152*(8*($BR152))*Q152)</f>
        <v> </v>
      </c>
      <c r="AB152" s="320" t="str">
        <f aca="false">IF($A152="N/A"," ",$U152*(8*($BS152))*R152)</f>
        <v> </v>
      </c>
      <c r="AC152" s="320" t="str">
        <f aca="false">IF($A152="N/A"," ",$U152*(8*($BS152))*S152)</f>
        <v> </v>
      </c>
      <c r="AD152" s="320" t="str">
        <f aca="false">IF($A152="N/A"," ",$U152*(8*($BS152))*T152)</f>
        <v> </v>
      </c>
      <c r="AE152" s="320" t="str">
        <f aca="false">IF($A152="N/A"," ",SUM(V152:AD152))</f>
        <v> </v>
      </c>
      <c r="AF152" s="321" t="str">
        <f aca="false">IF(A152="N/A"," ",(VLOOKUP(A152,PowerVolTable,(IF(VolBMO1=2,7,IF(VolBMO1=1,6,8))),FALSE())))</f>
        <v> </v>
      </c>
      <c r="AG152" s="321" t="str">
        <f aca="false">IF(A152="N/A"," ",(VLOOKUP(A152,IntraPowerVol,(IF(VolBMO1=2,3,IF(VolBMO1=1,2,4))),FALSE())*VLOOKUP(MONTH($A152),Volscale,2)))</f>
        <v> </v>
      </c>
      <c r="AH152" s="321" t="str">
        <f aca="false">IF($A152="N/A"," ",IF(VolType1=1,AG152,AF152))</f>
        <v> </v>
      </c>
      <c r="AI152" s="321" t="str">
        <f aca="false">IF($A152="N/A"," ",(VLOOKUP($A152,OffPwrVolTable,(IF(VolBMO1=2,7,IF(VolBMO1=1,6,8))),FALSE())))</f>
        <v> </v>
      </c>
      <c r="AJ152" s="321" t="str">
        <f aca="false">IF($A152="N/A"," ",(VLOOKUP($A152,OffPwrVolTable,(IF(VolBMO1=2,3,IF(VolBMO1=1,2,4))),FALSE())*VLOOKUP(MONTH($A152),Volscale,2)))</f>
        <v> </v>
      </c>
      <c r="AK152" s="321" t="str">
        <f aca="false">IF($A152="N/A"," ",IF(VolType1=1,AJ152,AI152))</f>
        <v> </v>
      </c>
      <c r="AL152" s="321" t="str">
        <f aca="false">IF($A152="N/A"," ",IF(PV=1,0,'Pricing Inputs1'!R185))</f>
        <v> </v>
      </c>
      <c r="AM152" s="323" t="str">
        <f aca="false">IF($A152="N/A"," ",(1+AL152/2)^(-2*((EOMONTH(A152,0)+20)-DateToday)/365.25))</f>
        <v> </v>
      </c>
      <c r="BQ152" s="0" t="str">
        <f aca="false">IF($A152="N/A"," ",(VLOOKUP($A152,NumberofDaysTable,2)))</f>
        <v> </v>
      </c>
      <c r="BR152" s="0" t="str">
        <f aca="false">IF($A152="N/A"," ",(VLOOKUP($A152,NumberofDaysTable,3)))</f>
        <v> </v>
      </c>
      <c r="BS152" s="0" t="str">
        <f aca="false">IF($A152="N/A"," ",(VLOOKUP($A152,NumberofDaysTable,4)))</f>
        <v> </v>
      </c>
    </row>
    <row r="153" customFormat="false" ht="12.75" hidden="false" customHeight="false" outlineLevel="0" collapsed="false">
      <c r="A153" s="315" t="str">
        <f aca="false">IF(A152="N/A","N/A",IF(EDATE(A152,1)&gt;Inputs!$M$5,"N/A",EDATE(A152,1)))</f>
        <v>N/A</v>
      </c>
      <c r="B153" s="316" t="str">
        <f aca="false">IF(A153="N/A"," ",YEAR(A153))</f>
        <v> </v>
      </c>
      <c r="C153" s="324" t="str">
        <f aca="false">IF($A153="N/A"," ",IF(Dayrun1=10,0,IF(Scaler1=1,(VLOOKUP(A153,ScaledPrice1,4)),(VLOOKUP(A153,ScaledPrice1,2)))))</f>
        <v> </v>
      </c>
      <c r="D153" s="317" t="str">
        <f aca="false">IF(A153="N/A"," ",IF(Dayrun1&gt;=7,0,IF(Scaler1=2,VLOOKUP(A153,ScaledPrice1,2),(VLOOKUP(A153,ScaledPrice1,2))*(2-(VLOOKUP(A153,ScaledPrice1,3))))))</f>
        <v> </v>
      </c>
      <c r="E153" s="317" t="str">
        <f aca="false">IF($A153="N/A"," ",IF(AND(Dayrun1&gt;=4,Dayrun1&lt;=9),0,VLOOKUP($A153,ScaledPrice1,9)))</f>
        <v> </v>
      </c>
      <c r="F153" s="317" t="str">
        <f aca="false">IF(A153="N/A"," ",IF(OR(Dayrun1=2,Dayrun1=3,Dayrun1=5,Dayrun1=6,Dayrun1=8,Dayrun1=9),VLOOKUP(A153,ScaledPrice1,IF(Scaler1=1,6,5)),0))</f>
        <v> </v>
      </c>
      <c r="G153" s="317" t="str">
        <f aca="false">IF(A153="N/A"," ",IF(OR(Dayrun1=2,Dayrun1=3,Dayrun1=5,Dayrun1=6),IF(Scaler1=2,F153,(VLOOKUP(A153,ScaledPrice1,5))*(2-(VLOOKUP(A153,ScaledPrice1,3)))),0))</f>
        <v> </v>
      </c>
      <c r="H153" s="317" t="str">
        <f aca="false">IF($A153="N/A"," ",IF(OR(Dayrun1=2,Dayrun1=3,Dayrun1=10),VLOOKUP($A153,ScaledPrice1,9),0))</f>
        <v> </v>
      </c>
      <c r="I153" s="317" t="str">
        <f aca="false">IF(A153="N/A"," ",IF(OR(Dayrun1=3,Dayrun1=6,Dayrun1=9),(VLOOKUP(A153,ScaledPrice1,IF(Scaler1=2,7,8))),0))</f>
        <v> </v>
      </c>
      <c r="J153" s="317" t="str">
        <f aca="false">IF(A153="N/A"," ",IF(OR(Dayrun1=3,Dayrun1=6),IF(Scaler1=2,I153,(VLOOKUP(A153,ScaledPrice1,7))*(2-(VLOOKUP(A153,ScaledPrice1,3)))),0))</f>
        <v> </v>
      </c>
      <c r="K153" s="317" t="str">
        <f aca="false">IF($A153="N/A"," ",IF(OR(Dayrun1=3,Dayrun1=10),VLOOKUP($A153,ScaledPrice1,9),0))</f>
        <v> </v>
      </c>
      <c r="L153" s="318" t="str">
        <f aca="false">IF($A153="N/A"," ",IF(Pricetype1=2,MAX(C153,0),IF(OR(Pricetype1=1,Pricetype1=4),IF(C153=0,0,(EURO(C153,Strikeprice1,0,0,($AH153+IF(Smile=TRUE(),VLOOKUP(MAX(-5,Strikeprice1-C153),Volsmile,2),0)),($A153-DateToday)+15,IF(Pricetype1=1,1,0),0))),C153)))</f>
        <v> </v>
      </c>
      <c r="M153" s="318" t="str">
        <f aca="false">IF($A153="N/A"," ",IF(Pricetype1=2,MAX(D153,0),IF(OR(Pricetype1=1,Pricetype1=4),IF(D153=0,0,(EURO(D153,Strikeprice1,0,0,($AH153+IF(Smile=TRUE(),VLOOKUP(MAX(-5,Strikeprice1-D153),Volsmile,2),0)),($A153-DateToday)+15,IF(Pricetype1=1,1,0),0))),D153)))</f>
        <v> </v>
      </c>
      <c r="N153" s="318" t="str">
        <f aca="false">IF($A153="N/A"," ",IF(Pricetype1=2,MAX(E153,0),IF(OR(Pricetype1=1,Pricetype1=4),IF(E153=0,0,(EURO(E153,Strikeprice1,0,0,($AK153+IF(Smile=TRUE(),VLOOKUP(MAX(-5,Strikeprice1-E153),Volsmile,2),0)),($A153-DateToday)+15,IF(Pricetype1=1,1,0),0))),E153)))</f>
        <v> </v>
      </c>
      <c r="O153" s="318" t="str">
        <f aca="false">IF($A153="N/A"," ",IF(Pricetype1=2,MAX(F153,0),IF(OR(Pricetype1=1,Pricetype1=4),IF(F153=0,0,(EURO(F153,Strikeprice1,0,0,($AK153+IF(Smile=TRUE(),VLOOKUP(MAX(-5,Strikeprice1-F153),Volsmile,2),0)),($A153-DateToday)+15,IF(Pricetype1=1,1,0),0))),F153)))</f>
        <v> </v>
      </c>
      <c r="P153" s="318" t="str">
        <f aca="false">IF($A153="N/A"," ",IF(Pricetype1=2,MAX(G153,0),IF(OR(Pricetype1=1,Pricetype1=4),IF(G153=0,0,(EURO(G153,Strikeprice1,0,0,($AK153+IF(Smile=TRUE(),VLOOKUP(MAX(-5,Strikeprice1-G153),Volsmile,2),0)),($A153-DateToday)+15,IF(Pricetype1=1,1,0),0))),G153)))</f>
        <v> </v>
      </c>
      <c r="Q153" s="318" t="str">
        <f aca="false">IF($A153="N/A"," ",IF(Pricetype1=2,MAX(H153,0),IF(OR(Pricetype1=1,Pricetype1=4),IF(H153=0,0,(EURO(H153,Strikeprice1,0,0,($AK153+IF(Smile=TRUE(),VLOOKUP(MAX(-5,Strikeprice1-H153),Volsmile,2),0)),($A153-DateToday)+15,IF(Pricetype1=1,1,0),0))),H153)))</f>
        <v> </v>
      </c>
      <c r="R153" s="318" t="str">
        <f aca="false">IF($A153="N/A"," ",IF(Pricetype1=2,MAX(I153,0),IF(OR(Pricetype1=1,Pricetype1=4),IF(I153=0,0,(EURO(I153,Strikeprice1,0,0,($AK153+IF(Smile=TRUE(),VLOOKUP(MAX(-5,Strikeprice1-I153),Volsmile,2),0)),($A153-DateToday)+15,IF(Pricetype1=1,1,0),0))),I153)))</f>
        <v> </v>
      </c>
      <c r="S153" s="318" t="str">
        <f aca="false">IF($A153="N/A"," ",IF(Pricetype1=2,MAX(J153,0),IF(OR(Pricetype1=1,Pricetype1=4),IF(J153=0,0,(EURO(J153,Strikeprice1,0,0,($AK153+IF(Smile=TRUE(),VLOOKUP(MAX(-5,Strikeprice1-J153),Volsmile,2),0)),($A153-DateToday)+15,IF(Pricetype1=1,1,0),0))),J153)))</f>
        <v> </v>
      </c>
      <c r="T153" s="318" t="str">
        <f aca="false">IF($A153="N/A"," ",IF(Pricetype1=2,MAX(K153,0),IF(OR(Pricetype1=1,Pricetype1=4),IF(K153=0,0,(EURO(K153,Strikeprice1,0,0,($AK153+IF(Smile=TRUE(),VLOOKUP(MAX(-5,Strikeprice1-K153),Volsmile,2),0)),($A153-DateToday)+15,IF(Pricetype1=1,1,0),0))),K153)))</f>
        <v> </v>
      </c>
      <c r="U153" s="319" t="str">
        <f aca="false">IF($A153="N/A"," ",Volume1*$AM153)</f>
        <v> </v>
      </c>
      <c r="V153" s="320" t="str">
        <f aca="false">IF($A153="N/A"," ",$U153*(8*($BQ153))*L153)</f>
        <v> </v>
      </c>
      <c r="W153" s="320" t="str">
        <f aca="false">IF($A153="N/A"," ",$U153*(8*($BQ153))*M153)</f>
        <v> </v>
      </c>
      <c r="X153" s="320" t="str">
        <f aca="false">IF($A153="N/A"," ",$U153*(8*($BQ153))*N153)</f>
        <v> </v>
      </c>
      <c r="Y153" s="320" t="str">
        <f aca="false">IF($A153="N/A"," ",$U153*(8*($BR153))*O153)</f>
        <v> </v>
      </c>
      <c r="Z153" s="320" t="str">
        <f aca="false">IF($A153="N/A"," ",$U153*(8*($BR153))*P153)</f>
        <v> </v>
      </c>
      <c r="AA153" s="320" t="str">
        <f aca="false">IF($A153="N/A"," ",$U153*(8*($BR153))*Q153)</f>
        <v> </v>
      </c>
      <c r="AB153" s="320" t="str">
        <f aca="false">IF($A153="N/A"," ",$U153*(8*($BS153))*R153)</f>
        <v> </v>
      </c>
      <c r="AC153" s="320" t="str">
        <f aca="false">IF($A153="N/A"," ",$U153*(8*($BS153))*S153)</f>
        <v> </v>
      </c>
      <c r="AD153" s="320" t="str">
        <f aca="false">IF($A153="N/A"," ",$U153*(8*($BS153))*T153)</f>
        <v> </v>
      </c>
      <c r="AE153" s="320" t="str">
        <f aca="false">IF($A153="N/A"," ",SUM(V153:AD153))</f>
        <v> </v>
      </c>
      <c r="AF153" s="321" t="str">
        <f aca="false">IF(A153="N/A"," ",(VLOOKUP(A153,PowerVolTable,(IF(VolBMO1=2,7,IF(VolBMO1=1,6,8))),FALSE())))</f>
        <v> </v>
      </c>
      <c r="AG153" s="321" t="str">
        <f aca="false">IF(A153="N/A"," ",(VLOOKUP(A153,IntraPowerVol,(IF(VolBMO1=2,3,IF(VolBMO1=1,2,4))),FALSE())*VLOOKUP(MONTH($A153),Volscale,2)))</f>
        <v> </v>
      </c>
      <c r="AH153" s="321" t="str">
        <f aca="false">IF($A153="N/A"," ",IF(VolType1=1,AG153,AF153))</f>
        <v> </v>
      </c>
      <c r="AI153" s="321" t="str">
        <f aca="false">IF($A153="N/A"," ",(VLOOKUP($A153,OffPwrVolTable,(IF(VolBMO1=2,7,IF(VolBMO1=1,6,8))),FALSE())))</f>
        <v> </v>
      </c>
      <c r="AJ153" s="321" t="str">
        <f aca="false">IF($A153="N/A"," ",(VLOOKUP($A153,OffPwrVolTable,(IF(VolBMO1=2,3,IF(VolBMO1=1,2,4))),FALSE())*VLOOKUP(MONTH($A153),Volscale,2)))</f>
        <v> </v>
      </c>
      <c r="AK153" s="321" t="str">
        <f aca="false">IF($A153="N/A"," ",IF(VolType1=1,AJ153,AI153))</f>
        <v> </v>
      </c>
      <c r="AL153" s="321" t="str">
        <f aca="false">IF($A153="N/A"," ",IF(PV=1,0,'Pricing Inputs1'!R186))</f>
        <v> </v>
      </c>
      <c r="AM153" s="323" t="str">
        <f aca="false">IF($A153="N/A"," ",(1+AL153/2)^(-2*((EOMONTH(A153,0)+20)-DateToday)/365.25))</f>
        <v> </v>
      </c>
      <c r="BQ153" s="0" t="str">
        <f aca="false">IF($A153="N/A"," ",(VLOOKUP($A153,NumberofDaysTable,2)))</f>
        <v> </v>
      </c>
      <c r="BR153" s="0" t="str">
        <f aca="false">IF($A153="N/A"," ",(VLOOKUP($A153,NumberofDaysTable,3)))</f>
        <v> </v>
      </c>
      <c r="BS153" s="0" t="str">
        <f aca="false">IF($A153="N/A"," ",(VLOOKUP($A153,NumberofDaysTable,4)))</f>
        <v> </v>
      </c>
    </row>
    <row r="154" customFormat="false" ht="12.75" hidden="false" customHeight="false" outlineLevel="0" collapsed="false">
      <c r="A154" s="315" t="str">
        <f aca="false">IF(A153="N/A","N/A",IF(EDATE(A153,1)&gt;Inputs!$M$5,"N/A",EDATE(A153,1)))</f>
        <v>N/A</v>
      </c>
      <c r="B154" s="316" t="str">
        <f aca="false">IF(A154="N/A"," ",YEAR(A154))</f>
        <v> </v>
      </c>
      <c r="C154" s="324" t="str">
        <f aca="false">IF($A154="N/A"," ",IF(Dayrun1=10,0,IF(Scaler1=1,(VLOOKUP(A154,ScaledPrice1,4)),(VLOOKUP(A154,ScaledPrice1,2)))))</f>
        <v> </v>
      </c>
      <c r="D154" s="317" t="str">
        <f aca="false">IF(A154="N/A"," ",IF(Dayrun1&gt;=7,0,IF(Scaler1=2,VLOOKUP(A154,ScaledPrice1,2),(VLOOKUP(A154,ScaledPrice1,2))*(2-(VLOOKUP(A154,ScaledPrice1,3))))))</f>
        <v> </v>
      </c>
      <c r="E154" s="317" t="str">
        <f aca="false">IF($A154="N/A"," ",IF(AND(Dayrun1&gt;=4,Dayrun1&lt;=9),0,VLOOKUP($A154,ScaledPrice1,9)))</f>
        <v> </v>
      </c>
      <c r="F154" s="317" t="str">
        <f aca="false">IF(A154="N/A"," ",IF(OR(Dayrun1=2,Dayrun1=3,Dayrun1=5,Dayrun1=6,Dayrun1=8,Dayrun1=9),VLOOKUP(A154,ScaledPrice1,IF(Scaler1=1,6,5)),0))</f>
        <v> </v>
      </c>
      <c r="G154" s="317" t="str">
        <f aca="false">IF(A154="N/A"," ",IF(OR(Dayrun1=2,Dayrun1=3,Dayrun1=5,Dayrun1=6),IF(Scaler1=2,F154,(VLOOKUP(A154,ScaledPrice1,5))*(2-(VLOOKUP(A154,ScaledPrice1,3)))),0))</f>
        <v> </v>
      </c>
      <c r="H154" s="317" t="str">
        <f aca="false">IF($A154="N/A"," ",IF(OR(Dayrun1=2,Dayrun1=3,Dayrun1=10),VLOOKUP($A154,ScaledPrice1,9),0))</f>
        <v> </v>
      </c>
      <c r="I154" s="317" t="str">
        <f aca="false">IF(A154="N/A"," ",IF(OR(Dayrun1=3,Dayrun1=6,Dayrun1=9),(VLOOKUP(A154,ScaledPrice1,IF(Scaler1=2,7,8))),0))</f>
        <v> </v>
      </c>
      <c r="J154" s="317" t="str">
        <f aca="false">IF(A154="N/A"," ",IF(OR(Dayrun1=3,Dayrun1=6),IF(Scaler1=2,I154,(VLOOKUP(A154,ScaledPrice1,7))*(2-(VLOOKUP(A154,ScaledPrice1,3)))),0))</f>
        <v> </v>
      </c>
      <c r="K154" s="317" t="str">
        <f aca="false">IF($A154="N/A"," ",IF(OR(Dayrun1=3,Dayrun1=10),VLOOKUP($A154,ScaledPrice1,9),0))</f>
        <v> </v>
      </c>
      <c r="L154" s="318" t="str">
        <f aca="false">IF($A154="N/A"," ",IF(Pricetype1=2,MAX(C154,0),IF(OR(Pricetype1=1,Pricetype1=4),IF(C154=0,0,(EURO(C154,Strikeprice1,0,0,($AH154+IF(Smile=TRUE(),VLOOKUP(MAX(-5,Strikeprice1-C154),Volsmile,2),0)),($A154-DateToday)+15,IF(Pricetype1=1,1,0),0))),C154)))</f>
        <v> </v>
      </c>
      <c r="M154" s="318" t="str">
        <f aca="false">IF($A154="N/A"," ",IF(Pricetype1=2,MAX(D154,0),IF(OR(Pricetype1=1,Pricetype1=4),IF(D154=0,0,(EURO(D154,Strikeprice1,0,0,($AH154+IF(Smile=TRUE(),VLOOKUP(MAX(-5,Strikeprice1-D154),Volsmile,2),0)),($A154-DateToday)+15,IF(Pricetype1=1,1,0),0))),D154)))</f>
        <v> </v>
      </c>
      <c r="N154" s="318" t="str">
        <f aca="false">IF($A154="N/A"," ",IF(Pricetype1=2,MAX(E154,0),IF(OR(Pricetype1=1,Pricetype1=4),IF(E154=0,0,(EURO(E154,Strikeprice1,0,0,($AK154+IF(Smile=TRUE(),VLOOKUP(MAX(-5,Strikeprice1-E154),Volsmile,2),0)),($A154-DateToday)+15,IF(Pricetype1=1,1,0),0))),E154)))</f>
        <v> </v>
      </c>
      <c r="O154" s="318" t="str">
        <f aca="false">IF($A154="N/A"," ",IF(Pricetype1=2,MAX(F154,0),IF(OR(Pricetype1=1,Pricetype1=4),IF(F154=0,0,(EURO(F154,Strikeprice1,0,0,($AK154+IF(Smile=TRUE(),VLOOKUP(MAX(-5,Strikeprice1-F154),Volsmile,2),0)),($A154-DateToday)+15,IF(Pricetype1=1,1,0),0))),F154)))</f>
        <v> </v>
      </c>
      <c r="P154" s="318" t="str">
        <f aca="false">IF($A154="N/A"," ",IF(Pricetype1=2,MAX(G154,0),IF(OR(Pricetype1=1,Pricetype1=4),IF(G154=0,0,(EURO(G154,Strikeprice1,0,0,($AK154+IF(Smile=TRUE(),VLOOKUP(MAX(-5,Strikeprice1-G154),Volsmile,2),0)),($A154-DateToday)+15,IF(Pricetype1=1,1,0),0))),G154)))</f>
        <v> </v>
      </c>
      <c r="Q154" s="318" t="str">
        <f aca="false">IF($A154="N/A"," ",IF(Pricetype1=2,MAX(H154,0),IF(OR(Pricetype1=1,Pricetype1=4),IF(H154=0,0,(EURO(H154,Strikeprice1,0,0,($AK154+IF(Smile=TRUE(),VLOOKUP(MAX(-5,Strikeprice1-H154),Volsmile,2),0)),($A154-DateToday)+15,IF(Pricetype1=1,1,0),0))),H154)))</f>
        <v> </v>
      </c>
      <c r="R154" s="318" t="str">
        <f aca="false">IF($A154="N/A"," ",IF(Pricetype1=2,MAX(I154,0),IF(OR(Pricetype1=1,Pricetype1=4),IF(I154=0,0,(EURO(I154,Strikeprice1,0,0,($AK154+IF(Smile=TRUE(),VLOOKUP(MAX(-5,Strikeprice1-I154),Volsmile,2),0)),($A154-DateToday)+15,IF(Pricetype1=1,1,0),0))),I154)))</f>
        <v> </v>
      </c>
      <c r="S154" s="318" t="str">
        <f aca="false">IF($A154="N/A"," ",IF(Pricetype1=2,MAX(J154,0),IF(OR(Pricetype1=1,Pricetype1=4),IF(J154=0,0,(EURO(J154,Strikeprice1,0,0,($AK154+IF(Smile=TRUE(),VLOOKUP(MAX(-5,Strikeprice1-J154),Volsmile,2),0)),($A154-DateToday)+15,IF(Pricetype1=1,1,0),0))),J154)))</f>
        <v> </v>
      </c>
      <c r="T154" s="318" t="str">
        <f aca="false">IF($A154="N/A"," ",IF(Pricetype1=2,MAX(K154,0),IF(OR(Pricetype1=1,Pricetype1=4),IF(K154=0,0,(EURO(K154,Strikeprice1,0,0,($AK154+IF(Smile=TRUE(),VLOOKUP(MAX(-5,Strikeprice1-K154),Volsmile,2),0)),($A154-DateToday)+15,IF(Pricetype1=1,1,0),0))),K154)))</f>
        <v> </v>
      </c>
      <c r="U154" s="319" t="str">
        <f aca="false">IF($A154="N/A"," ",Volume1*$AM154)</f>
        <v> </v>
      </c>
      <c r="V154" s="320" t="str">
        <f aca="false">IF($A154="N/A"," ",$U154*(8*($BQ154))*L154)</f>
        <v> </v>
      </c>
      <c r="W154" s="320" t="str">
        <f aca="false">IF($A154="N/A"," ",$U154*(8*($BQ154))*M154)</f>
        <v> </v>
      </c>
      <c r="X154" s="320" t="str">
        <f aca="false">IF($A154="N/A"," ",$U154*(8*($BQ154))*N154)</f>
        <v> </v>
      </c>
      <c r="Y154" s="320" t="str">
        <f aca="false">IF($A154="N/A"," ",$U154*(8*($BR154))*O154)</f>
        <v> </v>
      </c>
      <c r="Z154" s="320" t="str">
        <f aca="false">IF($A154="N/A"," ",$U154*(8*($BR154))*P154)</f>
        <v> </v>
      </c>
      <c r="AA154" s="320" t="str">
        <f aca="false">IF($A154="N/A"," ",$U154*(8*($BR154))*Q154)</f>
        <v> </v>
      </c>
      <c r="AB154" s="320" t="str">
        <f aca="false">IF($A154="N/A"," ",$U154*(8*($BS154))*R154)</f>
        <v> </v>
      </c>
      <c r="AC154" s="320" t="str">
        <f aca="false">IF($A154="N/A"," ",$U154*(8*($BS154))*S154)</f>
        <v> </v>
      </c>
      <c r="AD154" s="320" t="str">
        <f aca="false">IF($A154="N/A"," ",$U154*(8*($BS154))*T154)</f>
        <v> </v>
      </c>
      <c r="AE154" s="320" t="str">
        <f aca="false">IF($A154="N/A"," ",SUM(V154:AD154))</f>
        <v> </v>
      </c>
      <c r="AF154" s="321" t="str">
        <f aca="false">IF(A154="N/A"," ",(VLOOKUP(A154,PowerVolTable,(IF(VolBMO1=2,7,IF(VolBMO1=1,6,8))),FALSE())))</f>
        <v> </v>
      </c>
      <c r="AG154" s="321" t="str">
        <f aca="false">IF(A154="N/A"," ",(VLOOKUP(A154,IntraPowerVol,(IF(VolBMO1=2,3,IF(VolBMO1=1,2,4))),FALSE())*VLOOKUP(MONTH($A154),Volscale,2)))</f>
        <v> </v>
      </c>
      <c r="AH154" s="321" t="str">
        <f aca="false">IF($A154="N/A"," ",IF(VolType1=1,AG154,AF154))</f>
        <v> </v>
      </c>
      <c r="AI154" s="321" t="str">
        <f aca="false">IF($A154="N/A"," ",(VLOOKUP($A154,OffPwrVolTable,(IF(VolBMO1=2,7,IF(VolBMO1=1,6,8))),FALSE())))</f>
        <v> </v>
      </c>
      <c r="AJ154" s="321" t="str">
        <f aca="false">IF($A154="N/A"," ",(VLOOKUP($A154,OffPwrVolTable,(IF(VolBMO1=2,3,IF(VolBMO1=1,2,4))),FALSE())*VLOOKUP(MONTH($A154),Volscale,2)))</f>
        <v> </v>
      </c>
      <c r="AK154" s="321" t="str">
        <f aca="false">IF($A154="N/A"," ",IF(VolType1=1,AJ154,AI154))</f>
        <v> </v>
      </c>
      <c r="AL154" s="321" t="str">
        <f aca="false">IF($A154="N/A"," ",IF(PV=1,0,'Pricing Inputs1'!R187))</f>
        <v> </v>
      </c>
      <c r="AM154" s="323" t="str">
        <f aca="false">IF($A154="N/A"," ",(1+AL154/2)^(-2*((EOMONTH(A154,0)+20)-DateToday)/365.25))</f>
        <v> </v>
      </c>
      <c r="BQ154" s="0" t="str">
        <f aca="false">IF($A154="N/A"," ",(VLOOKUP($A154,NumberofDaysTable,2)))</f>
        <v> </v>
      </c>
      <c r="BR154" s="0" t="str">
        <f aca="false">IF($A154="N/A"," ",(VLOOKUP($A154,NumberofDaysTable,3)))</f>
        <v> </v>
      </c>
      <c r="BS154" s="0" t="str">
        <f aca="false">IF($A154="N/A"," ",(VLOOKUP($A154,NumberofDaysTable,4)))</f>
        <v> </v>
      </c>
    </row>
    <row r="155" customFormat="false" ht="12.75" hidden="false" customHeight="false" outlineLevel="0" collapsed="false">
      <c r="A155" s="315" t="str">
        <f aca="false">IF(A154="N/A","N/A",IF(EDATE(A154,1)&gt;Inputs!$M$5,"N/A",EDATE(A154,1)))</f>
        <v>N/A</v>
      </c>
      <c r="B155" s="316" t="str">
        <f aca="false">IF(A155="N/A"," ",YEAR(A155))</f>
        <v> </v>
      </c>
      <c r="C155" s="324" t="str">
        <f aca="false">IF($A155="N/A"," ",IF(Dayrun1=10,0,IF(Scaler1=1,(VLOOKUP(A155,ScaledPrice1,4)),(VLOOKUP(A155,ScaledPrice1,2)))))</f>
        <v> </v>
      </c>
      <c r="D155" s="317" t="str">
        <f aca="false">IF(A155="N/A"," ",IF(Dayrun1&gt;=7,0,IF(Scaler1=2,VLOOKUP(A155,ScaledPrice1,2),(VLOOKUP(A155,ScaledPrice1,2))*(2-(VLOOKUP(A155,ScaledPrice1,3))))))</f>
        <v> </v>
      </c>
      <c r="E155" s="317" t="str">
        <f aca="false">IF($A155="N/A"," ",IF(AND(Dayrun1&gt;=4,Dayrun1&lt;=9),0,VLOOKUP($A155,ScaledPrice1,9)))</f>
        <v> </v>
      </c>
      <c r="F155" s="317" t="str">
        <f aca="false">IF(A155="N/A"," ",IF(OR(Dayrun1=2,Dayrun1=3,Dayrun1=5,Dayrun1=6,Dayrun1=8,Dayrun1=9),VLOOKUP(A155,ScaledPrice1,IF(Scaler1=1,6,5)),0))</f>
        <v> </v>
      </c>
      <c r="G155" s="317" t="str">
        <f aca="false">IF(A155="N/A"," ",IF(OR(Dayrun1=2,Dayrun1=3,Dayrun1=5,Dayrun1=6),IF(Scaler1=2,F155,(VLOOKUP(A155,ScaledPrice1,5))*(2-(VLOOKUP(A155,ScaledPrice1,3)))),0))</f>
        <v> </v>
      </c>
      <c r="H155" s="317" t="str">
        <f aca="false">IF($A155="N/A"," ",IF(OR(Dayrun1=2,Dayrun1=3,Dayrun1=10),VLOOKUP($A155,ScaledPrice1,9),0))</f>
        <v> </v>
      </c>
      <c r="I155" s="317" t="str">
        <f aca="false">IF(A155="N/A"," ",IF(OR(Dayrun1=3,Dayrun1=6,Dayrun1=9),(VLOOKUP(A155,ScaledPrice1,IF(Scaler1=2,7,8))),0))</f>
        <v> </v>
      </c>
      <c r="J155" s="317" t="str">
        <f aca="false">IF(A155="N/A"," ",IF(OR(Dayrun1=3,Dayrun1=6),IF(Scaler1=2,I155,(VLOOKUP(A155,ScaledPrice1,7))*(2-(VLOOKUP(A155,ScaledPrice1,3)))),0))</f>
        <v> </v>
      </c>
      <c r="K155" s="317" t="str">
        <f aca="false">IF($A155="N/A"," ",IF(OR(Dayrun1=3,Dayrun1=10),VLOOKUP($A155,ScaledPrice1,9),0))</f>
        <v> </v>
      </c>
      <c r="L155" s="318" t="str">
        <f aca="false">IF($A155="N/A"," ",IF(Pricetype1=2,MAX(C155,0),IF(OR(Pricetype1=1,Pricetype1=4),IF(C155=0,0,(EURO(C155,Strikeprice1,0,0,($AH155+IF(Smile=TRUE(),VLOOKUP(MAX(-5,Strikeprice1-C155),Volsmile,2),0)),($A155-DateToday)+15,IF(Pricetype1=1,1,0),0))),C155)))</f>
        <v> </v>
      </c>
      <c r="M155" s="318" t="str">
        <f aca="false">IF($A155="N/A"," ",IF(Pricetype1=2,MAX(D155,0),IF(OR(Pricetype1=1,Pricetype1=4),IF(D155=0,0,(EURO(D155,Strikeprice1,0,0,($AH155+IF(Smile=TRUE(),VLOOKUP(MAX(-5,Strikeprice1-D155),Volsmile,2),0)),($A155-DateToday)+15,IF(Pricetype1=1,1,0),0))),D155)))</f>
        <v> </v>
      </c>
      <c r="N155" s="318" t="str">
        <f aca="false">IF($A155="N/A"," ",IF(Pricetype1=2,MAX(E155,0),IF(OR(Pricetype1=1,Pricetype1=4),IF(E155=0,0,(EURO(E155,Strikeprice1,0,0,($AK155+IF(Smile=TRUE(),VLOOKUP(MAX(-5,Strikeprice1-E155),Volsmile,2),0)),($A155-DateToday)+15,IF(Pricetype1=1,1,0),0))),E155)))</f>
        <v> </v>
      </c>
      <c r="O155" s="318" t="str">
        <f aca="false">IF($A155="N/A"," ",IF(Pricetype1=2,MAX(F155,0),IF(OR(Pricetype1=1,Pricetype1=4),IF(F155=0,0,(EURO(F155,Strikeprice1,0,0,($AK155+IF(Smile=TRUE(),VLOOKUP(MAX(-5,Strikeprice1-F155),Volsmile,2),0)),($A155-DateToday)+15,IF(Pricetype1=1,1,0),0))),F155)))</f>
        <v> </v>
      </c>
      <c r="P155" s="318" t="str">
        <f aca="false">IF($A155="N/A"," ",IF(Pricetype1=2,MAX(G155,0),IF(OR(Pricetype1=1,Pricetype1=4),IF(G155=0,0,(EURO(G155,Strikeprice1,0,0,($AK155+IF(Smile=TRUE(),VLOOKUP(MAX(-5,Strikeprice1-G155),Volsmile,2),0)),($A155-DateToday)+15,IF(Pricetype1=1,1,0),0))),G155)))</f>
        <v> </v>
      </c>
      <c r="Q155" s="318" t="str">
        <f aca="false">IF($A155="N/A"," ",IF(Pricetype1=2,MAX(H155,0),IF(OR(Pricetype1=1,Pricetype1=4),IF(H155=0,0,(EURO(H155,Strikeprice1,0,0,($AK155+IF(Smile=TRUE(),VLOOKUP(MAX(-5,Strikeprice1-H155),Volsmile,2),0)),($A155-DateToday)+15,IF(Pricetype1=1,1,0),0))),H155)))</f>
        <v> </v>
      </c>
      <c r="R155" s="318" t="str">
        <f aca="false">IF($A155="N/A"," ",IF(Pricetype1=2,MAX(I155,0),IF(OR(Pricetype1=1,Pricetype1=4),IF(I155=0,0,(EURO(I155,Strikeprice1,0,0,($AK155+IF(Smile=TRUE(),VLOOKUP(MAX(-5,Strikeprice1-I155),Volsmile,2),0)),($A155-DateToday)+15,IF(Pricetype1=1,1,0),0))),I155)))</f>
        <v> </v>
      </c>
      <c r="S155" s="318" t="str">
        <f aca="false">IF($A155="N/A"," ",IF(Pricetype1=2,MAX(J155,0),IF(OR(Pricetype1=1,Pricetype1=4),IF(J155=0,0,(EURO(J155,Strikeprice1,0,0,($AK155+IF(Smile=TRUE(),VLOOKUP(MAX(-5,Strikeprice1-J155),Volsmile,2),0)),($A155-DateToday)+15,IF(Pricetype1=1,1,0),0))),J155)))</f>
        <v> </v>
      </c>
      <c r="T155" s="318" t="str">
        <f aca="false">IF($A155="N/A"," ",IF(Pricetype1=2,MAX(K155,0),IF(OR(Pricetype1=1,Pricetype1=4),IF(K155=0,0,(EURO(K155,Strikeprice1,0,0,($AK155+IF(Smile=TRUE(),VLOOKUP(MAX(-5,Strikeprice1-K155),Volsmile,2),0)),($A155-DateToday)+15,IF(Pricetype1=1,1,0),0))),K155)))</f>
        <v> </v>
      </c>
      <c r="U155" s="319" t="str">
        <f aca="false">IF($A155="N/A"," ",Volume1*$AM155)</f>
        <v> </v>
      </c>
      <c r="V155" s="320" t="str">
        <f aca="false">IF($A155="N/A"," ",$U155*(8*($BQ155))*L155)</f>
        <v> </v>
      </c>
      <c r="W155" s="320" t="str">
        <f aca="false">IF($A155="N/A"," ",$U155*(8*($BQ155))*M155)</f>
        <v> </v>
      </c>
      <c r="X155" s="320" t="str">
        <f aca="false">IF($A155="N/A"," ",$U155*(8*($BQ155))*N155)</f>
        <v> </v>
      </c>
      <c r="Y155" s="320" t="str">
        <f aca="false">IF($A155="N/A"," ",$U155*(8*($BR155))*O155)</f>
        <v> </v>
      </c>
      <c r="Z155" s="320" t="str">
        <f aca="false">IF($A155="N/A"," ",$U155*(8*($BR155))*P155)</f>
        <v> </v>
      </c>
      <c r="AA155" s="320" t="str">
        <f aca="false">IF($A155="N/A"," ",$U155*(8*($BR155))*Q155)</f>
        <v> </v>
      </c>
      <c r="AB155" s="320" t="str">
        <f aca="false">IF($A155="N/A"," ",$U155*(8*($BS155))*R155)</f>
        <v> </v>
      </c>
      <c r="AC155" s="320" t="str">
        <f aca="false">IF($A155="N/A"," ",$U155*(8*($BS155))*S155)</f>
        <v> </v>
      </c>
      <c r="AD155" s="320" t="str">
        <f aca="false">IF($A155="N/A"," ",$U155*(8*($BS155))*T155)</f>
        <v> </v>
      </c>
      <c r="AE155" s="320" t="str">
        <f aca="false">IF($A155="N/A"," ",SUM(V155:AD155))</f>
        <v> </v>
      </c>
      <c r="AF155" s="321" t="str">
        <f aca="false">IF(A155="N/A"," ",(VLOOKUP(A155,PowerVolTable,(IF(VolBMO1=2,7,IF(VolBMO1=1,6,8))),FALSE())))</f>
        <v> </v>
      </c>
      <c r="AG155" s="321" t="str">
        <f aca="false">IF(A155="N/A"," ",(VLOOKUP(A155,IntraPowerVol,(IF(VolBMO1=2,3,IF(VolBMO1=1,2,4))),FALSE())*VLOOKUP(MONTH($A155),Volscale,2)))</f>
        <v> </v>
      </c>
      <c r="AH155" s="321" t="str">
        <f aca="false">IF($A155="N/A"," ",IF(VolType1=1,AG155,AF155))</f>
        <v> </v>
      </c>
      <c r="AI155" s="321" t="str">
        <f aca="false">IF($A155="N/A"," ",(VLOOKUP($A155,OffPwrVolTable,(IF(VolBMO1=2,7,IF(VolBMO1=1,6,8))),FALSE())))</f>
        <v> </v>
      </c>
      <c r="AJ155" s="321" t="str">
        <f aca="false">IF($A155="N/A"," ",(VLOOKUP($A155,OffPwrVolTable,(IF(VolBMO1=2,3,IF(VolBMO1=1,2,4))),FALSE())*VLOOKUP(MONTH($A155),Volscale,2)))</f>
        <v> </v>
      </c>
      <c r="AK155" s="321" t="str">
        <f aca="false">IF($A155="N/A"," ",IF(VolType1=1,AJ155,AI155))</f>
        <v> </v>
      </c>
      <c r="AL155" s="321" t="str">
        <f aca="false">IF($A155="N/A"," ",IF(PV=1,0,'Pricing Inputs1'!R188))</f>
        <v> </v>
      </c>
      <c r="AM155" s="323" t="str">
        <f aca="false">IF($A155="N/A"," ",(1+AL155/2)^(-2*((EOMONTH(A155,0)+20)-DateToday)/365.25))</f>
        <v> </v>
      </c>
      <c r="BQ155" s="0" t="str">
        <f aca="false">IF($A155="N/A"," ",(VLOOKUP($A155,NumberofDaysTable,2)))</f>
        <v> </v>
      </c>
      <c r="BR155" s="0" t="str">
        <f aca="false">IF($A155="N/A"," ",(VLOOKUP($A155,NumberofDaysTable,3)))</f>
        <v> </v>
      </c>
      <c r="BS155" s="0" t="str">
        <f aca="false">IF($A155="N/A"," ",(VLOOKUP($A155,NumberofDaysTable,4)))</f>
        <v> </v>
      </c>
    </row>
    <row r="156" customFormat="false" ht="12.75" hidden="false" customHeight="false" outlineLevel="0" collapsed="false">
      <c r="A156" s="315" t="str">
        <f aca="false">IF(A155="N/A","N/A",IF(EDATE(A155,1)&gt;Inputs!$M$5,"N/A",EDATE(A155,1)))</f>
        <v>N/A</v>
      </c>
      <c r="B156" s="316" t="str">
        <f aca="false">IF(A156="N/A"," ",YEAR(A156))</f>
        <v> </v>
      </c>
      <c r="C156" s="324" t="str">
        <f aca="false">IF($A156="N/A"," ",IF(Dayrun1=10,0,IF(Scaler1=1,(VLOOKUP(A156,ScaledPrice1,4)),(VLOOKUP(A156,ScaledPrice1,2)))))</f>
        <v> </v>
      </c>
      <c r="D156" s="317" t="str">
        <f aca="false">IF(A156="N/A"," ",IF(Dayrun1&gt;=7,0,IF(Scaler1=2,VLOOKUP(A156,ScaledPrice1,2),(VLOOKUP(A156,ScaledPrice1,2))*(2-(VLOOKUP(A156,ScaledPrice1,3))))))</f>
        <v> </v>
      </c>
      <c r="E156" s="317" t="str">
        <f aca="false">IF($A156="N/A"," ",IF(AND(Dayrun1&gt;=4,Dayrun1&lt;=9),0,VLOOKUP($A156,ScaledPrice1,9)))</f>
        <v> </v>
      </c>
      <c r="F156" s="317" t="str">
        <f aca="false">IF(A156="N/A"," ",IF(OR(Dayrun1=2,Dayrun1=3,Dayrun1=5,Dayrun1=6,Dayrun1=8,Dayrun1=9),VLOOKUP(A156,ScaledPrice1,IF(Scaler1=1,6,5)),0))</f>
        <v> </v>
      </c>
      <c r="G156" s="317" t="str">
        <f aca="false">IF(A156="N/A"," ",IF(OR(Dayrun1=2,Dayrun1=3,Dayrun1=5,Dayrun1=6),IF(Scaler1=2,F156,(VLOOKUP(A156,ScaledPrice1,5))*(2-(VLOOKUP(A156,ScaledPrice1,3)))),0))</f>
        <v> </v>
      </c>
      <c r="H156" s="317" t="str">
        <f aca="false">IF($A156="N/A"," ",IF(OR(Dayrun1=2,Dayrun1=3,Dayrun1=10),VLOOKUP($A156,ScaledPrice1,9),0))</f>
        <v> </v>
      </c>
      <c r="I156" s="317" t="str">
        <f aca="false">IF(A156="N/A"," ",IF(OR(Dayrun1=3,Dayrun1=6,Dayrun1=9),(VLOOKUP(A156,ScaledPrice1,IF(Scaler1=2,7,8))),0))</f>
        <v> </v>
      </c>
      <c r="J156" s="317" t="str">
        <f aca="false">IF(A156="N/A"," ",IF(OR(Dayrun1=3,Dayrun1=6),IF(Scaler1=2,I156,(VLOOKUP(A156,ScaledPrice1,7))*(2-(VLOOKUP(A156,ScaledPrice1,3)))),0))</f>
        <v> </v>
      </c>
      <c r="K156" s="317" t="str">
        <f aca="false">IF($A156="N/A"," ",IF(OR(Dayrun1=3,Dayrun1=10),VLOOKUP($A156,ScaledPrice1,9),0))</f>
        <v> </v>
      </c>
      <c r="L156" s="318" t="str">
        <f aca="false">IF($A156="N/A"," ",IF(Pricetype1=2,MAX(C156,0),IF(OR(Pricetype1=1,Pricetype1=4),IF(C156=0,0,(EURO(C156,Strikeprice1,0,0,($AH156+IF(Smile=TRUE(),VLOOKUP(MAX(-5,Strikeprice1-C156),Volsmile,2),0)),($A156-DateToday)+15,IF(Pricetype1=1,1,0),0))),C156)))</f>
        <v> </v>
      </c>
      <c r="M156" s="318" t="str">
        <f aca="false">IF($A156="N/A"," ",IF(Pricetype1=2,MAX(D156,0),IF(OR(Pricetype1=1,Pricetype1=4),IF(D156=0,0,(EURO(D156,Strikeprice1,0,0,($AH156+IF(Smile=TRUE(),VLOOKUP(MAX(-5,Strikeprice1-D156),Volsmile,2),0)),($A156-DateToday)+15,IF(Pricetype1=1,1,0),0))),D156)))</f>
        <v> </v>
      </c>
      <c r="N156" s="318" t="str">
        <f aca="false">IF($A156="N/A"," ",IF(Pricetype1=2,MAX(E156,0),IF(OR(Pricetype1=1,Pricetype1=4),IF(E156=0,0,(EURO(E156,Strikeprice1,0,0,($AK156+IF(Smile=TRUE(),VLOOKUP(MAX(-5,Strikeprice1-E156),Volsmile,2),0)),($A156-DateToday)+15,IF(Pricetype1=1,1,0),0))),E156)))</f>
        <v> </v>
      </c>
      <c r="O156" s="318" t="str">
        <f aca="false">IF($A156="N/A"," ",IF(Pricetype1=2,MAX(F156,0),IF(OR(Pricetype1=1,Pricetype1=4),IF(F156=0,0,(EURO(F156,Strikeprice1,0,0,($AK156+IF(Smile=TRUE(),VLOOKUP(MAX(-5,Strikeprice1-F156),Volsmile,2),0)),($A156-DateToday)+15,IF(Pricetype1=1,1,0),0))),F156)))</f>
        <v> </v>
      </c>
      <c r="P156" s="318" t="str">
        <f aca="false">IF($A156="N/A"," ",IF(Pricetype1=2,MAX(G156,0),IF(OR(Pricetype1=1,Pricetype1=4),IF(G156=0,0,(EURO(G156,Strikeprice1,0,0,($AK156+IF(Smile=TRUE(),VLOOKUP(MAX(-5,Strikeprice1-G156),Volsmile,2),0)),($A156-DateToday)+15,IF(Pricetype1=1,1,0),0))),G156)))</f>
        <v> </v>
      </c>
      <c r="Q156" s="318" t="str">
        <f aca="false">IF($A156="N/A"," ",IF(Pricetype1=2,MAX(H156,0),IF(OR(Pricetype1=1,Pricetype1=4),IF(H156=0,0,(EURO(H156,Strikeprice1,0,0,($AK156+IF(Smile=TRUE(),VLOOKUP(MAX(-5,Strikeprice1-H156),Volsmile,2),0)),($A156-DateToday)+15,IF(Pricetype1=1,1,0),0))),H156)))</f>
        <v> </v>
      </c>
      <c r="R156" s="318" t="str">
        <f aca="false">IF($A156="N/A"," ",IF(Pricetype1=2,MAX(I156,0),IF(OR(Pricetype1=1,Pricetype1=4),IF(I156=0,0,(EURO(I156,Strikeprice1,0,0,($AK156+IF(Smile=TRUE(),VLOOKUP(MAX(-5,Strikeprice1-I156),Volsmile,2),0)),($A156-DateToday)+15,IF(Pricetype1=1,1,0),0))),I156)))</f>
        <v> </v>
      </c>
      <c r="S156" s="318" t="str">
        <f aca="false">IF($A156="N/A"," ",IF(Pricetype1=2,MAX(J156,0),IF(OR(Pricetype1=1,Pricetype1=4),IF(J156=0,0,(EURO(J156,Strikeprice1,0,0,($AK156+IF(Smile=TRUE(),VLOOKUP(MAX(-5,Strikeprice1-J156),Volsmile,2),0)),($A156-DateToday)+15,IF(Pricetype1=1,1,0),0))),J156)))</f>
        <v> </v>
      </c>
      <c r="T156" s="318" t="str">
        <f aca="false">IF($A156="N/A"," ",IF(Pricetype1=2,MAX(K156,0),IF(OR(Pricetype1=1,Pricetype1=4),IF(K156=0,0,(EURO(K156,Strikeprice1,0,0,($AK156+IF(Smile=TRUE(),VLOOKUP(MAX(-5,Strikeprice1-K156),Volsmile,2),0)),($A156-DateToday)+15,IF(Pricetype1=1,1,0),0))),K156)))</f>
        <v> </v>
      </c>
      <c r="U156" s="319" t="str">
        <f aca="false">IF($A156="N/A"," ",Volume1*$AM156)</f>
        <v> </v>
      </c>
      <c r="V156" s="320" t="str">
        <f aca="false">IF($A156="N/A"," ",$U156*(8*($BQ156))*L156)</f>
        <v> </v>
      </c>
      <c r="W156" s="320" t="str">
        <f aca="false">IF($A156="N/A"," ",$U156*(8*($BQ156))*M156)</f>
        <v> </v>
      </c>
      <c r="X156" s="320" t="str">
        <f aca="false">IF($A156="N/A"," ",$U156*(8*($BQ156))*N156)</f>
        <v> </v>
      </c>
      <c r="Y156" s="320" t="str">
        <f aca="false">IF($A156="N/A"," ",$U156*(8*($BR156))*O156)</f>
        <v> </v>
      </c>
      <c r="Z156" s="320" t="str">
        <f aca="false">IF($A156="N/A"," ",$U156*(8*($BR156))*P156)</f>
        <v> </v>
      </c>
      <c r="AA156" s="320" t="str">
        <f aca="false">IF($A156="N/A"," ",$U156*(8*($BR156))*Q156)</f>
        <v> </v>
      </c>
      <c r="AB156" s="320" t="str">
        <f aca="false">IF($A156="N/A"," ",$U156*(8*($BS156))*R156)</f>
        <v> </v>
      </c>
      <c r="AC156" s="320" t="str">
        <f aca="false">IF($A156="N/A"," ",$U156*(8*($BS156))*S156)</f>
        <v> </v>
      </c>
      <c r="AD156" s="320" t="str">
        <f aca="false">IF($A156="N/A"," ",$U156*(8*($BS156))*T156)</f>
        <v> </v>
      </c>
      <c r="AE156" s="320" t="str">
        <f aca="false">IF($A156="N/A"," ",SUM(V156:AD156))</f>
        <v> </v>
      </c>
      <c r="AF156" s="321" t="str">
        <f aca="false">IF(A156="N/A"," ",(VLOOKUP(A156,PowerVolTable,(IF(VolBMO1=2,7,IF(VolBMO1=1,6,8))),FALSE())))</f>
        <v> </v>
      </c>
      <c r="AG156" s="321" t="str">
        <f aca="false">IF(A156="N/A"," ",(VLOOKUP(A156,IntraPowerVol,(IF(VolBMO1=2,3,IF(VolBMO1=1,2,4))),FALSE())*VLOOKUP(MONTH($A156),Volscale,2)))</f>
        <v> </v>
      </c>
      <c r="AH156" s="321" t="str">
        <f aca="false">IF($A156="N/A"," ",IF(VolType1=1,AG156,AF156))</f>
        <v> </v>
      </c>
      <c r="AI156" s="321" t="str">
        <f aca="false">IF($A156="N/A"," ",(VLOOKUP($A156,OffPwrVolTable,(IF(VolBMO1=2,7,IF(VolBMO1=1,6,8))),FALSE())))</f>
        <v> </v>
      </c>
      <c r="AJ156" s="321" t="str">
        <f aca="false">IF($A156="N/A"," ",(VLOOKUP($A156,OffPwrVolTable,(IF(VolBMO1=2,3,IF(VolBMO1=1,2,4))),FALSE())*VLOOKUP(MONTH($A156),Volscale,2)))</f>
        <v> </v>
      </c>
      <c r="AK156" s="321" t="str">
        <f aca="false">IF($A156="N/A"," ",IF(VolType1=1,AJ156,AI156))</f>
        <v> </v>
      </c>
      <c r="AL156" s="321" t="str">
        <f aca="false">IF($A156="N/A"," ",IF(PV=1,0,'Pricing Inputs1'!R189))</f>
        <v> </v>
      </c>
      <c r="AM156" s="323" t="str">
        <f aca="false">IF($A156="N/A"," ",(1+AL156/2)^(-2*((EOMONTH(A156,0)+20)-DateToday)/365.25))</f>
        <v> </v>
      </c>
      <c r="BQ156" s="0" t="str">
        <f aca="false">IF($A156="N/A"," ",(VLOOKUP($A156,NumberofDaysTable,2)))</f>
        <v> </v>
      </c>
      <c r="BR156" s="0" t="str">
        <f aca="false">IF($A156="N/A"," ",(VLOOKUP($A156,NumberofDaysTable,3)))</f>
        <v> </v>
      </c>
      <c r="BS156" s="0" t="str">
        <f aca="false">IF($A156="N/A"," ",(VLOOKUP($A156,NumberofDaysTable,4)))</f>
        <v> </v>
      </c>
    </row>
    <row r="157" customFormat="false" ht="12.75" hidden="false" customHeight="false" outlineLevel="0" collapsed="false">
      <c r="A157" s="315" t="str">
        <f aca="false">IF(A156="N/A","N/A",IF(EDATE(A156,1)&gt;Inputs!$M$5,"N/A",EDATE(A156,1)))</f>
        <v>N/A</v>
      </c>
      <c r="B157" s="316" t="str">
        <f aca="false">IF(A157="N/A"," ",YEAR(A157))</f>
        <v> </v>
      </c>
      <c r="C157" s="324" t="str">
        <f aca="false">IF($A157="N/A"," ",IF(Dayrun1=10,0,IF(Scaler1=1,(VLOOKUP(A157,ScaledPrice1,4)),(VLOOKUP(A157,ScaledPrice1,2)))))</f>
        <v> </v>
      </c>
      <c r="D157" s="317" t="str">
        <f aca="false">IF(A157="N/A"," ",IF(Dayrun1&gt;=7,0,IF(Scaler1=2,VLOOKUP(A157,ScaledPrice1,2),(VLOOKUP(A157,ScaledPrice1,2))*(2-(VLOOKUP(A157,ScaledPrice1,3))))))</f>
        <v> </v>
      </c>
      <c r="E157" s="317" t="str">
        <f aca="false">IF($A157="N/A"," ",IF(AND(Dayrun1&gt;=4,Dayrun1&lt;=9),0,VLOOKUP($A157,ScaledPrice1,9)))</f>
        <v> </v>
      </c>
      <c r="F157" s="317" t="str">
        <f aca="false">IF(A157="N/A"," ",IF(OR(Dayrun1=2,Dayrun1=3,Dayrun1=5,Dayrun1=6,Dayrun1=8,Dayrun1=9),VLOOKUP(A157,ScaledPrice1,IF(Scaler1=1,6,5)),0))</f>
        <v> </v>
      </c>
      <c r="G157" s="317" t="str">
        <f aca="false">IF(A157="N/A"," ",IF(OR(Dayrun1=2,Dayrun1=3,Dayrun1=5,Dayrun1=6),IF(Scaler1=2,F157,(VLOOKUP(A157,ScaledPrice1,5))*(2-(VLOOKUP(A157,ScaledPrice1,3)))),0))</f>
        <v> </v>
      </c>
      <c r="H157" s="317" t="str">
        <f aca="false">IF($A157="N/A"," ",IF(OR(Dayrun1=2,Dayrun1=3,Dayrun1=10),VLOOKUP($A157,ScaledPrice1,9),0))</f>
        <v> </v>
      </c>
      <c r="I157" s="317" t="str">
        <f aca="false">IF(A157="N/A"," ",IF(OR(Dayrun1=3,Dayrun1=6,Dayrun1=9),(VLOOKUP(A157,ScaledPrice1,IF(Scaler1=2,7,8))),0))</f>
        <v> </v>
      </c>
      <c r="J157" s="317" t="str">
        <f aca="false">IF(A157="N/A"," ",IF(OR(Dayrun1=3,Dayrun1=6),IF(Scaler1=2,I157,(VLOOKUP(A157,ScaledPrice1,7))*(2-(VLOOKUP(A157,ScaledPrice1,3)))),0))</f>
        <v> </v>
      </c>
      <c r="K157" s="317" t="str">
        <f aca="false">IF($A157="N/A"," ",IF(OR(Dayrun1=3,Dayrun1=10),VLOOKUP($A157,ScaledPrice1,9),0))</f>
        <v> </v>
      </c>
      <c r="L157" s="318" t="str">
        <f aca="false">IF($A157="N/A"," ",IF(Pricetype1=2,MAX(C157,0),IF(OR(Pricetype1=1,Pricetype1=4),IF(C157=0,0,(EURO(C157,Strikeprice1,0,0,($AH157+IF(Smile=TRUE(),VLOOKUP(MAX(-5,Strikeprice1-C157),Volsmile,2),0)),($A157-DateToday)+15,IF(Pricetype1=1,1,0),0))),C157)))</f>
        <v> </v>
      </c>
      <c r="M157" s="318" t="str">
        <f aca="false">IF($A157="N/A"," ",IF(Pricetype1=2,MAX(D157,0),IF(OR(Pricetype1=1,Pricetype1=4),IF(D157=0,0,(EURO(D157,Strikeprice1,0,0,($AH157+IF(Smile=TRUE(),VLOOKUP(MAX(-5,Strikeprice1-D157),Volsmile,2),0)),($A157-DateToday)+15,IF(Pricetype1=1,1,0),0))),D157)))</f>
        <v> </v>
      </c>
      <c r="N157" s="318" t="str">
        <f aca="false">IF($A157="N/A"," ",IF(Pricetype1=2,MAX(E157,0),IF(OR(Pricetype1=1,Pricetype1=4),IF(E157=0,0,(EURO(E157,Strikeprice1,0,0,($AK157+IF(Smile=TRUE(),VLOOKUP(MAX(-5,Strikeprice1-E157),Volsmile,2),0)),($A157-DateToday)+15,IF(Pricetype1=1,1,0),0))),E157)))</f>
        <v> </v>
      </c>
      <c r="O157" s="318" t="str">
        <f aca="false">IF($A157="N/A"," ",IF(Pricetype1=2,MAX(F157,0),IF(OR(Pricetype1=1,Pricetype1=4),IF(F157=0,0,(EURO(F157,Strikeprice1,0,0,($AK157+IF(Smile=TRUE(),VLOOKUP(MAX(-5,Strikeprice1-F157),Volsmile,2),0)),($A157-DateToday)+15,IF(Pricetype1=1,1,0),0))),F157)))</f>
        <v> </v>
      </c>
      <c r="P157" s="318" t="str">
        <f aca="false">IF($A157="N/A"," ",IF(Pricetype1=2,MAX(G157,0),IF(OR(Pricetype1=1,Pricetype1=4),IF(G157=0,0,(EURO(G157,Strikeprice1,0,0,($AK157+IF(Smile=TRUE(),VLOOKUP(MAX(-5,Strikeprice1-G157),Volsmile,2),0)),($A157-DateToday)+15,IF(Pricetype1=1,1,0),0))),G157)))</f>
        <v> </v>
      </c>
      <c r="Q157" s="318" t="str">
        <f aca="false">IF($A157="N/A"," ",IF(Pricetype1=2,MAX(H157,0),IF(OR(Pricetype1=1,Pricetype1=4),IF(H157=0,0,(EURO(H157,Strikeprice1,0,0,($AK157+IF(Smile=TRUE(),VLOOKUP(MAX(-5,Strikeprice1-H157),Volsmile,2),0)),($A157-DateToday)+15,IF(Pricetype1=1,1,0),0))),H157)))</f>
        <v> </v>
      </c>
      <c r="R157" s="318" t="str">
        <f aca="false">IF($A157="N/A"," ",IF(Pricetype1=2,MAX(I157,0),IF(OR(Pricetype1=1,Pricetype1=4),IF(I157=0,0,(EURO(I157,Strikeprice1,0,0,($AK157+IF(Smile=TRUE(),VLOOKUP(MAX(-5,Strikeprice1-I157),Volsmile,2),0)),($A157-DateToday)+15,IF(Pricetype1=1,1,0),0))),I157)))</f>
        <v> </v>
      </c>
      <c r="S157" s="318" t="str">
        <f aca="false">IF($A157="N/A"," ",IF(Pricetype1=2,MAX(J157,0),IF(OR(Pricetype1=1,Pricetype1=4),IF(J157=0,0,(EURO(J157,Strikeprice1,0,0,($AK157+IF(Smile=TRUE(),VLOOKUP(MAX(-5,Strikeprice1-J157),Volsmile,2),0)),($A157-DateToday)+15,IF(Pricetype1=1,1,0),0))),J157)))</f>
        <v> </v>
      </c>
      <c r="T157" s="318" t="str">
        <f aca="false">IF($A157="N/A"," ",IF(Pricetype1=2,MAX(K157,0),IF(OR(Pricetype1=1,Pricetype1=4),IF(K157=0,0,(EURO(K157,Strikeprice1,0,0,($AK157+IF(Smile=TRUE(),VLOOKUP(MAX(-5,Strikeprice1-K157),Volsmile,2),0)),($A157-DateToday)+15,IF(Pricetype1=1,1,0),0))),K157)))</f>
        <v> </v>
      </c>
      <c r="U157" s="319" t="str">
        <f aca="false">IF($A157="N/A"," ",Volume1*$AM157)</f>
        <v> </v>
      </c>
      <c r="V157" s="320" t="str">
        <f aca="false">IF($A157="N/A"," ",$U157*(8*($BQ157))*L157)</f>
        <v> </v>
      </c>
      <c r="W157" s="320" t="str">
        <f aca="false">IF($A157="N/A"," ",$U157*(8*($BQ157))*M157)</f>
        <v> </v>
      </c>
      <c r="X157" s="320" t="str">
        <f aca="false">IF($A157="N/A"," ",$U157*(8*($BQ157))*N157)</f>
        <v> </v>
      </c>
      <c r="Y157" s="320" t="str">
        <f aca="false">IF($A157="N/A"," ",$U157*(8*($BR157))*O157)</f>
        <v> </v>
      </c>
      <c r="Z157" s="320" t="str">
        <f aca="false">IF($A157="N/A"," ",$U157*(8*($BR157))*P157)</f>
        <v> </v>
      </c>
      <c r="AA157" s="320" t="str">
        <f aca="false">IF($A157="N/A"," ",$U157*(8*($BR157))*Q157)</f>
        <v> </v>
      </c>
      <c r="AB157" s="320" t="str">
        <f aca="false">IF($A157="N/A"," ",$U157*(8*($BS157))*R157)</f>
        <v> </v>
      </c>
      <c r="AC157" s="320" t="str">
        <f aca="false">IF($A157="N/A"," ",$U157*(8*($BS157))*S157)</f>
        <v> </v>
      </c>
      <c r="AD157" s="320" t="str">
        <f aca="false">IF($A157="N/A"," ",$U157*(8*($BS157))*T157)</f>
        <v> </v>
      </c>
      <c r="AE157" s="320" t="str">
        <f aca="false">IF($A157="N/A"," ",SUM(V157:AD157))</f>
        <v> </v>
      </c>
      <c r="AF157" s="321" t="str">
        <f aca="false">IF(A157="N/A"," ",(VLOOKUP(A157,PowerVolTable,(IF(VolBMO1=2,7,IF(VolBMO1=1,6,8))),FALSE())))</f>
        <v> </v>
      </c>
      <c r="AG157" s="321" t="str">
        <f aca="false">IF(A157="N/A"," ",(VLOOKUP(A157,IntraPowerVol,(IF(VolBMO1=2,3,IF(VolBMO1=1,2,4))),FALSE())*VLOOKUP(MONTH($A157),Volscale,2)))</f>
        <v> </v>
      </c>
      <c r="AH157" s="321" t="str">
        <f aca="false">IF($A157="N/A"," ",IF(VolType1=1,AG157,AF157))</f>
        <v> </v>
      </c>
      <c r="AI157" s="321" t="str">
        <f aca="false">IF($A157="N/A"," ",(VLOOKUP($A157,OffPwrVolTable,(IF(VolBMO1=2,7,IF(VolBMO1=1,6,8))),FALSE())))</f>
        <v> </v>
      </c>
      <c r="AJ157" s="321" t="str">
        <f aca="false">IF($A157="N/A"," ",(VLOOKUP($A157,OffPwrVolTable,(IF(VolBMO1=2,3,IF(VolBMO1=1,2,4))),FALSE())*VLOOKUP(MONTH($A157),Volscale,2)))</f>
        <v> </v>
      </c>
      <c r="AK157" s="321" t="str">
        <f aca="false">IF($A157="N/A"," ",IF(VolType1=1,AJ157,AI157))</f>
        <v> </v>
      </c>
      <c r="AL157" s="321" t="str">
        <f aca="false">IF($A157="N/A"," ",IF(PV=1,0,'Pricing Inputs1'!R190))</f>
        <v> </v>
      </c>
      <c r="AM157" s="323" t="str">
        <f aca="false">IF($A157="N/A"," ",(1+AL157/2)^(-2*((EOMONTH(A157,0)+20)-DateToday)/365.25))</f>
        <v> </v>
      </c>
      <c r="BQ157" s="0" t="str">
        <f aca="false">IF($A157="N/A"," ",(VLOOKUP($A157,NumberofDaysTable,2)))</f>
        <v> </v>
      </c>
      <c r="BR157" s="0" t="str">
        <f aca="false">IF($A157="N/A"," ",(VLOOKUP($A157,NumberofDaysTable,3)))</f>
        <v> </v>
      </c>
      <c r="BS157" s="0" t="str">
        <f aca="false">IF($A157="N/A"," ",(VLOOKUP($A157,NumberofDaysTable,4)))</f>
        <v> </v>
      </c>
    </row>
    <row r="158" customFormat="false" ht="12.75" hidden="false" customHeight="false" outlineLevel="0" collapsed="false">
      <c r="A158" s="315" t="str">
        <f aca="false">IF(A157="N/A","N/A",IF(EDATE(A157,1)&gt;Inputs!$M$5,"N/A",EDATE(A157,1)))</f>
        <v>N/A</v>
      </c>
      <c r="B158" s="316" t="str">
        <f aca="false">IF(A158="N/A"," ",YEAR(A158))</f>
        <v> </v>
      </c>
      <c r="C158" s="324" t="str">
        <f aca="false">IF($A158="N/A"," ",IF(Dayrun1=10,0,IF(Scaler1=1,(VLOOKUP(A158,ScaledPrice1,4)),(VLOOKUP(A158,ScaledPrice1,2)))))</f>
        <v> </v>
      </c>
      <c r="D158" s="317" t="str">
        <f aca="false">IF(A158="N/A"," ",IF(Dayrun1&gt;=7,0,IF(Scaler1=2,VLOOKUP(A158,ScaledPrice1,2),(VLOOKUP(A158,ScaledPrice1,2))*(2-(VLOOKUP(A158,ScaledPrice1,3))))))</f>
        <v> </v>
      </c>
      <c r="E158" s="317" t="str">
        <f aca="false">IF($A158="N/A"," ",IF(AND(Dayrun1&gt;=4,Dayrun1&lt;=9),0,VLOOKUP($A158,ScaledPrice1,9)))</f>
        <v> </v>
      </c>
      <c r="F158" s="317" t="str">
        <f aca="false">IF(A158="N/A"," ",IF(OR(Dayrun1=2,Dayrun1=3,Dayrun1=5,Dayrun1=6,Dayrun1=8,Dayrun1=9),VLOOKUP(A158,ScaledPrice1,IF(Scaler1=1,6,5)),0))</f>
        <v> </v>
      </c>
      <c r="G158" s="317" t="str">
        <f aca="false">IF(A158="N/A"," ",IF(OR(Dayrun1=2,Dayrun1=3,Dayrun1=5,Dayrun1=6),IF(Scaler1=2,F158,(VLOOKUP(A158,ScaledPrice1,5))*(2-(VLOOKUP(A158,ScaledPrice1,3)))),0))</f>
        <v> </v>
      </c>
      <c r="H158" s="317" t="str">
        <f aca="false">IF($A158="N/A"," ",IF(OR(Dayrun1=2,Dayrun1=3,Dayrun1=10),VLOOKUP($A158,ScaledPrice1,9),0))</f>
        <v> </v>
      </c>
      <c r="I158" s="317" t="str">
        <f aca="false">IF(A158="N/A"," ",IF(OR(Dayrun1=3,Dayrun1=6,Dayrun1=9),(VLOOKUP(A158,ScaledPrice1,IF(Scaler1=2,7,8))),0))</f>
        <v> </v>
      </c>
      <c r="J158" s="317" t="str">
        <f aca="false">IF(A158="N/A"," ",IF(OR(Dayrun1=3,Dayrun1=6),IF(Scaler1=2,I158,(VLOOKUP(A158,ScaledPrice1,7))*(2-(VLOOKUP(A158,ScaledPrice1,3)))),0))</f>
        <v> </v>
      </c>
      <c r="K158" s="317" t="str">
        <f aca="false">IF($A158="N/A"," ",IF(OR(Dayrun1=3,Dayrun1=10),VLOOKUP($A158,ScaledPrice1,9),0))</f>
        <v> </v>
      </c>
      <c r="L158" s="318" t="str">
        <f aca="false">IF($A158="N/A"," ",IF(Pricetype1=2,MAX(C158,0),IF(OR(Pricetype1=1,Pricetype1=4),IF(C158=0,0,(EURO(C158,Strikeprice1,0,0,($AH158+IF(Smile=TRUE(),VLOOKUP(MAX(-5,Strikeprice1-C158),Volsmile,2),0)),($A158-DateToday)+15,IF(Pricetype1=1,1,0),0))),C158)))</f>
        <v> </v>
      </c>
      <c r="M158" s="318" t="str">
        <f aca="false">IF($A158="N/A"," ",IF(Pricetype1=2,MAX(D158,0),IF(OR(Pricetype1=1,Pricetype1=4),IF(D158=0,0,(EURO(D158,Strikeprice1,0,0,($AH158+IF(Smile=TRUE(),VLOOKUP(MAX(-5,Strikeprice1-D158),Volsmile,2),0)),($A158-DateToday)+15,IF(Pricetype1=1,1,0),0))),D158)))</f>
        <v> </v>
      </c>
      <c r="N158" s="318" t="str">
        <f aca="false">IF($A158="N/A"," ",IF(Pricetype1=2,MAX(E158,0),IF(OR(Pricetype1=1,Pricetype1=4),IF(E158=0,0,(EURO(E158,Strikeprice1,0,0,($AK158+IF(Smile=TRUE(),VLOOKUP(MAX(-5,Strikeprice1-E158),Volsmile,2),0)),($A158-DateToday)+15,IF(Pricetype1=1,1,0),0))),E158)))</f>
        <v> </v>
      </c>
      <c r="O158" s="318" t="str">
        <f aca="false">IF($A158="N/A"," ",IF(Pricetype1=2,MAX(F158,0),IF(OR(Pricetype1=1,Pricetype1=4),IF(F158=0,0,(EURO(F158,Strikeprice1,0,0,($AK158+IF(Smile=TRUE(),VLOOKUP(MAX(-5,Strikeprice1-F158),Volsmile,2),0)),($A158-DateToday)+15,IF(Pricetype1=1,1,0),0))),F158)))</f>
        <v> </v>
      </c>
      <c r="P158" s="318" t="str">
        <f aca="false">IF($A158="N/A"," ",IF(Pricetype1=2,MAX(G158,0),IF(OR(Pricetype1=1,Pricetype1=4),IF(G158=0,0,(EURO(G158,Strikeprice1,0,0,($AK158+IF(Smile=TRUE(),VLOOKUP(MAX(-5,Strikeprice1-G158),Volsmile,2),0)),($A158-DateToday)+15,IF(Pricetype1=1,1,0),0))),G158)))</f>
        <v> </v>
      </c>
      <c r="Q158" s="318" t="str">
        <f aca="false">IF($A158="N/A"," ",IF(Pricetype1=2,MAX(H158,0),IF(OR(Pricetype1=1,Pricetype1=4),IF(H158=0,0,(EURO(H158,Strikeprice1,0,0,($AK158+IF(Smile=TRUE(),VLOOKUP(MAX(-5,Strikeprice1-H158),Volsmile,2),0)),($A158-DateToday)+15,IF(Pricetype1=1,1,0),0))),H158)))</f>
        <v> </v>
      </c>
      <c r="R158" s="318" t="str">
        <f aca="false">IF($A158="N/A"," ",IF(Pricetype1=2,MAX(I158,0),IF(OR(Pricetype1=1,Pricetype1=4),IF(I158=0,0,(EURO(I158,Strikeprice1,0,0,($AK158+IF(Smile=TRUE(),VLOOKUP(MAX(-5,Strikeprice1-I158),Volsmile,2),0)),($A158-DateToday)+15,IF(Pricetype1=1,1,0),0))),I158)))</f>
        <v> </v>
      </c>
      <c r="S158" s="318" t="str">
        <f aca="false">IF($A158="N/A"," ",IF(Pricetype1=2,MAX(J158,0),IF(OR(Pricetype1=1,Pricetype1=4),IF(J158=0,0,(EURO(J158,Strikeprice1,0,0,($AK158+IF(Smile=TRUE(),VLOOKUP(MAX(-5,Strikeprice1-J158),Volsmile,2),0)),($A158-DateToday)+15,IF(Pricetype1=1,1,0),0))),J158)))</f>
        <v> </v>
      </c>
      <c r="T158" s="318" t="str">
        <f aca="false">IF($A158="N/A"," ",IF(Pricetype1=2,MAX(K158,0),IF(OR(Pricetype1=1,Pricetype1=4),IF(K158=0,0,(EURO(K158,Strikeprice1,0,0,($AK158+IF(Smile=TRUE(),VLOOKUP(MAX(-5,Strikeprice1-K158),Volsmile,2),0)),($A158-DateToday)+15,IF(Pricetype1=1,1,0),0))),K158)))</f>
        <v> </v>
      </c>
      <c r="U158" s="319" t="str">
        <f aca="false">IF($A158="N/A"," ",Volume1*$AM158)</f>
        <v> </v>
      </c>
      <c r="V158" s="320" t="str">
        <f aca="false">IF($A158="N/A"," ",$U158*(8*($BQ158))*L158)</f>
        <v> </v>
      </c>
      <c r="W158" s="320" t="str">
        <f aca="false">IF($A158="N/A"," ",$U158*(8*($BQ158))*M158)</f>
        <v> </v>
      </c>
      <c r="X158" s="320" t="str">
        <f aca="false">IF($A158="N/A"," ",$U158*(8*($BQ158))*N158)</f>
        <v> </v>
      </c>
      <c r="Y158" s="320" t="str">
        <f aca="false">IF($A158="N/A"," ",$U158*(8*($BR158))*O158)</f>
        <v> </v>
      </c>
      <c r="Z158" s="320" t="str">
        <f aca="false">IF($A158="N/A"," ",$U158*(8*($BR158))*P158)</f>
        <v> </v>
      </c>
      <c r="AA158" s="320" t="str">
        <f aca="false">IF($A158="N/A"," ",$U158*(8*($BR158))*Q158)</f>
        <v> </v>
      </c>
      <c r="AB158" s="320" t="str">
        <f aca="false">IF($A158="N/A"," ",$U158*(8*($BS158))*R158)</f>
        <v> </v>
      </c>
      <c r="AC158" s="320" t="str">
        <f aca="false">IF($A158="N/A"," ",$U158*(8*($BS158))*S158)</f>
        <v> </v>
      </c>
      <c r="AD158" s="320" t="str">
        <f aca="false">IF($A158="N/A"," ",$U158*(8*($BS158))*T158)</f>
        <v> </v>
      </c>
      <c r="AE158" s="320" t="str">
        <f aca="false">IF($A158="N/A"," ",SUM(V158:AD158))</f>
        <v> </v>
      </c>
      <c r="AF158" s="321" t="str">
        <f aca="false">IF(A158="N/A"," ",(VLOOKUP(A158,PowerVolTable,(IF(VolBMO1=2,7,IF(VolBMO1=1,6,8))),FALSE())))</f>
        <v> </v>
      </c>
      <c r="AG158" s="321" t="str">
        <f aca="false">IF(A158="N/A"," ",(VLOOKUP(A158,IntraPowerVol,(IF(VolBMO1=2,3,IF(VolBMO1=1,2,4))),FALSE())*VLOOKUP(MONTH($A158),Volscale,2)))</f>
        <v> </v>
      </c>
      <c r="AH158" s="321" t="str">
        <f aca="false">IF($A158="N/A"," ",IF(VolType1=1,AG158,AF158))</f>
        <v> </v>
      </c>
      <c r="AI158" s="321" t="str">
        <f aca="false">IF($A158="N/A"," ",(VLOOKUP($A158,OffPwrVolTable,(IF(VolBMO1=2,7,IF(VolBMO1=1,6,8))),FALSE())))</f>
        <v> </v>
      </c>
      <c r="AJ158" s="321" t="str">
        <f aca="false">IF($A158="N/A"," ",(VLOOKUP($A158,OffPwrVolTable,(IF(VolBMO1=2,3,IF(VolBMO1=1,2,4))),FALSE())*VLOOKUP(MONTH($A158),Volscale,2)))</f>
        <v> </v>
      </c>
      <c r="AK158" s="321" t="str">
        <f aca="false">IF($A158="N/A"," ",IF(VolType1=1,AJ158,AI158))</f>
        <v> </v>
      </c>
      <c r="AL158" s="321" t="str">
        <f aca="false">IF($A158="N/A"," ",IF(PV=1,0,'Pricing Inputs1'!R191))</f>
        <v> </v>
      </c>
      <c r="AM158" s="323" t="str">
        <f aca="false">IF($A158="N/A"," ",(1+AL158/2)^(-2*((EOMONTH(A158,0)+20)-DateToday)/365.25))</f>
        <v> </v>
      </c>
      <c r="BQ158" s="0" t="str">
        <f aca="false">IF($A158="N/A"," ",(VLOOKUP($A158,NumberofDaysTable,2)))</f>
        <v> </v>
      </c>
      <c r="BR158" s="0" t="str">
        <f aca="false">IF($A158="N/A"," ",(VLOOKUP($A158,NumberofDaysTable,3)))</f>
        <v> </v>
      </c>
      <c r="BS158" s="0" t="str">
        <f aca="false">IF($A158="N/A"," ",(VLOOKUP($A158,NumberofDaysTable,4)))</f>
        <v> </v>
      </c>
    </row>
    <row r="159" customFormat="false" ht="12.75" hidden="false" customHeight="false" outlineLevel="0" collapsed="false">
      <c r="A159" s="315" t="str">
        <f aca="false">IF(A158="N/A","N/A",IF(EDATE(A158,1)&gt;Inputs!$M$5,"N/A",EDATE(A158,1)))</f>
        <v>N/A</v>
      </c>
      <c r="B159" s="316" t="str">
        <f aca="false">IF(A159="N/A"," ",YEAR(A159))</f>
        <v> </v>
      </c>
      <c r="C159" s="324" t="str">
        <f aca="false">IF($A159="N/A"," ",IF(Dayrun1=10,0,IF(Scaler1=1,(VLOOKUP(A159,ScaledPrice1,4)),(VLOOKUP(A159,ScaledPrice1,2)))))</f>
        <v> </v>
      </c>
      <c r="D159" s="317" t="str">
        <f aca="false">IF(A159="N/A"," ",IF(Dayrun1&gt;=7,0,IF(Scaler1=2,VLOOKUP(A159,ScaledPrice1,2),(VLOOKUP(A159,ScaledPrice1,2))*(2-(VLOOKUP(A159,ScaledPrice1,3))))))</f>
        <v> </v>
      </c>
      <c r="E159" s="317" t="str">
        <f aca="false">IF($A159="N/A"," ",IF(AND(Dayrun1&gt;=4,Dayrun1&lt;=9),0,VLOOKUP($A159,ScaledPrice1,9)))</f>
        <v> </v>
      </c>
      <c r="F159" s="317" t="str">
        <f aca="false">IF(A159="N/A"," ",IF(OR(Dayrun1=2,Dayrun1=3,Dayrun1=5,Dayrun1=6,Dayrun1=8,Dayrun1=9),VLOOKUP(A159,ScaledPrice1,IF(Scaler1=1,6,5)),0))</f>
        <v> </v>
      </c>
      <c r="G159" s="317" t="str">
        <f aca="false">IF(A159="N/A"," ",IF(OR(Dayrun1=2,Dayrun1=3,Dayrun1=5,Dayrun1=6),IF(Scaler1=2,F159,(VLOOKUP(A159,ScaledPrice1,5))*(2-(VLOOKUP(A159,ScaledPrice1,3)))),0))</f>
        <v> </v>
      </c>
      <c r="H159" s="317" t="str">
        <f aca="false">IF($A159="N/A"," ",IF(OR(Dayrun1=2,Dayrun1=3,Dayrun1=10),VLOOKUP($A159,ScaledPrice1,9),0))</f>
        <v> </v>
      </c>
      <c r="I159" s="317" t="str">
        <f aca="false">IF(A159="N/A"," ",IF(OR(Dayrun1=3,Dayrun1=6,Dayrun1=9),(VLOOKUP(A159,ScaledPrice1,IF(Scaler1=2,7,8))),0))</f>
        <v> </v>
      </c>
      <c r="J159" s="317" t="str">
        <f aca="false">IF(A159="N/A"," ",IF(OR(Dayrun1=3,Dayrun1=6),IF(Scaler1=2,I159,(VLOOKUP(A159,ScaledPrice1,7))*(2-(VLOOKUP(A159,ScaledPrice1,3)))),0))</f>
        <v> </v>
      </c>
      <c r="K159" s="317" t="str">
        <f aca="false">IF($A159="N/A"," ",IF(OR(Dayrun1=3,Dayrun1=10),VLOOKUP($A159,ScaledPrice1,9),0))</f>
        <v> </v>
      </c>
      <c r="L159" s="318" t="str">
        <f aca="false">IF($A159="N/A"," ",IF(Pricetype1=2,MAX(C159,0),IF(OR(Pricetype1=1,Pricetype1=4),IF(C159=0,0,(EURO(C159,Strikeprice1,0,0,($AH159+IF(Smile=TRUE(),VLOOKUP(MAX(-5,Strikeprice1-C159),Volsmile,2),0)),($A159-DateToday)+15,IF(Pricetype1=1,1,0),0))),C159)))</f>
        <v> </v>
      </c>
      <c r="M159" s="318" t="str">
        <f aca="false">IF($A159="N/A"," ",IF(Pricetype1=2,MAX(D159,0),IF(OR(Pricetype1=1,Pricetype1=4),IF(D159=0,0,(EURO(D159,Strikeprice1,0,0,($AH159+IF(Smile=TRUE(),VLOOKUP(MAX(-5,Strikeprice1-D159),Volsmile,2),0)),($A159-DateToday)+15,IF(Pricetype1=1,1,0),0))),D159)))</f>
        <v> </v>
      </c>
      <c r="N159" s="318" t="str">
        <f aca="false">IF($A159="N/A"," ",IF(Pricetype1=2,MAX(E159,0),IF(OR(Pricetype1=1,Pricetype1=4),IF(E159=0,0,(EURO(E159,Strikeprice1,0,0,($AK159+IF(Smile=TRUE(),VLOOKUP(MAX(-5,Strikeprice1-E159),Volsmile,2),0)),($A159-DateToday)+15,IF(Pricetype1=1,1,0),0))),E159)))</f>
        <v> </v>
      </c>
      <c r="O159" s="318" t="str">
        <f aca="false">IF($A159="N/A"," ",IF(Pricetype1=2,MAX(F159,0),IF(OR(Pricetype1=1,Pricetype1=4),IF(F159=0,0,(EURO(F159,Strikeprice1,0,0,($AK159+IF(Smile=TRUE(),VLOOKUP(MAX(-5,Strikeprice1-F159),Volsmile,2),0)),($A159-DateToday)+15,IF(Pricetype1=1,1,0),0))),F159)))</f>
        <v> </v>
      </c>
      <c r="P159" s="318" t="str">
        <f aca="false">IF($A159="N/A"," ",IF(Pricetype1=2,MAX(G159,0),IF(OR(Pricetype1=1,Pricetype1=4),IF(G159=0,0,(EURO(G159,Strikeprice1,0,0,($AK159+IF(Smile=TRUE(),VLOOKUP(MAX(-5,Strikeprice1-G159),Volsmile,2),0)),($A159-DateToday)+15,IF(Pricetype1=1,1,0),0))),G159)))</f>
        <v> </v>
      </c>
      <c r="Q159" s="318" t="str">
        <f aca="false">IF($A159="N/A"," ",IF(Pricetype1=2,MAX(H159,0),IF(OR(Pricetype1=1,Pricetype1=4),IF(H159=0,0,(EURO(H159,Strikeprice1,0,0,($AK159+IF(Smile=TRUE(),VLOOKUP(MAX(-5,Strikeprice1-H159),Volsmile,2),0)),($A159-DateToday)+15,IF(Pricetype1=1,1,0),0))),H159)))</f>
        <v> </v>
      </c>
      <c r="R159" s="318" t="str">
        <f aca="false">IF($A159="N/A"," ",IF(Pricetype1=2,MAX(I159,0),IF(OR(Pricetype1=1,Pricetype1=4),IF(I159=0,0,(EURO(I159,Strikeprice1,0,0,($AK159+IF(Smile=TRUE(),VLOOKUP(MAX(-5,Strikeprice1-I159),Volsmile,2),0)),($A159-DateToday)+15,IF(Pricetype1=1,1,0),0))),I159)))</f>
        <v> </v>
      </c>
      <c r="S159" s="318" t="str">
        <f aca="false">IF($A159="N/A"," ",IF(Pricetype1=2,MAX(J159,0),IF(OR(Pricetype1=1,Pricetype1=4),IF(J159=0,0,(EURO(J159,Strikeprice1,0,0,($AK159+IF(Smile=TRUE(),VLOOKUP(MAX(-5,Strikeprice1-J159),Volsmile,2),0)),($A159-DateToday)+15,IF(Pricetype1=1,1,0),0))),J159)))</f>
        <v> </v>
      </c>
      <c r="T159" s="318" t="str">
        <f aca="false">IF($A159="N/A"," ",IF(Pricetype1=2,MAX(K159,0),IF(OR(Pricetype1=1,Pricetype1=4),IF(K159=0,0,(EURO(K159,Strikeprice1,0,0,($AK159+IF(Smile=TRUE(),VLOOKUP(MAX(-5,Strikeprice1-K159),Volsmile,2),0)),($A159-DateToday)+15,IF(Pricetype1=1,1,0),0))),K159)))</f>
        <v> </v>
      </c>
      <c r="U159" s="319" t="str">
        <f aca="false">IF($A159="N/A"," ",Volume1*$AM159)</f>
        <v> </v>
      </c>
      <c r="V159" s="320" t="str">
        <f aca="false">IF($A159="N/A"," ",$U159*(8*($BQ159))*L159)</f>
        <v> </v>
      </c>
      <c r="W159" s="320" t="str">
        <f aca="false">IF($A159="N/A"," ",$U159*(8*($BQ159))*M159)</f>
        <v> </v>
      </c>
      <c r="X159" s="320" t="str">
        <f aca="false">IF($A159="N/A"," ",$U159*(8*($BQ159))*N159)</f>
        <v> </v>
      </c>
      <c r="Y159" s="320" t="str">
        <f aca="false">IF($A159="N/A"," ",$U159*(8*($BR159))*O159)</f>
        <v> </v>
      </c>
      <c r="Z159" s="320" t="str">
        <f aca="false">IF($A159="N/A"," ",$U159*(8*($BR159))*P159)</f>
        <v> </v>
      </c>
      <c r="AA159" s="320" t="str">
        <f aca="false">IF($A159="N/A"," ",$U159*(8*($BR159))*Q159)</f>
        <v> </v>
      </c>
      <c r="AB159" s="320" t="str">
        <f aca="false">IF($A159="N/A"," ",$U159*(8*($BS159))*R159)</f>
        <v> </v>
      </c>
      <c r="AC159" s="320" t="str">
        <f aca="false">IF($A159="N/A"," ",$U159*(8*($BS159))*S159)</f>
        <v> </v>
      </c>
      <c r="AD159" s="320" t="str">
        <f aca="false">IF($A159="N/A"," ",$U159*(8*($BS159))*T159)</f>
        <v> </v>
      </c>
      <c r="AE159" s="320" t="str">
        <f aca="false">IF($A159="N/A"," ",SUM(V159:AD159))</f>
        <v> </v>
      </c>
      <c r="AF159" s="321" t="str">
        <f aca="false">IF(A159="N/A"," ",(VLOOKUP(A159,PowerVolTable,(IF(VolBMO1=2,7,IF(VolBMO1=1,6,8))),FALSE())))</f>
        <v> </v>
      </c>
      <c r="AG159" s="321" t="str">
        <f aca="false">IF(A159="N/A"," ",(VLOOKUP(A159,IntraPowerVol,(IF(VolBMO1=2,3,IF(VolBMO1=1,2,4))),FALSE())*VLOOKUP(MONTH($A159),Volscale,2)))</f>
        <v> </v>
      </c>
      <c r="AH159" s="321" t="str">
        <f aca="false">IF($A159="N/A"," ",IF(VolType1=1,AG159,AF159))</f>
        <v> </v>
      </c>
      <c r="AI159" s="321" t="str">
        <f aca="false">IF($A159="N/A"," ",(VLOOKUP($A159,OffPwrVolTable,(IF(VolBMO1=2,7,IF(VolBMO1=1,6,8))),FALSE())))</f>
        <v> </v>
      </c>
      <c r="AJ159" s="321" t="str">
        <f aca="false">IF($A159="N/A"," ",(VLOOKUP($A159,OffPwrVolTable,(IF(VolBMO1=2,3,IF(VolBMO1=1,2,4))),FALSE())*VLOOKUP(MONTH($A159),Volscale,2)))</f>
        <v> </v>
      </c>
      <c r="AK159" s="321" t="str">
        <f aca="false">IF($A159="N/A"," ",IF(VolType1=1,AJ159,AI159))</f>
        <v> </v>
      </c>
      <c r="AL159" s="321" t="str">
        <f aca="false">IF($A159="N/A"," ",IF(PV=1,0,'Pricing Inputs1'!R192))</f>
        <v> </v>
      </c>
      <c r="AM159" s="323" t="str">
        <f aca="false">IF($A159="N/A"," ",(1+AL159/2)^(-2*((EOMONTH(A159,0)+20)-DateToday)/365.25))</f>
        <v> </v>
      </c>
      <c r="BQ159" s="0" t="str">
        <f aca="false">IF($A159="N/A"," ",(VLOOKUP($A159,NumberofDaysTable,2)))</f>
        <v> </v>
      </c>
      <c r="BR159" s="0" t="str">
        <f aca="false">IF($A159="N/A"," ",(VLOOKUP($A159,NumberofDaysTable,3)))</f>
        <v> </v>
      </c>
      <c r="BS159" s="0" t="str">
        <f aca="false">IF($A159="N/A"," ",(VLOOKUP($A159,NumberofDaysTable,4)))</f>
        <v> </v>
      </c>
    </row>
    <row r="160" customFormat="false" ht="12.75" hidden="false" customHeight="false" outlineLevel="0" collapsed="false">
      <c r="A160" s="315" t="str">
        <f aca="false">IF(A159="N/A","N/A",IF(EDATE(A159,1)&gt;Inputs!$M$5,"N/A",EDATE(A159,1)))</f>
        <v>N/A</v>
      </c>
      <c r="B160" s="316" t="str">
        <f aca="false">IF(A160="N/A"," ",YEAR(A160))</f>
        <v> </v>
      </c>
      <c r="C160" s="324" t="str">
        <f aca="false">IF($A160="N/A"," ",IF(Dayrun1=10,0,IF(Scaler1=1,(VLOOKUP(A160,ScaledPrice1,4)),(VLOOKUP(A160,ScaledPrice1,2)))))</f>
        <v> </v>
      </c>
      <c r="D160" s="317" t="str">
        <f aca="false">IF(A160="N/A"," ",IF(Dayrun1&gt;=7,0,IF(Scaler1=2,VLOOKUP(A160,ScaledPrice1,2),(VLOOKUP(A160,ScaledPrice1,2))*(2-(VLOOKUP(A160,ScaledPrice1,3))))))</f>
        <v> </v>
      </c>
      <c r="E160" s="317" t="str">
        <f aca="false">IF($A160="N/A"," ",IF(AND(Dayrun1&gt;=4,Dayrun1&lt;=9),0,VLOOKUP($A160,ScaledPrice1,9)))</f>
        <v> </v>
      </c>
      <c r="F160" s="317" t="str">
        <f aca="false">IF(A160="N/A"," ",IF(OR(Dayrun1=2,Dayrun1=3,Dayrun1=5,Dayrun1=6,Dayrun1=8,Dayrun1=9),VLOOKUP(A160,ScaledPrice1,IF(Scaler1=1,6,5)),0))</f>
        <v> </v>
      </c>
      <c r="G160" s="317" t="str">
        <f aca="false">IF(A160="N/A"," ",IF(OR(Dayrun1=2,Dayrun1=3,Dayrun1=5,Dayrun1=6),IF(Scaler1=2,F160,(VLOOKUP(A160,ScaledPrice1,5))*(2-(VLOOKUP(A160,ScaledPrice1,3)))),0))</f>
        <v> </v>
      </c>
      <c r="H160" s="317" t="str">
        <f aca="false">IF($A160="N/A"," ",IF(OR(Dayrun1=2,Dayrun1=3,Dayrun1=10),VLOOKUP($A160,ScaledPrice1,9),0))</f>
        <v> </v>
      </c>
      <c r="I160" s="317" t="str">
        <f aca="false">IF(A160="N/A"," ",IF(OR(Dayrun1=3,Dayrun1=6,Dayrun1=9),(VLOOKUP(A160,ScaledPrice1,IF(Scaler1=2,7,8))),0))</f>
        <v> </v>
      </c>
      <c r="J160" s="317" t="str">
        <f aca="false">IF(A160="N/A"," ",IF(OR(Dayrun1=3,Dayrun1=6),IF(Scaler1=2,I160,(VLOOKUP(A160,ScaledPrice1,7))*(2-(VLOOKUP(A160,ScaledPrice1,3)))),0))</f>
        <v> </v>
      </c>
      <c r="K160" s="317" t="str">
        <f aca="false">IF($A160="N/A"," ",IF(OR(Dayrun1=3,Dayrun1=10),VLOOKUP($A160,ScaledPrice1,9),0))</f>
        <v> </v>
      </c>
      <c r="L160" s="318" t="str">
        <f aca="false">IF($A160="N/A"," ",IF(Pricetype1=2,MAX(C160,0),IF(OR(Pricetype1=1,Pricetype1=4),IF(C160=0,0,(EURO(C160,Strikeprice1,0,0,($AH160+IF(Smile=TRUE(),VLOOKUP(MAX(-5,Strikeprice1-C160),Volsmile,2),0)),($A160-DateToday)+15,IF(Pricetype1=1,1,0),0))),C160)))</f>
        <v> </v>
      </c>
      <c r="M160" s="318" t="str">
        <f aca="false">IF($A160="N/A"," ",IF(Pricetype1=2,MAX(D160,0),IF(OR(Pricetype1=1,Pricetype1=4),IF(D160=0,0,(EURO(D160,Strikeprice1,0,0,($AH160+IF(Smile=TRUE(),VLOOKUP(MAX(-5,Strikeprice1-D160),Volsmile,2),0)),($A160-DateToday)+15,IF(Pricetype1=1,1,0),0))),D160)))</f>
        <v> </v>
      </c>
      <c r="N160" s="318" t="str">
        <f aca="false">IF($A160="N/A"," ",IF(Pricetype1=2,MAX(E160,0),IF(OR(Pricetype1=1,Pricetype1=4),IF(E160=0,0,(EURO(E160,Strikeprice1,0,0,($AK160+IF(Smile=TRUE(),VLOOKUP(MAX(-5,Strikeprice1-E160),Volsmile,2),0)),($A160-DateToday)+15,IF(Pricetype1=1,1,0),0))),E160)))</f>
        <v> </v>
      </c>
      <c r="O160" s="318" t="str">
        <f aca="false">IF($A160="N/A"," ",IF(Pricetype1=2,MAX(F160,0),IF(OR(Pricetype1=1,Pricetype1=4),IF(F160=0,0,(EURO(F160,Strikeprice1,0,0,($AK160+IF(Smile=TRUE(),VLOOKUP(MAX(-5,Strikeprice1-F160),Volsmile,2),0)),($A160-DateToday)+15,IF(Pricetype1=1,1,0),0))),F160)))</f>
        <v> </v>
      </c>
      <c r="P160" s="318" t="str">
        <f aca="false">IF($A160="N/A"," ",IF(Pricetype1=2,MAX(G160,0),IF(OR(Pricetype1=1,Pricetype1=4),IF(G160=0,0,(EURO(G160,Strikeprice1,0,0,($AK160+IF(Smile=TRUE(),VLOOKUP(MAX(-5,Strikeprice1-G160),Volsmile,2),0)),($A160-DateToday)+15,IF(Pricetype1=1,1,0),0))),G160)))</f>
        <v> </v>
      </c>
      <c r="Q160" s="318" t="str">
        <f aca="false">IF($A160="N/A"," ",IF(Pricetype1=2,MAX(H160,0),IF(OR(Pricetype1=1,Pricetype1=4),IF(H160=0,0,(EURO(H160,Strikeprice1,0,0,($AK160+IF(Smile=TRUE(),VLOOKUP(MAX(-5,Strikeprice1-H160),Volsmile,2),0)),($A160-DateToday)+15,IF(Pricetype1=1,1,0),0))),H160)))</f>
        <v> </v>
      </c>
      <c r="R160" s="318" t="str">
        <f aca="false">IF($A160="N/A"," ",IF(Pricetype1=2,MAX(I160,0),IF(OR(Pricetype1=1,Pricetype1=4),IF(I160=0,0,(EURO(I160,Strikeprice1,0,0,($AK160+IF(Smile=TRUE(),VLOOKUP(MAX(-5,Strikeprice1-I160),Volsmile,2),0)),($A160-DateToday)+15,IF(Pricetype1=1,1,0),0))),I160)))</f>
        <v> </v>
      </c>
      <c r="S160" s="318" t="str">
        <f aca="false">IF($A160="N/A"," ",IF(Pricetype1=2,MAX(J160,0),IF(OR(Pricetype1=1,Pricetype1=4),IF(J160=0,0,(EURO(J160,Strikeprice1,0,0,($AK160+IF(Smile=TRUE(),VLOOKUP(MAX(-5,Strikeprice1-J160),Volsmile,2),0)),($A160-DateToday)+15,IF(Pricetype1=1,1,0),0))),J160)))</f>
        <v> </v>
      </c>
      <c r="T160" s="318" t="str">
        <f aca="false">IF($A160="N/A"," ",IF(Pricetype1=2,MAX(K160,0),IF(OR(Pricetype1=1,Pricetype1=4),IF(K160=0,0,(EURO(K160,Strikeprice1,0,0,($AK160+IF(Smile=TRUE(),VLOOKUP(MAX(-5,Strikeprice1-K160),Volsmile,2),0)),($A160-DateToday)+15,IF(Pricetype1=1,1,0),0))),K160)))</f>
        <v> </v>
      </c>
      <c r="U160" s="319" t="str">
        <f aca="false">IF($A160="N/A"," ",Volume1*$AM160)</f>
        <v> </v>
      </c>
      <c r="V160" s="320" t="str">
        <f aca="false">IF($A160="N/A"," ",$U160*(8*($BQ160))*L160)</f>
        <v> </v>
      </c>
      <c r="W160" s="320" t="str">
        <f aca="false">IF($A160="N/A"," ",$U160*(8*($BQ160))*M160)</f>
        <v> </v>
      </c>
      <c r="X160" s="320" t="str">
        <f aca="false">IF($A160="N/A"," ",$U160*(8*($BQ160))*N160)</f>
        <v> </v>
      </c>
      <c r="Y160" s="320" t="str">
        <f aca="false">IF($A160="N/A"," ",$U160*(8*($BR160))*O160)</f>
        <v> </v>
      </c>
      <c r="Z160" s="320" t="str">
        <f aca="false">IF($A160="N/A"," ",$U160*(8*($BR160))*P160)</f>
        <v> </v>
      </c>
      <c r="AA160" s="320" t="str">
        <f aca="false">IF($A160="N/A"," ",$U160*(8*($BR160))*Q160)</f>
        <v> </v>
      </c>
      <c r="AB160" s="320" t="str">
        <f aca="false">IF($A160="N/A"," ",$U160*(8*($BS160))*R160)</f>
        <v> </v>
      </c>
      <c r="AC160" s="320" t="str">
        <f aca="false">IF($A160="N/A"," ",$U160*(8*($BS160))*S160)</f>
        <v> </v>
      </c>
      <c r="AD160" s="320" t="str">
        <f aca="false">IF($A160="N/A"," ",$U160*(8*($BS160))*T160)</f>
        <v> </v>
      </c>
      <c r="AE160" s="320" t="str">
        <f aca="false">IF($A160="N/A"," ",SUM(V160:AD160))</f>
        <v> </v>
      </c>
      <c r="AF160" s="321" t="str">
        <f aca="false">IF(A160="N/A"," ",(VLOOKUP(A160,PowerVolTable,(IF(VolBMO1=2,7,IF(VolBMO1=1,6,8))),FALSE())))</f>
        <v> </v>
      </c>
      <c r="AG160" s="321" t="str">
        <f aca="false">IF(A160="N/A"," ",(VLOOKUP(A160,IntraPowerVol,(IF(VolBMO1=2,3,IF(VolBMO1=1,2,4))),FALSE())*VLOOKUP(MONTH($A160),Volscale,2)))</f>
        <v> </v>
      </c>
      <c r="AH160" s="321" t="str">
        <f aca="false">IF($A160="N/A"," ",IF(VolType1=1,AG160,AF160))</f>
        <v> </v>
      </c>
      <c r="AI160" s="321" t="str">
        <f aca="false">IF($A160="N/A"," ",(VLOOKUP($A160,OffPwrVolTable,(IF(VolBMO1=2,7,IF(VolBMO1=1,6,8))),FALSE())))</f>
        <v> </v>
      </c>
      <c r="AJ160" s="321" t="str">
        <f aca="false">IF($A160="N/A"," ",(VLOOKUP($A160,OffPwrVolTable,(IF(VolBMO1=2,3,IF(VolBMO1=1,2,4))),FALSE())*VLOOKUP(MONTH($A160),Volscale,2)))</f>
        <v> </v>
      </c>
      <c r="AK160" s="321" t="str">
        <f aca="false">IF($A160="N/A"," ",IF(VolType1=1,AJ160,AI160))</f>
        <v> </v>
      </c>
      <c r="AL160" s="321" t="str">
        <f aca="false">IF($A160="N/A"," ",IF(PV=1,0,'Pricing Inputs1'!R193))</f>
        <v> </v>
      </c>
      <c r="AM160" s="323" t="str">
        <f aca="false">IF($A160="N/A"," ",(1+AL160/2)^(-2*((EOMONTH(A160,0)+20)-DateToday)/365.25))</f>
        <v> </v>
      </c>
      <c r="BQ160" s="0" t="str">
        <f aca="false">IF($A160="N/A"," ",(VLOOKUP($A160,NumberofDaysTable,2)))</f>
        <v> </v>
      </c>
      <c r="BR160" s="0" t="str">
        <f aca="false">IF($A160="N/A"," ",(VLOOKUP($A160,NumberofDaysTable,3)))</f>
        <v> </v>
      </c>
      <c r="BS160" s="0" t="str">
        <f aca="false">IF($A160="N/A"," ",(VLOOKUP($A160,NumberofDaysTable,4)))</f>
        <v> </v>
      </c>
    </row>
    <row r="161" customFormat="false" ht="12.75" hidden="false" customHeight="false" outlineLevel="0" collapsed="false">
      <c r="A161" s="315" t="str">
        <f aca="false">IF(A160="N/A","N/A",IF(EDATE(A160,1)&gt;Inputs!$M$5,"N/A",EDATE(A160,1)))</f>
        <v>N/A</v>
      </c>
      <c r="B161" s="316" t="str">
        <f aca="false">IF(A161="N/A"," ",YEAR(A161))</f>
        <v> </v>
      </c>
      <c r="C161" s="324" t="str">
        <f aca="false">IF($A161="N/A"," ",IF(Dayrun1=10,0,IF(Scaler1=1,(VLOOKUP(A161,ScaledPrice1,4)),(VLOOKUP(A161,ScaledPrice1,2)))))</f>
        <v> </v>
      </c>
      <c r="D161" s="317" t="str">
        <f aca="false">IF(A161="N/A"," ",IF(Dayrun1&gt;=7,0,IF(Scaler1=2,VLOOKUP(A161,ScaledPrice1,2),(VLOOKUP(A161,ScaledPrice1,2))*(2-(VLOOKUP(A161,ScaledPrice1,3))))))</f>
        <v> </v>
      </c>
      <c r="E161" s="317" t="str">
        <f aca="false">IF($A161="N/A"," ",IF(AND(Dayrun1&gt;=4,Dayrun1&lt;=9),0,VLOOKUP($A161,ScaledPrice1,9)))</f>
        <v> </v>
      </c>
      <c r="F161" s="317" t="str">
        <f aca="false">IF(A161="N/A"," ",IF(OR(Dayrun1=2,Dayrun1=3,Dayrun1=5,Dayrun1=6,Dayrun1=8,Dayrun1=9),VLOOKUP(A161,ScaledPrice1,IF(Scaler1=1,6,5)),0))</f>
        <v> </v>
      </c>
      <c r="G161" s="317" t="str">
        <f aca="false">IF(A161="N/A"," ",IF(OR(Dayrun1=2,Dayrun1=3,Dayrun1=5,Dayrun1=6),IF(Scaler1=2,F161,(VLOOKUP(A161,ScaledPrice1,5))*(2-(VLOOKUP(A161,ScaledPrice1,3)))),0))</f>
        <v> </v>
      </c>
      <c r="H161" s="317" t="str">
        <f aca="false">IF($A161="N/A"," ",IF(OR(Dayrun1=2,Dayrun1=3,Dayrun1=10),VLOOKUP($A161,ScaledPrice1,9),0))</f>
        <v> </v>
      </c>
      <c r="I161" s="317" t="str">
        <f aca="false">IF(A161="N/A"," ",IF(OR(Dayrun1=3,Dayrun1=6,Dayrun1=9),(VLOOKUP(A161,ScaledPrice1,IF(Scaler1=2,7,8))),0))</f>
        <v> </v>
      </c>
      <c r="J161" s="317" t="str">
        <f aca="false">IF(A161="N/A"," ",IF(OR(Dayrun1=3,Dayrun1=6),IF(Scaler1=2,I161,(VLOOKUP(A161,ScaledPrice1,7))*(2-(VLOOKUP(A161,ScaledPrice1,3)))),0))</f>
        <v> </v>
      </c>
      <c r="K161" s="317" t="str">
        <f aca="false">IF($A161="N/A"," ",IF(OR(Dayrun1=3,Dayrun1=10),VLOOKUP($A161,ScaledPrice1,9),0))</f>
        <v> </v>
      </c>
      <c r="L161" s="318" t="str">
        <f aca="false">IF($A161="N/A"," ",IF(Pricetype1=2,MAX(C161,0),IF(OR(Pricetype1=1,Pricetype1=4),IF(C161=0,0,(EURO(C161,Strikeprice1,0,0,($AH161+IF(Smile=TRUE(),VLOOKUP(MAX(-5,Strikeprice1-C161),Volsmile,2),0)),($A161-DateToday)+15,IF(Pricetype1=1,1,0),0))),C161)))</f>
        <v> </v>
      </c>
      <c r="M161" s="318" t="str">
        <f aca="false">IF($A161="N/A"," ",IF(Pricetype1=2,MAX(D161,0),IF(OR(Pricetype1=1,Pricetype1=4),IF(D161=0,0,(EURO(D161,Strikeprice1,0,0,($AH161+IF(Smile=TRUE(),VLOOKUP(MAX(-5,Strikeprice1-D161),Volsmile,2),0)),($A161-DateToday)+15,IF(Pricetype1=1,1,0),0))),D161)))</f>
        <v> </v>
      </c>
      <c r="N161" s="318" t="str">
        <f aca="false">IF($A161="N/A"," ",IF(Pricetype1=2,MAX(E161,0),IF(OR(Pricetype1=1,Pricetype1=4),IF(E161=0,0,(EURO(E161,Strikeprice1,0,0,($AK161+IF(Smile=TRUE(),VLOOKUP(MAX(-5,Strikeprice1-E161),Volsmile,2),0)),($A161-DateToday)+15,IF(Pricetype1=1,1,0),0))),E161)))</f>
        <v> </v>
      </c>
      <c r="O161" s="318" t="str">
        <f aca="false">IF($A161="N/A"," ",IF(Pricetype1=2,MAX(F161,0),IF(OR(Pricetype1=1,Pricetype1=4),IF(F161=0,0,(EURO(F161,Strikeprice1,0,0,($AK161+IF(Smile=TRUE(),VLOOKUP(MAX(-5,Strikeprice1-F161),Volsmile,2),0)),($A161-DateToday)+15,IF(Pricetype1=1,1,0),0))),F161)))</f>
        <v> </v>
      </c>
      <c r="P161" s="318" t="str">
        <f aca="false">IF($A161="N/A"," ",IF(Pricetype1=2,MAX(G161,0),IF(OR(Pricetype1=1,Pricetype1=4),IF(G161=0,0,(EURO(G161,Strikeprice1,0,0,($AK161+IF(Smile=TRUE(),VLOOKUP(MAX(-5,Strikeprice1-G161),Volsmile,2),0)),($A161-DateToday)+15,IF(Pricetype1=1,1,0),0))),G161)))</f>
        <v> </v>
      </c>
      <c r="Q161" s="318" t="str">
        <f aca="false">IF($A161="N/A"," ",IF(Pricetype1=2,MAX(H161,0),IF(OR(Pricetype1=1,Pricetype1=4),IF(H161=0,0,(EURO(H161,Strikeprice1,0,0,($AK161+IF(Smile=TRUE(),VLOOKUP(MAX(-5,Strikeprice1-H161),Volsmile,2),0)),($A161-DateToday)+15,IF(Pricetype1=1,1,0),0))),H161)))</f>
        <v> </v>
      </c>
      <c r="R161" s="318" t="str">
        <f aca="false">IF($A161="N/A"," ",IF(Pricetype1=2,MAX(I161,0),IF(OR(Pricetype1=1,Pricetype1=4),IF(I161=0,0,(EURO(I161,Strikeprice1,0,0,($AK161+IF(Smile=TRUE(),VLOOKUP(MAX(-5,Strikeprice1-I161),Volsmile,2),0)),($A161-DateToday)+15,IF(Pricetype1=1,1,0),0))),I161)))</f>
        <v> </v>
      </c>
      <c r="S161" s="318" t="str">
        <f aca="false">IF($A161="N/A"," ",IF(Pricetype1=2,MAX(J161,0),IF(OR(Pricetype1=1,Pricetype1=4),IF(J161=0,0,(EURO(J161,Strikeprice1,0,0,($AK161+IF(Smile=TRUE(),VLOOKUP(MAX(-5,Strikeprice1-J161),Volsmile,2),0)),($A161-DateToday)+15,IF(Pricetype1=1,1,0),0))),J161)))</f>
        <v> </v>
      </c>
      <c r="T161" s="318" t="str">
        <f aca="false">IF($A161="N/A"," ",IF(Pricetype1=2,MAX(K161,0),IF(OR(Pricetype1=1,Pricetype1=4),IF(K161=0,0,(EURO(K161,Strikeprice1,0,0,($AK161+IF(Smile=TRUE(),VLOOKUP(MAX(-5,Strikeprice1-K161),Volsmile,2),0)),($A161-DateToday)+15,IF(Pricetype1=1,1,0),0))),K161)))</f>
        <v> </v>
      </c>
      <c r="U161" s="319" t="str">
        <f aca="false">IF($A161="N/A"," ",Volume1*$AM161)</f>
        <v> </v>
      </c>
      <c r="V161" s="320" t="str">
        <f aca="false">IF($A161="N/A"," ",$U161*(8*($BQ161))*L161)</f>
        <v> </v>
      </c>
      <c r="W161" s="320" t="str">
        <f aca="false">IF($A161="N/A"," ",$U161*(8*($BQ161))*M161)</f>
        <v> </v>
      </c>
      <c r="X161" s="320" t="str">
        <f aca="false">IF($A161="N/A"," ",$U161*(8*($BQ161))*N161)</f>
        <v> </v>
      </c>
      <c r="Y161" s="320" t="str">
        <f aca="false">IF($A161="N/A"," ",$U161*(8*($BR161))*O161)</f>
        <v> </v>
      </c>
      <c r="Z161" s="320" t="str">
        <f aca="false">IF($A161="N/A"," ",$U161*(8*($BR161))*P161)</f>
        <v> </v>
      </c>
      <c r="AA161" s="320" t="str">
        <f aca="false">IF($A161="N/A"," ",$U161*(8*($BR161))*Q161)</f>
        <v> </v>
      </c>
      <c r="AB161" s="320" t="str">
        <f aca="false">IF($A161="N/A"," ",$U161*(8*($BS161))*R161)</f>
        <v> </v>
      </c>
      <c r="AC161" s="320" t="str">
        <f aca="false">IF($A161="N/A"," ",$U161*(8*($BS161))*S161)</f>
        <v> </v>
      </c>
      <c r="AD161" s="320" t="str">
        <f aca="false">IF($A161="N/A"," ",$U161*(8*($BS161))*T161)</f>
        <v> </v>
      </c>
      <c r="AE161" s="320" t="str">
        <f aca="false">IF($A161="N/A"," ",SUM(V161:AD161))</f>
        <v> </v>
      </c>
      <c r="AF161" s="321" t="str">
        <f aca="false">IF(A161="N/A"," ",(VLOOKUP(A161,PowerVolTable,(IF(VolBMO1=2,7,IF(VolBMO1=1,6,8))),FALSE())))</f>
        <v> </v>
      </c>
      <c r="AG161" s="321" t="str">
        <f aca="false">IF(A161="N/A"," ",(VLOOKUP(A161,IntraPowerVol,(IF(VolBMO1=2,3,IF(VolBMO1=1,2,4))),FALSE())*VLOOKUP(MONTH($A161),Volscale,2)))</f>
        <v> </v>
      </c>
      <c r="AH161" s="321" t="str">
        <f aca="false">IF($A161="N/A"," ",IF(VolType1=1,AG161,AF161))</f>
        <v> </v>
      </c>
      <c r="AI161" s="321" t="str">
        <f aca="false">IF($A161="N/A"," ",(VLOOKUP($A161,OffPwrVolTable,(IF(VolBMO1=2,7,IF(VolBMO1=1,6,8))),FALSE())))</f>
        <v> </v>
      </c>
      <c r="AJ161" s="321" t="str">
        <f aca="false">IF($A161="N/A"," ",(VLOOKUP($A161,OffPwrVolTable,(IF(VolBMO1=2,3,IF(VolBMO1=1,2,4))),FALSE())*VLOOKUP(MONTH($A161),Volscale,2)))</f>
        <v> </v>
      </c>
      <c r="AK161" s="321" t="str">
        <f aca="false">IF($A161="N/A"," ",IF(VolType1=1,AJ161,AI161))</f>
        <v> </v>
      </c>
      <c r="AL161" s="321" t="str">
        <f aca="false">IF($A161="N/A"," ",IF(PV=1,0,'Pricing Inputs1'!R194))</f>
        <v> </v>
      </c>
      <c r="AM161" s="323" t="str">
        <f aca="false">IF($A161="N/A"," ",(1+AL161/2)^(-2*((EOMONTH(A161,0)+20)-DateToday)/365.25))</f>
        <v> </v>
      </c>
      <c r="BQ161" s="0" t="str">
        <f aca="false">IF($A161="N/A"," ",(VLOOKUP($A161,NumberofDaysTable,2)))</f>
        <v> </v>
      </c>
      <c r="BR161" s="0" t="str">
        <f aca="false">IF($A161="N/A"," ",(VLOOKUP($A161,NumberofDaysTable,3)))</f>
        <v> </v>
      </c>
      <c r="BS161" s="0" t="str">
        <f aca="false">IF($A161="N/A"," ",(VLOOKUP($A161,NumberofDaysTable,4)))</f>
        <v> </v>
      </c>
    </row>
    <row r="162" customFormat="false" ht="12.75" hidden="false" customHeight="false" outlineLevel="0" collapsed="false">
      <c r="A162" s="315" t="str">
        <f aca="false">IF(A161="N/A","N/A",IF(EDATE(A161,1)&gt;Inputs!$M$5,"N/A",EDATE(A161,1)))</f>
        <v>N/A</v>
      </c>
      <c r="B162" s="316" t="str">
        <f aca="false">IF(A162="N/A"," ",YEAR(A162))</f>
        <v> </v>
      </c>
      <c r="C162" s="324" t="str">
        <f aca="false">IF($A162="N/A"," ",IF(Dayrun1=10,0,IF(Scaler1=1,(VLOOKUP(A162,ScaledPrice1,4)),(VLOOKUP(A162,ScaledPrice1,2)))))</f>
        <v> </v>
      </c>
      <c r="D162" s="317" t="str">
        <f aca="false">IF(A162="N/A"," ",IF(Dayrun1&gt;=7,0,IF(Scaler1=2,VLOOKUP(A162,ScaledPrice1,2),(VLOOKUP(A162,ScaledPrice1,2))*(2-(VLOOKUP(A162,ScaledPrice1,3))))))</f>
        <v> </v>
      </c>
      <c r="E162" s="317" t="str">
        <f aca="false">IF($A162="N/A"," ",IF(AND(Dayrun1&gt;=4,Dayrun1&lt;=9),0,VLOOKUP($A162,ScaledPrice1,9)))</f>
        <v> </v>
      </c>
      <c r="F162" s="317" t="str">
        <f aca="false">IF(A162="N/A"," ",IF(OR(Dayrun1=2,Dayrun1=3,Dayrun1=5,Dayrun1=6,Dayrun1=8,Dayrun1=9),VLOOKUP(A162,ScaledPrice1,IF(Scaler1=1,6,5)),0))</f>
        <v> </v>
      </c>
      <c r="G162" s="317" t="str">
        <f aca="false">IF(A162="N/A"," ",IF(OR(Dayrun1=2,Dayrun1=3,Dayrun1=5,Dayrun1=6),IF(Scaler1=2,F162,(VLOOKUP(A162,ScaledPrice1,5))*(2-(VLOOKUP(A162,ScaledPrice1,3)))),0))</f>
        <v> </v>
      </c>
      <c r="H162" s="317" t="str">
        <f aca="false">IF($A162="N/A"," ",IF(OR(Dayrun1=2,Dayrun1=3,Dayrun1=10),VLOOKUP($A162,ScaledPrice1,9),0))</f>
        <v> </v>
      </c>
      <c r="I162" s="317" t="str">
        <f aca="false">IF(A162="N/A"," ",IF(OR(Dayrun1=3,Dayrun1=6,Dayrun1=9),(VLOOKUP(A162,ScaledPrice1,IF(Scaler1=2,7,8))),0))</f>
        <v> </v>
      </c>
      <c r="J162" s="317" t="str">
        <f aca="false">IF(A162="N/A"," ",IF(OR(Dayrun1=3,Dayrun1=6),IF(Scaler1=2,I162,(VLOOKUP(A162,ScaledPrice1,7))*(2-(VLOOKUP(A162,ScaledPrice1,3)))),0))</f>
        <v> </v>
      </c>
      <c r="K162" s="317" t="str">
        <f aca="false">IF($A162="N/A"," ",IF(OR(Dayrun1=3,Dayrun1=10),VLOOKUP($A162,ScaledPrice1,9),0))</f>
        <v> </v>
      </c>
      <c r="L162" s="318" t="str">
        <f aca="false">IF($A162="N/A"," ",IF(Pricetype1=2,MAX(C162,0),IF(OR(Pricetype1=1,Pricetype1=4),IF(C162=0,0,(EURO(C162,Strikeprice1,0,0,($AH162+IF(Smile=TRUE(),VLOOKUP(MAX(-5,Strikeprice1-C162),Volsmile,2),0)),($A162-DateToday)+15,IF(Pricetype1=1,1,0),0))),C162)))</f>
        <v> </v>
      </c>
      <c r="M162" s="318" t="str">
        <f aca="false">IF($A162="N/A"," ",IF(Pricetype1=2,MAX(D162,0),IF(OR(Pricetype1=1,Pricetype1=4),IF(D162=0,0,(EURO(D162,Strikeprice1,0,0,($AH162+IF(Smile=TRUE(),VLOOKUP(MAX(-5,Strikeprice1-D162),Volsmile,2),0)),($A162-DateToday)+15,IF(Pricetype1=1,1,0),0))),D162)))</f>
        <v> </v>
      </c>
      <c r="N162" s="318" t="str">
        <f aca="false">IF($A162="N/A"," ",IF(Pricetype1=2,MAX(E162,0),IF(OR(Pricetype1=1,Pricetype1=4),IF(E162=0,0,(EURO(E162,Strikeprice1,0,0,($AK162+IF(Smile=TRUE(),VLOOKUP(MAX(-5,Strikeprice1-E162),Volsmile,2),0)),($A162-DateToday)+15,IF(Pricetype1=1,1,0),0))),E162)))</f>
        <v> </v>
      </c>
      <c r="O162" s="318" t="str">
        <f aca="false">IF($A162="N/A"," ",IF(Pricetype1=2,MAX(F162,0),IF(OR(Pricetype1=1,Pricetype1=4),IF(F162=0,0,(EURO(F162,Strikeprice1,0,0,($AK162+IF(Smile=TRUE(),VLOOKUP(MAX(-5,Strikeprice1-F162),Volsmile,2),0)),($A162-DateToday)+15,IF(Pricetype1=1,1,0),0))),F162)))</f>
        <v> </v>
      </c>
      <c r="P162" s="318" t="str">
        <f aca="false">IF($A162="N/A"," ",IF(Pricetype1=2,MAX(G162,0),IF(OR(Pricetype1=1,Pricetype1=4),IF(G162=0,0,(EURO(G162,Strikeprice1,0,0,($AK162+IF(Smile=TRUE(),VLOOKUP(MAX(-5,Strikeprice1-G162),Volsmile,2),0)),($A162-DateToday)+15,IF(Pricetype1=1,1,0),0))),G162)))</f>
        <v> </v>
      </c>
      <c r="Q162" s="318" t="str">
        <f aca="false">IF($A162="N/A"," ",IF(Pricetype1=2,MAX(H162,0),IF(OR(Pricetype1=1,Pricetype1=4),IF(H162=0,0,(EURO(H162,Strikeprice1,0,0,($AK162+IF(Smile=TRUE(),VLOOKUP(MAX(-5,Strikeprice1-H162),Volsmile,2),0)),($A162-DateToday)+15,IF(Pricetype1=1,1,0),0))),H162)))</f>
        <v> </v>
      </c>
      <c r="R162" s="318" t="str">
        <f aca="false">IF($A162="N/A"," ",IF(Pricetype1=2,MAX(I162,0),IF(OR(Pricetype1=1,Pricetype1=4),IF(I162=0,0,(EURO(I162,Strikeprice1,0,0,($AK162+IF(Smile=TRUE(),VLOOKUP(MAX(-5,Strikeprice1-I162),Volsmile,2),0)),($A162-DateToday)+15,IF(Pricetype1=1,1,0),0))),I162)))</f>
        <v> </v>
      </c>
      <c r="S162" s="318" t="str">
        <f aca="false">IF($A162="N/A"," ",IF(Pricetype1=2,MAX(J162,0),IF(OR(Pricetype1=1,Pricetype1=4),IF(J162=0,0,(EURO(J162,Strikeprice1,0,0,($AK162+IF(Smile=TRUE(),VLOOKUP(MAX(-5,Strikeprice1-J162),Volsmile,2),0)),($A162-DateToday)+15,IF(Pricetype1=1,1,0),0))),J162)))</f>
        <v> </v>
      </c>
      <c r="T162" s="318" t="str">
        <f aca="false">IF($A162="N/A"," ",IF(Pricetype1=2,MAX(K162,0),IF(OR(Pricetype1=1,Pricetype1=4),IF(K162=0,0,(EURO(K162,Strikeprice1,0,0,($AK162+IF(Smile=TRUE(),VLOOKUP(MAX(-5,Strikeprice1-K162),Volsmile,2),0)),($A162-DateToday)+15,IF(Pricetype1=1,1,0),0))),K162)))</f>
        <v> </v>
      </c>
      <c r="U162" s="319" t="str">
        <f aca="false">IF($A162="N/A"," ",Volume1*$AM162)</f>
        <v> </v>
      </c>
      <c r="V162" s="320" t="str">
        <f aca="false">IF($A162="N/A"," ",$U162*(8*($BQ162))*L162)</f>
        <v> </v>
      </c>
      <c r="W162" s="320" t="str">
        <f aca="false">IF($A162="N/A"," ",$U162*(8*($BQ162))*M162)</f>
        <v> </v>
      </c>
      <c r="X162" s="320" t="str">
        <f aca="false">IF($A162="N/A"," ",$U162*(8*($BQ162))*N162)</f>
        <v> </v>
      </c>
      <c r="Y162" s="320" t="str">
        <f aca="false">IF($A162="N/A"," ",$U162*(8*($BR162))*O162)</f>
        <v> </v>
      </c>
      <c r="Z162" s="320" t="str">
        <f aca="false">IF($A162="N/A"," ",$U162*(8*($BR162))*P162)</f>
        <v> </v>
      </c>
      <c r="AA162" s="320" t="str">
        <f aca="false">IF($A162="N/A"," ",$U162*(8*($BR162))*Q162)</f>
        <v> </v>
      </c>
      <c r="AB162" s="320" t="str">
        <f aca="false">IF($A162="N/A"," ",$U162*(8*($BS162))*R162)</f>
        <v> </v>
      </c>
      <c r="AC162" s="320" t="str">
        <f aca="false">IF($A162="N/A"," ",$U162*(8*($BS162))*S162)</f>
        <v> </v>
      </c>
      <c r="AD162" s="320" t="str">
        <f aca="false">IF($A162="N/A"," ",$U162*(8*($BS162))*T162)</f>
        <v> </v>
      </c>
      <c r="AE162" s="320" t="str">
        <f aca="false">IF($A162="N/A"," ",SUM(V162:AD162))</f>
        <v> </v>
      </c>
      <c r="AF162" s="321" t="str">
        <f aca="false">IF(A162="N/A"," ",(VLOOKUP(A162,PowerVolTable,(IF(VolBMO1=2,7,IF(VolBMO1=1,6,8))),FALSE())))</f>
        <v> </v>
      </c>
      <c r="AG162" s="321" t="str">
        <f aca="false">IF(A162="N/A"," ",(VLOOKUP(A162,IntraPowerVol,(IF(VolBMO1=2,3,IF(VolBMO1=1,2,4))),FALSE())*VLOOKUP(MONTH($A162),Volscale,2)))</f>
        <v> </v>
      </c>
      <c r="AH162" s="321" t="str">
        <f aca="false">IF($A162="N/A"," ",IF(VolType1=1,AG162,AF162))</f>
        <v> </v>
      </c>
      <c r="AI162" s="321" t="str">
        <f aca="false">IF($A162="N/A"," ",(VLOOKUP($A162,OffPwrVolTable,(IF(VolBMO1=2,7,IF(VolBMO1=1,6,8))),FALSE())))</f>
        <v> </v>
      </c>
      <c r="AJ162" s="321" t="str">
        <f aca="false">IF($A162="N/A"," ",(VLOOKUP($A162,OffPwrVolTable,(IF(VolBMO1=2,3,IF(VolBMO1=1,2,4))),FALSE())*VLOOKUP(MONTH($A162),Volscale,2)))</f>
        <v> </v>
      </c>
      <c r="AK162" s="321" t="str">
        <f aca="false">IF($A162="N/A"," ",IF(VolType1=1,AJ162,AI162))</f>
        <v> </v>
      </c>
      <c r="AL162" s="321" t="str">
        <f aca="false">IF($A162="N/A"," ",IF(PV=1,0,'Pricing Inputs1'!R195))</f>
        <v> </v>
      </c>
      <c r="AM162" s="323" t="str">
        <f aca="false">IF($A162="N/A"," ",(1+AL162/2)^(-2*((EOMONTH(A162,0)+20)-DateToday)/365.25))</f>
        <v> </v>
      </c>
      <c r="BQ162" s="0" t="str">
        <f aca="false">IF($A162="N/A"," ",(VLOOKUP($A162,NumberofDaysTable,2)))</f>
        <v> </v>
      </c>
      <c r="BR162" s="0" t="str">
        <f aca="false">IF($A162="N/A"," ",(VLOOKUP($A162,NumberofDaysTable,3)))</f>
        <v> </v>
      </c>
      <c r="BS162" s="0" t="str">
        <f aca="false">IF($A162="N/A"," ",(VLOOKUP($A162,NumberofDaysTable,4)))</f>
        <v> </v>
      </c>
    </row>
    <row r="163" customFormat="false" ht="12.75" hidden="false" customHeight="false" outlineLevel="0" collapsed="false">
      <c r="A163" s="315" t="str">
        <f aca="false">IF(A162="N/A","N/A",IF(EDATE(A162,1)&gt;Inputs!$M$5,"N/A",EDATE(A162,1)))</f>
        <v>N/A</v>
      </c>
      <c r="B163" s="316" t="str">
        <f aca="false">IF(A163="N/A"," ",YEAR(A163))</f>
        <v> </v>
      </c>
      <c r="C163" s="324" t="str">
        <f aca="false">IF($A163="N/A"," ",IF(Dayrun1=10,0,IF(Scaler1=1,(VLOOKUP(A163,ScaledPrice1,4)),(VLOOKUP(A163,ScaledPrice1,2)))))</f>
        <v> </v>
      </c>
      <c r="D163" s="317" t="str">
        <f aca="false">IF(A163="N/A"," ",IF(Dayrun1&gt;=7,0,IF(Scaler1=2,VLOOKUP(A163,ScaledPrice1,2),(VLOOKUP(A163,ScaledPrice1,2))*(2-(VLOOKUP(A163,ScaledPrice1,3))))))</f>
        <v> </v>
      </c>
      <c r="E163" s="317" t="str">
        <f aca="false">IF($A163="N/A"," ",IF(AND(Dayrun1&gt;=4,Dayrun1&lt;=9),0,VLOOKUP($A163,ScaledPrice1,9)))</f>
        <v> </v>
      </c>
      <c r="F163" s="317" t="str">
        <f aca="false">IF(A163="N/A"," ",IF(OR(Dayrun1=2,Dayrun1=3,Dayrun1=5,Dayrun1=6,Dayrun1=8,Dayrun1=9),VLOOKUP(A163,ScaledPrice1,IF(Scaler1=1,6,5)),0))</f>
        <v> </v>
      </c>
      <c r="G163" s="317" t="str">
        <f aca="false">IF(A163="N/A"," ",IF(OR(Dayrun1=2,Dayrun1=3,Dayrun1=5,Dayrun1=6),IF(Scaler1=2,F163,(VLOOKUP(A163,ScaledPrice1,5))*(2-(VLOOKUP(A163,ScaledPrice1,3)))),0))</f>
        <v> </v>
      </c>
      <c r="H163" s="317" t="str">
        <f aca="false">IF($A163="N/A"," ",IF(OR(Dayrun1=2,Dayrun1=3,Dayrun1=10),VLOOKUP($A163,ScaledPrice1,9),0))</f>
        <v> </v>
      </c>
      <c r="I163" s="317" t="str">
        <f aca="false">IF(A163="N/A"," ",IF(OR(Dayrun1=3,Dayrun1=6,Dayrun1=9),(VLOOKUP(A163,ScaledPrice1,IF(Scaler1=2,7,8))),0))</f>
        <v> </v>
      </c>
      <c r="J163" s="317" t="str">
        <f aca="false">IF(A163="N/A"," ",IF(OR(Dayrun1=3,Dayrun1=6),IF(Scaler1=2,I163,(VLOOKUP(A163,ScaledPrice1,7))*(2-(VLOOKUP(A163,ScaledPrice1,3)))),0))</f>
        <v> </v>
      </c>
      <c r="K163" s="317" t="str">
        <f aca="false">IF($A163="N/A"," ",IF(OR(Dayrun1=3,Dayrun1=10),VLOOKUP($A163,ScaledPrice1,9),0))</f>
        <v> </v>
      </c>
      <c r="L163" s="318" t="str">
        <f aca="false">IF($A163="N/A"," ",IF(Pricetype1=2,MAX(C163,0),IF(OR(Pricetype1=1,Pricetype1=4),IF(C163=0,0,(EURO(C163,Strikeprice1,0,0,($AH163+IF(Smile=TRUE(),VLOOKUP(MAX(-5,Strikeprice1-C163),Volsmile,2),0)),($A163-DateToday)+15,IF(Pricetype1=1,1,0),0))),C163)))</f>
        <v> </v>
      </c>
      <c r="M163" s="318" t="str">
        <f aca="false">IF($A163="N/A"," ",IF(Pricetype1=2,MAX(D163,0),IF(OR(Pricetype1=1,Pricetype1=4),IF(D163=0,0,(EURO(D163,Strikeprice1,0,0,($AH163+IF(Smile=TRUE(),VLOOKUP(MAX(-5,Strikeprice1-D163),Volsmile,2),0)),($A163-DateToday)+15,IF(Pricetype1=1,1,0),0))),D163)))</f>
        <v> </v>
      </c>
      <c r="N163" s="318" t="str">
        <f aca="false">IF($A163="N/A"," ",IF(Pricetype1=2,MAX(E163,0),IF(OR(Pricetype1=1,Pricetype1=4),IF(E163=0,0,(EURO(E163,Strikeprice1,0,0,($AK163+IF(Smile=TRUE(),VLOOKUP(MAX(-5,Strikeprice1-E163),Volsmile,2),0)),($A163-DateToday)+15,IF(Pricetype1=1,1,0),0))),E163)))</f>
        <v> </v>
      </c>
      <c r="O163" s="318" t="str">
        <f aca="false">IF($A163="N/A"," ",IF(Pricetype1=2,MAX(F163,0),IF(OR(Pricetype1=1,Pricetype1=4),IF(F163=0,0,(EURO(F163,Strikeprice1,0,0,($AK163+IF(Smile=TRUE(),VLOOKUP(MAX(-5,Strikeprice1-F163),Volsmile,2),0)),($A163-DateToday)+15,IF(Pricetype1=1,1,0),0))),F163)))</f>
        <v> </v>
      </c>
      <c r="P163" s="318" t="str">
        <f aca="false">IF($A163="N/A"," ",IF(Pricetype1=2,MAX(G163,0),IF(OR(Pricetype1=1,Pricetype1=4),IF(G163=0,0,(EURO(G163,Strikeprice1,0,0,($AK163+IF(Smile=TRUE(),VLOOKUP(MAX(-5,Strikeprice1-G163),Volsmile,2),0)),($A163-DateToday)+15,IF(Pricetype1=1,1,0),0))),G163)))</f>
        <v> </v>
      </c>
      <c r="Q163" s="318" t="str">
        <f aca="false">IF($A163="N/A"," ",IF(Pricetype1=2,MAX(H163,0),IF(OR(Pricetype1=1,Pricetype1=4),IF(H163=0,0,(EURO(H163,Strikeprice1,0,0,($AK163+IF(Smile=TRUE(),VLOOKUP(MAX(-5,Strikeprice1-H163),Volsmile,2),0)),($A163-DateToday)+15,IF(Pricetype1=1,1,0),0))),H163)))</f>
        <v> </v>
      </c>
      <c r="R163" s="318" t="str">
        <f aca="false">IF($A163="N/A"," ",IF(Pricetype1=2,MAX(I163,0),IF(OR(Pricetype1=1,Pricetype1=4),IF(I163=0,0,(EURO(I163,Strikeprice1,0,0,($AK163+IF(Smile=TRUE(),VLOOKUP(MAX(-5,Strikeprice1-I163),Volsmile,2),0)),($A163-DateToday)+15,IF(Pricetype1=1,1,0),0))),I163)))</f>
        <v> </v>
      </c>
      <c r="S163" s="318" t="str">
        <f aca="false">IF($A163="N/A"," ",IF(Pricetype1=2,MAX(J163,0),IF(OR(Pricetype1=1,Pricetype1=4),IF(J163=0,0,(EURO(J163,Strikeprice1,0,0,($AK163+IF(Smile=TRUE(),VLOOKUP(MAX(-5,Strikeprice1-J163),Volsmile,2),0)),($A163-DateToday)+15,IF(Pricetype1=1,1,0),0))),J163)))</f>
        <v> </v>
      </c>
      <c r="T163" s="318" t="str">
        <f aca="false">IF($A163="N/A"," ",IF(Pricetype1=2,MAX(K163,0),IF(OR(Pricetype1=1,Pricetype1=4),IF(K163=0,0,(EURO(K163,Strikeprice1,0,0,($AK163+IF(Smile=TRUE(),VLOOKUP(MAX(-5,Strikeprice1-K163),Volsmile,2),0)),($A163-DateToday)+15,IF(Pricetype1=1,1,0),0))),K163)))</f>
        <v> </v>
      </c>
      <c r="U163" s="319" t="str">
        <f aca="false">IF($A163="N/A"," ",Volume1*$AM163)</f>
        <v> </v>
      </c>
      <c r="V163" s="320" t="str">
        <f aca="false">IF($A163="N/A"," ",$U163*(8*($BQ163))*L163)</f>
        <v> </v>
      </c>
      <c r="W163" s="320" t="str">
        <f aca="false">IF($A163="N/A"," ",$U163*(8*($BQ163))*M163)</f>
        <v> </v>
      </c>
      <c r="X163" s="320" t="str">
        <f aca="false">IF($A163="N/A"," ",$U163*(8*($BQ163))*N163)</f>
        <v> </v>
      </c>
      <c r="Y163" s="320" t="str">
        <f aca="false">IF($A163="N/A"," ",$U163*(8*($BR163))*O163)</f>
        <v> </v>
      </c>
      <c r="Z163" s="320" t="str">
        <f aca="false">IF($A163="N/A"," ",$U163*(8*($BR163))*P163)</f>
        <v> </v>
      </c>
      <c r="AA163" s="320" t="str">
        <f aca="false">IF($A163="N/A"," ",$U163*(8*($BR163))*Q163)</f>
        <v> </v>
      </c>
      <c r="AB163" s="320" t="str">
        <f aca="false">IF($A163="N/A"," ",$U163*(8*($BS163))*R163)</f>
        <v> </v>
      </c>
      <c r="AC163" s="320" t="str">
        <f aca="false">IF($A163="N/A"," ",$U163*(8*($BS163))*S163)</f>
        <v> </v>
      </c>
      <c r="AD163" s="320" t="str">
        <f aca="false">IF($A163="N/A"," ",$U163*(8*($BS163))*T163)</f>
        <v> </v>
      </c>
      <c r="AE163" s="320" t="str">
        <f aca="false">IF($A163="N/A"," ",SUM(V163:AD163))</f>
        <v> </v>
      </c>
      <c r="AF163" s="321" t="str">
        <f aca="false">IF(A163="N/A"," ",(VLOOKUP(A163,PowerVolTable,(IF(VolBMO1=2,7,IF(VolBMO1=1,6,8))),FALSE())))</f>
        <v> </v>
      </c>
      <c r="AG163" s="321" t="str">
        <f aca="false">IF(A163="N/A"," ",(VLOOKUP(A163,IntraPowerVol,(IF(VolBMO1=2,3,IF(VolBMO1=1,2,4))),FALSE())*VLOOKUP(MONTH($A163),Volscale,2)))</f>
        <v> </v>
      </c>
      <c r="AH163" s="321" t="str">
        <f aca="false">IF($A163="N/A"," ",IF(VolType1=1,AG163,AF163))</f>
        <v> </v>
      </c>
      <c r="AI163" s="321" t="str">
        <f aca="false">IF($A163="N/A"," ",(VLOOKUP($A163,OffPwrVolTable,(IF(VolBMO1=2,7,IF(VolBMO1=1,6,8))),FALSE())))</f>
        <v> </v>
      </c>
      <c r="AJ163" s="321" t="str">
        <f aca="false">IF($A163="N/A"," ",(VLOOKUP($A163,OffPwrVolTable,(IF(VolBMO1=2,3,IF(VolBMO1=1,2,4))),FALSE())*VLOOKUP(MONTH($A163),Volscale,2)))</f>
        <v> </v>
      </c>
      <c r="AK163" s="321" t="str">
        <f aca="false">IF($A163="N/A"," ",IF(VolType1=1,AJ163,AI163))</f>
        <v> </v>
      </c>
      <c r="AL163" s="321" t="str">
        <f aca="false">IF($A163="N/A"," ",IF(PV=1,0,'Pricing Inputs1'!R196))</f>
        <v> </v>
      </c>
      <c r="AM163" s="323" t="str">
        <f aca="false">IF($A163="N/A"," ",(1+AL163/2)^(-2*((EOMONTH(A163,0)+20)-DateToday)/365.25))</f>
        <v> </v>
      </c>
      <c r="BQ163" s="0" t="str">
        <f aca="false">IF($A163="N/A"," ",(VLOOKUP($A163,NumberofDaysTable,2)))</f>
        <v> </v>
      </c>
      <c r="BR163" s="0" t="str">
        <f aca="false">IF($A163="N/A"," ",(VLOOKUP($A163,NumberofDaysTable,3)))</f>
        <v> </v>
      </c>
      <c r="BS163" s="0" t="str">
        <f aca="false">IF($A163="N/A"," ",(VLOOKUP($A163,NumberofDaysTable,4)))</f>
        <v> </v>
      </c>
    </row>
    <row r="164" customFormat="false" ht="12.75" hidden="false" customHeight="false" outlineLevel="0" collapsed="false">
      <c r="A164" s="315" t="str">
        <f aca="false">IF(A163="N/A","N/A",IF(EDATE(A163,1)&gt;Inputs!$M$5,"N/A",EDATE(A163,1)))</f>
        <v>N/A</v>
      </c>
      <c r="B164" s="316" t="str">
        <f aca="false">IF(A164="N/A"," ",YEAR(A164))</f>
        <v> </v>
      </c>
      <c r="C164" s="324" t="str">
        <f aca="false">IF($A164="N/A"," ",IF(Dayrun1=10,0,IF(Scaler1=1,(VLOOKUP(A164,ScaledPrice1,4)),(VLOOKUP(A164,ScaledPrice1,2)))))</f>
        <v> </v>
      </c>
      <c r="D164" s="317" t="str">
        <f aca="false">IF(A164="N/A"," ",IF(Dayrun1&gt;=7,0,IF(Scaler1=2,VLOOKUP(A164,ScaledPrice1,2),(VLOOKUP(A164,ScaledPrice1,2))*(2-(VLOOKUP(A164,ScaledPrice1,3))))))</f>
        <v> </v>
      </c>
      <c r="E164" s="317" t="str">
        <f aca="false">IF($A164="N/A"," ",IF(AND(Dayrun1&gt;=4,Dayrun1&lt;=9),0,VLOOKUP($A164,ScaledPrice1,9)))</f>
        <v> </v>
      </c>
      <c r="F164" s="317" t="str">
        <f aca="false">IF(A164="N/A"," ",IF(OR(Dayrun1=2,Dayrun1=3,Dayrun1=5,Dayrun1=6,Dayrun1=8,Dayrun1=9),VLOOKUP(A164,ScaledPrice1,IF(Scaler1=1,6,5)),0))</f>
        <v> </v>
      </c>
      <c r="G164" s="317" t="str">
        <f aca="false">IF(A164="N/A"," ",IF(OR(Dayrun1=2,Dayrun1=3,Dayrun1=5,Dayrun1=6),IF(Scaler1=2,F164,(VLOOKUP(A164,ScaledPrice1,5))*(2-(VLOOKUP(A164,ScaledPrice1,3)))),0))</f>
        <v> </v>
      </c>
      <c r="H164" s="317" t="str">
        <f aca="false">IF($A164="N/A"," ",IF(OR(Dayrun1=2,Dayrun1=3,Dayrun1=10),VLOOKUP($A164,ScaledPrice1,9),0))</f>
        <v> </v>
      </c>
      <c r="I164" s="317" t="str">
        <f aca="false">IF(A164="N/A"," ",IF(OR(Dayrun1=3,Dayrun1=6,Dayrun1=9),(VLOOKUP(A164,ScaledPrice1,IF(Scaler1=2,7,8))),0))</f>
        <v> </v>
      </c>
      <c r="J164" s="317" t="str">
        <f aca="false">IF(A164="N/A"," ",IF(OR(Dayrun1=3,Dayrun1=6),IF(Scaler1=2,I164,(VLOOKUP(A164,ScaledPrice1,7))*(2-(VLOOKUP(A164,ScaledPrice1,3)))),0))</f>
        <v> </v>
      </c>
      <c r="K164" s="317" t="str">
        <f aca="false">IF($A164="N/A"," ",IF(OR(Dayrun1=3,Dayrun1=10),VLOOKUP($A164,ScaledPrice1,9),0))</f>
        <v> </v>
      </c>
      <c r="L164" s="318" t="str">
        <f aca="false">IF($A164="N/A"," ",IF(Pricetype1=2,MAX(C164,0),IF(OR(Pricetype1=1,Pricetype1=4),IF(C164=0,0,(EURO(C164,Strikeprice1,0,0,($AH164+IF(Smile=TRUE(),VLOOKUP(MAX(-5,Strikeprice1-C164),Volsmile,2),0)),($A164-DateToday)+15,IF(Pricetype1=1,1,0),0))),C164)))</f>
        <v> </v>
      </c>
      <c r="M164" s="318" t="str">
        <f aca="false">IF($A164="N/A"," ",IF(Pricetype1=2,MAX(D164,0),IF(OR(Pricetype1=1,Pricetype1=4),IF(D164=0,0,(EURO(D164,Strikeprice1,0,0,($AH164+IF(Smile=TRUE(),VLOOKUP(MAX(-5,Strikeprice1-D164),Volsmile,2),0)),($A164-DateToday)+15,IF(Pricetype1=1,1,0),0))),D164)))</f>
        <v> </v>
      </c>
      <c r="N164" s="318" t="str">
        <f aca="false">IF($A164="N/A"," ",IF(Pricetype1=2,MAX(E164,0),IF(OR(Pricetype1=1,Pricetype1=4),IF(E164=0,0,(EURO(E164,Strikeprice1,0,0,($AK164+IF(Smile=TRUE(),VLOOKUP(MAX(-5,Strikeprice1-E164),Volsmile,2),0)),($A164-DateToday)+15,IF(Pricetype1=1,1,0),0))),E164)))</f>
        <v> </v>
      </c>
      <c r="O164" s="318" t="str">
        <f aca="false">IF($A164="N/A"," ",IF(Pricetype1=2,MAX(F164,0),IF(OR(Pricetype1=1,Pricetype1=4),IF(F164=0,0,(EURO(F164,Strikeprice1,0,0,($AK164+IF(Smile=TRUE(),VLOOKUP(MAX(-5,Strikeprice1-F164),Volsmile,2),0)),($A164-DateToday)+15,IF(Pricetype1=1,1,0),0))),F164)))</f>
        <v> </v>
      </c>
      <c r="P164" s="318" t="str">
        <f aca="false">IF($A164="N/A"," ",IF(Pricetype1=2,MAX(G164,0),IF(OR(Pricetype1=1,Pricetype1=4),IF(G164=0,0,(EURO(G164,Strikeprice1,0,0,($AK164+IF(Smile=TRUE(),VLOOKUP(MAX(-5,Strikeprice1-G164),Volsmile,2),0)),($A164-DateToday)+15,IF(Pricetype1=1,1,0),0))),G164)))</f>
        <v> </v>
      </c>
      <c r="Q164" s="318" t="str">
        <f aca="false">IF($A164="N/A"," ",IF(Pricetype1=2,MAX(H164,0),IF(OR(Pricetype1=1,Pricetype1=4),IF(H164=0,0,(EURO(H164,Strikeprice1,0,0,($AK164+IF(Smile=TRUE(),VLOOKUP(MAX(-5,Strikeprice1-H164),Volsmile,2),0)),($A164-DateToday)+15,IF(Pricetype1=1,1,0),0))),H164)))</f>
        <v> </v>
      </c>
      <c r="R164" s="318" t="str">
        <f aca="false">IF($A164="N/A"," ",IF(Pricetype1=2,MAX(I164,0),IF(OR(Pricetype1=1,Pricetype1=4),IF(I164=0,0,(EURO(I164,Strikeprice1,0,0,($AK164+IF(Smile=TRUE(),VLOOKUP(MAX(-5,Strikeprice1-I164),Volsmile,2),0)),($A164-DateToday)+15,IF(Pricetype1=1,1,0),0))),I164)))</f>
        <v> </v>
      </c>
      <c r="S164" s="318" t="str">
        <f aca="false">IF($A164="N/A"," ",IF(Pricetype1=2,MAX(J164,0),IF(OR(Pricetype1=1,Pricetype1=4),IF(J164=0,0,(EURO(J164,Strikeprice1,0,0,($AK164+IF(Smile=TRUE(),VLOOKUP(MAX(-5,Strikeprice1-J164),Volsmile,2),0)),($A164-DateToday)+15,IF(Pricetype1=1,1,0),0))),J164)))</f>
        <v> </v>
      </c>
      <c r="T164" s="318" t="str">
        <f aca="false">IF($A164="N/A"," ",IF(Pricetype1=2,MAX(K164,0),IF(OR(Pricetype1=1,Pricetype1=4),IF(K164=0,0,(EURO(K164,Strikeprice1,0,0,($AK164+IF(Smile=TRUE(),VLOOKUP(MAX(-5,Strikeprice1-K164),Volsmile,2),0)),($A164-DateToday)+15,IF(Pricetype1=1,1,0),0))),K164)))</f>
        <v> </v>
      </c>
      <c r="U164" s="319" t="str">
        <f aca="false">IF($A164="N/A"," ",Volume1*$AM164)</f>
        <v> </v>
      </c>
      <c r="V164" s="320" t="str">
        <f aca="false">IF($A164="N/A"," ",$U164*(8*($BQ164))*L164)</f>
        <v> </v>
      </c>
      <c r="W164" s="320" t="str">
        <f aca="false">IF($A164="N/A"," ",$U164*(8*($BQ164))*M164)</f>
        <v> </v>
      </c>
      <c r="X164" s="320" t="str">
        <f aca="false">IF($A164="N/A"," ",$U164*(8*($BQ164))*N164)</f>
        <v> </v>
      </c>
      <c r="Y164" s="320" t="str">
        <f aca="false">IF($A164="N/A"," ",$U164*(8*($BR164))*O164)</f>
        <v> </v>
      </c>
      <c r="Z164" s="320" t="str">
        <f aca="false">IF($A164="N/A"," ",$U164*(8*($BR164))*P164)</f>
        <v> </v>
      </c>
      <c r="AA164" s="320" t="str">
        <f aca="false">IF($A164="N/A"," ",$U164*(8*($BR164))*Q164)</f>
        <v> </v>
      </c>
      <c r="AB164" s="320" t="str">
        <f aca="false">IF($A164="N/A"," ",$U164*(8*($BS164))*R164)</f>
        <v> </v>
      </c>
      <c r="AC164" s="320" t="str">
        <f aca="false">IF($A164="N/A"," ",$U164*(8*($BS164))*S164)</f>
        <v> </v>
      </c>
      <c r="AD164" s="320" t="str">
        <f aca="false">IF($A164="N/A"," ",$U164*(8*($BS164))*T164)</f>
        <v> </v>
      </c>
      <c r="AE164" s="320" t="str">
        <f aca="false">IF($A164="N/A"," ",SUM(V164:AD164))</f>
        <v> </v>
      </c>
      <c r="AF164" s="321" t="str">
        <f aca="false">IF(A164="N/A"," ",(VLOOKUP(A164,PowerVolTable,(IF(VolBMO1=2,7,IF(VolBMO1=1,6,8))),FALSE())))</f>
        <v> </v>
      </c>
      <c r="AG164" s="321" t="str">
        <f aca="false">IF(A164="N/A"," ",(VLOOKUP(A164,IntraPowerVol,(IF(VolBMO1=2,3,IF(VolBMO1=1,2,4))),FALSE())*VLOOKUP(MONTH($A164),Volscale,2)))</f>
        <v> </v>
      </c>
      <c r="AH164" s="321" t="str">
        <f aca="false">IF($A164="N/A"," ",IF(VolType1=1,AG164,AF164))</f>
        <v> </v>
      </c>
      <c r="AI164" s="321" t="str">
        <f aca="false">IF($A164="N/A"," ",(VLOOKUP($A164,OffPwrVolTable,(IF(VolBMO1=2,7,IF(VolBMO1=1,6,8))),FALSE())))</f>
        <v> </v>
      </c>
      <c r="AJ164" s="321" t="str">
        <f aca="false">IF($A164="N/A"," ",(VLOOKUP($A164,OffPwrVolTable,(IF(VolBMO1=2,3,IF(VolBMO1=1,2,4))),FALSE())*VLOOKUP(MONTH($A164),Volscale,2)))</f>
        <v> </v>
      </c>
      <c r="AK164" s="321" t="str">
        <f aca="false">IF($A164="N/A"," ",IF(VolType1=1,AJ164,AI164))</f>
        <v> </v>
      </c>
      <c r="AL164" s="321" t="str">
        <f aca="false">IF($A164="N/A"," ",IF(PV=1,0,'Pricing Inputs1'!R197))</f>
        <v> </v>
      </c>
      <c r="AM164" s="323" t="str">
        <f aca="false">IF($A164="N/A"," ",(1+AL164/2)^(-2*((EOMONTH(A164,0)+20)-DateToday)/365.25))</f>
        <v> </v>
      </c>
      <c r="BQ164" s="0" t="str">
        <f aca="false">IF($A164="N/A"," ",(VLOOKUP($A164,NumberofDaysTable,2)))</f>
        <v> </v>
      </c>
      <c r="BR164" s="0" t="str">
        <f aca="false">IF($A164="N/A"," ",(VLOOKUP($A164,NumberofDaysTable,3)))</f>
        <v> </v>
      </c>
      <c r="BS164" s="0" t="str">
        <f aca="false">IF($A164="N/A"," ",(VLOOKUP($A164,NumberofDaysTable,4)))</f>
        <v> </v>
      </c>
    </row>
    <row r="165" customFormat="false" ht="12.75" hidden="false" customHeight="false" outlineLevel="0" collapsed="false">
      <c r="A165" s="315" t="str">
        <f aca="false">IF(A164="N/A","N/A",IF(EDATE(A164,1)&gt;Inputs!$M$5,"N/A",EDATE(A164,1)))</f>
        <v>N/A</v>
      </c>
      <c r="B165" s="316" t="str">
        <f aca="false">IF(A165="N/A"," ",YEAR(A165))</f>
        <v> </v>
      </c>
      <c r="C165" s="324" t="str">
        <f aca="false">IF($A165="N/A"," ",IF(Dayrun1=10,0,IF(Scaler1=1,(VLOOKUP(A165,ScaledPrice1,4)),(VLOOKUP(A165,ScaledPrice1,2)))))</f>
        <v> </v>
      </c>
      <c r="D165" s="317" t="str">
        <f aca="false">IF(A165="N/A"," ",IF(Dayrun1&gt;=7,0,IF(Scaler1=2,VLOOKUP(A165,ScaledPrice1,2),(VLOOKUP(A165,ScaledPrice1,2))*(2-(VLOOKUP(A165,ScaledPrice1,3))))))</f>
        <v> </v>
      </c>
      <c r="E165" s="317" t="str">
        <f aca="false">IF($A165="N/A"," ",IF(AND(Dayrun1&gt;=4,Dayrun1&lt;=9),0,VLOOKUP($A165,ScaledPrice1,9)))</f>
        <v> </v>
      </c>
      <c r="F165" s="317" t="str">
        <f aca="false">IF(A165="N/A"," ",IF(OR(Dayrun1=2,Dayrun1=3,Dayrun1=5,Dayrun1=6,Dayrun1=8,Dayrun1=9),VLOOKUP(A165,ScaledPrice1,IF(Scaler1=1,6,5)),0))</f>
        <v> </v>
      </c>
      <c r="G165" s="317" t="str">
        <f aca="false">IF(A165="N/A"," ",IF(OR(Dayrun1=2,Dayrun1=3,Dayrun1=5,Dayrun1=6),IF(Scaler1=2,F165,(VLOOKUP(A165,ScaledPrice1,5))*(2-(VLOOKUP(A165,ScaledPrice1,3)))),0))</f>
        <v> </v>
      </c>
      <c r="H165" s="317" t="str">
        <f aca="false">IF($A165="N/A"," ",IF(OR(Dayrun1=2,Dayrun1=3,Dayrun1=10),VLOOKUP($A165,ScaledPrice1,9),0))</f>
        <v> </v>
      </c>
      <c r="I165" s="317" t="str">
        <f aca="false">IF(A165="N/A"," ",IF(OR(Dayrun1=3,Dayrun1=6,Dayrun1=9),(VLOOKUP(A165,ScaledPrice1,IF(Scaler1=2,7,8))),0))</f>
        <v> </v>
      </c>
      <c r="J165" s="317" t="str">
        <f aca="false">IF(A165="N/A"," ",IF(OR(Dayrun1=3,Dayrun1=6),IF(Scaler1=2,I165,(VLOOKUP(A165,ScaledPrice1,7))*(2-(VLOOKUP(A165,ScaledPrice1,3)))),0))</f>
        <v> </v>
      </c>
      <c r="K165" s="317" t="str">
        <f aca="false">IF($A165="N/A"," ",IF(OR(Dayrun1=3,Dayrun1=10),VLOOKUP($A165,ScaledPrice1,9),0))</f>
        <v> </v>
      </c>
      <c r="L165" s="318" t="str">
        <f aca="false">IF($A165="N/A"," ",IF(Pricetype1=2,MAX(C165,0),IF(OR(Pricetype1=1,Pricetype1=4),IF(C165=0,0,(EURO(C165,Strikeprice1,0,0,($AH165+IF(Smile=TRUE(),VLOOKUP(MAX(-5,Strikeprice1-C165),Volsmile,2),0)),($A165-DateToday)+15,IF(Pricetype1=1,1,0),0))),C165)))</f>
        <v> </v>
      </c>
      <c r="M165" s="318" t="str">
        <f aca="false">IF($A165="N/A"," ",IF(Pricetype1=2,MAX(D165,0),IF(OR(Pricetype1=1,Pricetype1=4),IF(D165=0,0,(EURO(D165,Strikeprice1,0,0,($AH165+IF(Smile=TRUE(),VLOOKUP(MAX(-5,Strikeprice1-D165),Volsmile,2),0)),($A165-DateToday)+15,IF(Pricetype1=1,1,0),0))),D165)))</f>
        <v> </v>
      </c>
      <c r="N165" s="318" t="str">
        <f aca="false">IF($A165="N/A"," ",IF(Pricetype1=2,MAX(E165,0),IF(OR(Pricetype1=1,Pricetype1=4),IF(E165=0,0,(EURO(E165,Strikeprice1,0,0,($AK165+IF(Smile=TRUE(),VLOOKUP(MAX(-5,Strikeprice1-E165),Volsmile,2),0)),($A165-DateToday)+15,IF(Pricetype1=1,1,0),0))),E165)))</f>
        <v> </v>
      </c>
      <c r="O165" s="318" t="str">
        <f aca="false">IF($A165="N/A"," ",IF(Pricetype1=2,MAX(F165,0),IF(OR(Pricetype1=1,Pricetype1=4),IF(F165=0,0,(EURO(F165,Strikeprice1,0,0,($AK165+IF(Smile=TRUE(),VLOOKUP(MAX(-5,Strikeprice1-F165),Volsmile,2),0)),($A165-DateToday)+15,IF(Pricetype1=1,1,0),0))),F165)))</f>
        <v> </v>
      </c>
      <c r="P165" s="318" t="str">
        <f aca="false">IF($A165="N/A"," ",IF(Pricetype1=2,MAX(G165,0),IF(OR(Pricetype1=1,Pricetype1=4),IF(G165=0,0,(EURO(G165,Strikeprice1,0,0,($AK165+IF(Smile=TRUE(),VLOOKUP(MAX(-5,Strikeprice1-G165),Volsmile,2),0)),($A165-DateToday)+15,IF(Pricetype1=1,1,0),0))),G165)))</f>
        <v> </v>
      </c>
      <c r="Q165" s="318" t="str">
        <f aca="false">IF($A165="N/A"," ",IF(Pricetype1=2,MAX(H165,0),IF(OR(Pricetype1=1,Pricetype1=4),IF(H165=0,0,(EURO(H165,Strikeprice1,0,0,($AK165+IF(Smile=TRUE(),VLOOKUP(MAX(-5,Strikeprice1-H165),Volsmile,2),0)),($A165-DateToday)+15,IF(Pricetype1=1,1,0),0))),H165)))</f>
        <v> </v>
      </c>
      <c r="R165" s="318" t="str">
        <f aca="false">IF($A165="N/A"," ",IF(Pricetype1=2,MAX(I165,0),IF(OR(Pricetype1=1,Pricetype1=4),IF(I165=0,0,(EURO(I165,Strikeprice1,0,0,($AK165+IF(Smile=TRUE(),VLOOKUP(MAX(-5,Strikeprice1-I165),Volsmile,2),0)),($A165-DateToday)+15,IF(Pricetype1=1,1,0),0))),I165)))</f>
        <v> </v>
      </c>
      <c r="S165" s="318" t="str">
        <f aca="false">IF($A165="N/A"," ",IF(Pricetype1=2,MAX(J165,0),IF(OR(Pricetype1=1,Pricetype1=4),IF(J165=0,0,(EURO(J165,Strikeprice1,0,0,($AK165+IF(Smile=TRUE(),VLOOKUP(MAX(-5,Strikeprice1-J165),Volsmile,2),0)),($A165-DateToday)+15,IF(Pricetype1=1,1,0),0))),J165)))</f>
        <v> </v>
      </c>
      <c r="T165" s="318" t="str">
        <f aca="false">IF($A165="N/A"," ",IF(Pricetype1=2,MAX(K165,0),IF(OR(Pricetype1=1,Pricetype1=4),IF(K165=0,0,(EURO(K165,Strikeprice1,0,0,($AK165+IF(Smile=TRUE(),VLOOKUP(MAX(-5,Strikeprice1-K165),Volsmile,2),0)),($A165-DateToday)+15,IF(Pricetype1=1,1,0),0))),K165)))</f>
        <v> </v>
      </c>
      <c r="U165" s="319" t="str">
        <f aca="false">IF($A165="N/A"," ",Volume1*$AM165)</f>
        <v> </v>
      </c>
      <c r="V165" s="320" t="str">
        <f aca="false">IF($A165="N/A"," ",$U165*(8*($BQ165))*L165)</f>
        <v> </v>
      </c>
      <c r="W165" s="320" t="str">
        <f aca="false">IF($A165="N/A"," ",$U165*(8*($BQ165))*M165)</f>
        <v> </v>
      </c>
      <c r="X165" s="320" t="str">
        <f aca="false">IF($A165="N/A"," ",$U165*(8*($BQ165))*N165)</f>
        <v> </v>
      </c>
      <c r="Y165" s="320" t="str">
        <f aca="false">IF($A165="N/A"," ",$U165*(8*($BR165))*O165)</f>
        <v> </v>
      </c>
      <c r="Z165" s="320" t="str">
        <f aca="false">IF($A165="N/A"," ",$U165*(8*($BR165))*P165)</f>
        <v> </v>
      </c>
      <c r="AA165" s="320" t="str">
        <f aca="false">IF($A165="N/A"," ",$U165*(8*($BR165))*Q165)</f>
        <v> </v>
      </c>
      <c r="AB165" s="320" t="str">
        <f aca="false">IF($A165="N/A"," ",$U165*(8*($BS165))*R165)</f>
        <v> </v>
      </c>
      <c r="AC165" s="320" t="str">
        <f aca="false">IF($A165="N/A"," ",$U165*(8*($BS165))*S165)</f>
        <v> </v>
      </c>
      <c r="AD165" s="320" t="str">
        <f aca="false">IF($A165="N/A"," ",$U165*(8*($BS165))*T165)</f>
        <v> </v>
      </c>
      <c r="AE165" s="320" t="str">
        <f aca="false">IF($A165="N/A"," ",SUM(V165:AD165))</f>
        <v> </v>
      </c>
      <c r="AF165" s="321" t="str">
        <f aca="false">IF(A165="N/A"," ",(VLOOKUP(A165,PowerVolTable,(IF(VolBMO1=2,7,IF(VolBMO1=1,6,8))),FALSE())))</f>
        <v> </v>
      </c>
      <c r="AG165" s="321" t="str">
        <f aca="false">IF(A165="N/A"," ",(VLOOKUP(A165,IntraPowerVol,(IF(VolBMO1=2,3,IF(VolBMO1=1,2,4))),FALSE())*VLOOKUP(MONTH($A165),Volscale,2)))</f>
        <v> </v>
      </c>
      <c r="AH165" s="321" t="str">
        <f aca="false">IF($A165="N/A"," ",IF(VolType1=1,AG165,AF165))</f>
        <v> </v>
      </c>
      <c r="AI165" s="321" t="str">
        <f aca="false">IF($A165="N/A"," ",(VLOOKUP($A165,OffPwrVolTable,(IF(VolBMO1=2,7,IF(VolBMO1=1,6,8))),FALSE())))</f>
        <v> </v>
      </c>
      <c r="AJ165" s="321" t="str">
        <f aca="false">IF($A165="N/A"," ",(VLOOKUP($A165,OffPwrVolTable,(IF(VolBMO1=2,3,IF(VolBMO1=1,2,4))),FALSE())*VLOOKUP(MONTH($A165),Volscale,2)))</f>
        <v> </v>
      </c>
      <c r="AK165" s="321" t="str">
        <f aca="false">IF($A165="N/A"," ",IF(VolType1=1,AJ165,AI165))</f>
        <v> </v>
      </c>
      <c r="AL165" s="321" t="str">
        <f aca="false">IF($A165="N/A"," ",IF(PV=1,0,'Pricing Inputs1'!R198))</f>
        <v> </v>
      </c>
      <c r="AM165" s="323" t="str">
        <f aca="false">IF($A165="N/A"," ",(1+AL165/2)^(-2*((EOMONTH(A165,0)+20)-DateToday)/365.25))</f>
        <v> </v>
      </c>
      <c r="BQ165" s="0" t="str">
        <f aca="false">IF($A165="N/A"," ",(VLOOKUP($A165,NumberofDaysTable,2)))</f>
        <v> </v>
      </c>
      <c r="BR165" s="0" t="str">
        <f aca="false">IF($A165="N/A"," ",(VLOOKUP($A165,NumberofDaysTable,3)))</f>
        <v> </v>
      </c>
      <c r="BS165" s="0" t="str">
        <f aca="false">IF($A165="N/A"," ",(VLOOKUP($A165,NumberofDaysTable,4)))</f>
        <v> </v>
      </c>
    </row>
    <row r="166" customFormat="false" ht="12.75" hidden="false" customHeight="false" outlineLevel="0" collapsed="false">
      <c r="A166" s="315" t="str">
        <f aca="false">IF(A165="N/A","N/A",IF(EDATE(A165,1)&gt;Inputs!$M$5,"N/A",EDATE(A165,1)))</f>
        <v>N/A</v>
      </c>
      <c r="B166" s="316" t="str">
        <f aca="false">IF(A166="N/A"," ",YEAR(A166))</f>
        <v> </v>
      </c>
      <c r="C166" s="324" t="str">
        <f aca="false">IF($A166="N/A"," ",IF(Dayrun1=10,0,IF(Scaler1=1,(VLOOKUP(A166,ScaledPrice1,4)),(VLOOKUP(A166,ScaledPrice1,2)))))</f>
        <v> </v>
      </c>
      <c r="D166" s="317" t="str">
        <f aca="false">IF(A166="N/A"," ",IF(Dayrun1&gt;=7,0,IF(Scaler1=2,VLOOKUP(A166,ScaledPrice1,2),(VLOOKUP(A166,ScaledPrice1,2))*(2-(VLOOKUP(A166,ScaledPrice1,3))))))</f>
        <v> </v>
      </c>
      <c r="E166" s="317" t="str">
        <f aca="false">IF($A166="N/A"," ",IF(AND(Dayrun1&gt;=4,Dayrun1&lt;=9),0,VLOOKUP($A166,ScaledPrice1,9)))</f>
        <v> </v>
      </c>
      <c r="F166" s="317" t="str">
        <f aca="false">IF(A166="N/A"," ",IF(OR(Dayrun1=2,Dayrun1=3,Dayrun1=5,Dayrun1=6,Dayrun1=8,Dayrun1=9),VLOOKUP(A166,ScaledPrice1,IF(Scaler1=1,6,5)),0))</f>
        <v> </v>
      </c>
      <c r="G166" s="317" t="str">
        <f aca="false">IF(A166="N/A"," ",IF(OR(Dayrun1=2,Dayrun1=3,Dayrun1=5,Dayrun1=6),IF(Scaler1=2,F166,(VLOOKUP(A166,ScaledPrice1,5))*(2-(VLOOKUP(A166,ScaledPrice1,3)))),0))</f>
        <v> </v>
      </c>
      <c r="H166" s="317" t="str">
        <f aca="false">IF($A166="N/A"," ",IF(OR(Dayrun1=2,Dayrun1=3,Dayrun1=10),VLOOKUP($A166,ScaledPrice1,9),0))</f>
        <v> </v>
      </c>
      <c r="I166" s="317" t="str">
        <f aca="false">IF(A166="N/A"," ",IF(OR(Dayrun1=3,Dayrun1=6,Dayrun1=9),(VLOOKUP(A166,ScaledPrice1,IF(Scaler1=2,7,8))),0))</f>
        <v> </v>
      </c>
      <c r="J166" s="317" t="str">
        <f aca="false">IF(A166="N/A"," ",IF(OR(Dayrun1=3,Dayrun1=6),IF(Scaler1=2,I166,(VLOOKUP(A166,ScaledPrice1,7))*(2-(VLOOKUP(A166,ScaledPrice1,3)))),0))</f>
        <v> </v>
      </c>
      <c r="K166" s="317" t="str">
        <f aca="false">IF($A166="N/A"," ",IF(OR(Dayrun1=3,Dayrun1=10),VLOOKUP($A166,ScaledPrice1,9),0))</f>
        <v> </v>
      </c>
      <c r="L166" s="318" t="str">
        <f aca="false">IF($A166="N/A"," ",IF(Pricetype1=2,MAX(C166,0),IF(OR(Pricetype1=1,Pricetype1=4),IF(C166=0,0,(EURO(C166,Strikeprice1,0,0,($AH166+IF(Smile=TRUE(),VLOOKUP(MAX(-5,Strikeprice1-C166),Volsmile,2),0)),($A166-DateToday)+15,IF(Pricetype1=1,1,0),0))),C166)))</f>
        <v> </v>
      </c>
      <c r="M166" s="318" t="str">
        <f aca="false">IF($A166="N/A"," ",IF(Pricetype1=2,MAX(D166,0),IF(OR(Pricetype1=1,Pricetype1=4),IF(D166=0,0,(EURO(D166,Strikeprice1,0,0,($AH166+IF(Smile=TRUE(),VLOOKUP(MAX(-5,Strikeprice1-D166),Volsmile,2),0)),($A166-DateToday)+15,IF(Pricetype1=1,1,0),0))),D166)))</f>
        <v> </v>
      </c>
      <c r="N166" s="318" t="str">
        <f aca="false">IF($A166="N/A"," ",IF(Pricetype1=2,MAX(E166,0),IF(OR(Pricetype1=1,Pricetype1=4),IF(E166=0,0,(EURO(E166,Strikeprice1,0,0,($AK166+IF(Smile=TRUE(),VLOOKUP(MAX(-5,Strikeprice1-E166),Volsmile,2),0)),($A166-DateToday)+15,IF(Pricetype1=1,1,0),0))),E166)))</f>
        <v> </v>
      </c>
      <c r="O166" s="318" t="str">
        <f aca="false">IF($A166="N/A"," ",IF(Pricetype1=2,MAX(F166,0),IF(OR(Pricetype1=1,Pricetype1=4),IF(F166=0,0,(EURO(F166,Strikeprice1,0,0,($AK166+IF(Smile=TRUE(),VLOOKUP(MAX(-5,Strikeprice1-F166),Volsmile,2),0)),($A166-DateToday)+15,IF(Pricetype1=1,1,0),0))),F166)))</f>
        <v> </v>
      </c>
      <c r="P166" s="318" t="str">
        <f aca="false">IF($A166="N/A"," ",IF(Pricetype1=2,MAX(G166,0),IF(OR(Pricetype1=1,Pricetype1=4),IF(G166=0,0,(EURO(G166,Strikeprice1,0,0,($AK166+IF(Smile=TRUE(),VLOOKUP(MAX(-5,Strikeprice1-G166),Volsmile,2),0)),($A166-DateToday)+15,IF(Pricetype1=1,1,0),0))),G166)))</f>
        <v> </v>
      </c>
      <c r="Q166" s="318" t="str">
        <f aca="false">IF($A166="N/A"," ",IF(Pricetype1=2,MAX(H166,0),IF(OR(Pricetype1=1,Pricetype1=4),IF(H166=0,0,(EURO(H166,Strikeprice1,0,0,($AK166+IF(Smile=TRUE(),VLOOKUP(MAX(-5,Strikeprice1-H166),Volsmile,2),0)),($A166-DateToday)+15,IF(Pricetype1=1,1,0),0))),H166)))</f>
        <v> </v>
      </c>
      <c r="R166" s="318" t="str">
        <f aca="false">IF($A166="N/A"," ",IF(Pricetype1=2,MAX(I166,0),IF(OR(Pricetype1=1,Pricetype1=4),IF(I166=0,0,(EURO(I166,Strikeprice1,0,0,($AK166+IF(Smile=TRUE(),VLOOKUP(MAX(-5,Strikeprice1-I166),Volsmile,2),0)),($A166-DateToday)+15,IF(Pricetype1=1,1,0),0))),I166)))</f>
        <v> </v>
      </c>
      <c r="S166" s="318" t="str">
        <f aca="false">IF($A166="N/A"," ",IF(Pricetype1=2,MAX(J166,0),IF(OR(Pricetype1=1,Pricetype1=4),IF(J166=0,0,(EURO(J166,Strikeprice1,0,0,($AK166+IF(Smile=TRUE(),VLOOKUP(MAX(-5,Strikeprice1-J166),Volsmile,2),0)),($A166-DateToday)+15,IF(Pricetype1=1,1,0),0))),J166)))</f>
        <v> </v>
      </c>
      <c r="T166" s="318" t="str">
        <f aca="false">IF($A166="N/A"," ",IF(Pricetype1=2,MAX(K166,0),IF(OR(Pricetype1=1,Pricetype1=4),IF(K166=0,0,(EURO(K166,Strikeprice1,0,0,($AK166+IF(Smile=TRUE(),VLOOKUP(MAX(-5,Strikeprice1-K166),Volsmile,2),0)),($A166-DateToday)+15,IF(Pricetype1=1,1,0),0))),K166)))</f>
        <v> </v>
      </c>
      <c r="U166" s="319" t="str">
        <f aca="false">IF($A166="N/A"," ",Volume1*$AM166)</f>
        <v> </v>
      </c>
      <c r="V166" s="320" t="str">
        <f aca="false">IF($A166="N/A"," ",$U166*(8*($BQ166))*L166)</f>
        <v> </v>
      </c>
      <c r="W166" s="320" t="str">
        <f aca="false">IF($A166="N/A"," ",$U166*(8*($BQ166))*M166)</f>
        <v> </v>
      </c>
      <c r="X166" s="320" t="str">
        <f aca="false">IF($A166="N/A"," ",$U166*(8*($BQ166))*N166)</f>
        <v> </v>
      </c>
      <c r="Y166" s="320" t="str">
        <f aca="false">IF($A166="N/A"," ",$U166*(8*($BR166))*O166)</f>
        <v> </v>
      </c>
      <c r="Z166" s="320" t="str">
        <f aca="false">IF($A166="N/A"," ",$U166*(8*($BR166))*P166)</f>
        <v> </v>
      </c>
      <c r="AA166" s="320" t="str">
        <f aca="false">IF($A166="N/A"," ",$U166*(8*($BR166))*Q166)</f>
        <v> </v>
      </c>
      <c r="AB166" s="320" t="str">
        <f aca="false">IF($A166="N/A"," ",$U166*(8*($BS166))*R166)</f>
        <v> </v>
      </c>
      <c r="AC166" s="320" t="str">
        <f aca="false">IF($A166="N/A"," ",$U166*(8*($BS166))*S166)</f>
        <v> </v>
      </c>
      <c r="AD166" s="320" t="str">
        <f aca="false">IF($A166="N/A"," ",$U166*(8*($BS166))*T166)</f>
        <v> </v>
      </c>
      <c r="AE166" s="320" t="str">
        <f aca="false">IF($A166="N/A"," ",SUM(V166:AD166))</f>
        <v> </v>
      </c>
      <c r="AF166" s="321" t="str">
        <f aca="false">IF(A166="N/A"," ",(VLOOKUP(A166,PowerVolTable,(IF(VolBMO1=2,7,IF(VolBMO1=1,6,8))),FALSE())))</f>
        <v> </v>
      </c>
      <c r="AG166" s="321" t="str">
        <f aca="false">IF(A166="N/A"," ",(VLOOKUP(A166,IntraPowerVol,(IF(VolBMO1=2,3,IF(VolBMO1=1,2,4))),FALSE())*VLOOKUP(MONTH($A166),Volscale,2)))</f>
        <v> </v>
      </c>
      <c r="AH166" s="321" t="str">
        <f aca="false">IF($A166="N/A"," ",IF(VolType1=1,AG166,AF166))</f>
        <v> </v>
      </c>
      <c r="AI166" s="321" t="str">
        <f aca="false">IF($A166="N/A"," ",(VLOOKUP($A166,OffPwrVolTable,(IF(VolBMO1=2,7,IF(VolBMO1=1,6,8))),FALSE())))</f>
        <v> </v>
      </c>
      <c r="AJ166" s="321" t="str">
        <f aca="false">IF($A166="N/A"," ",(VLOOKUP($A166,OffPwrVolTable,(IF(VolBMO1=2,3,IF(VolBMO1=1,2,4))),FALSE())*VLOOKUP(MONTH($A166),Volscale,2)))</f>
        <v> </v>
      </c>
      <c r="AK166" s="321" t="str">
        <f aca="false">IF($A166="N/A"," ",IF(VolType1=1,AJ166,AI166))</f>
        <v> </v>
      </c>
      <c r="AL166" s="321" t="str">
        <f aca="false">IF($A166="N/A"," ",IF(PV=1,0,'Pricing Inputs1'!R199))</f>
        <v> </v>
      </c>
      <c r="AM166" s="323" t="str">
        <f aca="false">IF($A166="N/A"," ",(1+AL166/2)^(-2*((EOMONTH(A166,0)+20)-DateToday)/365.25))</f>
        <v> </v>
      </c>
      <c r="BQ166" s="0" t="str">
        <f aca="false">IF($A166="N/A"," ",(VLOOKUP($A166,NumberofDaysTable,2)))</f>
        <v> </v>
      </c>
      <c r="BR166" s="0" t="str">
        <f aca="false">IF($A166="N/A"," ",(VLOOKUP($A166,NumberofDaysTable,3)))</f>
        <v> </v>
      </c>
      <c r="BS166" s="0" t="str">
        <f aca="false">IF($A166="N/A"," ",(VLOOKUP($A166,NumberofDaysTable,4)))</f>
        <v> </v>
      </c>
    </row>
    <row r="167" customFormat="false" ht="12.75" hidden="false" customHeight="false" outlineLevel="0" collapsed="false">
      <c r="A167" s="315" t="str">
        <f aca="false">IF(A166="N/A","N/A",IF(EDATE(A166,1)&gt;Inputs!$M$5,"N/A",EDATE(A166,1)))</f>
        <v>N/A</v>
      </c>
      <c r="B167" s="316" t="str">
        <f aca="false">IF(A167="N/A"," ",YEAR(A167))</f>
        <v> </v>
      </c>
      <c r="C167" s="324" t="str">
        <f aca="false">IF($A167="N/A"," ",IF(Dayrun1=10,0,IF(Scaler1=1,(VLOOKUP(A167,ScaledPrice1,4)),(VLOOKUP(A167,ScaledPrice1,2)))))</f>
        <v> </v>
      </c>
      <c r="D167" s="317" t="str">
        <f aca="false">IF(A167="N/A"," ",IF(Dayrun1&gt;=7,0,IF(Scaler1=2,VLOOKUP(A167,ScaledPrice1,2),(VLOOKUP(A167,ScaledPrice1,2))*(2-(VLOOKUP(A167,ScaledPrice1,3))))))</f>
        <v> </v>
      </c>
      <c r="E167" s="317" t="str">
        <f aca="false">IF($A167="N/A"," ",IF(AND(Dayrun1&gt;=4,Dayrun1&lt;=9),0,VLOOKUP($A167,ScaledPrice1,9)))</f>
        <v> </v>
      </c>
      <c r="F167" s="317" t="str">
        <f aca="false">IF(A167="N/A"," ",IF(OR(Dayrun1=2,Dayrun1=3,Dayrun1=5,Dayrun1=6,Dayrun1=8,Dayrun1=9),VLOOKUP(A167,ScaledPrice1,IF(Scaler1=1,6,5)),0))</f>
        <v> </v>
      </c>
      <c r="G167" s="317" t="str">
        <f aca="false">IF(A167="N/A"," ",IF(OR(Dayrun1=2,Dayrun1=3,Dayrun1=5,Dayrun1=6),IF(Scaler1=2,F167,(VLOOKUP(A167,ScaledPrice1,5))*(2-(VLOOKUP(A167,ScaledPrice1,3)))),0))</f>
        <v> </v>
      </c>
      <c r="H167" s="317" t="str">
        <f aca="false">IF($A167="N/A"," ",IF(OR(Dayrun1=2,Dayrun1=3,Dayrun1=10),VLOOKUP($A167,ScaledPrice1,9),0))</f>
        <v> </v>
      </c>
      <c r="I167" s="317" t="str">
        <f aca="false">IF(A167="N/A"," ",IF(OR(Dayrun1=3,Dayrun1=6,Dayrun1=9),(VLOOKUP(A167,ScaledPrice1,IF(Scaler1=2,7,8))),0))</f>
        <v> </v>
      </c>
      <c r="J167" s="317" t="str">
        <f aca="false">IF(A167="N/A"," ",IF(OR(Dayrun1=3,Dayrun1=6),IF(Scaler1=2,I167,(VLOOKUP(A167,ScaledPrice1,7))*(2-(VLOOKUP(A167,ScaledPrice1,3)))),0))</f>
        <v> </v>
      </c>
      <c r="K167" s="317" t="str">
        <f aca="false">IF($A167="N/A"," ",IF(OR(Dayrun1=3,Dayrun1=10),VLOOKUP($A167,ScaledPrice1,9),0))</f>
        <v> </v>
      </c>
      <c r="L167" s="318" t="str">
        <f aca="false">IF($A167="N/A"," ",IF(Pricetype1=2,MAX(C167,0),IF(OR(Pricetype1=1,Pricetype1=4),IF(C167=0,0,(EURO(C167,Strikeprice1,0,0,($AH167+IF(Smile=TRUE(),VLOOKUP(MAX(-5,Strikeprice1-C167),Volsmile,2),0)),($A167-DateToday)+15,IF(Pricetype1=1,1,0),0))),C167)))</f>
        <v> </v>
      </c>
      <c r="M167" s="318" t="str">
        <f aca="false">IF($A167="N/A"," ",IF(Pricetype1=2,MAX(D167,0),IF(OR(Pricetype1=1,Pricetype1=4),IF(D167=0,0,(EURO(D167,Strikeprice1,0,0,($AH167+IF(Smile=TRUE(),VLOOKUP(MAX(-5,Strikeprice1-D167),Volsmile,2),0)),($A167-DateToday)+15,IF(Pricetype1=1,1,0),0))),D167)))</f>
        <v> </v>
      </c>
      <c r="N167" s="318" t="str">
        <f aca="false">IF($A167="N/A"," ",IF(Pricetype1=2,MAX(E167,0),IF(OR(Pricetype1=1,Pricetype1=4),IF(E167=0,0,(EURO(E167,Strikeprice1,0,0,($AK167+IF(Smile=TRUE(),VLOOKUP(MAX(-5,Strikeprice1-E167),Volsmile,2),0)),($A167-DateToday)+15,IF(Pricetype1=1,1,0),0))),E167)))</f>
        <v> </v>
      </c>
      <c r="O167" s="318" t="str">
        <f aca="false">IF($A167="N/A"," ",IF(Pricetype1=2,MAX(F167,0),IF(OR(Pricetype1=1,Pricetype1=4),IF(F167=0,0,(EURO(F167,Strikeprice1,0,0,($AK167+IF(Smile=TRUE(),VLOOKUP(MAX(-5,Strikeprice1-F167),Volsmile,2),0)),($A167-DateToday)+15,IF(Pricetype1=1,1,0),0))),F167)))</f>
        <v> </v>
      </c>
      <c r="P167" s="318" t="str">
        <f aca="false">IF($A167="N/A"," ",IF(Pricetype1=2,MAX(G167,0),IF(OR(Pricetype1=1,Pricetype1=4),IF(G167=0,0,(EURO(G167,Strikeprice1,0,0,($AK167+IF(Smile=TRUE(),VLOOKUP(MAX(-5,Strikeprice1-G167),Volsmile,2),0)),($A167-DateToday)+15,IF(Pricetype1=1,1,0),0))),G167)))</f>
        <v> </v>
      </c>
      <c r="Q167" s="318" t="str">
        <f aca="false">IF($A167="N/A"," ",IF(Pricetype1=2,MAX(H167,0),IF(OR(Pricetype1=1,Pricetype1=4),IF(H167=0,0,(EURO(H167,Strikeprice1,0,0,($AK167+IF(Smile=TRUE(),VLOOKUP(MAX(-5,Strikeprice1-H167),Volsmile,2),0)),($A167-DateToday)+15,IF(Pricetype1=1,1,0),0))),H167)))</f>
        <v> </v>
      </c>
      <c r="R167" s="318" t="str">
        <f aca="false">IF($A167="N/A"," ",IF(Pricetype1=2,MAX(I167,0),IF(OR(Pricetype1=1,Pricetype1=4),IF(I167=0,0,(EURO(I167,Strikeprice1,0,0,($AK167+IF(Smile=TRUE(),VLOOKUP(MAX(-5,Strikeprice1-I167),Volsmile,2),0)),($A167-DateToday)+15,IF(Pricetype1=1,1,0),0))),I167)))</f>
        <v> </v>
      </c>
      <c r="S167" s="318" t="str">
        <f aca="false">IF($A167="N/A"," ",IF(Pricetype1=2,MAX(J167,0),IF(OR(Pricetype1=1,Pricetype1=4),IF(J167=0,0,(EURO(J167,Strikeprice1,0,0,($AK167+IF(Smile=TRUE(),VLOOKUP(MAX(-5,Strikeprice1-J167),Volsmile,2),0)),($A167-DateToday)+15,IF(Pricetype1=1,1,0),0))),J167)))</f>
        <v> </v>
      </c>
      <c r="T167" s="318" t="str">
        <f aca="false">IF($A167="N/A"," ",IF(Pricetype1=2,MAX(K167,0),IF(OR(Pricetype1=1,Pricetype1=4),IF(K167=0,0,(EURO(K167,Strikeprice1,0,0,($AK167+IF(Smile=TRUE(),VLOOKUP(MAX(-5,Strikeprice1-K167),Volsmile,2),0)),($A167-DateToday)+15,IF(Pricetype1=1,1,0),0))),K167)))</f>
        <v> </v>
      </c>
      <c r="U167" s="319" t="str">
        <f aca="false">IF($A167="N/A"," ",Volume1*$AM167)</f>
        <v> </v>
      </c>
      <c r="V167" s="320" t="str">
        <f aca="false">IF($A167="N/A"," ",$U167*(8*($BQ167))*L167)</f>
        <v> </v>
      </c>
      <c r="W167" s="320" t="str">
        <f aca="false">IF($A167="N/A"," ",$U167*(8*($BQ167))*M167)</f>
        <v> </v>
      </c>
      <c r="X167" s="320" t="str">
        <f aca="false">IF($A167="N/A"," ",$U167*(8*($BQ167))*N167)</f>
        <v> </v>
      </c>
      <c r="Y167" s="320" t="str">
        <f aca="false">IF($A167="N/A"," ",$U167*(8*($BR167))*O167)</f>
        <v> </v>
      </c>
      <c r="Z167" s="320" t="str">
        <f aca="false">IF($A167="N/A"," ",$U167*(8*($BR167))*P167)</f>
        <v> </v>
      </c>
      <c r="AA167" s="320" t="str">
        <f aca="false">IF($A167="N/A"," ",$U167*(8*($BR167))*Q167)</f>
        <v> </v>
      </c>
      <c r="AB167" s="320" t="str">
        <f aca="false">IF($A167="N/A"," ",$U167*(8*($BS167))*R167)</f>
        <v> </v>
      </c>
      <c r="AC167" s="320" t="str">
        <f aca="false">IF($A167="N/A"," ",$U167*(8*($BS167))*S167)</f>
        <v> </v>
      </c>
      <c r="AD167" s="320" t="str">
        <f aca="false">IF($A167="N/A"," ",$U167*(8*($BS167))*T167)</f>
        <v> </v>
      </c>
      <c r="AE167" s="320" t="str">
        <f aca="false">IF($A167="N/A"," ",SUM(V167:AD167))</f>
        <v> </v>
      </c>
      <c r="AF167" s="321" t="str">
        <f aca="false">IF(A167="N/A"," ",(VLOOKUP(A167,PowerVolTable,(IF(VolBMO1=2,7,IF(VolBMO1=1,6,8))),FALSE())))</f>
        <v> </v>
      </c>
      <c r="AG167" s="321" t="str">
        <f aca="false">IF(A167="N/A"," ",(VLOOKUP(A167,IntraPowerVol,(IF(VolBMO1=2,3,IF(VolBMO1=1,2,4))),FALSE())*VLOOKUP(MONTH($A167),Volscale,2)))</f>
        <v> </v>
      </c>
      <c r="AH167" s="321" t="str">
        <f aca="false">IF($A167="N/A"," ",IF(VolType1=1,AG167,AF167))</f>
        <v> </v>
      </c>
      <c r="AI167" s="321" t="str">
        <f aca="false">IF($A167="N/A"," ",(VLOOKUP($A167,OffPwrVolTable,(IF(VolBMO1=2,7,IF(VolBMO1=1,6,8))),FALSE())))</f>
        <v> </v>
      </c>
      <c r="AJ167" s="321" t="str">
        <f aca="false">IF($A167="N/A"," ",(VLOOKUP($A167,OffPwrVolTable,(IF(VolBMO1=2,3,IF(VolBMO1=1,2,4))),FALSE())*VLOOKUP(MONTH($A167),Volscale,2)))</f>
        <v> </v>
      </c>
      <c r="AK167" s="321" t="str">
        <f aca="false">IF($A167="N/A"," ",IF(VolType1=1,AJ167,AI167))</f>
        <v> </v>
      </c>
      <c r="AL167" s="321" t="str">
        <f aca="false">IF($A167="N/A"," ",IF(PV=1,0,'Pricing Inputs1'!R200))</f>
        <v> </v>
      </c>
      <c r="AM167" s="323" t="str">
        <f aca="false">IF($A167="N/A"," ",(1+AL167/2)^(-2*((EOMONTH(A167,0)+20)-DateToday)/365.25))</f>
        <v> </v>
      </c>
      <c r="BQ167" s="0" t="str">
        <f aca="false">IF($A167="N/A"," ",(VLOOKUP($A167,NumberofDaysTable,2)))</f>
        <v> </v>
      </c>
      <c r="BR167" s="0" t="str">
        <f aca="false">IF($A167="N/A"," ",(VLOOKUP($A167,NumberofDaysTable,3)))</f>
        <v> </v>
      </c>
      <c r="BS167" s="0" t="str">
        <f aca="false">IF($A167="N/A"," ",(VLOOKUP($A167,NumberofDaysTable,4)))</f>
        <v> </v>
      </c>
    </row>
    <row r="168" customFormat="false" ht="12.75" hidden="false" customHeight="false" outlineLevel="0" collapsed="false">
      <c r="A168" s="315" t="str">
        <f aca="false">IF(A167="N/A","N/A",IF(EDATE(A167,1)&gt;Inputs!$M$5,"N/A",EDATE(A167,1)))</f>
        <v>N/A</v>
      </c>
      <c r="B168" s="316" t="str">
        <f aca="false">IF(A168="N/A"," ",YEAR(A168))</f>
        <v> </v>
      </c>
      <c r="C168" s="324" t="str">
        <f aca="false">IF($A168="N/A"," ",IF(Dayrun1=10,0,IF(Scaler1=1,(VLOOKUP(A168,ScaledPrice1,4)),(VLOOKUP(A168,ScaledPrice1,2)))))</f>
        <v> </v>
      </c>
      <c r="D168" s="317" t="str">
        <f aca="false">IF(A168="N/A"," ",IF(Dayrun1&gt;=7,0,IF(Scaler1=2,VLOOKUP(A168,ScaledPrice1,2),(VLOOKUP(A168,ScaledPrice1,2))*(2-(VLOOKUP(A168,ScaledPrice1,3))))))</f>
        <v> </v>
      </c>
      <c r="E168" s="317" t="str">
        <f aca="false">IF($A168="N/A"," ",IF(AND(Dayrun1&gt;=4,Dayrun1&lt;=9),0,VLOOKUP($A168,ScaledPrice1,9)))</f>
        <v> </v>
      </c>
      <c r="F168" s="317" t="str">
        <f aca="false">IF(A168="N/A"," ",IF(OR(Dayrun1=2,Dayrun1=3,Dayrun1=5,Dayrun1=6,Dayrun1=8,Dayrun1=9),VLOOKUP(A168,ScaledPrice1,IF(Scaler1=1,6,5)),0))</f>
        <v> </v>
      </c>
      <c r="G168" s="317" t="str">
        <f aca="false">IF(A168="N/A"," ",IF(OR(Dayrun1=2,Dayrun1=3,Dayrun1=5,Dayrun1=6),IF(Scaler1=2,F168,(VLOOKUP(A168,ScaledPrice1,5))*(2-(VLOOKUP(A168,ScaledPrice1,3)))),0))</f>
        <v> </v>
      </c>
      <c r="H168" s="317" t="str">
        <f aca="false">IF($A168="N/A"," ",IF(OR(Dayrun1=2,Dayrun1=3,Dayrun1=10),VLOOKUP($A168,ScaledPrice1,9),0))</f>
        <v> </v>
      </c>
      <c r="I168" s="317" t="str">
        <f aca="false">IF(A168="N/A"," ",IF(OR(Dayrun1=3,Dayrun1=6,Dayrun1=9),(VLOOKUP(A168,ScaledPrice1,IF(Scaler1=2,7,8))),0))</f>
        <v> </v>
      </c>
      <c r="J168" s="317" t="str">
        <f aca="false">IF(A168="N/A"," ",IF(OR(Dayrun1=3,Dayrun1=6),IF(Scaler1=2,I168,(VLOOKUP(A168,ScaledPrice1,7))*(2-(VLOOKUP(A168,ScaledPrice1,3)))),0))</f>
        <v> </v>
      </c>
      <c r="K168" s="317" t="str">
        <f aca="false">IF($A168="N/A"," ",IF(OR(Dayrun1=3,Dayrun1=10),VLOOKUP($A168,ScaledPrice1,9),0))</f>
        <v> </v>
      </c>
      <c r="L168" s="318" t="str">
        <f aca="false">IF($A168="N/A"," ",IF(Pricetype1=2,MAX(C168,0),IF(OR(Pricetype1=1,Pricetype1=4),IF(C168=0,0,(EURO(C168,Strikeprice1,0,0,($AH168+IF(Smile=TRUE(),VLOOKUP(MAX(-5,Strikeprice1-C168),Volsmile,2),0)),($A168-DateToday)+15,IF(Pricetype1=1,1,0),0))),C168)))</f>
        <v> </v>
      </c>
      <c r="M168" s="318" t="str">
        <f aca="false">IF($A168="N/A"," ",IF(Pricetype1=2,MAX(D168,0),IF(OR(Pricetype1=1,Pricetype1=4),IF(D168=0,0,(EURO(D168,Strikeprice1,0,0,($AH168+IF(Smile=TRUE(),VLOOKUP(MAX(-5,Strikeprice1-D168),Volsmile,2),0)),($A168-DateToday)+15,IF(Pricetype1=1,1,0),0))),D168)))</f>
        <v> </v>
      </c>
      <c r="N168" s="318" t="str">
        <f aca="false">IF($A168="N/A"," ",IF(Pricetype1=2,MAX(E168,0),IF(OR(Pricetype1=1,Pricetype1=4),IF(E168=0,0,(EURO(E168,Strikeprice1,0,0,($AK168+IF(Smile=TRUE(),VLOOKUP(MAX(-5,Strikeprice1-E168),Volsmile,2),0)),($A168-DateToday)+15,IF(Pricetype1=1,1,0),0))),E168)))</f>
        <v> </v>
      </c>
      <c r="O168" s="318" t="str">
        <f aca="false">IF($A168="N/A"," ",IF(Pricetype1=2,MAX(F168,0),IF(OR(Pricetype1=1,Pricetype1=4),IF(F168=0,0,(EURO(F168,Strikeprice1,0,0,($AK168+IF(Smile=TRUE(),VLOOKUP(MAX(-5,Strikeprice1-F168),Volsmile,2),0)),($A168-DateToday)+15,IF(Pricetype1=1,1,0),0))),F168)))</f>
        <v> </v>
      </c>
      <c r="P168" s="318" t="str">
        <f aca="false">IF($A168="N/A"," ",IF(Pricetype1=2,MAX(G168,0),IF(OR(Pricetype1=1,Pricetype1=4),IF(G168=0,0,(EURO(G168,Strikeprice1,0,0,($AK168+IF(Smile=TRUE(),VLOOKUP(MAX(-5,Strikeprice1-G168),Volsmile,2),0)),($A168-DateToday)+15,IF(Pricetype1=1,1,0),0))),G168)))</f>
        <v> </v>
      </c>
      <c r="Q168" s="318" t="str">
        <f aca="false">IF($A168="N/A"," ",IF(Pricetype1=2,MAX(H168,0),IF(OR(Pricetype1=1,Pricetype1=4),IF(H168=0,0,(EURO(H168,Strikeprice1,0,0,($AK168+IF(Smile=TRUE(),VLOOKUP(MAX(-5,Strikeprice1-H168),Volsmile,2),0)),($A168-DateToday)+15,IF(Pricetype1=1,1,0),0))),H168)))</f>
        <v> </v>
      </c>
      <c r="R168" s="318" t="str">
        <f aca="false">IF($A168="N/A"," ",IF(Pricetype1=2,MAX(I168,0),IF(OR(Pricetype1=1,Pricetype1=4),IF(I168=0,0,(EURO(I168,Strikeprice1,0,0,($AK168+IF(Smile=TRUE(),VLOOKUP(MAX(-5,Strikeprice1-I168),Volsmile,2),0)),($A168-DateToday)+15,IF(Pricetype1=1,1,0),0))),I168)))</f>
        <v> </v>
      </c>
      <c r="S168" s="318" t="str">
        <f aca="false">IF($A168="N/A"," ",IF(Pricetype1=2,MAX(J168,0),IF(OR(Pricetype1=1,Pricetype1=4),IF(J168=0,0,(EURO(J168,Strikeprice1,0,0,($AK168+IF(Smile=TRUE(),VLOOKUP(MAX(-5,Strikeprice1-J168),Volsmile,2),0)),($A168-DateToday)+15,IF(Pricetype1=1,1,0),0))),J168)))</f>
        <v> </v>
      </c>
      <c r="T168" s="318" t="str">
        <f aca="false">IF($A168="N/A"," ",IF(Pricetype1=2,MAX(K168,0),IF(OR(Pricetype1=1,Pricetype1=4),IF(K168=0,0,(EURO(K168,Strikeprice1,0,0,($AK168+IF(Smile=TRUE(),VLOOKUP(MAX(-5,Strikeprice1-K168),Volsmile,2),0)),($A168-DateToday)+15,IF(Pricetype1=1,1,0),0))),K168)))</f>
        <v> </v>
      </c>
      <c r="U168" s="319" t="str">
        <f aca="false">IF($A168="N/A"," ",Volume1*$AM168)</f>
        <v> </v>
      </c>
      <c r="V168" s="320" t="str">
        <f aca="false">IF($A168="N/A"," ",$U168*(8*($BQ168))*L168)</f>
        <v> </v>
      </c>
      <c r="W168" s="320" t="str">
        <f aca="false">IF($A168="N/A"," ",$U168*(8*($BQ168))*M168)</f>
        <v> </v>
      </c>
      <c r="X168" s="320" t="str">
        <f aca="false">IF($A168="N/A"," ",$U168*(8*($BQ168))*N168)</f>
        <v> </v>
      </c>
      <c r="Y168" s="320" t="str">
        <f aca="false">IF($A168="N/A"," ",$U168*(8*($BR168))*O168)</f>
        <v> </v>
      </c>
      <c r="Z168" s="320" t="str">
        <f aca="false">IF($A168="N/A"," ",$U168*(8*($BR168))*P168)</f>
        <v> </v>
      </c>
      <c r="AA168" s="320" t="str">
        <f aca="false">IF($A168="N/A"," ",$U168*(8*($BR168))*Q168)</f>
        <v> </v>
      </c>
      <c r="AB168" s="320" t="str">
        <f aca="false">IF($A168="N/A"," ",$U168*(8*($BS168))*R168)</f>
        <v> </v>
      </c>
      <c r="AC168" s="320" t="str">
        <f aca="false">IF($A168="N/A"," ",$U168*(8*($BS168))*S168)</f>
        <v> </v>
      </c>
      <c r="AD168" s="320" t="str">
        <f aca="false">IF($A168="N/A"," ",$U168*(8*($BS168))*T168)</f>
        <v> </v>
      </c>
      <c r="AE168" s="320" t="str">
        <f aca="false">IF($A168="N/A"," ",SUM(V168:AD168))</f>
        <v> </v>
      </c>
      <c r="AF168" s="321" t="str">
        <f aca="false">IF(A168="N/A"," ",(VLOOKUP(A168,PowerVolTable,(IF(VolBMO1=2,7,IF(VolBMO1=1,6,8))),FALSE())))</f>
        <v> </v>
      </c>
      <c r="AG168" s="321" t="str">
        <f aca="false">IF(A168="N/A"," ",(VLOOKUP(A168,IntraPowerVol,(IF(VolBMO1=2,3,IF(VolBMO1=1,2,4))),FALSE())*VLOOKUP(MONTH($A168),Volscale,2)))</f>
        <v> </v>
      </c>
      <c r="AH168" s="321" t="str">
        <f aca="false">IF($A168="N/A"," ",IF(VolType1=1,AG168,AF168))</f>
        <v> </v>
      </c>
      <c r="AI168" s="321" t="str">
        <f aca="false">IF($A168="N/A"," ",(VLOOKUP($A168,OffPwrVolTable,(IF(VolBMO1=2,7,IF(VolBMO1=1,6,8))),FALSE())))</f>
        <v> </v>
      </c>
      <c r="AJ168" s="321" t="str">
        <f aca="false">IF($A168="N/A"," ",(VLOOKUP($A168,OffPwrVolTable,(IF(VolBMO1=2,3,IF(VolBMO1=1,2,4))),FALSE())*VLOOKUP(MONTH($A168),Volscale,2)))</f>
        <v> </v>
      </c>
      <c r="AK168" s="321" t="str">
        <f aca="false">IF($A168="N/A"," ",IF(VolType1=1,AJ168,AI168))</f>
        <v> </v>
      </c>
      <c r="AL168" s="321" t="str">
        <f aca="false">IF($A168="N/A"," ",IF(PV=1,0,'Pricing Inputs1'!R201))</f>
        <v> </v>
      </c>
      <c r="AM168" s="323" t="str">
        <f aca="false">IF($A168="N/A"," ",(1+AL168/2)^(-2*((EOMONTH(A168,0)+20)-DateToday)/365.25))</f>
        <v> </v>
      </c>
      <c r="BQ168" s="0" t="str">
        <f aca="false">IF($A168="N/A"," ",(VLOOKUP($A168,NumberofDaysTable,2)))</f>
        <v> </v>
      </c>
      <c r="BR168" s="0" t="str">
        <f aca="false">IF($A168="N/A"," ",(VLOOKUP($A168,NumberofDaysTable,3)))</f>
        <v> </v>
      </c>
      <c r="BS168" s="0" t="str">
        <f aca="false">IF($A168="N/A"," ",(VLOOKUP($A168,NumberofDaysTable,4)))</f>
        <v> </v>
      </c>
    </row>
    <row r="169" customFormat="false" ht="12.75" hidden="false" customHeight="false" outlineLevel="0" collapsed="false">
      <c r="A169" s="315" t="str">
        <f aca="false">IF(A168="N/A","N/A",IF(EDATE(A168,1)&gt;Inputs!$M$5,"N/A",EDATE(A168,1)))</f>
        <v>N/A</v>
      </c>
      <c r="B169" s="316" t="str">
        <f aca="false">IF(A169="N/A"," ",YEAR(A169))</f>
        <v> </v>
      </c>
      <c r="C169" s="324" t="str">
        <f aca="false">IF($A169="N/A"," ",IF(Dayrun1=10,0,IF(Scaler1=1,(VLOOKUP(A169,ScaledPrice1,4)),(VLOOKUP(A169,ScaledPrice1,2)))))</f>
        <v> </v>
      </c>
      <c r="D169" s="317" t="str">
        <f aca="false">IF(A169="N/A"," ",IF(Dayrun1&gt;=7,0,IF(Scaler1=2,VLOOKUP(A169,ScaledPrice1,2),(VLOOKUP(A169,ScaledPrice1,2))*(2-(VLOOKUP(A169,ScaledPrice1,3))))))</f>
        <v> </v>
      </c>
      <c r="E169" s="317" t="str">
        <f aca="false">IF($A169="N/A"," ",IF(AND(Dayrun1&gt;=4,Dayrun1&lt;=9),0,VLOOKUP($A169,ScaledPrice1,9)))</f>
        <v> </v>
      </c>
      <c r="F169" s="317" t="str">
        <f aca="false">IF(A169="N/A"," ",IF(OR(Dayrun1=2,Dayrun1=3,Dayrun1=5,Dayrun1=6,Dayrun1=8,Dayrun1=9),VLOOKUP(A169,ScaledPrice1,IF(Scaler1=1,6,5)),0))</f>
        <v> </v>
      </c>
      <c r="G169" s="317" t="str">
        <f aca="false">IF(A169="N/A"," ",IF(OR(Dayrun1=2,Dayrun1=3,Dayrun1=5,Dayrun1=6),IF(Scaler1=2,F169,(VLOOKUP(A169,ScaledPrice1,5))*(2-(VLOOKUP(A169,ScaledPrice1,3)))),0))</f>
        <v> </v>
      </c>
      <c r="H169" s="317" t="str">
        <f aca="false">IF($A169="N/A"," ",IF(OR(Dayrun1=2,Dayrun1=3,Dayrun1=10),VLOOKUP($A169,ScaledPrice1,9),0))</f>
        <v> </v>
      </c>
      <c r="I169" s="317" t="str">
        <f aca="false">IF(A169="N/A"," ",IF(OR(Dayrun1=3,Dayrun1=6,Dayrun1=9),(VLOOKUP(A169,ScaledPrice1,IF(Scaler1=2,7,8))),0))</f>
        <v> </v>
      </c>
      <c r="J169" s="317" t="str">
        <f aca="false">IF(A169="N/A"," ",IF(OR(Dayrun1=3,Dayrun1=6),IF(Scaler1=2,I169,(VLOOKUP(A169,ScaledPrice1,7))*(2-(VLOOKUP(A169,ScaledPrice1,3)))),0))</f>
        <v> </v>
      </c>
      <c r="K169" s="317" t="str">
        <f aca="false">IF($A169="N/A"," ",IF(OR(Dayrun1=3,Dayrun1=10),VLOOKUP($A169,ScaledPrice1,9),0))</f>
        <v> </v>
      </c>
      <c r="L169" s="318" t="str">
        <f aca="false">IF($A169="N/A"," ",IF(Pricetype1=2,MAX(C169,0),IF(OR(Pricetype1=1,Pricetype1=4),IF(C169=0,0,(EURO(C169,Strikeprice1,0,0,($AH169+IF(Smile=TRUE(),VLOOKUP(MAX(-5,Strikeprice1-C169),Volsmile,2),0)),($A169-DateToday)+15,IF(Pricetype1=1,1,0),0))),C169)))</f>
        <v> </v>
      </c>
      <c r="M169" s="318" t="str">
        <f aca="false">IF($A169="N/A"," ",IF(Pricetype1=2,MAX(D169,0),IF(OR(Pricetype1=1,Pricetype1=4),IF(D169=0,0,(EURO(D169,Strikeprice1,0,0,($AH169+IF(Smile=TRUE(),VLOOKUP(MAX(-5,Strikeprice1-D169),Volsmile,2),0)),($A169-DateToday)+15,IF(Pricetype1=1,1,0),0))),D169)))</f>
        <v> </v>
      </c>
      <c r="N169" s="318" t="str">
        <f aca="false">IF($A169="N/A"," ",IF(Pricetype1=2,MAX(E169,0),IF(OR(Pricetype1=1,Pricetype1=4),IF(E169=0,0,(EURO(E169,Strikeprice1,0,0,($AK169+IF(Smile=TRUE(),VLOOKUP(MAX(-5,Strikeprice1-E169),Volsmile,2),0)),($A169-DateToday)+15,IF(Pricetype1=1,1,0),0))),E169)))</f>
        <v> </v>
      </c>
      <c r="O169" s="318" t="str">
        <f aca="false">IF($A169="N/A"," ",IF(Pricetype1=2,MAX(F169,0),IF(OR(Pricetype1=1,Pricetype1=4),IF(F169=0,0,(EURO(F169,Strikeprice1,0,0,($AK169+IF(Smile=TRUE(),VLOOKUP(MAX(-5,Strikeprice1-F169),Volsmile,2),0)),($A169-DateToday)+15,IF(Pricetype1=1,1,0),0))),F169)))</f>
        <v> </v>
      </c>
      <c r="P169" s="318" t="str">
        <f aca="false">IF($A169="N/A"," ",IF(Pricetype1=2,MAX(G169,0),IF(OR(Pricetype1=1,Pricetype1=4),IF(G169=0,0,(EURO(G169,Strikeprice1,0,0,($AK169+IF(Smile=TRUE(),VLOOKUP(MAX(-5,Strikeprice1-G169),Volsmile,2),0)),($A169-DateToday)+15,IF(Pricetype1=1,1,0),0))),G169)))</f>
        <v> </v>
      </c>
      <c r="Q169" s="318" t="str">
        <f aca="false">IF($A169="N/A"," ",IF(Pricetype1=2,MAX(H169,0),IF(OR(Pricetype1=1,Pricetype1=4),IF(H169=0,0,(EURO(H169,Strikeprice1,0,0,($AK169+IF(Smile=TRUE(),VLOOKUP(MAX(-5,Strikeprice1-H169),Volsmile,2),0)),($A169-DateToday)+15,IF(Pricetype1=1,1,0),0))),H169)))</f>
        <v> </v>
      </c>
      <c r="R169" s="318" t="str">
        <f aca="false">IF($A169="N/A"," ",IF(Pricetype1=2,MAX(I169,0),IF(OR(Pricetype1=1,Pricetype1=4),IF(I169=0,0,(EURO(I169,Strikeprice1,0,0,($AK169+IF(Smile=TRUE(),VLOOKUP(MAX(-5,Strikeprice1-I169),Volsmile,2),0)),($A169-DateToday)+15,IF(Pricetype1=1,1,0),0))),I169)))</f>
        <v> </v>
      </c>
      <c r="S169" s="318" t="str">
        <f aca="false">IF($A169="N/A"," ",IF(Pricetype1=2,MAX(J169,0),IF(OR(Pricetype1=1,Pricetype1=4),IF(J169=0,0,(EURO(J169,Strikeprice1,0,0,($AK169+IF(Smile=TRUE(),VLOOKUP(MAX(-5,Strikeprice1-J169),Volsmile,2),0)),($A169-DateToday)+15,IF(Pricetype1=1,1,0),0))),J169)))</f>
        <v> </v>
      </c>
      <c r="T169" s="318" t="str">
        <f aca="false">IF($A169="N/A"," ",IF(Pricetype1=2,MAX(K169,0),IF(OR(Pricetype1=1,Pricetype1=4),IF(K169=0,0,(EURO(K169,Strikeprice1,0,0,($AK169+IF(Smile=TRUE(),VLOOKUP(MAX(-5,Strikeprice1-K169),Volsmile,2),0)),($A169-DateToday)+15,IF(Pricetype1=1,1,0),0))),K169)))</f>
        <v> </v>
      </c>
      <c r="U169" s="319" t="str">
        <f aca="false">IF($A169="N/A"," ",Volume1*$AM169)</f>
        <v> </v>
      </c>
      <c r="V169" s="320" t="str">
        <f aca="false">IF($A169="N/A"," ",$U169*(8*($BQ169))*L169)</f>
        <v> </v>
      </c>
      <c r="W169" s="320" t="str">
        <f aca="false">IF($A169="N/A"," ",$U169*(8*($BQ169))*M169)</f>
        <v> </v>
      </c>
      <c r="X169" s="320" t="str">
        <f aca="false">IF($A169="N/A"," ",$U169*(8*($BQ169))*N169)</f>
        <v> </v>
      </c>
      <c r="Y169" s="320" t="str">
        <f aca="false">IF($A169="N/A"," ",$U169*(8*($BR169))*O169)</f>
        <v> </v>
      </c>
      <c r="Z169" s="320" t="str">
        <f aca="false">IF($A169="N/A"," ",$U169*(8*($BR169))*P169)</f>
        <v> </v>
      </c>
      <c r="AA169" s="320" t="str">
        <f aca="false">IF($A169="N/A"," ",$U169*(8*($BR169))*Q169)</f>
        <v> </v>
      </c>
      <c r="AB169" s="320" t="str">
        <f aca="false">IF($A169="N/A"," ",$U169*(8*($BS169))*R169)</f>
        <v> </v>
      </c>
      <c r="AC169" s="320" t="str">
        <f aca="false">IF($A169="N/A"," ",$U169*(8*($BS169))*S169)</f>
        <v> </v>
      </c>
      <c r="AD169" s="320" t="str">
        <f aca="false">IF($A169="N/A"," ",$U169*(8*($BS169))*T169)</f>
        <v> </v>
      </c>
      <c r="AE169" s="320" t="str">
        <f aca="false">IF($A169="N/A"," ",SUM(V169:AD169))</f>
        <v> </v>
      </c>
      <c r="AF169" s="321" t="str">
        <f aca="false">IF(A169="N/A"," ",(VLOOKUP(A169,PowerVolTable,(IF(VolBMO1=2,7,IF(VolBMO1=1,6,8))),FALSE())))</f>
        <v> </v>
      </c>
      <c r="AG169" s="321" t="str">
        <f aca="false">IF(A169="N/A"," ",(VLOOKUP(A169,IntraPowerVol,(IF(VolBMO1=2,3,IF(VolBMO1=1,2,4))),FALSE())*VLOOKUP(MONTH($A169),Volscale,2)))</f>
        <v> </v>
      </c>
      <c r="AH169" s="321" t="str">
        <f aca="false">IF($A169="N/A"," ",IF(VolType1=1,AG169,AF169))</f>
        <v> </v>
      </c>
      <c r="AI169" s="321" t="str">
        <f aca="false">IF($A169="N/A"," ",(VLOOKUP($A169,OffPwrVolTable,(IF(VolBMO1=2,7,IF(VolBMO1=1,6,8))),FALSE())))</f>
        <v> </v>
      </c>
      <c r="AJ169" s="321" t="str">
        <f aca="false">IF($A169="N/A"," ",(VLOOKUP($A169,OffPwrVolTable,(IF(VolBMO1=2,3,IF(VolBMO1=1,2,4))),FALSE())*VLOOKUP(MONTH($A169),Volscale,2)))</f>
        <v> </v>
      </c>
      <c r="AK169" s="321" t="str">
        <f aca="false">IF($A169="N/A"," ",IF(VolType1=1,AJ169,AI169))</f>
        <v> </v>
      </c>
      <c r="AL169" s="321" t="str">
        <f aca="false">IF($A169="N/A"," ",IF(PV=1,0,'Pricing Inputs1'!R202))</f>
        <v> </v>
      </c>
      <c r="AM169" s="323" t="str">
        <f aca="false">IF($A169="N/A"," ",(1+AL169/2)^(-2*((EOMONTH(A169,0)+20)-DateToday)/365.25))</f>
        <v> </v>
      </c>
      <c r="BQ169" s="0" t="str">
        <f aca="false">IF($A169="N/A"," ",(VLOOKUP($A169,NumberofDaysTable,2)))</f>
        <v> </v>
      </c>
      <c r="BR169" s="0" t="str">
        <f aca="false">IF($A169="N/A"," ",(VLOOKUP($A169,NumberofDaysTable,3)))</f>
        <v> </v>
      </c>
      <c r="BS169" s="0" t="str">
        <f aca="false">IF($A169="N/A"," ",(VLOOKUP($A169,NumberofDaysTable,4)))</f>
        <v> </v>
      </c>
    </row>
    <row r="170" customFormat="false" ht="12.75" hidden="false" customHeight="false" outlineLevel="0" collapsed="false">
      <c r="A170" s="315" t="str">
        <f aca="false">IF(A169="N/A","N/A",IF(EDATE(A169,1)&gt;Inputs!$M$5,"N/A",EDATE(A169,1)))</f>
        <v>N/A</v>
      </c>
      <c r="B170" s="316" t="str">
        <f aca="false">IF(A170="N/A"," ",YEAR(A170))</f>
        <v> </v>
      </c>
      <c r="C170" s="324" t="str">
        <f aca="false">IF($A170="N/A"," ",IF(Dayrun1=10,0,IF(Scaler1=1,(VLOOKUP(A170,ScaledPrice1,4)),(VLOOKUP(A170,ScaledPrice1,2)))))</f>
        <v> </v>
      </c>
      <c r="D170" s="317" t="str">
        <f aca="false">IF(A170="N/A"," ",IF(Dayrun1&gt;=7,0,IF(Scaler1=2,VLOOKUP(A170,ScaledPrice1,2),(VLOOKUP(A170,ScaledPrice1,2))*(2-(VLOOKUP(A170,ScaledPrice1,3))))))</f>
        <v> </v>
      </c>
      <c r="E170" s="317" t="str">
        <f aca="false">IF($A170="N/A"," ",IF(AND(Dayrun1&gt;=4,Dayrun1&lt;=9),0,VLOOKUP($A170,ScaledPrice1,9)))</f>
        <v> </v>
      </c>
      <c r="F170" s="317" t="str">
        <f aca="false">IF(A170="N/A"," ",IF(OR(Dayrun1=2,Dayrun1=3,Dayrun1=5,Dayrun1=6,Dayrun1=8,Dayrun1=9),VLOOKUP(A170,ScaledPrice1,IF(Scaler1=1,6,5)),0))</f>
        <v> </v>
      </c>
      <c r="G170" s="317" t="str">
        <f aca="false">IF(A170="N/A"," ",IF(OR(Dayrun1=2,Dayrun1=3,Dayrun1=5,Dayrun1=6),IF(Scaler1=2,F170,(VLOOKUP(A170,ScaledPrice1,5))*(2-(VLOOKUP(A170,ScaledPrice1,3)))),0))</f>
        <v> </v>
      </c>
      <c r="H170" s="317" t="str">
        <f aca="false">IF($A170="N/A"," ",IF(OR(Dayrun1=2,Dayrun1=3,Dayrun1=10),VLOOKUP($A170,ScaledPrice1,9),0))</f>
        <v> </v>
      </c>
      <c r="I170" s="317" t="str">
        <f aca="false">IF(A170="N/A"," ",IF(OR(Dayrun1=3,Dayrun1=6,Dayrun1=9),(VLOOKUP(A170,ScaledPrice1,IF(Scaler1=2,7,8))),0))</f>
        <v> </v>
      </c>
      <c r="J170" s="317" t="str">
        <f aca="false">IF(A170="N/A"," ",IF(OR(Dayrun1=3,Dayrun1=6),IF(Scaler1=2,I170,(VLOOKUP(A170,ScaledPrice1,7))*(2-(VLOOKUP(A170,ScaledPrice1,3)))),0))</f>
        <v> </v>
      </c>
      <c r="K170" s="317" t="str">
        <f aca="false">IF($A170="N/A"," ",IF(OR(Dayrun1=3,Dayrun1=10),VLOOKUP($A170,ScaledPrice1,9),0))</f>
        <v> </v>
      </c>
      <c r="L170" s="318" t="str">
        <f aca="false">IF($A170="N/A"," ",IF(Pricetype1=2,MAX(C170,0),IF(OR(Pricetype1=1,Pricetype1=4),IF(C170=0,0,(EURO(C170,Strikeprice1,0,0,($AH170+IF(Smile=TRUE(),VLOOKUP(MAX(-5,Strikeprice1-C170),Volsmile,2),0)),($A170-DateToday)+15,IF(Pricetype1=1,1,0),0))),C170)))</f>
        <v> </v>
      </c>
      <c r="M170" s="318" t="str">
        <f aca="false">IF($A170="N/A"," ",IF(Pricetype1=2,MAX(D170,0),IF(OR(Pricetype1=1,Pricetype1=4),IF(D170=0,0,(EURO(D170,Strikeprice1,0,0,($AH170+IF(Smile=TRUE(),VLOOKUP(MAX(-5,Strikeprice1-D170),Volsmile,2),0)),($A170-DateToday)+15,IF(Pricetype1=1,1,0),0))),D170)))</f>
        <v> </v>
      </c>
      <c r="N170" s="318" t="str">
        <f aca="false">IF($A170="N/A"," ",IF(Pricetype1=2,MAX(E170,0),IF(OR(Pricetype1=1,Pricetype1=4),IF(E170=0,0,(EURO(E170,Strikeprice1,0,0,($AK170+IF(Smile=TRUE(),VLOOKUP(MAX(-5,Strikeprice1-E170),Volsmile,2),0)),($A170-DateToday)+15,IF(Pricetype1=1,1,0),0))),E170)))</f>
        <v> </v>
      </c>
      <c r="O170" s="318" t="str">
        <f aca="false">IF($A170="N/A"," ",IF(Pricetype1=2,MAX(F170,0),IF(OR(Pricetype1=1,Pricetype1=4),IF(F170=0,0,(EURO(F170,Strikeprice1,0,0,($AK170+IF(Smile=TRUE(),VLOOKUP(MAX(-5,Strikeprice1-F170),Volsmile,2),0)),($A170-DateToday)+15,IF(Pricetype1=1,1,0),0))),F170)))</f>
        <v> </v>
      </c>
      <c r="P170" s="318" t="str">
        <f aca="false">IF($A170="N/A"," ",IF(Pricetype1=2,MAX(G170,0),IF(OR(Pricetype1=1,Pricetype1=4),IF(G170=0,0,(EURO(G170,Strikeprice1,0,0,($AK170+IF(Smile=TRUE(),VLOOKUP(MAX(-5,Strikeprice1-G170),Volsmile,2),0)),($A170-DateToday)+15,IF(Pricetype1=1,1,0),0))),G170)))</f>
        <v> </v>
      </c>
      <c r="Q170" s="318" t="str">
        <f aca="false">IF($A170="N/A"," ",IF(Pricetype1=2,MAX(H170,0),IF(OR(Pricetype1=1,Pricetype1=4),IF(H170=0,0,(EURO(H170,Strikeprice1,0,0,($AK170+IF(Smile=TRUE(),VLOOKUP(MAX(-5,Strikeprice1-H170),Volsmile,2),0)),($A170-DateToday)+15,IF(Pricetype1=1,1,0),0))),H170)))</f>
        <v> </v>
      </c>
      <c r="R170" s="318" t="str">
        <f aca="false">IF($A170="N/A"," ",IF(Pricetype1=2,MAX(I170,0),IF(OR(Pricetype1=1,Pricetype1=4),IF(I170=0,0,(EURO(I170,Strikeprice1,0,0,($AK170+IF(Smile=TRUE(),VLOOKUP(MAX(-5,Strikeprice1-I170),Volsmile,2),0)),($A170-DateToday)+15,IF(Pricetype1=1,1,0),0))),I170)))</f>
        <v> </v>
      </c>
      <c r="S170" s="318" t="str">
        <f aca="false">IF($A170="N/A"," ",IF(Pricetype1=2,MAX(J170,0),IF(OR(Pricetype1=1,Pricetype1=4),IF(J170=0,0,(EURO(J170,Strikeprice1,0,0,($AK170+IF(Smile=TRUE(),VLOOKUP(MAX(-5,Strikeprice1-J170),Volsmile,2),0)),($A170-DateToday)+15,IF(Pricetype1=1,1,0),0))),J170)))</f>
        <v> </v>
      </c>
      <c r="T170" s="318" t="str">
        <f aca="false">IF($A170="N/A"," ",IF(Pricetype1=2,MAX(K170,0),IF(OR(Pricetype1=1,Pricetype1=4),IF(K170=0,0,(EURO(K170,Strikeprice1,0,0,($AK170+IF(Smile=TRUE(),VLOOKUP(MAX(-5,Strikeprice1-K170),Volsmile,2),0)),($A170-DateToday)+15,IF(Pricetype1=1,1,0),0))),K170)))</f>
        <v> </v>
      </c>
      <c r="U170" s="319" t="str">
        <f aca="false">IF($A170="N/A"," ",Volume1*$AM170)</f>
        <v> </v>
      </c>
      <c r="V170" s="320" t="str">
        <f aca="false">IF($A170="N/A"," ",$U170*(8*($BQ170))*L170)</f>
        <v> </v>
      </c>
      <c r="W170" s="320" t="str">
        <f aca="false">IF($A170="N/A"," ",$U170*(8*($BQ170))*M170)</f>
        <v> </v>
      </c>
      <c r="X170" s="320" t="str">
        <f aca="false">IF($A170="N/A"," ",$U170*(8*($BQ170))*N170)</f>
        <v> </v>
      </c>
      <c r="Y170" s="320" t="str">
        <f aca="false">IF($A170="N/A"," ",$U170*(8*($BR170))*O170)</f>
        <v> </v>
      </c>
      <c r="Z170" s="320" t="str">
        <f aca="false">IF($A170="N/A"," ",$U170*(8*($BR170))*P170)</f>
        <v> </v>
      </c>
      <c r="AA170" s="320" t="str">
        <f aca="false">IF($A170="N/A"," ",$U170*(8*($BR170))*Q170)</f>
        <v> </v>
      </c>
      <c r="AB170" s="320" t="str">
        <f aca="false">IF($A170="N/A"," ",$U170*(8*($BS170))*R170)</f>
        <v> </v>
      </c>
      <c r="AC170" s="320" t="str">
        <f aca="false">IF($A170="N/A"," ",$U170*(8*($BS170))*S170)</f>
        <v> </v>
      </c>
      <c r="AD170" s="320" t="str">
        <f aca="false">IF($A170="N/A"," ",$U170*(8*($BS170))*T170)</f>
        <v> </v>
      </c>
      <c r="AE170" s="320" t="str">
        <f aca="false">IF($A170="N/A"," ",SUM(V170:AD170))</f>
        <v> </v>
      </c>
      <c r="AF170" s="321" t="str">
        <f aca="false">IF(A170="N/A"," ",(VLOOKUP(A170,PowerVolTable,(IF(VolBMO1=2,7,IF(VolBMO1=1,6,8))),FALSE())))</f>
        <v> </v>
      </c>
      <c r="AG170" s="321" t="str">
        <f aca="false">IF(A170="N/A"," ",(VLOOKUP(A170,IntraPowerVol,(IF(VolBMO1=2,3,IF(VolBMO1=1,2,4))),FALSE())*VLOOKUP(MONTH($A170),Volscale,2)))</f>
        <v> </v>
      </c>
      <c r="AH170" s="321" t="str">
        <f aca="false">IF($A170="N/A"," ",IF(VolType1=1,AG170,AF170))</f>
        <v> </v>
      </c>
      <c r="AI170" s="321" t="str">
        <f aca="false">IF($A170="N/A"," ",(VLOOKUP($A170,OffPwrVolTable,(IF(VolBMO1=2,7,IF(VolBMO1=1,6,8))),FALSE())))</f>
        <v> </v>
      </c>
      <c r="AJ170" s="321" t="str">
        <f aca="false">IF($A170="N/A"," ",(VLOOKUP($A170,OffPwrVolTable,(IF(VolBMO1=2,3,IF(VolBMO1=1,2,4))),FALSE())*VLOOKUP(MONTH($A170),Volscale,2)))</f>
        <v> </v>
      </c>
      <c r="AK170" s="321" t="str">
        <f aca="false">IF($A170="N/A"," ",IF(VolType1=1,AJ170,AI170))</f>
        <v> </v>
      </c>
      <c r="AL170" s="321" t="str">
        <f aca="false">IF($A170="N/A"," ",IF(PV=1,0,'Pricing Inputs1'!R203))</f>
        <v> </v>
      </c>
      <c r="AM170" s="323" t="str">
        <f aca="false">IF($A170="N/A"," ",(1+AL170/2)^(-2*((EOMONTH(A170,0)+20)-DateToday)/365.25))</f>
        <v> </v>
      </c>
      <c r="BQ170" s="0" t="str">
        <f aca="false">IF($A170="N/A"," ",(VLOOKUP($A170,NumberofDaysTable,2)))</f>
        <v> </v>
      </c>
      <c r="BR170" s="0" t="str">
        <f aca="false">IF($A170="N/A"," ",(VLOOKUP($A170,NumberofDaysTable,3)))</f>
        <v> </v>
      </c>
      <c r="BS170" s="0" t="str">
        <f aca="false">IF($A170="N/A"," ",(VLOOKUP($A170,NumberofDaysTable,4)))</f>
        <v> </v>
      </c>
    </row>
    <row r="171" customFormat="false" ht="12.75" hidden="false" customHeight="false" outlineLevel="0" collapsed="false">
      <c r="A171" s="315" t="str">
        <f aca="false">IF(A170="N/A","N/A",IF(EDATE(A170,1)&gt;Inputs!$M$5,"N/A",EDATE(A170,1)))</f>
        <v>N/A</v>
      </c>
      <c r="B171" s="316" t="str">
        <f aca="false">IF(A171="N/A"," ",YEAR(A171))</f>
        <v> </v>
      </c>
      <c r="C171" s="324" t="str">
        <f aca="false">IF($A171="N/A"," ",IF(Dayrun1=10,0,IF(Scaler1=1,(VLOOKUP(A171,ScaledPrice1,4)),(VLOOKUP(A171,ScaledPrice1,2)))))</f>
        <v> </v>
      </c>
      <c r="D171" s="317" t="str">
        <f aca="false">IF(A171="N/A"," ",IF(Dayrun1&gt;=7,0,IF(Scaler1=2,VLOOKUP(A171,ScaledPrice1,2),(VLOOKUP(A171,ScaledPrice1,2))*(2-(VLOOKUP(A171,ScaledPrice1,3))))))</f>
        <v> </v>
      </c>
      <c r="E171" s="317" t="str">
        <f aca="false">IF($A171="N/A"," ",IF(AND(Dayrun1&gt;=4,Dayrun1&lt;=9),0,VLOOKUP($A171,ScaledPrice1,9)))</f>
        <v> </v>
      </c>
      <c r="F171" s="317" t="str">
        <f aca="false">IF(A171="N/A"," ",IF(OR(Dayrun1=2,Dayrun1=3,Dayrun1=5,Dayrun1=6,Dayrun1=8,Dayrun1=9),VLOOKUP(A171,ScaledPrice1,IF(Scaler1=1,6,5)),0))</f>
        <v> </v>
      </c>
      <c r="G171" s="317" t="str">
        <f aca="false">IF(A171="N/A"," ",IF(OR(Dayrun1=2,Dayrun1=3,Dayrun1=5,Dayrun1=6),IF(Scaler1=2,F171,(VLOOKUP(A171,ScaledPrice1,5))*(2-(VLOOKUP(A171,ScaledPrice1,3)))),0))</f>
        <v> </v>
      </c>
      <c r="H171" s="317" t="str">
        <f aca="false">IF($A171="N/A"," ",IF(OR(Dayrun1=2,Dayrun1=3,Dayrun1=10),VLOOKUP($A171,ScaledPrice1,9),0))</f>
        <v> </v>
      </c>
      <c r="I171" s="317" t="str">
        <f aca="false">IF(A171="N/A"," ",IF(OR(Dayrun1=3,Dayrun1=6,Dayrun1=9),(VLOOKUP(A171,ScaledPrice1,IF(Scaler1=2,7,8))),0))</f>
        <v> </v>
      </c>
      <c r="J171" s="317" t="str">
        <f aca="false">IF(A171="N/A"," ",IF(OR(Dayrun1=3,Dayrun1=6),IF(Scaler1=2,I171,(VLOOKUP(A171,ScaledPrice1,7))*(2-(VLOOKUP(A171,ScaledPrice1,3)))),0))</f>
        <v> </v>
      </c>
      <c r="K171" s="317" t="str">
        <f aca="false">IF($A171="N/A"," ",IF(OR(Dayrun1=3,Dayrun1=10),VLOOKUP($A171,ScaledPrice1,9),0))</f>
        <v> </v>
      </c>
      <c r="L171" s="318" t="str">
        <f aca="false">IF($A171="N/A"," ",IF(Pricetype1=2,MAX(C171,0),IF(OR(Pricetype1=1,Pricetype1=4),IF(C171=0,0,(EURO(C171,Strikeprice1,0,0,($AH171+IF(Smile=TRUE(),VLOOKUP(MAX(-5,Strikeprice1-C171),Volsmile,2),0)),($A171-DateToday)+15,IF(Pricetype1=1,1,0),0))),C171)))</f>
        <v> </v>
      </c>
      <c r="M171" s="318" t="str">
        <f aca="false">IF($A171="N/A"," ",IF(Pricetype1=2,MAX(D171,0),IF(OR(Pricetype1=1,Pricetype1=4),IF(D171=0,0,(EURO(D171,Strikeprice1,0,0,($AH171+IF(Smile=TRUE(),VLOOKUP(MAX(-5,Strikeprice1-D171),Volsmile,2),0)),($A171-DateToday)+15,IF(Pricetype1=1,1,0),0))),D171)))</f>
        <v> </v>
      </c>
      <c r="N171" s="318" t="str">
        <f aca="false">IF($A171="N/A"," ",IF(Pricetype1=2,MAX(E171,0),IF(OR(Pricetype1=1,Pricetype1=4),IF(E171=0,0,(EURO(E171,Strikeprice1,0,0,($AK171+IF(Smile=TRUE(),VLOOKUP(MAX(-5,Strikeprice1-E171),Volsmile,2),0)),($A171-DateToday)+15,IF(Pricetype1=1,1,0),0))),E171)))</f>
        <v> </v>
      </c>
      <c r="O171" s="318" t="str">
        <f aca="false">IF($A171="N/A"," ",IF(Pricetype1=2,MAX(F171,0),IF(OR(Pricetype1=1,Pricetype1=4),IF(F171=0,0,(EURO(F171,Strikeprice1,0,0,($AK171+IF(Smile=TRUE(),VLOOKUP(MAX(-5,Strikeprice1-F171),Volsmile,2),0)),($A171-DateToday)+15,IF(Pricetype1=1,1,0),0))),F171)))</f>
        <v> </v>
      </c>
      <c r="P171" s="318" t="str">
        <f aca="false">IF($A171="N/A"," ",IF(Pricetype1=2,MAX(G171,0),IF(OR(Pricetype1=1,Pricetype1=4),IF(G171=0,0,(EURO(G171,Strikeprice1,0,0,($AK171+IF(Smile=TRUE(),VLOOKUP(MAX(-5,Strikeprice1-G171),Volsmile,2),0)),($A171-DateToday)+15,IF(Pricetype1=1,1,0),0))),G171)))</f>
        <v> </v>
      </c>
      <c r="Q171" s="318" t="str">
        <f aca="false">IF($A171="N/A"," ",IF(Pricetype1=2,MAX(H171,0),IF(OR(Pricetype1=1,Pricetype1=4),IF(H171=0,0,(EURO(H171,Strikeprice1,0,0,($AK171+IF(Smile=TRUE(),VLOOKUP(MAX(-5,Strikeprice1-H171),Volsmile,2),0)),($A171-DateToday)+15,IF(Pricetype1=1,1,0),0))),H171)))</f>
        <v> </v>
      </c>
      <c r="R171" s="318" t="str">
        <f aca="false">IF($A171="N/A"," ",IF(Pricetype1=2,MAX(I171,0),IF(OR(Pricetype1=1,Pricetype1=4),IF(I171=0,0,(EURO(I171,Strikeprice1,0,0,($AK171+IF(Smile=TRUE(),VLOOKUP(MAX(-5,Strikeprice1-I171),Volsmile,2),0)),($A171-DateToday)+15,IF(Pricetype1=1,1,0),0))),I171)))</f>
        <v> </v>
      </c>
      <c r="S171" s="318" t="str">
        <f aca="false">IF($A171="N/A"," ",IF(Pricetype1=2,MAX(J171,0),IF(OR(Pricetype1=1,Pricetype1=4),IF(J171=0,0,(EURO(J171,Strikeprice1,0,0,($AK171+IF(Smile=TRUE(),VLOOKUP(MAX(-5,Strikeprice1-J171),Volsmile,2),0)),($A171-DateToday)+15,IF(Pricetype1=1,1,0),0))),J171)))</f>
        <v> </v>
      </c>
      <c r="T171" s="318" t="str">
        <f aca="false">IF($A171="N/A"," ",IF(Pricetype1=2,MAX(K171,0),IF(OR(Pricetype1=1,Pricetype1=4),IF(K171=0,0,(EURO(K171,Strikeprice1,0,0,($AK171+IF(Smile=TRUE(),VLOOKUP(MAX(-5,Strikeprice1-K171),Volsmile,2),0)),($A171-DateToday)+15,IF(Pricetype1=1,1,0),0))),K171)))</f>
        <v> </v>
      </c>
      <c r="U171" s="319" t="str">
        <f aca="false">IF($A171="N/A"," ",Volume1*$AM171)</f>
        <v> </v>
      </c>
      <c r="V171" s="320" t="str">
        <f aca="false">IF($A171="N/A"," ",$U171*(8*($BQ171))*L171)</f>
        <v> </v>
      </c>
      <c r="W171" s="320" t="str">
        <f aca="false">IF($A171="N/A"," ",$U171*(8*($BQ171))*M171)</f>
        <v> </v>
      </c>
      <c r="X171" s="320" t="str">
        <f aca="false">IF($A171="N/A"," ",$U171*(8*($BQ171))*N171)</f>
        <v> </v>
      </c>
      <c r="Y171" s="320" t="str">
        <f aca="false">IF($A171="N/A"," ",$U171*(8*($BR171))*O171)</f>
        <v> </v>
      </c>
      <c r="Z171" s="320" t="str">
        <f aca="false">IF($A171="N/A"," ",$U171*(8*($BR171))*P171)</f>
        <v> </v>
      </c>
      <c r="AA171" s="320" t="str">
        <f aca="false">IF($A171="N/A"," ",$U171*(8*($BR171))*Q171)</f>
        <v> </v>
      </c>
      <c r="AB171" s="320" t="str">
        <f aca="false">IF($A171="N/A"," ",$U171*(8*($BS171))*R171)</f>
        <v> </v>
      </c>
      <c r="AC171" s="320" t="str">
        <f aca="false">IF($A171="N/A"," ",$U171*(8*($BS171))*S171)</f>
        <v> </v>
      </c>
      <c r="AD171" s="320" t="str">
        <f aca="false">IF($A171="N/A"," ",$U171*(8*($BS171))*T171)</f>
        <v> </v>
      </c>
      <c r="AE171" s="320" t="str">
        <f aca="false">IF($A171="N/A"," ",SUM(V171:AD171))</f>
        <v> </v>
      </c>
      <c r="AF171" s="321" t="str">
        <f aca="false">IF(A171="N/A"," ",(VLOOKUP(A171,PowerVolTable,(IF(VolBMO1=2,7,IF(VolBMO1=1,6,8))),FALSE())))</f>
        <v> </v>
      </c>
      <c r="AG171" s="321" t="str">
        <f aca="false">IF(A171="N/A"," ",(VLOOKUP(A171,IntraPowerVol,(IF(VolBMO1=2,3,IF(VolBMO1=1,2,4))),FALSE())*VLOOKUP(MONTH($A171),Volscale,2)))</f>
        <v> </v>
      </c>
      <c r="AH171" s="321" t="str">
        <f aca="false">IF($A171="N/A"," ",IF(VolType1=1,AG171,AF171))</f>
        <v> </v>
      </c>
      <c r="AI171" s="321" t="str">
        <f aca="false">IF($A171="N/A"," ",(VLOOKUP($A171,OffPwrVolTable,(IF(VolBMO1=2,7,IF(VolBMO1=1,6,8))),FALSE())))</f>
        <v> </v>
      </c>
      <c r="AJ171" s="321" t="str">
        <f aca="false">IF($A171="N/A"," ",(VLOOKUP($A171,OffPwrVolTable,(IF(VolBMO1=2,3,IF(VolBMO1=1,2,4))),FALSE())*VLOOKUP(MONTH($A171),Volscale,2)))</f>
        <v> </v>
      </c>
      <c r="AK171" s="321" t="str">
        <f aca="false">IF($A171="N/A"," ",IF(VolType1=1,AJ171,AI171))</f>
        <v> </v>
      </c>
      <c r="AL171" s="321" t="str">
        <f aca="false">IF($A171="N/A"," ",IF(PV=1,0,'Pricing Inputs1'!R204))</f>
        <v> </v>
      </c>
      <c r="AM171" s="323" t="str">
        <f aca="false">IF($A171="N/A"," ",(1+AL171/2)^(-2*((EOMONTH(A171,0)+20)-DateToday)/365.25))</f>
        <v> </v>
      </c>
      <c r="BQ171" s="0" t="str">
        <f aca="false">IF($A171="N/A"," ",(VLOOKUP($A171,NumberofDaysTable,2)))</f>
        <v> </v>
      </c>
      <c r="BR171" s="0" t="str">
        <f aca="false">IF($A171="N/A"," ",(VLOOKUP($A171,NumberofDaysTable,3)))</f>
        <v> </v>
      </c>
      <c r="BS171" s="0" t="str">
        <f aca="false">IF($A171="N/A"," ",(VLOOKUP($A171,NumberofDaysTable,4)))</f>
        <v> </v>
      </c>
    </row>
    <row r="172" customFormat="false" ht="12.75" hidden="false" customHeight="false" outlineLevel="0" collapsed="false">
      <c r="A172" s="315" t="str">
        <f aca="false">IF(A171="N/A","N/A",IF(EDATE(A171,1)&gt;Inputs!$M$5,"N/A",EDATE(A171,1)))</f>
        <v>N/A</v>
      </c>
      <c r="B172" s="316" t="str">
        <f aca="false">IF(A172="N/A"," ",YEAR(A172))</f>
        <v> </v>
      </c>
      <c r="C172" s="324" t="str">
        <f aca="false">IF($A172="N/A"," ",IF(Dayrun1=10,0,IF(Scaler1=1,(VLOOKUP(A172,ScaledPrice1,4)),(VLOOKUP(A172,ScaledPrice1,2)))))</f>
        <v> </v>
      </c>
      <c r="D172" s="317" t="str">
        <f aca="false">IF(A172="N/A"," ",IF(Dayrun1&gt;=7,0,IF(Scaler1=2,VLOOKUP(A172,ScaledPrice1,2),(VLOOKUP(A172,ScaledPrice1,2))*(2-(VLOOKUP(A172,ScaledPrice1,3))))))</f>
        <v> </v>
      </c>
      <c r="E172" s="317" t="str">
        <f aca="false">IF($A172="N/A"," ",IF(AND(Dayrun1&gt;=4,Dayrun1&lt;=9),0,VLOOKUP($A172,ScaledPrice1,9)))</f>
        <v> </v>
      </c>
      <c r="F172" s="317" t="str">
        <f aca="false">IF(A172="N/A"," ",IF(OR(Dayrun1=2,Dayrun1=3,Dayrun1=5,Dayrun1=6,Dayrun1=8,Dayrun1=9),VLOOKUP(A172,ScaledPrice1,IF(Scaler1=1,6,5)),0))</f>
        <v> </v>
      </c>
      <c r="G172" s="317" t="str">
        <f aca="false">IF(A172="N/A"," ",IF(OR(Dayrun1=2,Dayrun1=3,Dayrun1=5,Dayrun1=6),IF(Scaler1=2,F172,(VLOOKUP(A172,ScaledPrice1,5))*(2-(VLOOKUP(A172,ScaledPrice1,3)))),0))</f>
        <v> </v>
      </c>
      <c r="H172" s="317" t="str">
        <f aca="false">IF($A172="N/A"," ",IF(OR(Dayrun1=2,Dayrun1=3,Dayrun1=10),VLOOKUP($A172,ScaledPrice1,9),0))</f>
        <v> </v>
      </c>
      <c r="I172" s="317" t="str">
        <f aca="false">IF(A172="N/A"," ",IF(OR(Dayrun1=3,Dayrun1=6,Dayrun1=9),(VLOOKUP(A172,ScaledPrice1,IF(Scaler1=2,7,8))),0))</f>
        <v> </v>
      </c>
      <c r="J172" s="317" t="str">
        <f aca="false">IF(A172="N/A"," ",IF(OR(Dayrun1=3,Dayrun1=6),IF(Scaler1=2,I172,(VLOOKUP(A172,ScaledPrice1,7))*(2-(VLOOKUP(A172,ScaledPrice1,3)))),0))</f>
        <v> </v>
      </c>
      <c r="K172" s="317" t="str">
        <f aca="false">IF($A172="N/A"," ",IF(OR(Dayrun1=3,Dayrun1=10),VLOOKUP($A172,ScaledPrice1,9),0))</f>
        <v> </v>
      </c>
      <c r="L172" s="318" t="str">
        <f aca="false">IF($A172="N/A"," ",IF(Pricetype1=2,MAX(C172,0),IF(OR(Pricetype1=1,Pricetype1=4),IF(C172=0,0,(EURO(C172,Strikeprice1,0,0,($AH172+IF(Smile=TRUE(),VLOOKUP(MAX(-5,Strikeprice1-C172),Volsmile,2),0)),($A172-DateToday)+15,IF(Pricetype1=1,1,0),0))),C172)))</f>
        <v> </v>
      </c>
      <c r="M172" s="318" t="str">
        <f aca="false">IF($A172="N/A"," ",IF(Pricetype1=2,MAX(D172,0),IF(OR(Pricetype1=1,Pricetype1=4),IF(D172=0,0,(EURO(D172,Strikeprice1,0,0,($AH172+IF(Smile=TRUE(),VLOOKUP(MAX(-5,Strikeprice1-D172),Volsmile,2),0)),($A172-DateToday)+15,IF(Pricetype1=1,1,0),0))),D172)))</f>
        <v> </v>
      </c>
      <c r="N172" s="318" t="str">
        <f aca="false">IF($A172="N/A"," ",IF(Pricetype1=2,MAX(E172,0),IF(OR(Pricetype1=1,Pricetype1=4),IF(E172=0,0,(EURO(E172,Strikeprice1,0,0,($AK172+IF(Smile=TRUE(),VLOOKUP(MAX(-5,Strikeprice1-E172),Volsmile,2),0)),($A172-DateToday)+15,IF(Pricetype1=1,1,0),0))),E172)))</f>
        <v> </v>
      </c>
      <c r="O172" s="318" t="str">
        <f aca="false">IF($A172="N/A"," ",IF(Pricetype1=2,MAX(F172,0),IF(OR(Pricetype1=1,Pricetype1=4),IF(F172=0,0,(EURO(F172,Strikeprice1,0,0,($AK172+IF(Smile=TRUE(),VLOOKUP(MAX(-5,Strikeprice1-F172),Volsmile,2),0)),($A172-DateToday)+15,IF(Pricetype1=1,1,0),0))),F172)))</f>
        <v> </v>
      </c>
      <c r="P172" s="318" t="str">
        <f aca="false">IF($A172="N/A"," ",IF(Pricetype1=2,MAX(G172,0),IF(OR(Pricetype1=1,Pricetype1=4),IF(G172=0,0,(EURO(G172,Strikeprice1,0,0,($AK172+IF(Smile=TRUE(),VLOOKUP(MAX(-5,Strikeprice1-G172),Volsmile,2),0)),($A172-DateToday)+15,IF(Pricetype1=1,1,0),0))),G172)))</f>
        <v> </v>
      </c>
      <c r="Q172" s="318" t="str">
        <f aca="false">IF($A172="N/A"," ",IF(Pricetype1=2,MAX(H172,0),IF(OR(Pricetype1=1,Pricetype1=4),IF(H172=0,0,(EURO(H172,Strikeprice1,0,0,($AK172+IF(Smile=TRUE(),VLOOKUP(MAX(-5,Strikeprice1-H172),Volsmile,2),0)),($A172-DateToday)+15,IF(Pricetype1=1,1,0),0))),H172)))</f>
        <v> </v>
      </c>
      <c r="R172" s="318" t="str">
        <f aca="false">IF($A172="N/A"," ",IF(Pricetype1=2,MAX(I172,0),IF(OR(Pricetype1=1,Pricetype1=4),IF(I172=0,0,(EURO(I172,Strikeprice1,0,0,($AK172+IF(Smile=TRUE(),VLOOKUP(MAX(-5,Strikeprice1-I172),Volsmile,2),0)),($A172-DateToday)+15,IF(Pricetype1=1,1,0),0))),I172)))</f>
        <v> </v>
      </c>
      <c r="S172" s="318" t="str">
        <f aca="false">IF($A172="N/A"," ",IF(Pricetype1=2,MAX(J172,0),IF(OR(Pricetype1=1,Pricetype1=4),IF(J172=0,0,(EURO(J172,Strikeprice1,0,0,($AK172+IF(Smile=TRUE(),VLOOKUP(MAX(-5,Strikeprice1-J172),Volsmile,2),0)),($A172-DateToday)+15,IF(Pricetype1=1,1,0),0))),J172)))</f>
        <v> </v>
      </c>
      <c r="T172" s="318" t="str">
        <f aca="false">IF($A172="N/A"," ",IF(Pricetype1=2,MAX(K172,0),IF(OR(Pricetype1=1,Pricetype1=4),IF(K172=0,0,(EURO(K172,Strikeprice1,0,0,($AK172+IF(Smile=TRUE(),VLOOKUP(MAX(-5,Strikeprice1-K172),Volsmile,2),0)),($A172-DateToday)+15,IF(Pricetype1=1,1,0),0))),K172)))</f>
        <v> </v>
      </c>
      <c r="U172" s="319" t="str">
        <f aca="false">IF($A172="N/A"," ",Volume1*$AM172)</f>
        <v> </v>
      </c>
      <c r="V172" s="320" t="str">
        <f aca="false">IF($A172="N/A"," ",$U172*(8*($BQ172))*L172)</f>
        <v> </v>
      </c>
      <c r="W172" s="320" t="str">
        <f aca="false">IF($A172="N/A"," ",$U172*(8*($BQ172))*M172)</f>
        <v> </v>
      </c>
      <c r="X172" s="320" t="str">
        <f aca="false">IF($A172="N/A"," ",$U172*(8*($BQ172))*N172)</f>
        <v> </v>
      </c>
      <c r="Y172" s="320" t="str">
        <f aca="false">IF($A172="N/A"," ",$U172*(8*($BR172))*O172)</f>
        <v> </v>
      </c>
      <c r="Z172" s="320" t="str">
        <f aca="false">IF($A172="N/A"," ",$U172*(8*($BR172))*P172)</f>
        <v> </v>
      </c>
      <c r="AA172" s="320" t="str">
        <f aca="false">IF($A172="N/A"," ",$U172*(8*($BR172))*Q172)</f>
        <v> </v>
      </c>
      <c r="AB172" s="320" t="str">
        <f aca="false">IF($A172="N/A"," ",$U172*(8*($BS172))*R172)</f>
        <v> </v>
      </c>
      <c r="AC172" s="320" t="str">
        <f aca="false">IF($A172="N/A"," ",$U172*(8*($BS172))*S172)</f>
        <v> </v>
      </c>
      <c r="AD172" s="320" t="str">
        <f aca="false">IF($A172="N/A"," ",$U172*(8*($BS172))*T172)</f>
        <v> </v>
      </c>
      <c r="AE172" s="320" t="str">
        <f aca="false">IF($A172="N/A"," ",SUM(V172:AD172))</f>
        <v> </v>
      </c>
      <c r="AF172" s="321" t="str">
        <f aca="false">IF(A172="N/A"," ",(VLOOKUP(A172,PowerVolTable,(IF(VolBMO1=2,7,IF(VolBMO1=1,6,8))),FALSE())))</f>
        <v> </v>
      </c>
      <c r="AG172" s="321" t="str">
        <f aca="false">IF(A172="N/A"," ",(VLOOKUP(A172,IntraPowerVol,(IF(VolBMO1=2,3,IF(VolBMO1=1,2,4))),FALSE())*VLOOKUP(MONTH($A172),Volscale,2)))</f>
        <v> </v>
      </c>
      <c r="AH172" s="321" t="str">
        <f aca="false">IF($A172="N/A"," ",IF(VolType1=1,AG172,AF172))</f>
        <v> </v>
      </c>
      <c r="AI172" s="321" t="str">
        <f aca="false">IF($A172="N/A"," ",(VLOOKUP($A172,OffPwrVolTable,(IF(VolBMO1=2,7,IF(VolBMO1=1,6,8))),FALSE())))</f>
        <v> </v>
      </c>
      <c r="AJ172" s="321" t="str">
        <f aca="false">IF($A172="N/A"," ",(VLOOKUP($A172,OffPwrVolTable,(IF(VolBMO1=2,3,IF(VolBMO1=1,2,4))),FALSE())*VLOOKUP(MONTH($A172),Volscale,2)))</f>
        <v> </v>
      </c>
      <c r="AK172" s="321" t="str">
        <f aca="false">IF($A172="N/A"," ",IF(VolType1=1,AJ172,AI172))</f>
        <v> </v>
      </c>
      <c r="AL172" s="321" t="str">
        <f aca="false">IF($A172="N/A"," ",IF(PV=1,0,'Pricing Inputs1'!R205))</f>
        <v> </v>
      </c>
      <c r="AM172" s="323" t="str">
        <f aca="false">IF($A172="N/A"," ",(1+AL172/2)^(-2*((EOMONTH(A172,0)+20)-DateToday)/365.25))</f>
        <v> </v>
      </c>
      <c r="BQ172" s="0" t="str">
        <f aca="false">IF($A172="N/A"," ",(VLOOKUP($A172,NumberofDaysTable,2)))</f>
        <v> </v>
      </c>
      <c r="BR172" s="0" t="str">
        <f aca="false">IF($A172="N/A"," ",(VLOOKUP($A172,NumberofDaysTable,3)))</f>
        <v> </v>
      </c>
      <c r="BS172" s="0" t="str">
        <f aca="false">IF($A172="N/A"," ",(VLOOKUP($A172,NumberofDaysTable,4)))</f>
        <v> </v>
      </c>
    </row>
    <row r="173" customFormat="false" ht="12.75" hidden="false" customHeight="false" outlineLevel="0" collapsed="false">
      <c r="A173" s="315" t="str">
        <f aca="false">IF(A172="N/A","N/A",IF(EDATE(A172,1)&gt;Inputs!$M$5,"N/A",EDATE(A172,1)))</f>
        <v>N/A</v>
      </c>
      <c r="B173" s="316" t="str">
        <f aca="false">IF(A173="N/A"," ",YEAR(A173))</f>
        <v> </v>
      </c>
      <c r="C173" s="324" t="str">
        <f aca="false">IF($A173="N/A"," ",IF(Dayrun1=10,0,IF(Scaler1=1,(VLOOKUP(A173,ScaledPrice1,4)),(VLOOKUP(A173,ScaledPrice1,2)))))</f>
        <v> </v>
      </c>
      <c r="D173" s="317" t="str">
        <f aca="false">IF(A173="N/A"," ",IF(Dayrun1&gt;=7,0,IF(Scaler1=2,VLOOKUP(A173,ScaledPrice1,2),(VLOOKUP(A173,ScaledPrice1,2))*(2-(VLOOKUP(A173,ScaledPrice1,3))))))</f>
        <v> </v>
      </c>
      <c r="E173" s="317" t="str">
        <f aca="false">IF($A173="N/A"," ",IF(AND(Dayrun1&gt;=4,Dayrun1&lt;=9),0,VLOOKUP($A173,ScaledPrice1,9)))</f>
        <v> </v>
      </c>
      <c r="F173" s="317" t="str">
        <f aca="false">IF(A173="N/A"," ",IF(OR(Dayrun1=2,Dayrun1=3,Dayrun1=5,Dayrun1=6,Dayrun1=8,Dayrun1=9),VLOOKUP(A173,ScaledPrice1,IF(Scaler1=1,6,5)),0))</f>
        <v> </v>
      </c>
      <c r="G173" s="317" t="str">
        <f aca="false">IF(A173="N/A"," ",IF(OR(Dayrun1=2,Dayrun1=3,Dayrun1=5,Dayrun1=6),IF(Scaler1=2,F173,(VLOOKUP(A173,ScaledPrice1,5))*(2-(VLOOKUP(A173,ScaledPrice1,3)))),0))</f>
        <v> </v>
      </c>
      <c r="H173" s="317" t="str">
        <f aca="false">IF($A173="N/A"," ",IF(OR(Dayrun1=2,Dayrun1=3,Dayrun1=10),VLOOKUP($A173,ScaledPrice1,9),0))</f>
        <v> </v>
      </c>
      <c r="I173" s="317" t="str">
        <f aca="false">IF(A173="N/A"," ",IF(OR(Dayrun1=3,Dayrun1=6,Dayrun1=9),(VLOOKUP(A173,ScaledPrice1,IF(Scaler1=2,7,8))),0))</f>
        <v> </v>
      </c>
      <c r="J173" s="317" t="str">
        <f aca="false">IF(A173="N/A"," ",IF(OR(Dayrun1=3,Dayrun1=6),IF(Scaler1=2,I173,(VLOOKUP(A173,ScaledPrice1,7))*(2-(VLOOKUP(A173,ScaledPrice1,3)))),0))</f>
        <v> </v>
      </c>
      <c r="K173" s="317" t="str">
        <f aca="false">IF($A173="N/A"," ",IF(OR(Dayrun1=3,Dayrun1=10),VLOOKUP($A173,ScaledPrice1,9),0))</f>
        <v> </v>
      </c>
      <c r="L173" s="318" t="str">
        <f aca="false">IF($A173="N/A"," ",IF(Pricetype1=2,MAX(C173,0),IF(OR(Pricetype1=1,Pricetype1=4),IF(C173=0,0,(EURO(C173,Strikeprice1,0,0,($AH173+IF(Smile=TRUE(),VLOOKUP(MAX(-5,Strikeprice1-C173),Volsmile,2),0)),($A173-DateToday)+15,IF(Pricetype1=1,1,0),0))),C173)))</f>
        <v> </v>
      </c>
      <c r="M173" s="318" t="str">
        <f aca="false">IF($A173="N/A"," ",IF(Pricetype1=2,MAX(D173,0),IF(OR(Pricetype1=1,Pricetype1=4),IF(D173=0,0,(EURO(D173,Strikeprice1,0,0,($AH173+IF(Smile=TRUE(),VLOOKUP(MAX(-5,Strikeprice1-D173),Volsmile,2),0)),($A173-DateToday)+15,IF(Pricetype1=1,1,0),0))),D173)))</f>
        <v> </v>
      </c>
      <c r="N173" s="318" t="str">
        <f aca="false">IF($A173="N/A"," ",IF(Pricetype1=2,MAX(E173,0),IF(OR(Pricetype1=1,Pricetype1=4),IF(E173=0,0,(EURO(E173,Strikeprice1,0,0,($AK173+IF(Smile=TRUE(),VLOOKUP(MAX(-5,Strikeprice1-E173),Volsmile,2),0)),($A173-DateToday)+15,IF(Pricetype1=1,1,0),0))),E173)))</f>
        <v> </v>
      </c>
      <c r="O173" s="318" t="str">
        <f aca="false">IF($A173="N/A"," ",IF(Pricetype1=2,MAX(F173,0),IF(OR(Pricetype1=1,Pricetype1=4),IF(F173=0,0,(EURO(F173,Strikeprice1,0,0,($AK173+IF(Smile=TRUE(),VLOOKUP(MAX(-5,Strikeprice1-F173),Volsmile,2),0)),($A173-DateToday)+15,IF(Pricetype1=1,1,0),0))),F173)))</f>
        <v> </v>
      </c>
      <c r="P173" s="318" t="str">
        <f aca="false">IF($A173="N/A"," ",IF(Pricetype1=2,MAX(G173,0),IF(OR(Pricetype1=1,Pricetype1=4),IF(G173=0,0,(EURO(G173,Strikeprice1,0,0,($AK173+IF(Smile=TRUE(),VLOOKUP(MAX(-5,Strikeprice1-G173),Volsmile,2),0)),($A173-DateToday)+15,IF(Pricetype1=1,1,0),0))),G173)))</f>
        <v> </v>
      </c>
      <c r="Q173" s="318" t="str">
        <f aca="false">IF($A173="N/A"," ",IF(Pricetype1=2,MAX(H173,0),IF(OR(Pricetype1=1,Pricetype1=4),IF(H173=0,0,(EURO(H173,Strikeprice1,0,0,($AK173+IF(Smile=TRUE(),VLOOKUP(MAX(-5,Strikeprice1-H173),Volsmile,2),0)),($A173-DateToday)+15,IF(Pricetype1=1,1,0),0))),H173)))</f>
        <v> </v>
      </c>
      <c r="R173" s="318" t="str">
        <f aca="false">IF($A173="N/A"," ",IF(Pricetype1=2,MAX(I173,0),IF(OR(Pricetype1=1,Pricetype1=4),IF(I173=0,0,(EURO(I173,Strikeprice1,0,0,($AK173+IF(Smile=TRUE(),VLOOKUP(MAX(-5,Strikeprice1-I173),Volsmile,2),0)),($A173-DateToday)+15,IF(Pricetype1=1,1,0),0))),I173)))</f>
        <v> </v>
      </c>
      <c r="S173" s="318" t="str">
        <f aca="false">IF($A173="N/A"," ",IF(Pricetype1=2,MAX(J173,0),IF(OR(Pricetype1=1,Pricetype1=4),IF(J173=0,0,(EURO(J173,Strikeprice1,0,0,($AK173+IF(Smile=TRUE(),VLOOKUP(MAX(-5,Strikeprice1-J173),Volsmile,2),0)),($A173-DateToday)+15,IF(Pricetype1=1,1,0),0))),J173)))</f>
        <v> </v>
      </c>
      <c r="T173" s="318" t="str">
        <f aca="false">IF($A173="N/A"," ",IF(Pricetype1=2,MAX(K173,0),IF(OR(Pricetype1=1,Pricetype1=4),IF(K173=0,0,(EURO(K173,Strikeprice1,0,0,($AK173+IF(Smile=TRUE(),VLOOKUP(MAX(-5,Strikeprice1-K173),Volsmile,2),0)),($A173-DateToday)+15,IF(Pricetype1=1,1,0),0))),K173)))</f>
        <v> </v>
      </c>
      <c r="U173" s="319" t="str">
        <f aca="false">IF($A173="N/A"," ",Volume1*$AM173)</f>
        <v> </v>
      </c>
      <c r="V173" s="320" t="str">
        <f aca="false">IF($A173="N/A"," ",$U173*(8*($BQ173))*L173)</f>
        <v> </v>
      </c>
      <c r="W173" s="320" t="str">
        <f aca="false">IF($A173="N/A"," ",$U173*(8*($BQ173))*M173)</f>
        <v> </v>
      </c>
      <c r="X173" s="320" t="str">
        <f aca="false">IF($A173="N/A"," ",$U173*(8*($BQ173))*N173)</f>
        <v> </v>
      </c>
      <c r="Y173" s="320" t="str">
        <f aca="false">IF($A173="N/A"," ",$U173*(8*($BR173))*O173)</f>
        <v> </v>
      </c>
      <c r="Z173" s="320" t="str">
        <f aca="false">IF($A173="N/A"," ",$U173*(8*($BR173))*P173)</f>
        <v> </v>
      </c>
      <c r="AA173" s="320" t="str">
        <f aca="false">IF($A173="N/A"," ",$U173*(8*($BR173))*Q173)</f>
        <v> </v>
      </c>
      <c r="AB173" s="320" t="str">
        <f aca="false">IF($A173="N/A"," ",$U173*(8*($BS173))*R173)</f>
        <v> </v>
      </c>
      <c r="AC173" s="320" t="str">
        <f aca="false">IF($A173="N/A"," ",$U173*(8*($BS173))*S173)</f>
        <v> </v>
      </c>
      <c r="AD173" s="320" t="str">
        <f aca="false">IF($A173="N/A"," ",$U173*(8*($BS173))*T173)</f>
        <v> </v>
      </c>
      <c r="AE173" s="320" t="str">
        <f aca="false">IF($A173="N/A"," ",SUM(V173:AD173))</f>
        <v> </v>
      </c>
      <c r="AF173" s="321" t="str">
        <f aca="false">IF(A173="N/A"," ",(VLOOKUP(A173,PowerVolTable,(IF(VolBMO1=2,7,IF(VolBMO1=1,6,8))),FALSE())))</f>
        <v> </v>
      </c>
      <c r="AG173" s="321" t="str">
        <f aca="false">IF(A173="N/A"," ",(VLOOKUP(A173,IntraPowerVol,(IF(VolBMO1=2,3,IF(VolBMO1=1,2,4))),FALSE())*VLOOKUP(MONTH($A173),Volscale,2)))</f>
        <v> </v>
      </c>
      <c r="AH173" s="321" t="str">
        <f aca="false">IF($A173="N/A"," ",IF(VolType1=1,AG173,AF173))</f>
        <v> </v>
      </c>
      <c r="AI173" s="321" t="str">
        <f aca="false">IF($A173="N/A"," ",(VLOOKUP($A173,OffPwrVolTable,(IF(VolBMO1=2,7,IF(VolBMO1=1,6,8))),FALSE())))</f>
        <v> </v>
      </c>
      <c r="AJ173" s="321" t="str">
        <f aca="false">IF($A173="N/A"," ",(VLOOKUP($A173,OffPwrVolTable,(IF(VolBMO1=2,3,IF(VolBMO1=1,2,4))),FALSE())*VLOOKUP(MONTH($A173),Volscale,2)))</f>
        <v> </v>
      </c>
      <c r="AK173" s="321" t="str">
        <f aca="false">IF($A173="N/A"," ",IF(VolType1=1,AJ173,AI173))</f>
        <v> </v>
      </c>
      <c r="AL173" s="321" t="str">
        <f aca="false">IF($A173="N/A"," ",IF(PV=1,0,'Pricing Inputs1'!R206))</f>
        <v> </v>
      </c>
      <c r="AM173" s="323" t="str">
        <f aca="false">IF($A173="N/A"," ",(1+AL173/2)^(-2*((EOMONTH(A173,0)+20)-DateToday)/365.25))</f>
        <v> </v>
      </c>
      <c r="BQ173" s="0" t="str">
        <f aca="false">IF($A173="N/A"," ",(VLOOKUP($A173,NumberofDaysTable,2)))</f>
        <v> </v>
      </c>
      <c r="BR173" s="0" t="str">
        <f aca="false">IF($A173="N/A"," ",(VLOOKUP($A173,NumberofDaysTable,3)))</f>
        <v> </v>
      </c>
      <c r="BS173" s="0" t="str">
        <f aca="false">IF($A173="N/A"," ",(VLOOKUP($A173,NumberofDaysTable,4)))</f>
        <v> </v>
      </c>
    </row>
    <row r="174" customFormat="false" ht="12.75" hidden="false" customHeight="false" outlineLevel="0" collapsed="false">
      <c r="A174" s="315" t="str">
        <f aca="false">IF(A173="N/A","N/A",IF(EDATE(A173,1)&gt;Inputs!$M$5,"N/A",EDATE(A173,1)))</f>
        <v>N/A</v>
      </c>
      <c r="B174" s="316" t="str">
        <f aca="false">IF(A174="N/A"," ",YEAR(A174))</f>
        <v> </v>
      </c>
      <c r="C174" s="324" t="str">
        <f aca="false">IF($A174="N/A"," ",IF(Dayrun1=10,0,IF(Scaler1=1,(VLOOKUP(A174,ScaledPrice1,4)),(VLOOKUP(A174,ScaledPrice1,2)))))</f>
        <v> </v>
      </c>
      <c r="D174" s="317" t="str">
        <f aca="false">IF(A174="N/A"," ",IF(Dayrun1&gt;=7,0,IF(Scaler1=2,VLOOKUP(A174,ScaledPrice1,2),(VLOOKUP(A174,ScaledPrice1,2))*(2-(VLOOKUP(A174,ScaledPrice1,3))))))</f>
        <v> </v>
      </c>
      <c r="E174" s="317" t="str">
        <f aca="false">IF($A174="N/A"," ",IF(AND(Dayrun1&gt;=4,Dayrun1&lt;=9),0,VLOOKUP($A174,ScaledPrice1,9)))</f>
        <v> </v>
      </c>
      <c r="F174" s="317" t="str">
        <f aca="false">IF(A174="N/A"," ",IF(OR(Dayrun1=2,Dayrun1=3,Dayrun1=5,Dayrun1=6,Dayrun1=8,Dayrun1=9),VLOOKUP(A174,ScaledPrice1,IF(Scaler1=1,6,5)),0))</f>
        <v> </v>
      </c>
      <c r="G174" s="317" t="str">
        <f aca="false">IF(A174="N/A"," ",IF(OR(Dayrun1=2,Dayrun1=3,Dayrun1=5,Dayrun1=6),IF(Scaler1=2,F174,(VLOOKUP(A174,ScaledPrice1,5))*(2-(VLOOKUP(A174,ScaledPrice1,3)))),0))</f>
        <v> </v>
      </c>
      <c r="H174" s="317" t="str">
        <f aca="false">IF($A174="N/A"," ",IF(OR(Dayrun1=2,Dayrun1=3,Dayrun1=10),VLOOKUP($A174,ScaledPrice1,9),0))</f>
        <v> </v>
      </c>
      <c r="I174" s="317" t="str">
        <f aca="false">IF(A174="N/A"," ",IF(OR(Dayrun1=3,Dayrun1=6,Dayrun1=9),(VLOOKUP(A174,ScaledPrice1,IF(Scaler1=2,7,8))),0))</f>
        <v> </v>
      </c>
      <c r="J174" s="317" t="str">
        <f aca="false">IF(A174="N/A"," ",IF(OR(Dayrun1=3,Dayrun1=6),IF(Scaler1=2,I174,(VLOOKUP(A174,ScaledPrice1,7))*(2-(VLOOKUP(A174,ScaledPrice1,3)))),0))</f>
        <v> </v>
      </c>
      <c r="K174" s="317" t="str">
        <f aca="false">IF($A174="N/A"," ",IF(OR(Dayrun1=3,Dayrun1=10),VLOOKUP($A174,ScaledPrice1,9),0))</f>
        <v> </v>
      </c>
      <c r="L174" s="318" t="str">
        <f aca="false">IF($A174="N/A"," ",IF(Pricetype1=2,MAX(C174,0),IF(OR(Pricetype1=1,Pricetype1=4),IF(C174=0,0,(EURO(C174,Strikeprice1,0,0,($AH174+IF(Smile=TRUE(),VLOOKUP(MAX(-5,Strikeprice1-C174),Volsmile,2),0)),($A174-DateToday)+15,IF(Pricetype1=1,1,0),0))),C174)))</f>
        <v> </v>
      </c>
      <c r="M174" s="318" t="str">
        <f aca="false">IF($A174="N/A"," ",IF(Pricetype1=2,MAX(D174,0),IF(OR(Pricetype1=1,Pricetype1=4),IF(D174=0,0,(EURO(D174,Strikeprice1,0,0,($AH174+IF(Smile=TRUE(),VLOOKUP(MAX(-5,Strikeprice1-D174),Volsmile,2),0)),($A174-DateToday)+15,IF(Pricetype1=1,1,0),0))),D174)))</f>
        <v> </v>
      </c>
      <c r="N174" s="318" t="str">
        <f aca="false">IF($A174="N/A"," ",IF(Pricetype1=2,MAX(E174,0),IF(OR(Pricetype1=1,Pricetype1=4),IF(E174=0,0,(EURO(E174,Strikeprice1,0,0,($AK174+IF(Smile=TRUE(),VLOOKUP(MAX(-5,Strikeprice1-E174),Volsmile,2),0)),($A174-DateToday)+15,IF(Pricetype1=1,1,0),0))),E174)))</f>
        <v> </v>
      </c>
      <c r="O174" s="318" t="str">
        <f aca="false">IF($A174="N/A"," ",IF(Pricetype1=2,MAX(F174,0),IF(OR(Pricetype1=1,Pricetype1=4),IF(F174=0,0,(EURO(F174,Strikeprice1,0,0,($AK174+IF(Smile=TRUE(),VLOOKUP(MAX(-5,Strikeprice1-F174),Volsmile,2),0)),($A174-DateToday)+15,IF(Pricetype1=1,1,0),0))),F174)))</f>
        <v> </v>
      </c>
      <c r="P174" s="318" t="str">
        <f aca="false">IF($A174="N/A"," ",IF(Pricetype1=2,MAX(G174,0),IF(OR(Pricetype1=1,Pricetype1=4),IF(G174=0,0,(EURO(G174,Strikeprice1,0,0,($AK174+IF(Smile=TRUE(),VLOOKUP(MAX(-5,Strikeprice1-G174),Volsmile,2),0)),($A174-DateToday)+15,IF(Pricetype1=1,1,0),0))),G174)))</f>
        <v> </v>
      </c>
      <c r="Q174" s="318" t="str">
        <f aca="false">IF($A174="N/A"," ",IF(Pricetype1=2,MAX(H174,0),IF(OR(Pricetype1=1,Pricetype1=4),IF(H174=0,0,(EURO(H174,Strikeprice1,0,0,($AK174+IF(Smile=TRUE(),VLOOKUP(MAX(-5,Strikeprice1-H174),Volsmile,2),0)),($A174-DateToday)+15,IF(Pricetype1=1,1,0),0))),H174)))</f>
        <v> </v>
      </c>
      <c r="R174" s="318" t="str">
        <f aca="false">IF($A174="N/A"," ",IF(Pricetype1=2,MAX(I174,0),IF(OR(Pricetype1=1,Pricetype1=4),IF(I174=0,0,(EURO(I174,Strikeprice1,0,0,($AK174+IF(Smile=TRUE(),VLOOKUP(MAX(-5,Strikeprice1-I174),Volsmile,2),0)),($A174-DateToday)+15,IF(Pricetype1=1,1,0),0))),I174)))</f>
        <v> </v>
      </c>
      <c r="S174" s="318" t="str">
        <f aca="false">IF($A174="N/A"," ",IF(Pricetype1=2,MAX(J174,0),IF(OR(Pricetype1=1,Pricetype1=4),IF(J174=0,0,(EURO(J174,Strikeprice1,0,0,($AK174+IF(Smile=TRUE(),VLOOKUP(MAX(-5,Strikeprice1-J174),Volsmile,2),0)),($A174-DateToday)+15,IF(Pricetype1=1,1,0),0))),J174)))</f>
        <v> </v>
      </c>
      <c r="T174" s="318" t="str">
        <f aca="false">IF($A174="N/A"," ",IF(Pricetype1=2,MAX(K174,0),IF(OR(Pricetype1=1,Pricetype1=4),IF(K174=0,0,(EURO(K174,Strikeprice1,0,0,($AK174+IF(Smile=TRUE(),VLOOKUP(MAX(-5,Strikeprice1-K174),Volsmile,2),0)),($A174-DateToday)+15,IF(Pricetype1=1,1,0),0))),K174)))</f>
        <v> </v>
      </c>
      <c r="U174" s="319" t="str">
        <f aca="false">IF($A174="N/A"," ",Volume1*$AM174)</f>
        <v> </v>
      </c>
      <c r="V174" s="320" t="str">
        <f aca="false">IF($A174="N/A"," ",$U174*(8*($BQ174))*L174)</f>
        <v> </v>
      </c>
      <c r="W174" s="320" t="str">
        <f aca="false">IF($A174="N/A"," ",$U174*(8*($BQ174))*M174)</f>
        <v> </v>
      </c>
      <c r="X174" s="320" t="str">
        <f aca="false">IF($A174="N/A"," ",$U174*(8*($BQ174))*N174)</f>
        <v> </v>
      </c>
      <c r="Y174" s="320" t="str">
        <f aca="false">IF($A174="N/A"," ",$U174*(8*($BR174))*O174)</f>
        <v> </v>
      </c>
      <c r="Z174" s="320" t="str">
        <f aca="false">IF($A174="N/A"," ",$U174*(8*($BR174))*P174)</f>
        <v> </v>
      </c>
      <c r="AA174" s="320" t="str">
        <f aca="false">IF($A174="N/A"," ",$U174*(8*($BR174))*Q174)</f>
        <v> </v>
      </c>
      <c r="AB174" s="320" t="str">
        <f aca="false">IF($A174="N/A"," ",$U174*(8*($BS174))*R174)</f>
        <v> </v>
      </c>
      <c r="AC174" s="320" t="str">
        <f aca="false">IF($A174="N/A"," ",$U174*(8*($BS174))*S174)</f>
        <v> </v>
      </c>
      <c r="AD174" s="320" t="str">
        <f aca="false">IF($A174="N/A"," ",$U174*(8*($BS174))*T174)</f>
        <v> </v>
      </c>
      <c r="AE174" s="320" t="str">
        <f aca="false">IF($A174="N/A"," ",SUM(V174:AD174))</f>
        <v> </v>
      </c>
      <c r="AF174" s="321" t="str">
        <f aca="false">IF(A174="N/A"," ",(VLOOKUP(A174,PowerVolTable,(IF(VolBMO1=2,7,IF(VolBMO1=1,6,8))),FALSE())))</f>
        <v> </v>
      </c>
      <c r="AG174" s="321" t="str">
        <f aca="false">IF(A174="N/A"," ",(VLOOKUP(A174,IntraPowerVol,(IF(VolBMO1=2,3,IF(VolBMO1=1,2,4))),FALSE())*VLOOKUP(MONTH($A174),Volscale,2)))</f>
        <v> </v>
      </c>
      <c r="AH174" s="321" t="str">
        <f aca="false">IF($A174="N/A"," ",IF(VolType1=1,AG174,AF174))</f>
        <v> </v>
      </c>
      <c r="AI174" s="321" t="str">
        <f aca="false">IF($A174="N/A"," ",(VLOOKUP($A174,OffPwrVolTable,(IF(VolBMO1=2,7,IF(VolBMO1=1,6,8))),FALSE())))</f>
        <v> </v>
      </c>
      <c r="AJ174" s="321" t="str">
        <f aca="false">IF($A174="N/A"," ",(VLOOKUP($A174,OffPwrVolTable,(IF(VolBMO1=2,3,IF(VolBMO1=1,2,4))),FALSE())*VLOOKUP(MONTH($A174),Volscale,2)))</f>
        <v> </v>
      </c>
      <c r="AK174" s="321" t="str">
        <f aca="false">IF($A174="N/A"," ",IF(VolType1=1,AJ174,AI174))</f>
        <v> </v>
      </c>
      <c r="AL174" s="321" t="str">
        <f aca="false">IF($A174="N/A"," ",IF(PV=1,0,'Pricing Inputs1'!R207))</f>
        <v> </v>
      </c>
      <c r="AM174" s="323" t="str">
        <f aca="false">IF($A174="N/A"," ",(1+AL174/2)^(-2*((EOMONTH(A174,0)+20)-DateToday)/365.25))</f>
        <v> </v>
      </c>
      <c r="BQ174" s="0" t="str">
        <f aca="false">IF($A174="N/A"," ",(VLOOKUP($A174,NumberofDaysTable,2)))</f>
        <v> </v>
      </c>
      <c r="BR174" s="0" t="str">
        <f aca="false">IF($A174="N/A"," ",(VLOOKUP($A174,NumberofDaysTable,3)))</f>
        <v> </v>
      </c>
      <c r="BS174" s="0" t="str">
        <f aca="false">IF($A174="N/A"," ",(VLOOKUP($A174,NumberofDaysTable,4)))</f>
        <v> </v>
      </c>
    </row>
    <row r="175" customFormat="false" ht="12.75" hidden="false" customHeight="false" outlineLevel="0" collapsed="false">
      <c r="A175" s="315" t="str">
        <f aca="false">IF(A174="N/A","N/A",IF(EDATE(A174,1)&gt;Inputs!$M$5,"N/A",EDATE(A174,1)))</f>
        <v>N/A</v>
      </c>
      <c r="B175" s="316" t="str">
        <f aca="false">IF(A175="N/A"," ",YEAR(A175))</f>
        <v> </v>
      </c>
      <c r="C175" s="324" t="str">
        <f aca="false">IF($A175="N/A"," ",IF(Dayrun1=10,0,IF(Scaler1=1,(VLOOKUP(A175,ScaledPrice1,4)),(VLOOKUP(A175,ScaledPrice1,2)))))</f>
        <v> </v>
      </c>
      <c r="D175" s="317" t="str">
        <f aca="false">IF(A175="N/A"," ",IF(Dayrun1&gt;=7,0,IF(Scaler1=2,VLOOKUP(A175,ScaledPrice1,2),(VLOOKUP(A175,ScaledPrice1,2))*(2-(VLOOKUP(A175,ScaledPrice1,3))))))</f>
        <v> </v>
      </c>
      <c r="E175" s="317" t="str">
        <f aca="false">IF($A175="N/A"," ",IF(AND(Dayrun1&gt;=4,Dayrun1&lt;=9),0,VLOOKUP($A175,ScaledPrice1,9)))</f>
        <v> </v>
      </c>
      <c r="F175" s="317" t="str">
        <f aca="false">IF(A175="N/A"," ",IF(OR(Dayrun1=2,Dayrun1=3,Dayrun1=5,Dayrun1=6,Dayrun1=8,Dayrun1=9),VLOOKUP(A175,ScaledPrice1,IF(Scaler1=1,6,5)),0))</f>
        <v> </v>
      </c>
      <c r="G175" s="317" t="str">
        <f aca="false">IF(A175="N/A"," ",IF(OR(Dayrun1=2,Dayrun1=3,Dayrun1=5,Dayrun1=6),IF(Scaler1=2,F175,(VLOOKUP(A175,ScaledPrice1,5))*(2-(VLOOKUP(A175,ScaledPrice1,3)))),0))</f>
        <v> </v>
      </c>
      <c r="H175" s="317" t="str">
        <f aca="false">IF($A175="N/A"," ",IF(OR(Dayrun1=2,Dayrun1=3,Dayrun1=10),VLOOKUP($A175,ScaledPrice1,9),0))</f>
        <v> </v>
      </c>
      <c r="I175" s="317" t="str">
        <f aca="false">IF(A175="N/A"," ",IF(OR(Dayrun1=3,Dayrun1=6,Dayrun1=9),(VLOOKUP(A175,ScaledPrice1,IF(Scaler1=2,7,8))),0))</f>
        <v> </v>
      </c>
      <c r="J175" s="317" t="str">
        <f aca="false">IF(A175="N/A"," ",IF(OR(Dayrun1=3,Dayrun1=6),IF(Scaler1=2,I175,(VLOOKUP(A175,ScaledPrice1,7))*(2-(VLOOKUP(A175,ScaledPrice1,3)))),0))</f>
        <v> </v>
      </c>
      <c r="K175" s="317" t="str">
        <f aca="false">IF($A175="N/A"," ",IF(OR(Dayrun1=3,Dayrun1=10),VLOOKUP($A175,ScaledPrice1,9),0))</f>
        <v> </v>
      </c>
      <c r="L175" s="318" t="str">
        <f aca="false">IF($A175="N/A"," ",IF(Pricetype1=2,MAX(C175,0),IF(OR(Pricetype1=1,Pricetype1=4),IF(C175=0,0,(EURO(C175,Strikeprice1,0,0,($AH175+IF(Smile=TRUE(),VLOOKUP(MAX(-5,Strikeprice1-C175),Volsmile,2),0)),($A175-DateToday)+15,IF(Pricetype1=1,1,0),0))),C175)))</f>
        <v> </v>
      </c>
      <c r="M175" s="318" t="str">
        <f aca="false">IF($A175="N/A"," ",IF(Pricetype1=2,MAX(D175,0),IF(OR(Pricetype1=1,Pricetype1=4),IF(D175=0,0,(EURO(D175,Strikeprice1,0,0,($AH175+IF(Smile=TRUE(),VLOOKUP(MAX(-5,Strikeprice1-D175),Volsmile,2),0)),($A175-DateToday)+15,IF(Pricetype1=1,1,0),0))),D175)))</f>
        <v> </v>
      </c>
      <c r="N175" s="318" t="str">
        <f aca="false">IF($A175="N/A"," ",IF(Pricetype1=2,MAX(E175,0),IF(OR(Pricetype1=1,Pricetype1=4),IF(E175=0,0,(EURO(E175,Strikeprice1,0,0,($AK175+IF(Smile=TRUE(),VLOOKUP(MAX(-5,Strikeprice1-E175),Volsmile,2),0)),($A175-DateToday)+15,IF(Pricetype1=1,1,0),0))),E175)))</f>
        <v> </v>
      </c>
      <c r="O175" s="318" t="str">
        <f aca="false">IF($A175="N/A"," ",IF(Pricetype1=2,MAX(F175,0),IF(OR(Pricetype1=1,Pricetype1=4),IF(F175=0,0,(EURO(F175,Strikeprice1,0,0,($AK175+IF(Smile=TRUE(),VLOOKUP(MAX(-5,Strikeprice1-F175),Volsmile,2),0)),($A175-DateToday)+15,IF(Pricetype1=1,1,0),0))),F175)))</f>
        <v> </v>
      </c>
      <c r="P175" s="318" t="str">
        <f aca="false">IF($A175="N/A"," ",IF(Pricetype1=2,MAX(G175,0),IF(OR(Pricetype1=1,Pricetype1=4),IF(G175=0,0,(EURO(G175,Strikeprice1,0,0,($AK175+IF(Smile=TRUE(),VLOOKUP(MAX(-5,Strikeprice1-G175),Volsmile,2),0)),($A175-DateToday)+15,IF(Pricetype1=1,1,0),0))),G175)))</f>
        <v> </v>
      </c>
      <c r="Q175" s="318" t="str">
        <f aca="false">IF($A175="N/A"," ",IF(Pricetype1=2,MAX(H175,0),IF(OR(Pricetype1=1,Pricetype1=4),IF(H175=0,0,(EURO(H175,Strikeprice1,0,0,($AK175+IF(Smile=TRUE(),VLOOKUP(MAX(-5,Strikeprice1-H175),Volsmile,2),0)),($A175-DateToday)+15,IF(Pricetype1=1,1,0),0))),H175)))</f>
        <v> </v>
      </c>
      <c r="R175" s="318" t="str">
        <f aca="false">IF($A175="N/A"," ",IF(Pricetype1=2,MAX(I175,0),IF(OR(Pricetype1=1,Pricetype1=4),IF(I175=0,0,(EURO(I175,Strikeprice1,0,0,($AK175+IF(Smile=TRUE(),VLOOKUP(MAX(-5,Strikeprice1-I175),Volsmile,2),0)),($A175-DateToday)+15,IF(Pricetype1=1,1,0),0))),I175)))</f>
        <v> </v>
      </c>
      <c r="S175" s="318" t="str">
        <f aca="false">IF($A175="N/A"," ",IF(Pricetype1=2,MAX(J175,0),IF(OR(Pricetype1=1,Pricetype1=4),IF(J175=0,0,(EURO(J175,Strikeprice1,0,0,($AK175+IF(Smile=TRUE(),VLOOKUP(MAX(-5,Strikeprice1-J175),Volsmile,2),0)),($A175-DateToday)+15,IF(Pricetype1=1,1,0),0))),J175)))</f>
        <v> </v>
      </c>
      <c r="T175" s="318" t="str">
        <f aca="false">IF($A175="N/A"," ",IF(Pricetype1=2,MAX(K175,0),IF(OR(Pricetype1=1,Pricetype1=4),IF(K175=0,0,(EURO(K175,Strikeprice1,0,0,($AK175+IF(Smile=TRUE(),VLOOKUP(MAX(-5,Strikeprice1-K175),Volsmile,2),0)),($A175-DateToday)+15,IF(Pricetype1=1,1,0),0))),K175)))</f>
        <v> </v>
      </c>
      <c r="U175" s="319" t="str">
        <f aca="false">IF($A175="N/A"," ",Volume1*$AM175)</f>
        <v> </v>
      </c>
      <c r="V175" s="320" t="str">
        <f aca="false">IF($A175="N/A"," ",$U175*(8*($BQ175))*L175)</f>
        <v> </v>
      </c>
      <c r="W175" s="320" t="str">
        <f aca="false">IF($A175="N/A"," ",$U175*(8*($BQ175))*M175)</f>
        <v> </v>
      </c>
      <c r="X175" s="320" t="str">
        <f aca="false">IF($A175="N/A"," ",$U175*(8*($BQ175))*N175)</f>
        <v> </v>
      </c>
      <c r="Y175" s="320" t="str">
        <f aca="false">IF($A175="N/A"," ",$U175*(8*($BR175))*O175)</f>
        <v> </v>
      </c>
      <c r="Z175" s="320" t="str">
        <f aca="false">IF($A175="N/A"," ",$U175*(8*($BR175))*P175)</f>
        <v> </v>
      </c>
      <c r="AA175" s="320" t="str">
        <f aca="false">IF($A175="N/A"," ",$U175*(8*($BR175))*Q175)</f>
        <v> </v>
      </c>
      <c r="AB175" s="320" t="str">
        <f aca="false">IF($A175="N/A"," ",$U175*(8*($BS175))*R175)</f>
        <v> </v>
      </c>
      <c r="AC175" s="320" t="str">
        <f aca="false">IF($A175="N/A"," ",$U175*(8*($BS175))*S175)</f>
        <v> </v>
      </c>
      <c r="AD175" s="320" t="str">
        <f aca="false">IF($A175="N/A"," ",$U175*(8*($BS175))*T175)</f>
        <v> </v>
      </c>
      <c r="AE175" s="320" t="str">
        <f aca="false">IF($A175="N/A"," ",SUM(V175:AD175))</f>
        <v> </v>
      </c>
      <c r="AF175" s="321" t="str">
        <f aca="false">IF(A175="N/A"," ",(VLOOKUP(A175,PowerVolTable,(IF(VolBMO1=2,7,IF(VolBMO1=1,6,8))),FALSE())))</f>
        <v> </v>
      </c>
      <c r="AG175" s="321" t="str">
        <f aca="false">IF(A175="N/A"," ",(VLOOKUP(A175,IntraPowerVol,(IF(VolBMO1=2,3,IF(VolBMO1=1,2,4))),FALSE())*VLOOKUP(MONTH($A175),Volscale,2)))</f>
        <v> </v>
      </c>
      <c r="AH175" s="321" t="str">
        <f aca="false">IF($A175="N/A"," ",IF(VolType1=1,AG175,AF175))</f>
        <v> </v>
      </c>
      <c r="AI175" s="321" t="str">
        <f aca="false">IF($A175="N/A"," ",(VLOOKUP($A175,OffPwrVolTable,(IF(VolBMO1=2,7,IF(VolBMO1=1,6,8))),FALSE())))</f>
        <v> </v>
      </c>
      <c r="AJ175" s="321" t="str">
        <f aca="false">IF($A175="N/A"," ",(VLOOKUP($A175,OffPwrVolTable,(IF(VolBMO1=2,3,IF(VolBMO1=1,2,4))),FALSE())*VLOOKUP(MONTH($A175),Volscale,2)))</f>
        <v> </v>
      </c>
      <c r="AK175" s="321" t="str">
        <f aca="false">IF($A175="N/A"," ",IF(VolType1=1,AJ175,AI175))</f>
        <v> </v>
      </c>
      <c r="AL175" s="321" t="str">
        <f aca="false">IF($A175="N/A"," ",IF(PV=1,0,'Pricing Inputs1'!R208))</f>
        <v> </v>
      </c>
      <c r="AM175" s="323" t="str">
        <f aca="false">IF($A175="N/A"," ",(1+AL175/2)^(-2*((EOMONTH(A175,0)+20)-DateToday)/365.25))</f>
        <v> </v>
      </c>
      <c r="BQ175" s="0" t="str">
        <f aca="false">IF($A175="N/A"," ",(VLOOKUP($A175,NumberofDaysTable,2)))</f>
        <v> </v>
      </c>
      <c r="BR175" s="0" t="str">
        <f aca="false">IF($A175="N/A"," ",(VLOOKUP($A175,NumberofDaysTable,3)))</f>
        <v> </v>
      </c>
      <c r="BS175" s="0" t="str">
        <f aca="false">IF($A175="N/A"," ",(VLOOKUP($A175,NumberofDaysTable,4)))</f>
        <v> </v>
      </c>
    </row>
    <row r="176" customFormat="false" ht="12.75" hidden="false" customHeight="false" outlineLevel="0" collapsed="false">
      <c r="A176" s="315" t="str">
        <f aca="false">IF(A175="N/A","N/A",IF(EDATE(A175,1)&gt;Inputs!$M$5,"N/A",EDATE(A175,1)))</f>
        <v>N/A</v>
      </c>
      <c r="B176" s="316" t="str">
        <f aca="false">IF(A176="N/A"," ",YEAR(A176))</f>
        <v> </v>
      </c>
      <c r="C176" s="324" t="str">
        <f aca="false">IF($A176="N/A"," ",IF(Dayrun1=10,0,IF(Scaler1=1,(VLOOKUP(A176,ScaledPrice1,4)),(VLOOKUP(A176,ScaledPrice1,2)))))</f>
        <v> </v>
      </c>
      <c r="D176" s="317" t="str">
        <f aca="false">IF(A176="N/A"," ",IF(Dayrun1&gt;=7,0,IF(Scaler1=2,VLOOKUP(A176,ScaledPrice1,2),(VLOOKUP(A176,ScaledPrice1,2))*(2-(VLOOKUP(A176,ScaledPrice1,3))))))</f>
        <v> </v>
      </c>
      <c r="E176" s="317" t="str">
        <f aca="false">IF($A176="N/A"," ",IF(AND(Dayrun1&gt;=4,Dayrun1&lt;=9),0,VLOOKUP($A176,ScaledPrice1,9)))</f>
        <v> </v>
      </c>
      <c r="F176" s="317" t="str">
        <f aca="false">IF(A176="N/A"," ",IF(OR(Dayrun1=2,Dayrun1=3,Dayrun1=5,Dayrun1=6,Dayrun1=8,Dayrun1=9),VLOOKUP(A176,ScaledPrice1,IF(Scaler1=1,6,5)),0))</f>
        <v> </v>
      </c>
      <c r="G176" s="317" t="str">
        <f aca="false">IF(A176="N/A"," ",IF(OR(Dayrun1=2,Dayrun1=3,Dayrun1=5,Dayrun1=6),IF(Scaler1=2,F176,(VLOOKUP(A176,ScaledPrice1,5))*(2-(VLOOKUP(A176,ScaledPrice1,3)))),0))</f>
        <v> </v>
      </c>
      <c r="H176" s="317" t="str">
        <f aca="false">IF($A176="N/A"," ",IF(OR(Dayrun1=2,Dayrun1=3,Dayrun1=10),VLOOKUP($A176,ScaledPrice1,9),0))</f>
        <v> </v>
      </c>
      <c r="I176" s="317" t="str">
        <f aca="false">IF(A176="N/A"," ",IF(OR(Dayrun1=3,Dayrun1=6,Dayrun1=9),(VLOOKUP(A176,ScaledPrice1,IF(Scaler1=2,7,8))),0))</f>
        <v> </v>
      </c>
      <c r="J176" s="317" t="str">
        <f aca="false">IF(A176="N/A"," ",IF(OR(Dayrun1=3,Dayrun1=6),IF(Scaler1=2,I176,(VLOOKUP(A176,ScaledPrice1,7))*(2-(VLOOKUP(A176,ScaledPrice1,3)))),0))</f>
        <v> </v>
      </c>
      <c r="K176" s="317" t="str">
        <f aca="false">IF($A176="N/A"," ",IF(OR(Dayrun1=3,Dayrun1=10),VLOOKUP($A176,ScaledPrice1,9),0))</f>
        <v> </v>
      </c>
      <c r="L176" s="318" t="str">
        <f aca="false">IF($A176="N/A"," ",IF(Pricetype1=2,MAX(C176,0),IF(OR(Pricetype1=1,Pricetype1=4),IF(C176=0,0,(EURO(C176,Strikeprice1,0,0,($AH176+IF(Smile=TRUE(),VLOOKUP(MAX(-5,Strikeprice1-C176),Volsmile,2),0)),($A176-DateToday)+15,IF(Pricetype1=1,1,0),0))),C176)))</f>
        <v> </v>
      </c>
      <c r="M176" s="318" t="str">
        <f aca="false">IF($A176="N/A"," ",IF(Pricetype1=2,MAX(D176,0),IF(OR(Pricetype1=1,Pricetype1=4),IF(D176=0,0,(EURO(D176,Strikeprice1,0,0,($AH176+IF(Smile=TRUE(),VLOOKUP(MAX(-5,Strikeprice1-D176),Volsmile,2),0)),($A176-DateToday)+15,IF(Pricetype1=1,1,0),0))),D176)))</f>
        <v> </v>
      </c>
      <c r="N176" s="318" t="str">
        <f aca="false">IF($A176="N/A"," ",IF(Pricetype1=2,MAX(E176,0),IF(OR(Pricetype1=1,Pricetype1=4),IF(E176=0,0,(EURO(E176,Strikeprice1,0,0,($AK176+IF(Smile=TRUE(),VLOOKUP(MAX(-5,Strikeprice1-E176),Volsmile,2),0)),($A176-DateToday)+15,IF(Pricetype1=1,1,0),0))),E176)))</f>
        <v> </v>
      </c>
      <c r="O176" s="318" t="str">
        <f aca="false">IF($A176="N/A"," ",IF(Pricetype1=2,MAX(F176,0),IF(OR(Pricetype1=1,Pricetype1=4),IF(F176=0,0,(EURO(F176,Strikeprice1,0,0,($AK176+IF(Smile=TRUE(),VLOOKUP(MAX(-5,Strikeprice1-F176),Volsmile,2),0)),($A176-DateToday)+15,IF(Pricetype1=1,1,0),0))),F176)))</f>
        <v> </v>
      </c>
      <c r="P176" s="318" t="str">
        <f aca="false">IF($A176="N/A"," ",IF(Pricetype1=2,MAX(G176,0),IF(OR(Pricetype1=1,Pricetype1=4),IF(G176=0,0,(EURO(G176,Strikeprice1,0,0,($AK176+IF(Smile=TRUE(),VLOOKUP(MAX(-5,Strikeprice1-G176),Volsmile,2),0)),($A176-DateToday)+15,IF(Pricetype1=1,1,0),0))),G176)))</f>
        <v> </v>
      </c>
      <c r="Q176" s="318" t="str">
        <f aca="false">IF($A176="N/A"," ",IF(Pricetype1=2,MAX(H176,0),IF(OR(Pricetype1=1,Pricetype1=4),IF(H176=0,0,(EURO(H176,Strikeprice1,0,0,($AK176+IF(Smile=TRUE(),VLOOKUP(MAX(-5,Strikeprice1-H176),Volsmile,2),0)),($A176-DateToday)+15,IF(Pricetype1=1,1,0),0))),H176)))</f>
        <v> </v>
      </c>
      <c r="R176" s="318" t="str">
        <f aca="false">IF($A176="N/A"," ",IF(Pricetype1=2,MAX(I176,0),IF(OR(Pricetype1=1,Pricetype1=4),IF(I176=0,0,(EURO(I176,Strikeprice1,0,0,($AK176+IF(Smile=TRUE(),VLOOKUP(MAX(-5,Strikeprice1-I176),Volsmile,2),0)),($A176-DateToday)+15,IF(Pricetype1=1,1,0),0))),I176)))</f>
        <v> </v>
      </c>
      <c r="S176" s="318" t="str">
        <f aca="false">IF($A176="N/A"," ",IF(Pricetype1=2,MAX(J176,0),IF(OR(Pricetype1=1,Pricetype1=4),IF(J176=0,0,(EURO(J176,Strikeprice1,0,0,($AK176+IF(Smile=TRUE(),VLOOKUP(MAX(-5,Strikeprice1-J176),Volsmile,2),0)),($A176-DateToday)+15,IF(Pricetype1=1,1,0),0))),J176)))</f>
        <v> </v>
      </c>
      <c r="T176" s="318" t="str">
        <f aca="false">IF($A176="N/A"," ",IF(Pricetype1=2,MAX(K176,0),IF(OR(Pricetype1=1,Pricetype1=4),IF(K176=0,0,(EURO(K176,Strikeprice1,0,0,($AK176+IF(Smile=TRUE(),VLOOKUP(MAX(-5,Strikeprice1-K176),Volsmile,2),0)),($A176-DateToday)+15,IF(Pricetype1=1,1,0),0))),K176)))</f>
        <v> </v>
      </c>
      <c r="U176" s="319" t="str">
        <f aca="false">IF($A176="N/A"," ",Volume1*$AM176)</f>
        <v> </v>
      </c>
      <c r="V176" s="320" t="str">
        <f aca="false">IF($A176="N/A"," ",$U176*(8*($BQ176))*L176)</f>
        <v> </v>
      </c>
      <c r="W176" s="320" t="str">
        <f aca="false">IF($A176="N/A"," ",$U176*(8*($BQ176))*M176)</f>
        <v> </v>
      </c>
      <c r="X176" s="320" t="str">
        <f aca="false">IF($A176="N/A"," ",$U176*(8*($BQ176))*N176)</f>
        <v> </v>
      </c>
      <c r="Y176" s="320" t="str">
        <f aca="false">IF($A176="N/A"," ",$U176*(8*($BR176))*O176)</f>
        <v> </v>
      </c>
      <c r="Z176" s="320" t="str">
        <f aca="false">IF($A176="N/A"," ",$U176*(8*($BR176))*P176)</f>
        <v> </v>
      </c>
      <c r="AA176" s="320" t="str">
        <f aca="false">IF($A176="N/A"," ",$U176*(8*($BR176))*Q176)</f>
        <v> </v>
      </c>
      <c r="AB176" s="320" t="str">
        <f aca="false">IF($A176="N/A"," ",$U176*(8*($BS176))*R176)</f>
        <v> </v>
      </c>
      <c r="AC176" s="320" t="str">
        <f aca="false">IF($A176="N/A"," ",$U176*(8*($BS176))*S176)</f>
        <v> </v>
      </c>
      <c r="AD176" s="320" t="str">
        <f aca="false">IF($A176="N/A"," ",$U176*(8*($BS176))*T176)</f>
        <v> </v>
      </c>
      <c r="AE176" s="320" t="str">
        <f aca="false">IF($A176="N/A"," ",SUM(V176:AD176))</f>
        <v> </v>
      </c>
      <c r="AF176" s="321" t="str">
        <f aca="false">IF(A176="N/A"," ",(VLOOKUP(A176,PowerVolTable,(IF(VolBMO1=2,7,IF(VolBMO1=1,6,8))),FALSE())))</f>
        <v> </v>
      </c>
      <c r="AG176" s="321" t="str">
        <f aca="false">IF(A176="N/A"," ",(VLOOKUP(A176,IntraPowerVol,(IF(VolBMO1=2,3,IF(VolBMO1=1,2,4))),FALSE())*VLOOKUP(MONTH($A176),Volscale,2)))</f>
        <v> </v>
      </c>
      <c r="AH176" s="321" t="str">
        <f aca="false">IF($A176="N/A"," ",IF(VolType1=1,AG176,AF176))</f>
        <v> </v>
      </c>
      <c r="AI176" s="321" t="str">
        <f aca="false">IF($A176="N/A"," ",(VLOOKUP($A176,OffPwrVolTable,(IF(VolBMO1=2,7,IF(VolBMO1=1,6,8))),FALSE())))</f>
        <v> </v>
      </c>
      <c r="AJ176" s="321" t="str">
        <f aca="false">IF($A176="N/A"," ",(VLOOKUP($A176,OffPwrVolTable,(IF(VolBMO1=2,3,IF(VolBMO1=1,2,4))),FALSE())*VLOOKUP(MONTH($A176),Volscale,2)))</f>
        <v> </v>
      </c>
      <c r="AK176" s="321" t="str">
        <f aca="false">IF($A176="N/A"," ",IF(VolType1=1,AJ176,AI176))</f>
        <v> </v>
      </c>
      <c r="AL176" s="321" t="str">
        <f aca="false">IF($A176="N/A"," ",IF(PV=1,0,'Pricing Inputs1'!R209))</f>
        <v> </v>
      </c>
      <c r="AM176" s="323" t="str">
        <f aca="false">IF($A176="N/A"," ",(1+AL176/2)^(-2*((EOMONTH(A176,0)+20)-DateToday)/365.25))</f>
        <v> </v>
      </c>
      <c r="BQ176" s="0" t="str">
        <f aca="false">IF($A176="N/A"," ",(VLOOKUP($A176,NumberofDaysTable,2)))</f>
        <v> </v>
      </c>
      <c r="BR176" s="0" t="str">
        <f aca="false">IF($A176="N/A"," ",(VLOOKUP($A176,NumberofDaysTable,3)))</f>
        <v> </v>
      </c>
      <c r="BS176" s="0" t="str">
        <f aca="false">IF($A176="N/A"," ",(VLOOKUP($A176,NumberofDaysTable,4)))</f>
        <v> </v>
      </c>
    </row>
    <row r="177" customFormat="false" ht="12.75" hidden="false" customHeight="false" outlineLevel="0" collapsed="false">
      <c r="A177" s="315" t="str">
        <f aca="false">IF(A176="N/A","N/A",IF(EDATE(A176,1)&gt;Inputs!$M$5,"N/A",EDATE(A176,1)))</f>
        <v>N/A</v>
      </c>
      <c r="B177" s="316" t="str">
        <f aca="false">IF(A177="N/A"," ",YEAR(A177))</f>
        <v> </v>
      </c>
      <c r="C177" s="324" t="str">
        <f aca="false">IF($A177="N/A"," ",IF(Dayrun1=10,0,IF(Scaler1=1,(VLOOKUP(A177,ScaledPrice1,4)),(VLOOKUP(A177,ScaledPrice1,2)))))</f>
        <v> </v>
      </c>
      <c r="D177" s="317" t="str">
        <f aca="false">IF(A177="N/A"," ",IF(Dayrun1&gt;=7,0,IF(Scaler1=2,VLOOKUP(A177,ScaledPrice1,2),(VLOOKUP(A177,ScaledPrice1,2))*(2-(VLOOKUP(A177,ScaledPrice1,3))))))</f>
        <v> </v>
      </c>
      <c r="E177" s="317" t="str">
        <f aca="false">IF($A177="N/A"," ",IF(AND(Dayrun1&gt;=4,Dayrun1&lt;=9),0,VLOOKUP($A177,ScaledPrice1,9)))</f>
        <v> </v>
      </c>
      <c r="F177" s="317" t="str">
        <f aca="false">IF(A177="N/A"," ",IF(OR(Dayrun1=2,Dayrun1=3,Dayrun1=5,Dayrun1=6,Dayrun1=8,Dayrun1=9),VLOOKUP(A177,ScaledPrice1,IF(Scaler1=1,6,5)),0))</f>
        <v> </v>
      </c>
      <c r="G177" s="317" t="str">
        <f aca="false">IF(A177="N/A"," ",IF(OR(Dayrun1=2,Dayrun1=3,Dayrun1=5,Dayrun1=6),IF(Scaler1=2,F177,(VLOOKUP(A177,ScaledPrice1,5))*(2-(VLOOKUP(A177,ScaledPrice1,3)))),0))</f>
        <v> </v>
      </c>
      <c r="H177" s="317" t="str">
        <f aca="false">IF($A177="N/A"," ",IF(OR(Dayrun1=2,Dayrun1=3,Dayrun1=10),VLOOKUP($A177,ScaledPrice1,9),0))</f>
        <v> </v>
      </c>
      <c r="I177" s="317" t="str">
        <f aca="false">IF(A177="N/A"," ",IF(OR(Dayrun1=3,Dayrun1=6,Dayrun1=9),(VLOOKUP(A177,ScaledPrice1,IF(Scaler1=2,7,8))),0))</f>
        <v> </v>
      </c>
      <c r="J177" s="317" t="str">
        <f aca="false">IF(A177="N/A"," ",IF(OR(Dayrun1=3,Dayrun1=6),IF(Scaler1=2,I177,(VLOOKUP(A177,ScaledPrice1,7))*(2-(VLOOKUP(A177,ScaledPrice1,3)))),0))</f>
        <v> </v>
      </c>
      <c r="K177" s="317" t="str">
        <f aca="false">IF($A177="N/A"," ",IF(OR(Dayrun1=3,Dayrun1=10),VLOOKUP($A177,ScaledPrice1,9),0))</f>
        <v> </v>
      </c>
      <c r="L177" s="318" t="str">
        <f aca="false">IF($A177="N/A"," ",IF(Pricetype1=2,MAX(C177,0),IF(OR(Pricetype1=1,Pricetype1=4),IF(C177=0,0,(EURO(C177,Strikeprice1,0,0,($AH177+IF(Smile=TRUE(),VLOOKUP(MAX(-5,Strikeprice1-C177),Volsmile,2),0)),($A177-DateToday)+15,IF(Pricetype1=1,1,0),0))),C177)))</f>
        <v> </v>
      </c>
      <c r="M177" s="318" t="str">
        <f aca="false">IF($A177="N/A"," ",IF(Pricetype1=2,MAX(D177,0),IF(OR(Pricetype1=1,Pricetype1=4),IF(D177=0,0,(EURO(D177,Strikeprice1,0,0,($AH177+IF(Smile=TRUE(),VLOOKUP(MAX(-5,Strikeprice1-D177),Volsmile,2),0)),($A177-DateToday)+15,IF(Pricetype1=1,1,0),0))),D177)))</f>
        <v> </v>
      </c>
      <c r="N177" s="318" t="str">
        <f aca="false">IF($A177="N/A"," ",IF(Pricetype1=2,MAX(E177,0),IF(OR(Pricetype1=1,Pricetype1=4),IF(E177=0,0,(EURO(E177,Strikeprice1,0,0,($AK177+IF(Smile=TRUE(),VLOOKUP(MAX(-5,Strikeprice1-E177),Volsmile,2),0)),($A177-DateToday)+15,IF(Pricetype1=1,1,0),0))),E177)))</f>
        <v> </v>
      </c>
      <c r="O177" s="318" t="str">
        <f aca="false">IF($A177="N/A"," ",IF(Pricetype1=2,MAX(F177,0),IF(OR(Pricetype1=1,Pricetype1=4),IF(F177=0,0,(EURO(F177,Strikeprice1,0,0,($AK177+IF(Smile=TRUE(),VLOOKUP(MAX(-5,Strikeprice1-F177),Volsmile,2),0)),($A177-DateToday)+15,IF(Pricetype1=1,1,0),0))),F177)))</f>
        <v> </v>
      </c>
      <c r="P177" s="318" t="str">
        <f aca="false">IF($A177="N/A"," ",IF(Pricetype1=2,MAX(G177,0),IF(OR(Pricetype1=1,Pricetype1=4),IF(G177=0,0,(EURO(G177,Strikeprice1,0,0,($AK177+IF(Smile=TRUE(),VLOOKUP(MAX(-5,Strikeprice1-G177),Volsmile,2),0)),($A177-DateToday)+15,IF(Pricetype1=1,1,0),0))),G177)))</f>
        <v> </v>
      </c>
      <c r="Q177" s="318" t="str">
        <f aca="false">IF($A177="N/A"," ",IF(Pricetype1=2,MAX(H177,0),IF(OR(Pricetype1=1,Pricetype1=4),IF(H177=0,0,(EURO(H177,Strikeprice1,0,0,($AK177+IF(Smile=TRUE(),VLOOKUP(MAX(-5,Strikeprice1-H177),Volsmile,2),0)),($A177-DateToday)+15,IF(Pricetype1=1,1,0),0))),H177)))</f>
        <v> </v>
      </c>
      <c r="R177" s="318" t="str">
        <f aca="false">IF($A177="N/A"," ",IF(Pricetype1=2,MAX(I177,0),IF(OR(Pricetype1=1,Pricetype1=4),IF(I177=0,0,(EURO(I177,Strikeprice1,0,0,($AK177+IF(Smile=TRUE(),VLOOKUP(MAX(-5,Strikeprice1-I177),Volsmile,2),0)),($A177-DateToday)+15,IF(Pricetype1=1,1,0),0))),I177)))</f>
        <v> </v>
      </c>
      <c r="S177" s="318" t="str">
        <f aca="false">IF($A177="N/A"," ",IF(Pricetype1=2,MAX(J177,0),IF(OR(Pricetype1=1,Pricetype1=4),IF(J177=0,0,(EURO(J177,Strikeprice1,0,0,($AK177+IF(Smile=TRUE(),VLOOKUP(MAX(-5,Strikeprice1-J177),Volsmile,2),0)),($A177-DateToday)+15,IF(Pricetype1=1,1,0),0))),J177)))</f>
        <v> </v>
      </c>
      <c r="T177" s="318" t="str">
        <f aca="false">IF($A177="N/A"," ",IF(Pricetype1=2,MAX(K177,0),IF(OR(Pricetype1=1,Pricetype1=4),IF(K177=0,0,(EURO(K177,Strikeprice1,0,0,($AK177+IF(Smile=TRUE(),VLOOKUP(MAX(-5,Strikeprice1-K177),Volsmile,2),0)),($A177-DateToday)+15,IF(Pricetype1=1,1,0),0))),K177)))</f>
        <v> </v>
      </c>
      <c r="U177" s="319" t="str">
        <f aca="false">IF($A177="N/A"," ",Volume1*$AM177)</f>
        <v> </v>
      </c>
      <c r="V177" s="320" t="str">
        <f aca="false">IF($A177="N/A"," ",$U177*(8*($BQ177))*L177)</f>
        <v> </v>
      </c>
      <c r="W177" s="320" t="str">
        <f aca="false">IF($A177="N/A"," ",$U177*(8*($BQ177))*M177)</f>
        <v> </v>
      </c>
      <c r="X177" s="320" t="str">
        <f aca="false">IF($A177="N/A"," ",$U177*(8*($BQ177))*N177)</f>
        <v> </v>
      </c>
      <c r="Y177" s="320" t="str">
        <f aca="false">IF($A177="N/A"," ",$U177*(8*($BR177))*O177)</f>
        <v> </v>
      </c>
      <c r="Z177" s="320" t="str">
        <f aca="false">IF($A177="N/A"," ",$U177*(8*($BR177))*P177)</f>
        <v> </v>
      </c>
      <c r="AA177" s="320" t="str">
        <f aca="false">IF($A177="N/A"," ",$U177*(8*($BR177))*Q177)</f>
        <v> </v>
      </c>
      <c r="AB177" s="320" t="str">
        <f aca="false">IF($A177="N/A"," ",$U177*(8*($BS177))*R177)</f>
        <v> </v>
      </c>
      <c r="AC177" s="320" t="str">
        <f aca="false">IF($A177="N/A"," ",$U177*(8*($BS177))*S177)</f>
        <v> </v>
      </c>
      <c r="AD177" s="320" t="str">
        <f aca="false">IF($A177="N/A"," ",$U177*(8*($BS177))*T177)</f>
        <v> </v>
      </c>
      <c r="AE177" s="320" t="str">
        <f aca="false">IF($A177="N/A"," ",SUM(V177:AD177))</f>
        <v> </v>
      </c>
      <c r="AF177" s="321" t="str">
        <f aca="false">IF(A177="N/A"," ",(VLOOKUP(A177,PowerVolTable,(IF(VolBMO1=2,7,IF(VolBMO1=1,6,8))),FALSE())))</f>
        <v> </v>
      </c>
      <c r="AG177" s="321" t="str">
        <f aca="false">IF(A177="N/A"," ",(VLOOKUP(A177,IntraPowerVol,(IF(VolBMO1=2,3,IF(VolBMO1=1,2,4))),FALSE())*VLOOKUP(MONTH($A177),Volscale,2)))</f>
        <v> </v>
      </c>
      <c r="AH177" s="321" t="str">
        <f aca="false">IF($A177="N/A"," ",IF(VolType1=1,AG177,AF177))</f>
        <v> </v>
      </c>
      <c r="AI177" s="321" t="str">
        <f aca="false">IF($A177="N/A"," ",(VLOOKUP($A177,OffPwrVolTable,(IF(VolBMO1=2,7,IF(VolBMO1=1,6,8))),FALSE())))</f>
        <v> </v>
      </c>
      <c r="AJ177" s="321" t="str">
        <f aca="false">IF($A177="N/A"," ",(VLOOKUP($A177,OffPwrVolTable,(IF(VolBMO1=2,3,IF(VolBMO1=1,2,4))),FALSE())*VLOOKUP(MONTH($A177),Volscale,2)))</f>
        <v> </v>
      </c>
      <c r="AK177" s="321" t="str">
        <f aca="false">IF($A177="N/A"," ",IF(VolType1=1,AJ177,AI177))</f>
        <v> </v>
      </c>
      <c r="AL177" s="321" t="str">
        <f aca="false">IF($A177="N/A"," ",IF(PV=1,0,'Pricing Inputs1'!R210))</f>
        <v> </v>
      </c>
      <c r="AM177" s="323" t="str">
        <f aca="false">IF($A177="N/A"," ",(1+AL177/2)^(-2*((EOMONTH(A177,0)+20)-DateToday)/365.25))</f>
        <v> </v>
      </c>
      <c r="BQ177" s="0" t="str">
        <f aca="false">IF($A177="N/A"," ",(VLOOKUP($A177,NumberofDaysTable,2)))</f>
        <v> </v>
      </c>
      <c r="BR177" s="0" t="str">
        <f aca="false">IF($A177="N/A"," ",(VLOOKUP($A177,NumberofDaysTable,3)))</f>
        <v> </v>
      </c>
      <c r="BS177" s="0" t="str">
        <f aca="false">IF($A177="N/A"," ",(VLOOKUP($A177,NumberofDaysTable,4)))</f>
        <v> </v>
      </c>
    </row>
    <row r="178" customFormat="false" ht="12.75" hidden="false" customHeight="false" outlineLevel="0" collapsed="false">
      <c r="A178" s="315" t="str">
        <f aca="false">IF(A177="N/A","N/A",IF(EDATE(A177,1)&gt;Inputs!$M$5,"N/A",EDATE(A177,1)))</f>
        <v>N/A</v>
      </c>
      <c r="B178" s="316" t="str">
        <f aca="false">IF(A178="N/A"," ",YEAR(A178))</f>
        <v> </v>
      </c>
      <c r="C178" s="324" t="str">
        <f aca="false">IF($A178="N/A"," ",IF(Dayrun1=10,0,IF(Scaler1=1,(VLOOKUP(A178,ScaledPrice1,4)),(VLOOKUP(A178,ScaledPrice1,2)))))</f>
        <v> </v>
      </c>
      <c r="D178" s="317" t="str">
        <f aca="false">IF(A178="N/A"," ",IF(Dayrun1&gt;=7,0,IF(Scaler1=2,VLOOKUP(A178,ScaledPrice1,2),(VLOOKUP(A178,ScaledPrice1,2))*(2-(VLOOKUP(A178,ScaledPrice1,3))))))</f>
        <v> </v>
      </c>
      <c r="E178" s="317" t="str">
        <f aca="false">IF($A178="N/A"," ",IF(AND(Dayrun1&gt;=4,Dayrun1&lt;=9),0,VLOOKUP($A178,ScaledPrice1,9)))</f>
        <v> </v>
      </c>
      <c r="F178" s="317" t="str">
        <f aca="false">IF(A178="N/A"," ",IF(OR(Dayrun1=2,Dayrun1=3,Dayrun1=5,Dayrun1=6,Dayrun1=8,Dayrun1=9),VLOOKUP(A178,ScaledPrice1,IF(Scaler1=1,6,5)),0))</f>
        <v> </v>
      </c>
      <c r="G178" s="317" t="str">
        <f aca="false">IF(A178="N/A"," ",IF(OR(Dayrun1=2,Dayrun1=3,Dayrun1=5,Dayrun1=6),IF(Scaler1=2,F178,(VLOOKUP(A178,ScaledPrice1,5))*(2-(VLOOKUP(A178,ScaledPrice1,3)))),0))</f>
        <v> </v>
      </c>
      <c r="H178" s="317" t="str">
        <f aca="false">IF($A178="N/A"," ",IF(OR(Dayrun1=2,Dayrun1=3,Dayrun1=10),VLOOKUP($A178,ScaledPrice1,9),0))</f>
        <v> </v>
      </c>
      <c r="I178" s="317" t="str">
        <f aca="false">IF(A178="N/A"," ",IF(OR(Dayrun1=3,Dayrun1=6,Dayrun1=9),(VLOOKUP(A178,ScaledPrice1,IF(Scaler1=2,7,8))),0))</f>
        <v> </v>
      </c>
      <c r="J178" s="317" t="str">
        <f aca="false">IF(A178="N/A"," ",IF(OR(Dayrun1=3,Dayrun1=6),IF(Scaler1=2,I178,(VLOOKUP(A178,ScaledPrice1,7))*(2-(VLOOKUP(A178,ScaledPrice1,3)))),0))</f>
        <v> </v>
      </c>
      <c r="K178" s="317" t="str">
        <f aca="false">IF($A178="N/A"," ",IF(OR(Dayrun1=3,Dayrun1=10),VLOOKUP($A178,ScaledPrice1,9),0))</f>
        <v> </v>
      </c>
      <c r="L178" s="318" t="str">
        <f aca="false">IF($A178="N/A"," ",IF(Pricetype1=2,MAX(C178,0),IF(OR(Pricetype1=1,Pricetype1=4),IF(C178=0,0,(EURO(C178,Strikeprice1,0,0,($AH178+IF(Smile=TRUE(),VLOOKUP(MAX(-5,Strikeprice1-C178),Volsmile,2),0)),($A178-DateToday)+15,IF(Pricetype1=1,1,0),0))),C178)))</f>
        <v> </v>
      </c>
      <c r="M178" s="318" t="str">
        <f aca="false">IF($A178="N/A"," ",IF(Pricetype1=2,MAX(D178,0),IF(OR(Pricetype1=1,Pricetype1=4),IF(D178=0,0,(EURO(D178,Strikeprice1,0,0,($AH178+IF(Smile=TRUE(),VLOOKUP(MAX(-5,Strikeprice1-D178),Volsmile,2),0)),($A178-DateToday)+15,IF(Pricetype1=1,1,0),0))),D178)))</f>
        <v> </v>
      </c>
      <c r="N178" s="318" t="str">
        <f aca="false">IF($A178="N/A"," ",IF(Pricetype1=2,MAX(E178,0),IF(OR(Pricetype1=1,Pricetype1=4),IF(E178=0,0,(EURO(E178,Strikeprice1,0,0,($AK178+IF(Smile=TRUE(),VLOOKUP(MAX(-5,Strikeprice1-E178),Volsmile,2),0)),($A178-DateToday)+15,IF(Pricetype1=1,1,0),0))),E178)))</f>
        <v> </v>
      </c>
      <c r="O178" s="318" t="str">
        <f aca="false">IF($A178="N/A"," ",IF(Pricetype1=2,MAX(F178,0),IF(OR(Pricetype1=1,Pricetype1=4),IF(F178=0,0,(EURO(F178,Strikeprice1,0,0,($AK178+IF(Smile=TRUE(),VLOOKUP(MAX(-5,Strikeprice1-F178),Volsmile,2),0)),($A178-DateToday)+15,IF(Pricetype1=1,1,0),0))),F178)))</f>
        <v> </v>
      </c>
      <c r="P178" s="318" t="str">
        <f aca="false">IF($A178="N/A"," ",IF(Pricetype1=2,MAX(G178,0),IF(OR(Pricetype1=1,Pricetype1=4),IF(G178=0,0,(EURO(G178,Strikeprice1,0,0,($AK178+IF(Smile=TRUE(),VLOOKUP(MAX(-5,Strikeprice1-G178),Volsmile,2),0)),($A178-DateToday)+15,IF(Pricetype1=1,1,0),0))),G178)))</f>
        <v> </v>
      </c>
      <c r="Q178" s="318" t="str">
        <f aca="false">IF($A178="N/A"," ",IF(Pricetype1=2,MAX(H178,0),IF(OR(Pricetype1=1,Pricetype1=4),IF(H178=0,0,(EURO(H178,Strikeprice1,0,0,($AK178+IF(Smile=TRUE(),VLOOKUP(MAX(-5,Strikeprice1-H178),Volsmile,2),0)),($A178-DateToday)+15,IF(Pricetype1=1,1,0),0))),H178)))</f>
        <v> </v>
      </c>
      <c r="R178" s="318" t="str">
        <f aca="false">IF($A178="N/A"," ",IF(Pricetype1=2,MAX(I178,0),IF(OR(Pricetype1=1,Pricetype1=4),IF(I178=0,0,(EURO(I178,Strikeprice1,0,0,($AK178+IF(Smile=TRUE(),VLOOKUP(MAX(-5,Strikeprice1-I178),Volsmile,2),0)),($A178-DateToday)+15,IF(Pricetype1=1,1,0),0))),I178)))</f>
        <v> </v>
      </c>
      <c r="S178" s="318" t="str">
        <f aca="false">IF($A178="N/A"," ",IF(Pricetype1=2,MAX(J178,0),IF(OR(Pricetype1=1,Pricetype1=4),IF(J178=0,0,(EURO(J178,Strikeprice1,0,0,($AK178+IF(Smile=TRUE(),VLOOKUP(MAX(-5,Strikeprice1-J178),Volsmile,2),0)),($A178-DateToday)+15,IF(Pricetype1=1,1,0),0))),J178)))</f>
        <v> </v>
      </c>
      <c r="T178" s="318" t="str">
        <f aca="false">IF($A178="N/A"," ",IF(Pricetype1=2,MAX(K178,0),IF(OR(Pricetype1=1,Pricetype1=4),IF(K178=0,0,(EURO(K178,Strikeprice1,0,0,($AK178+IF(Smile=TRUE(),VLOOKUP(MAX(-5,Strikeprice1-K178),Volsmile,2),0)),($A178-DateToday)+15,IF(Pricetype1=1,1,0),0))),K178)))</f>
        <v> </v>
      </c>
      <c r="U178" s="319" t="str">
        <f aca="false">IF($A178="N/A"," ",Volume1*$AM178)</f>
        <v> </v>
      </c>
      <c r="V178" s="320" t="str">
        <f aca="false">IF($A178="N/A"," ",$U178*(8*($BQ178))*L178)</f>
        <v> </v>
      </c>
      <c r="W178" s="320" t="str">
        <f aca="false">IF($A178="N/A"," ",$U178*(8*($BQ178))*M178)</f>
        <v> </v>
      </c>
      <c r="X178" s="320" t="str">
        <f aca="false">IF($A178="N/A"," ",$U178*(8*($BQ178))*N178)</f>
        <v> </v>
      </c>
      <c r="Y178" s="320" t="str">
        <f aca="false">IF($A178="N/A"," ",$U178*(8*($BR178))*O178)</f>
        <v> </v>
      </c>
      <c r="Z178" s="320" t="str">
        <f aca="false">IF($A178="N/A"," ",$U178*(8*($BR178))*P178)</f>
        <v> </v>
      </c>
      <c r="AA178" s="320" t="str">
        <f aca="false">IF($A178="N/A"," ",$U178*(8*($BR178))*Q178)</f>
        <v> </v>
      </c>
      <c r="AB178" s="320" t="str">
        <f aca="false">IF($A178="N/A"," ",$U178*(8*($BS178))*R178)</f>
        <v> </v>
      </c>
      <c r="AC178" s="320" t="str">
        <f aca="false">IF($A178="N/A"," ",$U178*(8*($BS178))*S178)</f>
        <v> </v>
      </c>
      <c r="AD178" s="320" t="str">
        <f aca="false">IF($A178="N/A"," ",$U178*(8*($BS178))*T178)</f>
        <v> </v>
      </c>
      <c r="AE178" s="320" t="str">
        <f aca="false">IF($A178="N/A"," ",SUM(V178:AD178))</f>
        <v> </v>
      </c>
      <c r="AF178" s="321" t="str">
        <f aca="false">IF(A178="N/A"," ",(VLOOKUP(A178,PowerVolTable,(IF(VolBMO1=2,7,IF(VolBMO1=1,6,8))),FALSE())))</f>
        <v> </v>
      </c>
      <c r="AG178" s="321" t="str">
        <f aca="false">IF(A178="N/A"," ",(VLOOKUP(A178,IntraPowerVol,(IF(VolBMO1=2,3,IF(VolBMO1=1,2,4))),FALSE())*VLOOKUP(MONTH($A178),Volscale,2)))</f>
        <v> </v>
      </c>
      <c r="AH178" s="321" t="str">
        <f aca="false">IF($A178="N/A"," ",IF(VolType1=1,AG178,AF178))</f>
        <v> </v>
      </c>
      <c r="AI178" s="321" t="str">
        <f aca="false">IF($A178="N/A"," ",(VLOOKUP($A178,OffPwrVolTable,(IF(VolBMO1=2,7,IF(VolBMO1=1,6,8))),FALSE())))</f>
        <v> </v>
      </c>
      <c r="AJ178" s="321" t="str">
        <f aca="false">IF($A178="N/A"," ",(VLOOKUP($A178,OffPwrVolTable,(IF(VolBMO1=2,3,IF(VolBMO1=1,2,4))),FALSE())*VLOOKUP(MONTH($A178),Volscale,2)))</f>
        <v> </v>
      </c>
      <c r="AK178" s="321" t="str">
        <f aca="false">IF($A178="N/A"," ",IF(VolType1=1,AJ178,AI178))</f>
        <v> </v>
      </c>
      <c r="AL178" s="321" t="str">
        <f aca="false">IF($A178="N/A"," ",IF(PV=1,0,'Pricing Inputs1'!R211))</f>
        <v> </v>
      </c>
      <c r="AM178" s="323" t="str">
        <f aca="false">IF($A178="N/A"," ",(1+AL178/2)^(-2*((EOMONTH(A178,0)+20)-DateToday)/365.25))</f>
        <v> </v>
      </c>
      <c r="BQ178" s="0" t="str">
        <f aca="false">IF($A178="N/A"," ",(VLOOKUP($A178,NumberofDaysTable,2)))</f>
        <v> </v>
      </c>
      <c r="BR178" s="0" t="str">
        <f aca="false">IF($A178="N/A"," ",(VLOOKUP($A178,NumberofDaysTable,3)))</f>
        <v> </v>
      </c>
      <c r="BS178" s="0" t="str">
        <f aca="false">IF($A178="N/A"," ",(VLOOKUP($A178,NumberofDaysTable,4)))</f>
        <v> </v>
      </c>
    </row>
    <row r="179" customFormat="false" ht="12.75" hidden="false" customHeight="false" outlineLevel="0" collapsed="false">
      <c r="A179" s="315" t="str">
        <f aca="false">IF(A178="N/A","N/A",IF(EDATE(A178,1)&gt;Inputs!$M$5,"N/A",EDATE(A178,1)))</f>
        <v>N/A</v>
      </c>
      <c r="B179" s="316" t="str">
        <f aca="false">IF(A179="N/A"," ",YEAR(A179))</f>
        <v> </v>
      </c>
      <c r="C179" s="324" t="str">
        <f aca="false">IF($A179="N/A"," ",IF(Dayrun1=10,0,IF(Scaler1=1,(VLOOKUP(A179,ScaledPrice1,4)),(VLOOKUP(A179,ScaledPrice1,2)))))</f>
        <v> </v>
      </c>
      <c r="D179" s="317" t="str">
        <f aca="false">IF(A179="N/A"," ",IF(Dayrun1&gt;=7,0,IF(Scaler1=2,VLOOKUP(A179,ScaledPrice1,2),(VLOOKUP(A179,ScaledPrice1,2))*(2-(VLOOKUP(A179,ScaledPrice1,3))))))</f>
        <v> </v>
      </c>
      <c r="E179" s="317" t="str">
        <f aca="false">IF($A179="N/A"," ",IF(AND(Dayrun1&gt;=4,Dayrun1&lt;=9),0,VLOOKUP($A179,ScaledPrice1,9)))</f>
        <v> </v>
      </c>
      <c r="F179" s="317" t="str">
        <f aca="false">IF(A179="N/A"," ",IF(OR(Dayrun1=2,Dayrun1=3,Dayrun1=5,Dayrun1=6,Dayrun1=8,Dayrun1=9),VLOOKUP(A179,ScaledPrice1,IF(Scaler1=1,6,5)),0))</f>
        <v> </v>
      </c>
      <c r="G179" s="317" t="str">
        <f aca="false">IF(A179="N/A"," ",IF(OR(Dayrun1=2,Dayrun1=3,Dayrun1=5,Dayrun1=6),IF(Scaler1=2,F179,(VLOOKUP(A179,ScaledPrice1,5))*(2-(VLOOKUP(A179,ScaledPrice1,3)))),0))</f>
        <v> </v>
      </c>
      <c r="H179" s="317" t="str">
        <f aca="false">IF($A179="N/A"," ",IF(OR(Dayrun1=2,Dayrun1=3,Dayrun1=10),VLOOKUP($A179,ScaledPrice1,9),0))</f>
        <v> </v>
      </c>
      <c r="I179" s="317" t="str">
        <f aca="false">IF(A179="N/A"," ",IF(OR(Dayrun1=3,Dayrun1=6,Dayrun1=9),(VLOOKUP(A179,ScaledPrice1,IF(Scaler1=2,7,8))),0))</f>
        <v> </v>
      </c>
      <c r="J179" s="317" t="str">
        <f aca="false">IF(A179="N/A"," ",IF(OR(Dayrun1=3,Dayrun1=6),IF(Scaler1=2,I179,(VLOOKUP(A179,ScaledPrice1,7))*(2-(VLOOKUP(A179,ScaledPrice1,3)))),0))</f>
        <v> </v>
      </c>
      <c r="K179" s="317" t="str">
        <f aca="false">IF($A179="N/A"," ",IF(OR(Dayrun1=3,Dayrun1=10),VLOOKUP($A179,ScaledPrice1,9),0))</f>
        <v> </v>
      </c>
      <c r="L179" s="318" t="str">
        <f aca="false">IF($A179="N/A"," ",IF(Pricetype1=2,MAX(C179,0),IF(OR(Pricetype1=1,Pricetype1=4),IF(C179=0,0,(EURO(C179,Strikeprice1,0,0,($AH179+IF(Smile=TRUE(),VLOOKUP(MAX(-5,Strikeprice1-C179),Volsmile,2),0)),($A179-DateToday)+15,IF(Pricetype1=1,1,0),0))),C179)))</f>
        <v> </v>
      </c>
      <c r="M179" s="318" t="str">
        <f aca="false">IF($A179="N/A"," ",IF(Pricetype1=2,MAX(D179,0),IF(OR(Pricetype1=1,Pricetype1=4),IF(D179=0,0,(EURO(D179,Strikeprice1,0,0,($AH179+IF(Smile=TRUE(),VLOOKUP(MAX(-5,Strikeprice1-D179),Volsmile,2),0)),($A179-DateToday)+15,IF(Pricetype1=1,1,0),0))),D179)))</f>
        <v> </v>
      </c>
      <c r="N179" s="318" t="str">
        <f aca="false">IF($A179="N/A"," ",IF(Pricetype1=2,MAX(E179,0),IF(OR(Pricetype1=1,Pricetype1=4),IF(E179=0,0,(EURO(E179,Strikeprice1,0,0,($AK179+IF(Smile=TRUE(),VLOOKUP(MAX(-5,Strikeprice1-E179),Volsmile,2),0)),($A179-DateToday)+15,IF(Pricetype1=1,1,0),0))),E179)))</f>
        <v> </v>
      </c>
      <c r="O179" s="318" t="str">
        <f aca="false">IF($A179="N/A"," ",IF(Pricetype1=2,MAX(F179,0),IF(OR(Pricetype1=1,Pricetype1=4),IF(F179=0,0,(EURO(F179,Strikeprice1,0,0,($AK179+IF(Smile=TRUE(),VLOOKUP(MAX(-5,Strikeprice1-F179),Volsmile,2),0)),($A179-DateToday)+15,IF(Pricetype1=1,1,0),0))),F179)))</f>
        <v> </v>
      </c>
      <c r="P179" s="318" t="str">
        <f aca="false">IF($A179="N/A"," ",IF(Pricetype1=2,MAX(G179,0),IF(OR(Pricetype1=1,Pricetype1=4),IF(G179=0,0,(EURO(G179,Strikeprice1,0,0,($AK179+IF(Smile=TRUE(),VLOOKUP(MAX(-5,Strikeprice1-G179),Volsmile,2),0)),($A179-DateToday)+15,IF(Pricetype1=1,1,0),0))),G179)))</f>
        <v> </v>
      </c>
      <c r="Q179" s="318" t="str">
        <f aca="false">IF($A179="N/A"," ",IF(Pricetype1=2,MAX(H179,0),IF(OR(Pricetype1=1,Pricetype1=4),IF(H179=0,0,(EURO(H179,Strikeprice1,0,0,($AK179+IF(Smile=TRUE(),VLOOKUP(MAX(-5,Strikeprice1-H179),Volsmile,2),0)),($A179-DateToday)+15,IF(Pricetype1=1,1,0),0))),H179)))</f>
        <v> </v>
      </c>
      <c r="R179" s="318" t="str">
        <f aca="false">IF($A179="N/A"," ",IF(Pricetype1=2,MAX(I179,0),IF(OR(Pricetype1=1,Pricetype1=4),IF(I179=0,0,(EURO(I179,Strikeprice1,0,0,($AK179+IF(Smile=TRUE(),VLOOKUP(MAX(-5,Strikeprice1-I179),Volsmile,2),0)),($A179-DateToday)+15,IF(Pricetype1=1,1,0),0))),I179)))</f>
        <v> </v>
      </c>
      <c r="S179" s="318" t="str">
        <f aca="false">IF($A179="N/A"," ",IF(Pricetype1=2,MAX(J179,0),IF(OR(Pricetype1=1,Pricetype1=4),IF(J179=0,0,(EURO(J179,Strikeprice1,0,0,($AK179+IF(Smile=TRUE(),VLOOKUP(MAX(-5,Strikeprice1-J179),Volsmile,2),0)),($A179-DateToday)+15,IF(Pricetype1=1,1,0),0))),J179)))</f>
        <v> </v>
      </c>
      <c r="T179" s="318" t="str">
        <f aca="false">IF($A179="N/A"," ",IF(Pricetype1=2,MAX(K179,0),IF(OR(Pricetype1=1,Pricetype1=4),IF(K179=0,0,(EURO(K179,Strikeprice1,0,0,($AK179+IF(Smile=TRUE(),VLOOKUP(MAX(-5,Strikeprice1-K179),Volsmile,2),0)),($A179-DateToday)+15,IF(Pricetype1=1,1,0),0))),K179)))</f>
        <v> </v>
      </c>
      <c r="U179" s="319" t="str">
        <f aca="false">IF($A179="N/A"," ",Volume1*$AM179)</f>
        <v> </v>
      </c>
      <c r="V179" s="320" t="str">
        <f aca="false">IF($A179="N/A"," ",$U179*(8*($BQ179))*L179)</f>
        <v> </v>
      </c>
      <c r="W179" s="320" t="str">
        <f aca="false">IF($A179="N/A"," ",$U179*(8*($BQ179))*M179)</f>
        <v> </v>
      </c>
      <c r="X179" s="320" t="str">
        <f aca="false">IF($A179="N/A"," ",$U179*(8*($BQ179))*N179)</f>
        <v> </v>
      </c>
      <c r="Y179" s="320" t="str">
        <f aca="false">IF($A179="N/A"," ",$U179*(8*($BR179))*O179)</f>
        <v> </v>
      </c>
      <c r="Z179" s="320" t="str">
        <f aca="false">IF($A179="N/A"," ",$U179*(8*($BR179))*P179)</f>
        <v> </v>
      </c>
      <c r="AA179" s="320" t="str">
        <f aca="false">IF($A179="N/A"," ",$U179*(8*($BR179))*Q179)</f>
        <v> </v>
      </c>
      <c r="AB179" s="320" t="str">
        <f aca="false">IF($A179="N/A"," ",$U179*(8*($BS179))*R179)</f>
        <v> </v>
      </c>
      <c r="AC179" s="320" t="str">
        <f aca="false">IF($A179="N/A"," ",$U179*(8*($BS179))*S179)</f>
        <v> </v>
      </c>
      <c r="AD179" s="320" t="str">
        <f aca="false">IF($A179="N/A"," ",$U179*(8*($BS179))*T179)</f>
        <v> </v>
      </c>
      <c r="AE179" s="320" t="str">
        <f aca="false">IF($A179="N/A"," ",SUM(V179:AD179))</f>
        <v> </v>
      </c>
      <c r="AF179" s="321" t="str">
        <f aca="false">IF(A179="N/A"," ",(VLOOKUP(A179,PowerVolTable,(IF(VolBMO1=2,7,IF(VolBMO1=1,6,8))),FALSE())))</f>
        <v> </v>
      </c>
      <c r="AG179" s="321" t="str">
        <f aca="false">IF(A179="N/A"," ",(VLOOKUP(A179,IntraPowerVol,(IF(VolBMO1=2,3,IF(VolBMO1=1,2,4))),FALSE())*VLOOKUP(MONTH($A179),Volscale,2)))</f>
        <v> </v>
      </c>
      <c r="AH179" s="321" t="str">
        <f aca="false">IF($A179="N/A"," ",IF(VolType1=1,AG179,AF179))</f>
        <v> </v>
      </c>
      <c r="AI179" s="321" t="str">
        <f aca="false">IF($A179="N/A"," ",(VLOOKUP($A179,OffPwrVolTable,(IF(VolBMO1=2,7,IF(VolBMO1=1,6,8))),FALSE())))</f>
        <v> </v>
      </c>
      <c r="AJ179" s="321" t="str">
        <f aca="false">IF($A179="N/A"," ",(VLOOKUP($A179,OffPwrVolTable,(IF(VolBMO1=2,3,IF(VolBMO1=1,2,4))),FALSE())*VLOOKUP(MONTH($A179),Volscale,2)))</f>
        <v> </v>
      </c>
      <c r="AK179" s="321" t="str">
        <f aca="false">IF($A179="N/A"," ",IF(VolType1=1,AJ179,AI179))</f>
        <v> </v>
      </c>
      <c r="AL179" s="321" t="str">
        <f aca="false">IF($A179="N/A"," ",IF(PV=1,0,'Pricing Inputs1'!R212))</f>
        <v> </v>
      </c>
      <c r="AM179" s="323" t="str">
        <f aca="false">IF($A179="N/A"," ",(1+AL179/2)^(-2*((EOMONTH(A179,0)+20)-DateToday)/365.25))</f>
        <v> </v>
      </c>
      <c r="BQ179" s="0" t="str">
        <f aca="false">IF($A179="N/A"," ",(VLOOKUP($A179,NumberofDaysTable,2)))</f>
        <v> </v>
      </c>
      <c r="BR179" s="0" t="str">
        <f aca="false">IF($A179="N/A"," ",(VLOOKUP($A179,NumberofDaysTable,3)))</f>
        <v> </v>
      </c>
      <c r="BS179" s="0" t="str">
        <f aca="false">IF($A179="N/A"," ",(VLOOKUP($A179,NumberofDaysTable,4)))</f>
        <v> </v>
      </c>
    </row>
    <row r="180" customFormat="false" ht="12.75" hidden="false" customHeight="false" outlineLevel="0" collapsed="false">
      <c r="A180" s="315" t="str">
        <f aca="false">IF(A179="N/A","N/A",IF(EDATE(A179,1)&gt;Inputs!$M$5,"N/A",EDATE(A179,1)))</f>
        <v>N/A</v>
      </c>
      <c r="B180" s="316" t="str">
        <f aca="false">IF(A180="N/A"," ",YEAR(A180))</f>
        <v> </v>
      </c>
      <c r="C180" s="324" t="str">
        <f aca="false">IF($A180="N/A"," ",IF(Dayrun1=10,0,IF(Scaler1=1,(VLOOKUP(A180,ScaledPrice1,4)),(VLOOKUP(A180,ScaledPrice1,2)))))</f>
        <v> </v>
      </c>
      <c r="D180" s="317" t="str">
        <f aca="false">IF(A180="N/A"," ",IF(Dayrun1&gt;=7,0,IF(Scaler1=2,VLOOKUP(A180,ScaledPrice1,2),(VLOOKUP(A180,ScaledPrice1,2))*(2-(VLOOKUP(A180,ScaledPrice1,3))))))</f>
        <v> </v>
      </c>
      <c r="E180" s="317" t="str">
        <f aca="false">IF($A180="N/A"," ",IF(AND(Dayrun1&gt;=4,Dayrun1&lt;=9),0,VLOOKUP($A180,ScaledPrice1,9)))</f>
        <v> </v>
      </c>
      <c r="F180" s="317" t="str">
        <f aca="false">IF(A180="N/A"," ",IF(OR(Dayrun1=2,Dayrun1=3,Dayrun1=5,Dayrun1=6,Dayrun1=8,Dayrun1=9),VLOOKUP(A180,ScaledPrice1,IF(Scaler1=1,6,5)),0))</f>
        <v> </v>
      </c>
      <c r="G180" s="317" t="str">
        <f aca="false">IF(A180="N/A"," ",IF(OR(Dayrun1=2,Dayrun1=3,Dayrun1=5,Dayrun1=6),IF(Scaler1=2,F180,(VLOOKUP(A180,ScaledPrice1,5))*(2-(VLOOKUP(A180,ScaledPrice1,3)))),0))</f>
        <v> </v>
      </c>
      <c r="H180" s="317" t="str">
        <f aca="false">IF($A180="N/A"," ",IF(OR(Dayrun1=2,Dayrun1=3,Dayrun1=10),VLOOKUP($A180,ScaledPrice1,9),0))</f>
        <v> </v>
      </c>
      <c r="I180" s="317" t="str">
        <f aca="false">IF(A180="N/A"," ",IF(OR(Dayrun1=3,Dayrun1=6,Dayrun1=9),(VLOOKUP(A180,ScaledPrice1,IF(Scaler1=2,7,8))),0))</f>
        <v> </v>
      </c>
      <c r="J180" s="317" t="str">
        <f aca="false">IF(A180="N/A"," ",IF(OR(Dayrun1=3,Dayrun1=6),IF(Scaler1=2,I180,(VLOOKUP(A180,ScaledPrice1,7))*(2-(VLOOKUP(A180,ScaledPrice1,3)))),0))</f>
        <v> </v>
      </c>
      <c r="K180" s="317" t="str">
        <f aca="false">IF($A180="N/A"," ",IF(OR(Dayrun1=3,Dayrun1=10),VLOOKUP($A180,ScaledPrice1,9),0))</f>
        <v> </v>
      </c>
      <c r="L180" s="318" t="str">
        <f aca="false">IF($A180="N/A"," ",IF(Pricetype1=2,MAX(C180,0),IF(OR(Pricetype1=1,Pricetype1=4),IF(C180=0,0,(EURO(C180,Strikeprice1,0,0,($AH180+IF(Smile=TRUE(),VLOOKUP(MAX(-5,Strikeprice1-C180),Volsmile,2),0)),($A180-DateToday)+15,IF(Pricetype1=1,1,0),0))),C180)))</f>
        <v> </v>
      </c>
      <c r="M180" s="318" t="str">
        <f aca="false">IF($A180="N/A"," ",IF(Pricetype1=2,MAX(D180,0),IF(OR(Pricetype1=1,Pricetype1=4),IF(D180=0,0,(EURO(D180,Strikeprice1,0,0,($AH180+IF(Smile=TRUE(),VLOOKUP(MAX(-5,Strikeprice1-D180),Volsmile,2),0)),($A180-DateToday)+15,IF(Pricetype1=1,1,0),0))),D180)))</f>
        <v> </v>
      </c>
      <c r="N180" s="318" t="str">
        <f aca="false">IF($A180="N/A"," ",IF(Pricetype1=2,MAX(E180,0),IF(OR(Pricetype1=1,Pricetype1=4),IF(E180=0,0,(EURO(E180,Strikeprice1,0,0,($AK180+IF(Smile=TRUE(),VLOOKUP(MAX(-5,Strikeprice1-E180),Volsmile,2),0)),($A180-DateToday)+15,IF(Pricetype1=1,1,0),0))),E180)))</f>
        <v> </v>
      </c>
      <c r="O180" s="318" t="str">
        <f aca="false">IF($A180="N/A"," ",IF(Pricetype1=2,MAX(F180,0),IF(OR(Pricetype1=1,Pricetype1=4),IF(F180=0,0,(EURO(F180,Strikeprice1,0,0,($AK180+IF(Smile=TRUE(),VLOOKUP(MAX(-5,Strikeprice1-F180),Volsmile,2),0)),($A180-DateToday)+15,IF(Pricetype1=1,1,0),0))),F180)))</f>
        <v> </v>
      </c>
      <c r="P180" s="318" t="str">
        <f aca="false">IF($A180="N/A"," ",IF(Pricetype1=2,MAX(G180,0),IF(OR(Pricetype1=1,Pricetype1=4),IF(G180=0,0,(EURO(G180,Strikeprice1,0,0,($AK180+IF(Smile=TRUE(),VLOOKUP(MAX(-5,Strikeprice1-G180),Volsmile,2),0)),($A180-DateToday)+15,IF(Pricetype1=1,1,0),0))),G180)))</f>
        <v> </v>
      </c>
      <c r="Q180" s="318" t="str">
        <f aca="false">IF($A180="N/A"," ",IF(Pricetype1=2,MAX(H180,0),IF(OR(Pricetype1=1,Pricetype1=4),IF(H180=0,0,(EURO(H180,Strikeprice1,0,0,($AK180+IF(Smile=TRUE(),VLOOKUP(MAX(-5,Strikeprice1-H180),Volsmile,2),0)),($A180-DateToday)+15,IF(Pricetype1=1,1,0),0))),H180)))</f>
        <v> </v>
      </c>
      <c r="R180" s="318" t="str">
        <f aca="false">IF($A180="N/A"," ",IF(Pricetype1=2,MAX(I180,0),IF(OR(Pricetype1=1,Pricetype1=4),IF(I180=0,0,(EURO(I180,Strikeprice1,0,0,($AK180+IF(Smile=TRUE(),VLOOKUP(MAX(-5,Strikeprice1-I180),Volsmile,2),0)),($A180-DateToday)+15,IF(Pricetype1=1,1,0),0))),I180)))</f>
        <v> </v>
      </c>
      <c r="S180" s="318" t="str">
        <f aca="false">IF($A180="N/A"," ",IF(Pricetype1=2,MAX(J180,0),IF(OR(Pricetype1=1,Pricetype1=4),IF(J180=0,0,(EURO(J180,Strikeprice1,0,0,($AK180+IF(Smile=TRUE(),VLOOKUP(MAX(-5,Strikeprice1-J180),Volsmile,2),0)),($A180-DateToday)+15,IF(Pricetype1=1,1,0),0))),J180)))</f>
        <v> </v>
      </c>
      <c r="T180" s="318" t="str">
        <f aca="false">IF($A180="N/A"," ",IF(Pricetype1=2,MAX(K180,0),IF(OR(Pricetype1=1,Pricetype1=4),IF(K180=0,0,(EURO(K180,Strikeprice1,0,0,($AK180+IF(Smile=TRUE(),VLOOKUP(MAX(-5,Strikeprice1-K180),Volsmile,2),0)),($A180-DateToday)+15,IF(Pricetype1=1,1,0),0))),K180)))</f>
        <v> </v>
      </c>
      <c r="U180" s="319" t="str">
        <f aca="false">IF($A180="N/A"," ",Volume1*$AM180)</f>
        <v> </v>
      </c>
      <c r="V180" s="320" t="str">
        <f aca="false">IF($A180="N/A"," ",$U180*(8*($BQ180))*L180)</f>
        <v> </v>
      </c>
      <c r="W180" s="320" t="str">
        <f aca="false">IF($A180="N/A"," ",$U180*(8*($BQ180))*M180)</f>
        <v> </v>
      </c>
      <c r="X180" s="320" t="str">
        <f aca="false">IF($A180="N/A"," ",$U180*(8*($BQ180))*N180)</f>
        <v> </v>
      </c>
      <c r="Y180" s="320" t="str">
        <f aca="false">IF($A180="N/A"," ",$U180*(8*($BR180))*O180)</f>
        <v> </v>
      </c>
      <c r="Z180" s="320" t="str">
        <f aca="false">IF($A180="N/A"," ",$U180*(8*($BR180))*P180)</f>
        <v> </v>
      </c>
      <c r="AA180" s="320" t="str">
        <f aca="false">IF($A180="N/A"," ",$U180*(8*($BR180))*Q180)</f>
        <v> </v>
      </c>
      <c r="AB180" s="320" t="str">
        <f aca="false">IF($A180="N/A"," ",$U180*(8*($BS180))*R180)</f>
        <v> </v>
      </c>
      <c r="AC180" s="320" t="str">
        <f aca="false">IF($A180="N/A"," ",$U180*(8*($BS180))*S180)</f>
        <v> </v>
      </c>
      <c r="AD180" s="320" t="str">
        <f aca="false">IF($A180="N/A"," ",$U180*(8*($BS180))*T180)</f>
        <v> </v>
      </c>
      <c r="AE180" s="320" t="str">
        <f aca="false">IF($A180="N/A"," ",SUM(V180:AD180))</f>
        <v> </v>
      </c>
      <c r="AF180" s="321" t="str">
        <f aca="false">IF(A180="N/A"," ",(VLOOKUP(A180,PowerVolTable,(IF(VolBMO1=2,7,IF(VolBMO1=1,6,8))),FALSE())))</f>
        <v> </v>
      </c>
      <c r="AG180" s="321" t="str">
        <f aca="false">IF(A180="N/A"," ",(VLOOKUP(A180,IntraPowerVol,(IF(VolBMO1=2,3,IF(VolBMO1=1,2,4))),FALSE())*VLOOKUP(MONTH($A180),Volscale,2)))</f>
        <v> </v>
      </c>
      <c r="AH180" s="321" t="str">
        <f aca="false">IF($A180="N/A"," ",IF(VolType1=1,AG180,AF180))</f>
        <v> </v>
      </c>
      <c r="AI180" s="321" t="str">
        <f aca="false">IF($A180="N/A"," ",(VLOOKUP($A180,OffPwrVolTable,(IF(VolBMO1=2,7,IF(VolBMO1=1,6,8))),FALSE())))</f>
        <v> </v>
      </c>
      <c r="AJ180" s="321" t="str">
        <f aca="false">IF($A180="N/A"," ",(VLOOKUP($A180,OffPwrVolTable,(IF(VolBMO1=2,3,IF(VolBMO1=1,2,4))),FALSE())*VLOOKUP(MONTH($A180),Volscale,2)))</f>
        <v> </v>
      </c>
      <c r="AK180" s="321" t="str">
        <f aca="false">IF($A180="N/A"," ",IF(VolType1=1,AJ180,AI180))</f>
        <v> </v>
      </c>
      <c r="AL180" s="321" t="str">
        <f aca="false">IF($A180="N/A"," ",IF(PV=1,0,'Pricing Inputs1'!R213))</f>
        <v> </v>
      </c>
      <c r="AM180" s="323" t="str">
        <f aca="false">IF($A180="N/A"," ",(1+AL180/2)^(-2*((EOMONTH(A180,0)+20)-DateToday)/365.25))</f>
        <v> </v>
      </c>
      <c r="BQ180" s="0" t="str">
        <f aca="false">IF($A180="N/A"," ",(VLOOKUP($A180,NumberofDaysTable,2)))</f>
        <v> </v>
      </c>
      <c r="BR180" s="0" t="str">
        <f aca="false">IF($A180="N/A"," ",(VLOOKUP($A180,NumberofDaysTable,3)))</f>
        <v> </v>
      </c>
      <c r="BS180" s="0" t="str">
        <f aca="false">IF($A180="N/A"," ",(VLOOKUP($A180,NumberofDaysTable,4)))</f>
        <v> </v>
      </c>
    </row>
    <row r="181" customFormat="false" ht="12.75" hidden="false" customHeight="false" outlineLevel="0" collapsed="false">
      <c r="A181" s="315" t="str">
        <f aca="false">IF(A180="N/A","N/A",IF(EDATE(A180,1)&gt;Inputs!$M$5,"N/A",EDATE(A180,1)))</f>
        <v>N/A</v>
      </c>
      <c r="B181" s="316" t="str">
        <f aca="false">IF(A181="N/A"," ",YEAR(A181))</f>
        <v> </v>
      </c>
      <c r="C181" s="324" t="str">
        <f aca="false">IF($A181="N/A"," ",IF(Dayrun1=10,0,IF(Scaler1=1,(VLOOKUP(A181,ScaledPrice1,4)),(VLOOKUP(A181,ScaledPrice1,2)))))</f>
        <v> </v>
      </c>
      <c r="D181" s="317" t="str">
        <f aca="false">IF(A181="N/A"," ",IF(Dayrun1&gt;=7,0,IF(Scaler1=2,VLOOKUP(A181,ScaledPrice1,2),(VLOOKUP(A181,ScaledPrice1,2))*(2-(VLOOKUP(A181,ScaledPrice1,3))))))</f>
        <v> </v>
      </c>
      <c r="E181" s="317" t="str">
        <f aca="false">IF($A181="N/A"," ",IF(AND(Dayrun1&gt;=4,Dayrun1&lt;=9),0,VLOOKUP($A181,ScaledPrice1,9)))</f>
        <v> </v>
      </c>
      <c r="F181" s="317" t="str">
        <f aca="false">IF(A181="N/A"," ",IF(OR(Dayrun1=2,Dayrun1=3,Dayrun1=5,Dayrun1=6,Dayrun1=8,Dayrun1=9),VLOOKUP(A181,ScaledPrice1,IF(Scaler1=1,6,5)),0))</f>
        <v> </v>
      </c>
      <c r="G181" s="317" t="str">
        <f aca="false">IF(A181="N/A"," ",IF(OR(Dayrun1=2,Dayrun1=3,Dayrun1=5,Dayrun1=6),IF(Scaler1=2,F181,(VLOOKUP(A181,ScaledPrice1,5))*(2-(VLOOKUP(A181,ScaledPrice1,3)))),0))</f>
        <v> </v>
      </c>
      <c r="H181" s="317" t="str">
        <f aca="false">IF($A181="N/A"," ",IF(OR(Dayrun1=2,Dayrun1=3,Dayrun1=10),VLOOKUP($A181,ScaledPrice1,9),0))</f>
        <v> </v>
      </c>
      <c r="I181" s="317" t="str">
        <f aca="false">IF(A181="N/A"," ",IF(OR(Dayrun1=3,Dayrun1=6,Dayrun1=9),(VLOOKUP(A181,ScaledPrice1,IF(Scaler1=2,7,8))),0))</f>
        <v> </v>
      </c>
      <c r="J181" s="317" t="str">
        <f aca="false">IF(A181="N/A"," ",IF(OR(Dayrun1=3,Dayrun1=6),IF(Scaler1=2,I181,(VLOOKUP(A181,ScaledPrice1,7))*(2-(VLOOKUP(A181,ScaledPrice1,3)))),0))</f>
        <v> </v>
      </c>
      <c r="K181" s="317" t="str">
        <f aca="false">IF($A181="N/A"," ",IF(OR(Dayrun1=3,Dayrun1=10),VLOOKUP($A181,ScaledPrice1,9),0))</f>
        <v> </v>
      </c>
      <c r="L181" s="318" t="str">
        <f aca="false">IF($A181="N/A"," ",IF(Pricetype1=2,MAX(C181,0),IF(OR(Pricetype1=1,Pricetype1=4),IF(C181=0,0,(EURO(C181,Strikeprice1,0,0,($AH181+IF(Smile=TRUE(),VLOOKUP(MAX(-5,Strikeprice1-C181),Volsmile,2),0)),($A181-DateToday)+15,IF(Pricetype1=1,1,0),0))),C181)))</f>
        <v> </v>
      </c>
      <c r="M181" s="318" t="str">
        <f aca="false">IF($A181="N/A"," ",IF(Pricetype1=2,MAX(D181,0),IF(OR(Pricetype1=1,Pricetype1=4),IF(D181=0,0,(EURO(D181,Strikeprice1,0,0,($AH181+IF(Smile=TRUE(),VLOOKUP(MAX(-5,Strikeprice1-D181),Volsmile,2),0)),($A181-DateToday)+15,IF(Pricetype1=1,1,0),0))),D181)))</f>
        <v> </v>
      </c>
      <c r="N181" s="318" t="str">
        <f aca="false">IF($A181="N/A"," ",IF(Pricetype1=2,MAX(E181,0),IF(OR(Pricetype1=1,Pricetype1=4),IF(E181=0,0,(EURO(E181,Strikeprice1,0,0,($AK181+IF(Smile=TRUE(),VLOOKUP(MAX(-5,Strikeprice1-E181),Volsmile,2),0)),($A181-DateToday)+15,IF(Pricetype1=1,1,0),0))),E181)))</f>
        <v> </v>
      </c>
      <c r="O181" s="318" t="str">
        <f aca="false">IF($A181="N/A"," ",IF(Pricetype1=2,MAX(F181,0),IF(OR(Pricetype1=1,Pricetype1=4),IF(F181=0,0,(EURO(F181,Strikeprice1,0,0,($AK181+IF(Smile=TRUE(),VLOOKUP(MAX(-5,Strikeprice1-F181),Volsmile,2),0)),($A181-DateToday)+15,IF(Pricetype1=1,1,0),0))),F181)))</f>
        <v> </v>
      </c>
      <c r="P181" s="318" t="str">
        <f aca="false">IF($A181="N/A"," ",IF(Pricetype1=2,MAX(G181,0),IF(OR(Pricetype1=1,Pricetype1=4),IF(G181=0,0,(EURO(G181,Strikeprice1,0,0,($AK181+IF(Smile=TRUE(),VLOOKUP(MAX(-5,Strikeprice1-G181),Volsmile,2),0)),($A181-DateToday)+15,IF(Pricetype1=1,1,0),0))),G181)))</f>
        <v> </v>
      </c>
      <c r="Q181" s="318" t="str">
        <f aca="false">IF($A181="N/A"," ",IF(Pricetype1=2,MAX(H181,0),IF(OR(Pricetype1=1,Pricetype1=4),IF(H181=0,0,(EURO(H181,Strikeprice1,0,0,($AK181+IF(Smile=TRUE(),VLOOKUP(MAX(-5,Strikeprice1-H181),Volsmile,2),0)),($A181-DateToday)+15,IF(Pricetype1=1,1,0),0))),H181)))</f>
        <v> </v>
      </c>
      <c r="R181" s="318" t="str">
        <f aca="false">IF($A181="N/A"," ",IF(Pricetype1=2,MAX(I181,0),IF(OR(Pricetype1=1,Pricetype1=4),IF(I181=0,0,(EURO(I181,Strikeprice1,0,0,($AK181+IF(Smile=TRUE(),VLOOKUP(MAX(-5,Strikeprice1-I181),Volsmile,2),0)),($A181-DateToday)+15,IF(Pricetype1=1,1,0),0))),I181)))</f>
        <v> </v>
      </c>
      <c r="S181" s="318" t="str">
        <f aca="false">IF($A181="N/A"," ",IF(Pricetype1=2,MAX(J181,0),IF(OR(Pricetype1=1,Pricetype1=4),IF(J181=0,0,(EURO(J181,Strikeprice1,0,0,($AK181+IF(Smile=TRUE(),VLOOKUP(MAX(-5,Strikeprice1-J181),Volsmile,2),0)),($A181-DateToday)+15,IF(Pricetype1=1,1,0),0))),J181)))</f>
        <v> </v>
      </c>
      <c r="T181" s="318" t="str">
        <f aca="false">IF($A181="N/A"," ",IF(Pricetype1=2,MAX(K181,0),IF(OR(Pricetype1=1,Pricetype1=4),IF(K181=0,0,(EURO(K181,Strikeprice1,0,0,($AK181+IF(Smile=TRUE(),VLOOKUP(MAX(-5,Strikeprice1-K181),Volsmile,2),0)),($A181-DateToday)+15,IF(Pricetype1=1,1,0),0))),K181)))</f>
        <v> </v>
      </c>
      <c r="U181" s="319" t="str">
        <f aca="false">IF($A181="N/A"," ",Volume1*$AM181)</f>
        <v> </v>
      </c>
      <c r="V181" s="320" t="str">
        <f aca="false">IF($A181="N/A"," ",$U181*(8*($BQ181))*L181)</f>
        <v> </v>
      </c>
      <c r="W181" s="320" t="str">
        <f aca="false">IF($A181="N/A"," ",$U181*(8*($BQ181))*M181)</f>
        <v> </v>
      </c>
      <c r="X181" s="320" t="str">
        <f aca="false">IF($A181="N/A"," ",$U181*(8*($BQ181))*N181)</f>
        <v> </v>
      </c>
      <c r="Y181" s="320" t="str">
        <f aca="false">IF($A181="N/A"," ",$U181*(8*($BR181))*O181)</f>
        <v> </v>
      </c>
      <c r="Z181" s="320" t="str">
        <f aca="false">IF($A181="N/A"," ",$U181*(8*($BR181))*P181)</f>
        <v> </v>
      </c>
      <c r="AA181" s="320" t="str">
        <f aca="false">IF($A181="N/A"," ",$U181*(8*($BR181))*Q181)</f>
        <v> </v>
      </c>
      <c r="AB181" s="320" t="str">
        <f aca="false">IF($A181="N/A"," ",$U181*(8*($BS181))*R181)</f>
        <v> </v>
      </c>
      <c r="AC181" s="320" t="str">
        <f aca="false">IF($A181="N/A"," ",$U181*(8*($BS181))*S181)</f>
        <v> </v>
      </c>
      <c r="AD181" s="320" t="str">
        <f aca="false">IF($A181="N/A"," ",$U181*(8*($BS181))*T181)</f>
        <v> </v>
      </c>
      <c r="AE181" s="320" t="str">
        <f aca="false">IF($A181="N/A"," ",SUM(V181:AD181))</f>
        <v> </v>
      </c>
      <c r="AF181" s="321" t="str">
        <f aca="false">IF(A181="N/A"," ",(VLOOKUP(A181,PowerVolTable,(IF(VolBMO1=2,7,IF(VolBMO1=1,6,8))),FALSE())))</f>
        <v> </v>
      </c>
      <c r="AG181" s="321" t="str">
        <f aca="false">IF(A181="N/A"," ",(VLOOKUP(A181,IntraPowerVol,(IF(VolBMO1=2,3,IF(VolBMO1=1,2,4))),FALSE())*VLOOKUP(MONTH($A181),Volscale,2)))</f>
        <v> </v>
      </c>
      <c r="AH181" s="321" t="str">
        <f aca="false">IF($A181="N/A"," ",IF(VolType1=1,AG181,AF181))</f>
        <v> </v>
      </c>
      <c r="AI181" s="321" t="str">
        <f aca="false">IF($A181="N/A"," ",(VLOOKUP($A181,OffPwrVolTable,(IF(VolBMO1=2,7,IF(VolBMO1=1,6,8))),FALSE())))</f>
        <v> </v>
      </c>
      <c r="AJ181" s="321" t="str">
        <f aca="false">IF($A181="N/A"," ",(VLOOKUP($A181,OffPwrVolTable,(IF(VolBMO1=2,3,IF(VolBMO1=1,2,4))),FALSE())*VLOOKUP(MONTH($A181),Volscale,2)))</f>
        <v> </v>
      </c>
      <c r="AK181" s="321" t="str">
        <f aca="false">IF($A181="N/A"," ",IF(VolType1=1,AJ181,AI181))</f>
        <v> </v>
      </c>
      <c r="AL181" s="321" t="str">
        <f aca="false">IF($A181="N/A"," ",IF(PV=1,0,'Pricing Inputs1'!R214))</f>
        <v> </v>
      </c>
      <c r="AM181" s="323" t="str">
        <f aca="false">IF($A181="N/A"," ",(1+AL181/2)^(-2*((EOMONTH(A181,0)+20)-DateToday)/365.25))</f>
        <v> </v>
      </c>
      <c r="BQ181" s="0" t="str">
        <f aca="false">IF($A181="N/A"," ",(VLOOKUP($A181,NumberofDaysTable,2)))</f>
        <v> </v>
      </c>
      <c r="BR181" s="0" t="str">
        <f aca="false">IF($A181="N/A"," ",(VLOOKUP($A181,NumberofDaysTable,3)))</f>
        <v> </v>
      </c>
      <c r="BS181" s="0" t="str">
        <f aca="false">IF($A181="N/A"," ",(VLOOKUP($A181,NumberofDaysTable,4)))</f>
        <v> </v>
      </c>
    </row>
    <row r="182" customFormat="false" ht="12.75" hidden="false" customHeight="false" outlineLevel="0" collapsed="false">
      <c r="A182" s="315" t="str">
        <f aca="false">IF(A181="N/A","N/A",IF(EDATE(A181,1)&gt;Inputs!$M$5,"N/A",EDATE(A181,1)))</f>
        <v>N/A</v>
      </c>
      <c r="B182" s="316" t="str">
        <f aca="false">IF(A182="N/A"," ",YEAR(A182))</f>
        <v> </v>
      </c>
      <c r="C182" s="324" t="str">
        <f aca="false">IF($A182="N/A"," ",IF(Dayrun1=10,0,IF(Scaler1=1,(VLOOKUP(A182,ScaledPrice1,4)),(VLOOKUP(A182,ScaledPrice1,2)))))</f>
        <v> </v>
      </c>
      <c r="D182" s="317" t="str">
        <f aca="false">IF(A182="N/A"," ",IF(Dayrun1&gt;=7,0,IF(Scaler1=2,VLOOKUP(A182,ScaledPrice1,2),(VLOOKUP(A182,ScaledPrice1,2))*(2-(VLOOKUP(A182,ScaledPrice1,3))))))</f>
        <v> </v>
      </c>
      <c r="E182" s="317" t="str">
        <f aca="false">IF($A182="N/A"," ",IF(AND(Dayrun1&gt;=4,Dayrun1&lt;=9),0,VLOOKUP($A182,ScaledPrice1,9)))</f>
        <v> </v>
      </c>
      <c r="F182" s="317" t="str">
        <f aca="false">IF(A182="N/A"," ",IF(OR(Dayrun1=2,Dayrun1=3,Dayrun1=5,Dayrun1=6,Dayrun1=8,Dayrun1=9),VLOOKUP(A182,ScaledPrice1,IF(Scaler1=1,6,5)),0))</f>
        <v> </v>
      </c>
      <c r="G182" s="317" t="str">
        <f aca="false">IF(A182="N/A"," ",IF(OR(Dayrun1=2,Dayrun1=3,Dayrun1=5,Dayrun1=6),IF(Scaler1=2,F182,(VLOOKUP(A182,ScaledPrice1,5))*(2-(VLOOKUP(A182,ScaledPrice1,3)))),0))</f>
        <v> </v>
      </c>
      <c r="H182" s="317" t="str">
        <f aca="false">IF($A182="N/A"," ",IF(OR(Dayrun1=2,Dayrun1=3,Dayrun1=10),VLOOKUP($A182,ScaledPrice1,9),0))</f>
        <v> </v>
      </c>
      <c r="I182" s="317" t="str">
        <f aca="false">IF(A182="N/A"," ",IF(OR(Dayrun1=3,Dayrun1=6,Dayrun1=9),(VLOOKUP(A182,ScaledPrice1,IF(Scaler1=2,7,8))),0))</f>
        <v> </v>
      </c>
      <c r="J182" s="317" t="str">
        <f aca="false">IF(A182="N/A"," ",IF(OR(Dayrun1=3,Dayrun1=6),IF(Scaler1=2,I182,(VLOOKUP(A182,ScaledPrice1,7))*(2-(VLOOKUP(A182,ScaledPrice1,3)))),0))</f>
        <v> </v>
      </c>
      <c r="K182" s="317" t="str">
        <f aca="false">IF($A182="N/A"," ",IF(OR(Dayrun1=3,Dayrun1=10),VLOOKUP($A182,ScaledPrice1,9),0))</f>
        <v> </v>
      </c>
      <c r="L182" s="318" t="str">
        <f aca="false">IF($A182="N/A"," ",IF(Pricetype1=2,MAX(C182,0),IF(OR(Pricetype1=1,Pricetype1=4),IF(C182=0,0,(EURO(C182,Strikeprice1,0,0,($AH182+IF(Smile=TRUE(),VLOOKUP(MAX(-5,Strikeprice1-C182),Volsmile,2),0)),($A182-DateToday)+15,IF(Pricetype1=1,1,0),0))),C182)))</f>
        <v> </v>
      </c>
      <c r="M182" s="318" t="str">
        <f aca="false">IF($A182="N/A"," ",IF(Pricetype1=2,MAX(D182,0),IF(OR(Pricetype1=1,Pricetype1=4),IF(D182=0,0,(EURO(D182,Strikeprice1,0,0,($AH182+IF(Smile=TRUE(),VLOOKUP(MAX(-5,Strikeprice1-D182),Volsmile,2),0)),($A182-DateToday)+15,IF(Pricetype1=1,1,0),0))),D182)))</f>
        <v> </v>
      </c>
      <c r="N182" s="318" t="str">
        <f aca="false">IF($A182="N/A"," ",IF(Pricetype1=2,MAX(E182,0),IF(OR(Pricetype1=1,Pricetype1=4),IF(E182=0,0,(EURO(E182,Strikeprice1,0,0,($AK182+IF(Smile=TRUE(),VLOOKUP(MAX(-5,Strikeprice1-E182),Volsmile,2),0)),($A182-DateToday)+15,IF(Pricetype1=1,1,0),0))),E182)))</f>
        <v> </v>
      </c>
      <c r="O182" s="318" t="str">
        <f aca="false">IF($A182="N/A"," ",IF(Pricetype1=2,MAX(F182,0),IF(OR(Pricetype1=1,Pricetype1=4),IF(F182=0,0,(EURO(F182,Strikeprice1,0,0,($AK182+IF(Smile=TRUE(),VLOOKUP(MAX(-5,Strikeprice1-F182),Volsmile,2),0)),($A182-DateToday)+15,IF(Pricetype1=1,1,0),0))),F182)))</f>
        <v> </v>
      </c>
      <c r="P182" s="318" t="str">
        <f aca="false">IF($A182="N/A"," ",IF(Pricetype1=2,MAX(G182,0),IF(OR(Pricetype1=1,Pricetype1=4),IF(G182=0,0,(EURO(G182,Strikeprice1,0,0,($AK182+IF(Smile=TRUE(),VLOOKUP(MAX(-5,Strikeprice1-G182),Volsmile,2),0)),($A182-DateToday)+15,IF(Pricetype1=1,1,0),0))),G182)))</f>
        <v> </v>
      </c>
      <c r="Q182" s="318" t="str">
        <f aca="false">IF($A182="N/A"," ",IF(Pricetype1=2,MAX(H182,0),IF(OR(Pricetype1=1,Pricetype1=4),IF(H182=0,0,(EURO(H182,Strikeprice1,0,0,($AK182+IF(Smile=TRUE(),VLOOKUP(MAX(-5,Strikeprice1-H182),Volsmile,2),0)),($A182-DateToday)+15,IF(Pricetype1=1,1,0),0))),H182)))</f>
        <v> </v>
      </c>
      <c r="R182" s="318" t="str">
        <f aca="false">IF($A182="N/A"," ",IF(Pricetype1=2,MAX(I182,0),IF(OR(Pricetype1=1,Pricetype1=4),IF(I182=0,0,(EURO(I182,Strikeprice1,0,0,($AK182+IF(Smile=TRUE(),VLOOKUP(MAX(-5,Strikeprice1-I182),Volsmile,2),0)),($A182-DateToday)+15,IF(Pricetype1=1,1,0),0))),I182)))</f>
        <v> </v>
      </c>
      <c r="S182" s="318" t="str">
        <f aca="false">IF($A182="N/A"," ",IF(Pricetype1=2,MAX(J182,0),IF(OR(Pricetype1=1,Pricetype1=4),IF(J182=0,0,(EURO(J182,Strikeprice1,0,0,($AK182+IF(Smile=TRUE(),VLOOKUP(MAX(-5,Strikeprice1-J182),Volsmile,2),0)),($A182-DateToday)+15,IF(Pricetype1=1,1,0),0))),J182)))</f>
        <v> </v>
      </c>
      <c r="T182" s="318" t="str">
        <f aca="false">IF($A182="N/A"," ",IF(Pricetype1=2,MAX(K182,0),IF(OR(Pricetype1=1,Pricetype1=4),IF(K182=0,0,(EURO(K182,Strikeprice1,0,0,($AK182+IF(Smile=TRUE(),VLOOKUP(MAX(-5,Strikeprice1-K182),Volsmile,2),0)),($A182-DateToday)+15,IF(Pricetype1=1,1,0),0))),K182)))</f>
        <v> </v>
      </c>
      <c r="U182" s="319" t="str">
        <f aca="false">IF($A182="N/A"," ",Volume1*$AM182)</f>
        <v> </v>
      </c>
      <c r="V182" s="320" t="str">
        <f aca="false">IF($A182="N/A"," ",$U182*(8*($BQ182))*L182)</f>
        <v> </v>
      </c>
      <c r="W182" s="320" t="str">
        <f aca="false">IF($A182="N/A"," ",$U182*(8*($BQ182))*M182)</f>
        <v> </v>
      </c>
      <c r="X182" s="320" t="str">
        <f aca="false">IF($A182="N/A"," ",$U182*(8*($BQ182))*N182)</f>
        <v> </v>
      </c>
      <c r="Y182" s="320" t="str">
        <f aca="false">IF($A182="N/A"," ",$U182*(8*($BR182))*O182)</f>
        <v> </v>
      </c>
      <c r="Z182" s="320" t="str">
        <f aca="false">IF($A182="N/A"," ",$U182*(8*($BR182))*P182)</f>
        <v> </v>
      </c>
      <c r="AA182" s="320" t="str">
        <f aca="false">IF($A182="N/A"," ",$U182*(8*($BR182))*Q182)</f>
        <v> </v>
      </c>
      <c r="AB182" s="320" t="str">
        <f aca="false">IF($A182="N/A"," ",$U182*(8*($BS182))*R182)</f>
        <v> </v>
      </c>
      <c r="AC182" s="320" t="str">
        <f aca="false">IF($A182="N/A"," ",$U182*(8*($BS182))*S182)</f>
        <v> </v>
      </c>
      <c r="AD182" s="320" t="str">
        <f aca="false">IF($A182="N/A"," ",$U182*(8*($BS182))*T182)</f>
        <v> </v>
      </c>
      <c r="AE182" s="320" t="str">
        <f aca="false">IF($A182="N/A"," ",SUM(V182:AD182))</f>
        <v> </v>
      </c>
      <c r="AF182" s="321" t="str">
        <f aca="false">IF(A182="N/A"," ",(VLOOKUP(A182,PowerVolTable,(IF(VolBMO1=2,7,IF(VolBMO1=1,6,8))),FALSE())))</f>
        <v> </v>
      </c>
      <c r="AG182" s="321" t="str">
        <f aca="false">IF(A182="N/A"," ",(VLOOKUP(A182,IntraPowerVol,(IF(VolBMO1=2,3,IF(VolBMO1=1,2,4))),FALSE())*VLOOKUP(MONTH($A182),Volscale,2)))</f>
        <v> </v>
      </c>
      <c r="AH182" s="321" t="str">
        <f aca="false">IF($A182="N/A"," ",IF(VolType1=1,AG182,AF182))</f>
        <v> </v>
      </c>
      <c r="AI182" s="321" t="str">
        <f aca="false">IF($A182="N/A"," ",(VLOOKUP($A182,OffPwrVolTable,(IF(VolBMO1=2,7,IF(VolBMO1=1,6,8))),FALSE())))</f>
        <v> </v>
      </c>
      <c r="AJ182" s="321" t="str">
        <f aca="false">IF($A182="N/A"," ",(VLOOKUP($A182,OffPwrVolTable,(IF(VolBMO1=2,3,IF(VolBMO1=1,2,4))),FALSE())*VLOOKUP(MONTH($A182),Volscale,2)))</f>
        <v> </v>
      </c>
      <c r="AK182" s="321" t="str">
        <f aca="false">IF($A182="N/A"," ",IF(VolType1=1,AJ182,AI182))</f>
        <v> </v>
      </c>
      <c r="AL182" s="321" t="str">
        <f aca="false">IF($A182="N/A"," ",IF(PV=1,0,'Pricing Inputs1'!R215))</f>
        <v> </v>
      </c>
      <c r="AM182" s="323" t="str">
        <f aca="false">IF($A182="N/A"," ",(1+AL182/2)^(-2*((EOMONTH(A182,0)+20)-DateToday)/365.25))</f>
        <v> </v>
      </c>
      <c r="BQ182" s="0" t="str">
        <f aca="false">IF($A182="N/A"," ",(VLOOKUP($A182,NumberofDaysTable,2)))</f>
        <v> </v>
      </c>
      <c r="BR182" s="0" t="str">
        <f aca="false">IF($A182="N/A"," ",(VLOOKUP($A182,NumberofDaysTable,3)))</f>
        <v> </v>
      </c>
      <c r="BS182" s="0" t="str">
        <f aca="false">IF($A182="N/A"," ",(VLOOKUP($A182,NumberofDaysTable,4)))</f>
        <v> </v>
      </c>
    </row>
    <row r="183" customFormat="false" ht="12.75" hidden="false" customHeight="false" outlineLevel="0" collapsed="false">
      <c r="A183" s="315" t="str">
        <f aca="false">IF(A182="N/A","N/A",IF(EDATE(A182,1)&gt;Inputs!$M$5,"N/A",EDATE(A182,1)))</f>
        <v>N/A</v>
      </c>
      <c r="B183" s="316" t="str">
        <f aca="false">IF(A183="N/A"," ",YEAR(A183))</f>
        <v> </v>
      </c>
      <c r="C183" s="324" t="str">
        <f aca="false">IF($A183="N/A"," ",IF(Dayrun1=10,0,IF(Scaler1=1,(VLOOKUP(A183,ScaledPrice1,4)),(VLOOKUP(A183,ScaledPrice1,2)))))</f>
        <v> </v>
      </c>
      <c r="D183" s="317" t="str">
        <f aca="false">IF(A183="N/A"," ",IF(Dayrun1&gt;=7,0,IF(Scaler1=2,VLOOKUP(A183,ScaledPrice1,2),(VLOOKUP(A183,ScaledPrice1,2))*(2-(VLOOKUP(A183,ScaledPrice1,3))))))</f>
        <v> </v>
      </c>
      <c r="E183" s="317" t="str">
        <f aca="false">IF($A183="N/A"," ",IF(AND(Dayrun1&gt;=4,Dayrun1&lt;=9),0,VLOOKUP($A183,ScaledPrice1,9)))</f>
        <v> </v>
      </c>
      <c r="F183" s="317" t="str">
        <f aca="false">IF(A183="N/A"," ",IF(OR(Dayrun1=2,Dayrun1=3,Dayrun1=5,Dayrun1=6,Dayrun1=8,Dayrun1=9),VLOOKUP(A183,ScaledPrice1,IF(Scaler1=1,6,5)),0))</f>
        <v> </v>
      </c>
      <c r="G183" s="317" t="str">
        <f aca="false">IF(A183="N/A"," ",IF(OR(Dayrun1=2,Dayrun1=3,Dayrun1=5,Dayrun1=6),IF(Scaler1=2,F183,(VLOOKUP(A183,ScaledPrice1,5))*(2-(VLOOKUP(A183,ScaledPrice1,3)))),0))</f>
        <v> </v>
      </c>
      <c r="H183" s="317" t="str">
        <f aca="false">IF($A183="N/A"," ",IF(OR(Dayrun1=2,Dayrun1=3,Dayrun1=10),VLOOKUP($A183,ScaledPrice1,9),0))</f>
        <v> </v>
      </c>
      <c r="I183" s="317" t="str">
        <f aca="false">IF(A183="N/A"," ",IF(OR(Dayrun1=3,Dayrun1=6,Dayrun1=9),(VLOOKUP(A183,ScaledPrice1,IF(Scaler1=2,7,8))),0))</f>
        <v> </v>
      </c>
      <c r="J183" s="317" t="str">
        <f aca="false">IF(A183="N/A"," ",IF(OR(Dayrun1=3,Dayrun1=6),IF(Scaler1=2,I183,(VLOOKUP(A183,ScaledPrice1,7))*(2-(VLOOKUP(A183,ScaledPrice1,3)))),0))</f>
        <v> </v>
      </c>
      <c r="K183" s="317" t="str">
        <f aca="false">IF($A183="N/A"," ",IF(OR(Dayrun1=3,Dayrun1=10),VLOOKUP($A183,ScaledPrice1,9),0))</f>
        <v> </v>
      </c>
      <c r="L183" s="318" t="str">
        <f aca="false">IF($A183="N/A"," ",IF(Pricetype1=2,MAX(C183,0),IF(OR(Pricetype1=1,Pricetype1=4),IF(C183=0,0,(EURO(C183,Strikeprice1,0,0,($AH183+IF(Smile=TRUE(),VLOOKUP(MAX(-5,Strikeprice1-C183),Volsmile,2),0)),($A183-DateToday)+15,IF(Pricetype1=1,1,0),0))),C183)))</f>
        <v> </v>
      </c>
      <c r="M183" s="318" t="str">
        <f aca="false">IF($A183="N/A"," ",IF(Pricetype1=2,MAX(D183,0),IF(OR(Pricetype1=1,Pricetype1=4),IF(D183=0,0,(EURO(D183,Strikeprice1,0,0,($AH183+IF(Smile=TRUE(),VLOOKUP(MAX(-5,Strikeprice1-D183),Volsmile,2),0)),($A183-DateToday)+15,IF(Pricetype1=1,1,0),0))),D183)))</f>
        <v> </v>
      </c>
      <c r="N183" s="318" t="str">
        <f aca="false">IF($A183="N/A"," ",IF(Pricetype1=2,MAX(E183,0),IF(OR(Pricetype1=1,Pricetype1=4),IF(E183=0,0,(EURO(E183,Strikeprice1,0,0,($AK183+IF(Smile=TRUE(),VLOOKUP(MAX(-5,Strikeprice1-E183),Volsmile,2),0)),($A183-DateToday)+15,IF(Pricetype1=1,1,0),0))),E183)))</f>
        <v> </v>
      </c>
      <c r="O183" s="318" t="str">
        <f aca="false">IF($A183="N/A"," ",IF(Pricetype1=2,MAX(F183,0),IF(OR(Pricetype1=1,Pricetype1=4),IF(F183=0,0,(EURO(F183,Strikeprice1,0,0,($AK183+IF(Smile=TRUE(),VLOOKUP(MAX(-5,Strikeprice1-F183),Volsmile,2),0)),($A183-DateToday)+15,IF(Pricetype1=1,1,0),0))),F183)))</f>
        <v> </v>
      </c>
      <c r="P183" s="318" t="str">
        <f aca="false">IF($A183="N/A"," ",IF(Pricetype1=2,MAX(G183,0),IF(OR(Pricetype1=1,Pricetype1=4),IF(G183=0,0,(EURO(G183,Strikeprice1,0,0,($AK183+IF(Smile=TRUE(),VLOOKUP(MAX(-5,Strikeprice1-G183),Volsmile,2),0)),($A183-DateToday)+15,IF(Pricetype1=1,1,0),0))),G183)))</f>
        <v> </v>
      </c>
      <c r="Q183" s="318" t="str">
        <f aca="false">IF($A183="N/A"," ",IF(Pricetype1=2,MAX(H183,0),IF(OR(Pricetype1=1,Pricetype1=4),IF(H183=0,0,(EURO(H183,Strikeprice1,0,0,($AK183+IF(Smile=TRUE(),VLOOKUP(MAX(-5,Strikeprice1-H183),Volsmile,2),0)),($A183-DateToday)+15,IF(Pricetype1=1,1,0),0))),H183)))</f>
        <v> </v>
      </c>
      <c r="R183" s="318" t="str">
        <f aca="false">IF($A183="N/A"," ",IF(Pricetype1=2,MAX(I183,0),IF(OR(Pricetype1=1,Pricetype1=4),IF(I183=0,0,(EURO(I183,Strikeprice1,0,0,($AK183+IF(Smile=TRUE(),VLOOKUP(MAX(-5,Strikeprice1-I183),Volsmile,2),0)),($A183-DateToday)+15,IF(Pricetype1=1,1,0),0))),I183)))</f>
        <v> </v>
      </c>
      <c r="S183" s="318" t="str">
        <f aca="false">IF($A183="N/A"," ",IF(Pricetype1=2,MAX(J183,0),IF(OR(Pricetype1=1,Pricetype1=4),IF(J183=0,0,(EURO(J183,Strikeprice1,0,0,($AK183+IF(Smile=TRUE(),VLOOKUP(MAX(-5,Strikeprice1-J183),Volsmile,2),0)),($A183-DateToday)+15,IF(Pricetype1=1,1,0),0))),J183)))</f>
        <v> </v>
      </c>
      <c r="T183" s="318" t="str">
        <f aca="false">IF($A183="N/A"," ",IF(Pricetype1=2,MAX(K183,0),IF(OR(Pricetype1=1,Pricetype1=4),IF(K183=0,0,(EURO(K183,Strikeprice1,0,0,($AK183+IF(Smile=TRUE(),VLOOKUP(MAX(-5,Strikeprice1-K183),Volsmile,2),0)),($A183-DateToday)+15,IF(Pricetype1=1,1,0),0))),K183)))</f>
        <v> </v>
      </c>
      <c r="U183" s="319" t="str">
        <f aca="false">IF($A183="N/A"," ",Volume1*$AM183)</f>
        <v> </v>
      </c>
      <c r="V183" s="320" t="str">
        <f aca="false">IF($A183="N/A"," ",$U183*(8*($BQ183))*L183)</f>
        <v> </v>
      </c>
      <c r="W183" s="320" t="str">
        <f aca="false">IF($A183="N/A"," ",$U183*(8*($BQ183))*M183)</f>
        <v> </v>
      </c>
      <c r="X183" s="320" t="str">
        <f aca="false">IF($A183="N/A"," ",$U183*(8*($BQ183))*N183)</f>
        <v> </v>
      </c>
      <c r="Y183" s="320" t="str">
        <f aca="false">IF($A183="N/A"," ",$U183*(8*($BR183))*O183)</f>
        <v> </v>
      </c>
      <c r="Z183" s="320" t="str">
        <f aca="false">IF($A183="N/A"," ",$U183*(8*($BR183))*P183)</f>
        <v> </v>
      </c>
      <c r="AA183" s="320" t="str">
        <f aca="false">IF($A183="N/A"," ",$U183*(8*($BR183))*Q183)</f>
        <v> </v>
      </c>
      <c r="AB183" s="320" t="str">
        <f aca="false">IF($A183="N/A"," ",$U183*(8*($BS183))*R183)</f>
        <v> </v>
      </c>
      <c r="AC183" s="320" t="str">
        <f aca="false">IF($A183="N/A"," ",$U183*(8*($BS183))*S183)</f>
        <v> </v>
      </c>
      <c r="AD183" s="320" t="str">
        <f aca="false">IF($A183="N/A"," ",$U183*(8*($BS183))*T183)</f>
        <v> </v>
      </c>
      <c r="AE183" s="320" t="str">
        <f aca="false">IF($A183="N/A"," ",SUM(V183:AD183))</f>
        <v> </v>
      </c>
      <c r="AF183" s="321" t="str">
        <f aca="false">IF(A183="N/A"," ",(VLOOKUP(A183,PowerVolTable,(IF(VolBMO1=2,7,IF(VolBMO1=1,6,8))),FALSE())))</f>
        <v> </v>
      </c>
      <c r="AG183" s="321" t="str">
        <f aca="false">IF(A183="N/A"," ",(VLOOKUP(A183,IntraPowerVol,(IF(VolBMO1=2,3,IF(VolBMO1=1,2,4))),FALSE())*VLOOKUP(MONTH($A183),Volscale,2)))</f>
        <v> </v>
      </c>
      <c r="AH183" s="321" t="str">
        <f aca="false">IF($A183="N/A"," ",IF(VolType1=1,AG183,AF183))</f>
        <v> </v>
      </c>
      <c r="AI183" s="321" t="str">
        <f aca="false">IF($A183="N/A"," ",(VLOOKUP($A183,OffPwrVolTable,(IF(VolBMO1=2,7,IF(VolBMO1=1,6,8))),FALSE())))</f>
        <v> </v>
      </c>
      <c r="AJ183" s="321" t="str">
        <f aca="false">IF($A183="N/A"," ",(VLOOKUP($A183,OffPwrVolTable,(IF(VolBMO1=2,3,IF(VolBMO1=1,2,4))),FALSE())*VLOOKUP(MONTH($A183),Volscale,2)))</f>
        <v> </v>
      </c>
      <c r="AK183" s="321" t="str">
        <f aca="false">IF($A183="N/A"," ",IF(VolType1=1,AJ183,AI183))</f>
        <v> </v>
      </c>
      <c r="AL183" s="321" t="str">
        <f aca="false">IF($A183="N/A"," ",IF(PV=1,0,'Pricing Inputs1'!R216))</f>
        <v> </v>
      </c>
      <c r="AM183" s="323" t="str">
        <f aca="false">IF($A183="N/A"," ",(1+AL183/2)^(-2*((EOMONTH(A183,0)+20)-DateToday)/365.25))</f>
        <v> </v>
      </c>
      <c r="BQ183" s="0" t="str">
        <f aca="false">IF($A183="N/A"," ",(VLOOKUP($A183,NumberofDaysTable,2)))</f>
        <v> </v>
      </c>
      <c r="BR183" s="0" t="str">
        <f aca="false">IF($A183="N/A"," ",(VLOOKUP($A183,NumberofDaysTable,3)))</f>
        <v> </v>
      </c>
      <c r="BS183" s="0" t="str">
        <f aca="false">IF($A183="N/A"," ",(VLOOKUP($A183,NumberofDaysTable,4)))</f>
        <v> </v>
      </c>
    </row>
    <row r="184" customFormat="false" ht="12.75" hidden="false" customHeight="false" outlineLevel="0" collapsed="false">
      <c r="A184" s="315" t="str">
        <f aca="false">IF(A183="N/A","N/A",IF(EDATE(A183,1)&gt;Inputs!$M$5,"N/A",EDATE(A183,1)))</f>
        <v>N/A</v>
      </c>
      <c r="B184" s="316" t="str">
        <f aca="false">IF(A184="N/A"," ",YEAR(A184))</f>
        <v> </v>
      </c>
      <c r="C184" s="324" t="str">
        <f aca="false">IF($A184="N/A"," ",IF(Dayrun1=10,0,IF(Scaler1=1,(VLOOKUP(A184,ScaledPrice1,4)),(VLOOKUP(A184,ScaledPrice1,2)))))</f>
        <v> </v>
      </c>
      <c r="D184" s="317" t="str">
        <f aca="false">IF(A184="N/A"," ",IF(Dayrun1&gt;=7,0,IF(Scaler1=2,VLOOKUP(A184,ScaledPrice1,2),(VLOOKUP(A184,ScaledPrice1,2))*(2-(VLOOKUP(A184,ScaledPrice1,3))))))</f>
        <v> </v>
      </c>
      <c r="E184" s="317" t="str">
        <f aca="false">IF($A184="N/A"," ",IF(AND(Dayrun1&gt;=4,Dayrun1&lt;=9),0,VLOOKUP($A184,ScaledPrice1,9)))</f>
        <v> </v>
      </c>
      <c r="F184" s="317" t="str">
        <f aca="false">IF(A184="N/A"," ",IF(OR(Dayrun1=2,Dayrun1=3,Dayrun1=5,Dayrun1=6,Dayrun1=8,Dayrun1=9),VLOOKUP(A184,ScaledPrice1,IF(Scaler1=1,6,5)),0))</f>
        <v> </v>
      </c>
      <c r="G184" s="317" t="str">
        <f aca="false">IF(A184="N/A"," ",IF(OR(Dayrun1=2,Dayrun1=3,Dayrun1=5,Dayrun1=6),IF(Scaler1=2,F184,(VLOOKUP(A184,ScaledPrice1,5))*(2-(VLOOKUP(A184,ScaledPrice1,3)))),0))</f>
        <v> </v>
      </c>
      <c r="H184" s="317" t="str">
        <f aca="false">IF($A184="N/A"," ",IF(OR(Dayrun1=2,Dayrun1=3,Dayrun1=10),VLOOKUP($A184,ScaledPrice1,9),0))</f>
        <v> </v>
      </c>
      <c r="I184" s="317" t="str">
        <f aca="false">IF(A184="N/A"," ",IF(OR(Dayrun1=3,Dayrun1=6,Dayrun1=9),(VLOOKUP(A184,ScaledPrice1,IF(Scaler1=2,7,8))),0))</f>
        <v> </v>
      </c>
      <c r="J184" s="317" t="str">
        <f aca="false">IF(A184="N/A"," ",IF(OR(Dayrun1=3,Dayrun1=6),IF(Scaler1=2,I184,(VLOOKUP(A184,ScaledPrice1,7))*(2-(VLOOKUP(A184,ScaledPrice1,3)))),0))</f>
        <v> </v>
      </c>
      <c r="K184" s="317" t="str">
        <f aca="false">IF($A184="N/A"," ",IF(OR(Dayrun1=3,Dayrun1=10),VLOOKUP($A184,ScaledPrice1,9),0))</f>
        <v> </v>
      </c>
      <c r="L184" s="318" t="str">
        <f aca="false">IF($A184="N/A"," ",IF(Pricetype1=2,MAX(C184,0),IF(OR(Pricetype1=1,Pricetype1=4),IF(C184=0,0,(EURO(C184,Strikeprice1,0,0,($AH184+IF(Smile=TRUE(),VLOOKUP(MAX(-5,Strikeprice1-C184),Volsmile,2),0)),($A184-DateToday)+15,IF(Pricetype1=1,1,0),0))),C184)))</f>
        <v> </v>
      </c>
      <c r="M184" s="318" t="str">
        <f aca="false">IF($A184="N/A"," ",IF(Pricetype1=2,MAX(D184,0),IF(OR(Pricetype1=1,Pricetype1=4),IF(D184=0,0,(EURO(D184,Strikeprice1,0,0,($AH184+IF(Smile=TRUE(),VLOOKUP(MAX(-5,Strikeprice1-D184),Volsmile,2),0)),($A184-DateToday)+15,IF(Pricetype1=1,1,0),0))),D184)))</f>
        <v> </v>
      </c>
      <c r="N184" s="318" t="str">
        <f aca="false">IF($A184="N/A"," ",IF(Pricetype1=2,MAX(E184,0),IF(OR(Pricetype1=1,Pricetype1=4),IF(E184=0,0,(EURO(E184,Strikeprice1,0,0,($AK184+IF(Smile=TRUE(),VLOOKUP(MAX(-5,Strikeprice1-E184),Volsmile,2),0)),($A184-DateToday)+15,IF(Pricetype1=1,1,0),0))),E184)))</f>
        <v> </v>
      </c>
      <c r="O184" s="318" t="str">
        <f aca="false">IF($A184="N/A"," ",IF(Pricetype1=2,MAX(F184,0),IF(OR(Pricetype1=1,Pricetype1=4),IF(F184=0,0,(EURO(F184,Strikeprice1,0,0,($AK184+IF(Smile=TRUE(),VLOOKUP(MAX(-5,Strikeprice1-F184),Volsmile,2),0)),($A184-DateToday)+15,IF(Pricetype1=1,1,0),0))),F184)))</f>
        <v> </v>
      </c>
      <c r="P184" s="318" t="str">
        <f aca="false">IF($A184="N/A"," ",IF(Pricetype1=2,MAX(G184,0),IF(OR(Pricetype1=1,Pricetype1=4),IF(G184=0,0,(EURO(G184,Strikeprice1,0,0,($AK184+IF(Smile=TRUE(),VLOOKUP(MAX(-5,Strikeprice1-G184),Volsmile,2),0)),($A184-DateToday)+15,IF(Pricetype1=1,1,0),0))),G184)))</f>
        <v> </v>
      </c>
      <c r="Q184" s="318" t="str">
        <f aca="false">IF($A184="N/A"," ",IF(Pricetype1=2,MAX(H184,0),IF(OR(Pricetype1=1,Pricetype1=4),IF(H184=0,0,(EURO(H184,Strikeprice1,0,0,($AK184+IF(Smile=TRUE(),VLOOKUP(MAX(-5,Strikeprice1-H184),Volsmile,2),0)),($A184-DateToday)+15,IF(Pricetype1=1,1,0),0))),H184)))</f>
        <v> </v>
      </c>
      <c r="R184" s="318" t="str">
        <f aca="false">IF($A184="N/A"," ",IF(Pricetype1=2,MAX(I184,0),IF(OR(Pricetype1=1,Pricetype1=4),IF(I184=0,0,(EURO(I184,Strikeprice1,0,0,($AK184+IF(Smile=TRUE(),VLOOKUP(MAX(-5,Strikeprice1-I184),Volsmile,2),0)),($A184-DateToday)+15,IF(Pricetype1=1,1,0),0))),I184)))</f>
        <v> </v>
      </c>
      <c r="S184" s="318" t="str">
        <f aca="false">IF($A184="N/A"," ",IF(Pricetype1=2,MAX(J184,0),IF(OR(Pricetype1=1,Pricetype1=4),IF(J184=0,0,(EURO(J184,Strikeprice1,0,0,($AK184+IF(Smile=TRUE(),VLOOKUP(MAX(-5,Strikeprice1-J184),Volsmile,2),0)),($A184-DateToday)+15,IF(Pricetype1=1,1,0),0))),J184)))</f>
        <v> </v>
      </c>
      <c r="T184" s="318" t="str">
        <f aca="false">IF($A184="N/A"," ",IF(Pricetype1=2,MAX(K184,0),IF(OR(Pricetype1=1,Pricetype1=4),IF(K184=0,0,(EURO(K184,Strikeprice1,0,0,($AK184+IF(Smile=TRUE(),VLOOKUP(MAX(-5,Strikeprice1-K184),Volsmile,2),0)),($A184-DateToday)+15,IF(Pricetype1=1,1,0),0))),K184)))</f>
        <v> </v>
      </c>
      <c r="U184" s="319" t="str">
        <f aca="false">IF($A184="N/A"," ",Volume1*$AM184)</f>
        <v> </v>
      </c>
      <c r="V184" s="320" t="str">
        <f aca="false">IF($A184="N/A"," ",$U184*(8*($BQ184))*L184)</f>
        <v> </v>
      </c>
      <c r="W184" s="320" t="str">
        <f aca="false">IF($A184="N/A"," ",$U184*(8*($BQ184))*M184)</f>
        <v> </v>
      </c>
      <c r="X184" s="320" t="str">
        <f aca="false">IF($A184="N/A"," ",$U184*(8*($BQ184))*N184)</f>
        <v> </v>
      </c>
      <c r="Y184" s="320" t="str">
        <f aca="false">IF($A184="N/A"," ",$U184*(8*($BR184))*O184)</f>
        <v> </v>
      </c>
      <c r="Z184" s="320" t="str">
        <f aca="false">IF($A184="N/A"," ",$U184*(8*($BR184))*P184)</f>
        <v> </v>
      </c>
      <c r="AA184" s="320" t="str">
        <f aca="false">IF($A184="N/A"," ",$U184*(8*($BR184))*Q184)</f>
        <v> </v>
      </c>
      <c r="AB184" s="320" t="str">
        <f aca="false">IF($A184="N/A"," ",$U184*(8*($BS184))*R184)</f>
        <v> </v>
      </c>
      <c r="AC184" s="320" t="str">
        <f aca="false">IF($A184="N/A"," ",$U184*(8*($BS184))*S184)</f>
        <v> </v>
      </c>
      <c r="AD184" s="320" t="str">
        <f aca="false">IF($A184="N/A"," ",$U184*(8*($BS184))*T184)</f>
        <v> </v>
      </c>
      <c r="AE184" s="320" t="str">
        <f aca="false">IF($A184="N/A"," ",SUM(V184:AD184))</f>
        <v> </v>
      </c>
      <c r="AF184" s="321" t="str">
        <f aca="false">IF(A184="N/A"," ",(VLOOKUP(A184,PowerVolTable,(IF(VolBMO1=2,7,IF(VolBMO1=1,6,8))),FALSE())))</f>
        <v> </v>
      </c>
      <c r="AG184" s="321" t="str">
        <f aca="false">IF(A184="N/A"," ",(VLOOKUP(A184,IntraPowerVol,(IF(VolBMO1=2,3,IF(VolBMO1=1,2,4))),FALSE())*VLOOKUP(MONTH($A184),Volscale,2)))</f>
        <v> </v>
      </c>
      <c r="AH184" s="321" t="str">
        <f aca="false">IF($A184="N/A"," ",IF(VolType1=1,AG184,AF184))</f>
        <v> </v>
      </c>
      <c r="AI184" s="321" t="str">
        <f aca="false">IF($A184="N/A"," ",(VLOOKUP($A184,OffPwrVolTable,(IF(VolBMO1=2,7,IF(VolBMO1=1,6,8))),FALSE())))</f>
        <v> </v>
      </c>
      <c r="AJ184" s="321" t="str">
        <f aca="false">IF($A184="N/A"," ",(VLOOKUP($A184,OffPwrVolTable,(IF(VolBMO1=2,3,IF(VolBMO1=1,2,4))),FALSE())*VLOOKUP(MONTH($A184),Volscale,2)))</f>
        <v> </v>
      </c>
      <c r="AK184" s="321" t="str">
        <f aca="false">IF($A184="N/A"," ",IF(VolType1=1,AJ184,AI184))</f>
        <v> </v>
      </c>
      <c r="AL184" s="321" t="str">
        <f aca="false">IF($A184="N/A"," ",IF(PV=1,0,'Pricing Inputs1'!R217))</f>
        <v> </v>
      </c>
      <c r="AM184" s="323" t="str">
        <f aca="false">IF($A184="N/A"," ",(1+AL184/2)^(-2*((EOMONTH(A184,0)+20)-DateToday)/365.25))</f>
        <v> </v>
      </c>
      <c r="BQ184" s="0" t="str">
        <f aca="false">IF($A184="N/A"," ",(VLOOKUP($A184,NumberofDaysTable,2)))</f>
        <v> </v>
      </c>
      <c r="BR184" s="0" t="str">
        <f aca="false">IF($A184="N/A"," ",(VLOOKUP($A184,NumberofDaysTable,3)))</f>
        <v> </v>
      </c>
      <c r="BS184" s="0" t="str">
        <f aca="false">IF($A184="N/A"," ",(VLOOKUP($A184,NumberofDaysTable,4)))</f>
        <v> </v>
      </c>
    </row>
    <row r="185" customFormat="false" ht="12.75" hidden="false" customHeight="false" outlineLevel="0" collapsed="false">
      <c r="A185" s="315" t="str">
        <f aca="false">IF(A184="N/A","N/A",IF(EDATE(A184,1)&gt;Inputs!$M$5,"N/A",EDATE(A184,1)))</f>
        <v>N/A</v>
      </c>
      <c r="B185" s="316" t="str">
        <f aca="false">IF(A185="N/A"," ",YEAR(A185))</f>
        <v> </v>
      </c>
      <c r="C185" s="324" t="str">
        <f aca="false">IF($A185="N/A"," ",IF(Dayrun1=10,0,IF(Scaler1=1,(VLOOKUP(A185,ScaledPrice1,4)),(VLOOKUP(A185,ScaledPrice1,2)))))</f>
        <v> </v>
      </c>
      <c r="D185" s="317" t="str">
        <f aca="false">IF(A185="N/A"," ",IF(Dayrun1&gt;=7,0,IF(Scaler1=2,VLOOKUP(A185,ScaledPrice1,2),(VLOOKUP(A185,ScaledPrice1,2))*(2-(VLOOKUP(A185,ScaledPrice1,3))))))</f>
        <v> </v>
      </c>
      <c r="E185" s="317" t="str">
        <f aca="false">IF($A185="N/A"," ",IF(AND(Dayrun1&gt;=4,Dayrun1&lt;=9),0,VLOOKUP($A185,ScaledPrice1,9)))</f>
        <v> </v>
      </c>
      <c r="F185" s="317" t="str">
        <f aca="false">IF(A185="N/A"," ",IF(OR(Dayrun1=2,Dayrun1=3,Dayrun1=5,Dayrun1=6,Dayrun1=8,Dayrun1=9),VLOOKUP(A185,ScaledPrice1,IF(Scaler1=1,6,5)),0))</f>
        <v> </v>
      </c>
      <c r="G185" s="317" t="str">
        <f aca="false">IF(A185="N/A"," ",IF(OR(Dayrun1=2,Dayrun1=3,Dayrun1=5,Dayrun1=6),IF(Scaler1=2,F185,(VLOOKUP(A185,ScaledPrice1,5))*(2-(VLOOKUP(A185,ScaledPrice1,3)))),0))</f>
        <v> </v>
      </c>
      <c r="H185" s="317" t="str">
        <f aca="false">IF($A185="N/A"," ",IF(OR(Dayrun1=2,Dayrun1=3,Dayrun1=10),VLOOKUP($A185,ScaledPrice1,9),0))</f>
        <v> </v>
      </c>
      <c r="I185" s="317" t="str">
        <f aca="false">IF(A185="N/A"," ",IF(OR(Dayrun1=3,Dayrun1=6,Dayrun1=9),(VLOOKUP(A185,ScaledPrice1,IF(Scaler1=2,7,8))),0))</f>
        <v> </v>
      </c>
      <c r="J185" s="317" t="str">
        <f aca="false">IF(A185="N/A"," ",IF(OR(Dayrun1=3,Dayrun1=6),IF(Scaler1=2,I185,(VLOOKUP(A185,ScaledPrice1,7))*(2-(VLOOKUP(A185,ScaledPrice1,3)))),0))</f>
        <v> </v>
      </c>
      <c r="K185" s="317" t="str">
        <f aca="false">IF($A185="N/A"," ",IF(OR(Dayrun1=3,Dayrun1=10),VLOOKUP($A185,ScaledPrice1,9),0))</f>
        <v> </v>
      </c>
      <c r="L185" s="318" t="str">
        <f aca="false">IF($A185="N/A"," ",IF(Pricetype1=2,MAX(C185,0),IF(OR(Pricetype1=1,Pricetype1=4),IF(C185=0,0,(EURO(C185,Strikeprice1,0,0,($AH185+IF(Smile=TRUE(),VLOOKUP(MAX(-5,Strikeprice1-C185),Volsmile,2),0)),($A185-DateToday)+15,IF(Pricetype1=1,1,0),0))),C185)))</f>
        <v> </v>
      </c>
      <c r="M185" s="318" t="str">
        <f aca="false">IF($A185="N/A"," ",IF(Pricetype1=2,MAX(D185,0),IF(OR(Pricetype1=1,Pricetype1=4),IF(D185=0,0,(EURO(D185,Strikeprice1,0,0,($AH185+IF(Smile=TRUE(),VLOOKUP(MAX(-5,Strikeprice1-D185),Volsmile,2),0)),($A185-DateToday)+15,IF(Pricetype1=1,1,0),0))),D185)))</f>
        <v> </v>
      </c>
      <c r="N185" s="318" t="str">
        <f aca="false">IF($A185="N/A"," ",IF(Pricetype1=2,MAX(E185,0),IF(OR(Pricetype1=1,Pricetype1=4),IF(E185=0,0,(EURO(E185,Strikeprice1,0,0,($AK185+IF(Smile=TRUE(),VLOOKUP(MAX(-5,Strikeprice1-E185),Volsmile,2),0)),($A185-DateToday)+15,IF(Pricetype1=1,1,0),0))),E185)))</f>
        <v> </v>
      </c>
      <c r="O185" s="318" t="str">
        <f aca="false">IF($A185="N/A"," ",IF(Pricetype1=2,MAX(F185,0),IF(OR(Pricetype1=1,Pricetype1=4),IF(F185=0,0,(EURO(F185,Strikeprice1,0,0,($AK185+IF(Smile=TRUE(),VLOOKUP(MAX(-5,Strikeprice1-F185),Volsmile,2),0)),($A185-DateToday)+15,IF(Pricetype1=1,1,0),0))),F185)))</f>
        <v> </v>
      </c>
      <c r="P185" s="318" t="str">
        <f aca="false">IF($A185="N/A"," ",IF(Pricetype1=2,MAX(G185,0),IF(OR(Pricetype1=1,Pricetype1=4),IF(G185=0,0,(EURO(G185,Strikeprice1,0,0,($AK185+IF(Smile=TRUE(),VLOOKUP(MAX(-5,Strikeprice1-G185),Volsmile,2),0)),($A185-DateToday)+15,IF(Pricetype1=1,1,0),0))),G185)))</f>
        <v> </v>
      </c>
      <c r="Q185" s="318" t="str">
        <f aca="false">IF($A185="N/A"," ",IF(Pricetype1=2,MAX(H185,0),IF(OR(Pricetype1=1,Pricetype1=4),IF(H185=0,0,(EURO(H185,Strikeprice1,0,0,($AK185+IF(Smile=TRUE(),VLOOKUP(MAX(-5,Strikeprice1-H185),Volsmile,2),0)),($A185-DateToday)+15,IF(Pricetype1=1,1,0),0))),H185)))</f>
        <v> </v>
      </c>
      <c r="R185" s="318" t="str">
        <f aca="false">IF($A185="N/A"," ",IF(Pricetype1=2,MAX(I185,0),IF(OR(Pricetype1=1,Pricetype1=4),IF(I185=0,0,(EURO(I185,Strikeprice1,0,0,($AK185+IF(Smile=TRUE(),VLOOKUP(MAX(-5,Strikeprice1-I185),Volsmile,2),0)),($A185-DateToday)+15,IF(Pricetype1=1,1,0),0))),I185)))</f>
        <v> </v>
      </c>
      <c r="S185" s="318" t="str">
        <f aca="false">IF($A185="N/A"," ",IF(Pricetype1=2,MAX(J185,0),IF(OR(Pricetype1=1,Pricetype1=4),IF(J185=0,0,(EURO(J185,Strikeprice1,0,0,($AK185+IF(Smile=TRUE(),VLOOKUP(MAX(-5,Strikeprice1-J185),Volsmile,2),0)),($A185-DateToday)+15,IF(Pricetype1=1,1,0),0))),J185)))</f>
        <v> </v>
      </c>
      <c r="T185" s="318" t="str">
        <f aca="false">IF($A185="N/A"," ",IF(Pricetype1=2,MAX(K185,0),IF(OR(Pricetype1=1,Pricetype1=4),IF(K185=0,0,(EURO(K185,Strikeprice1,0,0,($AK185+IF(Smile=TRUE(),VLOOKUP(MAX(-5,Strikeprice1-K185),Volsmile,2),0)),($A185-DateToday)+15,IF(Pricetype1=1,1,0),0))),K185)))</f>
        <v> </v>
      </c>
      <c r="U185" s="319" t="str">
        <f aca="false">IF($A185="N/A"," ",Volume1*$AM185)</f>
        <v> </v>
      </c>
      <c r="V185" s="320" t="str">
        <f aca="false">IF($A185="N/A"," ",$U185*(8*($BQ185))*L185)</f>
        <v> </v>
      </c>
      <c r="W185" s="320" t="str">
        <f aca="false">IF($A185="N/A"," ",$U185*(8*($BQ185))*M185)</f>
        <v> </v>
      </c>
      <c r="X185" s="320" t="str">
        <f aca="false">IF($A185="N/A"," ",$U185*(8*($BQ185))*N185)</f>
        <v> </v>
      </c>
      <c r="Y185" s="320" t="str">
        <f aca="false">IF($A185="N/A"," ",$U185*(8*($BR185))*O185)</f>
        <v> </v>
      </c>
      <c r="Z185" s="320" t="str">
        <f aca="false">IF($A185="N/A"," ",$U185*(8*($BR185))*P185)</f>
        <v> </v>
      </c>
      <c r="AA185" s="320" t="str">
        <f aca="false">IF($A185="N/A"," ",$U185*(8*($BR185))*Q185)</f>
        <v> </v>
      </c>
      <c r="AB185" s="320" t="str">
        <f aca="false">IF($A185="N/A"," ",$U185*(8*($BS185))*R185)</f>
        <v> </v>
      </c>
      <c r="AC185" s="320" t="str">
        <f aca="false">IF($A185="N/A"," ",$U185*(8*($BS185))*S185)</f>
        <v> </v>
      </c>
      <c r="AD185" s="320" t="str">
        <f aca="false">IF($A185="N/A"," ",$U185*(8*($BS185))*T185)</f>
        <v> </v>
      </c>
      <c r="AE185" s="320" t="str">
        <f aca="false">IF($A185="N/A"," ",SUM(V185:AD185))</f>
        <v> </v>
      </c>
      <c r="AF185" s="321" t="str">
        <f aca="false">IF(A185="N/A"," ",(VLOOKUP(A185,PowerVolTable,(IF(VolBMO1=2,7,IF(VolBMO1=1,6,8))),FALSE())))</f>
        <v> </v>
      </c>
      <c r="AG185" s="321" t="str">
        <f aca="false">IF(A185="N/A"," ",(VLOOKUP(A185,IntraPowerVol,(IF(VolBMO1=2,3,IF(VolBMO1=1,2,4))),FALSE())*VLOOKUP(MONTH($A185),Volscale,2)))</f>
        <v> </v>
      </c>
      <c r="AH185" s="321" t="str">
        <f aca="false">IF($A185="N/A"," ",IF(VolType1=1,AG185,AF185))</f>
        <v> </v>
      </c>
      <c r="AI185" s="321" t="str">
        <f aca="false">IF($A185="N/A"," ",(VLOOKUP($A185,OffPwrVolTable,(IF(VolBMO1=2,7,IF(VolBMO1=1,6,8))),FALSE())))</f>
        <v> </v>
      </c>
      <c r="AJ185" s="321" t="str">
        <f aca="false">IF($A185="N/A"," ",(VLOOKUP($A185,OffPwrVolTable,(IF(VolBMO1=2,3,IF(VolBMO1=1,2,4))),FALSE())*VLOOKUP(MONTH($A185),Volscale,2)))</f>
        <v> </v>
      </c>
      <c r="AK185" s="321" t="str">
        <f aca="false">IF($A185="N/A"," ",IF(VolType1=1,AJ185,AI185))</f>
        <v> </v>
      </c>
      <c r="AL185" s="321" t="str">
        <f aca="false">IF($A185="N/A"," ",IF(PV=1,0,'Pricing Inputs1'!R218))</f>
        <v> </v>
      </c>
      <c r="AM185" s="323" t="str">
        <f aca="false">IF($A185="N/A"," ",(1+AL185/2)^(-2*((EOMONTH(A185,0)+20)-DateToday)/365.25))</f>
        <v> </v>
      </c>
      <c r="BQ185" s="0" t="str">
        <f aca="false">IF($A185="N/A"," ",(VLOOKUP($A185,NumberofDaysTable,2)))</f>
        <v> </v>
      </c>
      <c r="BR185" s="0" t="str">
        <f aca="false">IF($A185="N/A"," ",(VLOOKUP($A185,NumberofDaysTable,3)))</f>
        <v> </v>
      </c>
      <c r="BS185" s="0" t="str">
        <f aca="false">IF($A185="N/A"," ",(VLOOKUP($A185,NumberofDaysTable,4)))</f>
        <v> </v>
      </c>
    </row>
    <row r="186" customFormat="false" ht="12.75" hidden="false" customHeight="false" outlineLevel="0" collapsed="false">
      <c r="A186" s="315" t="str">
        <f aca="false">IF(A185="N/A","N/A",IF(EDATE(A185,1)&gt;Inputs!$M$5,"N/A",EDATE(A185,1)))</f>
        <v>N/A</v>
      </c>
      <c r="B186" s="316" t="str">
        <f aca="false">IF(A186="N/A"," ",YEAR(A186))</f>
        <v> </v>
      </c>
      <c r="C186" s="324" t="str">
        <f aca="false">IF($A186="N/A"," ",IF(Dayrun1=10,0,IF(Scaler1=1,(VLOOKUP(A186,ScaledPrice1,4)),(VLOOKUP(A186,ScaledPrice1,2)))))</f>
        <v> </v>
      </c>
      <c r="D186" s="317" t="str">
        <f aca="false">IF(A186="N/A"," ",IF(Dayrun1&gt;=7,0,IF(Scaler1=2,VLOOKUP(A186,ScaledPrice1,2),(VLOOKUP(A186,ScaledPrice1,2))*(2-(VLOOKUP(A186,ScaledPrice1,3))))))</f>
        <v> </v>
      </c>
      <c r="E186" s="317" t="str">
        <f aca="false">IF($A186="N/A"," ",IF(AND(Dayrun1&gt;=4,Dayrun1&lt;=9),0,VLOOKUP($A186,ScaledPrice1,9)))</f>
        <v> </v>
      </c>
      <c r="F186" s="317" t="str">
        <f aca="false">IF(A186="N/A"," ",IF(OR(Dayrun1=2,Dayrun1=3,Dayrun1=5,Dayrun1=6,Dayrun1=8,Dayrun1=9),VLOOKUP(A186,ScaledPrice1,IF(Scaler1=1,6,5)),0))</f>
        <v> </v>
      </c>
      <c r="G186" s="317" t="str">
        <f aca="false">IF(A186="N/A"," ",IF(OR(Dayrun1=2,Dayrun1=3,Dayrun1=5,Dayrun1=6),IF(Scaler1=2,F186,(VLOOKUP(A186,ScaledPrice1,5))*(2-(VLOOKUP(A186,ScaledPrice1,3)))),0))</f>
        <v> </v>
      </c>
      <c r="H186" s="317" t="str">
        <f aca="false">IF($A186="N/A"," ",IF(OR(Dayrun1=2,Dayrun1=3,Dayrun1=10),VLOOKUP($A186,ScaledPrice1,9),0))</f>
        <v> </v>
      </c>
      <c r="I186" s="317" t="str">
        <f aca="false">IF(A186="N/A"," ",IF(OR(Dayrun1=3,Dayrun1=6,Dayrun1=9),(VLOOKUP(A186,ScaledPrice1,IF(Scaler1=2,7,8))),0))</f>
        <v> </v>
      </c>
      <c r="J186" s="317" t="str">
        <f aca="false">IF(A186="N/A"," ",IF(OR(Dayrun1=3,Dayrun1=6),IF(Scaler1=2,I186,(VLOOKUP(A186,ScaledPrice1,7))*(2-(VLOOKUP(A186,ScaledPrice1,3)))),0))</f>
        <v> </v>
      </c>
      <c r="K186" s="317" t="str">
        <f aca="false">IF($A186="N/A"," ",IF(OR(Dayrun1=3,Dayrun1=10),VLOOKUP($A186,ScaledPrice1,9),0))</f>
        <v> </v>
      </c>
      <c r="L186" s="318" t="str">
        <f aca="false">IF($A186="N/A"," ",IF(Pricetype1=2,MAX(C186,0),IF(OR(Pricetype1=1,Pricetype1=4),IF(C186=0,0,(EURO(C186,Strikeprice1,0,0,($AH186+IF(Smile=TRUE(),VLOOKUP(MAX(-5,Strikeprice1-C186),Volsmile,2),0)),($A186-DateToday)+15,IF(Pricetype1=1,1,0),0))),C186)))</f>
        <v> </v>
      </c>
      <c r="M186" s="318" t="str">
        <f aca="false">IF($A186="N/A"," ",IF(Pricetype1=2,MAX(D186,0),IF(OR(Pricetype1=1,Pricetype1=4),IF(D186=0,0,(EURO(D186,Strikeprice1,0,0,($AH186+IF(Smile=TRUE(),VLOOKUP(MAX(-5,Strikeprice1-D186),Volsmile,2),0)),($A186-DateToday)+15,IF(Pricetype1=1,1,0),0))),D186)))</f>
        <v> </v>
      </c>
      <c r="N186" s="318" t="str">
        <f aca="false">IF($A186="N/A"," ",IF(Pricetype1=2,MAX(E186,0),IF(OR(Pricetype1=1,Pricetype1=4),IF(E186=0,0,(EURO(E186,Strikeprice1,0,0,($AK186+IF(Smile=TRUE(),VLOOKUP(MAX(-5,Strikeprice1-E186),Volsmile,2),0)),($A186-DateToday)+15,IF(Pricetype1=1,1,0),0))),E186)))</f>
        <v> </v>
      </c>
      <c r="O186" s="318" t="str">
        <f aca="false">IF($A186="N/A"," ",IF(Pricetype1=2,MAX(F186,0),IF(OR(Pricetype1=1,Pricetype1=4),IF(F186=0,0,(EURO(F186,Strikeprice1,0,0,($AK186+IF(Smile=TRUE(),VLOOKUP(MAX(-5,Strikeprice1-F186),Volsmile,2),0)),($A186-DateToday)+15,IF(Pricetype1=1,1,0),0))),F186)))</f>
        <v> </v>
      </c>
      <c r="P186" s="318" t="str">
        <f aca="false">IF($A186="N/A"," ",IF(Pricetype1=2,MAX(G186,0),IF(OR(Pricetype1=1,Pricetype1=4),IF(G186=0,0,(EURO(G186,Strikeprice1,0,0,($AK186+IF(Smile=TRUE(),VLOOKUP(MAX(-5,Strikeprice1-G186),Volsmile,2),0)),($A186-DateToday)+15,IF(Pricetype1=1,1,0),0))),G186)))</f>
        <v> </v>
      </c>
      <c r="Q186" s="318" t="str">
        <f aca="false">IF($A186="N/A"," ",IF(Pricetype1=2,MAX(H186,0),IF(OR(Pricetype1=1,Pricetype1=4),IF(H186=0,0,(EURO(H186,Strikeprice1,0,0,($AK186+IF(Smile=TRUE(),VLOOKUP(MAX(-5,Strikeprice1-H186),Volsmile,2),0)),($A186-DateToday)+15,IF(Pricetype1=1,1,0),0))),H186)))</f>
        <v> </v>
      </c>
      <c r="R186" s="318" t="str">
        <f aca="false">IF($A186="N/A"," ",IF(Pricetype1=2,MAX(I186,0),IF(OR(Pricetype1=1,Pricetype1=4),IF(I186=0,0,(EURO(I186,Strikeprice1,0,0,($AK186+IF(Smile=TRUE(),VLOOKUP(MAX(-5,Strikeprice1-I186),Volsmile,2),0)),($A186-DateToday)+15,IF(Pricetype1=1,1,0),0))),I186)))</f>
        <v> </v>
      </c>
      <c r="S186" s="318" t="str">
        <f aca="false">IF($A186="N/A"," ",IF(Pricetype1=2,MAX(J186,0),IF(OR(Pricetype1=1,Pricetype1=4),IF(J186=0,0,(EURO(J186,Strikeprice1,0,0,($AK186+IF(Smile=TRUE(),VLOOKUP(MAX(-5,Strikeprice1-J186),Volsmile,2),0)),($A186-DateToday)+15,IF(Pricetype1=1,1,0),0))),J186)))</f>
        <v> </v>
      </c>
      <c r="T186" s="318" t="str">
        <f aca="false">IF($A186="N/A"," ",IF(Pricetype1=2,MAX(K186,0),IF(OR(Pricetype1=1,Pricetype1=4),IF(K186=0,0,(EURO(K186,Strikeprice1,0,0,($AK186+IF(Smile=TRUE(),VLOOKUP(MAX(-5,Strikeprice1-K186),Volsmile,2),0)),($A186-DateToday)+15,IF(Pricetype1=1,1,0),0))),K186)))</f>
        <v> </v>
      </c>
      <c r="U186" s="319" t="str">
        <f aca="false">IF($A186="N/A"," ",Volume1*$AM186)</f>
        <v> </v>
      </c>
      <c r="V186" s="320" t="str">
        <f aca="false">IF($A186="N/A"," ",$U186*(8*($BQ186))*L186)</f>
        <v> </v>
      </c>
      <c r="W186" s="320" t="str">
        <f aca="false">IF($A186="N/A"," ",$U186*(8*($BQ186))*M186)</f>
        <v> </v>
      </c>
      <c r="X186" s="320" t="str">
        <f aca="false">IF($A186="N/A"," ",$U186*(8*($BQ186))*N186)</f>
        <v> </v>
      </c>
      <c r="Y186" s="320" t="str">
        <f aca="false">IF($A186="N/A"," ",$U186*(8*($BR186))*O186)</f>
        <v> </v>
      </c>
      <c r="Z186" s="320" t="str">
        <f aca="false">IF($A186="N/A"," ",$U186*(8*($BR186))*P186)</f>
        <v> </v>
      </c>
      <c r="AA186" s="320" t="str">
        <f aca="false">IF($A186="N/A"," ",$U186*(8*($BR186))*Q186)</f>
        <v> </v>
      </c>
      <c r="AB186" s="320" t="str">
        <f aca="false">IF($A186="N/A"," ",$U186*(8*($BS186))*R186)</f>
        <v> </v>
      </c>
      <c r="AC186" s="320" t="str">
        <f aca="false">IF($A186="N/A"," ",$U186*(8*($BS186))*S186)</f>
        <v> </v>
      </c>
      <c r="AD186" s="320" t="str">
        <f aca="false">IF($A186="N/A"," ",$U186*(8*($BS186))*T186)</f>
        <v> </v>
      </c>
      <c r="AE186" s="320" t="str">
        <f aca="false">IF($A186="N/A"," ",SUM(V186:AD186))</f>
        <v> </v>
      </c>
      <c r="AF186" s="321" t="str">
        <f aca="false">IF(A186="N/A"," ",(VLOOKUP(A186,PowerVolTable,(IF(VolBMO1=2,7,IF(VolBMO1=1,6,8))),FALSE())))</f>
        <v> </v>
      </c>
      <c r="AG186" s="321" t="str">
        <f aca="false">IF(A186="N/A"," ",(VLOOKUP(A186,IntraPowerVol,(IF(VolBMO1=2,3,IF(VolBMO1=1,2,4))),FALSE())*VLOOKUP(MONTH($A186),Volscale,2)))</f>
        <v> </v>
      </c>
      <c r="AH186" s="321" t="str">
        <f aca="false">IF($A186="N/A"," ",IF(VolType1=1,AG186,AF186))</f>
        <v> </v>
      </c>
      <c r="AI186" s="321" t="str">
        <f aca="false">IF($A186="N/A"," ",(VLOOKUP($A186,OffPwrVolTable,(IF(VolBMO1=2,7,IF(VolBMO1=1,6,8))),FALSE())))</f>
        <v> </v>
      </c>
      <c r="AJ186" s="321" t="str">
        <f aca="false">IF($A186="N/A"," ",(VLOOKUP($A186,OffPwrVolTable,(IF(VolBMO1=2,3,IF(VolBMO1=1,2,4))),FALSE())*VLOOKUP(MONTH($A186),Volscale,2)))</f>
        <v> </v>
      </c>
      <c r="AK186" s="321" t="str">
        <f aca="false">IF($A186="N/A"," ",IF(VolType1=1,AJ186,AI186))</f>
        <v> </v>
      </c>
      <c r="AL186" s="321" t="str">
        <f aca="false">IF($A186="N/A"," ",IF(PV=1,0,'Pricing Inputs1'!R219))</f>
        <v> </v>
      </c>
      <c r="AM186" s="323" t="str">
        <f aca="false">IF($A186="N/A"," ",(1+AL186/2)^(-2*((EOMONTH(A186,0)+20)-DateToday)/365.25))</f>
        <v> </v>
      </c>
      <c r="BQ186" s="0" t="str">
        <f aca="false">IF($A186="N/A"," ",(VLOOKUP($A186,NumberofDaysTable,2)))</f>
        <v> </v>
      </c>
      <c r="BR186" s="0" t="str">
        <f aca="false">IF($A186="N/A"," ",(VLOOKUP($A186,NumberofDaysTable,3)))</f>
        <v> </v>
      </c>
      <c r="BS186" s="0" t="str">
        <f aca="false">IF($A186="N/A"," ",(VLOOKUP($A186,NumberofDaysTable,4)))</f>
        <v> </v>
      </c>
    </row>
    <row r="187" customFormat="false" ht="12.75" hidden="false" customHeight="false" outlineLevel="0" collapsed="false">
      <c r="A187" s="315" t="str">
        <f aca="false">IF(A186="N/A","N/A",IF(EDATE(A186,1)&gt;Inputs!$M$5,"N/A",EDATE(A186,1)))</f>
        <v>N/A</v>
      </c>
      <c r="B187" s="316" t="str">
        <f aca="false">IF(A187="N/A"," ",YEAR(A187))</f>
        <v> </v>
      </c>
      <c r="C187" s="324" t="str">
        <f aca="false">IF($A187="N/A"," ",IF(Dayrun1=10,0,IF(Scaler1=1,(VLOOKUP(A187,ScaledPrice1,4)),(VLOOKUP(A187,ScaledPrice1,2)))))</f>
        <v> </v>
      </c>
      <c r="D187" s="317" t="str">
        <f aca="false">IF(A187="N/A"," ",IF(Dayrun1&gt;=7,0,IF(Scaler1=2,VLOOKUP(A187,ScaledPrice1,2),(VLOOKUP(A187,ScaledPrice1,2))*(2-(VLOOKUP(A187,ScaledPrice1,3))))))</f>
        <v> </v>
      </c>
      <c r="E187" s="317" t="str">
        <f aca="false">IF($A187="N/A"," ",IF(AND(Dayrun1&gt;=4,Dayrun1&lt;=9),0,VLOOKUP($A187,ScaledPrice1,9)))</f>
        <v> </v>
      </c>
      <c r="F187" s="317" t="str">
        <f aca="false">IF(A187="N/A"," ",IF(OR(Dayrun1=2,Dayrun1=3,Dayrun1=5,Dayrun1=6,Dayrun1=8,Dayrun1=9),VLOOKUP(A187,ScaledPrice1,IF(Scaler1=1,6,5)),0))</f>
        <v> </v>
      </c>
      <c r="G187" s="317" t="str">
        <f aca="false">IF(A187="N/A"," ",IF(OR(Dayrun1=2,Dayrun1=3,Dayrun1=5,Dayrun1=6),IF(Scaler1=2,F187,(VLOOKUP(A187,ScaledPrice1,5))*(2-(VLOOKUP(A187,ScaledPrice1,3)))),0))</f>
        <v> </v>
      </c>
      <c r="H187" s="317" t="str">
        <f aca="false">IF($A187="N/A"," ",IF(OR(Dayrun1=2,Dayrun1=3,Dayrun1=10),VLOOKUP($A187,ScaledPrice1,9),0))</f>
        <v> </v>
      </c>
      <c r="I187" s="317" t="str">
        <f aca="false">IF(A187="N/A"," ",IF(OR(Dayrun1=3,Dayrun1=6,Dayrun1=9),(VLOOKUP(A187,ScaledPrice1,IF(Scaler1=2,7,8))),0))</f>
        <v> </v>
      </c>
      <c r="J187" s="317" t="str">
        <f aca="false">IF(A187="N/A"," ",IF(OR(Dayrun1=3,Dayrun1=6),IF(Scaler1=2,I187,(VLOOKUP(A187,ScaledPrice1,7))*(2-(VLOOKUP(A187,ScaledPrice1,3)))),0))</f>
        <v> </v>
      </c>
      <c r="K187" s="317" t="str">
        <f aca="false">IF($A187="N/A"," ",IF(OR(Dayrun1=3,Dayrun1=10),VLOOKUP($A187,ScaledPrice1,9),0))</f>
        <v> </v>
      </c>
      <c r="L187" s="318" t="str">
        <f aca="false">IF($A187="N/A"," ",IF(Pricetype1=2,MAX(C187,0),IF(OR(Pricetype1=1,Pricetype1=4),IF(C187=0,0,(EURO(C187,Strikeprice1,0,0,($AH187+IF(Smile=TRUE(),VLOOKUP(MAX(-5,Strikeprice1-C187),Volsmile,2),0)),($A187-DateToday)+15,IF(Pricetype1=1,1,0),0))),C187)))</f>
        <v> </v>
      </c>
      <c r="M187" s="318" t="str">
        <f aca="false">IF($A187="N/A"," ",IF(Pricetype1=2,MAX(D187,0),IF(OR(Pricetype1=1,Pricetype1=4),IF(D187=0,0,(EURO(D187,Strikeprice1,0,0,($AH187+IF(Smile=TRUE(),VLOOKUP(MAX(-5,Strikeprice1-D187),Volsmile,2),0)),($A187-DateToday)+15,IF(Pricetype1=1,1,0),0))),D187)))</f>
        <v> </v>
      </c>
      <c r="N187" s="318" t="str">
        <f aca="false">IF($A187="N/A"," ",IF(Pricetype1=2,MAX(E187,0),IF(OR(Pricetype1=1,Pricetype1=4),IF(E187=0,0,(EURO(E187,Strikeprice1,0,0,($AK187+IF(Smile=TRUE(),VLOOKUP(MAX(-5,Strikeprice1-E187),Volsmile,2),0)),($A187-DateToday)+15,IF(Pricetype1=1,1,0),0))),E187)))</f>
        <v> </v>
      </c>
      <c r="O187" s="318" t="str">
        <f aca="false">IF($A187="N/A"," ",IF(Pricetype1=2,MAX(F187,0),IF(OR(Pricetype1=1,Pricetype1=4),IF(F187=0,0,(EURO(F187,Strikeprice1,0,0,($AK187+IF(Smile=TRUE(),VLOOKUP(MAX(-5,Strikeprice1-F187),Volsmile,2),0)),($A187-DateToday)+15,IF(Pricetype1=1,1,0),0))),F187)))</f>
        <v> </v>
      </c>
      <c r="P187" s="318" t="str">
        <f aca="false">IF($A187="N/A"," ",IF(Pricetype1=2,MAX(G187,0),IF(OR(Pricetype1=1,Pricetype1=4),IF(G187=0,0,(EURO(G187,Strikeprice1,0,0,($AK187+IF(Smile=TRUE(),VLOOKUP(MAX(-5,Strikeprice1-G187),Volsmile,2),0)),($A187-DateToday)+15,IF(Pricetype1=1,1,0),0))),G187)))</f>
        <v> </v>
      </c>
      <c r="Q187" s="318" t="str">
        <f aca="false">IF($A187="N/A"," ",IF(Pricetype1=2,MAX(H187,0),IF(OR(Pricetype1=1,Pricetype1=4),IF(H187=0,0,(EURO(H187,Strikeprice1,0,0,($AK187+IF(Smile=TRUE(),VLOOKUP(MAX(-5,Strikeprice1-H187),Volsmile,2),0)),($A187-DateToday)+15,IF(Pricetype1=1,1,0),0))),H187)))</f>
        <v> </v>
      </c>
      <c r="R187" s="318" t="str">
        <f aca="false">IF($A187="N/A"," ",IF(Pricetype1=2,MAX(I187,0),IF(OR(Pricetype1=1,Pricetype1=4),IF(I187=0,0,(EURO(I187,Strikeprice1,0,0,($AK187+IF(Smile=TRUE(),VLOOKUP(MAX(-5,Strikeprice1-I187),Volsmile,2),0)),($A187-DateToday)+15,IF(Pricetype1=1,1,0),0))),I187)))</f>
        <v> </v>
      </c>
      <c r="S187" s="318" t="str">
        <f aca="false">IF($A187="N/A"," ",IF(Pricetype1=2,MAX(J187,0),IF(OR(Pricetype1=1,Pricetype1=4),IF(J187=0,0,(EURO(J187,Strikeprice1,0,0,($AK187+IF(Smile=TRUE(),VLOOKUP(MAX(-5,Strikeprice1-J187),Volsmile,2),0)),($A187-DateToday)+15,IF(Pricetype1=1,1,0),0))),J187)))</f>
        <v> </v>
      </c>
      <c r="T187" s="318" t="str">
        <f aca="false">IF($A187="N/A"," ",IF(Pricetype1=2,MAX(K187,0),IF(OR(Pricetype1=1,Pricetype1=4),IF(K187=0,0,(EURO(K187,Strikeprice1,0,0,($AK187+IF(Smile=TRUE(),VLOOKUP(MAX(-5,Strikeprice1-K187),Volsmile,2),0)),($A187-DateToday)+15,IF(Pricetype1=1,1,0),0))),K187)))</f>
        <v> </v>
      </c>
      <c r="U187" s="319" t="str">
        <f aca="false">IF($A187="N/A"," ",Volume1*$AM187)</f>
        <v> </v>
      </c>
      <c r="V187" s="320" t="str">
        <f aca="false">IF($A187="N/A"," ",$U187*(8*($BQ187))*L187)</f>
        <v> </v>
      </c>
      <c r="W187" s="320" t="str">
        <f aca="false">IF($A187="N/A"," ",$U187*(8*($BQ187))*M187)</f>
        <v> </v>
      </c>
      <c r="X187" s="320" t="str">
        <f aca="false">IF($A187="N/A"," ",$U187*(8*($BQ187))*N187)</f>
        <v> </v>
      </c>
      <c r="Y187" s="320" t="str">
        <f aca="false">IF($A187="N/A"," ",$U187*(8*($BR187))*O187)</f>
        <v> </v>
      </c>
      <c r="Z187" s="320" t="str">
        <f aca="false">IF($A187="N/A"," ",$U187*(8*($BR187))*P187)</f>
        <v> </v>
      </c>
      <c r="AA187" s="320" t="str">
        <f aca="false">IF($A187="N/A"," ",$U187*(8*($BR187))*Q187)</f>
        <v> </v>
      </c>
      <c r="AB187" s="320" t="str">
        <f aca="false">IF($A187="N/A"," ",$U187*(8*($BS187))*R187)</f>
        <v> </v>
      </c>
      <c r="AC187" s="320" t="str">
        <f aca="false">IF($A187="N/A"," ",$U187*(8*($BS187))*S187)</f>
        <v> </v>
      </c>
      <c r="AD187" s="320" t="str">
        <f aca="false">IF($A187="N/A"," ",$U187*(8*($BS187))*T187)</f>
        <v> </v>
      </c>
      <c r="AE187" s="320" t="str">
        <f aca="false">IF($A187="N/A"," ",SUM(V187:AD187))</f>
        <v> </v>
      </c>
      <c r="AF187" s="321" t="str">
        <f aca="false">IF(A187="N/A"," ",(VLOOKUP(A187,PowerVolTable,(IF(VolBMO1=2,7,IF(VolBMO1=1,6,8))),FALSE())))</f>
        <v> </v>
      </c>
      <c r="AG187" s="321" t="str">
        <f aca="false">IF(A187="N/A"," ",(VLOOKUP(A187,IntraPowerVol,(IF(VolBMO1=2,3,IF(VolBMO1=1,2,4))),FALSE())*VLOOKUP(MONTH($A187),Volscale,2)))</f>
        <v> </v>
      </c>
      <c r="AH187" s="321" t="str">
        <f aca="false">IF($A187="N/A"," ",IF(VolType1=1,AG187,AF187))</f>
        <v> </v>
      </c>
      <c r="AI187" s="321" t="str">
        <f aca="false">IF($A187="N/A"," ",(VLOOKUP($A187,OffPwrVolTable,(IF(VolBMO1=2,7,IF(VolBMO1=1,6,8))),FALSE())))</f>
        <v> </v>
      </c>
      <c r="AJ187" s="321" t="str">
        <f aca="false">IF($A187="N/A"," ",(VLOOKUP($A187,OffPwrVolTable,(IF(VolBMO1=2,3,IF(VolBMO1=1,2,4))),FALSE())*VLOOKUP(MONTH($A187),Volscale,2)))</f>
        <v> </v>
      </c>
      <c r="AK187" s="321" t="str">
        <f aca="false">IF($A187="N/A"," ",IF(VolType1=1,AJ187,AI187))</f>
        <v> </v>
      </c>
      <c r="AL187" s="321" t="str">
        <f aca="false">IF($A187="N/A"," ",IF(PV=1,0,'Pricing Inputs1'!R220))</f>
        <v> </v>
      </c>
      <c r="AM187" s="323" t="str">
        <f aca="false">IF($A187="N/A"," ",(1+AL187/2)^(-2*((EOMONTH(A187,0)+20)-DateToday)/365.25))</f>
        <v> </v>
      </c>
      <c r="BQ187" s="0" t="str">
        <f aca="false">IF($A187="N/A"," ",(VLOOKUP($A187,NumberofDaysTable,2)))</f>
        <v> </v>
      </c>
      <c r="BR187" s="0" t="str">
        <f aca="false">IF($A187="N/A"," ",(VLOOKUP($A187,NumberofDaysTable,3)))</f>
        <v> </v>
      </c>
      <c r="BS187" s="0" t="str">
        <f aca="false">IF($A187="N/A"," ",(VLOOKUP($A187,NumberofDaysTable,4)))</f>
        <v> </v>
      </c>
    </row>
    <row r="188" customFormat="false" ht="12.75" hidden="false" customHeight="false" outlineLevel="0" collapsed="false">
      <c r="A188" s="315" t="str">
        <f aca="false">IF(A187="N/A","N/A",IF(EDATE(A187,1)&gt;Inputs!$M$5,"N/A",EDATE(A187,1)))</f>
        <v>N/A</v>
      </c>
      <c r="B188" s="316" t="str">
        <f aca="false">IF(A188="N/A"," ",YEAR(A188))</f>
        <v> </v>
      </c>
      <c r="C188" s="324" t="str">
        <f aca="false">IF($A188="N/A"," ",IF(Dayrun1=10,0,IF(Scaler1=1,(VLOOKUP(A188,ScaledPrice1,4)),(VLOOKUP(A188,ScaledPrice1,2)))))</f>
        <v> </v>
      </c>
      <c r="D188" s="317" t="str">
        <f aca="false">IF(A188="N/A"," ",IF(Dayrun1&gt;=7,0,IF(Scaler1=2,VLOOKUP(A188,ScaledPrice1,2),(VLOOKUP(A188,ScaledPrice1,2))*(2-(VLOOKUP(A188,ScaledPrice1,3))))))</f>
        <v> </v>
      </c>
      <c r="E188" s="317" t="str">
        <f aca="false">IF($A188="N/A"," ",IF(AND(Dayrun1&gt;=4,Dayrun1&lt;=9),0,VLOOKUP($A188,ScaledPrice1,9)))</f>
        <v> </v>
      </c>
      <c r="F188" s="317" t="str">
        <f aca="false">IF(A188="N/A"," ",IF(OR(Dayrun1=2,Dayrun1=3,Dayrun1=5,Dayrun1=6,Dayrun1=8,Dayrun1=9),VLOOKUP(A188,ScaledPrice1,IF(Scaler1=1,6,5)),0))</f>
        <v> </v>
      </c>
      <c r="G188" s="317" t="str">
        <f aca="false">IF(A188="N/A"," ",IF(OR(Dayrun1=2,Dayrun1=3,Dayrun1=5,Dayrun1=6),IF(Scaler1=2,F188,(VLOOKUP(A188,ScaledPrice1,5))*(2-(VLOOKUP(A188,ScaledPrice1,3)))),0))</f>
        <v> </v>
      </c>
      <c r="H188" s="317" t="str">
        <f aca="false">IF($A188="N/A"," ",IF(OR(Dayrun1=2,Dayrun1=3,Dayrun1=10),VLOOKUP($A188,ScaledPrice1,9),0))</f>
        <v> </v>
      </c>
      <c r="I188" s="317" t="str">
        <f aca="false">IF(A188="N/A"," ",IF(OR(Dayrun1=3,Dayrun1=6,Dayrun1=9),(VLOOKUP(A188,ScaledPrice1,IF(Scaler1=2,7,8))),0))</f>
        <v> </v>
      </c>
      <c r="J188" s="317" t="str">
        <f aca="false">IF(A188="N/A"," ",IF(OR(Dayrun1=3,Dayrun1=6),IF(Scaler1=2,I188,(VLOOKUP(A188,ScaledPrice1,7))*(2-(VLOOKUP(A188,ScaledPrice1,3)))),0))</f>
        <v> </v>
      </c>
      <c r="K188" s="317" t="str">
        <f aca="false">IF($A188="N/A"," ",IF(OR(Dayrun1=3,Dayrun1=10),VLOOKUP($A188,ScaledPrice1,9),0))</f>
        <v> </v>
      </c>
      <c r="L188" s="318" t="str">
        <f aca="false">IF($A188="N/A"," ",IF(Pricetype1=2,MAX(C188,0),IF(OR(Pricetype1=1,Pricetype1=4),IF(C188=0,0,(EURO(C188,Strikeprice1,0,0,($AH188+IF(Smile=TRUE(),VLOOKUP(MAX(-5,Strikeprice1-C188),Volsmile,2),0)),($A188-DateToday)+15,IF(Pricetype1=1,1,0),0))),C188)))</f>
        <v> </v>
      </c>
      <c r="M188" s="318" t="str">
        <f aca="false">IF($A188="N/A"," ",IF(Pricetype1=2,MAX(D188,0),IF(OR(Pricetype1=1,Pricetype1=4),IF(D188=0,0,(EURO(D188,Strikeprice1,0,0,($AH188+IF(Smile=TRUE(),VLOOKUP(MAX(-5,Strikeprice1-D188),Volsmile,2),0)),($A188-DateToday)+15,IF(Pricetype1=1,1,0),0))),D188)))</f>
        <v> </v>
      </c>
      <c r="N188" s="318" t="str">
        <f aca="false">IF($A188="N/A"," ",IF(Pricetype1=2,MAX(E188,0),IF(OR(Pricetype1=1,Pricetype1=4),IF(E188=0,0,(EURO(E188,Strikeprice1,0,0,($AK188+IF(Smile=TRUE(),VLOOKUP(MAX(-5,Strikeprice1-E188),Volsmile,2),0)),($A188-DateToday)+15,IF(Pricetype1=1,1,0),0))),E188)))</f>
        <v> </v>
      </c>
      <c r="O188" s="318" t="str">
        <f aca="false">IF($A188="N/A"," ",IF(Pricetype1=2,MAX(F188,0),IF(OR(Pricetype1=1,Pricetype1=4),IF(F188=0,0,(EURO(F188,Strikeprice1,0,0,($AK188+IF(Smile=TRUE(),VLOOKUP(MAX(-5,Strikeprice1-F188),Volsmile,2),0)),($A188-DateToday)+15,IF(Pricetype1=1,1,0),0))),F188)))</f>
        <v> </v>
      </c>
      <c r="P188" s="318" t="str">
        <f aca="false">IF($A188="N/A"," ",IF(Pricetype1=2,MAX(G188,0),IF(OR(Pricetype1=1,Pricetype1=4),IF(G188=0,0,(EURO(G188,Strikeprice1,0,0,($AK188+IF(Smile=TRUE(),VLOOKUP(MAX(-5,Strikeprice1-G188),Volsmile,2),0)),($A188-DateToday)+15,IF(Pricetype1=1,1,0),0))),G188)))</f>
        <v> </v>
      </c>
      <c r="Q188" s="318" t="str">
        <f aca="false">IF($A188="N/A"," ",IF(Pricetype1=2,MAX(H188,0),IF(OR(Pricetype1=1,Pricetype1=4),IF(H188=0,0,(EURO(H188,Strikeprice1,0,0,($AK188+IF(Smile=TRUE(),VLOOKUP(MAX(-5,Strikeprice1-H188),Volsmile,2),0)),($A188-DateToday)+15,IF(Pricetype1=1,1,0),0))),H188)))</f>
        <v> </v>
      </c>
      <c r="R188" s="318" t="str">
        <f aca="false">IF($A188="N/A"," ",IF(Pricetype1=2,MAX(I188,0),IF(OR(Pricetype1=1,Pricetype1=4),IF(I188=0,0,(EURO(I188,Strikeprice1,0,0,($AK188+IF(Smile=TRUE(),VLOOKUP(MAX(-5,Strikeprice1-I188),Volsmile,2),0)),($A188-DateToday)+15,IF(Pricetype1=1,1,0),0))),I188)))</f>
        <v> </v>
      </c>
      <c r="S188" s="318" t="str">
        <f aca="false">IF($A188="N/A"," ",IF(Pricetype1=2,MAX(J188,0),IF(OR(Pricetype1=1,Pricetype1=4),IF(J188=0,0,(EURO(J188,Strikeprice1,0,0,($AK188+IF(Smile=TRUE(),VLOOKUP(MAX(-5,Strikeprice1-J188),Volsmile,2),0)),($A188-DateToday)+15,IF(Pricetype1=1,1,0),0))),J188)))</f>
        <v> </v>
      </c>
      <c r="T188" s="318" t="str">
        <f aca="false">IF($A188="N/A"," ",IF(Pricetype1=2,MAX(K188,0),IF(OR(Pricetype1=1,Pricetype1=4),IF(K188=0,0,(EURO(K188,Strikeprice1,0,0,($AK188+IF(Smile=TRUE(),VLOOKUP(MAX(-5,Strikeprice1-K188),Volsmile,2),0)),($A188-DateToday)+15,IF(Pricetype1=1,1,0),0))),K188)))</f>
        <v> </v>
      </c>
      <c r="U188" s="319" t="str">
        <f aca="false">IF($A188="N/A"," ",Volume1*$AM188)</f>
        <v> </v>
      </c>
      <c r="V188" s="320" t="str">
        <f aca="false">IF($A188="N/A"," ",$U188*(8*($BQ188))*L188)</f>
        <v> </v>
      </c>
      <c r="W188" s="320" t="str">
        <f aca="false">IF($A188="N/A"," ",$U188*(8*($BQ188))*M188)</f>
        <v> </v>
      </c>
      <c r="X188" s="320" t="str">
        <f aca="false">IF($A188="N/A"," ",$U188*(8*($BQ188))*N188)</f>
        <v> </v>
      </c>
      <c r="Y188" s="320" t="str">
        <f aca="false">IF($A188="N/A"," ",$U188*(8*($BR188))*O188)</f>
        <v> </v>
      </c>
      <c r="Z188" s="320" t="str">
        <f aca="false">IF($A188="N/A"," ",$U188*(8*($BR188))*P188)</f>
        <v> </v>
      </c>
      <c r="AA188" s="320" t="str">
        <f aca="false">IF($A188="N/A"," ",$U188*(8*($BR188))*Q188)</f>
        <v> </v>
      </c>
      <c r="AB188" s="320" t="str">
        <f aca="false">IF($A188="N/A"," ",$U188*(8*($BS188))*R188)</f>
        <v> </v>
      </c>
      <c r="AC188" s="320" t="str">
        <f aca="false">IF($A188="N/A"," ",$U188*(8*($BS188))*S188)</f>
        <v> </v>
      </c>
      <c r="AD188" s="320" t="str">
        <f aca="false">IF($A188="N/A"," ",$U188*(8*($BS188))*T188)</f>
        <v> </v>
      </c>
      <c r="AE188" s="320" t="str">
        <f aca="false">IF($A188="N/A"," ",SUM(V188:AD188))</f>
        <v> </v>
      </c>
      <c r="AF188" s="321" t="str">
        <f aca="false">IF(A188="N/A"," ",(VLOOKUP(A188,PowerVolTable,(IF(VolBMO1=2,7,IF(VolBMO1=1,6,8))),FALSE())))</f>
        <v> </v>
      </c>
      <c r="AG188" s="321" t="str">
        <f aca="false">IF(A188="N/A"," ",(VLOOKUP(A188,IntraPowerVol,(IF(VolBMO1=2,3,IF(VolBMO1=1,2,4))),FALSE())*VLOOKUP(MONTH($A188),Volscale,2)))</f>
        <v> </v>
      </c>
      <c r="AH188" s="321" t="str">
        <f aca="false">IF($A188="N/A"," ",IF(VolType1=1,AG188,AF188))</f>
        <v> </v>
      </c>
      <c r="AI188" s="321" t="str">
        <f aca="false">IF($A188="N/A"," ",(VLOOKUP($A188,OffPwrVolTable,(IF(VolBMO1=2,7,IF(VolBMO1=1,6,8))),FALSE())))</f>
        <v> </v>
      </c>
      <c r="AJ188" s="321" t="str">
        <f aca="false">IF($A188="N/A"," ",(VLOOKUP($A188,OffPwrVolTable,(IF(VolBMO1=2,3,IF(VolBMO1=1,2,4))),FALSE())*VLOOKUP(MONTH($A188),Volscale,2)))</f>
        <v> </v>
      </c>
      <c r="AK188" s="321" t="str">
        <f aca="false">IF($A188="N/A"," ",IF(VolType1=1,AJ188,AI188))</f>
        <v> </v>
      </c>
      <c r="AL188" s="321" t="str">
        <f aca="false">IF($A188="N/A"," ",IF(PV=1,0,'Pricing Inputs1'!R221))</f>
        <v> </v>
      </c>
      <c r="AM188" s="323" t="str">
        <f aca="false">IF($A188="N/A"," ",(1+AL188/2)^(-2*((EOMONTH(A188,0)+20)-DateToday)/365.25))</f>
        <v> </v>
      </c>
      <c r="BQ188" s="0" t="str">
        <f aca="false">IF($A188="N/A"," ",(VLOOKUP($A188,NumberofDaysTable,2)))</f>
        <v> </v>
      </c>
      <c r="BR188" s="0" t="str">
        <f aca="false">IF($A188="N/A"," ",(VLOOKUP($A188,NumberofDaysTable,3)))</f>
        <v> </v>
      </c>
      <c r="BS188" s="0" t="str">
        <f aca="false">IF($A188="N/A"," ",(VLOOKUP($A188,NumberofDaysTable,4)))</f>
        <v> </v>
      </c>
    </row>
    <row r="189" customFormat="false" ht="12.75" hidden="false" customHeight="false" outlineLevel="0" collapsed="false">
      <c r="A189" s="315" t="str">
        <f aca="false">IF(A188="N/A","N/A",IF(EDATE(A188,1)&gt;Inputs!$M$5,"N/A",EDATE(A188,1)))</f>
        <v>N/A</v>
      </c>
      <c r="B189" s="316" t="str">
        <f aca="false">IF(A189="N/A"," ",YEAR(A189))</f>
        <v> </v>
      </c>
      <c r="C189" s="324" t="str">
        <f aca="false">IF($A189="N/A"," ",IF(Dayrun1=10,0,IF(Scaler1=1,(VLOOKUP(A189,ScaledPrice1,4)),(VLOOKUP(A189,ScaledPrice1,2)))))</f>
        <v> </v>
      </c>
      <c r="D189" s="317" t="str">
        <f aca="false">IF(A189="N/A"," ",IF(Dayrun1&gt;=7,0,IF(Scaler1=2,VLOOKUP(A189,ScaledPrice1,2),(VLOOKUP(A189,ScaledPrice1,2))*(2-(VLOOKUP(A189,ScaledPrice1,3))))))</f>
        <v> </v>
      </c>
      <c r="E189" s="317" t="str">
        <f aca="false">IF($A189="N/A"," ",IF(AND(Dayrun1&gt;=4,Dayrun1&lt;=9),0,VLOOKUP($A189,ScaledPrice1,9)))</f>
        <v> </v>
      </c>
      <c r="F189" s="317" t="str">
        <f aca="false">IF(A189="N/A"," ",IF(OR(Dayrun1=2,Dayrun1=3,Dayrun1=5,Dayrun1=6,Dayrun1=8,Dayrun1=9),VLOOKUP(A189,ScaledPrice1,IF(Scaler1=1,6,5)),0))</f>
        <v> </v>
      </c>
      <c r="G189" s="317" t="str">
        <f aca="false">IF(A189="N/A"," ",IF(OR(Dayrun1=2,Dayrun1=3,Dayrun1=5,Dayrun1=6),IF(Scaler1=2,F189,(VLOOKUP(A189,ScaledPrice1,5))*(2-(VLOOKUP(A189,ScaledPrice1,3)))),0))</f>
        <v> </v>
      </c>
      <c r="H189" s="317" t="str">
        <f aca="false">IF($A189="N/A"," ",IF(OR(Dayrun1=2,Dayrun1=3,Dayrun1=10),VLOOKUP($A189,ScaledPrice1,9),0))</f>
        <v> </v>
      </c>
      <c r="I189" s="317" t="str">
        <f aca="false">IF(A189="N/A"," ",IF(OR(Dayrun1=3,Dayrun1=6,Dayrun1=9),(VLOOKUP(A189,ScaledPrice1,IF(Scaler1=2,7,8))),0))</f>
        <v> </v>
      </c>
      <c r="J189" s="317" t="str">
        <f aca="false">IF(A189="N/A"," ",IF(OR(Dayrun1=3,Dayrun1=6),IF(Scaler1=2,I189,(VLOOKUP(A189,ScaledPrice1,7))*(2-(VLOOKUP(A189,ScaledPrice1,3)))),0))</f>
        <v> </v>
      </c>
      <c r="K189" s="317" t="str">
        <f aca="false">IF($A189="N/A"," ",IF(OR(Dayrun1=3,Dayrun1=10),VLOOKUP($A189,ScaledPrice1,9),0))</f>
        <v> </v>
      </c>
      <c r="L189" s="318" t="str">
        <f aca="false">IF($A189="N/A"," ",IF(Pricetype1=2,MAX(C189,0),IF(OR(Pricetype1=1,Pricetype1=4),IF(C189=0,0,(EURO(C189,Strikeprice1,0,0,($AH189+IF(Smile=TRUE(),VLOOKUP(MAX(-5,Strikeprice1-C189),Volsmile,2),0)),($A189-DateToday)+15,IF(Pricetype1=1,1,0),0))),C189)))</f>
        <v> </v>
      </c>
      <c r="M189" s="318" t="str">
        <f aca="false">IF($A189="N/A"," ",IF(Pricetype1=2,MAX(D189,0),IF(OR(Pricetype1=1,Pricetype1=4),IF(D189=0,0,(EURO(D189,Strikeprice1,0,0,($AH189+IF(Smile=TRUE(),VLOOKUP(MAX(-5,Strikeprice1-D189),Volsmile,2),0)),($A189-DateToday)+15,IF(Pricetype1=1,1,0),0))),D189)))</f>
        <v> </v>
      </c>
      <c r="N189" s="318" t="str">
        <f aca="false">IF($A189="N/A"," ",IF(Pricetype1=2,MAX(E189,0),IF(OR(Pricetype1=1,Pricetype1=4),IF(E189=0,0,(EURO(E189,Strikeprice1,0,0,($AK189+IF(Smile=TRUE(),VLOOKUP(MAX(-5,Strikeprice1-E189),Volsmile,2),0)),($A189-DateToday)+15,IF(Pricetype1=1,1,0),0))),E189)))</f>
        <v> </v>
      </c>
      <c r="O189" s="318" t="str">
        <f aca="false">IF($A189="N/A"," ",IF(Pricetype1=2,MAX(F189,0),IF(OR(Pricetype1=1,Pricetype1=4),IF(F189=0,0,(EURO(F189,Strikeprice1,0,0,($AK189+IF(Smile=TRUE(),VLOOKUP(MAX(-5,Strikeprice1-F189),Volsmile,2),0)),($A189-DateToday)+15,IF(Pricetype1=1,1,0),0))),F189)))</f>
        <v> </v>
      </c>
      <c r="P189" s="318" t="str">
        <f aca="false">IF($A189="N/A"," ",IF(Pricetype1=2,MAX(G189,0),IF(OR(Pricetype1=1,Pricetype1=4),IF(G189=0,0,(EURO(G189,Strikeprice1,0,0,($AK189+IF(Smile=TRUE(),VLOOKUP(MAX(-5,Strikeprice1-G189),Volsmile,2),0)),($A189-DateToday)+15,IF(Pricetype1=1,1,0),0))),G189)))</f>
        <v> </v>
      </c>
      <c r="Q189" s="318" t="str">
        <f aca="false">IF($A189="N/A"," ",IF(Pricetype1=2,MAX(H189,0),IF(OR(Pricetype1=1,Pricetype1=4),IF(H189=0,0,(EURO(H189,Strikeprice1,0,0,($AK189+IF(Smile=TRUE(),VLOOKUP(MAX(-5,Strikeprice1-H189),Volsmile,2),0)),($A189-DateToday)+15,IF(Pricetype1=1,1,0),0))),H189)))</f>
        <v> </v>
      </c>
      <c r="R189" s="318" t="str">
        <f aca="false">IF($A189="N/A"," ",IF(Pricetype1=2,MAX(I189,0),IF(OR(Pricetype1=1,Pricetype1=4),IF(I189=0,0,(EURO(I189,Strikeprice1,0,0,($AK189+IF(Smile=TRUE(),VLOOKUP(MAX(-5,Strikeprice1-I189),Volsmile,2),0)),($A189-DateToday)+15,IF(Pricetype1=1,1,0),0))),I189)))</f>
        <v> </v>
      </c>
      <c r="S189" s="318" t="str">
        <f aca="false">IF($A189="N/A"," ",IF(Pricetype1=2,MAX(J189,0),IF(OR(Pricetype1=1,Pricetype1=4),IF(J189=0,0,(EURO(J189,Strikeprice1,0,0,($AK189+IF(Smile=TRUE(),VLOOKUP(MAX(-5,Strikeprice1-J189),Volsmile,2),0)),($A189-DateToday)+15,IF(Pricetype1=1,1,0),0))),J189)))</f>
        <v> </v>
      </c>
      <c r="T189" s="318" t="str">
        <f aca="false">IF($A189="N/A"," ",IF(Pricetype1=2,MAX(K189,0),IF(OR(Pricetype1=1,Pricetype1=4),IF(K189=0,0,(EURO(K189,Strikeprice1,0,0,($AK189+IF(Smile=TRUE(),VLOOKUP(MAX(-5,Strikeprice1-K189),Volsmile,2),0)),($A189-DateToday)+15,IF(Pricetype1=1,1,0),0))),K189)))</f>
        <v> </v>
      </c>
      <c r="U189" s="319" t="str">
        <f aca="false">IF($A189="N/A"," ",Volume1*$AM189)</f>
        <v> </v>
      </c>
      <c r="V189" s="320" t="str">
        <f aca="false">IF($A189="N/A"," ",$U189*(8*($BQ189))*L189)</f>
        <v> </v>
      </c>
      <c r="W189" s="320" t="str">
        <f aca="false">IF($A189="N/A"," ",$U189*(8*($BQ189))*M189)</f>
        <v> </v>
      </c>
      <c r="X189" s="320" t="str">
        <f aca="false">IF($A189="N/A"," ",$U189*(8*($BQ189))*N189)</f>
        <v> </v>
      </c>
      <c r="Y189" s="320" t="str">
        <f aca="false">IF($A189="N/A"," ",$U189*(8*($BR189))*O189)</f>
        <v> </v>
      </c>
      <c r="Z189" s="320" t="str">
        <f aca="false">IF($A189="N/A"," ",$U189*(8*($BR189))*P189)</f>
        <v> </v>
      </c>
      <c r="AA189" s="320" t="str">
        <f aca="false">IF($A189="N/A"," ",$U189*(8*($BR189))*Q189)</f>
        <v> </v>
      </c>
      <c r="AB189" s="320" t="str">
        <f aca="false">IF($A189="N/A"," ",$U189*(8*($BS189))*R189)</f>
        <v> </v>
      </c>
      <c r="AC189" s="320" t="str">
        <f aca="false">IF($A189="N/A"," ",$U189*(8*($BS189))*S189)</f>
        <v> </v>
      </c>
      <c r="AD189" s="320" t="str">
        <f aca="false">IF($A189="N/A"," ",$U189*(8*($BS189))*T189)</f>
        <v> </v>
      </c>
      <c r="AE189" s="320" t="str">
        <f aca="false">IF($A189="N/A"," ",SUM(V189:AD189))</f>
        <v> </v>
      </c>
      <c r="AF189" s="321" t="str">
        <f aca="false">IF(A189="N/A"," ",(VLOOKUP(A189,PowerVolTable,(IF(VolBMO1=2,7,IF(VolBMO1=1,6,8))),FALSE())))</f>
        <v> </v>
      </c>
      <c r="AG189" s="321" t="str">
        <f aca="false">IF(A189="N/A"," ",(VLOOKUP(A189,IntraPowerVol,(IF(VolBMO1=2,3,IF(VolBMO1=1,2,4))),FALSE())*VLOOKUP(MONTH($A189),Volscale,2)))</f>
        <v> </v>
      </c>
      <c r="AH189" s="321" t="str">
        <f aca="false">IF($A189="N/A"," ",IF(VolType1=1,AG189,AF189))</f>
        <v> </v>
      </c>
      <c r="AI189" s="321" t="str">
        <f aca="false">IF($A189="N/A"," ",(VLOOKUP($A189,OffPwrVolTable,(IF(VolBMO1=2,7,IF(VolBMO1=1,6,8))),FALSE())))</f>
        <v> </v>
      </c>
      <c r="AJ189" s="321" t="str">
        <f aca="false">IF($A189="N/A"," ",(VLOOKUP($A189,OffPwrVolTable,(IF(VolBMO1=2,3,IF(VolBMO1=1,2,4))),FALSE())*VLOOKUP(MONTH($A189),Volscale,2)))</f>
        <v> </v>
      </c>
      <c r="AK189" s="321" t="str">
        <f aca="false">IF($A189="N/A"," ",IF(VolType1=1,AJ189,AI189))</f>
        <v> </v>
      </c>
      <c r="AL189" s="321" t="str">
        <f aca="false">IF($A189="N/A"," ",IF(PV=1,0,'Pricing Inputs1'!R222))</f>
        <v> </v>
      </c>
      <c r="AM189" s="323" t="str">
        <f aca="false">IF($A189="N/A"," ",(1+AL189/2)^(-2*((EOMONTH(A189,0)+20)-DateToday)/365.25))</f>
        <v> </v>
      </c>
      <c r="BQ189" s="0" t="str">
        <f aca="false">IF($A189="N/A"," ",(VLOOKUP($A189,NumberofDaysTable,2)))</f>
        <v> </v>
      </c>
      <c r="BR189" s="0" t="str">
        <f aca="false">IF($A189="N/A"," ",(VLOOKUP($A189,NumberofDaysTable,3)))</f>
        <v> </v>
      </c>
      <c r="BS189" s="0" t="str">
        <f aca="false">IF($A189="N/A"," ",(VLOOKUP($A189,NumberofDaysTable,4)))</f>
        <v> </v>
      </c>
    </row>
    <row r="190" customFormat="false" ht="12.75" hidden="false" customHeight="false" outlineLevel="0" collapsed="false">
      <c r="A190" s="315" t="str">
        <f aca="false">IF(A189="N/A","N/A",IF(EDATE(A189,1)&gt;Inputs!$M$5,"N/A",EDATE(A189,1)))</f>
        <v>N/A</v>
      </c>
      <c r="B190" s="316" t="str">
        <f aca="false">IF(A190="N/A"," ",YEAR(A190))</f>
        <v> </v>
      </c>
      <c r="C190" s="324" t="str">
        <f aca="false">IF($A190="N/A"," ",IF(Dayrun1=10,0,IF(Scaler1=1,(VLOOKUP(A190,ScaledPrice1,4)),(VLOOKUP(A190,ScaledPrice1,2)))))</f>
        <v> </v>
      </c>
      <c r="D190" s="317" t="str">
        <f aca="false">IF(A190="N/A"," ",IF(Dayrun1&gt;=7,0,IF(Scaler1=2,VLOOKUP(A190,ScaledPrice1,2),(VLOOKUP(A190,ScaledPrice1,2))*(2-(VLOOKUP(A190,ScaledPrice1,3))))))</f>
        <v> </v>
      </c>
      <c r="E190" s="317" t="str">
        <f aca="false">IF($A190="N/A"," ",IF(AND(Dayrun1&gt;=4,Dayrun1&lt;=9),0,VLOOKUP($A190,ScaledPrice1,9)))</f>
        <v> </v>
      </c>
      <c r="F190" s="317" t="str">
        <f aca="false">IF(A190="N/A"," ",IF(OR(Dayrun1=2,Dayrun1=3,Dayrun1=5,Dayrun1=6,Dayrun1=8,Dayrun1=9),VLOOKUP(A190,ScaledPrice1,IF(Scaler1=1,6,5)),0))</f>
        <v> </v>
      </c>
      <c r="G190" s="317" t="str">
        <f aca="false">IF(A190="N/A"," ",IF(OR(Dayrun1=2,Dayrun1=3,Dayrun1=5,Dayrun1=6),IF(Scaler1=2,F190,(VLOOKUP(A190,ScaledPrice1,5))*(2-(VLOOKUP(A190,ScaledPrice1,3)))),0))</f>
        <v> </v>
      </c>
      <c r="H190" s="317" t="str">
        <f aca="false">IF($A190="N/A"," ",IF(OR(Dayrun1=2,Dayrun1=3,Dayrun1=10),VLOOKUP($A190,ScaledPrice1,9),0))</f>
        <v> </v>
      </c>
      <c r="I190" s="317" t="str">
        <f aca="false">IF(A190="N/A"," ",IF(OR(Dayrun1=3,Dayrun1=6,Dayrun1=9),(VLOOKUP(A190,ScaledPrice1,IF(Scaler1=2,7,8))),0))</f>
        <v> </v>
      </c>
      <c r="J190" s="317" t="str">
        <f aca="false">IF(A190="N/A"," ",IF(OR(Dayrun1=3,Dayrun1=6),IF(Scaler1=2,I190,(VLOOKUP(A190,ScaledPrice1,7))*(2-(VLOOKUP(A190,ScaledPrice1,3)))),0))</f>
        <v> </v>
      </c>
      <c r="K190" s="317" t="str">
        <f aca="false">IF($A190="N/A"," ",IF(OR(Dayrun1=3,Dayrun1=10),VLOOKUP($A190,ScaledPrice1,9),0))</f>
        <v> </v>
      </c>
      <c r="L190" s="318" t="str">
        <f aca="false">IF($A190="N/A"," ",IF(Pricetype1=2,MAX(C190,0),IF(OR(Pricetype1=1,Pricetype1=4),IF(C190=0,0,(EURO(C190,Strikeprice1,0,0,($AH190+IF(Smile=TRUE(),VLOOKUP(MAX(-5,Strikeprice1-C190),Volsmile,2),0)),($A190-DateToday)+15,IF(Pricetype1=1,1,0),0))),C190)))</f>
        <v> </v>
      </c>
      <c r="M190" s="318" t="str">
        <f aca="false">IF($A190="N/A"," ",IF(Pricetype1=2,MAX(D190,0),IF(OR(Pricetype1=1,Pricetype1=4),IF(D190=0,0,(EURO(D190,Strikeprice1,0,0,($AH190+IF(Smile=TRUE(),VLOOKUP(MAX(-5,Strikeprice1-D190),Volsmile,2),0)),($A190-DateToday)+15,IF(Pricetype1=1,1,0),0))),D190)))</f>
        <v> </v>
      </c>
      <c r="N190" s="318" t="str">
        <f aca="false">IF($A190="N/A"," ",IF(Pricetype1=2,MAX(E190,0),IF(OR(Pricetype1=1,Pricetype1=4),IF(E190=0,0,(EURO(E190,Strikeprice1,0,0,($AK190+IF(Smile=TRUE(),VLOOKUP(MAX(-5,Strikeprice1-E190),Volsmile,2),0)),($A190-DateToday)+15,IF(Pricetype1=1,1,0),0))),E190)))</f>
        <v> </v>
      </c>
      <c r="O190" s="318" t="str">
        <f aca="false">IF($A190="N/A"," ",IF(Pricetype1=2,MAX(F190,0),IF(OR(Pricetype1=1,Pricetype1=4),IF(F190=0,0,(EURO(F190,Strikeprice1,0,0,($AK190+IF(Smile=TRUE(),VLOOKUP(MAX(-5,Strikeprice1-F190),Volsmile,2),0)),($A190-DateToday)+15,IF(Pricetype1=1,1,0),0))),F190)))</f>
        <v> </v>
      </c>
      <c r="P190" s="318" t="str">
        <f aca="false">IF($A190="N/A"," ",IF(Pricetype1=2,MAX(G190,0),IF(OR(Pricetype1=1,Pricetype1=4),IF(G190=0,0,(EURO(G190,Strikeprice1,0,0,($AK190+IF(Smile=TRUE(),VLOOKUP(MAX(-5,Strikeprice1-G190),Volsmile,2),0)),($A190-DateToday)+15,IF(Pricetype1=1,1,0),0))),G190)))</f>
        <v> </v>
      </c>
      <c r="Q190" s="318" t="str">
        <f aca="false">IF($A190="N/A"," ",IF(Pricetype1=2,MAX(H190,0),IF(OR(Pricetype1=1,Pricetype1=4),IF(H190=0,0,(EURO(H190,Strikeprice1,0,0,($AK190+IF(Smile=TRUE(),VLOOKUP(MAX(-5,Strikeprice1-H190),Volsmile,2),0)),($A190-DateToday)+15,IF(Pricetype1=1,1,0),0))),H190)))</f>
        <v> </v>
      </c>
      <c r="R190" s="318" t="str">
        <f aca="false">IF($A190="N/A"," ",IF(Pricetype1=2,MAX(I190,0),IF(OR(Pricetype1=1,Pricetype1=4),IF(I190=0,0,(EURO(I190,Strikeprice1,0,0,($AK190+IF(Smile=TRUE(),VLOOKUP(MAX(-5,Strikeprice1-I190),Volsmile,2),0)),($A190-DateToday)+15,IF(Pricetype1=1,1,0),0))),I190)))</f>
        <v> </v>
      </c>
      <c r="S190" s="318" t="str">
        <f aca="false">IF($A190="N/A"," ",IF(Pricetype1=2,MAX(J190,0),IF(OR(Pricetype1=1,Pricetype1=4),IF(J190=0,0,(EURO(J190,Strikeprice1,0,0,($AK190+IF(Smile=TRUE(),VLOOKUP(MAX(-5,Strikeprice1-J190),Volsmile,2),0)),($A190-DateToday)+15,IF(Pricetype1=1,1,0),0))),J190)))</f>
        <v> </v>
      </c>
      <c r="T190" s="318" t="str">
        <f aca="false">IF($A190="N/A"," ",IF(Pricetype1=2,MAX(K190,0),IF(OR(Pricetype1=1,Pricetype1=4),IF(K190=0,0,(EURO(K190,Strikeprice1,0,0,($AK190+IF(Smile=TRUE(),VLOOKUP(MAX(-5,Strikeprice1-K190),Volsmile,2),0)),($A190-DateToday)+15,IF(Pricetype1=1,1,0),0))),K190)))</f>
        <v> </v>
      </c>
      <c r="U190" s="319" t="str">
        <f aca="false">IF($A190="N/A"," ",Volume1*$AM190)</f>
        <v> </v>
      </c>
      <c r="V190" s="320" t="str">
        <f aca="false">IF($A190="N/A"," ",$U190*(8*($BQ190))*L190)</f>
        <v> </v>
      </c>
      <c r="W190" s="320" t="str">
        <f aca="false">IF($A190="N/A"," ",$U190*(8*($BQ190))*M190)</f>
        <v> </v>
      </c>
      <c r="X190" s="320" t="str">
        <f aca="false">IF($A190="N/A"," ",$U190*(8*($BQ190))*N190)</f>
        <v> </v>
      </c>
      <c r="Y190" s="320" t="str">
        <f aca="false">IF($A190="N/A"," ",$U190*(8*($BR190))*O190)</f>
        <v> </v>
      </c>
      <c r="Z190" s="320" t="str">
        <f aca="false">IF($A190="N/A"," ",$U190*(8*($BR190))*P190)</f>
        <v> </v>
      </c>
      <c r="AA190" s="320" t="str">
        <f aca="false">IF($A190="N/A"," ",$U190*(8*($BR190))*Q190)</f>
        <v> </v>
      </c>
      <c r="AB190" s="320" t="str">
        <f aca="false">IF($A190="N/A"," ",$U190*(8*($BS190))*R190)</f>
        <v> </v>
      </c>
      <c r="AC190" s="320" t="str">
        <f aca="false">IF($A190="N/A"," ",$U190*(8*($BS190))*S190)</f>
        <v> </v>
      </c>
      <c r="AD190" s="320" t="str">
        <f aca="false">IF($A190="N/A"," ",$U190*(8*($BS190))*T190)</f>
        <v> </v>
      </c>
      <c r="AE190" s="320" t="str">
        <f aca="false">IF($A190="N/A"," ",SUM(V190:AD190))</f>
        <v> </v>
      </c>
      <c r="AF190" s="321" t="str">
        <f aca="false">IF(A190="N/A"," ",(VLOOKUP(A190,PowerVolTable,(IF(VolBMO1=2,7,IF(VolBMO1=1,6,8))),FALSE())))</f>
        <v> </v>
      </c>
      <c r="AG190" s="321" t="str">
        <f aca="false">IF(A190="N/A"," ",(VLOOKUP(A190,IntraPowerVol,(IF(VolBMO1=2,3,IF(VolBMO1=1,2,4))),FALSE())*VLOOKUP(MONTH($A190),Volscale,2)))</f>
        <v> </v>
      </c>
      <c r="AH190" s="321" t="str">
        <f aca="false">IF($A190="N/A"," ",IF(VolType1=1,AG190,AF190))</f>
        <v> </v>
      </c>
      <c r="AI190" s="321" t="str">
        <f aca="false">IF($A190="N/A"," ",(VLOOKUP($A190,OffPwrVolTable,(IF(VolBMO1=2,7,IF(VolBMO1=1,6,8))),FALSE())))</f>
        <v> </v>
      </c>
      <c r="AJ190" s="321" t="str">
        <f aca="false">IF($A190="N/A"," ",(VLOOKUP($A190,OffPwrVolTable,(IF(VolBMO1=2,3,IF(VolBMO1=1,2,4))),FALSE())*VLOOKUP(MONTH($A190),Volscale,2)))</f>
        <v> </v>
      </c>
      <c r="AK190" s="321" t="str">
        <f aca="false">IF($A190="N/A"," ",IF(VolType1=1,AJ190,AI190))</f>
        <v> </v>
      </c>
      <c r="AL190" s="321" t="str">
        <f aca="false">IF($A190="N/A"," ",IF(PV=1,0,'Pricing Inputs1'!R223))</f>
        <v> </v>
      </c>
      <c r="AM190" s="323" t="str">
        <f aca="false">IF($A190="N/A"," ",(1+AL190/2)^(-2*((EOMONTH(A190,0)+20)-DateToday)/365.25))</f>
        <v> </v>
      </c>
      <c r="BQ190" s="0" t="str">
        <f aca="false">IF($A190="N/A"," ",(VLOOKUP($A190,NumberofDaysTable,2)))</f>
        <v> </v>
      </c>
      <c r="BR190" s="0" t="str">
        <f aca="false">IF($A190="N/A"," ",(VLOOKUP($A190,NumberofDaysTable,3)))</f>
        <v> </v>
      </c>
      <c r="BS190" s="0" t="str">
        <f aca="false">IF($A190="N/A"," ",(VLOOKUP($A190,NumberofDaysTable,4)))</f>
        <v> </v>
      </c>
    </row>
    <row r="191" customFormat="false" ht="12.75" hidden="false" customHeight="false" outlineLevel="0" collapsed="false">
      <c r="A191" s="315" t="str">
        <f aca="false">IF(A190="N/A","N/A",IF(EDATE(A190,1)&gt;Inputs!$M$5,"N/A",EDATE(A190,1)))</f>
        <v>N/A</v>
      </c>
      <c r="B191" s="316" t="str">
        <f aca="false">IF(A191="N/A"," ",YEAR(A191))</f>
        <v> </v>
      </c>
      <c r="C191" s="324" t="str">
        <f aca="false">IF($A191="N/A"," ",IF(Dayrun1=10,0,IF(Scaler1=1,(VLOOKUP(A191,ScaledPrice1,4)),(VLOOKUP(A191,ScaledPrice1,2)))))</f>
        <v> </v>
      </c>
      <c r="D191" s="317" t="str">
        <f aca="false">IF(A191="N/A"," ",IF(Dayrun1&gt;=7,0,IF(Scaler1=2,VLOOKUP(A191,ScaledPrice1,2),(VLOOKUP(A191,ScaledPrice1,2))*(2-(VLOOKUP(A191,ScaledPrice1,3))))))</f>
        <v> </v>
      </c>
      <c r="E191" s="317" t="str">
        <f aca="false">IF($A191="N/A"," ",IF(AND(Dayrun1&gt;=4,Dayrun1&lt;=9),0,VLOOKUP($A191,ScaledPrice1,9)))</f>
        <v> </v>
      </c>
      <c r="F191" s="317" t="str">
        <f aca="false">IF(A191="N/A"," ",IF(OR(Dayrun1=2,Dayrun1=3,Dayrun1=5,Dayrun1=6,Dayrun1=8,Dayrun1=9),VLOOKUP(A191,ScaledPrice1,IF(Scaler1=1,6,5)),0))</f>
        <v> </v>
      </c>
      <c r="G191" s="317" t="str">
        <f aca="false">IF(A191="N/A"," ",IF(OR(Dayrun1=2,Dayrun1=3,Dayrun1=5,Dayrun1=6),IF(Scaler1=2,F191,(VLOOKUP(A191,ScaledPrice1,5))*(2-(VLOOKUP(A191,ScaledPrice1,3)))),0))</f>
        <v> </v>
      </c>
      <c r="H191" s="317" t="str">
        <f aca="false">IF($A191="N/A"," ",IF(OR(Dayrun1=2,Dayrun1=3,Dayrun1=10),VLOOKUP($A191,ScaledPrice1,9),0))</f>
        <v> </v>
      </c>
      <c r="I191" s="317" t="str">
        <f aca="false">IF(A191="N/A"," ",IF(OR(Dayrun1=3,Dayrun1=6,Dayrun1=9),(VLOOKUP(A191,ScaledPrice1,IF(Scaler1=2,7,8))),0))</f>
        <v> </v>
      </c>
      <c r="J191" s="317" t="str">
        <f aca="false">IF(A191="N/A"," ",IF(OR(Dayrun1=3,Dayrun1=6),IF(Scaler1=2,I191,(VLOOKUP(A191,ScaledPrice1,7))*(2-(VLOOKUP(A191,ScaledPrice1,3)))),0))</f>
        <v> </v>
      </c>
      <c r="K191" s="317" t="str">
        <f aca="false">IF($A191="N/A"," ",IF(OR(Dayrun1=3,Dayrun1=10),VLOOKUP($A191,ScaledPrice1,9),0))</f>
        <v> </v>
      </c>
      <c r="L191" s="318" t="str">
        <f aca="false">IF($A191="N/A"," ",IF(Pricetype1=2,MAX(C191,0),IF(OR(Pricetype1=1,Pricetype1=4),IF(C191=0,0,(EURO(C191,Strikeprice1,0,0,($AH191+IF(Smile=TRUE(),VLOOKUP(MAX(-5,Strikeprice1-C191),Volsmile,2),0)),($A191-DateToday)+15,IF(Pricetype1=1,1,0),0))),C191)))</f>
        <v> </v>
      </c>
      <c r="M191" s="318" t="str">
        <f aca="false">IF($A191="N/A"," ",IF(Pricetype1=2,MAX(D191,0),IF(OR(Pricetype1=1,Pricetype1=4),IF(D191=0,0,(EURO(D191,Strikeprice1,0,0,($AH191+IF(Smile=TRUE(),VLOOKUP(MAX(-5,Strikeprice1-D191),Volsmile,2),0)),($A191-DateToday)+15,IF(Pricetype1=1,1,0),0))),D191)))</f>
        <v> </v>
      </c>
      <c r="N191" s="318" t="str">
        <f aca="false">IF($A191="N/A"," ",IF(Pricetype1=2,MAX(E191,0),IF(OR(Pricetype1=1,Pricetype1=4),IF(E191=0,0,(EURO(E191,Strikeprice1,0,0,($AK191+IF(Smile=TRUE(),VLOOKUP(MAX(-5,Strikeprice1-E191),Volsmile,2),0)),($A191-DateToday)+15,IF(Pricetype1=1,1,0),0))),E191)))</f>
        <v> </v>
      </c>
      <c r="O191" s="318" t="str">
        <f aca="false">IF($A191="N/A"," ",IF(Pricetype1=2,MAX(F191,0),IF(OR(Pricetype1=1,Pricetype1=4),IF(F191=0,0,(EURO(F191,Strikeprice1,0,0,($AK191+IF(Smile=TRUE(),VLOOKUP(MAX(-5,Strikeprice1-F191),Volsmile,2),0)),($A191-DateToday)+15,IF(Pricetype1=1,1,0),0))),F191)))</f>
        <v> </v>
      </c>
      <c r="P191" s="318" t="str">
        <f aca="false">IF($A191="N/A"," ",IF(Pricetype1=2,MAX(G191,0),IF(OR(Pricetype1=1,Pricetype1=4),IF(G191=0,0,(EURO(G191,Strikeprice1,0,0,($AK191+IF(Smile=TRUE(),VLOOKUP(MAX(-5,Strikeprice1-G191),Volsmile,2),0)),($A191-DateToday)+15,IF(Pricetype1=1,1,0),0))),G191)))</f>
        <v> </v>
      </c>
      <c r="Q191" s="318" t="str">
        <f aca="false">IF($A191="N/A"," ",IF(Pricetype1=2,MAX(H191,0),IF(OR(Pricetype1=1,Pricetype1=4),IF(H191=0,0,(EURO(H191,Strikeprice1,0,0,($AK191+IF(Smile=TRUE(),VLOOKUP(MAX(-5,Strikeprice1-H191),Volsmile,2),0)),($A191-DateToday)+15,IF(Pricetype1=1,1,0),0))),H191)))</f>
        <v> </v>
      </c>
      <c r="R191" s="318" t="str">
        <f aca="false">IF($A191="N/A"," ",IF(Pricetype1=2,MAX(I191,0),IF(OR(Pricetype1=1,Pricetype1=4),IF(I191=0,0,(EURO(I191,Strikeprice1,0,0,($AK191+IF(Smile=TRUE(),VLOOKUP(MAX(-5,Strikeprice1-I191),Volsmile,2),0)),($A191-DateToday)+15,IF(Pricetype1=1,1,0),0))),I191)))</f>
        <v> </v>
      </c>
      <c r="S191" s="318" t="str">
        <f aca="false">IF($A191="N/A"," ",IF(Pricetype1=2,MAX(J191,0),IF(OR(Pricetype1=1,Pricetype1=4),IF(J191=0,0,(EURO(J191,Strikeprice1,0,0,($AK191+IF(Smile=TRUE(),VLOOKUP(MAX(-5,Strikeprice1-J191),Volsmile,2),0)),($A191-DateToday)+15,IF(Pricetype1=1,1,0),0))),J191)))</f>
        <v> </v>
      </c>
      <c r="T191" s="318" t="str">
        <f aca="false">IF($A191="N/A"," ",IF(Pricetype1=2,MAX(K191,0),IF(OR(Pricetype1=1,Pricetype1=4),IF(K191=0,0,(EURO(K191,Strikeprice1,0,0,($AK191+IF(Smile=TRUE(),VLOOKUP(MAX(-5,Strikeprice1-K191),Volsmile,2),0)),($A191-DateToday)+15,IF(Pricetype1=1,1,0),0))),K191)))</f>
        <v> </v>
      </c>
      <c r="U191" s="319" t="str">
        <f aca="false">IF($A191="N/A"," ",Volume1*$AM191)</f>
        <v> </v>
      </c>
      <c r="V191" s="320" t="str">
        <f aca="false">IF($A191="N/A"," ",$U191*(8*($BQ191))*L191)</f>
        <v> </v>
      </c>
      <c r="W191" s="320" t="str">
        <f aca="false">IF($A191="N/A"," ",$U191*(8*($BQ191))*M191)</f>
        <v> </v>
      </c>
      <c r="X191" s="320" t="str">
        <f aca="false">IF($A191="N/A"," ",$U191*(8*($BQ191))*N191)</f>
        <v> </v>
      </c>
      <c r="Y191" s="320" t="str">
        <f aca="false">IF($A191="N/A"," ",$U191*(8*($BR191))*O191)</f>
        <v> </v>
      </c>
      <c r="Z191" s="320" t="str">
        <f aca="false">IF($A191="N/A"," ",$U191*(8*($BR191))*P191)</f>
        <v> </v>
      </c>
      <c r="AA191" s="320" t="str">
        <f aca="false">IF($A191="N/A"," ",$U191*(8*($BR191))*Q191)</f>
        <v> </v>
      </c>
      <c r="AB191" s="320" t="str">
        <f aca="false">IF($A191="N/A"," ",$U191*(8*($BS191))*R191)</f>
        <v> </v>
      </c>
      <c r="AC191" s="320" t="str">
        <f aca="false">IF($A191="N/A"," ",$U191*(8*($BS191))*S191)</f>
        <v> </v>
      </c>
      <c r="AD191" s="320" t="str">
        <f aca="false">IF($A191="N/A"," ",$U191*(8*($BS191))*T191)</f>
        <v> </v>
      </c>
      <c r="AE191" s="320" t="str">
        <f aca="false">IF($A191="N/A"," ",SUM(V191:AD191))</f>
        <v> </v>
      </c>
      <c r="AF191" s="321" t="str">
        <f aca="false">IF(A191="N/A"," ",(VLOOKUP(A191,PowerVolTable,(IF(VolBMO1=2,7,IF(VolBMO1=1,6,8))),FALSE())))</f>
        <v> </v>
      </c>
      <c r="AG191" s="321" t="str">
        <f aca="false">IF(A191="N/A"," ",(VLOOKUP(A191,IntraPowerVol,(IF(VolBMO1=2,3,IF(VolBMO1=1,2,4))),FALSE())*VLOOKUP(MONTH($A191),Volscale,2)))</f>
        <v> </v>
      </c>
      <c r="AH191" s="321" t="str">
        <f aca="false">IF($A191="N/A"," ",IF(VolType1=1,AG191,AF191))</f>
        <v> </v>
      </c>
      <c r="AI191" s="321" t="str">
        <f aca="false">IF($A191="N/A"," ",(VLOOKUP($A191,OffPwrVolTable,(IF(VolBMO1=2,7,IF(VolBMO1=1,6,8))),FALSE())))</f>
        <v> </v>
      </c>
      <c r="AJ191" s="321" t="str">
        <f aca="false">IF($A191="N/A"," ",(VLOOKUP($A191,OffPwrVolTable,(IF(VolBMO1=2,3,IF(VolBMO1=1,2,4))),FALSE())*VLOOKUP(MONTH($A191),Volscale,2)))</f>
        <v> </v>
      </c>
      <c r="AK191" s="321" t="str">
        <f aca="false">IF($A191="N/A"," ",IF(VolType1=1,AJ191,AI191))</f>
        <v> </v>
      </c>
      <c r="AL191" s="321" t="str">
        <f aca="false">IF($A191="N/A"," ",IF(PV=1,0,'Pricing Inputs1'!R224))</f>
        <v> </v>
      </c>
      <c r="AM191" s="323" t="str">
        <f aca="false">IF($A191="N/A"," ",(1+AL191/2)^(-2*((EOMONTH(A191,0)+20)-DateToday)/365.25))</f>
        <v> </v>
      </c>
      <c r="BQ191" s="0" t="str">
        <f aca="false">IF($A191="N/A"," ",(VLOOKUP($A191,NumberofDaysTable,2)))</f>
        <v> </v>
      </c>
      <c r="BR191" s="0" t="str">
        <f aca="false">IF($A191="N/A"," ",(VLOOKUP($A191,NumberofDaysTable,3)))</f>
        <v> </v>
      </c>
      <c r="BS191" s="0" t="str">
        <f aca="false">IF($A191="N/A"," ",(VLOOKUP($A191,NumberofDaysTable,4)))</f>
        <v> </v>
      </c>
    </row>
    <row r="192" customFormat="false" ht="12.75" hidden="false" customHeight="false" outlineLevel="0" collapsed="false">
      <c r="A192" s="315" t="str">
        <f aca="false">IF(A191="N/A","N/A",IF(EDATE(A191,1)&gt;Inputs!$M$5,"N/A",EDATE(A191,1)))</f>
        <v>N/A</v>
      </c>
      <c r="B192" s="316" t="str">
        <f aca="false">IF(A192="N/A"," ",YEAR(A192))</f>
        <v> </v>
      </c>
      <c r="C192" s="324" t="str">
        <f aca="false">IF($A192="N/A"," ",IF(Dayrun1=10,0,IF(Scaler1=1,(VLOOKUP(A192,ScaledPrice1,4)),(VLOOKUP(A192,ScaledPrice1,2)))))</f>
        <v> </v>
      </c>
      <c r="D192" s="317" t="str">
        <f aca="false">IF(A192="N/A"," ",IF(Dayrun1&gt;=7,0,IF(Scaler1=2,VLOOKUP(A192,ScaledPrice1,2),(VLOOKUP(A192,ScaledPrice1,2))*(2-(VLOOKUP(A192,ScaledPrice1,3))))))</f>
        <v> </v>
      </c>
      <c r="E192" s="317" t="str">
        <f aca="false">IF($A192="N/A"," ",IF(AND(Dayrun1&gt;=4,Dayrun1&lt;=9),0,VLOOKUP($A192,ScaledPrice1,9)))</f>
        <v> </v>
      </c>
      <c r="F192" s="317" t="str">
        <f aca="false">IF(A192="N/A"," ",IF(OR(Dayrun1=2,Dayrun1=3,Dayrun1=5,Dayrun1=6,Dayrun1=8,Dayrun1=9),VLOOKUP(A192,ScaledPrice1,IF(Scaler1=1,6,5)),0))</f>
        <v> </v>
      </c>
      <c r="G192" s="317" t="str">
        <f aca="false">IF(A192="N/A"," ",IF(OR(Dayrun1=2,Dayrun1=3,Dayrun1=5,Dayrun1=6),IF(Scaler1=2,F192,(VLOOKUP(A192,ScaledPrice1,5))*(2-(VLOOKUP(A192,ScaledPrice1,3)))),0))</f>
        <v> </v>
      </c>
      <c r="H192" s="317" t="str">
        <f aca="false">IF($A192="N/A"," ",IF(OR(Dayrun1=2,Dayrun1=3,Dayrun1=10),VLOOKUP($A192,ScaledPrice1,9),0))</f>
        <v> </v>
      </c>
      <c r="I192" s="317" t="str">
        <f aca="false">IF(A192="N/A"," ",IF(OR(Dayrun1=3,Dayrun1=6,Dayrun1=9),(VLOOKUP(A192,ScaledPrice1,IF(Scaler1=2,7,8))),0))</f>
        <v> </v>
      </c>
      <c r="J192" s="317" t="str">
        <f aca="false">IF(A192="N/A"," ",IF(OR(Dayrun1=3,Dayrun1=6),IF(Scaler1=2,I192,(VLOOKUP(A192,ScaledPrice1,7))*(2-(VLOOKUP(A192,ScaledPrice1,3)))),0))</f>
        <v> </v>
      </c>
      <c r="K192" s="317" t="str">
        <f aca="false">IF($A192="N/A"," ",IF(OR(Dayrun1=3,Dayrun1=10),VLOOKUP($A192,ScaledPrice1,9),0))</f>
        <v> </v>
      </c>
      <c r="L192" s="318" t="str">
        <f aca="false">IF($A192="N/A"," ",IF(Pricetype1=2,MAX(C192,0),IF(OR(Pricetype1=1,Pricetype1=4),IF(C192=0,0,(EURO(C192,Strikeprice1,0,0,($AH192+IF(Smile=TRUE(),VLOOKUP(MAX(-5,Strikeprice1-C192),Volsmile,2),0)),($A192-DateToday)+15,IF(Pricetype1=1,1,0),0))),C192)))</f>
        <v> </v>
      </c>
      <c r="M192" s="318" t="str">
        <f aca="false">IF($A192="N/A"," ",IF(Pricetype1=2,MAX(D192,0),IF(OR(Pricetype1=1,Pricetype1=4),IF(D192=0,0,(EURO(D192,Strikeprice1,0,0,($AH192+IF(Smile=TRUE(),VLOOKUP(MAX(-5,Strikeprice1-D192),Volsmile,2),0)),($A192-DateToday)+15,IF(Pricetype1=1,1,0),0))),D192)))</f>
        <v> </v>
      </c>
      <c r="N192" s="318" t="str">
        <f aca="false">IF($A192="N/A"," ",IF(Pricetype1=2,MAX(E192,0),IF(OR(Pricetype1=1,Pricetype1=4),IF(E192=0,0,(EURO(E192,Strikeprice1,0,0,($AK192+IF(Smile=TRUE(),VLOOKUP(MAX(-5,Strikeprice1-E192),Volsmile,2),0)),($A192-DateToday)+15,IF(Pricetype1=1,1,0),0))),E192)))</f>
        <v> </v>
      </c>
      <c r="O192" s="318" t="str">
        <f aca="false">IF($A192="N/A"," ",IF(Pricetype1=2,MAX(F192,0),IF(OR(Pricetype1=1,Pricetype1=4),IF(F192=0,0,(EURO(F192,Strikeprice1,0,0,($AK192+IF(Smile=TRUE(),VLOOKUP(MAX(-5,Strikeprice1-F192),Volsmile,2),0)),($A192-DateToday)+15,IF(Pricetype1=1,1,0),0))),F192)))</f>
        <v> </v>
      </c>
      <c r="P192" s="318" t="str">
        <f aca="false">IF($A192="N/A"," ",IF(Pricetype1=2,MAX(G192,0),IF(OR(Pricetype1=1,Pricetype1=4),IF(G192=0,0,(EURO(G192,Strikeprice1,0,0,($AK192+IF(Smile=TRUE(),VLOOKUP(MAX(-5,Strikeprice1-G192),Volsmile,2),0)),($A192-DateToday)+15,IF(Pricetype1=1,1,0),0))),G192)))</f>
        <v> </v>
      </c>
      <c r="Q192" s="318" t="str">
        <f aca="false">IF($A192="N/A"," ",IF(Pricetype1=2,MAX(H192,0),IF(OR(Pricetype1=1,Pricetype1=4),IF(H192=0,0,(EURO(H192,Strikeprice1,0,0,($AK192+IF(Smile=TRUE(),VLOOKUP(MAX(-5,Strikeprice1-H192),Volsmile,2),0)),($A192-DateToday)+15,IF(Pricetype1=1,1,0),0))),H192)))</f>
        <v> </v>
      </c>
      <c r="R192" s="318" t="str">
        <f aca="false">IF($A192="N/A"," ",IF(Pricetype1=2,MAX(I192,0),IF(OR(Pricetype1=1,Pricetype1=4),IF(I192=0,0,(EURO(I192,Strikeprice1,0,0,($AK192+IF(Smile=TRUE(),VLOOKUP(MAX(-5,Strikeprice1-I192),Volsmile,2),0)),($A192-DateToday)+15,IF(Pricetype1=1,1,0),0))),I192)))</f>
        <v> </v>
      </c>
      <c r="S192" s="318" t="str">
        <f aca="false">IF($A192="N/A"," ",IF(Pricetype1=2,MAX(J192,0),IF(OR(Pricetype1=1,Pricetype1=4),IF(J192=0,0,(EURO(J192,Strikeprice1,0,0,($AK192+IF(Smile=TRUE(),VLOOKUP(MAX(-5,Strikeprice1-J192),Volsmile,2),0)),($A192-DateToday)+15,IF(Pricetype1=1,1,0),0))),J192)))</f>
        <v> </v>
      </c>
      <c r="T192" s="318" t="str">
        <f aca="false">IF($A192="N/A"," ",IF(Pricetype1=2,MAX(K192,0),IF(OR(Pricetype1=1,Pricetype1=4),IF(K192=0,0,(EURO(K192,Strikeprice1,0,0,($AK192+IF(Smile=TRUE(),VLOOKUP(MAX(-5,Strikeprice1-K192),Volsmile,2),0)),($A192-DateToday)+15,IF(Pricetype1=1,1,0),0))),K192)))</f>
        <v> </v>
      </c>
      <c r="U192" s="319" t="str">
        <f aca="false">IF($A192="N/A"," ",Volume1*$AM192)</f>
        <v> </v>
      </c>
      <c r="V192" s="320" t="str">
        <f aca="false">IF($A192="N/A"," ",$U192*(8*($BQ192))*L192)</f>
        <v> </v>
      </c>
      <c r="W192" s="320" t="str">
        <f aca="false">IF($A192="N/A"," ",$U192*(8*($BQ192))*M192)</f>
        <v> </v>
      </c>
      <c r="X192" s="320" t="str">
        <f aca="false">IF($A192="N/A"," ",$U192*(8*($BQ192))*N192)</f>
        <v> </v>
      </c>
      <c r="Y192" s="320" t="str">
        <f aca="false">IF($A192="N/A"," ",$U192*(8*($BR192))*O192)</f>
        <v> </v>
      </c>
      <c r="Z192" s="320" t="str">
        <f aca="false">IF($A192="N/A"," ",$U192*(8*($BR192))*P192)</f>
        <v> </v>
      </c>
      <c r="AA192" s="320" t="str">
        <f aca="false">IF($A192="N/A"," ",$U192*(8*($BR192))*Q192)</f>
        <v> </v>
      </c>
      <c r="AB192" s="320" t="str">
        <f aca="false">IF($A192="N/A"," ",$U192*(8*($BS192))*R192)</f>
        <v> </v>
      </c>
      <c r="AC192" s="320" t="str">
        <f aca="false">IF($A192="N/A"," ",$U192*(8*($BS192))*S192)</f>
        <v> </v>
      </c>
      <c r="AD192" s="320" t="str">
        <f aca="false">IF($A192="N/A"," ",$U192*(8*($BS192))*T192)</f>
        <v> </v>
      </c>
      <c r="AE192" s="320" t="str">
        <f aca="false">IF($A192="N/A"," ",SUM(V192:AD192))</f>
        <v> </v>
      </c>
      <c r="AF192" s="321" t="str">
        <f aca="false">IF(A192="N/A"," ",(VLOOKUP(A192,PowerVolTable,(IF(VolBMO1=2,7,IF(VolBMO1=1,6,8))),FALSE())))</f>
        <v> </v>
      </c>
      <c r="AG192" s="321" t="str">
        <f aca="false">IF(A192="N/A"," ",(VLOOKUP(A192,IntraPowerVol,(IF(VolBMO1=2,3,IF(VolBMO1=1,2,4))),FALSE())*VLOOKUP(MONTH($A192),Volscale,2)))</f>
        <v> </v>
      </c>
      <c r="AH192" s="321" t="str">
        <f aca="false">IF($A192="N/A"," ",IF(VolType1=1,AG192,AF192))</f>
        <v> </v>
      </c>
      <c r="AI192" s="321" t="str">
        <f aca="false">IF($A192="N/A"," ",(VLOOKUP($A192,OffPwrVolTable,(IF(VolBMO1=2,7,IF(VolBMO1=1,6,8))),FALSE())))</f>
        <v> </v>
      </c>
      <c r="AJ192" s="321" t="str">
        <f aca="false">IF($A192="N/A"," ",(VLOOKUP($A192,OffPwrVolTable,(IF(VolBMO1=2,3,IF(VolBMO1=1,2,4))),FALSE())*VLOOKUP(MONTH($A192),Volscale,2)))</f>
        <v> </v>
      </c>
      <c r="AK192" s="321" t="str">
        <f aca="false">IF($A192="N/A"," ",IF(VolType1=1,AJ192,AI192))</f>
        <v> </v>
      </c>
      <c r="AL192" s="321" t="str">
        <f aca="false">IF($A192="N/A"," ",IF(PV=1,0,'Pricing Inputs1'!R225))</f>
        <v> </v>
      </c>
      <c r="AM192" s="323" t="str">
        <f aca="false">IF($A192="N/A"," ",(1+AL192/2)^(-2*((EOMONTH(A192,0)+20)-DateToday)/365.25))</f>
        <v> </v>
      </c>
      <c r="BQ192" s="0" t="str">
        <f aca="false">IF($A192="N/A"," ",(VLOOKUP($A192,NumberofDaysTable,2)))</f>
        <v> </v>
      </c>
      <c r="BR192" s="0" t="str">
        <f aca="false">IF($A192="N/A"," ",(VLOOKUP($A192,NumberofDaysTable,3)))</f>
        <v> </v>
      </c>
      <c r="BS192" s="0" t="str">
        <f aca="false">IF($A192="N/A"," ",(VLOOKUP($A192,NumberofDaysTable,4)))</f>
        <v> </v>
      </c>
    </row>
    <row r="193" customFormat="false" ht="12.75" hidden="false" customHeight="false" outlineLevel="0" collapsed="false">
      <c r="A193" s="315" t="str">
        <f aca="false">IF(A192="N/A","N/A",IF(EDATE(A192,1)&gt;Inputs!$M$5,"N/A",EDATE(A192,1)))</f>
        <v>N/A</v>
      </c>
      <c r="B193" s="316" t="str">
        <f aca="false">IF(A193="N/A"," ",YEAR(A193))</f>
        <v> </v>
      </c>
      <c r="C193" s="324" t="str">
        <f aca="false">IF($A193="N/A"," ",IF(Dayrun1=10,0,IF(Scaler1=1,(VLOOKUP(A193,ScaledPrice1,4)),(VLOOKUP(A193,ScaledPrice1,2)))))</f>
        <v> </v>
      </c>
      <c r="D193" s="317" t="str">
        <f aca="false">IF(A193="N/A"," ",IF(Dayrun1&gt;=7,0,IF(Scaler1=2,VLOOKUP(A193,ScaledPrice1,2),(VLOOKUP(A193,ScaledPrice1,2))*(2-(VLOOKUP(A193,ScaledPrice1,3))))))</f>
        <v> </v>
      </c>
      <c r="E193" s="317" t="str">
        <f aca="false">IF($A193="N/A"," ",IF(AND(Dayrun1&gt;=4,Dayrun1&lt;=9),0,VLOOKUP($A193,ScaledPrice1,9)))</f>
        <v> </v>
      </c>
      <c r="F193" s="317" t="str">
        <f aca="false">IF(A193="N/A"," ",IF(OR(Dayrun1=2,Dayrun1=3,Dayrun1=5,Dayrun1=6,Dayrun1=8,Dayrun1=9),VLOOKUP(A193,ScaledPrice1,IF(Scaler1=1,6,5)),0))</f>
        <v> </v>
      </c>
      <c r="G193" s="317" t="str">
        <f aca="false">IF(A193="N/A"," ",IF(OR(Dayrun1=2,Dayrun1=3,Dayrun1=5,Dayrun1=6),IF(Scaler1=2,F193,(VLOOKUP(A193,ScaledPrice1,5))*(2-(VLOOKUP(A193,ScaledPrice1,3)))),0))</f>
        <v> </v>
      </c>
      <c r="H193" s="317" t="str">
        <f aca="false">IF($A193="N/A"," ",IF(OR(Dayrun1=2,Dayrun1=3,Dayrun1=10),VLOOKUP($A193,ScaledPrice1,9),0))</f>
        <v> </v>
      </c>
      <c r="I193" s="317" t="str">
        <f aca="false">IF(A193="N/A"," ",IF(OR(Dayrun1=3,Dayrun1=6,Dayrun1=9),(VLOOKUP(A193,ScaledPrice1,IF(Scaler1=2,7,8))),0))</f>
        <v> </v>
      </c>
      <c r="J193" s="317" t="str">
        <f aca="false">IF(A193="N/A"," ",IF(OR(Dayrun1=3,Dayrun1=6),IF(Scaler1=2,I193,(VLOOKUP(A193,ScaledPrice1,7))*(2-(VLOOKUP(A193,ScaledPrice1,3)))),0))</f>
        <v> </v>
      </c>
      <c r="K193" s="317" t="str">
        <f aca="false">IF($A193="N/A"," ",IF(OR(Dayrun1=3,Dayrun1=10),VLOOKUP($A193,ScaledPrice1,9),0))</f>
        <v> </v>
      </c>
      <c r="L193" s="318" t="str">
        <f aca="false">IF($A193="N/A"," ",IF(Pricetype1=2,MAX(C193,0),IF(OR(Pricetype1=1,Pricetype1=4),IF(C193=0,0,(EURO(C193,Strikeprice1,0,0,($AH193+IF(Smile=TRUE(),VLOOKUP(MAX(-5,Strikeprice1-C193),Volsmile,2),0)),($A193-DateToday)+15,IF(Pricetype1=1,1,0),0))),C193)))</f>
        <v> </v>
      </c>
      <c r="M193" s="318" t="str">
        <f aca="false">IF($A193="N/A"," ",IF(Pricetype1=2,MAX(D193,0),IF(OR(Pricetype1=1,Pricetype1=4),IF(D193=0,0,(EURO(D193,Strikeprice1,0,0,($AH193+IF(Smile=TRUE(),VLOOKUP(MAX(-5,Strikeprice1-D193),Volsmile,2),0)),($A193-DateToday)+15,IF(Pricetype1=1,1,0),0))),D193)))</f>
        <v> </v>
      </c>
      <c r="N193" s="318" t="str">
        <f aca="false">IF($A193="N/A"," ",IF(Pricetype1=2,MAX(E193,0),IF(OR(Pricetype1=1,Pricetype1=4),IF(E193=0,0,(EURO(E193,Strikeprice1,0,0,($AK193+IF(Smile=TRUE(),VLOOKUP(MAX(-5,Strikeprice1-E193),Volsmile,2),0)),($A193-DateToday)+15,IF(Pricetype1=1,1,0),0))),E193)))</f>
        <v> </v>
      </c>
      <c r="O193" s="318" t="str">
        <f aca="false">IF($A193="N/A"," ",IF(Pricetype1=2,MAX(F193,0),IF(OR(Pricetype1=1,Pricetype1=4),IF(F193=0,0,(EURO(F193,Strikeprice1,0,0,($AK193+IF(Smile=TRUE(),VLOOKUP(MAX(-5,Strikeprice1-F193),Volsmile,2),0)),($A193-DateToday)+15,IF(Pricetype1=1,1,0),0))),F193)))</f>
        <v> </v>
      </c>
      <c r="P193" s="318" t="str">
        <f aca="false">IF($A193="N/A"," ",IF(Pricetype1=2,MAX(G193,0),IF(OR(Pricetype1=1,Pricetype1=4),IF(G193=0,0,(EURO(G193,Strikeprice1,0,0,($AK193+IF(Smile=TRUE(),VLOOKUP(MAX(-5,Strikeprice1-G193),Volsmile,2),0)),($A193-DateToday)+15,IF(Pricetype1=1,1,0),0))),G193)))</f>
        <v> </v>
      </c>
      <c r="Q193" s="318" t="str">
        <f aca="false">IF($A193="N/A"," ",IF(Pricetype1=2,MAX(H193,0),IF(OR(Pricetype1=1,Pricetype1=4),IF(H193=0,0,(EURO(H193,Strikeprice1,0,0,($AK193+IF(Smile=TRUE(),VLOOKUP(MAX(-5,Strikeprice1-H193),Volsmile,2),0)),($A193-DateToday)+15,IF(Pricetype1=1,1,0),0))),H193)))</f>
        <v> </v>
      </c>
      <c r="R193" s="318" t="str">
        <f aca="false">IF($A193="N/A"," ",IF(Pricetype1=2,MAX(I193,0),IF(OR(Pricetype1=1,Pricetype1=4),IF(I193=0,0,(EURO(I193,Strikeprice1,0,0,($AK193+IF(Smile=TRUE(),VLOOKUP(MAX(-5,Strikeprice1-I193),Volsmile,2),0)),($A193-DateToday)+15,IF(Pricetype1=1,1,0),0))),I193)))</f>
        <v> </v>
      </c>
      <c r="S193" s="318" t="str">
        <f aca="false">IF($A193="N/A"," ",IF(Pricetype1=2,MAX(J193,0),IF(OR(Pricetype1=1,Pricetype1=4),IF(J193=0,0,(EURO(J193,Strikeprice1,0,0,($AK193+IF(Smile=TRUE(),VLOOKUP(MAX(-5,Strikeprice1-J193),Volsmile,2),0)),($A193-DateToday)+15,IF(Pricetype1=1,1,0),0))),J193)))</f>
        <v> </v>
      </c>
      <c r="T193" s="318" t="str">
        <f aca="false">IF($A193="N/A"," ",IF(Pricetype1=2,MAX(K193,0),IF(OR(Pricetype1=1,Pricetype1=4),IF(K193=0,0,(EURO(K193,Strikeprice1,0,0,($AK193+IF(Smile=TRUE(),VLOOKUP(MAX(-5,Strikeprice1-K193),Volsmile,2),0)),($A193-DateToday)+15,IF(Pricetype1=1,1,0),0))),K193)))</f>
        <v> </v>
      </c>
      <c r="U193" s="319" t="str">
        <f aca="false">IF($A193="N/A"," ",Volume1*$AM193)</f>
        <v> </v>
      </c>
      <c r="V193" s="320" t="str">
        <f aca="false">IF($A193="N/A"," ",$U193*(8*($BQ193))*L193)</f>
        <v> </v>
      </c>
      <c r="W193" s="320" t="str">
        <f aca="false">IF($A193="N/A"," ",$U193*(8*($BQ193))*M193)</f>
        <v> </v>
      </c>
      <c r="X193" s="320" t="str">
        <f aca="false">IF($A193="N/A"," ",$U193*(8*($BQ193))*N193)</f>
        <v> </v>
      </c>
      <c r="Y193" s="320" t="str">
        <f aca="false">IF($A193="N/A"," ",$U193*(8*($BR193))*O193)</f>
        <v> </v>
      </c>
      <c r="Z193" s="320" t="str">
        <f aca="false">IF($A193="N/A"," ",$U193*(8*($BR193))*P193)</f>
        <v> </v>
      </c>
      <c r="AA193" s="320" t="str">
        <f aca="false">IF($A193="N/A"," ",$U193*(8*($BR193))*Q193)</f>
        <v> </v>
      </c>
      <c r="AB193" s="320" t="str">
        <f aca="false">IF($A193="N/A"," ",$U193*(8*($BS193))*R193)</f>
        <v> </v>
      </c>
      <c r="AC193" s="320" t="str">
        <f aca="false">IF($A193="N/A"," ",$U193*(8*($BS193))*S193)</f>
        <v> </v>
      </c>
      <c r="AD193" s="320" t="str">
        <f aca="false">IF($A193="N/A"," ",$U193*(8*($BS193))*T193)</f>
        <v> </v>
      </c>
      <c r="AE193" s="320" t="str">
        <f aca="false">IF($A193="N/A"," ",SUM(V193:AD193))</f>
        <v> </v>
      </c>
      <c r="AF193" s="321" t="str">
        <f aca="false">IF(A193="N/A"," ",(VLOOKUP(A193,PowerVolTable,(IF(VolBMO1=2,7,IF(VolBMO1=1,6,8))),FALSE())))</f>
        <v> </v>
      </c>
      <c r="AG193" s="321" t="str">
        <f aca="false">IF(A193="N/A"," ",(VLOOKUP(A193,IntraPowerVol,(IF(VolBMO1=2,3,IF(VolBMO1=1,2,4))),FALSE())*VLOOKUP(MONTH($A193),Volscale,2)))</f>
        <v> </v>
      </c>
      <c r="AH193" s="321" t="str">
        <f aca="false">IF($A193="N/A"," ",IF(VolType1=1,AG193,AF193))</f>
        <v> </v>
      </c>
      <c r="AI193" s="321" t="str">
        <f aca="false">IF($A193="N/A"," ",(VLOOKUP($A193,OffPwrVolTable,(IF(VolBMO1=2,7,IF(VolBMO1=1,6,8))),FALSE())))</f>
        <v> </v>
      </c>
      <c r="AJ193" s="321" t="str">
        <f aca="false">IF($A193="N/A"," ",(VLOOKUP($A193,OffPwrVolTable,(IF(VolBMO1=2,3,IF(VolBMO1=1,2,4))),FALSE())*VLOOKUP(MONTH($A193),Volscale,2)))</f>
        <v> </v>
      </c>
      <c r="AK193" s="321" t="str">
        <f aca="false">IF($A193="N/A"," ",IF(VolType1=1,AJ193,AI193))</f>
        <v> </v>
      </c>
      <c r="AL193" s="321" t="str">
        <f aca="false">IF($A193="N/A"," ",IF(PV=1,0,'Pricing Inputs1'!R226))</f>
        <v> </v>
      </c>
      <c r="AM193" s="323" t="str">
        <f aca="false">IF($A193="N/A"," ",(1+AL193/2)^(-2*((EOMONTH(A193,0)+20)-DateToday)/365.25))</f>
        <v> </v>
      </c>
      <c r="BQ193" s="0" t="str">
        <f aca="false">IF($A193="N/A"," ",(VLOOKUP($A193,NumberofDaysTable,2)))</f>
        <v> </v>
      </c>
      <c r="BR193" s="0" t="str">
        <f aca="false">IF($A193="N/A"," ",(VLOOKUP($A193,NumberofDaysTable,3)))</f>
        <v> </v>
      </c>
      <c r="BS193" s="0" t="str">
        <f aca="false">IF($A193="N/A"," ",(VLOOKUP($A193,NumberofDaysTable,4)))</f>
        <v> </v>
      </c>
    </row>
    <row r="194" customFormat="false" ht="12.75" hidden="false" customHeight="false" outlineLevel="0" collapsed="false">
      <c r="A194" s="315" t="str">
        <f aca="false">IF(A193="N/A","N/A",IF(EDATE(A193,1)&gt;Inputs!$M$5,"N/A",EDATE(A193,1)))</f>
        <v>N/A</v>
      </c>
      <c r="B194" s="316" t="str">
        <f aca="false">IF(A194="N/A"," ",YEAR(A194))</f>
        <v> </v>
      </c>
      <c r="C194" s="324" t="str">
        <f aca="false">IF($A194="N/A"," ",IF(Dayrun1=10,0,IF(Scaler1=1,(VLOOKUP(A194,ScaledPrice1,4)),(VLOOKUP(A194,ScaledPrice1,2)))))</f>
        <v> </v>
      </c>
      <c r="D194" s="317" t="str">
        <f aca="false">IF(A194="N/A"," ",IF(Dayrun1&gt;=7,0,IF(Scaler1=2,VLOOKUP(A194,ScaledPrice1,2),(VLOOKUP(A194,ScaledPrice1,2))*(2-(VLOOKUP(A194,ScaledPrice1,3))))))</f>
        <v> </v>
      </c>
      <c r="E194" s="317" t="str">
        <f aca="false">IF($A194="N/A"," ",IF(AND(Dayrun1&gt;=4,Dayrun1&lt;=9),0,VLOOKUP($A194,ScaledPrice1,9)))</f>
        <v> </v>
      </c>
      <c r="F194" s="317" t="str">
        <f aca="false">IF(A194="N/A"," ",IF(OR(Dayrun1=2,Dayrun1=3,Dayrun1=5,Dayrun1=6,Dayrun1=8,Dayrun1=9),VLOOKUP(A194,ScaledPrice1,IF(Scaler1=1,6,5)),0))</f>
        <v> </v>
      </c>
      <c r="G194" s="317" t="str">
        <f aca="false">IF(A194="N/A"," ",IF(OR(Dayrun1=2,Dayrun1=3,Dayrun1=5,Dayrun1=6),IF(Scaler1=2,F194,(VLOOKUP(A194,ScaledPrice1,5))*(2-(VLOOKUP(A194,ScaledPrice1,3)))),0))</f>
        <v> </v>
      </c>
      <c r="H194" s="317" t="str">
        <f aca="false">IF($A194="N/A"," ",IF(OR(Dayrun1=2,Dayrun1=3,Dayrun1=10),VLOOKUP($A194,ScaledPrice1,9),0))</f>
        <v> </v>
      </c>
      <c r="I194" s="317" t="str">
        <f aca="false">IF(A194="N/A"," ",IF(OR(Dayrun1=3,Dayrun1=6,Dayrun1=9),(VLOOKUP(A194,ScaledPrice1,IF(Scaler1=2,7,8))),0))</f>
        <v> </v>
      </c>
      <c r="J194" s="317" t="str">
        <f aca="false">IF(A194="N/A"," ",IF(OR(Dayrun1=3,Dayrun1=6),IF(Scaler1=2,I194,(VLOOKUP(A194,ScaledPrice1,7))*(2-(VLOOKUP(A194,ScaledPrice1,3)))),0))</f>
        <v> </v>
      </c>
      <c r="K194" s="317" t="str">
        <f aca="false">IF($A194="N/A"," ",IF(OR(Dayrun1=3,Dayrun1=10),VLOOKUP($A194,ScaledPrice1,9),0))</f>
        <v> </v>
      </c>
      <c r="L194" s="318" t="str">
        <f aca="false">IF($A194="N/A"," ",IF(Pricetype1=2,MAX(C194,0),IF(OR(Pricetype1=1,Pricetype1=4),IF(C194=0,0,(EURO(C194,Strikeprice1,0,0,($AH194+IF(Smile=TRUE(),VLOOKUP(MAX(-5,Strikeprice1-C194),Volsmile,2),0)),($A194-DateToday)+15,IF(Pricetype1=1,1,0),0))),C194)))</f>
        <v> </v>
      </c>
      <c r="M194" s="318" t="str">
        <f aca="false">IF($A194="N/A"," ",IF(Pricetype1=2,MAX(D194,0),IF(OR(Pricetype1=1,Pricetype1=4),IF(D194=0,0,(EURO(D194,Strikeprice1,0,0,($AH194+IF(Smile=TRUE(),VLOOKUP(MAX(-5,Strikeprice1-D194),Volsmile,2),0)),($A194-DateToday)+15,IF(Pricetype1=1,1,0),0))),D194)))</f>
        <v> </v>
      </c>
      <c r="N194" s="318" t="str">
        <f aca="false">IF($A194="N/A"," ",IF(Pricetype1=2,MAX(E194,0),IF(OR(Pricetype1=1,Pricetype1=4),IF(E194=0,0,(EURO(E194,Strikeprice1,0,0,($AK194+IF(Smile=TRUE(),VLOOKUP(MAX(-5,Strikeprice1-E194),Volsmile,2),0)),($A194-DateToday)+15,IF(Pricetype1=1,1,0),0))),E194)))</f>
        <v> </v>
      </c>
      <c r="O194" s="318" t="str">
        <f aca="false">IF($A194="N/A"," ",IF(Pricetype1=2,MAX(F194,0),IF(OR(Pricetype1=1,Pricetype1=4),IF(F194=0,0,(EURO(F194,Strikeprice1,0,0,($AK194+IF(Smile=TRUE(),VLOOKUP(MAX(-5,Strikeprice1-F194),Volsmile,2),0)),($A194-DateToday)+15,IF(Pricetype1=1,1,0),0))),F194)))</f>
        <v> </v>
      </c>
      <c r="P194" s="318" t="str">
        <f aca="false">IF($A194="N/A"," ",IF(Pricetype1=2,MAX(G194,0),IF(OR(Pricetype1=1,Pricetype1=4),IF(G194=0,0,(EURO(G194,Strikeprice1,0,0,($AK194+IF(Smile=TRUE(),VLOOKUP(MAX(-5,Strikeprice1-G194),Volsmile,2),0)),($A194-DateToday)+15,IF(Pricetype1=1,1,0),0))),G194)))</f>
        <v> </v>
      </c>
      <c r="Q194" s="318" t="str">
        <f aca="false">IF($A194="N/A"," ",IF(Pricetype1=2,MAX(H194,0),IF(OR(Pricetype1=1,Pricetype1=4),IF(H194=0,0,(EURO(H194,Strikeprice1,0,0,($AK194+IF(Smile=TRUE(),VLOOKUP(MAX(-5,Strikeprice1-H194),Volsmile,2),0)),($A194-DateToday)+15,IF(Pricetype1=1,1,0),0))),H194)))</f>
        <v> </v>
      </c>
      <c r="R194" s="318" t="str">
        <f aca="false">IF($A194="N/A"," ",IF(Pricetype1=2,MAX(I194,0),IF(OR(Pricetype1=1,Pricetype1=4),IF(I194=0,0,(EURO(I194,Strikeprice1,0,0,($AK194+IF(Smile=TRUE(),VLOOKUP(MAX(-5,Strikeprice1-I194),Volsmile,2),0)),($A194-DateToday)+15,IF(Pricetype1=1,1,0),0))),I194)))</f>
        <v> </v>
      </c>
      <c r="S194" s="318" t="str">
        <f aca="false">IF($A194="N/A"," ",IF(Pricetype1=2,MAX(J194,0),IF(OR(Pricetype1=1,Pricetype1=4),IF(J194=0,0,(EURO(J194,Strikeprice1,0,0,($AK194+IF(Smile=TRUE(),VLOOKUP(MAX(-5,Strikeprice1-J194),Volsmile,2),0)),($A194-DateToday)+15,IF(Pricetype1=1,1,0),0))),J194)))</f>
        <v> </v>
      </c>
      <c r="T194" s="318" t="str">
        <f aca="false">IF($A194="N/A"," ",IF(Pricetype1=2,MAX(K194,0),IF(OR(Pricetype1=1,Pricetype1=4),IF(K194=0,0,(EURO(K194,Strikeprice1,0,0,($AK194+IF(Smile=TRUE(),VLOOKUP(MAX(-5,Strikeprice1-K194),Volsmile,2),0)),($A194-DateToday)+15,IF(Pricetype1=1,1,0),0))),K194)))</f>
        <v> </v>
      </c>
      <c r="U194" s="319" t="str">
        <f aca="false">IF($A194="N/A"," ",Volume1*$AM194)</f>
        <v> </v>
      </c>
      <c r="V194" s="320" t="str">
        <f aca="false">IF($A194="N/A"," ",$U194*(8*($BQ194))*L194)</f>
        <v> </v>
      </c>
      <c r="W194" s="320" t="str">
        <f aca="false">IF($A194="N/A"," ",$U194*(8*($BQ194))*M194)</f>
        <v> </v>
      </c>
      <c r="X194" s="320" t="str">
        <f aca="false">IF($A194="N/A"," ",$U194*(8*($BQ194))*N194)</f>
        <v> </v>
      </c>
      <c r="Y194" s="320" t="str">
        <f aca="false">IF($A194="N/A"," ",$U194*(8*($BR194))*O194)</f>
        <v> </v>
      </c>
      <c r="Z194" s="320" t="str">
        <f aca="false">IF($A194="N/A"," ",$U194*(8*($BR194))*P194)</f>
        <v> </v>
      </c>
      <c r="AA194" s="320" t="str">
        <f aca="false">IF($A194="N/A"," ",$U194*(8*($BR194))*Q194)</f>
        <v> </v>
      </c>
      <c r="AB194" s="320" t="str">
        <f aca="false">IF($A194="N/A"," ",$U194*(8*($BS194))*R194)</f>
        <v> </v>
      </c>
      <c r="AC194" s="320" t="str">
        <f aca="false">IF($A194="N/A"," ",$U194*(8*($BS194))*S194)</f>
        <v> </v>
      </c>
      <c r="AD194" s="320" t="str">
        <f aca="false">IF($A194="N/A"," ",$U194*(8*($BS194))*T194)</f>
        <v> </v>
      </c>
      <c r="AE194" s="320" t="str">
        <f aca="false">IF($A194="N/A"," ",SUM(V194:AD194))</f>
        <v> </v>
      </c>
      <c r="AF194" s="321" t="str">
        <f aca="false">IF(A194="N/A"," ",(VLOOKUP(A194,PowerVolTable,(IF(VolBMO1=2,7,IF(VolBMO1=1,6,8))),FALSE())))</f>
        <v> </v>
      </c>
      <c r="AG194" s="321" t="str">
        <f aca="false">IF(A194="N/A"," ",(VLOOKUP(A194,IntraPowerVol,(IF(VolBMO1=2,3,IF(VolBMO1=1,2,4))),FALSE())*VLOOKUP(MONTH($A194),Volscale,2)))</f>
        <v> </v>
      </c>
      <c r="AH194" s="321" t="str">
        <f aca="false">IF($A194="N/A"," ",IF(VolType1=1,AG194,AF194))</f>
        <v> </v>
      </c>
      <c r="AI194" s="321" t="str">
        <f aca="false">IF($A194="N/A"," ",(VLOOKUP($A194,OffPwrVolTable,(IF(VolBMO1=2,7,IF(VolBMO1=1,6,8))),FALSE())))</f>
        <v> </v>
      </c>
      <c r="AJ194" s="321" t="str">
        <f aca="false">IF($A194="N/A"," ",(VLOOKUP($A194,OffPwrVolTable,(IF(VolBMO1=2,3,IF(VolBMO1=1,2,4))),FALSE())*VLOOKUP(MONTH($A194),Volscale,2)))</f>
        <v> </v>
      </c>
      <c r="AK194" s="321" t="str">
        <f aca="false">IF($A194="N/A"," ",IF(VolType1=1,AJ194,AI194))</f>
        <v> </v>
      </c>
      <c r="AL194" s="321" t="str">
        <f aca="false">IF($A194="N/A"," ",IF(PV=1,0,'Pricing Inputs1'!R227))</f>
        <v> </v>
      </c>
      <c r="AM194" s="323" t="str">
        <f aca="false">IF($A194="N/A"," ",(1+AL194/2)^(-2*((EOMONTH(A194,0)+20)-DateToday)/365.25))</f>
        <v> </v>
      </c>
      <c r="BQ194" s="0" t="str">
        <f aca="false">IF($A194="N/A"," ",(VLOOKUP($A194,NumberofDaysTable,2)))</f>
        <v> </v>
      </c>
      <c r="BR194" s="0" t="str">
        <f aca="false">IF($A194="N/A"," ",(VLOOKUP($A194,NumberofDaysTable,3)))</f>
        <v> </v>
      </c>
      <c r="BS194" s="0" t="str">
        <f aca="false">IF($A194="N/A"," ",(VLOOKUP($A194,NumberofDaysTable,4)))</f>
        <v> </v>
      </c>
    </row>
    <row r="195" customFormat="false" ht="12.75" hidden="false" customHeight="false" outlineLevel="0" collapsed="false">
      <c r="A195" s="315" t="str">
        <f aca="false">IF(A194="N/A","N/A",IF(EDATE(A194,1)&gt;Inputs!$M$5,"N/A",EDATE(A194,1)))</f>
        <v>N/A</v>
      </c>
      <c r="B195" s="316" t="str">
        <f aca="false">IF(A195="N/A"," ",YEAR(A195))</f>
        <v> </v>
      </c>
      <c r="C195" s="324" t="str">
        <f aca="false">IF($A195="N/A"," ",IF(Dayrun1=10,0,IF(Scaler1=1,(VLOOKUP(A195,ScaledPrice1,4)),(VLOOKUP(A195,ScaledPrice1,2)))))</f>
        <v> </v>
      </c>
      <c r="D195" s="317" t="str">
        <f aca="false">IF(A195="N/A"," ",IF(Dayrun1&gt;=7,0,IF(Scaler1=2,VLOOKUP(A195,ScaledPrice1,2),(VLOOKUP(A195,ScaledPrice1,2))*(2-(VLOOKUP(A195,ScaledPrice1,3))))))</f>
        <v> </v>
      </c>
      <c r="E195" s="317" t="str">
        <f aca="false">IF($A195="N/A"," ",IF(AND(Dayrun1&gt;=4,Dayrun1&lt;=9),0,VLOOKUP($A195,ScaledPrice1,9)))</f>
        <v> </v>
      </c>
      <c r="F195" s="317" t="str">
        <f aca="false">IF(A195="N/A"," ",IF(OR(Dayrun1=2,Dayrun1=3,Dayrun1=5,Dayrun1=6,Dayrun1=8,Dayrun1=9),VLOOKUP(A195,ScaledPrice1,IF(Scaler1=1,6,5)),0))</f>
        <v> </v>
      </c>
      <c r="G195" s="317" t="str">
        <f aca="false">IF(A195="N/A"," ",IF(OR(Dayrun1=2,Dayrun1=3,Dayrun1=5,Dayrun1=6),IF(Scaler1=2,F195,(VLOOKUP(A195,ScaledPrice1,5))*(2-(VLOOKUP(A195,ScaledPrice1,3)))),0))</f>
        <v> </v>
      </c>
      <c r="H195" s="317" t="str">
        <f aca="false">IF($A195="N/A"," ",IF(OR(Dayrun1=2,Dayrun1=3,Dayrun1=10),VLOOKUP($A195,ScaledPrice1,9),0))</f>
        <v> </v>
      </c>
      <c r="I195" s="317" t="str">
        <f aca="false">IF(A195="N/A"," ",IF(OR(Dayrun1=3,Dayrun1=6,Dayrun1=9),(VLOOKUP(A195,ScaledPrice1,IF(Scaler1=2,7,8))),0))</f>
        <v> </v>
      </c>
      <c r="J195" s="317" t="str">
        <f aca="false">IF(A195="N/A"," ",IF(OR(Dayrun1=3,Dayrun1=6),IF(Scaler1=2,I195,(VLOOKUP(A195,ScaledPrice1,7))*(2-(VLOOKUP(A195,ScaledPrice1,3)))),0))</f>
        <v> </v>
      </c>
      <c r="K195" s="317" t="str">
        <f aca="false">IF($A195="N/A"," ",IF(OR(Dayrun1=3,Dayrun1=10),VLOOKUP($A195,ScaledPrice1,9),0))</f>
        <v> </v>
      </c>
      <c r="L195" s="318" t="str">
        <f aca="false">IF($A195="N/A"," ",IF(Pricetype1=2,MAX(C195,0),IF(OR(Pricetype1=1,Pricetype1=4),IF(C195=0,0,(EURO(C195,Strikeprice1,0,0,($AH195+IF(Smile=TRUE(),VLOOKUP(MAX(-5,Strikeprice1-C195),Volsmile,2),0)),($A195-DateToday)+15,IF(Pricetype1=1,1,0),0))),C195)))</f>
        <v> </v>
      </c>
      <c r="M195" s="318" t="str">
        <f aca="false">IF($A195="N/A"," ",IF(Pricetype1=2,MAX(D195,0),IF(OR(Pricetype1=1,Pricetype1=4),IF(D195=0,0,(EURO(D195,Strikeprice1,0,0,($AH195+IF(Smile=TRUE(),VLOOKUP(MAX(-5,Strikeprice1-D195),Volsmile,2),0)),($A195-DateToday)+15,IF(Pricetype1=1,1,0),0))),D195)))</f>
        <v> </v>
      </c>
      <c r="N195" s="318" t="str">
        <f aca="false">IF($A195="N/A"," ",IF(Pricetype1=2,MAX(E195,0),IF(OR(Pricetype1=1,Pricetype1=4),IF(E195=0,0,(EURO(E195,Strikeprice1,0,0,($AK195+IF(Smile=TRUE(),VLOOKUP(MAX(-5,Strikeprice1-E195),Volsmile,2),0)),($A195-DateToday)+15,IF(Pricetype1=1,1,0),0))),E195)))</f>
        <v> </v>
      </c>
      <c r="O195" s="318" t="str">
        <f aca="false">IF($A195="N/A"," ",IF(Pricetype1=2,MAX(F195,0),IF(OR(Pricetype1=1,Pricetype1=4),IF(F195=0,0,(EURO(F195,Strikeprice1,0,0,($AK195+IF(Smile=TRUE(),VLOOKUP(MAX(-5,Strikeprice1-F195),Volsmile,2),0)),($A195-DateToday)+15,IF(Pricetype1=1,1,0),0))),F195)))</f>
        <v> </v>
      </c>
      <c r="P195" s="318" t="str">
        <f aca="false">IF($A195="N/A"," ",IF(Pricetype1=2,MAX(G195,0),IF(OR(Pricetype1=1,Pricetype1=4),IF(G195=0,0,(EURO(G195,Strikeprice1,0,0,($AK195+IF(Smile=TRUE(),VLOOKUP(MAX(-5,Strikeprice1-G195),Volsmile,2),0)),($A195-DateToday)+15,IF(Pricetype1=1,1,0),0))),G195)))</f>
        <v> </v>
      </c>
      <c r="Q195" s="318" t="str">
        <f aca="false">IF($A195="N/A"," ",IF(Pricetype1=2,MAX(H195,0),IF(OR(Pricetype1=1,Pricetype1=4),IF(H195=0,0,(EURO(H195,Strikeprice1,0,0,($AK195+IF(Smile=TRUE(),VLOOKUP(MAX(-5,Strikeprice1-H195),Volsmile,2),0)),($A195-DateToday)+15,IF(Pricetype1=1,1,0),0))),H195)))</f>
        <v> </v>
      </c>
      <c r="R195" s="318" t="str">
        <f aca="false">IF($A195="N/A"," ",IF(Pricetype1=2,MAX(I195,0),IF(OR(Pricetype1=1,Pricetype1=4),IF(I195=0,0,(EURO(I195,Strikeprice1,0,0,($AK195+IF(Smile=TRUE(),VLOOKUP(MAX(-5,Strikeprice1-I195),Volsmile,2),0)),($A195-DateToday)+15,IF(Pricetype1=1,1,0),0))),I195)))</f>
        <v> </v>
      </c>
      <c r="S195" s="318" t="str">
        <f aca="false">IF($A195="N/A"," ",IF(Pricetype1=2,MAX(J195,0),IF(OR(Pricetype1=1,Pricetype1=4),IF(J195=0,0,(EURO(J195,Strikeprice1,0,0,($AK195+IF(Smile=TRUE(),VLOOKUP(MAX(-5,Strikeprice1-J195),Volsmile,2),0)),($A195-DateToday)+15,IF(Pricetype1=1,1,0),0))),J195)))</f>
        <v> </v>
      </c>
      <c r="T195" s="318" t="str">
        <f aca="false">IF($A195="N/A"," ",IF(Pricetype1=2,MAX(K195,0),IF(OR(Pricetype1=1,Pricetype1=4),IF(K195=0,0,(EURO(K195,Strikeprice1,0,0,($AK195+IF(Smile=TRUE(),VLOOKUP(MAX(-5,Strikeprice1-K195),Volsmile,2),0)),($A195-DateToday)+15,IF(Pricetype1=1,1,0),0))),K195)))</f>
        <v> </v>
      </c>
      <c r="U195" s="319" t="str">
        <f aca="false">IF($A195="N/A"," ",Volume1*$AM195)</f>
        <v> </v>
      </c>
      <c r="V195" s="320" t="str">
        <f aca="false">IF($A195="N/A"," ",$U195*(8*($BQ195))*L195)</f>
        <v> </v>
      </c>
      <c r="W195" s="320" t="str">
        <f aca="false">IF($A195="N/A"," ",$U195*(8*($BQ195))*M195)</f>
        <v> </v>
      </c>
      <c r="X195" s="320" t="str">
        <f aca="false">IF($A195="N/A"," ",$U195*(8*($BQ195))*N195)</f>
        <v> </v>
      </c>
      <c r="Y195" s="320" t="str">
        <f aca="false">IF($A195="N/A"," ",$U195*(8*($BR195))*O195)</f>
        <v> </v>
      </c>
      <c r="Z195" s="320" t="str">
        <f aca="false">IF($A195="N/A"," ",$U195*(8*($BR195))*P195)</f>
        <v> </v>
      </c>
      <c r="AA195" s="320" t="str">
        <f aca="false">IF($A195="N/A"," ",$U195*(8*($BR195))*Q195)</f>
        <v> </v>
      </c>
      <c r="AB195" s="320" t="str">
        <f aca="false">IF($A195="N/A"," ",$U195*(8*($BS195))*R195)</f>
        <v> </v>
      </c>
      <c r="AC195" s="320" t="str">
        <f aca="false">IF($A195="N/A"," ",$U195*(8*($BS195))*S195)</f>
        <v> </v>
      </c>
      <c r="AD195" s="320" t="str">
        <f aca="false">IF($A195="N/A"," ",$U195*(8*($BS195))*T195)</f>
        <v> </v>
      </c>
      <c r="AE195" s="320" t="str">
        <f aca="false">IF($A195="N/A"," ",SUM(V195:AD195))</f>
        <v> </v>
      </c>
      <c r="AF195" s="321" t="str">
        <f aca="false">IF(A195="N/A"," ",(VLOOKUP(A195,PowerVolTable,(IF(VolBMO1=2,7,IF(VolBMO1=1,6,8))),FALSE())))</f>
        <v> </v>
      </c>
      <c r="AG195" s="321" t="str">
        <f aca="false">IF(A195="N/A"," ",(VLOOKUP(A195,IntraPowerVol,(IF(VolBMO1=2,3,IF(VolBMO1=1,2,4))),FALSE())*VLOOKUP(MONTH($A195),Volscale,2)))</f>
        <v> </v>
      </c>
      <c r="AH195" s="321" t="str">
        <f aca="false">IF($A195="N/A"," ",IF(VolType1=1,AG195,AF195))</f>
        <v> </v>
      </c>
      <c r="AI195" s="321" t="str">
        <f aca="false">IF($A195="N/A"," ",(VLOOKUP($A195,OffPwrVolTable,(IF(VolBMO1=2,7,IF(VolBMO1=1,6,8))),FALSE())))</f>
        <v> </v>
      </c>
      <c r="AJ195" s="321" t="str">
        <f aca="false">IF($A195="N/A"," ",(VLOOKUP($A195,OffPwrVolTable,(IF(VolBMO1=2,3,IF(VolBMO1=1,2,4))),FALSE())*VLOOKUP(MONTH($A195),Volscale,2)))</f>
        <v> </v>
      </c>
      <c r="AK195" s="321" t="str">
        <f aca="false">IF($A195="N/A"," ",IF(VolType1=1,AJ195,AI195))</f>
        <v> </v>
      </c>
      <c r="AL195" s="321" t="str">
        <f aca="false">IF($A195="N/A"," ",IF(PV=1,0,'Pricing Inputs1'!R228))</f>
        <v> </v>
      </c>
      <c r="AM195" s="323" t="str">
        <f aca="false">IF($A195="N/A"," ",(1+AL195/2)^(-2*((EOMONTH(A195,0)+20)-DateToday)/365.25))</f>
        <v> </v>
      </c>
      <c r="BQ195" s="0" t="str">
        <f aca="false">IF($A195="N/A"," ",(VLOOKUP($A195,NumberofDaysTable,2)))</f>
        <v> </v>
      </c>
      <c r="BR195" s="0" t="str">
        <f aca="false">IF($A195="N/A"," ",(VLOOKUP($A195,NumberofDaysTable,3)))</f>
        <v> </v>
      </c>
      <c r="BS195" s="0" t="str">
        <f aca="false">IF($A195="N/A"," ",(VLOOKUP($A195,NumberofDaysTable,4)))</f>
        <v> </v>
      </c>
    </row>
    <row r="196" customFormat="false" ht="12.75" hidden="false" customHeight="false" outlineLevel="0" collapsed="false">
      <c r="A196" s="315" t="str">
        <f aca="false">IF(A195="N/A","N/A",IF(EDATE(A195,1)&gt;Inputs!$M$5,"N/A",EDATE(A195,1)))</f>
        <v>N/A</v>
      </c>
      <c r="B196" s="316" t="str">
        <f aca="false">IF(A196="N/A"," ",YEAR(A196))</f>
        <v> </v>
      </c>
      <c r="C196" s="324" t="str">
        <f aca="false">IF($A196="N/A"," ",IF(Dayrun1=10,0,IF(Scaler1=1,(VLOOKUP(A196,ScaledPrice1,4)),(VLOOKUP(A196,ScaledPrice1,2)))))</f>
        <v> </v>
      </c>
      <c r="D196" s="317" t="str">
        <f aca="false">IF(A196="N/A"," ",IF(Dayrun1&gt;=7,0,IF(Scaler1=2,VLOOKUP(A196,ScaledPrice1,2),(VLOOKUP(A196,ScaledPrice1,2))*(2-(VLOOKUP(A196,ScaledPrice1,3))))))</f>
        <v> </v>
      </c>
      <c r="E196" s="317" t="str">
        <f aca="false">IF($A196="N/A"," ",IF(AND(Dayrun1&gt;=4,Dayrun1&lt;=9),0,VLOOKUP($A196,ScaledPrice1,9)))</f>
        <v> </v>
      </c>
      <c r="F196" s="317" t="str">
        <f aca="false">IF(A196="N/A"," ",IF(OR(Dayrun1=2,Dayrun1=3,Dayrun1=5,Dayrun1=6,Dayrun1=8,Dayrun1=9),VLOOKUP(A196,ScaledPrice1,IF(Scaler1=1,6,5)),0))</f>
        <v> </v>
      </c>
      <c r="G196" s="317" t="str">
        <f aca="false">IF(A196="N/A"," ",IF(OR(Dayrun1=2,Dayrun1=3,Dayrun1=5,Dayrun1=6),IF(Scaler1=2,F196,(VLOOKUP(A196,ScaledPrice1,5))*(2-(VLOOKUP(A196,ScaledPrice1,3)))),0))</f>
        <v> </v>
      </c>
      <c r="H196" s="317" t="str">
        <f aca="false">IF($A196="N/A"," ",IF(OR(Dayrun1=2,Dayrun1=3,Dayrun1=10),VLOOKUP($A196,ScaledPrice1,9),0))</f>
        <v> </v>
      </c>
      <c r="I196" s="317" t="str">
        <f aca="false">IF(A196="N/A"," ",IF(OR(Dayrun1=3,Dayrun1=6,Dayrun1=9),(VLOOKUP(A196,ScaledPrice1,IF(Scaler1=2,7,8))),0))</f>
        <v> </v>
      </c>
      <c r="J196" s="317" t="str">
        <f aca="false">IF(A196="N/A"," ",IF(OR(Dayrun1=3,Dayrun1=6),IF(Scaler1=2,I196,(VLOOKUP(A196,ScaledPrice1,7))*(2-(VLOOKUP(A196,ScaledPrice1,3)))),0))</f>
        <v> </v>
      </c>
      <c r="K196" s="317" t="str">
        <f aca="false">IF($A196="N/A"," ",IF(OR(Dayrun1=3,Dayrun1=10),VLOOKUP($A196,ScaledPrice1,9),0))</f>
        <v> </v>
      </c>
      <c r="L196" s="318" t="str">
        <f aca="false">IF($A196="N/A"," ",IF(Pricetype1=2,MAX(C196,0),IF(OR(Pricetype1=1,Pricetype1=4),IF(C196=0,0,(EURO(C196,Strikeprice1,0,0,($AH196+IF(Smile=TRUE(),VLOOKUP(MAX(-5,Strikeprice1-C196),Volsmile,2),0)),($A196-DateToday)+15,IF(Pricetype1=1,1,0),0))),C196)))</f>
        <v> </v>
      </c>
      <c r="M196" s="318" t="str">
        <f aca="false">IF($A196="N/A"," ",IF(Pricetype1=2,MAX(D196,0),IF(OR(Pricetype1=1,Pricetype1=4),IF(D196=0,0,(EURO(D196,Strikeprice1,0,0,($AH196+IF(Smile=TRUE(),VLOOKUP(MAX(-5,Strikeprice1-D196),Volsmile,2),0)),($A196-DateToday)+15,IF(Pricetype1=1,1,0),0))),D196)))</f>
        <v> </v>
      </c>
      <c r="N196" s="318" t="str">
        <f aca="false">IF($A196="N/A"," ",IF(Pricetype1=2,MAX(E196,0),IF(OR(Pricetype1=1,Pricetype1=4),IF(E196=0,0,(EURO(E196,Strikeprice1,0,0,($AK196+IF(Smile=TRUE(),VLOOKUP(MAX(-5,Strikeprice1-E196),Volsmile,2),0)),($A196-DateToday)+15,IF(Pricetype1=1,1,0),0))),E196)))</f>
        <v> </v>
      </c>
      <c r="O196" s="318" t="str">
        <f aca="false">IF($A196="N/A"," ",IF(Pricetype1=2,MAX(F196,0),IF(OR(Pricetype1=1,Pricetype1=4),IF(F196=0,0,(EURO(F196,Strikeprice1,0,0,($AK196+IF(Smile=TRUE(),VLOOKUP(MAX(-5,Strikeprice1-F196),Volsmile,2),0)),($A196-DateToday)+15,IF(Pricetype1=1,1,0),0))),F196)))</f>
        <v> </v>
      </c>
      <c r="P196" s="318" t="str">
        <f aca="false">IF($A196="N/A"," ",IF(Pricetype1=2,MAX(G196,0),IF(OR(Pricetype1=1,Pricetype1=4),IF(G196=0,0,(EURO(G196,Strikeprice1,0,0,($AK196+IF(Smile=TRUE(),VLOOKUP(MAX(-5,Strikeprice1-G196),Volsmile,2),0)),($A196-DateToday)+15,IF(Pricetype1=1,1,0),0))),G196)))</f>
        <v> </v>
      </c>
      <c r="Q196" s="318" t="str">
        <f aca="false">IF($A196="N/A"," ",IF(Pricetype1=2,MAX(H196,0),IF(OR(Pricetype1=1,Pricetype1=4),IF(H196=0,0,(EURO(H196,Strikeprice1,0,0,($AK196+IF(Smile=TRUE(),VLOOKUP(MAX(-5,Strikeprice1-H196),Volsmile,2),0)),($A196-DateToday)+15,IF(Pricetype1=1,1,0),0))),H196)))</f>
        <v> </v>
      </c>
      <c r="R196" s="318" t="str">
        <f aca="false">IF($A196="N/A"," ",IF(Pricetype1=2,MAX(I196,0),IF(OR(Pricetype1=1,Pricetype1=4),IF(I196=0,0,(EURO(I196,Strikeprice1,0,0,($AK196+IF(Smile=TRUE(),VLOOKUP(MAX(-5,Strikeprice1-I196),Volsmile,2),0)),($A196-DateToday)+15,IF(Pricetype1=1,1,0),0))),I196)))</f>
        <v> </v>
      </c>
      <c r="S196" s="318" t="str">
        <f aca="false">IF($A196="N/A"," ",IF(Pricetype1=2,MAX(J196,0),IF(OR(Pricetype1=1,Pricetype1=4),IF(J196=0,0,(EURO(J196,Strikeprice1,0,0,($AK196+IF(Smile=TRUE(),VLOOKUP(MAX(-5,Strikeprice1-J196),Volsmile,2),0)),($A196-DateToday)+15,IF(Pricetype1=1,1,0),0))),J196)))</f>
        <v> </v>
      </c>
      <c r="T196" s="318" t="str">
        <f aca="false">IF($A196="N/A"," ",IF(Pricetype1=2,MAX(K196,0),IF(OR(Pricetype1=1,Pricetype1=4),IF(K196=0,0,(EURO(K196,Strikeprice1,0,0,($AK196+IF(Smile=TRUE(),VLOOKUP(MAX(-5,Strikeprice1-K196),Volsmile,2),0)),($A196-DateToday)+15,IF(Pricetype1=1,1,0),0))),K196)))</f>
        <v> </v>
      </c>
      <c r="U196" s="319" t="str">
        <f aca="false">IF($A196="N/A"," ",Volume1*$AM196)</f>
        <v> </v>
      </c>
      <c r="V196" s="320" t="str">
        <f aca="false">IF($A196="N/A"," ",$U196*(8*($BQ196))*L196)</f>
        <v> </v>
      </c>
      <c r="W196" s="320" t="str">
        <f aca="false">IF($A196="N/A"," ",$U196*(8*($BQ196))*M196)</f>
        <v> </v>
      </c>
      <c r="X196" s="320" t="str">
        <f aca="false">IF($A196="N/A"," ",$U196*(8*($BQ196))*N196)</f>
        <v> </v>
      </c>
      <c r="Y196" s="320" t="str">
        <f aca="false">IF($A196="N/A"," ",$U196*(8*($BR196))*O196)</f>
        <v> </v>
      </c>
      <c r="Z196" s="320" t="str">
        <f aca="false">IF($A196="N/A"," ",$U196*(8*($BR196))*P196)</f>
        <v> </v>
      </c>
      <c r="AA196" s="320" t="str">
        <f aca="false">IF($A196="N/A"," ",$U196*(8*($BR196))*Q196)</f>
        <v> </v>
      </c>
      <c r="AB196" s="320" t="str">
        <f aca="false">IF($A196="N/A"," ",$U196*(8*($BS196))*R196)</f>
        <v> </v>
      </c>
      <c r="AC196" s="320" t="str">
        <f aca="false">IF($A196="N/A"," ",$U196*(8*($BS196))*S196)</f>
        <v> </v>
      </c>
      <c r="AD196" s="320" t="str">
        <f aca="false">IF($A196="N/A"," ",$U196*(8*($BS196))*T196)</f>
        <v> </v>
      </c>
      <c r="AE196" s="320" t="str">
        <f aca="false">IF($A196="N/A"," ",SUM(V196:AD196))</f>
        <v> </v>
      </c>
      <c r="AF196" s="321" t="str">
        <f aca="false">IF(A196="N/A"," ",(VLOOKUP(A196,PowerVolTable,(IF(VolBMO1=2,7,IF(VolBMO1=1,6,8))),FALSE())))</f>
        <v> </v>
      </c>
      <c r="AG196" s="321" t="str">
        <f aca="false">IF(A196="N/A"," ",(VLOOKUP(A196,IntraPowerVol,(IF(VolBMO1=2,3,IF(VolBMO1=1,2,4))),FALSE())*VLOOKUP(MONTH($A196),Volscale,2)))</f>
        <v> </v>
      </c>
      <c r="AH196" s="321" t="str">
        <f aca="false">IF($A196="N/A"," ",IF(VolType1=1,AG196,AF196))</f>
        <v> </v>
      </c>
      <c r="AI196" s="321" t="str">
        <f aca="false">IF($A196="N/A"," ",(VLOOKUP($A196,OffPwrVolTable,(IF(VolBMO1=2,7,IF(VolBMO1=1,6,8))),FALSE())))</f>
        <v> </v>
      </c>
      <c r="AJ196" s="321" t="str">
        <f aca="false">IF($A196="N/A"," ",(VLOOKUP($A196,OffPwrVolTable,(IF(VolBMO1=2,3,IF(VolBMO1=1,2,4))),FALSE())*VLOOKUP(MONTH($A196),Volscale,2)))</f>
        <v> </v>
      </c>
      <c r="AK196" s="321" t="str">
        <f aca="false">IF($A196="N/A"," ",IF(VolType1=1,AJ196,AI196))</f>
        <v> </v>
      </c>
      <c r="AL196" s="321" t="str">
        <f aca="false">IF($A196="N/A"," ",IF(PV=1,0,'Pricing Inputs1'!R229))</f>
        <v> </v>
      </c>
      <c r="AM196" s="323" t="str">
        <f aca="false">IF($A196="N/A"," ",(1+AL196/2)^(-2*((EOMONTH(A196,0)+20)-DateToday)/365.25))</f>
        <v> </v>
      </c>
      <c r="BQ196" s="0" t="str">
        <f aca="false">IF($A196="N/A"," ",(VLOOKUP($A196,NumberofDaysTable,2)))</f>
        <v> </v>
      </c>
      <c r="BR196" s="0" t="str">
        <f aca="false">IF($A196="N/A"," ",(VLOOKUP($A196,NumberofDaysTable,3)))</f>
        <v> </v>
      </c>
      <c r="BS196" s="0" t="str">
        <f aca="false">IF($A196="N/A"," ",(VLOOKUP($A196,NumberofDaysTable,4)))</f>
        <v> </v>
      </c>
    </row>
    <row r="197" customFormat="false" ht="12.75" hidden="false" customHeight="false" outlineLevel="0" collapsed="false">
      <c r="A197" s="315" t="str">
        <f aca="false">IF(A196="N/A","N/A",IF(EDATE(A196,1)&gt;Inputs!$M$5,"N/A",EDATE(A196,1)))</f>
        <v>N/A</v>
      </c>
      <c r="B197" s="316" t="str">
        <f aca="false">IF(A197="N/A"," ",YEAR(A197))</f>
        <v> </v>
      </c>
      <c r="C197" s="324" t="str">
        <f aca="false">IF($A197="N/A"," ",IF(Dayrun1=10,0,IF(Scaler1=1,(VLOOKUP(A197,ScaledPrice1,4)),(VLOOKUP(A197,ScaledPrice1,2)))))</f>
        <v> </v>
      </c>
      <c r="D197" s="317" t="str">
        <f aca="false">IF(A197="N/A"," ",IF(Dayrun1&gt;=7,0,IF(Scaler1=2,VLOOKUP(A197,ScaledPrice1,2),(VLOOKUP(A197,ScaledPrice1,2))*(2-(VLOOKUP(A197,ScaledPrice1,3))))))</f>
        <v> </v>
      </c>
      <c r="E197" s="317" t="str">
        <f aca="false">IF($A197="N/A"," ",IF(AND(Dayrun1&gt;=4,Dayrun1&lt;=9),0,VLOOKUP($A197,ScaledPrice1,9)))</f>
        <v> </v>
      </c>
      <c r="F197" s="317" t="str">
        <f aca="false">IF(A197="N/A"," ",IF(OR(Dayrun1=2,Dayrun1=3,Dayrun1=5,Dayrun1=6,Dayrun1=8,Dayrun1=9),VLOOKUP(A197,ScaledPrice1,IF(Scaler1=1,6,5)),0))</f>
        <v> </v>
      </c>
      <c r="G197" s="317" t="str">
        <f aca="false">IF(A197="N/A"," ",IF(OR(Dayrun1=2,Dayrun1=3,Dayrun1=5,Dayrun1=6),IF(Scaler1=2,F197,(VLOOKUP(A197,ScaledPrice1,5))*(2-(VLOOKUP(A197,ScaledPrice1,3)))),0))</f>
        <v> </v>
      </c>
      <c r="H197" s="317" t="str">
        <f aca="false">IF($A197="N/A"," ",IF(OR(Dayrun1=2,Dayrun1=3,Dayrun1=10),VLOOKUP($A197,ScaledPrice1,9),0))</f>
        <v> </v>
      </c>
      <c r="I197" s="317" t="str">
        <f aca="false">IF(A197="N/A"," ",IF(OR(Dayrun1=3,Dayrun1=6,Dayrun1=9),(VLOOKUP(A197,ScaledPrice1,IF(Scaler1=2,7,8))),0))</f>
        <v> </v>
      </c>
      <c r="J197" s="317" t="str">
        <f aca="false">IF(A197="N/A"," ",IF(OR(Dayrun1=3,Dayrun1=6),IF(Scaler1=2,I197,(VLOOKUP(A197,ScaledPrice1,7))*(2-(VLOOKUP(A197,ScaledPrice1,3)))),0))</f>
        <v> </v>
      </c>
      <c r="K197" s="317" t="str">
        <f aca="false">IF($A197="N/A"," ",IF(OR(Dayrun1=3,Dayrun1=10),VLOOKUP($A197,ScaledPrice1,9),0))</f>
        <v> </v>
      </c>
      <c r="L197" s="318" t="str">
        <f aca="false">IF($A197="N/A"," ",IF(Pricetype1=2,MAX(C197,0),IF(OR(Pricetype1=1,Pricetype1=4),IF(C197=0,0,(EURO(C197,Strikeprice1,0,0,($AH197+IF(Smile=TRUE(),VLOOKUP(MAX(-5,Strikeprice1-C197),Volsmile,2),0)),($A197-DateToday)+15,IF(Pricetype1=1,1,0),0))),C197)))</f>
        <v> </v>
      </c>
      <c r="M197" s="318" t="str">
        <f aca="false">IF($A197="N/A"," ",IF(Pricetype1=2,MAX(D197,0),IF(OR(Pricetype1=1,Pricetype1=4),IF(D197=0,0,(EURO(D197,Strikeprice1,0,0,($AH197+IF(Smile=TRUE(),VLOOKUP(MAX(-5,Strikeprice1-D197),Volsmile,2),0)),($A197-DateToday)+15,IF(Pricetype1=1,1,0),0))),D197)))</f>
        <v> </v>
      </c>
      <c r="N197" s="318" t="str">
        <f aca="false">IF($A197="N/A"," ",IF(Pricetype1=2,MAX(E197,0),IF(OR(Pricetype1=1,Pricetype1=4),IF(E197=0,0,(EURO(E197,Strikeprice1,0,0,($AK197+IF(Smile=TRUE(),VLOOKUP(MAX(-5,Strikeprice1-E197),Volsmile,2),0)),($A197-DateToday)+15,IF(Pricetype1=1,1,0),0))),E197)))</f>
        <v> </v>
      </c>
      <c r="O197" s="318" t="str">
        <f aca="false">IF($A197="N/A"," ",IF(Pricetype1=2,MAX(F197,0),IF(OR(Pricetype1=1,Pricetype1=4),IF(F197=0,0,(EURO(F197,Strikeprice1,0,0,($AK197+IF(Smile=TRUE(),VLOOKUP(MAX(-5,Strikeprice1-F197),Volsmile,2),0)),($A197-DateToday)+15,IF(Pricetype1=1,1,0),0))),F197)))</f>
        <v> </v>
      </c>
      <c r="P197" s="318" t="str">
        <f aca="false">IF($A197="N/A"," ",IF(Pricetype1=2,MAX(G197,0),IF(OR(Pricetype1=1,Pricetype1=4),IF(G197=0,0,(EURO(G197,Strikeprice1,0,0,($AK197+IF(Smile=TRUE(),VLOOKUP(MAX(-5,Strikeprice1-G197),Volsmile,2),0)),($A197-DateToday)+15,IF(Pricetype1=1,1,0),0))),G197)))</f>
        <v> </v>
      </c>
      <c r="Q197" s="318" t="str">
        <f aca="false">IF($A197="N/A"," ",IF(Pricetype1=2,MAX(H197,0),IF(OR(Pricetype1=1,Pricetype1=4),IF(H197=0,0,(EURO(H197,Strikeprice1,0,0,($AK197+IF(Smile=TRUE(),VLOOKUP(MAX(-5,Strikeprice1-H197),Volsmile,2),0)),($A197-DateToday)+15,IF(Pricetype1=1,1,0),0))),H197)))</f>
        <v> </v>
      </c>
      <c r="R197" s="318" t="str">
        <f aca="false">IF($A197="N/A"," ",IF(Pricetype1=2,MAX(I197,0),IF(OR(Pricetype1=1,Pricetype1=4),IF(I197=0,0,(EURO(I197,Strikeprice1,0,0,($AK197+IF(Smile=TRUE(),VLOOKUP(MAX(-5,Strikeprice1-I197),Volsmile,2),0)),($A197-DateToday)+15,IF(Pricetype1=1,1,0),0))),I197)))</f>
        <v> </v>
      </c>
      <c r="S197" s="318" t="str">
        <f aca="false">IF($A197="N/A"," ",IF(Pricetype1=2,MAX(J197,0),IF(OR(Pricetype1=1,Pricetype1=4),IF(J197=0,0,(EURO(J197,Strikeprice1,0,0,($AK197+IF(Smile=TRUE(),VLOOKUP(MAX(-5,Strikeprice1-J197),Volsmile,2),0)),($A197-DateToday)+15,IF(Pricetype1=1,1,0),0))),J197)))</f>
        <v> </v>
      </c>
      <c r="T197" s="318" t="str">
        <f aca="false">IF($A197="N/A"," ",IF(Pricetype1=2,MAX(K197,0),IF(OR(Pricetype1=1,Pricetype1=4),IF(K197=0,0,(EURO(K197,Strikeprice1,0,0,($AK197+IF(Smile=TRUE(),VLOOKUP(MAX(-5,Strikeprice1-K197),Volsmile,2),0)),($A197-DateToday)+15,IF(Pricetype1=1,1,0),0))),K197)))</f>
        <v> </v>
      </c>
      <c r="U197" s="319" t="str">
        <f aca="false">IF($A197="N/A"," ",Volume1*$AM197)</f>
        <v> </v>
      </c>
      <c r="V197" s="320" t="str">
        <f aca="false">IF($A197="N/A"," ",$U197*(8*($BQ197))*L197)</f>
        <v> </v>
      </c>
      <c r="W197" s="320" t="str">
        <f aca="false">IF($A197="N/A"," ",$U197*(8*($BQ197))*M197)</f>
        <v> </v>
      </c>
      <c r="X197" s="320" t="str">
        <f aca="false">IF($A197="N/A"," ",$U197*(8*($BQ197))*N197)</f>
        <v> </v>
      </c>
      <c r="Y197" s="320" t="str">
        <f aca="false">IF($A197="N/A"," ",$U197*(8*($BR197))*O197)</f>
        <v> </v>
      </c>
      <c r="Z197" s="320" t="str">
        <f aca="false">IF($A197="N/A"," ",$U197*(8*($BR197))*P197)</f>
        <v> </v>
      </c>
      <c r="AA197" s="320" t="str">
        <f aca="false">IF($A197="N/A"," ",$U197*(8*($BR197))*Q197)</f>
        <v> </v>
      </c>
      <c r="AB197" s="320" t="str">
        <f aca="false">IF($A197="N/A"," ",$U197*(8*($BS197))*R197)</f>
        <v> </v>
      </c>
      <c r="AC197" s="320" t="str">
        <f aca="false">IF($A197="N/A"," ",$U197*(8*($BS197))*S197)</f>
        <v> </v>
      </c>
      <c r="AD197" s="320" t="str">
        <f aca="false">IF($A197="N/A"," ",$U197*(8*($BS197))*T197)</f>
        <v> </v>
      </c>
      <c r="AE197" s="320" t="str">
        <f aca="false">IF($A197="N/A"," ",SUM(V197:AD197))</f>
        <v> </v>
      </c>
      <c r="AF197" s="321" t="str">
        <f aca="false">IF(A197="N/A"," ",(VLOOKUP(A197,PowerVolTable,(IF(VolBMO1=2,7,IF(VolBMO1=1,6,8))),FALSE())))</f>
        <v> </v>
      </c>
      <c r="AG197" s="321" t="str">
        <f aca="false">IF(A197="N/A"," ",(VLOOKUP(A197,IntraPowerVol,(IF(VolBMO1=2,3,IF(VolBMO1=1,2,4))),FALSE())*VLOOKUP(MONTH($A197),Volscale,2)))</f>
        <v> </v>
      </c>
      <c r="AH197" s="321" t="str">
        <f aca="false">IF($A197="N/A"," ",IF(VolType1=1,AG197,AF197))</f>
        <v> </v>
      </c>
      <c r="AI197" s="321" t="str">
        <f aca="false">IF($A197="N/A"," ",(VLOOKUP($A197,OffPwrVolTable,(IF(VolBMO1=2,7,IF(VolBMO1=1,6,8))),FALSE())))</f>
        <v> </v>
      </c>
      <c r="AJ197" s="321" t="str">
        <f aca="false">IF($A197="N/A"," ",(VLOOKUP($A197,OffPwrVolTable,(IF(VolBMO1=2,3,IF(VolBMO1=1,2,4))),FALSE())*VLOOKUP(MONTH($A197),Volscale,2)))</f>
        <v> </v>
      </c>
      <c r="AK197" s="321" t="str">
        <f aca="false">IF($A197="N/A"," ",IF(VolType1=1,AJ197,AI197))</f>
        <v> </v>
      </c>
      <c r="AL197" s="321" t="str">
        <f aca="false">IF($A197="N/A"," ",IF(PV=1,0,'Pricing Inputs1'!R230))</f>
        <v> </v>
      </c>
      <c r="AM197" s="323" t="str">
        <f aca="false">IF($A197="N/A"," ",(1+AL197/2)^(-2*((EOMONTH(A197,0)+20)-DateToday)/365.25))</f>
        <v> </v>
      </c>
      <c r="BQ197" s="0" t="str">
        <f aca="false">IF($A197="N/A"," ",(VLOOKUP($A197,NumberofDaysTable,2)))</f>
        <v> </v>
      </c>
      <c r="BR197" s="0" t="str">
        <f aca="false">IF($A197="N/A"," ",(VLOOKUP($A197,NumberofDaysTable,3)))</f>
        <v> </v>
      </c>
      <c r="BS197" s="0" t="str">
        <f aca="false">IF($A197="N/A"," ",(VLOOKUP($A197,NumberofDaysTable,4)))</f>
        <v> </v>
      </c>
    </row>
    <row r="198" customFormat="false" ht="12.75" hidden="false" customHeight="false" outlineLevel="0" collapsed="false">
      <c r="A198" s="315" t="str">
        <f aca="false">IF(A197="N/A","N/A",IF(EDATE(A197,1)&gt;Inputs!$M$5,"N/A",EDATE(A197,1)))</f>
        <v>N/A</v>
      </c>
      <c r="B198" s="316" t="str">
        <f aca="false">IF(A198="N/A"," ",YEAR(A198))</f>
        <v> </v>
      </c>
      <c r="C198" s="324" t="str">
        <f aca="false">IF($A198="N/A"," ",IF(Dayrun1=10,0,IF(Scaler1=1,(VLOOKUP(A198,ScaledPrice1,4)),(VLOOKUP(A198,ScaledPrice1,2)))))</f>
        <v> </v>
      </c>
      <c r="D198" s="317" t="str">
        <f aca="false">IF(A198="N/A"," ",IF(Dayrun1&gt;=7,0,IF(Scaler1=2,VLOOKUP(A198,ScaledPrice1,2),(VLOOKUP(A198,ScaledPrice1,2))*(2-(VLOOKUP(A198,ScaledPrice1,3))))))</f>
        <v> </v>
      </c>
      <c r="E198" s="317" t="str">
        <f aca="false">IF($A198="N/A"," ",IF(AND(Dayrun1&gt;=4,Dayrun1&lt;=9),0,VLOOKUP($A198,ScaledPrice1,9)))</f>
        <v> </v>
      </c>
      <c r="F198" s="317" t="str">
        <f aca="false">IF(A198="N/A"," ",IF(OR(Dayrun1=2,Dayrun1=3,Dayrun1=5,Dayrun1=6,Dayrun1=8,Dayrun1=9),VLOOKUP(A198,ScaledPrice1,IF(Scaler1=1,6,5)),0))</f>
        <v> </v>
      </c>
      <c r="G198" s="317" t="str">
        <f aca="false">IF(A198="N/A"," ",IF(OR(Dayrun1=2,Dayrun1=3,Dayrun1=5,Dayrun1=6),IF(Scaler1=2,F198,(VLOOKUP(A198,ScaledPrice1,5))*(2-(VLOOKUP(A198,ScaledPrice1,3)))),0))</f>
        <v> </v>
      </c>
      <c r="H198" s="317" t="str">
        <f aca="false">IF($A198="N/A"," ",IF(OR(Dayrun1=2,Dayrun1=3,Dayrun1=10),VLOOKUP($A198,ScaledPrice1,9),0))</f>
        <v> </v>
      </c>
      <c r="I198" s="317" t="str">
        <f aca="false">IF(A198="N/A"," ",IF(OR(Dayrun1=3,Dayrun1=6,Dayrun1=9),(VLOOKUP(A198,ScaledPrice1,IF(Scaler1=2,7,8))),0))</f>
        <v> </v>
      </c>
      <c r="J198" s="317" t="str">
        <f aca="false">IF(A198="N/A"," ",IF(OR(Dayrun1=3,Dayrun1=6),IF(Scaler1=2,I198,(VLOOKUP(A198,ScaledPrice1,7))*(2-(VLOOKUP(A198,ScaledPrice1,3)))),0))</f>
        <v> </v>
      </c>
      <c r="K198" s="317" t="str">
        <f aca="false">IF($A198="N/A"," ",IF(OR(Dayrun1=3,Dayrun1=10),VLOOKUP($A198,ScaledPrice1,9),0))</f>
        <v> </v>
      </c>
      <c r="L198" s="318" t="str">
        <f aca="false">IF($A198="N/A"," ",IF(Pricetype1=2,MAX(C198,0),IF(OR(Pricetype1=1,Pricetype1=4),IF(C198=0,0,(EURO(C198,Strikeprice1,0,0,($AH198+IF(Smile=TRUE(),VLOOKUP(MAX(-5,Strikeprice1-C198),Volsmile,2),0)),($A198-DateToday)+15,IF(Pricetype1=1,1,0),0))),C198)))</f>
        <v> </v>
      </c>
      <c r="M198" s="318" t="str">
        <f aca="false">IF($A198="N/A"," ",IF(Pricetype1=2,MAX(D198,0),IF(OR(Pricetype1=1,Pricetype1=4),IF(D198=0,0,(EURO(D198,Strikeprice1,0,0,($AH198+IF(Smile=TRUE(),VLOOKUP(MAX(-5,Strikeprice1-D198),Volsmile,2),0)),($A198-DateToday)+15,IF(Pricetype1=1,1,0),0))),D198)))</f>
        <v> </v>
      </c>
      <c r="N198" s="318" t="str">
        <f aca="false">IF($A198="N/A"," ",IF(Pricetype1=2,MAX(E198,0),IF(OR(Pricetype1=1,Pricetype1=4),IF(E198=0,0,(EURO(E198,Strikeprice1,0,0,($AK198+IF(Smile=TRUE(),VLOOKUP(MAX(-5,Strikeprice1-E198),Volsmile,2),0)),($A198-DateToday)+15,IF(Pricetype1=1,1,0),0))),E198)))</f>
        <v> </v>
      </c>
      <c r="O198" s="318" t="str">
        <f aca="false">IF($A198="N/A"," ",IF(Pricetype1=2,MAX(F198,0),IF(OR(Pricetype1=1,Pricetype1=4),IF(F198=0,0,(EURO(F198,Strikeprice1,0,0,($AK198+IF(Smile=TRUE(),VLOOKUP(MAX(-5,Strikeprice1-F198),Volsmile,2),0)),($A198-DateToday)+15,IF(Pricetype1=1,1,0),0))),F198)))</f>
        <v> </v>
      </c>
      <c r="P198" s="318" t="str">
        <f aca="false">IF($A198="N/A"," ",IF(Pricetype1=2,MAX(G198,0),IF(OR(Pricetype1=1,Pricetype1=4),IF(G198=0,0,(EURO(G198,Strikeprice1,0,0,($AK198+IF(Smile=TRUE(),VLOOKUP(MAX(-5,Strikeprice1-G198),Volsmile,2),0)),($A198-DateToday)+15,IF(Pricetype1=1,1,0),0))),G198)))</f>
        <v> </v>
      </c>
      <c r="Q198" s="318" t="str">
        <f aca="false">IF($A198="N/A"," ",IF(Pricetype1=2,MAX(H198,0),IF(OR(Pricetype1=1,Pricetype1=4),IF(H198=0,0,(EURO(H198,Strikeprice1,0,0,($AK198+IF(Smile=TRUE(),VLOOKUP(MAX(-5,Strikeprice1-H198),Volsmile,2),0)),($A198-DateToday)+15,IF(Pricetype1=1,1,0),0))),H198)))</f>
        <v> </v>
      </c>
      <c r="R198" s="318" t="str">
        <f aca="false">IF($A198="N/A"," ",IF(Pricetype1=2,MAX(I198,0),IF(OR(Pricetype1=1,Pricetype1=4),IF(I198=0,0,(EURO(I198,Strikeprice1,0,0,($AK198+IF(Smile=TRUE(),VLOOKUP(MAX(-5,Strikeprice1-I198),Volsmile,2),0)),($A198-DateToday)+15,IF(Pricetype1=1,1,0),0))),I198)))</f>
        <v> </v>
      </c>
      <c r="S198" s="318" t="str">
        <f aca="false">IF($A198="N/A"," ",IF(Pricetype1=2,MAX(J198,0),IF(OR(Pricetype1=1,Pricetype1=4),IF(J198=0,0,(EURO(J198,Strikeprice1,0,0,($AK198+IF(Smile=TRUE(),VLOOKUP(MAX(-5,Strikeprice1-J198),Volsmile,2),0)),($A198-DateToday)+15,IF(Pricetype1=1,1,0),0))),J198)))</f>
        <v> </v>
      </c>
      <c r="T198" s="318" t="str">
        <f aca="false">IF($A198="N/A"," ",IF(Pricetype1=2,MAX(K198,0),IF(OR(Pricetype1=1,Pricetype1=4),IF(K198=0,0,(EURO(K198,Strikeprice1,0,0,($AK198+IF(Smile=TRUE(),VLOOKUP(MAX(-5,Strikeprice1-K198),Volsmile,2),0)),($A198-DateToday)+15,IF(Pricetype1=1,1,0),0))),K198)))</f>
        <v> </v>
      </c>
      <c r="U198" s="319" t="str">
        <f aca="false">IF($A198="N/A"," ",Volume1*$AM198)</f>
        <v> </v>
      </c>
      <c r="V198" s="320" t="str">
        <f aca="false">IF($A198="N/A"," ",$U198*(8*($BQ198))*L198)</f>
        <v> </v>
      </c>
      <c r="W198" s="320" t="str">
        <f aca="false">IF($A198="N/A"," ",$U198*(8*($BQ198))*M198)</f>
        <v> </v>
      </c>
      <c r="X198" s="320" t="str">
        <f aca="false">IF($A198="N/A"," ",$U198*(8*($BQ198))*N198)</f>
        <v> </v>
      </c>
      <c r="Y198" s="320" t="str">
        <f aca="false">IF($A198="N/A"," ",$U198*(8*($BR198))*O198)</f>
        <v> </v>
      </c>
      <c r="Z198" s="320" t="str">
        <f aca="false">IF($A198="N/A"," ",$U198*(8*($BR198))*P198)</f>
        <v> </v>
      </c>
      <c r="AA198" s="320" t="str">
        <f aca="false">IF($A198="N/A"," ",$U198*(8*($BR198))*Q198)</f>
        <v> </v>
      </c>
      <c r="AB198" s="320" t="str">
        <f aca="false">IF($A198="N/A"," ",$U198*(8*($BS198))*R198)</f>
        <v> </v>
      </c>
      <c r="AC198" s="320" t="str">
        <f aca="false">IF($A198="N/A"," ",$U198*(8*($BS198))*S198)</f>
        <v> </v>
      </c>
      <c r="AD198" s="320" t="str">
        <f aca="false">IF($A198="N/A"," ",$U198*(8*($BS198))*T198)</f>
        <v> </v>
      </c>
      <c r="AE198" s="320" t="str">
        <f aca="false">IF($A198="N/A"," ",SUM(V198:AD198))</f>
        <v> </v>
      </c>
      <c r="AF198" s="321" t="str">
        <f aca="false">IF(A198="N/A"," ",(VLOOKUP(A198,PowerVolTable,(IF(VolBMO1=2,7,IF(VolBMO1=1,6,8))),FALSE())))</f>
        <v> </v>
      </c>
      <c r="AG198" s="321" t="str">
        <f aca="false">IF(A198="N/A"," ",(VLOOKUP(A198,IntraPowerVol,(IF(VolBMO1=2,3,IF(VolBMO1=1,2,4))),FALSE())*VLOOKUP(MONTH($A198),Volscale,2)))</f>
        <v> </v>
      </c>
      <c r="AH198" s="321" t="str">
        <f aca="false">IF($A198="N/A"," ",IF(VolType1=1,AG198,AF198))</f>
        <v> </v>
      </c>
      <c r="AI198" s="321" t="str">
        <f aca="false">IF($A198="N/A"," ",(VLOOKUP($A198,OffPwrVolTable,(IF(VolBMO1=2,7,IF(VolBMO1=1,6,8))),FALSE())))</f>
        <v> </v>
      </c>
      <c r="AJ198" s="321" t="str">
        <f aca="false">IF($A198="N/A"," ",(VLOOKUP($A198,OffPwrVolTable,(IF(VolBMO1=2,3,IF(VolBMO1=1,2,4))),FALSE())*VLOOKUP(MONTH($A198),Volscale,2)))</f>
        <v> </v>
      </c>
      <c r="AK198" s="321" t="str">
        <f aca="false">IF($A198="N/A"," ",IF(VolType1=1,AJ198,AI198))</f>
        <v> </v>
      </c>
      <c r="AL198" s="321" t="str">
        <f aca="false">IF($A198="N/A"," ",IF(PV=1,0,'Pricing Inputs1'!R231))</f>
        <v> </v>
      </c>
      <c r="AM198" s="323" t="str">
        <f aca="false">IF($A198="N/A"," ",(1+AL198/2)^(-2*((EOMONTH(A198,0)+20)-DateToday)/365.25))</f>
        <v> </v>
      </c>
      <c r="BQ198" s="0" t="str">
        <f aca="false">IF($A198="N/A"," ",(VLOOKUP($A198,NumberofDaysTable,2)))</f>
        <v> </v>
      </c>
      <c r="BR198" s="0" t="str">
        <f aca="false">IF($A198="N/A"," ",(VLOOKUP($A198,NumberofDaysTable,3)))</f>
        <v> </v>
      </c>
      <c r="BS198" s="0" t="str">
        <f aca="false">IF($A198="N/A"," ",(VLOOKUP($A198,NumberofDaysTable,4)))</f>
        <v> </v>
      </c>
    </row>
    <row r="199" customFormat="false" ht="12.75" hidden="false" customHeight="false" outlineLevel="0" collapsed="false">
      <c r="A199" s="315" t="str">
        <f aca="false">IF(A198="N/A","N/A",IF(EDATE(A198,1)&gt;Inputs!$M$5,"N/A",EDATE(A198,1)))</f>
        <v>N/A</v>
      </c>
      <c r="B199" s="316" t="str">
        <f aca="false">IF(A199="N/A"," ",YEAR(A199))</f>
        <v> </v>
      </c>
      <c r="C199" s="324" t="str">
        <f aca="false">IF($A199="N/A"," ",IF(Dayrun1=10,0,IF(Scaler1=1,(VLOOKUP(A199,ScaledPrice1,4)),(VLOOKUP(A199,ScaledPrice1,2)))))</f>
        <v> </v>
      </c>
      <c r="D199" s="317" t="str">
        <f aca="false">IF(A199="N/A"," ",IF(Dayrun1&gt;=7,0,IF(Scaler1=2,VLOOKUP(A199,ScaledPrice1,2),(VLOOKUP(A199,ScaledPrice1,2))*(2-(VLOOKUP(A199,ScaledPrice1,3))))))</f>
        <v> </v>
      </c>
      <c r="E199" s="317" t="str">
        <f aca="false">IF($A199="N/A"," ",IF(AND(Dayrun1&gt;=4,Dayrun1&lt;=9),0,VLOOKUP($A199,ScaledPrice1,9)))</f>
        <v> </v>
      </c>
      <c r="F199" s="317" t="str">
        <f aca="false">IF(A199="N/A"," ",IF(OR(Dayrun1=2,Dayrun1=3,Dayrun1=5,Dayrun1=6,Dayrun1=8,Dayrun1=9),VLOOKUP(A199,ScaledPrice1,IF(Scaler1=1,6,5)),0))</f>
        <v> </v>
      </c>
      <c r="G199" s="317" t="str">
        <f aca="false">IF(A199="N/A"," ",IF(OR(Dayrun1=2,Dayrun1=3,Dayrun1=5,Dayrun1=6),IF(Scaler1=2,F199,(VLOOKUP(A199,ScaledPrice1,5))*(2-(VLOOKUP(A199,ScaledPrice1,3)))),0))</f>
        <v> </v>
      </c>
      <c r="H199" s="317" t="str">
        <f aca="false">IF($A199="N/A"," ",IF(OR(Dayrun1=2,Dayrun1=3,Dayrun1=10),VLOOKUP($A199,ScaledPrice1,9),0))</f>
        <v> </v>
      </c>
      <c r="I199" s="317" t="str">
        <f aca="false">IF(A199="N/A"," ",IF(OR(Dayrun1=3,Dayrun1=6,Dayrun1=9),(VLOOKUP(A199,ScaledPrice1,IF(Scaler1=2,7,8))),0))</f>
        <v> </v>
      </c>
      <c r="J199" s="317" t="str">
        <f aca="false">IF(A199="N/A"," ",IF(OR(Dayrun1=3,Dayrun1=6),IF(Scaler1=2,I199,(VLOOKUP(A199,ScaledPrice1,7))*(2-(VLOOKUP(A199,ScaledPrice1,3)))),0))</f>
        <v> </v>
      </c>
      <c r="K199" s="317" t="str">
        <f aca="false">IF($A199="N/A"," ",IF(OR(Dayrun1=3,Dayrun1=10),VLOOKUP($A199,ScaledPrice1,9),0))</f>
        <v> </v>
      </c>
      <c r="L199" s="318" t="str">
        <f aca="false">IF($A199="N/A"," ",IF(Pricetype1=2,MAX(C199,0),IF(OR(Pricetype1=1,Pricetype1=4),IF(C199=0,0,(EURO(C199,Strikeprice1,0,0,($AH199+IF(Smile=TRUE(),VLOOKUP(MAX(-5,Strikeprice1-C199),Volsmile,2),0)),($A199-DateToday)+15,IF(Pricetype1=1,1,0),0))),C199)))</f>
        <v> </v>
      </c>
      <c r="M199" s="318" t="str">
        <f aca="false">IF($A199="N/A"," ",IF(Pricetype1=2,MAX(D199,0),IF(OR(Pricetype1=1,Pricetype1=4),IF(D199=0,0,(EURO(D199,Strikeprice1,0,0,($AH199+IF(Smile=TRUE(),VLOOKUP(MAX(-5,Strikeprice1-D199),Volsmile,2),0)),($A199-DateToday)+15,IF(Pricetype1=1,1,0),0))),D199)))</f>
        <v> </v>
      </c>
      <c r="N199" s="318" t="str">
        <f aca="false">IF($A199="N/A"," ",IF(Pricetype1=2,MAX(E199,0),IF(OR(Pricetype1=1,Pricetype1=4),IF(E199=0,0,(EURO(E199,Strikeprice1,0,0,($AK199+IF(Smile=TRUE(),VLOOKUP(MAX(-5,Strikeprice1-E199),Volsmile,2),0)),($A199-DateToday)+15,IF(Pricetype1=1,1,0),0))),E199)))</f>
        <v> </v>
      </c>
      <c r="O199" s="318" t="str">
        <f aca="false">IF($A199="N/A"," ",IF(Pricetype1=2,MAX(F199,0),IF(OR(Pricetype1=1,Pricetype1=4),IF(F199=0,0,(EURO(F199,Strikeprice1,0,0,($AK199+IF(Smile=TRUE(),VLOOKUP(MAX(-5,Strikeprice1-F199),Volsmile,2),0)),($A199-DateToday)+15,IF(Pricetype1=1,1,0),0))),F199)))</f>
        <v> </v>
      </c>
      <c r="P199" s="318" t="str">
        <f aca="false">IF($A199="N/A"," ",IF(Pricetype1=2,MAX(G199,0),IF(OR(Pricetype1=1,Pricetype1=4),IF(G199=0,0,(EURO(G199,Strikeprice1,0,0,($AK199+IF(Smile=TRUE(),VLOOKUP(MAX(-5,Strikeprice1-G199),Volsmile,2),0)),($A199-DateToday)+15,IF(Pricetype1=1,1,0),0))),G199)))</f>
        <v> </v>
      </c>
      <c r="Q199" s="318" t="str">
        <f aca="false">IF($A199="N/A"," ",IF(Pricetype1=2,MAX(H199,0),IF(OR(Pricetype1=1,Pricetype1=4),IF(H199=0,0,(EURO(H199,Strikeprice1,0,0,($AK199+IF(Smile=TRUE(),VLOOKUP(MAX(-5,Strikeprice1-H199),Volsmile,2),0)),($A199-DateToday)+15,IF(Pricetype1=1,1,0),0))),H199)))</f>
        <v> </v>
      </c>
      <c r="R199" s="318" t="str">
        <f aca="false">IF($A199="N/A"," ",IF(Pricetype1=2,MAX(I199,0),IF(OR(Pricetype1=1,Pricetype1=4),IF(I199=0,0,(EURO(I199,Strikeprice1,0,0,($AK199+IF(Smile=TRUE(),VLOOKUP(MAX(-5,Strikeprice1-I199),Volsmile,2),0)),($A199-DateToday)+15,IF(Pricetype1=1,1,0),0))),I199)))</f>
        <v> </v>
      </c>
      <c r="S199" s="318" t="str">
        <f aca="false">IF($A199="N/A"," ",IF(Pricetype1=2,MAX(J199,0),IF(OR(Pricetype1=1,Pricetype1=4),IF(J199=0,0,(EURO(J199,Strikeprice1,0,0,($AK199+IF(Smile=TRUE(),VLOOKUP(MAX(-5,Strikeprice1-J199),Volsmile,2),0)),($A199-DateToday)+15,IF(Pricetype1=1,1,0),0))),J199)))</f>
        <v> </v>
      </c>
      <c r="T199" s="318" t="str">
        <f aca="false">IF($A199="N/A"," ",IF(Pricetype1=2,MAX(K199,0),IF(OR(Pricetype1=1,Pricetype1=4),IF(K199=0,0,(EURO(K199,Strikeprice1,0,0,($AK199+IF(Smile=TRUE(),VLOOKUP(MAX(-5,Strikeprice1-K199),Volsmile,2),0)),($A199-DateToday)+15,IF(Pricetype1=1,1,0),0))),K199)))</f>
        <v> </v>
      </c>
      <c r="U199" s="319" t="str">
        <f aca="false">IF($A199="N/A"," ",Volume1*$AM199)</f>
        <v> </v>
      </c>
      <c r="V199" s="320" t="str">
        <f aca="false">IF($A199="N/A"," ",$U199*(8*($BQ199))*L199)</f>
        <v> </v>
      </c>
      <c r="W199" s="320" t="str">
        <f aca="false">IF($A199="N/A"," ",$U199*(8*($BQ199))*M199)</f>
        <v> </v>
      </c>
      <c r="X199" s="320" t="str">
        <f aca="false">IF($A199="N/A"," ",$U199*(8*($BQ199))*N199)</f>
        <v> </v>
      </c>
      <c r="Y199" s="320" t="str">
        <f aca="false">IF($A199="N/A"," ",$U199*(8*($BR199))*O199)</f>
        <v> </v>
      </c>
      <c r="Z199" s="320" t="str">
        <f aca="false">IF($A199="N/A"," ",$U199*(8*($BR199))*P199)</f>
        <v> </v>
      </c>
      <c r="AA199" s="320" t="str">
        <f aca="false">IF($A199="N/A"," ",$U199*(8*($BR199))*Q199)</f>
        <v> </v>
      </c>
      <c r="AB199" s="320" t="str">
        <f aca="false">IF($A199="N/A"," ",$U199*(8*($BS199))*R199)</f>
        <v> </v>
      </c>
      <c r="AC199" s="320" t="str">
        <f aca="false">IF($A199="N/A"," ",$U199*(8*($BS199))*S199)</f>
        <v> </v>
      </c>
      <c r="AD199" s="320" t="str">
        <f aca="false">IF($A199="N/A"," ",$U199*(8*($BS199))*T199)</f>
        <v> </v>
      </c>
      <c r="AE199" s="320" t="str">
        <f aca="false">IF($A199="N/A"," ",SUM(V199:AD199))</f>
        <v> </v>
      </c>
      <c r="AF199" s="321" t="str">
        <f aca="false">IF(A199="N/A"," ",(VLOOKUP(A199,PowerVolTable,(IF(VolBMO1=2,7,IF(VolBMO1=1,6,8))),FALSE())))</f>
        <v> </v>
      </c>
      <c r="AG199" s="321" t="str">
        <f aca="false">IF(A199="N/A"," ",(VLOOKUP(A199,IntraPowerVol,(IF(VolBMO1=2,3,IF(VolBMO1=1,2,4))),FALSE())*VLOOKUP(MONTH($A199),Volscale,2)))</f>
        <v> </v>
      </c>
      <c r="AH199" s="321" t="str">
        <f aca="false">IF($A199="N/A"," ",IF(VolType1=1,AG199,AF199))</f>
        <v> </v>
      </c>
      <c r="AI199" s="321" t="str">
        <f aca="false">IF($A199="N/A"," ",(VLOOKUP($A199,OffPwrVolTable,(IF(VolBMO1=2,7,IF(VolBMO1=1,6,8))),FALSE())))</f>
        <v> </v>
      </c>
      <c r="AJ199" s="321" t="str">
        <f aca="false">IF($A199="N/A"," ",(VLOOKUP($A199,OffPwrVolTable,(IF(VolBMO1=2,3,IF(VolBMO1=1,2,4))),FALSE())*VLOOKUP(MONTH($A199),Volscale,2)))</f>
        <v> </v>
      </c>
      <c r="AK199" s="321" t="str">
        <f aca="false">IF($A199="N/A"," ",IF(VolType1=1,AJ199,AI199))</f>
        <v> </v>
      </c>
      <c r="AL199" s="321" t="str">
        <f aca="false">IF($A199="N/A"," ",IF(PV=1,0,'Pricing Inputs1'!R232))</f>
        <v> </v>
      </c>
      <c r="AM199" s="323" t="str">
        <f aca="false">IF($A199="N/A"," ",(1+AL199/2)^(-2*((EOMONTH(A199,0)+20)-DateToday)/365.25))</f>
        <v> </v>
      </c>
      <c r="BQ199" s="0" t="str">
        <f aca="false">IF($A199="N/A"," ",(VLOOKUP($A199,NumberofDaysTable,2)))</f>
        <v> </v>
      </c>
      <c r="BR199" s="0" t="str">
        <f aca="false">IF($A199="N/A"," ",(VLOOKUP($A199,NumberofDaysTable,3)))</f>
        <v> </v>
      </c>
      <c r="BS199" s="0" t="str">
        <f aca="false">IF($A199="N/A"," ",(VLOOKUP($A199,NumberofDaysTable,4)))</f>
        <v> </v>
      </c>
    </row>
    <row r="200" customFormat="false" ht="12.75" hidden="false" customHeight="false" outlineLevel="0" collapsed="false">
      <c r="A200" s="315" t="str">
        <f aca="false">IF(A199="N/A","N/A",IF(EDATE(A199,1)&gt;Inputs!$M$5,"N/A",EDATE(A199,1)))</f>
        <v>N/A</v>
      </c>
      <c r="B200" s="316" t="str">
        <f aca="false">IF(A200="N/A"," ",YEAR(A200))</f>
        <v> </v>
      </c>
      <c r="C200" s="324" t="str">
        <f aca="false">IF($A200="N/A"," ",IF(Dayrun1=10,0,IF(Scaler1=1,(VLOOKUP(A200,ScaledPrice1,4)),(VLOOKUP(A200,ScaledPrice1,2)))))</f>
        <v> </v>
      </c>
      <c r="D200" s="317" t="str">
        <f aca="false">IF(A200="N/A"," ",IF(Dayrun1&gt;=7,0,IF(Scaler1=2,VLOOKUP(A200,ScaledPrice1,2),(VLOOKUP(A200,ScaledPrice1,2))*(2-(VLOOKUP(A200,ScaledPrice1,3))))))</f>
        <v> </v>
      </c>
      <c r="E200" s="317" t="str">
        <f aca="false">IF($A200="N/A"," ",IF(AND(Dayrun1&gt;=4,Dayrun1&lt;=9),0,VLOOKUP($A200,ScaledPrice1,9)))</f>
        <v> </v>
      </c>
      <c r="F200" s="317" t="str">
        <f aca="false">IF(A200="N/A"," ",IF(OR(Dayrun1=2,Dayrun1=3,Dayrun1=5,Dayrun1=6,Dayrun1=8,Dayrun1=9),VLOOKUP(A200,ScaledPrice1,IF(Scaler1=1,6,5)),0))</f>
        <v> </v>
      </c>
      <c r="G200" s="317" t="str">
        <f aca="false">IF(A200="N/A"," ",IF(OR(Dayrun1=2,Dayrun1=3,Dayrun1=5,Dayrun1=6),IF(Scaler1=2,F200,(VLOOKUP(A200,ScaledPrice1,5))*(2-(VLOOKUP(A200,ScaledPrice1,3)))),0))</f>
        <v> </v>
      </c>
      <c r="H200" s="317" t="str">
        <f aca="false">IF($A200="N/A"," ",IF(OR(Dayrun1=2,Dayrun1=3,Dayrun1=10),VLOOKUP($A200,ScaledPrice1,9),0))</f>
        <v> </v>
      </c>
      <c r="I200" s="317" t="str">
        <f aca="false">IF(A200="N/A"," ",IF(OR(Dayrun1=3,Dayrun1=6,Dayrun1=9),(VLOOKUP(A200,ScaledPrice1,IF(Scaler1=2,7,8))),0))</f>
        <v> </v>
      </c>
      <c r="J200" s="317" t="str">
        <f aca="false">IF(A200="N/A"," ",IF(OR(Dayrun1=3,Dayrun1=6),IF(Scaler1=2,I200,(VLOOKUP(A200,ScaledPrice1,7))*(2-(VLOOKUP(A200,ScaledPrice1,3)))),0))</f>
        <v> </v>
      </c>
      <c r="K200" s="317" t="str">
        <f aca="false">IF($A200="N/A"," ",IF(OR(Dayrun1=3,Dayrun1=10),VLOOKUP($A200,ScaledPrice1,9),0))</f>
        <v> </v>
      </c>
      <c r="L200" s="318" t="str">
        <f aca="false">IF($A200="N/A"," ",IF(Pricetype1=2,MAX(C200,0),IF(OR(Pricetype1=1,Pricetype1=4),IF(C200=0,0,(EURO(C200,Strikeprice1,0,0,($AH200+IF(Smile=TRUE(),VLOOKUP(MAX(-5,Strikeprice1-C200),Volsmile,2),0)),($A200-DateToday)+15,IF(Pricetype1=1,1,0),0))),C200)))</f>
        <v> </v>
      </c>
      <c r="M200" s="318" t="str">
        <f aca="false">IF($A200="N/A"," ",IF(Pricetype1=2,MAX(D200,0),IF(OR(Pricetype1=1,Pricetype1=4),IF(D200=0,0,(EURO(D200,Strikeprice1,0,0,($AH200+IF(Smile=TRUE(),VLOOKUP(MAX(-5,Strikeprice1-D200),Volsmile,2),0)),($A200-DateToday)+15,IF(Pricetype1=1,1,0),0))),D200)))</f>
        <v> </v>
      </c>
      <c r="N200" s="318" t="str">
        <f aca="false">IF($A200="N/A"," ",IF(Pricetype1=2,MAX(E200,0),IF(OR(Pricetype1=1,Pricetype1=4),IF(E200=0,0,(EURO(E200,Strikeprice1,0,0,($AK200+IF(Smile=TRUE(),VLOOKUP(MAX(-5,Strikeprice1-E200),Volsmile,2),0)),($A200-DateToday)+15,IF(Pricetype1=1,1,0),0))),E200)))</f>
        <v> </v>
      </c>
      <c r="O200" s="318" t="str">
        <f aca="false">IF($A200="N/A"," ",IF(Pricetype1=2,MAX(F200,0),IF(OR(Pricetype1=1,Pricetype1=4),IF(F200=0,0,(EURO(F200,Strikeprice1,0,0,($AK200+IF(Smile=TRUE(),VLOOKUP(MAX(-5,Strikeprice1-F200),Volsmile,2),0)),($A200-DateToday)+15,IF(Pricetype1=1,1,0),0))),F200)))</f>
        <v> </v>
      </c>
      <c r="P200" s="318" t="str">
        <f aca="false">IF($A200="N/A"," ",IF(Pricetype1=2,MAX(G200,0),IF(OR(Pricetype1=1,Pricetype1=4),IF(G200=0,0,(EURO(G200,Strikeprice1,0,0,($AK200+IF(Smile=TRUE(),VLOOKUP(MAX(-5,Strikeprice1-G200),Volsmile,2),0)),($A200-DateToday)+15,IF(Pricetype1=1,1,0),0))),G200)))</f>
        <v> </v>
      </c>
      <c r="Q200" s="318" t="str">
        <f aca="false">IF($A200="N/A"," ",IF(Pricetype1=2,MAX(H200,0),IF(OR(Pricetype1=1,Pricetype1=4),IF(H200=0,0,(EURO(H200,Strikeprice1,0,0,($AK200+IF(Smile=TRUE(),VLOOKUP(MAX(-5,Strikeprice1-H200),Volsmile,2),0)),($A200-DateToday)+15,IF(Pricetype1=1,1,0),0))),H200)))</f>
        <v> </v>
      </c>
      <c r="R200" s="318" t="str">
        <f aca="false">IF($A200="N/A"," ",IF(Pricetype1=2,MAX(I200,0),IF(OR(Pricetype1=1,Pricetype1=4),IF(I200=0,0,(EURO(I200,Strikeprice1,0,0,($AK200+IF(Smile=TRUE(),VLOOKUP(MAX(-5,Strikeprice1-I200),Volsmile,2),0)),($A200-DateToday)+15,IF(Pricetype1=1,1,0),0))),I200)))</f>
        <v> </v>
      </c>
      <c r="S200" s="318" t="str">
        <f aca="false">IF($A200="N/A"," ",IF(Pricetype1=2,MAX(J200,0),IF(OR(Pricetype1=1,Pricetype1=4),IF(J200=0,0,(EURO(J200,Strikeprice1,0,0,($AK200+IF(Smile=TRUE(),VLOOKUP(MAX(-5,Strikeprice1-J200),Volsmile,2),0)),($A200-DateToday)+15,IF(Pricetype1=1,1,0),0))),J200)))</f>
        <v> </v>
      </c>
      <c r="T200" s="318" t="str">
        <f aca="false">IF($A200="N/A"," ",IF(Pricetype1=2,MAX(K200,0),IF(OR(Pricetype1=1,Pricetype1=4),IF(K200=0,0,(EURO(K200,Strikeprice1,0,0,($AK200+IF(Smile=TRUE(),VLOOKUP(MAX(-5,Strikeprice1-K200),Volsmile,2),0)),($A200-DateToday)+15,IF(Pricetype1=1,1,0),0))),K200)))</f>
        <v> </v>
      </c>
      <c r="U200" s="319" t="str">
        <f aca="false">IF($A200="N/A"," ",Volume1*$AM200)</f>
        <v> </v>
      </c>
      <c r="V200" s="320" t="str">
        <f aca="false">IF($A200="N/A"," ",$U200*(8*($BQ200))*L200)</f>
        <v> </v>
      </c>
      <c r="W200" s="320" t="str">
        <f aca="false">IF($A200="N/A"," ",$U200*(8*($BQ200))*M200)</f>
        <v> </v>
      </c>
      <c r="X200" s="320" t="str">
        <f aca="false">IF($A200="N/A"," ",$U200*(8*($BQ200))*N200)</f>
        <v> </v>
      </c>
      <c r="Y200" s="320" t="str">
        <f aca="false">IF($A200="N/A"," ",$U200*(8*($BR200))*O200)</f>
        <v> </v>
      </c>
      <c r="Z200" s="320" t="str">
        <f aca="false">IF($A200="N/A"," ",$U200*(8*($BR200))*P200)</f>
        <v> </v>
      </c>
      <c r="AA200" s="320" t="str">
        <f aca="false">IF($A200="N/A"," ",$U200*(8*($BR200))*Q200)</f>
        <v> </v>
      </c>
      <c r="AB200" s="320" t="str">
        <f aca="false">IF($A200="N/A"," ",$U200*(8*($BS200))*R200)</f>
        <v> </v>
      </c>
      <c r="AC200" s="320" t="str">
        <f aca="false">IF($A200="N/A"," ",$U200*(8*($BS200))*S200)</f>
        <v> </v>
      </c>
      <c r="AD200" s="320" t="str">
        <f aca="false">IF($A200="N/A"," ",$U200*(8*($BS200))*T200)</f>
        <v> </v>
      </c>
      <c r="AE200" s="320" t="str">
        <f aca="false">IF($A200="N/A"," ",SUM(V200:AD200))</f>
        <v> </v>
      </c>
      <c r="AF200" s="321" t="str">
        <f aca="false">IF(A200="N/A"," ",(VLOOKUP(A200,PowerVolTable,(IF(VolBMO1=2,7,IF(VolBMO1=1,6,8))),FALSE())))</f>
        <v> </v>
      </c>
      <c r="AG200" s="321" t="str">
        <f aca="false">IF(A200="N/A"," ",(VLOOKUP(A200,IntraPowerVol,(IF(VolBMO1=2,3,IF(VolBMO1=1,2,4))),FALSE())*VLOOKUP(MONTH($A200),Volscale,2)))</f>
        <v> </v>
      </c>
      <c r="AH200" s="321" t="str">
        <f aca="false">IF($A200="N/A"," ",IF(VolType1=1,AG200,AF200))</f>
        <v> </v>
      </c>
      <c r="AI200" s="321" t="str">
        <f aca="false">IF($A200="N/A"," ",(VLOOKUP($A200,OffPwrVolTable,(IF(VolBMO1=2,7,IF(VolBMO1=1,6,8))),FALSE())))</f>
        <v> </v>
      </c>
      <c r="AJ200" s="321" t="str">
        <f aca="false">IF($A200="N/A"," ",(VLOOKUP($A200,OffPwrVolTable,(IF(VolBMO1=2,3,IF(VolBMO1=1,2,4))),FALSE())*VLOOKUP(MONTH($A200),Volscale,2)))</f>
        <v> </v>
      </c>
      <c r="AK200" s="321" t="str">
        <f aca="false">IF($A200="N/A"," ",IF(VolType1=1,AJ200,AI200))</f>
        <v> </v>
      </c>
      <c r="AL200" s="321" t="str">
        <f aca="false">IF($A200="N/A"," ",IF(PV=1,0,'Pricing Inputs1'!R233))</f>
        <v> </v>
      </c>
      <c r="AM200" s="323" t="str">
        <f aca="false">IF($A200="N/A"," ",(1+AL200/2)^(-2*((EOMONTH(A200,0)+20)-DateToday)/365.25))</f>
        <v> </v>
      </c>
      <c r="BQ200" s="0" t="str">
        <f aca="false">IF($A200="N/A"," ",(VLOOKUP($A200,NumberofDaysTable,2)))</f>
        <v> </v>
      </c>
      <c r="BR200" s="0" t="str">
        <f aca="false">IF($A200="N/A"," ",(VLOOKUP($A200,NumberofDaysTable,3)))</f>
        <v> </v>
      </c>
      <c r="BS200" s="0" t="str">
        <f aca="false">IF($A200="N/A"," ",(VLOOKUP($A200,NumberofDaysTable,4)))</f>
        <v> </v>
      </c>
    </row>
    <row r="201" customFormat="false" ht="12.75" hidden="false" customHeight="false" outlineLevel="0" collapsed="false">
      <c r="A201" s="315" t="str">
        <f aca="false">IF(A200="N/A","N/A",IF(EDATE(A200,1)&gt;Inputs!$M$5,"N/A",EDATE(A200,1)))</f>
        <v>N/A</v>
      </c>
      <c r="B201" s="316" t="str">
        <f aca="false">IF(A201="N/A"," ",YEAR(A201))</f>
        <v> </v>
      </c>
      <c r="C201" s="324" t="str">
        <f aca="false">IF($A201="N/A"," ",IF(Dayrun1=10,0,IF(Scaler1=1,(VLOOKUP(A201,ScaledPrice1,4)),(VLOOKUP(A201,ScaledPrice1,2)))))</f>
        <v> </v>
      </c>
      <c r="D201" s="317" t="str">
        <f aca="false">IF(A201="N/A"," ",IF(Dayrun1&gt;=7,0,IF(Scaler1=2,VLOOKUP(A201,ScaledPrice1,2),(VLOOKUP(A201,ScaledPrice1,2))*(2-(VLOOKUP(A201,ScaledPrice1,3))))))</f>
        <v> </v>
      </c>
      <c r="E201" s="317" t="str">
        <f aca="false">IF($A201="N/A"," ",IF(AND(Dayrun1&gt;=4,Dayrun1&lt;=9),0,VLOOKUP($A201,ScaledPrice1,9)))</f>
        <v> </v>
      </c>
      <c r="F201" s="317" t="str">
        <f aca="false">IF(A201="N/A"," ",IF(OR(Dayrun1=2,Dayrun1=3,Dayrun1=5,Dayrun1=6,Dayrun1=8,Dayrun1=9),VLOOKUP(A201,ScaledPrice1,IF(Scaler1=1,6,5)),0))</f>
        <v> </v>
      </c>
      <c r="G201" s="317" t="str">
        <f aca="false">IF(A201="N/A"," ",IF(OR(Dayrun1=2,Dayrun1=3,Dayrun1=5,Dayrun1=6),IF(Scaler1=2,F201,(VLOOKUP(A201,ScaledPrice1,5))*(2-(VLOOKUP(A201,ScaledPrice1,3)))),0))</f>
        <v> </v>
      </c>
      <c r="H201" s="317" t="str">
        <f aca="false">IF($A201="N/A"," ",IF(OR(Dayrun1=2,Dayrun1=3,Dayrun1=10),VLOOKUP($A201,ScaledPrice1,9),0))</f>
        <v> </v>
      </c>
      <c r="I201" s="317" t="str">
        <f aca="false">IF(A201="N/A"," ",IF(OR(Dayrun1=3,Dayrun1=6,Dayrun1=9),(VLOOKUP(A201,ScaledPrice1,IF(Scaler1=2,7,8))),0))</f>
        <v> </v>
      </c>
      <c r="J201" s="317" t="str">
        <f aca="false">IF(A201="N/A"," ",IF(OR(Dayrun1=3,Dayrun1=6),IF(Scaler1=2,I201,(VLOOKUP(A201,ScaledPrice1,7))*(2-(VLOOKUP(A201,ScaledPrice1,3)))),0))</f>
        <v> </v>
      </c>
      <c r="K201" s="317" t="str">
        <f aca="false">IF($A201="N/A"," ",IF(OR(Dayrun1=3,Dayrun1=10),VLOOKUP($A201,ScaledPrice1,9),0))</f>
        <v> </v>
      </c>
      <c r="L201" s="318" t="str">
        <f aca="false">IF($A201="N/A"," ",IF(Pricetype1=2,MAX(C201,0),IF(OR(Pricetype1=1,Pricetype1=4),IF(C201=0,0,(EURO(C201,Strikeprice1,0,0,($AH201+IF(Smile=TRUE(),VLOOKUP(MAX(-5,Strikeprice1-C201),Volsmile,2),0)),($A201-DateToday)+15,IF(Pricetype1=1,1,0),0))),C201)))</f>
        <v> </v>
      </c>
      <c r="M201" s="318" t="str">
        <f aca="false">IF($A201="N/A"," ",IF(Pricetype1=2,MAX(D201,0),IF(OR(Pricetype1=1,Pricetype1=4),IF(D201=0,0,(EURO(D201,Strikeprice1,0,0,($AH201+IF(Smile=TRUE(),VLOOKUP(MAX(-5,Strikeprice1-D201),Volsmile,2),0)),($A201-DateToday)+15,IF(Pricetype1=1,1,0),0))),D201)))</f>
        <v> </v>
      </c>
      <c r="N201" s="318" t="str">
        <f aca="false">IF($A201="N/A"," ",IF(Pricetype1=2,MAX(E201,0),IF(OR(Pricetype1=1,Pricetype1=4),IF(E201=0,0,(EURO(E201,Strikeprice1,0,0,($AK201+IF(Smile=TRUE(),VLOOKUP(MAX(-5,Strikeprice1-E201),Volsmile,2),0)),($A201-DateToday)+15,IF(Pricetype1=1,1,0),0))),E201)))</f>
        <v> </v>
      </c>
      <c r="O201" s="318" t="str">
        <f aca="false">IF($A201="N/A"," ",IF(Pricetype1=2,MAX(F201,0),IF(OR(Pricetype1=1,Pricetype1=4),IF(F201=0,0,(EURO(F201,Strikeprice1,0,0,($AK201+IF(Smile=TRUE(),VLOOKUP(MAX(-5,Strikeprice1-F201),Volsmile,2),0)),($A201-DateToday)+15,IF(Pricetype1=1,1,0),0))),F201)))</f>
        <v> </v>
      </c>
      <c r="P201" s="318" t="str">
        <f aca="false">IF($A201="N/A"," ",IF(Pricetype1=2,MAX(G201,0),IF(OR(Pricetype1=1,Pricetype1=4),IF(G201=0,0,(EURO(G201,Strikeprice1,0,0,($AK201+IF(Smile=TRUE(),VLOOKUP(MAX(-5,Strikeprice1-G201),Volsmile,2),0)),($A201-DateToday)+15,IF(Pricetype1=1,1,0),0))),G201)))</f>
        <v> </v>
      </c>
      <c r="Q201" s="318" t="str">
        <f aca="false">IF($A201="N/A"," ",IF(Pricetype1=2,MAX(H201,0),IF(OR(Pricetype1=1,Pricetype1=4),IF(H201=0,0,(EURO(H201,Strikeprice1,0,0,($AK201+IF(Smile=TRUE(),VLOOKUP(MAX(-5,Strikeprice1-H201),Volsmile,2),0)),($A201-DateToday)+15,IF(Pricetype1=1,1,0),0))),H201)))</f>
        <v> </v>
      </c>
      <c r="R201" s="318" t="str">
        <f aca="false">IF($A201="N/A"," ",IF(Pricetype1=2,MAX(I201,0),IF(OR(Pricetype1=1,Pricetype1=4),IF(I201=0,0,(EURO(I201,Strikeprice1,0,0,($AK201+IF(Smile=TRUE(),VLOOKUP(MAX(-5,Strikeprice1-I201),Volsmile,2),0)),($A201-DateToday)+15,IF(Pricetype1=1,1,0),0))),I201)))</f>
        <v> </v>
      </c>
      <c r="S201" s="318" t="str">
        <f aca="false">IF($A201="N/A"," ",IF(Pricetype1=2,MAX(J201,0),IF(OR(Pricetype1=1,Pricetype1=4),IF(J201=0,0,(EURO(J201,Strikeprice1,0,0,($AK201+IF(Smile=TRUE(),VLOOKUP(MAX(-5,Strikeprice1-J201),Volsmile,2),0)),($A201-DateToday)+15,IF(Pricetype1=1,1,0),0))),J201)))</f>
        <v> </v>
      </c>
      <c r="T201" s="318" t="str">
        <f aca="false">IF($A201="N/A"," ",IF(Pricetype1=2,MAX(K201,0),IF(OR(Pricetype1=1,Pricetype1=4),IF(K201=0,0,(EURO(K201,Strikeprice1,0,0,($AK201+IF(Smile=TRUE(),VLOOKUP(MAX(-5,Strikeprice1-K201),Volsmile,2),0)),($A201-DateToday)+15,IF(Pricetype1=1,1,0),0))),K201)))</f>
        <v> </v>
      </c>
      <c r="U201" s="319" t="str">
        <f aca="false">IF($A201="N/A"," ",Volume1*$AM201)</f>
        <v> </v>
      </c>
      <c r="V201" s="320" t="str">
        <f aca="false">IF($A201="N/A"," ",$U201*(8*($BQ201))*L201)</f>
        <v> </v>
      </c>
      <c r="W201" s="320" t="str">
        <f aca="false">IF($A201="N/A"," ",$U201*(8*($BQ201))*M201)</f>
        <v> </v>
      </c>
      <c r="X201" s="320" t="str">
        <f aca="false">IF($A201="N/A"," ",$U201*(8*($BQ201))*N201)</f>
        <v> </v>
      </c>
      <c r="Y201" s="320" t="str">
        <f aca="false">IF($A201="N/A"," ",$U201*(8*($BR201))*O201)</f>
        <v> </v>
      </c>
      <c r="Z201" s="320" t="str">
        <f aca="false">IF($A201="N/A"," ",$U201*(8*($BR201))*P201)</f>
        <v> </v>
      </c>
      <c r="AA201" s="320" t="str">
        <f aca="false">IF($A201="N/A"," ",$U201*(8*($BR201))*Q201)</f>
        <v> </v>
      </c>
      <c r="AB201" s="320" t="str">
        <f aca="false">IF($A201="N/A"," ",$U201*(8*($BS201))*R201)</f>
        <v> </v>
      </c>
      <c r="AC201" s="320" t="str">
        <f aca="false">IF($A201="N/A"," ",$U201*(8*($BS201))*S201)</f>
        <v> </v>
      </c>
      <c r="AD201" s="320" t="str">
        <f aca="false">IF($A201="N/A"," ",$U201*(8*($BS201))*T201)</f>
        <v> </v>
      </c>
      <c r="AE201" s="320" t="str">
        <f aca="false">IF($A201="N/A"," ",SUM(V201:AD201))</f>
        <v> </v>
      </c>
      <c r="AF201" s="321" t="str">
        <f aca="false">IF(A201="N/A"," ",(VLOOKUP(A201,PowerVolTable,(IF(VolBMO1=2,7,IF(VolBMO1=1,6,8))),FALSE())))</f>
        <v> </v>
      </c>
      <c r="AG201" s="321" t="str">
        <f aca="false">IF(A201="N/A"," ",(VLOOKUP(A201,IntraPowerVol,(IF(VolBMO1=2,3,IF(VolBMO1=1,2,4))),FALSE())*VLOOKUP(MONTH($A201),Volscale,2)))</f>
        <v> </v>
      </c>
      <c r="AH201" s="321" t="str">
        <f aca="false">IF($A201="N/A"," ",IF(VolType1=1,AG201,AF201))</f>
        <v> </v>
      </c>
      <c r="AI201" s="321" t="str">
        <f aca="false">IF($A201="N/A"," ",(VLOOKUP($A201,OffPwrVolTable,(IF(VolBMO1=2,7,IF(VolBMO1=1,6,8))),FALSE())))</f>
        <v> </v>
      </c>
      <c r="AJ201" s="321" t="str">
        <f aca="false">IF($A201="N/A"," ",(VLOOKUP($A201,OffPwrVolTable,(IF(VolBMO1=2,3,IF(VolBMO1=1,2,4))),FALSE())*VLOOKUP(MONTH($A201),Volscale,2)))</f>
        <v> </v>
      </c>
      <c r="AK201" s="321" t="str">
        <f aca="false">IF($A201="N/A"," ",IF(VolType1=1,AJ201,AI201))</f>
        <v> </v>
      </c>
      <c r="AL201" s="321" t="str">
        <f aca="false">IF($A201="N/A"," ",IF(PV=1,0,'Pricing Inputs1'!R234))</f>
        <v> </v>
      </c>
      <c r="AM201" s="323" t="str">
        <f aca="false">IF($A201="N/A"," ",(1+AL201/2)^(-2*((EOMONTH(A201,0)+20)-DateToday)/365.25))</f>
        <v> </v>
      </c>
      <c r="BQ201" s="0" t="str">
        <f aca="false">IF($A201="N/A"," ",(VLOOKUP($A201,NumberofDaysTable,2)))</f>
        <v> </v>
      </c>
      <c r="BR201" s="0" t="str">
        <f aca="false">IF($A201="N/A"," ",(VLOOKUP($A201,NumberofDaysTable,3)))</f>
        <v> </v>
      </c>
      <c r="BS201" s="0" t="str">
        <f aca="false">IF($A201="N/A"," ",(VLOOKUP($A201,NumberofDaysTable,4)))</f>
        <v> </v>
      </c>
    </row>
    <row r="202" customFormat="false" ht="12.75" hidden="false" customHeight="false" outlineLevel="0" collapsed="false">
      <c r="A202" s="315" t="str">
        <f aca="false">IF(A201="N/A","N/A",IF(EDATE(A201,1)&gt;Inputs!$M$5,"N/A",EDATE(A201,1)))</f>
        <v>N/A</v>
      </c>
      <c r="B202" s="316" t="str">
        <f aca="false">IF(A202="N/A"," ",YEAR(A202))</f>
        <v> </v>
      </c>
      <c r="C202" s="324" t="str">
        <f aca="false">IF($A202="N/A"," ",IF(Dayrun1=10,0,IF(Scaler1=1,(VLOOKUP(A202,ScaledPrice1,4)),(VLOOKUP(A202,ScaledPrice1,2)))))</f>
        <v> </v>
      </c>
      <c r="D202" s="317" t="str">
        <f aca="false">IF(A202="N/A"," ",IF(Dayrun1&gt;=7,0,IF(Scaler1=2,VLOOKUP(A202,ScaledPrice1,2),(VLOOKUP(A202,ScaledPrice1,2))*(2-(VLOOKUP(A202,ScaledPrice1,3))))))</f>
        <v> </v>
      </c>
      <c r="E202" s="317" t="str">
        <f aca="false">IF($A202="N/A"," ",IF(AND(Dayrun1&gt;=4,Dayrun1&lt;=9),0,VLOOKUP($A202,ScaledPrice1,9)))</f>
        <v> </v>
      </c>
      <c r="F202" s="317" t="str">
        <f aca="false">IF(A202="N/A"," ",IF(OR(Dayrun1=2,Dayrun1=3,Dayrun1=5,Dayrun1=6,Dayrun1=8,Dayrun1=9),VLOOKUP(A202,ScaledPrice1,IF(Scaler1=1,6,5)),0))</f>
        <v> </v>
      </c>
      <c r="G202" s="317" t="str">
        <f aca="false">IF(A202="N/A"," ",IF(OR(Dayrun1=2,Dayrun1=3,Dayrun1=5,Dayrun1=6),IF(Scaler1=2,F202,(VLOOKUP(A202,ScaledPrice1,5))*(2-(VLOOKUP(A202,ScaledPrice1,3)))),0))</f>
        <v> </v>
      </c>
      <c r="H202" s="317" t="str">
        <f aca="false">IF($A202="N/A"," ",IF(OR(Dayrun1=2,Dayrun1=3,Dayrun1=10),VLOOKUP($A202,ScaledPrice1,9),0))</f>
        <v> </v>
      </c>
      <c r="I202" s="317" t="str">
        <f aca="false">IF(A202="N/A"," ",IF(OR(Dayrun1=3,Dayrun1=6,Dayrun1=9),(VLOOKUP(A202,ScaledPrice1,IF(Scaler1=2,7,8))),0))</f>
        <v> </v>
      </c>
      <c r="J202" s="317" t="str">
        <f aca="false">IF(A202="N/A"," ",IF(OR(Dayrun1=3,Dayrun1=6),IF(Scaler1=2,I202,(VLOOKUP(A202,ScaledPrice1,7))*(2-(VLOOKUP(A202,ScaledPrice1,3)))),0))</f>
        <v> </v>
      </c>
      <c r="K202" s="317" t="str">
        <f aca="false">IF($A202="N/A"," ",IF(OR(Dayrun1=3,Dayrun1=10),VLOOKUP($A202,ScaledPrice1,9),0))</f>
        <v> </v>
      </c>
      <c r="L202" s="318" t="str">
        <f aca="false">IF($A202="N/A"," ",IF(Pricetype1=2,MAX(C202,0),IF(OR(Pricetype1=1,Pricetype1=4),IF(C202=0,0,(EURO(C202,Strikeprice1,0,0,($AH202+IF(Smile=TRUE(),VLOOKUP(MAX(-5,Strikeprice1-C202),Volsmile,2),0)),($A202-DateToday)+15,IF(Pricetype1=1,1,0),0))),C202)))</f>
        <v> </v>
      </c>
      <c r="M202" s="318" t="str">
        <f aca="false">IF($A202="N/A"," ",IF(Pricetype1=2,MAX(D202,0),IF(OR(Pricetype1=1,Pricetype1=4),IF(D202=0,0,(EURO(D202,Strikeprice1,0,0,($AH202+IF(Smile=TRUE(),VLOOKUP(MAX(-5,Strikeprice1-D202),Volsmile,2),0)),($A202-DateToday)+15,IF(Pricetype1=1,1,0),0))),D202)))</f>
        <v> </v>
      </c>
      <c r="N202" s="318" t="str">
        <f aca="false">IF($A202="N/A"," ",IF(Pricetype1=2,MAX(E202,0),IF(OR(Pricetype1=1,Pricetype1=4),IF(E202=0,0,(EURO(E202,Strikeprice1,0,0,($AK202+IF(Smile=TRUE(),VLOOKUP(MAX(-5,Strikeprice1-E202),Volsmile,2),0)),($A202-DateToday)+15,IF(Pricetype1=1,1,0),0))),E202)))</f>
        <v> </v>
      </c>
      <c r="O202" s="318" t="str">
        <f aca="false">IF($A202="N/A"," ",IF(Pricetype1=2,MAX(F202,0),IF(OR(Pricetype1=1,Pricetype1=4),IF(F202=0,0,(EURO(F202,Strikeprice1,0,0,($AK202+IF(Smile=TRUE(),VLOOKUP(MAX(-5,Strikeprice1-F202),Volsmile,2),0)),($A202-DateToday)+15,IF(Pricetype1=1,1,0),0))),F202)))</f>
        <v> </v>
      </c>
      <c r="P202" s="318" t="str">
        <f aca="false">IF($A202="N/A"," ",IF(Pricetype1=2,MAX(G202,0),IF(OR(Pricetype1=1,Pricetype1=4),IF(G202=0,0,(EURO(G202,Strikeprice1,0,0,($AK202+IF(Smile=TRUE(),VLOOKUP(MAX(-5,Strikeprice1-G202),Volsmile,2),0)),($A202-DateToday)+15,IF(Pricetype1=1,1,0),0))),G202)))</f>
        <v> </v>
      </c>
      <c r="Q202" s="318" t="str">
        <f aca="false">IF($A202="N/A"," ",IF(Pricetype1=2,MAX(H202,0),IF(OR(Pricetype1=1,Pricetype1=4),IF(H202=0,0,(EURO(H202,Strikeprice1,0,0,($AK202+IF(Smile=TRUE(),VLOOKUP(MAX(-5,Strikeprice1-H202),Volsmile,2),0)),($A202-DateToday)+15,IF(Pricetype1=1,1,0),0))),H202)))</f>
        <v> </v>
      </c>
      <c r="R202" s="318" t="str">
        <f aca="false">IF($A202="N/A"," ",IF(Pricetype1=2,MAX(I202,0),IF(OR(Pricetype1=1,Pricetype1=4),IF(I202=0,0,(EURO(I202,Strikeprice1,0,0,($AK202+IF(Smile=TRUE(),VLOOKUP(MAX(-5,Strikeprice1-I202),Volsmile,2),0)),($A202-DateToday)+15,IF(Pricetype1=1,1,0),0))),I202)))</f>
        <v> </v>
      </c>
      <c r="S202" s="318" t="str">
        <f aca="false">IF($A202="N/A"," ",IF(Pricetype1=2,MAX(J202,0),IF(OR(Pricetype1=1,Pricetype1=4),IF(J202=0,0,(EURO(J202,Strikeprice1,0,0,($AK202+IF(Smile=TRUE(),VLOOKUP(MAX(-5,Strikeprice1-J202),Volsmile,2),0)),($A202-DateToday)+15,IF(Pricetype1=1,1,0),0))),J202)))</f>
        <v> </v>
      </c>
      <c r="T202" s="318" t="str">
        <f aca="false">IF($A202="N/A"," ",IF(Pricetype1=2,MAX(K202,0),IF(OR(Pricetype1=1,Pricetype1=4),IF(K202=0,0,(EURO(K202,Strikeprice1,0,0,($AK202+IF(Smile=TRUE(),VLOOKUP(MAX(-5,Strikeprice1-K202),Volsmile,2),0)),($A202-DateToday)+15,IF(Pricetype1=1,1,0),0))),K202)))</f>
        <v> </v>
      </c>
      <c r="U202" s="319" t="str">
        <f aca="false">IF($A202="N/A"," ",Volume1*$AM202)</f>
        <v> </v>
      </c>
      <c r="V202" s="320" t="str">
        <f aca="false">IF($A202="N/A"," ",$U202*(8*($BQ202))*L202)</f>
        <v> </v>
      </c>
      <c r="W202" s="320" t="str">
        <f aca="false">IF($A202="N/A"," ",$U202*(8*($BQ202))*M202)</f>
        <v> </v>
      </c>
      <c r="X202" s="320" t="str">
        <f aca="false">IF($A202="N/A"," ",$U202*(8*($BQ202))*N202)</f>
        <v> </v>
      </c>
      <c r="Y202" s="320" t="str">
        <f aca="false">IF($A202="N/A"," ",$U202*(8*($BR202))*O202)</f>
        <v> </v>
      </c>
      <c r="Z202" s="320" t="str">
        <f aca="false">IF($A202="N/A"," ",$U202*(8*($BR202))*P202)</f>
        <v> </v>
      </c>
      <c r="AA202" s="320" t="str">
        <f aca="false">IF($A202="N/A"," ",$U202*(8*($BR202))*Q202)</f>
        <v> </v>
      </c>
      <c r="AB202" s="320" t="str">
        <f aca="false">IF($A202="N/A"," ",$U202*(8*($BS202))*R202)</f>
        <v> </v>
      </c>
      <c r="AC202" s="320" t="str">
        <f aca="false">IF($A202="N/A"," ",$U202*(8*($BS202))*S202)</f>
        <v> </v>
      </c>
      <c r="AD202" s="320" t="str">
        <f aca="false">IF($A202="N/A"," ",$U202*(8*($BS202))*T202)</f>
        <v> </v>
      </c>
      <c r="AE202" s="320" t="str">
        <f aca="false">IF($A202="N/A"," ",SUM(V202:AD202))</f>
        <v> </v>
      </c>
      <c r="AF202" s="321" t="str">
        <f aca="false">IF(A202="N/A"," ",(VLOOKUP(A202,PowerVolTable,(IF(VolBMO1=2,7,IF(VolBMO1=1,6,8))),FALSE())))</f>
        <v> </v>
      </c>
      <c r="AG202" s="321" t="str">
        <f aca="false">IF(A202="N/A"," ",(VLOOKUP(A202,IntraPowerVol,(IF(VolBMO1=2,3,IF(VolBMO1=1,2,4))),FALSE())*VLOOKUP(MONTH($A202),Volscale,2)))</f>
        <v> </v>
      </c>
      <c r="AH202" s="321" t="str">
        <f aca="false">IF($A202="N/A"," ",IF(VolType1=1,AG202,AF202))</f>
        <v> </v>
      </c>
      <c r="AI202" s="321" t="str">
        <f aca="false">IF($A202="N/A"," ",(VLOOKUP($A202,OffPwrVolTable,(IF(VolBMO1=2,7,IF(VolBMO1=1,6,8))),FALSE())))</f>
        <v> </v>
      </c>
      <c r="AJ202" s="321" t="str">
        <f aca="false">IF($A202="N/A"," ",(VLOOKUP($A202,OffPwrVolTable,(IF(VolBMO1=2,3,IF(VolBMO1=1,2,4))),FALSE())*VLOOKUP(MONTH($A202),Volscale,2)))</f>
        <v> </v>
      </c>
      <c r="AK202" s="321" t="str">
        <f aca="false">IF($A202="N/A"," ",IF(VolType1=1,AJ202,AI202))</f>
        <v> </v>
      </c>
      <c r="AL202" s="321" t="str">
        <f aca="false">IF($A202="N/A"," ",IF(PV=1,0,'Pricing Inputs1'!R235))</f>
        <v> </v>
      </c>
      <c r="AM202" s="323" t="str">
        <f aca="false">IF($A202="N/A"," ",(1+AL202/2)^(-2*((EOMONTH(A202,0)+20)-DateToday)/365.25))</f>
        <v> </v>
      </c>
      <c r="BQ202" s="0" t="str">
        <f aca="false">IF($A202="N/A"," ",(VLOOKUP($A202,NumberofDaysTable,2)))</f>
        <v> </v>
      </c>
      <c r="BR202" s="0" t="str">
        <f aca="false">IF($A202="N/A"," ",(VLOOKUP($A202,NumberofDaysTable,3)))</f>
        <v> </v>
      </c>
      <c r="BS202" s="0" t="str">
        <f aca="false">IF($A202="N/A"," ",(VLOOKUP($A202,NumberofDaysTable,4)))</f>
        <v> </v>
      </c>
    </row>
    <row r="203" customFormat="false" ht="12.75" hidden="false" customHeight="false" outlineLevel="0" collapsed="false">
      <c r="A203" s="315" t="str">
        <f aca="false">IF(A202="N/A","N/A",IF(EDATE(A202,1)&gt;Inputs!$M$5,"N/A",EDATE(A202,1)))</f>
        <v>N/A</v>
      </c>
      <c r="B203" s="316" t="str">
        <f aca="false">IF(A203="N/A"," ",YEAR(A203))</f>
        <v> </v>
      </c>
      <c r="C203" s="324" t="str">
        <f aca="false">IF($A203="N/A"," ",IF(Dayrun1=10,0,IF(Scaler1=1,(VLOOKUP(A203,ScaledPrice1,4)),(VLOOKUP(A203,ScaledPrice1,2)))))</f>
        <v> </v>
      </c>
      <c r="D203" s="317" t="str">
        <f aca="false">IF(A203="N/A"," ",IF(Dayrun1&gt;=7,0,IF(Scaler1=2,VLOOKUP(A203,ScaledPrice1,2),(VLOOKUP(A203,ScaledPrice1,2))*(2-(VLOOKUP(A203,ScaledPrice1,3))))))</f>
        <v> </v>
      </c>
      <c r="E203" s="317" t="str">
        <f aca="false">IF($A203="N/A"," ",IF(AND(Dayrun1&gt;=4,Dayrun1&lt;=9),0,VLOOKUP($A203,ScaledPrice1,9)))</f>
        <v> </v>
      </c>
      <c r="F203" s="317" t="str">
        <f aca="false">IF(A203="N/A"," ",IF(OR(Dayrun1=2,Dayrun1=3,Dayrun1=5,Dayrun1=6,Dayrun1=8,Dayrun1=9),VLOOKUP(A203,ScaledPrice1,IF(Scaler1=1,6,5)),0))</f>
        <v> </v>
      </c>
      <c r="G203" s="317" t="str">
        <f aca="false">IF(A203="N/A"," ",IF(OR(Dayrun1=2,Dayrun1=3,Dayrun1=5,Dayrun1=6),IF(Scaler1=2,F203,(VLOOKUP(A203,ScaledPrice1,5))*(2-(VLOOKUP(A203,ScaledPrice1,3)))),0))</f>
        <v> </v>
      </c>
      <c r="H203" s="317" t="str">
        <f aca="false">IF($A203="N/A"," ",IF(OR(Dayrun1=2,Dayrun1=3,Dayrun1=10),VLOOKUP($A203,ScaledPrice1,9),0))</f>
        <v> </v>
      </c>
      <c r="I203" s="317" t="str">
        <f aca="false">IF(A203="N/A"," ",IF(OR(Dayrun1=3,Dayrun1=6,Dayrun1=9),(VLOOKUP(A203,ScaledPrice1,IF(Scaler1=2,7,8))),0))</f>
        <v> </v>
      </c>
      <c r="J203" s="317" t="str">
        <f aca="false">IF(A203="N/A"," ",IF(OR(Dayrun1=3,Dayrun1=6),IF(Scaler1=2,I203,(VLOOKUP(A203,ScaledPrice1,7))*(2-(VLOOKUP(A203,ScaledPrice1,3)))),0))</f>
        <v> </v>
      </c>
      <c r="K203" s="317" t="str">
        <f aca="false">IF($A203="N/A"," ",IF(OR(Dayrun1=3,Dayrun1=10),VLOOKUP($A203,ScaledPrice1,9),0))</f>
        <v> </v>
      </c>
      <c r="L203" s="318" t="str">
        <f aca="false">IF($A203="N/A"," ",IF(Pricetype1=2,MAX(C203,0),IF(OR(Pricetype1=1,Pricetype1=4),IF(C203=0,0,(EURO(C203,Strikeprice1,0,0,($AH203+IF(Smile=TRUE(),VLOOKUP(MAX(-5,Strikeprice1-C203),Volsmile,2),0)),($A203-DateToday)+15,IF(Pricetype1=1,1,0),0))),C203)))</f>
        <v> </v>
      </c>
      <c r="M203" s="318" t="str">
        <f aca="false">IF($A203="N/A"," ",IF(Pricetype1=2,MAX(D203,0),IF(OR(Pricetype1=1,Pricetype1=4),IF(D203=0,0,(EURO(D203,Strikeprice1,0,0,($AH203+IF(Smile=TRUE(),VLOOKUP(MAX(-5,Strikeprice1-D203),Volsmile,2),0)),($A203-DateToday)+15,IF(Pricetype1=1,1,0),0))),D203)))</f>
        <v> </v>
      </c>
      <c r="N203" s="318" t="str">
        <f aca="false">IF($A203="N/A"," ",IF(Pricetype1=2,MAX(E203,0),IF(OR(Pricetype1=1,Pricetype1=4),IF(E203=0,0,(EURO(E203,Strikeprice1,0,0,($AK203+IF(Smile=TRUE(),VLOOKUP(MAX(-5,Strikeprice1-E203),Volsmile,2),0)),($A203-DateToday)+15,IF(Pricetype1=1,1,0),0))),E203)))</f>
        <v> </v>
      </c>
      <c r="O203" s="318" t="str">
        <f aca="false">IF($A203="N/A"," ",IF(Pricetype1=2,MAX(F203,0),IF(OR(Pricetype1=1,Pricetype1=4),IF(F203=0,0,(EURO(F203,Strikeprice1,0,0,($AK203+IF(Smile=TRUE(),VLOOKUP(MAX(-5,Strikeprice1-F203),Volsmile,2),0)),($A203-DateToday)+15,IF(Pricetype1=1,1,0),0))),F203)))</f>
        <v> </v>
      </c>
      <c r="P203" s="318" t="str">
        <f aca="false">IF($A203="N/A"," ",IF(Pricetype1=2,MAX(G203,0),IF(OR(Pricetype1=1,Pricetype1=4),IF(G203=0,0,(EURO(G203,Strikeprice1,0,0,($AK203+IF(Smile=TRUE(),VLOOKUP(MAX(-5,Strikeprice1-G203),Volsmile,2),0)),($A203-DateToday)+15,IF(Pricetype1=1,1,0),0))),G203)))</f>
        <v> </v>
      </c>
      <c r="Q203" s="318" t="str">
        <f aca="false">IF($A203="N/A"," ",IF(Pricetype1=2,MAX(H203,0),IF(OR(Pricetype1=1,Pricetype1=4),IF(H203=0,0,(EURO(H203,Strikeprice1,0,0,($AK203+IF(Smile=TRUE(),VLOOKUP(MAX(-5,Strikeprice1-H203),Volsmile,2),0)),($A203-DateToday)+15,IF(Pricetype1=1,1,0),0))),H203)))</f>
        <v> </v>
      </c>
      <c r="R203" s="318" t="str">
        <f aca="false">IF($A203="N/A"," ",IF(Pricetype1=2,MAX(I203,0),IF(OR(Pricetype1=1,Pricetype1=4),IF(I203=0,0,(EURO(I203,Strikeprice1,0,0,($AK203+IF(Smile=TRUE(),VLOOKUP(MAX(-5,Strikeprice1-I203),Volsmile,2),0)),($A203-DateToday)+15,IF(Pricetype1=1,1,0),0))),I203)))</f>
        <v> </v>
      </c>
      <c r="S203" s="318" t="str">
        <f aca="false">IF($A203="N/A"," ",IF(Pricetype1=2,MAX(J203,0),IF(OR(Pricetype1=1,Pricetype1=4),IF(J203=0,0,(EURO(J203,Strikeprice1,0,0,($AK203+IF(Smile=TRUE(),VLOOKUP(MAX(-5,Strikeprice1-J203),Volsmile,2),0)),($A203-DateToday)+15,IF(Pricetype1=1,1,0),0))),J203)))</f>
        <v> </v>
      </c>
      <c r="T203" s="318" t="str">
        <f aca="false">IF($A203="N/A"," ",IF(Pricetype1=2,MAX(K203,0),IF(OR(Pricetype1=1,Pricetype1=4),IF(K203=0,0,(EURO(K203,Strikeprice1,0,0,($AK203+IF(Smile=TRUE(),VLOOKUP(MAX(-5,Strikeprice1-K203),Volsmile,2),0)),($A203-DateToday)+15,IF(Pricetype1=1,1,0),0))),K203)))</f>
        <v> </v>
      </c>
      <c r="U203" s="319" t="str">
        <f aca="false">IF($A203="N/A"," ",Volume1*$AM203)</f>
        <v> </v>
      </c>
      <c r="V203" s="320" t="str">
        <f aca="false">IF($A203="N/A"," ",$U203*(8*($BQ203))*L203)</f>
        <v> </v>
      </c>
      <c r="W203" s="320" t="str">
        <f aca="false">IF($A203="N/A"," ",$U203*(8*($BQ203))*M203)</f>
        <v> </v>
      </c>
      <c r="X203" s="320" t="str">
        <f aca="false">IF($A203="N/A"," ",$U203*(8*($BQ203))*N203)</f>
        <v> </v>
      </c>
      <c r="Y203" s="320" t="str">
        <f aca="false">IF($A203="N/A"," ",$U203*(8*($BR203))*O203)</f>
        <v> </v>
      </c>
      <c r="Z203" s="320" t="str">
        <f aca="false">IF($A203="N/A"," ",$U203*(8*($BR203))*P203)</f>
        <v> </v>
      </c>
      <c r="AA203" s="320" t="str">
        <f aca="false">IF($A203="N/A"," ",$U203*(8*($BR203))*Q203)</f>
        <v> </v>
      </c>
      <c r="AB203" s="320" t="str">
        <f aca="false">IF($A203="N/A"," ",$U203*(8*($BS203))*R203)</f>
        <v> </v>
      </c>
      <c r="AC203" s="320" t="str">
        <f aca="false">IF($A203="N/A"," ",$U203*(8*($BS203))*S203)</f>
        <v> </v>
      </c>
      <c r="AD203" s="320" t="str">
        <f aca="false">IF($A203="N/A"," ",$U203*(8*($BS203))*T203)</f>
        <v> </v>
      </c>
      <c r="AE203" s="320" t="str">
        <f aca="false">IF($A203="N/A"," ",SUM(V203:AD203))</f>
        <v> </v>
      </c>
      <c r="AF203" s="321" t="str">
        <f aca="false">IF(A203="N/A"," ",(VLOOKUP(A203,PowerVolTable,(IF(VolBMO1=2,7,IF(VolBMO1=1,6,8))),FALSE())))</f>
        <v> </v>
      </c>
      <c r="AG203" s="321" t="str">
        <f aca="false">IF(A203="N/A"," ",(VLOOKUP(A203,IntraPowerVol,(IF(VolBMO1=2,3,IF(VolBMO1=1,2,4))),FALSE())*VLOOKUP(MONTH($A203),Volscale,2)))</f>
        <v> </v>
      </c>
      <c r="AH203" s="321" t="str">
        <f aca="false">IF($A203="N/A"," ",IF(VolType1=1,AG203,AF203))</f>
        <v> </v>
      </c>
      <c r="AI203" s="321" t="str">
        <f aca="false">IF($A203="N/A"," ",(VLOOKUP($A203,OffPwrVolTable,(IF(VolBMO1=2,7,IF(VolBMO1=1,6,8))),FALSE())))</f>
        <v> </v>
      </c>
      <c r="AJ203" s="321" t="str">
        <f aca="false">IF($A203="N/A"," ",(VLOOKUP($A203,OffPwrVolTable,(IF(VolBMO1=2,3,IF(VolBMO1=1,2,4))),FALSE())*VLOOKUP(MONTH($A203),Volscale,2)))</f>
        <v> </v>
      </c>
      <c r="AK203" s="321" t="str">
        <f aca="false">IF($A203="N/A"," ",IF(VolType1=1,AJ203,AI203))</f>
        <v> </v>
      </c>
      <c r="AL203" s="321" t="str">
        <f aca="false">IF($A203="N/A"," ",IF(PV=1,0,'Pricing Inputs1'!R236))</f>
        <v> </v>
      </c>
      <c r="AM203" s="323" t="str">
        <f aca="false">IF($A203="N/A"," ",(1+AL203/2)^(-2*((EOMONTH(A203,0)+20)-DateToday)/365.25))</f>
        <v> </v>
      </c>
      <c r="BQ203" s="0" t="str">
        <f aca="false">IF($A203="N/A"," ",(VLOOKUP($A203,NumberofDaysTable,2)))</f>
        <v> </v>
      </c>
      <c r="BR203" s="0" t="str">
        <f aca="false">IF($A203="N/A"," ",(VLOOKUP($A203,NumberofDaysTable,3)))</f>
        <v> </v>
      </c>
      <c r="BS203" s="0" t="str">
        <f aca="false">IF($A203="N/A"," ",(VLOOKUP($A203,NumberofDaysTable,4)))</f>
        <v> </v>
      </c>
    </row>
    <row r="204" customFormat="false" ht="12.75" hidden="false" customHeight="false" outlineLevel="0" collapsed="false">
      <c r="A204" s="315" t="str">
        <f aca="false">IF(A203="N/A","N/A",IF(EDATE(A203,1)&gt;Inputs!$M$5,"N/A",EDATE(A203,1)))</f>
        <v>N/A</v>
      </c>
      <c r="B204" s="316" t="str">
        <f aca="false">IF(A204="N/A"," ",YEAR(A204))</f>
        <v> </v>
      </c>
      <c r="C204" s="324" t="str">
        <f aca="false">IF($A204="N/A"," ",IF(Dayrun1=10,0,IF(Scaler1=1,(VLOOKUP(A204,ScaledPrice1,4)),(VLOOKUP(A204,ScaledPrice1,2)))))</f>
        <v> </v>
      </c>
      <c r="D204" s="317" t="str">
        <f aca="false">IF(A204="N/A"," ",IF(Dayrun1&gt;=7,0,IF(Scaler1=2,VLOOKUP(A204,ScaledPrice1,2),(VLOOKUP(A204,ScaledPrice1,2))*(2-(VLOOKUP(A204,ScaledPrice1,3))))))</f>
        <v> </v>
      </c>
      <c r="E204" s="317" t="str">
        <f aca="false">IF($A204="N/A"," ",IF(AND(Dayrun1&gt;=4,Dayrun1&lt;=9),0,VLOOKUP($A204,ScaledPrice1,9)))</f>
        <v> </v>
      </c>
      <c r="F204" s="317" t="str">
        <f aca="false">IF(A204="N/A"," ",IF(OR(Dayrun1=2,Dayrun1=3,Dayrun1=5,Dayrun1=6,Dayrun1=8,Dayrun1=9),VLOOKUP(A204,ScaledPrice1,IF(Scaler1=1,6,5)),0))</f>
        <v> </v>
      </c>
      <c r="G204" s="317" t="str">
        <f aca="false">IF(A204="N/A"," ",IF(OR(Dayrun1=2,Dayrun1=3,Dayrun1=5,Dayrun1=6),IF(Scaler1=2,F204,(VLOOKUP(A204,ScaledPrice1,5))*(2-(VLOOKUP(A204,ScaledPrice1,3)))),0))</f>
        <v> </v>
      </c>
      <c r="H204" s="317" t="str">
        <f aca="false">IF($A204="N/A"," ",IF(OR(Dayrun1=2,Dayrun1=3,Dayrun1=10),VLOOKUP($A204,ScaledPrice1,9),0))</f>
        <v> </v>
      </c>
      <c r="I204" s="317" t="str">
        <f aca="false">IF(A204="N/A"," ",IF(OR(Dayrun1=3,Dayrun1=6,Dayrun1=9),(VLOOKUP(A204,ScaledPrice1,IF(Scaler1=2,7,8))),0))</f>
        <v> </v>
      </c>
      <c r="J204" s="317" t="str">
        <f aca="false">IF(A204="N/A"," ",IF(OR(Dayrun1=3,Dayrun1=6),IF(Scaler1=2,I204,(VLOOKUP(A204,ScaledPrice1,7))*(2-(VLOOKUP(A204,ScaledPrice1,3)))),0))</f>
        <v> </v>
      </c>
      <c r="K204" s="317" t="str">
        <f aca="false">IF($A204="N/A"," ",IF(OR(Dayrun1=3,Dayrun1=10),VLOOKUP($A204,ScaledPrice1,9),0))</f>
        <v> </v>
      </c>
      <c r="L204" s="318" t="str">
        <f aca="false">IF($A204="N/A"," ",IF(Pricetype1=2,MAX(C204,0),IF(OR(Pricetype1=1,Pricetype1=4),IF(C204=0,0,(EURO(C204,Strikeprice1,0,0,($AH204+IF(Smile=TRUE(),VLOOKUP(MAX(-5,Strikeprice1-C204),Volsmile,2),0)),($A204-DateToday)+15,IF(Pricetype1=1,1,0),0))),C204)))</f>
        <v> </v>
      </c>
      <c r="M204" s="318" t="str">
        <f aca="false">IF($A204="N/A"," ",IF(Pricetype1=2,MAX(D204,0),IF(OR(Pricetype1=1,Pricetype1=4),IF(D204=0,0,(EURO(D204,Strikeprice1,0,0,($AH204+IF(Smile=TRUE(),VLOOKUP(MAX(-5,Strikeprice1-D204),Volsmile,2),0)),($A204-DateToday)+15,IF(Pricetype1=1,1,0),0))),D204)))</f>
        <v> </v>
      </c>
      <c r="N204" s="318" t="str">
        <f aca="false">IF($A204="N/A"," ",IF(Pricetype1=2,MAX(E204,0),IF(OR(Pricetype1=1,Pricetype1=4),IF(E204=0,0,(EURO(E204,Strikeprice1,0,0,($AK204+IF(Smile=TRUE(),VLOOKUP(MAX(-5,Strikeprice1-E204),Volsmile,2),0)),($A204-DateToday)+15,IF(Pricetype1=1,1,0),0))),E204)))</f>
        <v> </v>
      </c>
      <c r="O204" s="318" t="str">
        <f aca="false">IF($A204="N/A"," ",IF(Pricetype1=2,MAX(F204,0),IF(OR(Pricetype1=1,Pricetype1=4),IF(F204=0,0,(EURO(F204,Strikeprice1,0,0,($AK204+IF(Smile=TRUE(),VLOOKUP(MAX(-5,Strikeprice1-F204),Volsmile,2),0)),($A204-DateToday)+15,IF(Pricetype1=1,1,0),0))),F204)))</f>
        <v> </v>
      </c>
      <c r="P204" s="318" t="str">
        <f aca="false">IF($A204="N/A"," ",IF(Pricetype1=2,MAX(G204,0),IF(OR(Pricetype1=1,Pricetype1=4),IF(G204=0,0,(EURO(G204,Strikeprice1,0,0,($AK204+IF(Smile=TRUE(),VLOOKUP(MAX(-5,Strikeprice1-G204),Volsmile,2),0)),($A204-DateToday)+15,IF(Pricetype1=1,1,0),0))),G204)))</f>
        <v> </v>
      </c>
      <c r="Q204" s="318" t="str">
        <f aca="false">IF($A204="N/A"," ",IF(Pricetype1=2,MAX(H204,0),IF(OR(Pricetype1=1,Pricetype1=4),IF(H204=0,0,(EURO(H204,Strikeprice1,0,0,($AK204+IF(Smile=TRUE(),VLOOKUP(MAX(-5,Strikeprice1-H204),Volsmile,2),0)),($A204-DateToday)+15,IF(Pricetype1=1,1,0),0))),H204)))</f>
        <v> </v>
      </c>
      <c r="R204" s="318" t="str">
        <f aca="false">IF($A204="N/A"," ",IF(Pricetype1=2,MAX(I204,0),IF(OR(Pricetype1=1,Pricetype1=4),IF(I204=0,0,(EURO(I204,Strikeprice1,0,0,($AK204+IF(Smile=TRUE(),VLOOKUP(MAX(-5,Strikeprice1-I204),Volsmile,2),0)),($A204-DateToday)+15,IF(Pricetype1=1,1,0),0))),I204)))</f>
        <v> </v>
      </c>
      <c r="S204" s="318" t="str">
        <f aca="false">IF($A204="N/A"," ",IF(Pricetype1=2,MAX(J204,0),IF(OR(Pricetype1=1,Pricetype1=4),IF(J204=0,0,(EURO(J204,Strikeprice1,0,0,($AK204+IF(Smile=TRUE(),VLOOKUP(MAX(-5,Strikeprice1-J204),Volsmile,2),0)),($A204-DateToday)+15,IF(Pricetype1=1,1,0),0))),J204)))</f>
        <v> </v>
      </c>
      <c r="T204" s="318" t="str">
        <f aca="false">IF($A204="N/A"," ",IF(Pricetype1=2,MAX(K204,0),IF(OR(Pricetype1=1,Pricetype1=4),IF(K204=0,0,(EURO(K204,Strikeprice1,0,0,($AK204+IF(Smile=TRUE(),VLOOKUP(MAX(-5,Strikeprice1-K204),Volsmile,2),0)),($A204-DateToday)+15,IF(Pricetype1=1,1,0),0))),K204)))</f>
        <v> </v>
      </c>
      <c r="U204" s="319" t="str">
        <f aca="false">IF($A204="N/A"," ",Volume1*$AM204)</f>
        <v> </v>
      </c>
      <c r="V204" s="320" t="str">
        <f aca="false">IF($A204="N/A"," ",$U204*(8*($BQ204))*L204)</f>
        <v> </v>
      </c>
      <c r="W204" s="320" t="str">
        <f aca="false">IF($A204="N/A"," ",$U204*(8*($BQ204))*M204)</f>
        <v> </v>
      </c>
      <c r="X204" s="320" t="str">
        <f aca="false">IF($A204="N/A"," ",$U204*(8*($BQ204))*N204)</f>
        <v> </v>
      </c>
      <c r="Y204" s="320" t="str">
        <f aca="false">IF($A204="N/A"," ",$U204*(8*($BR204))*O204)</f>
        <v> </v>
      </c>
      <c r="Z204" s="320" t="str">
        <f aca="false">IF($A204="N/A"," ",$U204*(8*($BR204))*P204)</f>
        <v> </v>
      </c>
      <c r="AA204" s="320" t="str">
        <f aca="false">IF($A204="N/A"," ",$U204*(8*($BR204))*Q204)</f>
        <v> </v>
      </c>
      <c r="AB204" s="320" t="str">
        <f aca="false">IF($A204="N/A"," ",$U204*(8*($BS204))*R204)</f>
        <v> </v>
      </c>
      <c r="AC204" s="320" t="str">
        <f aca="false">IF($A204="N/A"," ",$U204*(8*($BS204))*S204)</f>
        <v> </v>
      </c>
      <c r="AD204" s="320" t="str">
        <f aca="false">IF($A204="N/A"," ",$U204*(8*($BS204))*T204)</f>
        <v> </v>
      </c>
      <c r="AE204" s="320" t="str">
        <f aca="false">IF($A204="N/A"," ",SUM(V204:AD204))</f>
        <v> </v>
      </c>
      <c r="AF204" s="321" t="str">
        <f aca="false">IF(A204="N/A"," ",(VLOOKUP(A204,PowerVolTable,(IF(VolBMO1=2,7,IF(VolBMO1=1,6,8))),FALSE())))</f>
        <v> </v>
      </c>
      <c r="AG204" s="321" t="str">
        <f aca="false">IF(A204="N/A"," ",(VLOOKUP(A204,IntraPowerVol,(IF(VolBMO1=2,3,IF(VolBMO1=1,2,4))),FALSE())*VLOOKUP(MONTH($A204),Volscale,2)))</f>
        <v> </v>
      </c>
      <c r="AH204" s="321" t="str">
        <f aca="false">IF($A204="N/A"," ",IF(VolType1=1,AG204,AF204))</f>
        <v> </v>
      </c>
      <c r="AI204" s="321" t="str">
        <f aca="false">IF($A204="N/A"," ",(VLOOKUP($A204,OffPwrVolTable,(IF(VolBMO1=2,7,IF(VolBMO1=1,6,8))),FALSE())))</f>
        <v> </v>
      </c>
      <c r="AJ204" s="321" t="str">
        <f aca="false">IF($A204="N/A"," ",(VLOOKUP($A204,OffPwrVolTable,(IF(VolBMO1=2,3,IF(VolBMO1=1,2,4))),FALSE())*VLOOKUP(MONTH($A204),Volscale,2)))</f>
        <v> </v>
      </c>
      <c r="AK204" s="321" t="str">
        <f aca="false">IF($A204="N/A"," ",IF(VolType1=1,AJ204,AI204))</f>
        <v> </v>
      </c>
      <c r="AL204" s="321" t="str">
        <f aca="false">IF($A204="N/A"," ",IF(PV=1,0,'Pricing Inputs1'!R237))</f>
        <v> </v>
      </c>
      <c r="AM204" s="323" t="str">
        <f aca="false">IF($A204="N/A"," ",(1+AL204/2)^(-2*((EOMONTH(A204,0)+20)-DateToday)/365.25))</f>
        <v> </v>
      </c>
      <c r="BQ204" s="0" t="str">
        <f aca="false">IF($A204="N/A"," ",(VLOOKUP($A204,NumberofDaysTable,2)))</f>
        <v> </v>
      </c>
      <c r="BR204" s="0" t="str">
        <f aca="false">IF($A204="N/A"," ",(VLOOKUP($A204,NumberofDaysTable,3)))</f>
        <v> </v>
      </c>
      <c r="BS204" s="0" t="str">
        <f aca="false">IF($A204="N/A"," ",(VLOOKUP($A204,NumberofDaysTable,4)))</f>
        <v> </v>
      </c>
    </row>
    <row r="205" customFormat="false" ht="12.75" hidden="false" customHeight="false" outlineLevel="0" collapsed="false">
      <c r="A205" s="315" t="str">
        <f aca="false">IF(A204="N/A","N/A",IF(EDATE(A204,1)&gt;Inputs!$M$5,"N/A",EDATE(A204,1)))</f>
        <v>N/A</v>
      </c>
      <c r="B205" s="316" t="str">
        <f aca="false">IF(A205="N/A"," ",YEAR(A205))</f>
        <v> </v>
      </c>
      <c r="C205" s="324" t="str">
        <f aca="false">IF($A205="N/A"," ",IF(Dayrun1=10,0,IF(Scaler1=1,(VLOOKUP(A205,ScaledPrice1,4)),(VLOOKUP(A205,ScaledPrice1,2)))))</f>
        <v> </v>
      </c>
      <c r="D205" s="317" t="str">
        <f aca="false">IF(A205="N/A"," ",IF(Dayrun1&gt;=7,0,IF(Scaler1=2,VLOOKUP(A205,ScaledPrice1,2),(VLOOKUP(A205,ScaledPrice1,2))*(2-(VLOOKUP(A205,ScaledPrice1,3))))))</f>
        <v> </v>
      </c>
      <c r="E205" s="317" t="str">
        <f aca="false">IF($A205="N/A"," ",IF(AND(Dayrun1&gt;=4,Dayrun1&lt;=9),0,VLOOKUP($A205,ScaledPrice1,9)))</f>
        <v> </v>
      </c>
      <c r="F205" s="317" t="str">
        <f aca="false">IF(A205="N/A"," ",IF(OR(Dayrun1=2,Dayrun1=3,Dayrun1=5,Dayrun1=6,Dayrun1=8,Dayrun1=9),VLOOKUP(A205,ScaledPrice1,IF(Scaler1=1,6,5)),0))</f>
        <v> </v>
      </c>
      <c r="G205" s="317" t="str">
        <f aca="false">IF(A205="N/A"," ",IF(OR(Dayrun1=2,Dayrun1=3,Dayrun1=5,Dayrun1=6),IF(Scaler1=2,F205,(VLOOKUP(A205,ScaledPrice1,5))*(2-(VLOOKUP(A205,ScaledPrice1,3)))),0))</f>
        <v> </v>
      </c>
      <c r="H205" s="317" t="str">
        <f aca="false">IF($A205="N/A"," ",IF(OR(Dayrun1=2,Dayrun1=3,Dayrun1=10),VLOOKUP($A205,ScaledPrice1,9),0))</f>
        <v> </v>
      </c>
      <c r="I205" s="317" t="str">
        <f aca="false">IF(A205="N/A"," ",IF(OR(Dayrun1=3,Dayrun1=6,Dayrun1=9),(VLOOKUP(A205,ScaledPrice1,IF(Scaler1=2,7,8))),0))</f>
        <v> </v>
      </c>
      <c r="J205" s="317" t="str">
        <f aca="false">IF(A205="N/A"," ",IF(OR(Dayrun1=3,Dayrun1=6),IF(Scaler1=2,I205,(VLOOKUP(A205,ScaledPrice1,7))*(2-(VLOOKUP(A205,ScaledPrice1,3)))),0))</f>
        <v> </v>
      </c>
      <c r="K205" s="317" t="str">
        <f aca="false">IF($A205="N/A"," ",IF(OR(Dayrun1=3,Dayrun1=10),VLOOKUP($A205,ScaledPrice1,9),0))</f>
        <v> </v>
      </c>
      <c r="L205" s="318" t="str">
        <f aca="false">IF($A205="N/A"," ",IF(Pricetype1=2,MAX(C205,0),IF(OR(Pricetype1=1,Pricetype1=4),IF(C205=0,0,(EURO(C205,Strikeprice1,0,0,($AH205+IF(Smile=TRUE(),VLOOKUP(MAX(-5,Strikeprice1-C205),Volsmile,2),0)),($A205-DateToday)+15,IF(Pricetype1=1,1,0),0))),C205)))</f>
        <v> </v>
      </c>
      <c r="M205" s="318" t="str">
        <f aca="false">IF($A205="N/A"," ",IF(Pricetype1=2,MAX(D205,0),IF(OR(Pricetype1=1,Pricetype1=4),IF(D205=0,0,(EURO(D205,Strikeprice1,0,0,($AH205+IF(Smile=TRUE(),VLOOKUP(MAX(-5,Strikeprice1-D205),Volsmile,2),0)),($A205-DateToday)+15,IF(Pricetype1=1,1,0),0))),D205)))</f>
        <v> </v>
      </c>
      <c r="N205" s="318" t="str">
        <f aca="false">IF($A205="N/A"," ",IF(Pricetype1=2,MAX(E205,0),IF(OR(Pricetype1=1,Pricetype1=4),IF(E205=0,0,(EURO(E205,Strikeprice1,0,0,($AK205+IF(Smile=TRUE(),VLOOKUP(MAX(-5,Strikeprice1-E205),Volsmile,2),0)),($A205-DateToday)+15,IF(Pricetype1=1,1,0),0))),E205)))</f>
        <v> </v>
      </c>
      <c r="O205" s="318" t="str">
        <f aca="false">IF($A205="N/A"," ",IF(Pricetype1=2,MAX(F205,0),IF(OR(Pricetype1=1,Pricetype1=4),IF(F205=0,0,(EURO(F205,Strikeprice1,0,0,($AK205+IF(Smile=TRUE(),VLOOKUP(MAX(-5,Strikeprice1-F205),Volsmile,2),0)),($A205-DateToday)+15,IF(Pricetype1=1,1,0),0))),F205)))</f>
        <v> </v>
      </c>
      <c r="P205" s="318" t="str">
        <f aca="false">IF($A205="N/A"," ",IF(Pricetype1=2,MAX(G205,0),IF(OR(Pricetype1=1,Pricetype1=4),IF(G205=0,0,(EURO(G205,Strikeprice1,0,0,($AK205+IF(Smile=TRUE(),VLOOKUP(MAX(-5,Strikeprice1-G205),Volsmile,2),0)),($A205-DateToday)+15,IF(Pricetype1=1,1,0),0))),G205)))</f>
        <v> </v>
      </c>
      <c r="Q205" s="318" t="str">
        <f aca="false">IF($A205="N/A"," ",IF(Pricetype1=2,MAX(H205,0),IF(OR(Pricetype1=1,Pricetype1=4),IF(H205=0,0,(EURO(H205,Strikeprice1,0,0,($AK205+IF(Smile=TRUE(),VLOOKUP(MAX(-5,Strikeprice1-H205),Volsmile,2),0)),($A205-DateToday)+15,IF(Pricetype1=1,1,0),0))),H205)))</f>
        <v> </v>
      </c>
      <c r="R205" s="318" t="str">
        <f aca="false">IF($A205="N/A"," ",IF(Pricetype1=2,MAX(I205,0),IF(OR(Pricetype1=1,Pricetype1=4),IF(I205=0,0,(EURO(I205,Strikeprice1,0,0,($AK205+IF(Smile=TRUE(),VLOOKUP(MAX(-5,Strikeprice1-I205),Volsmile,2),0)),($A205-DateToday)+15,IF(Pricetype1=1,1,0),0))),I205)))</f>
        <v> </v>
      </c>
      <c r="S205" s="318" t="str">
        <f aca="false">IF($A205="N/A"," ",IF(Pricetype1=2,MAX(J205,0),IF(OR(Pricetype1=1,Pricetype1=4),IF(J205=0,0,(EURO(J205,Strikeprice1,0,0,($AK205+IF(Smile=TRUE(),VLOOKUP(MAX(-5,Strikeprice1-J205),Volsmile,2),0)),($A205-DateToday)+15,IF(Pricetype1=1,1,0),0))),J205)))</f>
        <v> </v>
      </c>
      <c r="T205" s="318" t="str">
        <f aca="false">IF($A205="N/A"," ",IF(Pricetype1=2,MAX(K205,0),IF(OR(Pricetype1=1,Pricetype1=4),IF(K205=0,0,(EURO(K205,Strikeprice1,0,0,($AK205+IF(Smile=TRUE(),VLOOKUP(MAX(-5,Strikeprice1-K205),Volsmile,2),0)),($A205-DateToday)+15,IF(Pricetype1=1,1,0),0))),K205)))</f>
        <v> </v>
      </c>
      <c r="U205" s="319" t="str">
        <f aca="false">IF($A205="N/A"," ",Volume1*$AM205)</f>
        <v> </v>
      </c>
      <c r="V205" s="320" t="str">
        <f aca="false">IF($A205="N/A"," ",$U205*(8*($BQ205))*L205)</f>
        <v> </v>
      </c>
      <c r="W205" s="320" t="str">
        <f aca="false">IF($A205="N/A"," ",$U205*(8*($BQ205))*M205)</f>
        <v> </v>
      </c>
      <c r="X205" s="320" t="str">
        <f aca="false">IF($A205="N/A"," ",$U205*(8*($BQ205))*N205)</f>
        <v> </v>
      </c>
      <c r="Y205" s="320" t="str">
        <f aca="false">IF($A205="N/A"," ",$U205*(8*($BR205))*O205)</f>
        <v> </v>
      </c>
      <c r="Z205" s="320" t="str">
        <f aca="false">IF($A205="N/A"," ",$U205*(8*($BR205))*P205)</f>
        <v> </v>
      </c>
      <c r="AA205" s="320" t="str">
        <f aca="false">IF($A205="N/A"," ",$U205*(8*($BR205))*Q205)</f>
        <v> </v>
      </c>
      <c r="AB205" s="320" t="str">
        <f aca="false">IF($A205="N/A"," ",$U205*(8*($BS205))*R205)</f>
        <v> </v>
      </c>
      <c r="AC205" s="320" t="str">
        <f aca="false">IF($A205="N/A"," ",$U205*(8*($BS205))*S205)</f>
        <v> </v>
      </c>
      <c r="AD205" s="320" t="str">
        <f aca="false">IF($A205="N/A"," ",$U205*(8*($BS205))*T205)</f>
        <v> </v>
      </c>
      <c r="AE205" s="320" t="str">
        <f aca="false">IF($A205="N/A"," ",SUM(V205:AD205))</f>
        <v> </v>
      </c>
      <c r="AF205" s="321" t="str">
        <f aca="false">IF(A205="N/A"," ",(VLOOKUP(A205,PowerVolTable,(IF(VolBMO1=2,7,IF(VolBMO1=1,6,8))),FALSE())))</f>
        <v> </v>
      </c>
      <c r="AG205" s="321" t="str">
        <f aca="false">IF(A205="N/A"," ",(VLOOKUP(A205,IntraPowerVol,(IF(VolBMO1=2,3,IF(VolBMO1=1,2,4))),FALSE())*VLOOKUP(MONTH($A205),Volscale,2)))</f>
        <v> </v>
      </c>
      <c r="AH205" s="321" t="str">
        <f aca="false">IF($A205="N/A"," ",IF(VolType1=1,AG205,AF205))</f>
        <v> </v>
      </c>
      <c r="AI205" s="321" t="str">
        <f aca="false">IF($A205="N/A"," ",(VLOOKUP($A205,OffPwrVolTable,(IF(VolBMO1=2,7,IF(VolBMO1=1,6,8))),FALSE())))</f>
        <v> </v>
      </c>
      <c r="AJ205" s="321" t="str">
        <f aca="false">IF($A205="N/A"," ",(VLOOKUP($A205,OffPwrVolTable,(IF(VolBMO1=2,3,IF(VolBMO1=1,2,4))),FALSE())*VLOOKUP(MONTH($A205),Volscale,2)))</f>
        <v> </v>
      </c>
      <c r="AK205" s="321" t="str">
        <f aca="false">IF($A205="N/A"," ",IF(VolType1=1,AJ205,AI205))</f>
        <v> </v>
      </c>
      <c r="AL205" s="321" t="str">
        <f aca="false">IF($A205="N/A"," ",IF(PV=1,0,'Pricing Inputs1'!R238))</f>
        <v> </v>
      </c>
      <c r="AM205" s="323" t="str">
        <f aca="false">IF($A205="N/A"," ",(1+AL205/2)^(-2*((EOMONTH(A205,0)+20)-DateToday)/365.25))</f>
        <v> </v>
      </c>
      <c r="BQ205" s="0" t="str">
        <f aca="false">IF($A205="N/A"," ",(VLOOKUP($A205,NumberofDaysTable,2)))</f>
        <v> </v>
      </c>
      <c r="BR205" s="0" t="str">
        <f aca="false">IF($A205="N/A"," ",(VLOOKUP($A205,NumberofDaysTable,3)))</f>
        <v> </v>
      </c>
      <c r="BS205" s="0" t="str">
        <f aca="false">IF($A205="N/A"," ",(VLOOKUP($A205,NumberofDaysTable,4)))</f>
        <v> </v>
      </c>
    </row>
    <row r="206" customFormat="false" ht="12.75" hidden="false" customHeight="false" outlineLevel="0" collapsed="false">
      <c r="A206" s="315" t="str">
        <f aca="false">IF(A205="N/A","N/A",IF(EDATE(A205,1)&gt;Inputs!$M$5,"N/A",EDATE(A205,1)))</f>
        <v>N/A</v>
      </c>
      <c r="B206" s="316" t="str">
        <f aca="false">IF(A206="N/A"," ",YEAR(A206))</f>
        <v> </v>
      </c>
      <c r="C206" s="324" t="str">
        <f aca="false">IF($A206="N/A"," ",IF(Dayrun1=10,0,IF(Scaler1=1,(VLOOKUP(A206,ScaledPrice1,4)),(VLOOKUP(A206,ScaledPrice1,2)))))</f>
        <v> </v>
      </c>
      <c r="D206" s="317" t="str">
        <f aca="false">IF(A206="N/A"," ",IF(Dayrun1&gt;=7,0,IF(Scaler1=2,VLOOKUP(A206,ScaledPrice1,2),(VLOOKUP(A206,ScaledPrice1,2))*(2-(VLOOKUP(A206,ScaledPrice1,3))))))</f>
        <v> </v>
      </c>
      <c r="E206" s="317" t="str">
        <f aca="false">IF($A206="N/A"," ",IF(AND(Dayrun1&gt;=4,Dayrun1&lt;=9),0,VLOOKUP($A206,ScaledPrice1,9)))</f>
        <v> </v>
      </c>
      <c r="F206" s="317" t="str">
        <f aca="false">IF(A206="N/A"," ",IF(OR(Dayrun1=2,Dayrun1=3,Dayrun1=5,Dayrun1=6,Dayrun1=8,Dayrun1=9),VLOOKUP(A206,ScaledPrice1,IF(Scaler1=1,6,5)),0))</f>
        <v> </v>
      </c>
      <c r="G206" s="317" t="str">
        <f aca="false">IF(A206="N/A"," ",IF(OR(Dayrun1=2,Dayrun1=3,Dayrun1=5,Dayrun1=6),IF(Scaler1=2,F206,(VLOOKUP(A206,ScaledPrice1,5))*(2-(VLOOKUP(A206,ScaledPrice1,3)))),0))</f>
        <v> </v>
      </c>
      <c r="H206" s="317" t="str">
        <f aca="false">IF($A206="N/A"," ",IF(OR(Dayrun1=2,Dayrun1=3,Dayrun1=10),VLOOKUP($A206,ScaledPrice1,9),0))</f>
        <v> </v>
      </c>
      <c r="I206" s="317" t="str">
        <f aca="false">IF(A206="N/A"," ",IF(OR(Dayrun1=3,Dayrun1=6,Dayrun1=9),(VLOOKUP(A206,ScaledPrice1,IF(Scaler1=2,7,8))),0))</f>
        <v> </v>
      </c>
      <c r="J206" s="317" t="str">
        <f aca="false">IF(A206="N/A"," ",IF(OR(Dayrun1=3,Dayrun1=6),IF(Scaler1=2,I206,(VLOOKUP(A206,ScaledPrice1,7))*(2-(VLOOKUP(A206,ScaledPrice1,3)))),0))</f>
        <v> </v>
      </c>
      <c r="K206" s="317" t="str">
        <f aca="false">IF($A206="N/A"," ",IF(OR(Dayrun1=3,Dayrun1=10),VLOOKUP($A206,ScaledPrice1,9),0))</f>
        <v> </v>
      </c>
      <c r="L206" s="318" t="str">
        <f aca="false">IF($A206="N/A"," ",IF(Pricetype1=2,MAX(C206,0),IF(OR(Pricetype1=1,Pricetype1=4),IF(C206=0,0,(EURO(C206,Strikeprice1,0,0,($AH206+IF(Smile=TRUE(),VLOOKUP(MAX(-5,Strikeprice1-C206),Volsmile,2),0)),($A206-DateToday)+15,IF(Pricetype1=1,1,0),0))),C206)))</f>
        <v> </v>
      </c>
      <c r="M206" s="318" t="str">
        <f aca="false">IF($A206="N/A"," ",IF(Pricetype1=2,MAX(D206,0),IF(OR(Pricetype1=1,Pricetype1=4),IF(D206=0,0,(EURO(D206,Strikeprice1,0,0,($AH206+IF(Smile=TRUE(),VLOOKUP(MAX(-5,Strikeprice1-D206),Volsmile,2),0)),($A206-DateToday)+15,IF(Pricetype1=1,1,0),0))),D206)))</f>
        <v> </v>
      </c>
      <c r="N206" s="318" t="str">
        <f aca="false">IF($A206="N/A"," ",IF(Pricetype1=2,MAX(E206,0),IF(OR(Pricetype1=1,Pricetype1=4),IF(E206=0,0,(EURO(E206,Strikeprice1,0,0,($AK206+IF(Smile=TRUE(),VLOOKUP(MAX(-5,Strikeprice1-E206),Volsmile,2),0)),($A206-DateToday)+15,IF(Pricetype1=1,1,0),0))),E206)))</f>
        <v> </v>
      </c>
      <c r="O206" s="318" t="str">
        <f aca="false">IF($A206="N/A"," ",IF(Pricetype1=2,MAX(F206,0),IF(OR(Pricetype1=1,Pricetype1=4),IF(F206=0,0,(EURO(F206,Strikeprice1,0,0,($AK206+IF(Smile=TRUE(),VLOOKUP(MAX(-5,Strikeprice1-F206),Volsmile,2),0)),($A206-DateToday)+15,IF(Pricetype1=1,1,0),0))),F206)))</f>
        <v> </v>
      </c>
      <c r="P206" s="318" t="str">
        <f aca="false">IF($A206="N/A"," ",IF(Pricetype1=2,MAX(G206,0),IF(OR(Pricetype1=1,Pricetype1=4),IF(G206=0,0,(EURO(G206,Strikeprice1,0,0,($AK206+IF(Smile=TRUE(),VLOOKUP(MAX(-5,Strikeprice1-G206),Volsmile,2),0)),($A206-DateToday)+15,IF(Pricetype1=1,1,0),0))),G206)))</f>
        <v> </v>
      </c>
      <c r="Q206" s="318" t="str">
        <f aca="false">IF($A206="N/A"," ",IF(Pricetype1=2,MAX(H206,0),IF(OR(Pricetype1=1,Pricetype1=4),IF(H206=0,0,(EURO(H206,Strikeprice1,0,0,($AK206+IF(Smile=TRUE(),VLOOKUP(MAX(-5,Strikeprice1-H206),Volsmile,2),0)),($A206-DateToday)+15,IF(Pricetype1=1,1,0),0))),H206)))</f>
        <v> </v>
      </c>
      <c r="R206" s="318" t="str">
        <f aca="false">IF($A206="N/A"," ",IF(Pricetype1=2,MAX(I206,0),IF(OR(Pricetype1=1,Pricetype1=4),IF(I206=0,0,(EURO(I206,Strikeprice1,0,0,($AK206+IF(Smile=TRUE(),VLOOKUP(MAX(-5,Strikeprice1-I206),Volsmile,2),0)),($A206-DateToday)+15,IF(Pricetype1=1,1,0),0))),I206)))</f>
        <v> </v>
      </c>
      <c r="S206" s="318" t="str">
        <f aca="false">IF($A206="N/A"," ",IF(Pricetype1=2,MAX(J206,0),IF(OR(Pricetype1=1,Pricetype1=4),IF(J206=0,0,(EURO(J206,Strikeprice1,0,0,($AK206+IF(Smile=TRUE(),VLOOKUP(MAX(-5,Strikeprice1-J206),Volsmile,2),0)),($A206-DateToday)+15,IF(Pricetype1=1,1,0),0))),J206)))</f>
        <v> </v>
      </c>
      <c r="T206" s="318" t="str">
        <f aca="false">IF($A206="N/A"," ",IF(Pricetype1=2,MAX(K206,0),IF(OR(Pricetype1=1,Pricetype1=4),IF(K206=0,0,(EURO(K206,Strikeprice1,0,0,($AK206+IF(Smile=TRUE(),VLOOKUP(MAX(-5,Strikeprice1-K206),Volsmile,2),0)),($A206-DateToday)+15,IF(Pricetype1=1,1,0),0))),K206)))</f>
        <v> </v>
      </c>
      <c r="U206" s="319" t="str">
        <f aca="false">IF($A206="N/A"," ",Volume1*$AM206)</f>
        <v> </v>
      </c>
      <c r="V206" s="320" t="str">
        <f aca="false">IF($A206="N/A"," ",$U206*(8*($BQ206))*L206)</f>
        <v> </v>
      </c>
      <c r="W206" s="320" t="str">
        <f aca="false">IF($A206="N/A"," ",$U206*(8*($BQ206))*M206)</f>
        <v> </v>
      </c>
      <c r="X206" s="320" t="str">
        <f aca="false">IF($A206="N/A"," ",$U206*(8*($BQ206))*N206)</f>
        <v> </v>
      </c>
      <c r="Y206" s="320" t="str">
        <f aca="false">IF($A206="N/A"," ",$U206*(8*($BR206))*O206)</f>
        <v> </v>
      </c>
      <c r="Z206" s="320" t="str">
        <f aca="false">IF($A206="N/A"," ",$U206*(8*($BR206))*P206)</f>
        <v> </v>
      </c>
      <c r="AA206" s="320" t="str">
        <f aca="false">IF($A206="N/A"," ",$U206*(8*($BR206))*Q206)</f>
        <v> </v>
      </c>
      <c r="AB206" s="320" t="str">
        <f aca="false">IF($A206="N/A"," ",$U206*(8*($BS206))*R206)</f>
        <v> </v>
      </c>
      <c r="AC206" s="320" t="str">
        <f aca="false">IF($A206="N/A"," ",$U206*(8*($BS206))*S206)</f>
        <v> </v>
      </c>
      <c r="AD206" s="320" t="str">
        <f aca="false">IF($A206="N/A"," ",$U206*(8*($BS206))*T206)</f>
        <v> </v>
      </c>
      <c r="AE206" s="320" t="str">
        <f aca="false">IF($A206="N/A"," ",SUM(V206:AD206))</f>
        <v> </v>
      </c>
      <c r="AF206" s="321" t="str">
        <f aca="false">IF(A206="N/A"," ",(VLOOKUP(A206,PowerVolTable,(IF(VolBMO1=2,7,IF(VolBMO1=1,6,8))),FALSE())))</f>
        <v> </v>
      </c>
      <c r="AG206" s="321" t="str">
        <f aca="false">IF(A206="N/A"," ",(VLOOKUP(A206,IntraPowerVol,(IF(VolBMO1=2,3,IF(VolBMO1=1,2,4))),FALSE())*VLOOKUP(MONTH($A206),Volscale,2)))</f>
        <v> </v>
      </c>
      <c r="AH206" s="321" t="str">
        <f aca="false">IF($A206="N/A"," ",IF(VolType1=1,AG206,AF206))</f>
        <v> </v>
      </c>
      <c r="AI206" s="321" t="str">
        <f aca="false">IF($A206="N/A"," ",(VLOOKUP($A206,OffPwrVolTable,(IF(VolBMO1=2,7,IF(VolBMO1=1,6,8))),FALSE())))</f>
        <v> </v>
      </c>
      <c r="AJ206" s="321" t="str">
        <f aca="false">IF($A206="N/A"," ",(VLOOKUP($A206,OffPwrVolTable,(IF(VolBMO1=2,3,IF(VolBMO1=1,2,4))),FALSE())*VLOOKUP(MONTH($A206),Volscale,2)))</f>
        <v> </v>
      </c>
      <c r="AK206" s="321" t="str">
        <f aca="false">IF($A206="N/A"," ",IF(VolType1=1,AJ206,AI206))</f>
        <v> </v>
      </c>
      <c r="AL206" s="321" t="str">
        <f aca="false">IF($A206="N/A"," ",IF(PV=1,0,'Pricing Inputs1'!R239))</f>
        <v> </v>
      </c>
      <c r="AM206" s="323" t="str">
        <f aca="false">IF($A206="N/A"," ",(1+AL206/2)^(-2*((EOMONTH(A206,0)+20)-DateToday)/365.25))</f>
        <v> </v>
      </c>
      <c r="BQ206" s="0" t="str">
        <f aca="false">IF($A206="N/A"," ",(VLOOKUP($A206,NumberofDaysTable,2)))</f>
        <v> </v>
      </c>
      <c r="BR206" s="0" t="str">
        <f aca="false">IF($A206="N/A"," ",(VLOOKUP($A206,NumberofDaysTable,3)))</f>
        <v> </v>
      </c>
      <c r="BS206" s="0" t="str">
        <f aca="false">IF($A206="N/A"," ",(VLOOKUP($A206,NumberofDaysTable,4)))</f>
        <v> </v>
      </c>
    </row>
    <row r="207" customFormat="false" ht="12.75" hidden="false" customHeight="false" outlineLevel="0" collapsed="false">
      <c r="A207" s="315" t="str">
        <f aca="false">IF(A206="N/A","N/A",IF(EDATE(A206,1)&gt;Inputs!$M$5,"N/A",EDATE(A206,1)))</f>
        <v>N/A</v>
      </c>
      <c r="B207" s="316" t="str">
        <f aca="false">IF(A207="N/A"," ",YEAR(A207))</f>
        <v> </v>
      </c>
      <c r="C207" s="324" t="str">
        <f aca="false">IF($A207="N/A"," ",IF(Dayrun1=10,0,IF(Scaler1=1,(VLOOKUP(A207,ScaledPrice1,4)),(VLOOKUP(A207,ScaledPrice1,2)))))</f>
        <v> </v>
      </c>
      <c r="D207" s="317" t="str">
        <f aca="false">IF(A207="N/A"," ",IF(Dayrun1&gt;=7,0,IF(Scaler1=2,VLOOKUP(A207,ScaledPrice1,2),(VLOOKUP(A207,ScaledPrice1,2))*(2-(VLOOKUP(A207,ScaledPrice1,3))))))</f>
        <v> </v>
      </c>
      <c r="E207" s="317" t="str">
        <f aca="false">IF($A207="N/A"," ",IF(AND(Dayrun1&gt;=4,Dayrun1&lt;=9),0,VLOOKUP($A207,ScaledPrice1,9)))</f>
        <v> </v>
      </c>
      <c r="F207" s="317" t="str">
        <f aca="false">IF(A207="N/A"," ",IF(OR(Dayrun1=2,Dayrun1=3,Dayrun1=5,Dayrun1=6,Dayrun1=8,Dayrun1=9),VLOOKUP(A207,ScaledPrice1,IF(Scaler1=1,6,5)),0))</f>
        <v> </v>
      </c>
      <c r="G207" s="317" t="str">
        <f aca="false">IF(A207="N/A"," ",IF(OR(Dayrun1=2,Dayrun1=3,Dayrun1=5,Dayrun1=6),IF(Scaler1=2,F207,(VLOOKUP(A207,ScaledPrice1,5))*(2-(VLOOKUP(A207,ScaledPrice1,3)))),0))</f>
        <v> </v>
      </c>
      <c r="H207" s="317" t="str">
        <f aca="false">IF($A207="N/A"," ",IF(OR(Dayrun1=2,Dayrun1=3,Dayrun1=10),VLOOKUP($A207,ScaledPrice1,9),0))</f>
        <v> </v>
      </c>
      <c r="I207" s="317" t="str">
        <f aca="false">IF(A207="N/A"," ",IF(OR(Dayrun1=3,Dayrun1=6,Dayrun1=9),(VLOOKUP(A207,ScaledPrice1,IF(Scaler1=2,7,8))),0))</f>
        <v> </v>
      </c>
      <c r="J207" s="317" t="str">
        <f aca="false">IF(A207="N/A"," ",IF(OR(Dayrun1=3,Dayrun1=6),IF(Scaler1=2,I207,(VLOOKUP(A207,ScaledPrice1,7))*(2-(VLOOKUP(A207,ScaledPrice1,3)))),0))</f>
        <v> </v>
      </c>
      <c r="K207" s="317" t="str">
        <f aca="false">IF($A207="N/A"," ",IF(OR(Dayrun1=3,Dayrun1=10),VLOOKUP($A207,ScaledPrice1,9),0))</f>
        <v> </v>
      </c>
      <c r="L207" s="318" t="str">
        <f aca="false">IF($A207="N/A"," ",IF(Pricetype1=2,MAX(C207,0),IF(OR(Pricetype1=1,Pricetype1=4),IF(C207=0,0,(EURO(C207,Strikeprice1,0,0,($AH207+IF(Smile=TRUE(),VLOOKUP(MAX(-5,Strikeprice1-C207),Volsmile,2),0)),($A207-DateToday)+15,IF(Pricetype1=1,1,0),0))),C207)))</f>
        <v> </v>
      </c>
      <c r="M207" s="318" t="str">
        <f aca="false">IF($A207="N/A"," ",IF(Pricetype1=2,MAX(D207,0),IF(OR(Pricetype1=1,Pricetype1=4),IF(D207=0,0,(EURO(D207,Strikeprice1,0,0,($AH207+IF(Smile=TRUE(),VLOOKUP(MAX(-5,Strikeprice1-D207),Volsmile,2),0)),($A207-DateToday)+15,IF(Pricetype1=1,1,0),0))),D207)))</f>
        <v> </v>
      </c>
      <c r="N207" s="318" t="str">
        <f aca="false">IF($A207="N/A"," ",IF(Pricetype1=2,MAX(E207,0),IF(OR(Pricetype1=1,Pricetype1=4),IF(E207=0,0,(EURO(E207,Strikeprice1,0,0,($AK207+IF(Smile=TRUE(),VLOOKUP(MAX(-5,Strikeprice1-E207),Volsmile,2),0)),($A207-DateToday)+15,IF(Pricetype1=1,1,0),0))),E207)))</f>
        <v> </v>
      </c>
      <c r="O207" s="318" t="str">
        <f aca="false">IF($A207="N/A"," ",IF(Pricetype1=2,MAX(F207,0),IF(OR(Pricetype1=1,Pricetype1=4),IF(F207=0,0,(EURO(F207,Strikeprice1,0,0,($AK207+IF(Smile=TRUE(),VLOOKUP(MAX(-5,Strikeprice1-F207),Volsmile,2),0)),($A207-DateToday)+15,IF(Pricetype1=1,1,0),0))),F207)))</f>
        <v> </v>
      </c>
      <c r="P207" s="318" t="str">
        <f aca="false">IF($A207="N/A"," ",IF(Pricetype1=2,MAX(G207,0),IF(OR(Pricetype1=1,Pricetype1=4),IF(G207=0,0,(EURO(G207,Strikeprice1,0,0,($AK207+IF(Smile=TRUE(),VLOOKUP(MAX(-5,Strikeprice1-G207),Volsmile,2),0)),($A207-DateToday)+15,IF(Pricetype1=1,1,0),0))),G207)))</f>
        <v> </v>
      </c>
      <c r="Q207" s="318" t="str">
        <f aca="false">IF($A207="N/A"," ",IF(Pricetype1=2,MAX(H207,0),IF(OR(Pricetype1=1,Pricetype1=4),IF(H207=0,0,(EURO(H207,Strikeprice1,0,0,($AK207+IF(Smile=TRUE(),VLOOKUP(MAX(-5,Strikeprice1-H207),Volsmile,2),0)),($A207-DateToday)+15,IF(Pricetype1=1,1,0),0))),H207)))</f>
        <v> </v>
      </c>
      <c r="R207" s="318" t="str">
        <f aca="false">IF($A207="N/A"," ",IF(Pricetype1=2,MAX(I207,0),IF(OR(Pricetype1=1,Pricetype1=4),IF(I207=0,0,(EURO(I207,Strikeprice1,0,0,($AK207+IF(Smile=TRUE(),VLOOKUP(MAX(-5,Strikeprice1-I207),Volsmile,2),0)),($A207-DateToday)+15,IF(Pricetype1=1,1,0),0))),I207)))</f>
        <v> </v>
      </c>
      <c r="S207" s="318" t="str">
        <f aca="false">IF($A207="N/A"," ",IF(Pricetype1=2,MAX(J207,0),IF(OR(Pricetype1=1,Pricetype1=4),IF(J207=0,0,(EURO(J207,Strikeprice1,0,0,($AK207+IF(Smile=TRUE(),VLOOKUP(MAX(-5,Strikeprice1-J207),Volsmile,2),0)),($A207-DateToday)+15,IF(Pricetype1=1,1,0),0))),J207)))</f>
        <v> </v>
      </c>
      <c r="T207" s="318" t="str">
        <f aca="false">IF($A207="N/A"," ",IF(Pricetype1=2,MAX(K207,0),IF(OR(Pricetype1=1,Pricetype1=4),IF(K207=0,0,(EURO(K207,Strikeprice1,0,0,($AK207+IF(Smile=TRUE(),VLOOKUP(MAX(-5,Strikeprice1-K207),Volsmile,2),0)),($A207-DateToday)+15,IF(Pricetype1=1,1,0),0))),K207)))</f>
        <v> </v>
      </c>
      <c r="U207" s="319" t="str">
        <f aca="false">IF($A207="N/A"," ",Volume1*$AM207)</f>
        <v> </v>
      </c>
      <c r="V207" s="320" t="str">
        <f aca="false">IF($A207="N/A"," ",$U207*(8*($BQ207))*L207)</f>
        <v> </v>
      </c>
      <c r="W207" s="320" t="str">
        <f aca="false">IF($A207="N/A"," ",$U207*(8*($BQ207))*M207)</f>
        <v> </v>
      </c>
      <c r="X207" s="320" t="str">
        <f aca="false">IF($A207="N/A"," ",$U207*(8*($BQ207))*N207)</f>
        <v> </v>
      </c>
      <c r="Y207" s="320" t="str">
        <f aca="false">IF($A207="N/A"," ",$U207*(8*($BR207))*O207)</f>
        <v> </v>
      </c>
      <c r="Z207" s="320" t="str">
        <f aca="false">IF($A207="N/A"," ",$U207*(8*($BR207))*P207)</f>
        <v> </v>
      </c>
      <c r="AA207" s="320" t="str">
        <f aca="false">IF($A207="N/A"," ",$U207*(8*($BR207))*Q207)</f>
        <v> </v>
      </c>
      <c r="AB207" s="320" t="str">
        <f aca="false">IF($A207="N/A"," ",$U207*(8*($BS207))*R207)</f>
        <v> </v>
      </c>
      <c r="AC207" s="320" t="str">
        <f aca="false">IF($A207="N/A"," ",$U207*(8*($BS207))*S207)</f>
        <v> </v>
      </c>
      <c r="AD207" s="320" t="str">
        <f aca="false">IF($A207="N/A"," ",$U207*(8*($BS207))*T207)</f>
        <v> </v>
      </c>
      <c r="AE207" s="320" t="str">
        <f aca="false">IF($A207="N/A"," ",SUM(V207:AD207))</f>
        <v> </v>
      </c>
      <c r="AF207" s="321" t="str">
        <f aca="false">IF(A207="N/A"," ",(VLOOKUP(A207,PowerVolTable,(IF(VolBMO1=2,7,IF(VolBMO1=1,6,8))),FALSE())))</f>
        <v> </v>
      </c>
      <c r="AG207" s="321" t="str">
        <f aca="false">IF(A207="N/A"," ",(VLOOKUP(A207,IntraPowerVol,(IF(VolBMO1=2,3,IF(VolBMO1=1,2,4))),FALSE())*VLOOKUP(MONTH($A207),Volscale,2)))</f>
        <v> </v>
      </c>
      <c r="AH207" s="321" t="str">
        <f aca="false">IF($A207="N/A"," ",IF(VolType1=1,AG207,AF207))</f>
        <v> </v>
      </c>
      <c r="AI207" s="321" t="str">
        <f aca="false">IF($A207="N/A"," ",(VLOOKUP($A207,OffPwrVolTable,(IF(VolBMO1=2,7,IF(VolBMO1=1,6,8))),FALSE())))</f>
        <v> </v>
      </c>
      <c r="AJ207" s="321" t="str">
        <f aca="false">IF($A207="N/A"," ",(VLOOKUP($A207,OffPwrVolTable,(IF(VolBMO1=2,3,IF(VolBMO1=1,2,4))),FALSE())*VLOOKUP(MONTH($A207),Volscale,2)))</f>
        <v> </v>
      </c>
      <c r="AK207" s="321" t="str">
        <f aca="false">IF($A207="N/A"," ",IF(VolType1=1,AJ207,AI207))</f>
        <v> </v>
      </c>
      <c r="AL207" s="321" t="str">
        <f aca="false">IF($A207="N/A"," ",IF(PV=1,0,'Pricing Inputs1'!R240))</f>
        <v> </v>
      </c>
      <c r="AM207" s="323" t="str">
        <f aca="false">IF($A207="N/A"," ",(1+AL207/2)^(-2*((EOMONTH(A207,0)+20)-DateToday)/365.25))</f>
        <v> </v>
      </c>
      <c r="BQ207" s="0" t="str">
        <f aca="false">IF($A207="N/A"," ",(VLOOKUP($A207,NumberofDaysTable,2)))</f>
        <v> </v>
      </c>
      <c r="BR207" s="0" t="str">
        <f aca="false">IF($A207="N/A"," ",(VLOOKUP($A207,NumberofDaysTable,3)))</f>
        <v> </v>
      </c>
      <c r="BS207" s="0" t="str">
        <f aca="false">IF($A207="N/A"," ",(VLOOKUP($A207,NumberofDaysTable,4)))</f>
        <v> </v>
      </c>
    </row>
    <row r="208" customFormat="false" ht="12.75" hidden="false" customHeight="false" outlineLevel="0" collapsed="false">
      <c r="A208" s="315" t="str">
        <f aca="false">IF(A207="N/A","N/A",IF(EDATE(A207,1)&gt;Inputs!$M$5,"N/A",EDATE(A207,1)))</f>
        <v>N/A</v>
      </c>
      <c r="B208" s="316" t="str">
        <f aca="false">IF(A208="N/A"," ",YEAR(A208))</f>
        <v> </v>
      </c>
      <c r="C208" s="324" t="str">
        <f aca="false">IF($A208="N/A"," ",IF(Dayrun1=10,0,IF(Scaler1=1,(VLOOKUP(A208,ScaledPrice1,4)),(VLOOKUP(A208,ScaledPrice1,2)))))</f>
        <v> </v>
      </c>
      <c r="D208" s="317" t="str">
        <f aca="false">IF(A208="N/A"," ",IF(Dayrun1&gt;=7,0,IF(Scaler1=2,VLOOKUP(A208,ScaledPrice1,2),(VLOOKUP(A208,ScaledPrice1,2))*(2-(VLOOKUP(A208,ScaledPrice1,3))))))</f>
        <v> </v>
      </c>
      <c r="E208" s="317" t="str">
        <f aca="false">IF($A208="N/A"," ",IF(AND(Dayrun1&gt;=4,Dayrun1&lt;=9),0,VLOOKUP($A208,ScaledPrice1,9)))</f>
        <v> </v>
      </c>
      <c r="F208" s="317" t="str">
        <f aca="false">IF(A208="N/A"," ",IF(OR(Dayrun1=2,Dayrun1=3,Dayrun1=5,Dayrun1=6,Dayrun1=8,Dayrun1=9),VLOOKUP(A208,ScaledPrice1,IF(Scaler1=1,6,5)),0))</f>
        <v> </v>
      </c>
      <c r="G208" s="317" t="str">
        <f aca="false">IF(A208="N/A"," ",IF(OR(Dayrun1=2,Dayrun1=3,Dayrun1=5,Dayrun1=6),IF(Scaler1=2,F208,(VLOOKUP(A208,ScaledPrice1,5))*(2-(VLOOKUP(A208,ScaledPrice1,3)))),0))</f>
        <v> </v>
      </c>
      <c r="H208" s="317" t="str">
        <f aca="false">IF($A208="N/A"," ",IF(OR(Dayrun1=2,Dayrun1=3,Dayrun1=10),VLOOKUP($A208,ScaledPrice1,9),0))</f>
        <v> </v>
      </c>
      <c r="I208" s="317" t="str">
        <f aca="false">IF(A208="N/A"," ",IF(OR(Dayrun1=3,Dayrun1=6,Dayrun1=9),(VLOOKUP(A208,ScaledPrice1,IF(Scaler1=2,7,8))),0))</f>
        <v> </v>
      </c>
      <c r="J208" s="317" t="str">
        <f aca="false">IF(A208="N/A"," ",IF(OR(Dayrun1=3,Dayrun1=6),IF(Scaler1=2,I208,(VLOOKUP(A208,ScaledPrice1,7))*(2-(VLOOKUP(A208,ScaledPrice1,3)))),0))</f>
        <v> </v>
      </c>
      <c r="K208" s="317" t="str">
        <f aca="false">IF($A208="N/A"," ",IF(OR(Dayrun1=3,Dayrun1=10),VLOOKUP($A208,ScaledPrice1,9),0))</f>
        <v> </v>
      </c>
      <c r="L208" s="318" t="str">
        <f aca="false">IF($A208="N/A"," ",IF(Pricetype1=2,MAX(C208,0),IF(OR(Pricetype1=1,Pricetype1=4),IF(C208=0,0,(EURO(C208,Strikeprice1,0,0,($AH208+IF(Smile=TRUE(),VLOOKUP(MAX(-5,Strikeprice1-C208),Volsmile,2),0)),($A208-DateToday)+15,IF(Pricetype1=1,1,0),0))),C208)))</f>
        <v> </v>
      </c>
      <c r="M208" s="318" t="str">
        <f aca="false">IF($A208="N/A"," ",IF(Pricetype1=2,MAX(D208,0),IF(OR(Pricetype1=1,Pricetype1=4),IF(D208=0,0,(EURO(D208,Strikeprice1,0,0,($AH208+IF(Smile=TRUE(),VLOOKUP(MAX(-5,Strikeprice1-D208),Volsmile,2),0)),($A208-DateToday)+15,IF(Pricetype1=1,1,0),0))),D208)))</f>
        <v> </v>
      </c>
      <c r="N208" s="318" t="str">
        <f aca="false">IF($A208="N/A"," ",IF(Pricetype1=2,MAX(E208,0),IF(OR(Pricetype1=1,Pricetype1=4),IF(E208=0,0,(EURO(E208,Strikeprice1,0,0,($AK208+IF(Smile=TRUE(),VLOOKUP(MAX(-5,Strikeprice1-E208),Volsmile,2),0)),($A208-DateToday)+15,IF(Pricetype1=1,1,0),0))),E208)))</f>
        <v> </v>
      </c>
      <c r="O208" s="318" t="str">
        <f aca="false">IF($A208="N/A"," ",IF(Pricetype1=2,MAX(F208,0),IF(OR(Pricetype1=1,Pricetype1=4),IF(F208=0,0,(EURO(F208,Strikeprice1,0,0,($AK208+IF(Smile=TRUE(),VLOOKUP(MAX(-5,Strikeprice1-F208),Volsmile,2),0)),($A208-DateToday)+15,IF(Pricetype1=1,1,0),0))),F208)))</f>
        <v> </v>
      </c>
      <c r="P208" s="318" t="str">
        <f aca="false">IF($A208="N/A"," ",IF(Pricetype1=2,MAX(G208,0),IF(OR(Pricetype1=1,Pricetype1=4),IF(G208=0,0,(EURO(G208,Strikeprice1,0,0,($AK208+IF(Smile=TRUE(),VLOOKUP(MAX(-5,Strikeprice1-G208),Volsmile,2),0)),($A208-DateToday)+15,IF(Pricetype1=1,1,0),0))),G208)))</f>
        <v> </v>
      </c>
      <c r="Q208" s="318" t="str">
        <f aca="false">IF($A208="N/A"," ",IF(Pricetype1=2,MAX(H208,0),IF(OR(Pricetype1=1,Pricetype1=4),IF(H208=0,0,(EURO(H208,Strikeprice1,0,0,($AK208+IF(Smile=TRUE(),VLOOKUP(MAX(-5,Strikeprice1-H208),Volsmile,2),0)),($A208-DateToday)+15,IF(Pricetype1=1,1,0),0))),H208)))</f>
        <v> </v>
      </c>
      <c r="R208" s="318" t="str">
        <f aca="false">IF($A208="N/A"," ",IF(Pricetype1=2,MAX(I208,0),IF(OR(Pricetype1=1,Pricetype1=4),IF(I208=0,0,(EURO(I208,Strikeprice1,0,0,($AK208+IF(Smile=TRUE(),VLOOKUP(MAX(-5,Strikeprice1-I208),Volsmile,2),0)),($A208-DateToday)+15,IF(Pricetype1=1,1,0),0))),I208)))</f>
        <v> </v>
      </c>
      <c r="S208" s="318" t="str">
        <f aca="false">IF($A208="N/A"," ",IF(Pricetype1=2,MAX(J208,0),IF(OR(Pricetype1=1,Pricetype1=4),IF(J208=0,0,(EURO(J208,Strikeprice1,0,0,($AK208+IF(Smile=TRUE(),VLOOKUP(MAX(-5,Strikeprice1-J208),Volsmile,2),0)),($A208-DateToday)+15,IF(Pricetype1=1,1,0),0))),J208)))</f>
        <v> </v>
      </c>
      <c r="T208" s="318" t="str">
        <f aca="false">IF($A208="N/A"," ",IF(Pricetype1=2,MAX(K208,0),IF(OR(Pricetype1=1,Pricetype1=4),IF(K208=0,0,(EURO(K208,Strikeprice1,0,0,($AK208+IF(Smile=TRUE(),VLOOKUP(MAX(-5,Strikeprice1-K208),Volsmile,2),0)),($A208-DateToday)+15,IF(Pricetype1=1,1,0),0))),K208)))</f>
        <v> </v>
      </c>
      <c r="U208" s="319" t="str">
        <f aca="false">IF($A208="N/A"," ",Volume1*$AM208)</f>
        <v> </v>
      </c>
      <c r="V208" s="320" t="str">
        <f aca="false">IF($A208="N/A"," ",$U208*(8*($BQ208))*L208)</f>
        <v> </v>
      </c>
      <c r="W208" s="320" t="str">
        <f aca="false">IF($A208="N/A"," ",$U208*(8*($BQ208))*M208)</f>
        <v> </v>
      </c>
      <c r="X208" s="320" t="str">
        <f aca="false">IF($A208="N/A"," ",$U208*(8*($BQ208))*N208)</f>
        <v> </v>
      </c>
      <c r="Y208" s="320" t="str">
        <f aca="false">IF($A208="N/A"," ",$U208*(8*($BR208))*O208)</f>
        <v> </v>
      </c>
      <c r="Z208" s="320" t="str">
        <f aca="false">IF($A208="N/A"," ",$U208*(8*($BR208))*P208)</f>
        <v> </v>
      </c>
      <c r="AA208" s="320" t="str">
        <f aca="false">IF($A208="N/A"," ",$U208*(8*($BR208))*Q208)</f>
        <v> </v>
      </c>
      <c r="AB208" s="320" t="str">
        <f aca="false">IF($A208="N/A"," ",$U208*(8*($BS208))*R208)</f>
        <v> </v>
      </c>
      <c r="AC208" s="320" t="str">
        <f aca="false">IF($A208="N/A"," ",$U208*(8*($BS208))*S208)</f>
        <v> </v>
      </c>
      <c r="AD208" s="320" t="str">
        <f aca="false">IF($A208="N/A"," ",$U208*(8*($BS208))*T208)</f>
        <v> </v>
      </c>
      <c r="AE208" s="320" t="str">
        <f aca="false">IF($A208="N/A"," ",SUM(V208:AD208))</f>
        <v> </v>
      </c>
      <c r="AF208" s="321" t="str">
        <f aca="false">IF(A208="N/A"," ",(VLOOKUP(A208,PowerVolTable,(IF(VolBMO1=2,7,IF(VolBMO1=1,6,8))),FALSE())))</f>
        <v> </v>
      </c>
      <c r="AG208" s="321" t="str">
        <f aca="false">IF(A208="N/A"," ",(VLOOKUP(A208,IntraPowerVol,(IF(VolBMO1=2,3,IF(VolBMO1=1,2,4))),FALSE())*VLOOKUP(MONTH($A208),Volscale,2)))</f>
        <v> </v>
      </c>
      <c r="AH208" s="321" t="str">
        <f aca="false">IF($A208="N/A"," ",IF(VolType1=1,AG208,AF208))</f>
        <v> </v>
      </c>
      <c r="AI208" s="321" t="str">
        <f aca="false">IF($A208="N/A"," ",(VLOOKUP($A208,OffPwrVolTable,(IF(VolBMO1=2,7,IF(VolBMO1=1,6,8))),FALSE())))</f>
        <v> </v>
      </c>
      <c r="AJ208" s="321" t="str">
        <f aca="false">IF($A208="N/A"," ",(VLOOKUP($A208,OffPwrVolTable,(IF(VolBMO1=2,3,IF(VolBMO1=1,2,4))),FALSE())*VLOOKUP(MONTH($A208),Volscale,2)))</f>
        <v> </v>
      </c>
      <c r="AK208" s="321" t="str">
        <f aca="false">IF($A208="N/A"," ",IF(VolType1=1,AJ208,AI208))</f>
        <v> </v>
      </c>
      <c r="AL208" s="321" t="str">
        <f aca="false">IF($A208="N/A"," ",IF(PV=1,0,'Pricing Inputs1'!R241))</f>
        <v> </v>
      </c>
      <c r="AM208" s="323" t="str">
        <f aca="false">IF($A208="N/A"," ",(1+AL208/2)^(-2*((EOMONTH(A208,0)+20)-DateToday)/365.25))</f>
        <v> </v>
      </c>
      <c r="BQ208" s="0" t="str">
        <f aca="false">IF($A208="N/A"," ",(VLOOKUP($A208,NumberofDaysTable,2)))</f>
        <v> </v>
      </c>
      <c r="BR208" s="0" t="str">
        <f aca="false">IF($A208="N/A"," ",(VLOOKUP($A208,NumberofDaysTable,3)))</f>
        <v> </v>
      </c>
      <c r="BS208" s="0" t="str">
        <f aca="false">IF($A208="N/A"," ",(VLOOKUP($A208,NumberofDaysTable,4)))</f>
        <v> </v>
      </c>
    </row>
    <row r="209" customFormat="false" ht="12.75" hidden="false" customHeight="false" outlineLevel="0" collapsed="false">
      <c r="A209" s="315" t="str">
        <f aca="false">IF(A208="N/A","N/A",IF(EDATE(A208,1)&gt;Inputs!$M$5,"N/A",EDATE(A208,1)))</f>
        <v>N/A</v>
      </c>
      <c r="B209" s="316" t="str">
        <f aca="false">IF(A209="N/A"," ",YEAR(A209))</f>
        <v> </v>
      </c>
      <c r="C209" s="324" t="str">
        <f aca="false">IF($A209="N/A"," ",IF(Dayrun1=10,0,IF(Scaler1=1,(VLOOKUP(A209,ScaledPrice1,4)),(VLOOKUP(A209,ScaledPrice1,2)))))</f>
        <v> </v>
      </c>
      <c r="D209" s="317" t="str">
        <f aca="false">IF(A209="N/A"," ",IF(Dayrun1&gt;=7,0,IF(Scaler1=2,VLOOKUP(A209,ScaledPrice1,2),(VLOOKUP(A209,ScaledPrice1,2))*(2-(VLOOKUP(A209,ScaledPrice1,3))))))</f>
        <v> </v>
      </c>
      <c r="E209" s="317" t="str">
        <f aca="false">IF($A209="N/A"," ",IF(AND(Dayrun1&gt;=4,Dayrun1&lt;=9),0,VLOOKUP($A209,ScaledPrice1,9)))</f>
        <v> </v>
      </c>
      <c r="F209" s="317" t="str">
        <f aca="false">IF(A209="N/A"," ",IF(OR(Dayrun1=2,Dayrun1=3,Dayrun1=5,Dayrun1=6,Dayrun1=8,Dayrun1=9),VLOOKUP(A209,ScaledPrice1,IF(Scaler1=1,6,5)),0))</f>
        <v> </v>
      </c>
      <c r="G209" s="317" t="str">
        <f aca="false">IF(A209="N/A"," ",IF(OR(Dayrun1=2,Dayrun1=3,Dayrun1=5,Dayrun1=6),IF(Scaler1=2,F209,(VLOOKUP(A209,ScaledPrice1,5))*(2-(VLOOKUP(A209,ScaledPrice1,3)))),0))</f>
        <v> </v>
      </c>
      <c r="H209" s="317" t="str">
        <f aca="false">IF($A209="N/A"," ",IF(OR(Dayrun1=2,Dayrun1=3,Dayrun1=10),VLOOKUP($A209,ScaledPrice1,9),0))</f>
        <v> </v>
      </c>
      <c r="I209" s="317" t="str">
        <f aca="false">IF(A209="N/A"," ",IF(OR(Dayrun1=3,Dayrun1=6,Dayrun1=9),(VLOOKUP(A209,ScaledPrice1,IF(Scaler1=2,7,8))),0))</f>
        <v> </v>
      </c>
      <c r="J209" s="317" t="str">
        <f aca="false">IF(A209="N/A"," ",IF(OR(Dayrun1=3,Dayrun1=6),IF(Scaler1=2,I209,(VLOOKUP(A209,ScaledPrice1,7))*(2-(VLOOKUP(A209,ScaledPrice1,3)))),0))</f>
        <v> </v>
      </c>
      <c r="K209" s="317" t="str">
        <f aca="false">IF($A209="N/A"," ",IF(OR(Dayrun1=3,Dayrun1=10),VLOOKUP($A209,ScaledPrice1,9),0))</f>
        <v> </v>
      </c>
      <c r="L209" s="318" t="str">
        <f aca="false">IF($A209="N/A"," ",IF(Pricetype1=2,MAX(C209,0),IF(OR(Pricetype1=1,Pricetype1=4),IF(C209=0,0,(EURO(C209,Strikeprice1,0,0,($AH209+IF(Smile=TRUE(),VLOOKUP(MAX(-5,Strikeprice1-C209),Volsmile,2),0)),($A209-DateToday)+15,IF(Pricetype1=1,1,0),0))),C209)))</f>
        <v> </v>
      </c>
      <c r="M209" s="318" t="str">
        <f aca="false">IF($A209="N/A"," ",IF(Pricetype1=2,MAX(D209,0),IF(OR(Pricetype1=1,Pricetype1=4),IF(D209=0,0,(EURO(D209,Strikeprice1,0,0,($AH209+IF(Smile=TRUE(),VLOOKUP(MAX(-5,Strikeprice1-D209),Volsmile,2),0)),($A209-DateToday)+15,IF(Pricetype1=1,1,0),0))),D209)))</f>
        <v> </v>
      </c>
      <c r="N209" s="318" t="str">
        <f aca="false">IF($A209="N/A"," ",IF(Pricetype1=2,MAX(E209,0),IF(OR(Pricetype1=1,Pricetype1=4),IF(E209=0,0,(EURO(E209,Strikeprice1,0,0,($AK209+IF(Smile=TRUE(),VLOOKUP(MAX(-5,Strikeprice1-E209),Volsmile,2),0)),($A209-DateToday)+15,IF(Pricetype1=1,1,0),0))),E209)))</f>
        <v> </v>
      </c>
      <c r="O209" s="318" t="str">
        <f aca="false">IF($A209="N/A"," ",IF(Pricetype1=2,MAX(F209,0),IF(OR(Pricetype1=1,Pricetype1=4),IF(F209=0,0,(EURO(F209,Strikeprice1,0,0,($AK209+IF(Smile=TRUE(),VLOOKUP(MAX(-5,Strikeprice1-F209),Volsmile,2),0)),($A209-DateToday)+15,IF(Pricetype1=1,1,0),0))),F209)))</f>
        <v> </v>
      </c>
      <c r="P209" s="318" t="str">
        <f aca="false">IF($A209="N/A"," ",IF(Pricetype1=2,MAX(G209,0),IF(OR(Pricetype1=1,Pricetype1=4),IF(G209=0,0,(EURO(G209,Strikeprice1,0,0,($AK209+IF(Smile=TRUE(),VLOOKUP(MAX(-5,Strikeprice1-G209),Volsmile,2),0)),($A209-DateToday)+15,IF(Pricetype1=1,1,0),0))),G209)))</f>
        <v> </v>
      </c>
      <c r="Q209" s="318" t="str">
        <f aca="false">IF($A209="N/A"," ",IF(Pricetype1=2,MAX(H209,0),IF(OR(Pricetype1=1,Pricetype1=4),IF(H209=0,0,(EURO(H209,Strikeprice1,0,0,($AK209+IF(Smile=TRUE(),VLOOKUP(MAX(-5,Strikeprice1-H209),Volsmile,2),0)),($A209-DateToday)+15,IF(Pricetype1=1,1,0),0))),H209)))</f>
        <v> </v>
      </c>
      <c r="R209" s="318" t="str">
        <f aca="false">IF($A209="N/A"," ",IF(Pricetype1=2,MAX(I209,0),IF(OR(Pricetype1=1,Pricetype1=4),IF(I209=0,0,(EURO(I209,Strikeprice1,0,0,($AK209+IF(Smile=TRUE(),VLOOKUP(MAX(-5,Strikeprice1-I209),Volsmile,2),0)),($A209-DateToday)+15,IF(Pricetype1=1,1,0),0))),I209)))</f>
        <v> </v>
      </c>
      <c r="S209" s="318" t="str">
        <f aca="false">IF($A209="N/A"," ",IF(Pricetype1=2,MAX(J209,0),IF(OR(Pricetype1=1,Pricetype1=4),IF(J209=0,0,(EURO(J209,Strikeprice1,0,0,($AK209+IF(Smile=TRUE(),VLOOKUP(MAX(-5,Strikeprice1-J209),Volsmile,2),0)),($A209-DateToday)+15,IF(Pricetype1=1,1,0),0))),J209)))</f>
        <v> </v>
      </c>
      <c r="T209" s="318" t="str">
        <f aca="false">IF($A209="N/A"," ",IF(Pricetype1=2,MAX(K209,0),IF(OR(Pricetype1=1,Pricetype1=4),IF(K209=0,0,(EURO(K209,Strikeprice1,0,0,($AK209+IF(Smile=TRUE(),VLOOKUP(MAX(-5,Strikeprice1-K209),Volsmile,2),0)),($A209-DateToday)+15,IF(Pricetype1=1,1,0),0))),K209)))</f>
        <v> </v>
      </c>
      <c r="U209" s="319" t="str">
        <f aca="false">IF($A209="N/A"," ",Volume1*$AM209)</f>
        <v> </v>
      </c>
      <c r="V209" s="320" t="str">
        <f aca="false">IF($A209="N/A"," ",$U209*(8*($BQ209))*L209)</f>
        <v> </v>
      </c>
      <c r="W209" s="320" t="str">
        <f aca="false">IF($A209="N/A"," ",$U209*(8*($BQ209))*M209)</f>
        <v> </v>
      </c>
      <c r="X209" s="320" t="str">
        <f aca="false">IF($A209="N/A"," ",$U209*(8*($BQ209))*N209)</f>
        <v> </v>
      </c>
      <c r="Y209" s="320" t="str">
        <f aca="false">IF($A209="N/A"," ",$U209*(8*($BR209))*O209)</f>
        <v> </v>
      </c>
      <c r="Z209" s="320" t="str">
        <f aca="false">IF($A209="N/A"," ",$U209*(8*($BR209))*P209)</f>
        <v> </v>
      </c>
      <c r="AA209" s="320" t="str">
        <f aca="false">IF($A209="N/A"," ",$U209*(8*($BR209))*Q209)</f>
        <v> </v>
      </c>
      <c r="AB209" s="320" t="str">
        <f aca="false">IF($A209="N/A"," ",$U209*(8*($BS209))*R209)</f>
        <v> </v>
      </c>
      <c r="AC209" s="320" t="str">
        <f aca="false">IF($A209="N/A"," ",$U209*(8*($BS209))*S209)</f>
        <v> </v>
      </c>
      <c r="AD209" s="320" t="str">
        <f aca="false">IF($A209="N/A"," ",$U209*(8*($BS209))*T209)</f>
        <v> </v>
      </c>
      <c r="AE209" s="320" t="str">
        <f aca="false">IF($A209="N/A"," ",SUM(V209:AD209))</f>
        <v> </v>
      </c>
      <c r="AF209" s="321" t="str">
        <f aca="false">IF(A209="N/A"," ",(VLOOKUP(A209,PowerVolTable,(IF(VolBMO1=2,7,IF(VolBMO1=1,6,8))),FALSE())))</f>
        <v> </v>
      </c>
      <c r="AG209" s="321" t="str">
        <f aca="false">IF(A209="N/A"," ",(VLOOKUP(A209,IntraPowerVol,(IF(VolBMO1=2,3,IF(VolBMO1=1,2,4))),FALSE())*VLOOKUP(MONTH($A209),Volscale,2)))</f>
        <v> </v>
      </c>
      <c r="AH209" s="321" t="str">
        <f aca="false">IF($A209="N/A"," ",IF(VolType1=1,AG209,AF209))</f>
        <v> </v>
      </c>
      <c r="AI209" s="321" t="str">
        <f aca="false">IF($A209="N/A"," ",(VLOOKUP($A209,OffPwrVolTable,(IF(VolBMO1=2,7,IF(VolBMO1=1,6,8))),FALSE())))</f>
        <v> </v>
      </c>
      <c r="AJ209" s="321" t="str">
        <f aca="false">IF($A209="N/A"," ",(VLOOKUP($A209,OffPwrVolTable,(IF(VolBMO1=2,3,IF(VolBMO1=1,2,4))),FALSE())*VLOOKUP(MONTH($A209),Volscale,2)))</f>
        <v> </v>
      </c>
      <c r="AK209" s="321" t="str">
        <f aca="false">IF($A209="N/A"," ",IF(VolType1=1,AJ209,AI209))</f>
        <v> </v>
      </c>
      <c r="AL209" s="321" t="str">
        <f aca="false">IF($A209="N/A"," ",IF(PV=1,0,'Pricing Inputs1'!R242))</f>
        <v> </v>
      </c>
      <c r="AM209" s="323" t="str">
        <f aca="false">IF($A209="N/A"," ",(1+AL209/2)^(-2*((EOMONTH(A209,0)+20)-DateToday)/365.25))</f>
        <v> </v>
      </c>
      <c r="BQ209" s="0" t="str">
        <f aca="false">IF($A209="N/A"," ",(VLOOKUP($A209,NumberofDaysTable,2)))</f>
        <v> </v>
      </c>
      <c r="BR209" s="0" t="str">
        <f aca="false">IF($A209="N/A"," ",(VLOOKUP($A209,NumberofDaysTable,3)))</f>
        <v> </v>
      </c>
      <c r="BS209" s="0" t="str">
        <f aca="false">IF($A209="N/A"," ",(VLOOKUP($A209,NumberofDaysTable,4)))</f>
        <v> </v>
      </c>
    </row>
    <row r="210" customFormat="false" ht="12.75" hidden="false" customHeight="false" outlineLevel="0" collapsed="false">
      <c r="A210" s="315" t="str">
        <f aca="false">IF(A209="N/A","N/A",IF(EDATE(A209,1)&gt;Inputs!$M$5,"N/A",EDATE(A209,1)))</f>
        <v>N/A</v>
      </c>
      <c r="B210" s="316" t="str">
        <f aca="false">IF(A210="N/A"," ",YEAR(A210))</f>
        <v> </v>
      </c>
      <c r="C210" s="324" t="str">
        <f aca="false">IF($A210="N/A"," ",IF(Dayrun1=10,0,IF(Scaler1=1,(VLOOKUP(A210,ScaledPrice1,4)),(VLOOKUP(A210,ScaledPrice1,2)))))</f>
        <v> </v>
      </c>
      <c r="D210" s="317" t="str">
        <f aca="false">IF(A210="N/A"," ",IF(Dayrun1&gt;=7,0,IF(Scaler1=2,VLOOKUP(A210,ScaledPrice1,2),(VLOOKUP(A210,ScaledPrice1,2))*(2-(VLOOKUP(A210,ScaledPrice1,3))))))</f>
        <v> </v>
      </c>
      <c r="E210" s="317" t="str">
        <f aca="false">IF($A210="N/A"," ",IF(AND(Dayrun1&gt;=4,Dayrun1&lt;=9),0,VLOOKUP($A210,ScaledPrice1,9)))</f>
        <v> </v>
      </c>
      <c r="F210" s="317" t="str">
        <f aca="false">IF(A210="N/A"," ",IF(OR(Dayrun1=2,Dayrun1=3,Dayrun1=5,Dayrun1=6,Dayrun1=8,Dayrun1=9),VLOOKUP(A210,ScaledPrice1,IF(Scaler1=1,6,5)),0))</f>
        <v> </v>
      </c>
      <c r="G210" s="317" t="str">
        <f aca="false">IF(A210="N/A"," ",IF(OR(Dayrun1=2,Dayrun1=3,Dayrun1=5,Dayrun1=6),IF(Scaler1=2,F210,(VLOOKUP(A210,ScaledPrice1,5))*(2-(VLOOKUP(A210,ScaledPrice1,3)))),0))</f>
        <v> </v>
      </c>
      <c r="H210" s="317" t="str">
        <f aca="false">IF($A210="N/A"," ",IF(OR(Dayrun1=2,Dayrun1=3,Dayrun1=10),VLOOKUP($A210,ScaledPrice1,9),0))</f>
        <v> </v>
      </c>
      <c r="I210" s="317" t="str">
        <f aca="false">IF(A210="N/A"," ",IF(OR(Dayrun1=3,Dayrun1=6,Dayrun1=9),(VLOOKUP(A210,ScaledPrice1,IF(Scaler1=2,7,8))),0))</f>
        <v> </v>
      </c>
      <c r="J210" s="317" t="str">
        <f aca="false">IF(A210="N/A"," ",IF(OR(Dayrun1=3,Dayrun1=6),IF(Scaler1=2,I210,(VLOOKUP(A210,ScaledPrice1,7))*(2-(VLOOKUP(A210,ScaledPrice1,3)))),0))</f>
        <v> </v>
      </c>
      <c r="K210" s="317" t="str">
        <f aca="false">IF($A210="N/A"," ",IF(OR(Dayrun1=3,Dayrun1=10),VLOOKUP($A210,ScaledPrice1,9),0))</f>
        <v> </v>
      </c>
      <c r="L210" s="318" t="str">
        <f aca="false">IF($A210="N/A"," ",IF(Pricetype1=2,MAX(C210,0),IF(OR(Pricetype1=1,Pricetype1=4),IF(C210=0,0,(EURO(C210,Strikeprice1,0,0,($AH210+IF(Smile=TRUE(),VLOOKUP(MAX(-5,Strikeprice1-C210),Volsmile,2),0)),($A210-DateToday)+15,IF(Pricetype1=1,1,0),0))),C210)))</f>
        <v> </v>
      </c>
      <c r="M210" s="318" t="str">
        <f aca="false">IF($A210="N/A"," ",IF(Pricetype1=2,MAX(D210,0),IF(OR(Pricetype1=1,Pricetype1=4),IF(D210=0,0,(EURO(D210,Strikeprice1,0,0,($AH210+IF(Smile=TRUE(),VLOOKUP(MAX(-5,Strikeprice1-D210),Volsmile,2),0)),($A210-DateToday)+15,IF(Pricetype1=1,1,0),0))),D210)))</f>
        <v> </v>
      </c>
      <c r="N210" s="318" t="str">
        <f aca="false">IF($A210="N/A"," ",IF(Pricetype1=2,MAX(E210,0),IF(OR(Pricetype1=1,Pricetype1=4),IF(E210=0,0,(EURO(E210,Strikeprice1,0,0,($AK210+IF(Smile=TRUE(),VLOOKUP(MAX(-5,Strikeprice1-E210),Volsmile,2),0)),($A210-DateToday)+15,IF(Pricetype1=1,1,0),0))),E210)))</f>
        <v> </v>
      </c>
      <c r="O210" s="318" t="str">
        <f aca="false">IF($A210="N/A"," ",IF(Pricetype1=2,MAX(F210,0),IF(OR(Pricetype1=1,Pricetype1=4),IF(F210=0,0,(EURO(F210,Strikeprice1,0,0,($AK210+IF(Smile=TRUE(),VLOOKUP(MAX(-5,Strikeprice1-F210),Volsmile,2),0)),($A210-DateToday)+15,IF(Pricetype1=1,1,0),0))),F210)))</f>
        <v> </v>
      </c>
      <c r="P210" s="318" t="str">
        <f aca="false">IF($A210="N/A"," ",IF(Pricetype1=2,MAX(G210,0),IF(OR(Pricetype1=1,Pricetype1=4),IF(G210=0,0,(EURO(G210,Strikeprice1,0,0,($AK210+IF(Smile=TRUE(),VLOOKUP(MAX(-5,Strikeprice1-G210),Volsmile,2),0)),($A210-DateToday)+15,IF(Pricetype1=1,1,0),0))),G210)))</f>
        <v> </v>
      </c>
      <c r="Q210" s="318" t="str">
        <f aca="false">IF($A210="N/A"," ",IF(Pricetype1=2,MAX(H210,0),IF(OR(Pricetype1=1,Pricetype1=4),IF(H210=0,0,(EURO(H210,Strikeprice1,0,0,($AK210+IF(Smile=TRUE(),VLOOKUP(MAX(-5,Strikeprice1-H210),Volsmile,2),0)),($A210-DateToday)+15,IF(Pricetype1=1,1,0),0))),H210)))</f>
        <v> </v>
      </c>
      <c r="R210" s="318" t="str">
        <f aca="false">IF($A210="N/A"," ",IF(Pricetype1=2,MAX(I210,0),IF(OR(Pricetype1=1,Pricetype1=4),IF(I210=0,0,(EURO(I210,Strikeprice1,0,0,($AK210+IF(Smile=TRUE(),VLOOKUP(MAX(-5,Strikeprice1-I210),Volsmile,2),0)),($A210-DateToday)+15,IF(Pricetype1=1,1,0),0))),I210)))</f>
        <v> </v>
      </c>
      <c r="S210" s="318" t="str">
        <f aca="false">IF($A210="N/A"," ",IF(Pricetype1=2,MAX(J210,0),IF(OR(Pricetype1=1,Pricetype1=4),IF(J210=0,0,(EURO(J210,Strikeprice1,0,0,($AK210+IF(Smile=TRUE(),VLOOKUP(MAX(-5,Strikeprice1-J210),Volsmile,2),0)),($A210-DateToday)+15,IF(Pricetype1=1,1,0),0))),J210)))</f>
        <v> </v>
      </c>
      <c r="T210" s="318" t="str">
        <f aca="false">IF($A210="N/A"," ",IF(Pricetype1=2,MAX(K210,0),IF(OR(Pricetype1=1,Pricetype1=4),IF(K210=0,0,(EURO(K210,Strikeprice1,0,0,($AK210+IF(Smile=TRUE(),VLOOKUP(MAX(-5,Strikeprice1-K210),Volsmile,2),0)),($A210-DateToday)+15,IF(Pricetype1=1,1,0),0))),K210)))</f>
        <v> </v>
      </c>
      <c r="U210" s="319" t="str">
        <f aca="false">IF($A210="N/A"," ",Volume1*$AM210)</f>
        <v> </v>
      </c>
      <c r="V210" s="320" t="str">
        <f aca="false">IF($A210="N/A"," ",$U210*(8*($BQ210))*L210)</f>
        <v> </v>
      </c>
      <c r="W210" s="320" t="str">
        <f aca="false">IF($A210="N/A"," ",$U210*(8*($BQ210))*M210)</f>
        <v> </v>
      </c>
      <c r="X210" s="320" t="str">
        <f aca="false">IF($A210="N/A"," ",$U210*(8*($BQ210))*N210)</f>
        <v> </v>
      </c>
      <c r="Y210" s="320" t="str">
        <f aca="false">IF($A210="N/A"," ",$U210*(8*($BR210))*O210)</f>
        <v> </v>
      </c>
      <c r="Z210" s="320" t="str">
        <f aca="false">IF($A210="N/A"," ",$U210*(8*($BR210))*P210)</f>
        <v> </v>
      </c>
      <c r="AA210" s="320" t="str">
        <f aca="false">IF($A210="N/A"," ",$U210*(8*($BR210))*Q210)</f>
        <v> </v>
      </c>
      <c r="AB210" s="320" t="str">
        <f aca="false">IF($A210="N/A"," ",$U210*(8*($BS210))*R210)</f>
        <v> </v>
      </c>
      <c r="AC210" s="320" t="str">
        <f aca="false">IF($A210="N/A"," ",$U210*(8*($BS210))*S210)</f>
        <v> </v>
      </c>
      <c r="AD210" s="320" t="str">
        <f aca="false">IF($A210="N/A"," ",$U210*(8*($BS210))*T210)</f>
        <v> </v>
      </c>
      <c r="AE210" s="320" t="str">
        <f aca="false">IF($A210="N/A"," ",SUM(V210:AD210))</f>
        <v> </v>
      </c>
      <c r="AF210" s="321" t="str">
        <f aca="false">IF(A210="N/A"," ",(VLOOKUP(A210,PowerVolTable,(IF(VolBMO1=2,7,IF(VolBMO1=1,6,8))),FALSE())))</f>
        <v> </v>
      </c>
      <c r="AG210" s="321" t="str">
        <f aca="false">IF(A210="N/A"," ",(VLOOKUP(A210,IntraPowerVol,(IF(VolBMO1=2,3,IF(VolBMO1=1,2,4))),FALSE())*VLOOKUP(MONTH($A210),Volscale,2)))</f>
        <v> </v>
      </c>
      <c r="AH210" s="321" t="str">
        <f aca="false">IF($A210="N/A"," ",IF(VolType1=1,AG210,AF210))</f>
        <v> </v>
      </c>
      <c r="AI210" s="321" t="str">
        <f aca="false">IF($A210="N/A"," ",(VLOOKUP($A210,OffPwrVolTable,(IF(VolBMO1=2,7,IF(VolBMO1=1,6,8))),FALSE())))</f>
        <v> </v>
      </c>
      <c r="AJ210" s="321" t="str">
        <f aca="false">IF($A210="N/A"," ",(VLOOKUP($A210,OffPwrVolTable,(IF(VolBMO1=2,3,IF(VolBMO1=1,2,4))),FALSE())*VLOOKUP(MONTH($A210),Volscale,2)))</f>
        <v> </v>
      </c>
      <c r="AK210" s="321" t="str">
        <f aca="false">IF($A210="N/A"," ",IF(VolType1=1,AJ210,AI210))</f>
        <v> </v>
      </c>
      <c r="AL210" s="321" t="str">
        <f aca="false">IF($A210="N/A"," ",IF(PV=1,0,'Pricing Inputs1'!R243))</f>
        <v> </v>
      </c>
      <c r="AM210" s="323" t="str">
        <f aca="false">IF($A210="N/A"," ",(1+AL210/2)^(-2*((EOMONTH(A210,0)+20)-DateToday)/365.25))</f>
        <v> </v>
      </c>
      <c r="BQ210" s="0" t="str">
        <f aca="false">IF($A210="N/A"," ",(VLOOKUP($A210,NumberofDaysTable,2)))</f>
        <v> </v>
      </c>
      <c r="BR210" s="0" t="str">
        <f aca="false">IF($A210="N/A"," ",(VLOOKUP($A210,NumberofDaysTable,3)))</f>
        <v> </v>
      </c>
      <c r="BS210" s="0" t="str">
        <f aca="false">IF($A210="N/A"," ",(VLOOKUP($A210,NumberofDaysTable,4)))</f>
        <v> </v>
      </c>
    </row>
    <row r="211" customFormat="false" ht="12.75" hidden="false" customHeight="false" outlineLevel="0" collapsed="false">
      <c r="A211" s="315" t="str">
        <f aca="false">IF(A210="N/A","N/A",IF(EDATE(A210,1)&gt;Inputs!$M$5,"N/A",EDATE(A210,1)))</f>
        <v>N/A</v>
      </c>
      <c r="B211" s="316" t="str">
        <f aca="false">IF(A211="N/A"," ",YEAR(A211))</f>
        <v> </v>
      </c>
      <c r="C211" s="324" t="str">
        <f aca="false">IF($A211="N/A"," ",IF(Dayrun1=10,0,IF(Scaler1=1,(VLOOKUP(A211,ScaledPrice1,4)),(VLOOKUP(A211,ScaledPrice1,2)))))</f>
        <v> </v>
      </c>
      <c r="D211" s="317" t="str">
        <f aca="false">IF(A211="N/A"," ",IF(Dayrun1&gt;=7,0,IF(Scaler1=2,VLOOKUP(A211,ScaledPrice1,2),(VLOOKUP(A211,ScaledPrice1,2))*(2-(VLOOKUP(A211,ScaledPrice1,3))))))</f>
        <v> </v>
      </c>
      <c r="E211" s="317" t="str">
        <f aca="false">IF($A211="N/A"," ",IF(AND(Dayrun1&gt;=4,Dayrun1&lt;=9),0,VLOOKUP($A211,ScaledPrice1,9)))</f>
        <v> </v>
      </c>
      <c r="F211" s="317" t="str">
        <f aca="false">IF(A211="N/A"," ",IF(OR(Dayrun1=2,Dayrun1=3,Dayrun1=5,Dayrun1=6,Dayrun1=8,Dayrun1=9),VLOOKUP(A211,ScaledPrice1,IF(Scaler1=1,6,5)),0))</f>
        <v> </v>
      </c>
      <c r="G211" s="317" t="str">
        <f aca="false">IF(A211="N/A"," ",IF(OR(Dayrun1=2,Dayrun1=3,Dayrun1=5,Dayrun1=6),IF(Scaler1=2,F211,(VLOOKUP(A211,ScaledPrice1,5))*(2-(VLOOKUP(A211,ScaledPrice1,3)))),0))</f>
        <v> </v>
      </c>
      <c r="H211" s="317" t="str">
        <f aca="false">IF($A211="N/A"," ",IF(OR(Dayrun1=2,Dayrun1=3,Dayrun1=10),VLOOKUP($A211,ScaledPrice1,9),0))</f>
        <v> </v>
      </c>
      <c r="I211" s="317" t="str">
        <f aca="false">IF(A211="N/A"," ",IF(OR(Dayrun1=3,Dayrun1=6,Dayrun1=9),(VLOOKUP(A211,ScaledPrice1,IF(Scaler1=2,7,8))),0))</f>
        <v> </v>
      </c>
      <c r="J211" s="317" t="str">
        <f aca="false">IF(A211="N/A"," ",IF(OR(Dayrun1=3,Dayrun1=6),IF(Scaler1=2,I211,(VLOOKUP(A211,ScaledPrice1,7))*(2-(VLOOKUP(A211,ScaledPrice1,3)))),0))</f>
        <v> </v>
      </c>
      <c r="K211" s="317" t="str">
        <f aca="false">IF($A211="N/A"," ",IF(OR(Dayrun1=3,Dayrun1=10),VLOOKUP($A211,ScaledPrice1,9),0))</f>
        <v> </v>
      </c>
      <c r="L211" s="318" t="str">
        <f aca="false">IF($A211="N/A"," ",IF(Pricetype1=2,MAX(C211,0),IF(OR(Pricetype1=1,Pricetype1=4),IF(C211=0,0,(EURO(C211,Strikeprice1,0,0,($AH211+IF(Smile=TRUE(),VLOOKUP(MAX(-5,Strikeprice1-C211),Volsmile,2),0)),($A211-DateToday)+15,IF(Pricetype1=1,1,0),0))),C211)))</f>
        <v> </v>
      </c>
      <c r="M211" s="318" t="str">
        <f aca="false">IF($A211="N/A"," ",IF(Pricetype1=2,MAX(D211,0),IF(OR(Pricetype1=1,Pricetype1=4),IF(D211=0,0,(EURO(D211,Strikeprice1,0,0,($AH211+IF(Smile=TRUE(),VLOOKUP(MAX(-5,Strikeprice1-D211),Volsmile,2),0)),($A211-DateToday)+15,IF(Pricetype1=1,1,0),0))),D211)))</f>
        <v> </v>
      </c>
      <c r="N211" s="318" t="str">
        <f aca="false">IF($A211="N/A"," ",IF(Pricetype1=2,MAX(E211,0),IF(OR(Pricetype1=1,Pricetype1=4),IF(E211=0,0,(EURO(E211,Strikeprice1,0,0,($AK211+IF(Smile=TRUE(),VLOOKUP(MAX(-5,Strikeprice1-E211),Volsmile,2),0)),($A211-DateToday)+15,IF(Pricetype1=1,1,0),0))),E211)))</f>
        <v> </v>
      </c>
      <c r="O211" s="318" t="str">
        <f aca="false">IF($A211="N/A"," ",IF(Pricetype1=2,MAX(F211,0),IF(OR(Pricetype1=1,Pricetype1=4),IF(F211=0,0,(EURO(F211,Strikeprice1,0,0,($AK211+IF(Smile=TRUE(),VLOOKUP(MAX(-5,Strikeprice1-F211),Volsmile,2),0)),($A211-DateToday)+15,IF(Pricetype1=1,1,0),0))),F211)))</f>
        <v> </v>
      </c>
      <c r="P211" s="318" t="str">
        <f aca="false">IF($A211="N/A"," ",IF(Pricetype1=2,MAX(G211,0),IF(OR(Pricetype1=1,Pricetype1=4),IF(G211=0,0,(EURO(G211,Strikeprice1,0,0,($AK211+IF(Smile=TRUE(),VLOOKUP(MAX(-5,Strikeprice1-G211),Volsmile,2),0)),($A211-DateToday)+15,IF(Pricetype1=1,1,0),0))),G211)))</f>
        <v> </v>
      </c>
      <c r="Q211" s="318" t="str">
        <f aca="false">IF($A211="N/A"," ",IF(Pricetype1=2,MAX(H211,0),IF(OR(Pricetype1=1,Pricetype1=4),IF(H211=0,0,(EURO(H211,Strikeprice1,0,0,($AK211+IF(Smile=TRUE(),VLOOKUP(MAX(-5,Strikeprice1-H211),Volsmile,2),0)),($A211-DateToday)+15,IF(Pricetype1=1,1,0),0))),H211)))</f>
        <v> </v>
      </c>
      <c r="R211" s="318" t="str">
        <f aca="false">IF($A211="N/A"," ",IF(Pricetype1=2,MAX(I211,0),IF(OR(Pricetype1=1,Pricetype1=4),IF(I211=0,0,(EURO(I211,Strikeprice1,0,0,($AK211+IF(Smile=TRUE(),VLOOKUP(MAX(-5,Strikeprice1-I211),Volsmile,2),0)),($A211-DateToday)+15,IF(Pricetype1=1,1,0),0))),I211)))</f>
        <v> </v>
      </c>
      <c r="S211" s="318" t="str">
        <f aca="false">IF($A211="N/A"," ",IF(Pricetype1=2,MAX(J211,0),IF(OR(Pricetype1=1,Pricetype1=4),IF(J211=0,0,(EURO(J211,Strikeprice1,0,0,($AK211+IF(Smile=TRUE(),VLOOKUP(MAX(-5,Strikeprice1-J211),Volsmile,2),0)),($A211-DateToday)+15,IF(Pricetype1=1,1,0),0))),J211)))</f>
        <v> </v>
      </c>
      <c r="T211" s="318" t="str">
        <f aca="false">IF($A211="N/A"," ",IF(Pricetype1=2,MAX(K211,0),IF(OR(Pricetype1=1,Pricetype1=4),IF(K211=0,0,(EURO(K211,Strikeprice1,0,0,($AK211+IF(Smile=TRUE(),VLOOKUP(MAX(-5,Strikeprice1-K211),Volsmile,2),0)),($A211-DateToday)+15,IF(Pricetype1=1,1,0),0))),K211)))</f>
        <v> </v>
      </c>
      <c r="U211" s="319" t="str">
        <f aca="false">IF($A211="N/A"," ",Volume1*$AM211)</f>
        <v> </v>
      </c>
      <c r="V211" s="320" t="str">
        <f aca="false">IF($A211="N/A"," ",$U211*(8*($BQ211))*L211)</f>
        <v> </v>
      </c>
      <c r="W211" s="320" t="str">
        <f aca="false">IF($A211="N/A"," ",$U211*(8*($BQ211))*M211)</f>
        <v> </v>
      </c>
      <c r="X211" s="320" t="str">
        <f aca="false">IF($A211="N/A"," ",$U211*(8*($BQ211))*N211)</f>
        <v> </v>
      </c>
      <c r="Y211" s="320" t="str">
        <f aca="false">IF($A211="N/A"," ",$U211*(8*($BR211))*O211)</f>
        <v> </v>
      </c>
      <c r="Z211" s="320" t="str">
        <f aca="false">IF($A211="N/A"," ",$U211*(8*($BR211))*P211)</f>
        <v> </v>
      </c>
      <c r="AA211" s="320" t="str">
        <f aca="false">IF($A211="N/A"," ",$U211*(8*($BR211))*Q211)</f>
        <v> </v>
      </c>
      <c r="AB211" s="320" t="str">
        <f aca="false">IF($A211="N/A"," ",$U211*(8*($BS211))*R211)</f>
        <v> </v>
      </c>
      <c r="AC211" s="320" t="str">
        <f aca="false">IF($A211="N/A"," ",$U211*(8*($BS211))*S211)</f>
        <v> </v>
      </c>
      <c r="AD211" s="320" t="str">
        <f aca="false">IF($A211="N/A"," ",$U211*(8*($BS211))*T211)</f>
        <v> </v>
      </c>
      <c r="AE211" s="320" t="str">
        <f aca="false">IF($A211="N/A"," ",SUM(V211:AD211))</f>
        <v> </v>
      </c>
      <c r="AF211" s="321" t="str">
        <f aca="false">IF(A211="N/A"," ",(VLOOKUP(A211,PowerVolTable,(IF(VolBMO1=2,7,IF(VolBMO1=1,6,8))),FALSE())))</f>
        <v> </v>
      </c>
      <c r="AG211" s="321" t="str">
        <f aca="false">IF(A211="N/A"," ",(VLOOKUP(A211,IntraPowerVol,(IF(VolBMO1=2,3,IF(VolBMO1=1,2,4))),FALSE())*VLOOKUP(MONTH($A211),Volscale,2)))</f>
        <v> </v>
      </c>
      <c r="AH211" s="321" t="str">
        <f aca="false">IF($A211="N/A"," ",IF(VolType1=1,AG211,AF211))</f>
        <v> </v>
      </c>
      <c r="AI211" s="321" t="str">
        <f aca="false">IF($A211="N/A"," ",(VLOOKUP($A211,OffPwrVolTable,(IF(VolBMO1=2,7,IF(VolBMO1=1,6,8))),FALSE())))</f>
        <v> </v>
      </c>
      <c r="AJ211" s="321" t="str">
        <f aca="false">IF($A211="N/A"," ",(VLOOKUP($A211,OffPwrVolTable,(IF(VolBMO1=2,3,IF(VolBMO1=1,2,4))),FALSE())*VLOOKUP(MONTH($A211),Volscale,2)))</f>
        <v> </v>
      </c>
      <c r="AK211" s="321" t="str">
        <f aca="false">IF($A211="N/A"," ",IF(VolType1=1,AJ211,AI211))</f>
        <v> </v>
      </c>
      <c r="AL211" s="321" t="str">
        <f aca="false">IF($A211="N/A"," ",IF(PV=1,0,'Pricing Inputs1'!R244))</f>
        <v> </v>
      </c>
      <c r="AM211" s="323" t="str">
        <f aca="false">IF($A211="N/A"," ",(1+AL211/2)^(-2*((EOMONTH(A211,0)+20)-DateToday)/365.25))</f>
        <v> </v>
      </c>
      <c r="BQ211" s="0" t="str">
        <f aca="false">IF($A211="N/A"," ",(VLOOKUP($A211,NumberofDaysTable,2)))</f>
        <v> </v>
      </c>
      <c r="BR211" s="0" t="str">
        <f aca="false">IF($A211="N/A"," ",(VLOOKUP($A211,NumberofDaysTable,3)))</f>
        <v> </v>
      </c>
      <c r="BS211" s="0" t="str">
        <f aca="false">IF($A211="N/A"," ",(VLOOKUP($A211,NumberofDaysTable,4)))</f>
        <v> </v>
      </c>
    </row>
    <row r="212" customFormat="false" ht="12.75" hidden="false" customHeight="false" outlineLevel="0" collapsed="false">
      <c r="A212" s="315" t="str">
        <f aca="false">IF(A211="N/A","N/A",IF(EDATE(A211,1)&gt;Inputs!$M$5,"N/A",EDATE(A211,1)))</f>
        <v>N/A</v>
      </c>
      <c r="B212" s="316" t="str">
        <f aca="false">IF(A212="N/A"," ",YEAR(A212))</f>
        <v> </v>
      </c>
      <c r="C212" s="324" t="str">
        <f aca="false">IF($A212="N/A"," ",IF(Dayrun1=10,0,IF(Scaler1=1,(VLOOKUP(A212,ScaledPrice1,4)),(VLOOKUP(A212,ScaledPrice1,2)))))</f>
        <v> </v>
      </c>
      <c r="D212" s="317" t="str">
        <f aca="false">IF(A212="N/A"," ",IF(Dayrun1&gt;=7,0,IF(Scaler1=2,VLOOKUP(A212,ScaledPrice1,2),(VLOOKUP(A212,ScaledPrice1,2))*(2-(VLOOKUP(A212,ScaledPrice1,3))))))</f>
        <v> </v>
      </c>
      <c r="E212" s="317" t="str">
        <f aca="false">IF($A212="N/A"," ",IF(AND(Dayrun1&gt;=4,Dayrun1&lt;=9),0,VLOOKUP($A212,ScaledPrice1,9)))</f>
        <v> </v>
      </c>
      <c r="F212" s="317" t="str">
        <f aca="false">IF(A212="N/A"," ",IF(OR(Dayrun1=2,Dayrun1=3,Dayrun1=5,Dayrun1=6,Dayrun1=8,Dayrun1=9),VLOOKUP(A212,ScaledPrice1,IF(Scaler1=1,6,5)),0))</f>
        <v> </v>
      </c>
      <c r="G212" s="317" t="str">
        <f aca="false">IF(A212="N/A"," ",IF(OR(Dayrun1=2,Dayrun1=3,Dayrun1=5,Dayrun1=6),IF(Scaler1=2,F212,(VLOOKUP(A212,ScaledPrice1,5))*(2-(VLOOKUP(A212,ScaledPrice1,3)))),0))</f>
        <v> </v>
      </c>
      <c r="H212" s="317" t="str">
        <f aca="false">IF($A212="N/A"," ",IF(OR(Dayrun1=2,Dayrun1=3,Dayrun1=10),VLOOKUP($A212,ScaledPrice1,9),0))</f>
        <v> </v>
      </c>
      <c r="I212" s="317" t="str">
        <f aca="false">IF(A212="N/A"," ",IF(OR(Dayrun1=3,Dayrun1=6,Dayrun1=9),(VLOOKUP(A212,ScaledPrice1,IF(Scaler1=2,7,8))),0))</f>
        <v> </v>
      </c>
      <c r="J212" s="317" t="str">
        <f aca="false">IF(A212="N/A"," ",IF(OR(Dayrun1=3,Dayrun1=6),IF(Scaler1=2,I212,(VLOOKUP(A212,ScaledPrice1,7))*(2-(VLOOKUP(A212,ScaledPrice1,3)))),0))</f>
        <v> </v>
      </c>
      <c r="K212" s="317" t="str">
        <f aca="false">IF($A212="N/A"," ",IF(OR(Dayrun1=3,Dayrun1=10),VLOOKUP($A212,ScaledPrice1,9),0))</f>
        <v> </v>
      </c>
      <c r="L212" s="318" t="str">
        <f aca="false">IF($A212="N/A"," ",IF(Pricetype1=2,MAX(C212,0),IF(OR(Pricetype1=1,Pricetype1=4),IF(C212=0,0,(EURO(C212,Strikeprice1,0,0,($AH212+IF(Smile=TRUE(),VLOOKUP(MAX(-5,Strikeprice1-C212),Volsmile,2),0)),($A212-DateToday)+15,IF(Pricetype1=1,1,0),0))),C212)))</f>
        <v> </v>
      </c>
      <c r="M212" s="318" t="str">
        <f aca="false">IF($A212="N/A"," ",IF(Pricetype1=2,MAX(D212,0),IF(OR(Pricetype1=1,Pricetype1=4),IF(D212=0,0,(EURO(D212,Strikeprice1,0,0,($AH212+IF(Smile=TRUE(),VLOOKUP(MAX(-5,Strikeprice1-D212),Volsmile,2),0)),($A212-DateToday)+15,IF(Pricetype1=1,1,0),0))),D212)))</f>
        <v> </v>
      </c>
      <c r="N212" s="318" t="str">
        <f aca="false">IF($A212="N/A"," ",IF(Pricetype1=2,MAX(E212,0),IF(OR(Pricetype1=1,Pricetype1=4),IF(E212=0,0,(EURO(E212,Strikeprice1,0,0,($AK212+IF(Smile=TRUE(),VLOOKUP(MAX(-5,Strikeprice1-E212),Volsmile,2),0)),($A212-DateToday)+15,IF(Pricetype1=1,1,0),0))),E212)))</f>
        <v> </v>
      </c>
      <c r="O212" s="318" t="str">
        <f aca="false">IF($A212="N/A"," ",IF(Pricetype1=2,MAX(F212,0),IF(OR(Pricetype1=1,Pricetype1=4),IF(F212=0,0,(EURO(F212,Strikeprice1,0,0,($AK212+IF(Smile=TRUE(),VLOOKUP(MAX(-5,Strikeprice1-F212),Volsmile,2),0)),($A212-DateToday)+15,IF(Pricetype1=1,1,0),0))),F212)))</f>
        <v> </v>
      </c>
      <c r="P212" s="318" t="str">
        <f aca="false">IF($A212="N/A"," ",IF(Pricetype1=2,MAX(G212,0),IF(OR(Pricetype1=1,Pricetype1=4),IF(G212=0,0,(EURO(G212,Strikeprice1,0,0,($AK212+IF(Smile=TRUE(),VLOOKUP(MAX(-5,Strikeprice1-G212),Volsmile,2),0)),($A212-DateToday)+15,IF(Pricetype1=1,1,0),0))),G212)))</f>
        <v> </v>
      </c>
      <c r="Q212" s="318" t="str">
        <f aca="false">IF($A212="N/A"," ",IF(Pricetype1=2,MAX(H212,0),IF(OR(Pricetype1=1,Pricetype1=4),IF(H212=0,0,(EURO(H212,Strikeprice1,0,0,($AK212+IF(Smile=TRUE(),VLOOKUP(MAX(-5,Strikeprice1-H212),Volsmile,2),0)),($A212-DateToday)+15,IF(Pricetype1=1,1,0),0))),H212)))</f>
        <v> </v>
      </c>
      <c r="R212" s="318" t="str">
        <f aca="false">IF($A212="N/A"," ",IF(Pricetype1=2,MAX(I212,0),IF(OR(Pricetype1=1,Pricetype1=4),IF(I212=0,0,(EURO(I212,Strikeprice1,0,0,($AK212+IF(Smile=TRUE(),VLOOKUP(MAX(-5,Strikeprice1-I212),Volsmile,2),0)),($A212-DateToday)+15,IF(Pricetype1=1,1,0),0))),I212)))</f>
        <v> </v>
      </c>
      <c r="S212" s="318" t="str">
        <f aca="false">IF($A212="N/A"," ",IF(Pricetype1=2,MAX(J212,0),IF(OR(Pricetype1=1,Pricetype1=4),IF(J212=0,0,(EURO(J212,Strikeprice1,0,0,($AK212+IF(Smile=TRUE(),VLOOKUP(MAX(-5,Strikeprice1-J212),Volsmile,2),0)),($A212-DateToday)+15,IF(Pricetype1=1,1,0),0))),J212)))</f>
        <v> </v>
      </c>
      <c r="T212" s="318" t="str">
        <f aca="false">IF($A212="N/A"," ",IF(Pricetype1=2,MAX(K212,0),IF(OR(Pricetype1=1,Pricetype1=4),IF(K212=0,0,(EURO(K212,Strikeprice1,0,0,($AK212+IF(Smile=TRUE(),VLOOKUP(MAX(-5,Strikeprice1-K212),Volsmile,2),0)),($A212-DateToday)+15,IF(Pricetype1=1,1,0),0))),K212)))</f>
        <v> </v>
      </c>
      <c r="U212" s="319" t="str">
        <f aca="false">IF($A212="N/A"," ",Volume1*$AM212)</f>
        <v> </v>
      </c>
      <c r="V212" s="320" t="str">
        <f aca="false">IF($A212="N/A"," ",$U212*(8*($BQ212))*L212)</f>
        <v> </v>
      </c>
      <c r="W212" s="320" t="str">
        <f aca="false">IF($A212="N/A"," ",$U212*(8*($BQ212))*M212)</f>
        <v> </v>
      </c>
      <c r="X212" s="320" t="str">
        <f aca="false">IF($A212="N/A"," ",$U212*(8*($BQ212))*N212)</f>
        <v> </v>
      </c>
      <c r="Y212" s="320" t="str">
        <f aca="false">IF($A212="N/A"," ",$U212*(8*($BR212))*O212)</f>
        <v> </v>
      </c>
      <c r="Z212" s="320" t="str">
        <f aca="false">IF($A212="N/A"," ",$U212*(8*($BR212))*P212)</f>
        <v> </v>
      </c>
      <c r="AA212" s="320" t="str">
        <f aca="false">IF($A212="N/A"," ",$U212*(8*($BR212))*Q212)</f>
        <v> </v>
      </c>
      <c r="AB212" s="320" t="str">
        <f aca="false">IF($A212="N/A"," ",$U212*(8*($BS212))*R212)</f>
        <v> </v>
      </c>
      <c r="AC212" s="320" t="str">
        <f aca="false">IF($A212="N/A"," ",$U212*(8*($BS212))*S212)</f>
        <v> </v>
      </c>
      <c r="AD212" s="320" t="str">
        <f aca="false">IF($A212="N/A"," ",$U212*(8*($BS212))*T212)</f>
        <v> </v>
      </c>
      <c r="AE212" s="320" t="str">
        <f aca="false">IF($A212="N/A"," ",SUM(V212:AD212))</f>
        <v> </v>
      </c>
      <c r="AF212" s="321" t="str">
        <f aca="false">IF(A212="N/A"," ",(VLOOKUP(A212,PowerVolTable,(IF(VolBMO1=2,7,IF(VolBMO1=1,6,8))),FALSE())))</f>
        <v> </v>
      </c>
      <c r="AG212" s="321" t="str">
        <f aca="false">IF(A212="N/A"," ",(VLOOKUP(A212,IntraPowerVol,(IF(VolBMO1=2,3,IF(VolBMO1=1,2,4))),FALSE())*VLOOKUP(MONTH($A212),Volscale,2)))</f>
        <v> </v>
      </c>
      <c r="AH212" s="321" t="str">
        <f aca="false">IF($A212="N/A"," ",IF(VolType1=1,AG212,AF212))</f>
        <v> </v>
      </c>
      <c r="AI212" s="321" t="str">
        <f aca="false">IF($A212="N/A"," ",(VLOOKUP($A212,OffPwrVolTable,(IF(VolBMO1=2,7,IF(VolBMO1=1,6,8))),FALSE())))</f>
        <v> </v>
      </c>
      <c r="AJ212" s="321" t="str">
        <f aca="false">IF($A212="N/A"," ",(VLOOKUP($A212,OffPwrVolTable,(IF(VolBMO1=2,3,IF(VolBMO1=1,2,4))),FALSE())*VLOOKUP(MONTH($A212),Volscale,2)))</f>
        <v> </v>
      </c>
      <c r="AK212" s="321" t="str">
        <f aca="false">IF($A212="N/A"," ",IF(VolType1=1,AJ212,AI212))</f>
        <v> </v>
      </c>
      <c r="AL212" s="321" t="str">
        <f aca="false">IF($A212="N/A"," ",IF(PV=1,0,'Pricing Inputs1'!R245))</f>
        <v> </v>
      </c>
      <c r="AM212" s="323" t="str">
        <f aca="false">IF($A212="N/A"," ",(1+AL212/2)^(-2*((EOMONTH(A212,0)+20)-DateToday)/365.25))</f>
        <v> </v>
      </c>
      <c r="BQ212" s="0" t="str">
        <f aca="false">IF($A212="N/A"," ",(VLOOKUP($A212,NumberofDaysTable,2)))</f>
        <v> </v>
      </c>
      <c r="BR212" s="0" t="str">
        <f aca="false">IF($A212="N/A"," ",(VLOOKUP($A212,NumberofDaysTable,3)))</f>
        <v> </v>
      </c>
      <c r="BS212" s="0" t="str">
        <f aca="false">IF($A212="N/A"," ",(VLOOKUP($A212,NumberofDaysTable,4)))</f>
        <v> </v>
      </c>
    </row>
    <row r="213" customFormat="false" ht="12.75" hidden="false" customHeight="false" outlineLevel="0" collapsed="false">
      <c r="A213" s="315" t="str">
        <f aca="false">IF(A212="N/A","N/A",IF(EDATE(A212,1)&gt;Inputs!$M$5,"N/A",EDATE(A212,1)))</f>
        <v>N/A</v>
      </c>
      <c r="B213" s="316" t="str">
        <f aca="false">IF(A213="N/A"," ",YEAR(A213))</f>
        <v> </v>
      </c>
      <c r="C213" s="324" t="str">
        <f aca="false">IF($A213="N/A"," ",IF(Dayrun1=10,0,IF(Scaler1=1,(VLOOKUP(A213,ScaledPrice1,4)),(VLOOKUP(A213,ScaledPrice1,2)))))</f>
        <v> </v>
      </c>
      <c r="D213" s="317" t="str">
        <f aca="false">IF(A213="N/A"," ",IF(Dayrun1&gt;=7,0,IF(Scaler1=2,VLOOKUP(A213,ScaledPrice1,2),(VLOOKUP(A213,ScaledPrice1,2))*(2-(VLOOKUP(A213,ScaledPrice1,3))))))</f>
        <v> </v>
      </c>
      <c r="E213" s="317" t="str">
        <f aca="false">IF($A213="N/A"," ",IF(AND(Dayrun1&gt;=4,Dayrun1&lt;=9),0,VLOOKUP($A213,ScaledPrice1,9)))</f>
        <v> </v>
      </c>
      <c r="F213" s="317" t="str">
        <f aca="false">IF(A213="N/A"," ",IF(OR(Dayrun1=2,Dayrun1=3,Dayrun1=5,Dayrun1=6,Dayrun1=8,Dayrun1=9),VLOOKUP(A213,ScaledPrice1,IF(Scaler1=1,6,5)),0))</f>
        <v> </v>
      </c>
      <c r="G213" s="317" t="str">
        <f aca="false">IF(A213="N/A"," ",IF(OR(Dayrun1=2,Dayrun1=3,Dayrun1=5,Dayrun1=6),IF(Scaler1=2,F213,(VLOOKUP(A213,ScaledPrice1,5))*(2-(VLOOKUP(A213,ScaledPrice1,3)))),0))</f>
        <v> </v>
      </c>
      <c r="H213" s="317" t="str">
        <f aca="false">IF($A213="N/A"," ",IF(OR(Dayrun1=2,Dayrun1=3,Dayrun1=10),VLOOKUP($A213,ScaledPrice1,9),0))</f>
        <v> </v>
      </c>
      <c r="I213" s="317" t="str">
        <f aca="false">IF(A213="N/A"," ",IF(OR(Dayrun1=3,Dayrun1=6,Dayrun1=9),(VLOOKUP(A213,ScaledPrice1,IF(Scaler1=2,7,8))),0))</f>
        <v> </v>
      </c>
      <c r="J213" s="317" t="str">
        <f aca="false">IF(A213="N/A"," ",IF(OR(Dayrun1=3,Dayrun1=6),IF(Scaler1=2,I213,(VLOOKUP(A213,ScaledPrice1,7))*(2-(VLOOKUP(A213,ScaledPrice1,3)))),0))</f>
        <v> </v>
      </c>
      <c r="K213" s="317" t="str">
        <f aca="false">IF($A213="N/A"," ",IF(OR(Dayrun1=3,Dayrun1=10),VLOOKUP($A213,ScaledPrice1,9),0))</f>
        <v> </v>
      </c>
      <c r="L213" s="318" t="str">
        <f aca="false">IF($A213="N/A"," ",IF(Pricetype1=2,MAX(C213,0),IF(OR(Pricetype1=1,Pricetype1=4),IF(C213=0,0,(EURO(C213,Strikeprice1,0,0,($AH213+IF(Smile=TRUE(),VLOOKUP(MAX(-5,Strikeprice1-C213),Volsmile,2),0)),($A213-DateToday)+15,IF(Pricetype1=1,1,0),0))),C213)))</f>
        <v> </v>
      </c>
      <c r="M213" s="318" t="str">
        <f aca="false">IF($A213="N/A"," ",IF(Pricetype1=2,MAX(D213,0),IF(OR(Pricetype1=1,Pricetype1=4),IF(D213=0,0,(EURO(D213,Strikeprice1,0,0,($AH213+IF(Smile=TRUE(),VLOOKUP(MAX(-5,Strikeprice1-D213),Volsmile,2),0)),($A213-DateToday)+15,IF(Pricetype1=1,1,0),0))),D213)))</f>
        <v> </v>
      </c>
      <c r="N213" s="318" t="str">
        <f aca="false">IF($A213="N/A"," ",IF(Pricetype1=2,MAX(E213,0),IF(OR(Pricetype1=1,Pricetype1=4),IF(E213=0,0,(EURO(E213,Strikeprice1,0,0,($AK213+IF(Smile=TRUE(),VLOOKUP(MAX(-5,Strikeprice1-E213),Volsmile,2),0)),($A213-DateToday)+15,IF(Pricetype1=1,1,0),0))),E213)))</f>
        <v> </v>
      </c>
      <c r="O213" s="318" t="str">
        <f aca="false">IF($A213="N/A"," ",IF(Pricetype1=2,MAX(F213,0),IF(OR(Pricetype1=1,Pricetype1=4),IF(F213=0,0,(EURO(F213,Strikeprice1,0,0,($AK213+IF(Smile=TRUE(),VLOOKUP(MAX(-5,Strikeprice1-F213),Volsmile,2),0)),($A213-DateToday)+15,IF(Pricetype1=1,1,0),0))),F213)))</f>
        <v> </v>
      </c>
      <c r="P213" s="318" t="str">
        <f aca="false">IF($A213="N/A"," ",IF(Pricetype1=2,MAX(G213,0),IF(OR(Pricetype1=1,Pricetype1=4),IF(G213=0,0,(EURO(G213,Strikeprice1,0,0,($AK213+IF(Smile=TRUE(),VLOOKUP(MAX(-5,Strikeprice1-G213),Volsmile,2),0)),($A213-DateToday)+15,IF(Pricetype1=1,1,0),0))),G213)))</f>
        <v> </v>
      </c>
      <c r="Q213" s="318" t="str">
        <f aca="false">IF($A213="N/A"," ",IF(Pricetype1=2,MAX(H213,0),IF(OR(Pricetype1=1,Pricetype1=4),IF(H213=0,0,(EURO(H213,Strikeprice1,0,0,($AK213+IF(Smile=TRUE(),VLOOKUP(MAX(-5,Strikeprice1-H213),Volsmile,2),0)),($A213-DateToday)+15,IF(Pricetype1=1,1,0),0))),H213)))</f>
        <v> </v>
      </c>
      <c r="R213" s="318" t="str">
        <f aca="false">IF($A213="N/A"," ",IF(Pricetype1=2,MAX(I213,0),IF(OR(Pricetype1=1,Pricetype1=4),IF(I213=0,0,(EURO(I213,Strikeprice1,0,0,($AK213+IF(Smile=TRUE(),VLOOKUP(MAX(-5,Strikeprice1-I213),Volsmile,2),0)),($A213-DateToday)+15,IF(Pricetype1=1,1,0),0))),I213)))</f>
        <v> </v>
      </c>
      <c r="S213" s="318" t="str">
        <f aca="false">IF($A213="N/A"," ",IF(Pricetype1=2,MAX(J213,0),IF(OR(Pricetype1=1,Pricetype1=4),IF(J213=0,0,(EURO(J213,Strikeprice1,0,0,($AK213+IF(Smile=TRUE(),VLOOKUP(MAX(-5,Strikeprice1-J213),Volsmile,2),0)),($A213-DateToday)+15,IF(Pricetype1=1,1,0),0))),J213)))</f>
        <v> </v>
      </c>
      <c r="T213" s="318" t="str">
        <f aca="false">IF($A213="N/A"," ",IF(Pricetype1=2,MAX(K213,0),IF(OR(Pricetype1=1,Pricetype1=4),IF(K213=0,0,(EURO(K213,Strikeprice1,0,0,($AK213+IF(Smile=TRUE(),VLOOKUP(MAX(-5,Strikeprice1-K213),Volsmile,2),0)),($A213-DateToday)+15,IF(Pricetype1=1,1,0),0))),K213)))</f>
        <v> </v>
      </c>
      <c r="U213" s="319" t="str">
        <f aca="false">IF($A213="N/A"," ",Volume1*$AM213)</f>
        <v> </v>
      </c>
      <c r="V213" s="320" t="str">
        <f aca="false">IF($A213="N/A"," ",$U213*(8*($BQ213))*L213)</f>
        <v> </v>
      </c>
      <c r="W213" s="320" t="str">
        <f aca="false">IF($A213="N/A"," ",$U213*(8*($BQ213))*M213)</f>
        <v> </v>
      </c>
      <c r="X213" s="320" t="str">
        <f aca="false">IF($A213="N/A"," ",$U213*(8*($BQ213))*N213)</f>
        <v> </v>
      </c>
      <c r="Y213" s="320" t="str">
        <f aca="false">IF($A213="N/A"," ",$U213*(8*($BR213))*O213)</f>
        <v> </v>
      </c>
      <c r="Z213" s="320" t="str">
        <f aca="false">IF($A213="N/A"," ",$U213*(8*($BR213))*P213)</f>
        <v> </v>
      </c>
      <c r="AA213" s="320" t="str">
        <f aca="false">IF($A213="N/A"," ",$U213*(8*($BR213))*Q213)</f>
        <v> </v>
      </c>
      <c r="AB213" s="320" t="str">
        <f aca="false">IF($A213="N/A"," ",$U213*(8*($BS213))*R213)</f>
        <v> </v>
      </c>
      <c r="AC213" s="320" t="str">
        <f aca="false">IF($A213="N/A"," ",$U213*(8*($BS213))*S213)</f>
        <v> </v>
      </c>
      <c r="AD213" s="320" t="str">
        <f aca="false">IF($A213="N/A"," ",$U213*(8*($BS213))*T213)</f>
        <v> </v>
      </c>
      <c r="AE213" s="320" t="str">
        <f aca="false">IF($A213="N/A"," ",SUM(V213:AD213))</f>
        <v> </v>
      </c>
      <c r="AF213" s="321" t="str">
        <f aca="false">IF(A213="N/A"," ",(VLOOKUP(A213,PowerVolTable,(IF(VolBMO1=2,7,IF(VolBMO1=1,6,8))),FALSE())))</f>
        <v> </v>
      </c>
      <c r="AG213" s="321" t="str">
        <f aca="false">IF(A213="N/A"," ",(VLOOKUP(A213,IntraPowerVol,(IF(VolBMO1=2,3,IF(VolBMO1=1,2,4))),FALSE())*VLOOKUP(MONTH($A213),Volscale,2)))</f>
        <v> </v>
      </c>
      <c r="AH213" s="321" t="str">
        <f aca="false">IF($A213="N/A"," ",IF(VolType1=1,AG213,AF213))</f>
        <v> </v>
      </c>
      <c r="AI213" s="321" t="str">
        <f aca="false">IF($A213="N/A"," ",(VLOOKUP($A213,OffPwrVolTable,(IF(VolBMO1=2,7,IF(VolBMO1=1,6,8))),FALSE())))</f>
        <v> </v>
      </c>
      <c r="AJ213" s="321" t="str">
        <f aca="false">IF($A213="N/A"," ",(VLOOKUP($A213,OffPwrVolTable,(IF(VolBMO1=2,3,IF(VolBMO1=1,2,4))),FALSE())*VLOOKUP(MONTH($A213),Volscale,2)))</f>
        <v> </v>
      </c>
      <c r="AK213" s="321" t="str">
        <f aca="false">IF($A213="N/A"," ",IF(VolType1=1,AJ213,AI213))</f>
        <v> </v>
      </c>
      <c r="AL213" s="321" t="str">
        <f aca="false">IF($A213="N/A"," ",IF(PV=1,0,'Pricing Inputs1'!R246))</f>
        <v> </v>
      </c>
      <c r="AM213" s="323" t="str">
        <f aca="false">IF($A213="N/A"," ",(1+AL213/2)^(-2*((EOMONTH(A213,0)+20)-DateToday)/365.25))</f>
        <v> </v>
      </c>
      <c r="BQ213" s="0" t="str">
        <f aca="false">IF($A213="N/A"," ",(VLOOKUP($A213,NumberofDaysTable,2)))</f>
        <v> </v>
      </c>
      <c r="BR213" s="0" t="str">
        <f aca="false">IF($A213="N/A"," ",(VLOOKUP($A213,NumberofDaysTable,3)))</f>
        <v> </v>
      </c>
      <c r="BS213" s="0" t="str">
        <f aca="false">IF($A213="N/A"," ",(VLOOKUP($A213,NumberofDaysTable,4)))</f>
        <v> </v>
      </c>
    </row>
    <row r="214" customFormat="false" ht="12.75" hidden="false" customHeight="false" outlineLevel="0" collapsed="false">
      <c r="A214" s="315" t="str">
        <f aca="false">IF(A213="N/A","N/A",IF(EDATE(A213,1)&gt;Inputs!$M$5,"N/A",EDATE(A213,1)))</f>
        <v>N/A</v>
      </c>
      <c r="B214" s="316" t="str">
        <f aca="false">IF(A214="N/A"," ",YEAR(A214))</f>
        <v> </v>
      </c>
      <c r="C214" s="324" t="str">
        <f aca="false">IF($A214="N/A"," ",IF(Dayrun1=10,0,IF(Scaler1=1,(VLOOKUP(A214,ScaledPrice1,4)),(VLOOKUP(A214,ScaledPrice1,2)))))</f>
        <v> </v>
      </c>
      <c r="D214" s="317" t="str">
        <f aca="false">IF(A214="N/A"," ",IF(Dayrun1&gt;=7,0,IF(Scaler1=2,VLOOKUP(A214,ScaledPrice1,2),(VLOOKUP(A214,ScaledPrice1,2))*(2-(VLOOKUP(A214,ScaledPrice1,3))))))</f>
        <v> </v>
      </c>
      <c r="E214" s="317" t="str">
        <f aca="false">IF($A214="N/A"," ",IF(AND(Dayrun1&gt;=4,Dayrun1&lt;=9),0,VLOOKUP($A214,ScaledPrice1,9)))</f>
        <v> </v>
      </c>
      <c r="F214" s="317" t="str">
        <f aca="false">IF(A214="N/A"," ",IF(OR(Dayrun1=2,Dayrun1=3,Dayrun1=5,Dayrun1=6,Dayrun1=8,Dayrun1=9),VLOOKUP(A214,ScaledPrice1,IF(Scaler1=1,6,5)),0))</f>
        <v> </v>
      </c>
      <c r="G214" s="317" t="str">
        <f aca="false">IF(A214="N/A"," ",IF(OR(Dayrun1=2,Dayrun1=3,Dayrun1=5,Dayrun1=6),IF(Scaler1=2,F214,(VLOOKUP(A214,ScaledPrice1,5))*(2-(VLOOKUP(A214,ScaledPrice1,3)))),0))</f>
        <v> </v>
      </c>
      <c r="H214" s="317" t="str">
        <f aca="false">IF($A214="N/A"," ",IF(OR(Dayrun1=2,Dayrun1=3,Dayrun1=10),VLOOKUP($A214,ScaledPrice1,9),0))</f>
        <v> </v>
      </c>
      <c r="I214" s="317" t="str">
        <f aca="false">IF(A214="N/A"," ",IF(OR(Dayrun1=3,Dayrun1=6,Dayrun1=9),(VLOOKUP(A214,ScaledPrice1,IF(Scaler1=2,7,8))),0))</f>
        <v> </v>
      </c>
      <c r="J214" s="317" t="str">
        <f aca="false">IF(A214="N/A"," ",IF(OR(Dayrun1=3,Dayrun1=6),IF(Scaler1=2,I214,(VLOOKUP(A214,ScaledPrice1,7))*(2-(VLOOKUP(A214,ScaledPrice1,3)))),0))</f>
        <v> </v>
      </c>
      <c r="K214" s="317" t="str">
        <f aca="false">IF($A214="N/A"," ",IF(OR(Dayrun1=3,Dayrun1=10),VLOOKUP($A214,ScaledPrice1,9),0))</f>
        <v> </v>
      </c>
      <c r="L214" s="318" t="str">
        <f aca="false">IF($A214="N/A"," ",IF(Pricetype1=2,MAX(C214,0),IF(OR(Pricetype1=1,Pricetype1=4),IF(C214=0,0,(EURO(C214,Strikeprice1,0,0,($AH214+IF(Smile=TRUE(),VLOOKUP(MAX(-5,Strikeprice1-C214),Volsmile,2),0)),($A214-DateToday)+15,IF(Pricetype1=1,1,0),0))),C214)))</f>
        <v> </v>
      </c>
      <c r="M214" s="318" t="str">
        <f aca="false">IF($A214="N/A"," ",IF(Pricetype1=2,MAX(D214,0),IF(OR(Pricetype1=1,Pricetype1=4),IF(D214=0,0,(EURO(D214,Strikeprice1,0,0,($AH214+IF(Smile=TRUE(),VLOOKUP(MAX(-5,Strikeprice1-D214),Volsmile,2),0)),($A214-DateToday)+15,IF(Pricetype1=1,1,0),0))),D214)))</f>
        <v> </v>
      </c>
      <c r="N214" s="318" t="str">
        <f aca="false">IF($A214="N/A"," ",IF(Pricetype1=2,MAX(E214,0),IF(OR(Pricetype1=1,Pricetype1=4),IF(E214=0,0,(EURO(E214,Strikeprice1,0,0,($AK214+IF(Smile=TRUE(),VLOOKUP(MAX(-5,Strikeprice1-E214),Volsmile,2),0)),($A214-DateToday)+15,IF(Pricetype1=1,1,0),0))),E214)))</f>
        <v> </v>
      </c>
      <c r="O214" s="318" t="str">
        <f aca="false">IF($A214="N/A"," ",IF(Pricetype1=2,MAX(F214,0),IF(OR(Pricetype1=1,Pricetype1=4),IF(F214=0,0,(EURO(F214,Strikeprice1,0,0,($AK214+IF(Smile=TRUE(),VLOOKUP(MAX(-5,Strikeprice1-F214),Volsmile,2),0)),($A214-DateToday)+15,IF(Pricetype1=1,1,0),0))),F214)))</f>
        <v> </v>
      </c>
      <c r="P214" s="318" t="str">
        <f aca="false">IF($A214="N/A"," ",IF(Pricetype1=2,MAX(G214,0),IF(OR(Pricetype1=1,Pricetype1=4),IF(G214=0,0,(EURO(G214,Strikeprice1,0,0,($AK214+IF(Smile=TRUE(),VLOOKUP(MAX(-5,Strikeprice1-G214),Volsmile,2),0)),($A214-DateToday)+15,IF(Pricetype1=1,1,0),0))),G214)))</f>
        <v> </v>
      </c>
      <c r="Q214" s="318" t="str">
        <f aca="false">IF($A214="N/A"," ",IF(Pricetype1=2,MAX(H214,0),IF(OR(Pricetype1=1,Pricetype1=4),IF(H214=0,0,(EURO(H214,Strikeprice1,0,0,($AK214+IF(Smile=TRUE(),VLOOKUP(MAX(-5,Strikeprice1-H214),Volsmile,2),0)),($A214-DateToday)+15,IF(Pricetype1=1,1,0),0))),H214)))</f>
        <v> </v>
      </c>
      <c r="R214" s="318" t="str">
        <f aca="false">IF($A214="N/A"," ",IF(Pricetype1=2,MAX(I214,0),IF(OR(Pricetype1=1,Pricetype1=4),IF(I214=0,0,(EURO(I214,Strikeprice1,0,0,($AK214+IF(Smile=TRUE(),VLOOKUP(MAX(-5,Strikeprice1-I214),Volsmile,2),0)),($A214-DateToday)+15,IF(Pricetype1=1,1,0),0))),I214)))</f>
        <v> </v>
      </c>
      <c r="S214" s="318" t="str">
        <f aca="false">IF($A214="N/A"," ",IF(Pricetype1=2,MAX(J214,0),IF(OR(Pricetype1=1,Pricetype1=4),IF(J214=0,0,(EURO(J214,Strikeprice1,0,0,($AK214+IF(Smile=TRUE(),VLOOKUP(MAX(-5,Strikeprice1-J214),Volsmile,2),0)),($A214-DateToday)+15,IF(Pricetype1=1,1,0),0))),J214)))</f>
        <v> </v>
      </c>
      <c r="T214" s="318" t="str">
        <f aca="false">IF($A214="N/A"," ",IF(Pricetype1=2,MAX(K214,0),IF(OR(Pricetype1=1,Pricetype1=4),IF(K214=0,0,(EURO(K214,Strikeprice1,0,0,($AK214+IF(Smile=TRUE(),VLOOKUP(MAX(-5,Strikeprice1-K214),Volsmile,2),0)),($A214-DateToday)+15,IF(Pricetype1=1,1,0),0))),K214)))</f>
        <v> </v>
      </c>
      <c r="U214" s="319" t="str">
        <f aca="false">IF($A214="N/A"," ",Volume1*$AM214)</f>
        <v> </v>
      </c>
      <c r="V214" s="320" t="str">
        <f aca="false">IF($A214="N/A"," ",$U214*(8*($BQ214))*L214)</f>
        <v> </v>
      </c>
      <c r="W214" s="320" t="str">
        <f aca="false">IF($A214="N/A"," ",$U214*(8*($BQ214))*M214)</f>
        <v> </v>
      </c>
      <c r="X214" s="320" t="str">
        <f aca="false">IF($A214="N/A"," ",$U214*(8*($BQ214))*N214)</f>
        <v> </v>
      </c>
      <c r="Y214" s="320" t="str">
        <f aca="false">IF($A214="N/A"," ",$U214*(8*($BR214))*O214)</f>
        <v> </v>
      </c>
      <c r="Z214" s="320" t="str">
        <f aca="false">IF($A214="N/A"," ",$U214*(8*($BR214))*P214)</f>
        <v> </v>
      </c>
      <c r="AA214" s="320" t="str">
        <f aca="false">IF($A214="N/A"," ",$U214*(8*($BR214))*Q214)</f>
        <v> </v>
      </c>
      <c r="AB214" s="320" t="str">
        <f aca="false">IF($A214="N/A"," ",$U214*(8*($BS214))*R214)</f>
        <v> </v>
      </c>
      <c r="AC214" s="320" t="str">
        <f aca="false">IF($A214="N/A"," ",$U214*(8*($BS214))*S214)</f>
        <v> </v>
      </c>
      <c r="AD214" s="320" t="str">
        <f aca="false">IF($A214="N/A"," ",$U214*(8*($BS214))*T214)</f>
        <v> </v>
      </c>
      <c r="AE214" s="320" t="str">
        <f aca="false">IF($A214="N/A"," ",SUM(V214:AD214))</f>
        <v> </v>
      </c>
      <c r="AF214" s="321" t="str">
        <f aca="false">IF(A214="N/A"," ",(VLOOKUP(A214,PowerVolTable,(IF(VolBMO1=2,7,IF(VolBMO1=1,6,8))),FALSE())))</f>
        <v> </v>
      </c>
      <c r="AG214" s="321" t="str">
        <f aca="false">IF(A214="N/A"," ",(VLOOKUP(A214,IntraPowerVol,(IF(VolBMO1=2,3,IF(VolBMO1=1,2,4))),FALSE())*VLOOKUP(MONTH($A214),Volscale,2)))</f>
        <v> </v>
      </c>
      <c r="AH214" s="321" t="str">
        <f aca="false">IF($A214="N/A"," ",IF(VolType1=1,AG214,AF214))</f>
        <v> </v>
      </c>
      <c r="AI214" s="321" t="str">
        <f aca="false">IF($A214="N/A"," ",(VLOOKUP($A214,OffPwrVolTable,(IF(VolBMO1=2,7,IF(VolBMO1=1,6,8))),FALSE())))</f>
        <v> </v>
      </c>
      <c r="AJ214" s="321" t="str">
        <f aca="false">IF($A214="N/A"," ",(VLOOKUP($A214,OffPwrVolTable,(IF(VolBMO1=2,3,IF(VolBMO1=1,2,4))),FALSE())*VLOOKUP(MONTH($A214),Volscale,2)))</f>
        <v> </v>
      </c>
      <c r="AK214" s="321" t="str">
        <f aca="false">IF($A214="N/A"," ",IF(VolType1=1,AJ214,AI214))</f>
        <v> </v>
      </c>
      <c r="AL214" s="321" t="str">
        <f aca="false">IF($A214="N/A"," ",IF(PV=1,0,'Pricing Inputs1'!R247))</f>
        <v> </v>
      </c>
      <c r="AM214" s="323" t="str">
        <f aca="false">IF($A214="N/A"," ",(1+AL214/2)^(-2*((EOMONTH(A214,0)+20)-DateToday)/365.25))</f>
        <v> </v>
      </c>
      <c r="BQ214" s="0" t="str">
        <f aca="false">IF($A214="N/A"," ",(VLOOKUP($A214,NumberofDaysTable,2)))</f>
        <v> </v>
      </c>
      <c r="BR214" s="0" t="str">
        <f aca="false">IF($A214="N/A"," ",(VLOOKUP($A214,NumberofDaysTable,3)))</f>
        <v> </v>
      </c>
      <c r="BS214" s="0" t="str">
        <f aca="false">IF($A214="N/A"," ",(VLOOKUP($A214,NumberofDaysTable,4)))</f>
        <v> </v>
      </c>
    </row>
    <row r="215" customFormat="false" ht="12.75" hidden="false" customHeight="false" outlineLevel="0" collapsed="false">
      <c r="A215" s="315" t="str">
        <f aca="false">IF(A214="N/A","N/A",IF(EDATE(A214,1)&gt;Inputs!$M$5,"N/A",EDATE(A214,1)))</f>
        <v>N/A</v>
      </c>
      <c r="B215" s="316" t="str">
        <f aca="false">IF(A215="N/A"," ",YEAR(A215))</f>
        <v> </v>
      </c>
      <c r="C215" s="324" t="str">
        <f aca="false">IF($A215="N/A"," ",IF(Dayrun1=10,0,IF(Scaler1=1,(VLOOKUP(A215,ScaledPrice1,4)),(VLOOKUP(A215,ScaledPrice1,2)))))</f>
        <v> </v>
      </c>
      <c r="D215" s="317" t="str">
        <f aca="false">IF(A215="N/A"," ",IF(Dayrun1&gt;=7,0,IF(Scaler1=2,VLOOKUP(A215,ScaledPrice1,2),(VLOOKUP(A215,ScaledPrice1,2))*(2-(VLOOKUP(A215,ScaledPrice1,3))))))</f>
        <v> </v>
      </c>
      <c r="E215" s="317" t="str">
        <f aca="false">IF($A215="N/A"," ",IF(AND(Dayrun1&gt;=4,Dayrun1&lt;=9),0,VLOOKUP($A215,ScaledPrice1,9)))</f>
        <v> </v>
      </c>
      <c r="F215" s="317" t="str">
        <f aca="false">IF(A215="N/A"," ",IF(OR(Dayrun1=2,Dayrun1=3,Dayrun1=5,Dayrun1=6,Dayrun1=8,Dayrun1=9),VLOOKUP(A215,ScaledPrice1,IF(Scaler1=1,6,5)),0))</f>
        <v> </v>
      </c>
      <c r="G215" s="317" t="str">
        <f aca="false">IF(A215="N/A"," ",IF(OR(Dayrun1=2,Dayrun1=3,Dayrun1=5,Dayrun1=6),IF(Scaler1=2,F215,(VLOOKUP(A215,ScaledPrice1,5))*(2-(VLOOKUP(A215,ScaledPrice1,3)))),0))</f>
        <v> </v>
      </c>
      <c r="H215" s="317" t="str">
        <f aca="false">IF($A215="N/A"," ",IF(OR(Dayrun1=2,Dayrun1=3,Dayrun1=10),VLOOKUP($A215,ScaledPrice1,9),0))</f>
        <v> </v>
      </c>
      <c r="I215" s="317" t="str">
        <f aca="false">IF(A215="N/A"," ",IF(OR(Dayrun1=3,Dayrun1=6,Dayrun1=9),(VLOOKUP(A215,ScaledPrice1,IF(Scaler1=2,7,8))),0))</f>
        <v> </v>
      </c>
      <c r="J215" s="317" t="str">
        <f aca="false">IF(A215="N/A"," ",IF(OR(Dayrun1=3,Dayrun1=6),IF(Scaler1=2,I215,(VLOOKUP(A215,ScaledPrice1,7))*(2-(VLOOKUP(A215,ScaledPrice1,3)))),0))</f>
        <v> </v>
      </c>
      <c r="K215" s="317" t="str">
        <f aca="false">IF($A215="N/A"," ",IF(OR(Dayrun1=3,Dayrun1=10),VLOOKUP($A215,ScaledPrice1,9),0))</f>
        <v> </v>
      </c>
      <c r="L215" s="318" t="str">
        <f aca="false">IF($A215="N/A"," ",IF(Pricetype1=2,MAX(C215,0),IF(OR(Pricetype1=1,Pricetype1=4),IF(C215=0,0,(EURO(C215,Strikeprice1,0,0,($AH215+IF(Smile=TRUE(),VLOOKUP(MAX(-5,Strikeprice1-C215),Volsmile,2),0)),($A215-DateToday)+15,IF(Pricetype1=1,1,0),0))),C215)))</f>
        <v> </v>
      </c>
      <c r="M215" s="318" t="str">
        <f aca="false">IF($A215="N/A"," ",IF(Pricetype1=2,MAX(D215,0),IF(OR(Pricetype1=1,Pricetype1=4),IF(D215=0,0,(EURO(D215,Strikeprice1,0,0,($AH215+IF(Smile=TRUE(),VLOOKUP(MAX(-5,Strikeprice1-D215),Volsmile,2),0)),($A215-DateToday)+15,IF(Pricetype1=1,1,0),0))),D215)))</f>
        <v> </v>
      </c>
      <c r="N215" s="318" t="str">
        <f aca="false">IF($A215="N/A"," ",IF(Pricetype1=2,MAX(E215,0),IF(OR(Pricetype1=1,Pricetype1=4),IF(E215=0,0,(EURO(E215,Strikeprice1,0,0,($AK215+IF(Smile=TRUE(),VLOOKUP(MAX(-5,Strikeprice1-E215),Volsmile,2),0)),($A215-DateToday)+15,IF(Pricetype1=1,1,0),0))),E215)))</f>
        <v> </v>
      </c>
      <c r="O215" s="318" t="str">
        <f aca="false">IF($A215="N/A"," ",IF(Pricetype1=2,MAX(F215,0),IF(OR(Pricetype1=1,Pricetype1=4),IF(F215=0,0,(EURO(F215,Strikeprice1,0,0,($AK215+IF(Smile=TRUE(),VLOOKUP(MAX(-5,Strikeprice1-F215),Volsmile,2),0)),($A215-DateToday)+15,IF(Pricetype1=1,1,0),0))),F215)))</f>
        <v> </v>
      </c>
      <c r="P215" s="318" t="str">
        <f aca="false">IF($A215="N/A"," ",IF(Pricetype1=2,MAX(G215,0),IF(OR(Pricetype1=1,Pricetype1=4),IF(G215=0,0,(EURO(G215,Strikeprice1,0,0,($AK215+IF(Smile=TRUE(),VLOOKUP(MAX(-5,Strikeprice1-G215),Volsmile,2),0)),($A215-DateToday)+15,IF(Pricetype1=1,1,0),0))),G215)))</f>
        <v> </v>
      </c>
      <c r="Q215" s="318" t="str">
        <f aca="false">IF($A215="N/A"," ",IF(Pricetype1=2,MAX(H215,0),IF(OR(Pricetype1=1,Pricetype1=4),IF(H215=0,0,(EURO(H215,Strikeprice1,0,0,($AK215+IF(Smile=TRUE(),VLOOKUP(MAX(-5,Strikeprice1-H215),Volsmile,2),0)),($A215-DateToday)+15,IF(Pricetype1=1,1,0),0))),H215)))</f>
        <v> </v>
      </c>
      <c r="R215" s="318" t="str">
        <f aca="false">IF($A215="N/A"," ",IF(Pricetype1=2,MAX(I215,0),IF(OR(Pricetype1=1,Pricetype1=4),IF(I215=0,0,(EURO(I215,Strikeprice1,0,0,($AK215+IF(Smile=TRUE(),VLOOKUP(MAX(-5,Strikeprice1-I215),Volsmile,2),0)),($A215-DateToday)+15,IF(Pricetype1=1,1,0),0))),I215)))</f>
        <v> </v>
      </c>
      <c r="S215" s="318" t="str">
        <f aca="false">IF($A215="N/A"," ",IF(Pricetype1=2,MAX(J215,0),IF(OR(Pricetype1=1,Pricetype1=4),IF(J215=0,0,(EURO(J215,Strikeprice1,0,0,($AK215+IF(Smile=TRUE(),VLOOKUP(MAX(-5,Strikeprice1-J215),Volsmile,2),0)),($A215-DateToday)+15,IF(Pricetype1=1,1,0),0))),J215)))</f>
        <v> </v>
      </c>
      <c r="T215" s="318" t="str">
        <f aca="false">IF($A215="N/A"," ",IF(Pricetype1=2,MAX(K215,0),IF(OR(Pricetype1=1,Pricetype1=4),IF(K215=0,0,(EURO(K215,Strikeprice1,0,0,($AK215+IF(Smile=TRUE(),VLOOKUP(MAX(-5,Strikeprice1-K215),Volsmile,2),0)),($A215-DateToday)+15,IF(Pricetype1=1,1,0),0))),K215)))</f>
        <v> </v>
      </c>
      <c r="U215" s="319" t="str">
        <f aca="false">IF($A215="N/A"," ",Volume1*$AM215)</f>
        <v> </v>
      </c>
      <c r="V215" s="320" t="str">
        <f aca="false">IF($A215="N/A"," ",$U215*(8*($BQ215))*L215)</f>
        <v> </v>
      </c>
      <c r="W215" s="320" t="str">
        <f aca="false">IF($A215="N/A"," ",$U215*(8*($BQ215))*M215)</f>
        <v> </v>
      </c>
      <c r="X215" s="320" t="str">
        <f aca="false">IF($A215="N/A"," ",$U215*(8*($BQ215))*N215)</f>
        <v> </v>
      </c>
      <c r="Y215" s="320" t="str">
        <f aca="false">IF($A215="N/A"," ",$U215*(8*($BR215))*O215)</f>
        <v> </v>
      </c>
      <c r="Z215" s="320" t="str">
        <f aca="false">IF($A215="N/A"," ",$U215*(8*($BR215))*P215)</f>
        <v> </v>
      </c>
      <c r="AA215" s="320" t="str">
        <f aca="false">IF($A215="N/A"," ",$U215*(8*($BR215))*Q215)</f>
        <v> </v>
      </c>
      <c r="AB215" s="320" t="str">
        <f aca="false">IF($A215="N/A"," ",$U215*(8*($BS215))*R215)</f>
        <v> </v>
      </c>
      <c r="AC215" s="320" t="str">
        <f aca="false">IF($A215="N/A"," ",$U215*(8*($BS215))*S215)</f>
        <v> </v>
      </c>
      <c r="AD215" s="320" t="str">
        <f aca="false">IF($A215="N/A"," ",$U215*(8*($BS215))*T215)</f>
        <v> </v>
      </c>
      <c r="AE215" s="320" t="str">
        <f aca="false">IF($A215="N/A"," ",SUM(V215:AD215))</f>
        <v> </v>
      </c>
      <c r="AF215" s="321" t="str">
        <f aca="false">IF(A215="N/A"," ",(VLOOKUP(A215,PowerVolTable,(IF(VolBMO1=2,7,IF(VolBMO1=1,6,8))),FALSE())))</f>
        <v> </v>
      </c>
      <c r="AG215" s="321" t="str">
        <f aca="false">IF(A215="N/A"," ",(VLOOKUP(A215,IntraPowerVol,(IF(VolBMO1=2,3,IF(VolBMO1=1,2,4))),FALSE())*VLOOKUP(MONTH($A215),Volscale,2)))</f>
        <v> </v>
      </c>
      <c r="AH215" s="321" t="str">
        <f aca="false">IF($A215="N/A"," ",IF(VolType1=1,AG215,AF215))</f>
        <v> </v>
      </c>
      <c r="AI215" s="321" t="str">
        <f aca="false">IF($A215="N/A"," ",(VLOOKUP($A215,OffPwrVolTable,(IF(VolBMO1=2,7,IF(VolBMO1=1,6,8))),FALSE())))</f>
        <v> </v>
      </c>
      <c r="AJ215" s="321" t="str">
        <f aca="false">IF($A215="N/A"," ",(VLOOKUP($A215,OffPwrVolTable,(IF(VolBMO1=2,3,IF(VolBMO1=1,2,4))),FALSE())*VLOOKUP(MONTH($A215),Volscale,2)))</f>
        <v> </v>
      </c>
      <c r="AK215" s="321" t="str">
        <f aca="false">IF($A215="N/A"," ",IF(VolType1=1,AJ215,AI215))</f>
        <v> </v>
      </c>
      <c r="AL215" s="321" t="str">
        <f aca="false">IF($A215="N/A"," ",IF(PV=1,0,'Pricing Inputs1'!R248))</f>
        <v> </v>
      </c>
      <c r="AM215" s="323" t="str">
        <f aca="false">IF($A215="N/A"," ",(1+AL215/2)^(-2*((EOMONTH(A215,0)+20)-DateToday)/365.25))</f>
        <v> </v>
      </c>
      <c r="BQ215" s="0" t="str">
        <f aca="false">IF($A215="N/A"," ",(VLOOKUP($A215,NumberofDaysTable,2)))</f>
        <v> </v>
      </c>
      <c r="BR215" s="0" t="str">
        <f aca="false">IF($A215="N/A"," ",(VLOOKUP($A215,NumberofDaysTable,3)))</f>
        <v> </v>
      </c>
      <c r="BS215" s="0" t="str">
        <f aca="false">IF($A215="N/A"," ",(VLOOKUP($A215,NumberofDaysTable,4)))</f>
        <v> </v>
      </c>
    </row>
    <row r="216" customFormat="false" ht="12.75" hidden="false" customHeight="false" outlineLevel="0" collapsed="false">
      <c r="A216" s="315" t="str">
        <f aca="false">IF(A215="N/A","N/A",IF(EDATE(A215,1)&gt;Inputs!$M$5,"N/A",EDATE(A215,1)))</f>
        <v>N/A</v>
      </c>
      <c r="B216" s="316" t="str">
        <f aca="false">IF(A216="N/A"," ",YEAR(A216))</f>
        <v> </v>
      </c>
      <c r="C216" s="324" t="str">
        <f aca="false">IF($A216="N/A"," ",IF(Dayrun1=10,0,IF(Scaler1=1,(VLOOKUP(A216,ScaledPrice1,4)),(VLOOKUP(A216,ScaledPrice1,2)))))</f>
        <v> </v>
      </c>
      <c r="D216" s="317" t="str">
        <f aca="false">IF(A216="N/A"," ",IF(Dayrun1&gt;=7,0,IF(Scaler1=2,VLOOKUP(A216,ScaledPrice1,2),(VLOOKUP(A216,ScaledPrice1,2))*(2-(VLOOKUP(A216,ScaledPrice1,3))))))</f>
        <v> </v>
      </c>
      <c r="E216" s="317" t="str">
        <f aca="false">IF($A216="N/A"," ",IF(AND(Dayrun1&gt;=4,Dayrun1&lt;=9),0,VLOOKUP($A216,ScaledPrice1,9)))</f>
        <v> </v>
      </c>
      <c r="F216" s="317" t="str">
        <f aca="false">IF(A216="N/A"," ",IF(OR(Dayrun1=2,Dayrun1=3,Dayrun1=5,Dayrun1=6,Dayrun1=8,Dayrun1=9),VLOOKUP(A216,ScaledPrice1,IF(Scaler1=1,6,5)),0))</f>
        <v> </v>
      </c>
      <c r="G216" s="317" t="str">
        <f aca="false">IF(A216="N/A"," ",IF(OR(Dayrun1=2,Dayrun1=3,Dayrun1=5,Dayrun1=6),IF(Scaler1=2,F216,(VLOOKUP(A216,ScaledPrice1,5))*(2-(VLOOKUP(A216,ScaledPrice1,3)))),0))</f>
        <v> </v>
      </c>
      <c r="H216" s="317" t="str">
        <f aca="false">IF($A216="N/A"," ",IF(OR(Dayrun1=2,Dayrun1=3,Dayrun1=10),VLOOKUP($A216,ScaledPrice1,9),0))</f>
        <v> </v>
      </c>
      <c r="I216" s="317" t="str">
        <f aca="false">IF(A216="N/A"," ",IF(OR(Dayrun1=3,Dayrun1=6,Dayrun1=9),(VLOOKUP(A216,ScaledPrice1,IF(Scaler1=2,7,8))),0))</f>
        <v> </v>
      </c>
      <c r="J216" s="317" t="str">
        <f aca="false">IF(A216="N/A"," ",IF(OR(Dayrun1=3,Dayrun1=6),IF(Scaler1=2,I216,(VLOOKUP(A216,ScaledPrice1,7))*(2-(VLOOKUP(A216,ScaledPrice1,3)))),0))</f>
        <v> </v>
      </c>
      <c r="K216" s="317" t="str">
        <f aca="false">IF($A216="N/A"," ",IF(OR(Dayrun1=3,Dayrun1=10),VLOOKUP($A216,ScaledPrice1,9),0))</f>
        <v> </v>
      </c>
      <c r="L216" s="318" t="str">
        <f aca="false">IF($A216="N/A"," ",IF(Pricetype1=2,MAX(C216,0),IF(OR(Pricetype1=1,Pricetype1=4),IF(C216=0,0,(EURO(C216,Strikeprice1,0,0,($AH216+IF(Smile=TRUE(),VLOOKUP(MAX(-5,Strikeprice1-C216),Volsmile,2),0)),($A216-DateToday)+15,IF(Pricetype1=1,1,0),0))),C216)))</f>
        <v> </v>
      </c>
      <c r="M216" s="318" t="str">
        <f aca="false">IF($A216="N/A"," ",IF(Pricetype1=2,MAX(D216,0),IF(OR(Pricetype1=1,Pricetype1=4),IF(D216=0,0,(EURO(D216,Strikeprice1,0,0,($AH216+IF(Smile=TRUE(),VLOOKUP(MAX(-5,Strikeprice1-D216),Volsmile,2),0)),($A216-DateToday)+15,IF(Pricetype1=1,1,0),0))),D216)))</f>
        <v> </v>
      </c>
      <c r="N216" s="318" t="str">
        <f aca="false">IF($A216="N/A"," ",IF(Pricetype1=2,MAX(E216,0),IF(OR(Pricetype1=1,Pricetype1=4),IF(E216=0,0,(EURO(E216,Strikeprice1,0,0,($AK216+IF(Smile=TRUE(),VLOOKUP(MAX(-5,Strikeprice1-E216),Volsmile,2),0)),($A216-DateToday)+15,IF(Pricetype1=1,1,0),0))),E216)))</f>
        <v> </v>
      </c>
      <c r="O216" s="318" t="str">
        <f aca="false">IF($A216="N/A"," ",IF(Pricetype1=2,MAX(F216,0),IF(OR(Pricetype1=1,Pricetype1=4),IF(F216=0,0,(EURO(F216,Strikeprice1,0,0,($AK216+IF(Smile=TRUE(),VLOOKUP(MAX(-5,Strikeprice1-F216),Volsmile,2),0)),($A216-DateToday)+15,IF(Pricetype1=1,1,0),0))),F216)))</f>
        <v> </v>
      </c>
      <c r="P216" s="318" t="str">
        <f aca="false">IF($A216="N/A"," ",IF(Pricetype1=2,MAX(G216,0),IF(OR(Pricetype1=1,Pricetype1=4),IF(G216=0,0,(EURO(G216,Strikeprice1,0,0,($AK216+IF(Smile=TRUE(),VLOOKUP(MAX(-5,Strikeprice1-G216),Volsmile,2),0)),($A216-DateToday)+15,IF(Pricetype1=1,1,0),0))),G216)))</f>
        <v> </v>
      </c>
      <c r="Q216" s="318" t="str">
        <f aca="false">IF($A216="N/A"," ",IF(Pricetype1=2,MAX(H216,0),IF(OR(Pricetype1=1,Pricetype1=4),IF(H216=0,0,(EURO(H216,Strikeprice1,0,0,($AK216+IF(Smile=TRUE(),VLOOKUP(MAX(-5,Strikeprice1-H216),Volsmile,2),0)),($A216-DateToday)+15,IF(Pricetype1=1,1,0),0))),H216)))</f>
        <v> </v>
      </c>
      <c r="R216" s="318" t="str">
        <f aca="false">IF($A216="N/A"," ",IF(Pricetype1=2,MAX(I216,0),IF(OR(Pricetype1=1,Pricetype1=4),IF(I216=0,0,(EURO(I216,Strikeprice1,0,0,($AK216+IF(Smile=TRUE(),VLOOKUP(MAX(-5,Strikeprice1-I216),Volsmile,2),0)),($A216-DateToday)+15,IF(Pricetype1=1,1,0),0))),I216)))</f>
        <v> </v>
      </c>
      <c r="S216" s="318" t="str">
        <f aca="false">IF($A216="N/A"," ",IF(Pricetype1=2,MAX(J216,0),IF(OR(Pricetype1=1,Pricetype1=4),IF(J216=0,0,(EURO(J216,Strikeprice1,0,0,($AK216+IF(Smile=TRUE(),VLOOKUP(MAX(-5,Strikeprice1-J216),Volsmile,2),0)),($A216-DateToday)+15,IF(Pricetype1=1,1,0),0))),J216)))</f>
        <v> </v>
      </c>
      <c r="T216" s="318" t="str">
        <f aca="false">IF($A216="N/A"," ",IF(Pricetype1=2,MAX(K216,0),IF(OR(Pricetype1=1,Pricetype1=4),IF(K216=0,0,(EURO(K216,Strikeprice1,0,0,($AK216+IF(Smile=TRUE(),VLOOKUP(MAX(-5,Strikeprice1-K216),Volsmile,2),0)),($A216-DateToday)+15,IF(Pricetype1=1,1,0),0))),K216)))</f>
        <v> </v>
      </c>
      <c r="U216" s="319" t="str">
        <f aca="false">IF($A216="N/A"," ",Volume1*$AM216)</f>
        <v> </v>
      </c>
      <c r="V216" s="320" t="str">
        <f aca="false">IF($A216="N/A"," ",$U216*(8*($BQ216))*L216)</f>
        <v> </v>
      </c>
      <c r="W216" s="320" t="str">
        <f aca="false">IF($A216="N/A"," ",$U216*(8*($BQ216))*M216)</f>
        <v> </v>
      </c>
      <c r="X216" s="320" t="str">
        <f aca="false">IF($A216="N/A"," ",$U216*(8*($BQ216))*N216)</f>
        <v> </v>
      </c>
      <c r="Y216" s="320" t="str">
        <f aca="false">IF($A216="N/A"," ",$U216*(8*($BR216))*O216)</f>
        <v> </v>
      </c>
      <c r="Z216" s="320" t="str">
        <f aca="false">IF($A216="N/A"," ",$U216*(8*($BR216))*P216)</f>
        <v> </v>
      </c>
      <c r="AA216" s="320" t="str">
        <f aca="false">IF($A216="N/A"," ",$U216*(8*($BR216))*Q216)</f>
        <v> </v>
      </c>
      <c r="AB216" s="320" t="str">
        <f aca="false">IF($A216="N/A"," ",$U216*(8*($BS216))*R216)</f>
        <v> </v>
      </c>
      <c r="AC216" s="320" t="str">
        <f aca="false">IF($A216="N/A"," ",$U216*(8*($BS216))*S216)</f>
        <v> </v>
      </c>
      <c r="AD216" s="320" t="str">
        <f aca="false">IF($A216="N/A"," ",$U216*(8*($BS216))*T216)</f>
        <v> </v>
      </c>
      <c r="AE216" s="320" t="str">
        <f aca="false">IF($A216="N/A"," ",SUM(V216:AD216))</f>
        <v> </v>
      </c>
      <c r="AF216" s="321" t="str">
        <f aca="false">IF(A216="N/A"," ",(VLOOKUP(A216,PowerVolTable,(IF(VolBMO1=2,7,IF(VolBMO1=1,6,8))),FALSE())))</f>
        <v> </v>
      </c>
      <c r="AG216" s="321" t="str">
        <f aca="false">IF(A216="N/A"," ",(VLOOKUP(A216,IntraPowerVol,(IF(VolBMO1=2,3,IF(VolBMO1=1,2,4))),FALSE())*VLOOKUP(MONTH($A216),Volscale,2)))</f>
        <v> </v>
      </c>
      <c r="AH216" s="321" t="str">
        <f aca="false">IF($A216="N/A"," ",IF(VolType1=1,AG216,AF216))</f>
        <v> </v>
      </c>
      <c r="AI216" s="321" t="str">
        <f aca="false">IF($A216="N/A"," ",(VLOOKUP($A216,OffPwrVolTable,(IF(VolBMO1=2,7,IF(VolBMO1=1,6,8))),FALSE())))</f>
        <v> </v>
      </c>
      <c r="AJ216" s="321" t="str">
        <f aca="false">IF($A216="N/A"," ",(VLOOKUP($A216,OffPwrVolTable,(IF(VolBMO1=2,3,IF(VolBMO1=1,2,4))),FALSE())*VLOOKUP(MONTH($A216),Volscale,2)))</f>
        <v> </v>
      </c>
      <c r="AK216" s="321" t="str">
        <f aca="false">IF($A216="N/A"," ",IF(VolType1=1,AJ216,AI216))</f>
        <v> </v>
      </c>
      <c r="AL216" s="321" t="str">
        <f aca="false">IF($A216="N/A"," ",IF(PV=1,0,'Pricing Inputs1'!R249))</f>
        <v> </v>
      </c>
      <c r="AM216" s="323" t="str">
        <f aca="false">IF($A216="N/A"," ",(1+AL216/2)^(-2*((EOMONTH(A216,0)+20)-DateToday)/365.25))</f>
        <v> </v>
      </c>
      <c r="BQ216" s="0" t="str">
        <f aca="false">IF($A216="N/A"," ",(VLOOKUP($A216,NumberofDaysTable,2)))</f>
        <v> </v>
      </c>
      <c r="BR216" s="0" t="str">
        <f aca="false">IF($A216="N/A"," ",(VLOOKUP($A216,NumberofDaysTable,3)))</f>
        <v> </v>
      </c>
      <c r="BS216" s="0" t="str">
        <f aca="false">IF($A216="N/A"," ",(VLOOKUP($A216,NumberofDaysTable,4)))</f>
        <v> </v>
      </c>
    </row>
    <row r="217" customFormat="false" ht="12.75" hidden="false" customHeight="false" outlineLevel="0" collapsed="false">
      <c r="A217" s="315" t="str">
        <f aca="false">IF(A216="N/A","N/A",IF(EDATE(A216,1)&gt;Inputs!$M$5,"N/A",EDATE(A216,1)))</f>
        <v>N/A</v>
      </c>
      <c r="B217" s="316" t="str">
        <f aca="false">IF(A217="N/A"," ",YEAR(A217))</f>
        <v> </v>
      </c>
      <c r="C217" s="324" t="str">
        <f aca="false">IF($A217="N/A"," ",IF(Dayrun1=10,0,IF(Scaler1=1,(VLOOKUP(A217,ScaledPrice1,4)),(VLOOKUP(A217,ScaledPrice1,2)))))</f>
        <v> </v>
      </c>
      <c r="D217" s="317" t="str">
        <f aca="false">IF(A217="N/A"," ",IF(Dayrun1&gt;=7,0,IF(Scaler1=2,VLOOKUP(A217,ScaledPrice1,2),(VLOOKUP(A217,ScaledPrice1,2))*(2-(VLOOKUP(A217,ScaledPrice1,3))))))</f>
        <v> </v>
      </c>
      <c r="E217" s="317" t="str">
        <f aca="false">IF($A217="N/A"," ",IF(AND(Dayrun1&gt;=4,Dayrun1&lt;=9),0,VLOOKUP($A217,ScaledPrice1,9)))</f>
        <v> </v>
      </c>
      <c r="F217" s="317" t="str">
        <f aca="false">IF(A217="N/A"," ",IF(OR(Dayrun1=2,Dayrun1=3,Dayrun1=5,Dayrun1=6,Dayrun1=8,Dayrun1=9),VLOOKUP(A217,ScaledPrice1,IF(Scaler1=1,6,5)),0))</f>
        <v> </v>
      </c>
      <c r="G217" s="317" t="str">
        <f aca="false">IF(A217="N/A"," ",IF(OR(Dayrun1=2,Dayrun1=3,Dayrun1=5,Dayrun1=6),IF(Scaler1=2,F217,(VLOOKUP(A217,ScaledPrice1,5))*(2-(VLOOKUP(A217,ScaledPrice1,3)))),0))</f>
        <v> </v>
      </c>
      <c r="H217" s="317" t="str">
        <f aca="false">IF($A217="N/A"," ",IF(OR(Dayrun1=2,Dayrun1=3,Dayrun1=10),VLOOKUP($A217,ScaledPrice1,9),0))</f>
        <v> </v>
      </c>
      <c r="I217" s="317" t="str">
        <f aca="false">IF(A217="N/A"," ",IF(OR(Dayrun1=3,Dayrun1=6,Dayrun1=9),(VLOOKUP(A217,ScaledPrice1,IF(Scaler1=2,7,8))),0))</f>
        <v> </v>
      </c>
      <c r="J217" s="317" t="str">
        <f aca="false">IF(A217="N/A"," ",IF(OR(Dayrun1=3,Dayrun1=6),IF(Scaler1=2,I217,(VLOOKUP(A217,ScaledPrice1,7))*(2-(VLOOKUP(A217,ScaledPrice1,3)))),0))</f>
        <v> </v>
      </c>
      <c r="K217" s="317" t="str">
        <f aca="false">IF($A217="N/A"," ",IF(OR(Dayrun1=3,Dayrun1=10),VLOOKUP($A217,ScaledPrice1,9),0))</f>
        <v> </v>
      </c>
      <c r="L217" s="318" t="str">
        <f aca="false">IF($A217="N/A"," ",IF(Pricetype1=2,MAX(C217,0),IF(OR(Pricetype1=1,Pricetype1=4),IF(C217=0,0,(EURO(C217,Strikeprice1,0,0,($AH217+IF(Smile=TRUE(),VLOOKUP(MAX(-5,Strikeprice1-C217),Volsmile,2),0)),($A217-DateToday)+15,IF(Pricetype1=1,1,0),0))),C217)))</f>
        <v> </v>
      </c>
      <c r="M217" s="318" t="str">
        <f aca="false">IF($A217="N/A"," ",IF(Pricetype1=2,MAX(D217,0),IF(OR(Pricetype1=1,Pricetype1=4),IF(D217=0,0,(EURO(D217,Strikeprice1,0,0,($AH217+IF(Smile=TRUE(),VLOOKUP(MAX(-5,Strikeprice1-D217),Volsmile,2),0)),($A217-DateToday)+15,IF(Pricetype1=1,1,0),0))),D217)))</f>
        <v> </v>
      </c>
      <c r="N217" s="318" t="str">
        <f aca="false">IF($A217="N/A"," ",IF(Pricetype1=2,MAX(E217,0),IF(OR(Pricetype1=1,Pricetype1=4),IF(E217=0,0,(EURO(E217,Strikeprice1,0,0,($AK217+IF(Smile=TRUE(),VLOOKUP(MAX(-5,Strikeprice1-E217),Volsmile,2),0)),($A217-DateToday)+15,IF(Pricetype1=1,1,0),0))),E217)))</f>
        <v> </v>
      </c>
      <c r="O217" s="318" t="str">
        <f aca="false">IF($A217="N/A"," ",IF(Pricetype1=2,MAX(F217,0),IF(OR(Pricetype1=1,Pricetype1=4),IF(F217=0,0,(EURO(F217,Strikeprice1,0,0,($AK217+IF(Smile=TRUE(),VLOOKUP(MAX(-5,Strikeprice1-F217),Volsmile,2),0)),($A217-DateToday)+15,IF(Pricetype1=1,1,0),0))),F217)))</f>
        <v> </v>
      </c>
      <c r="P217" s="318" t="str">
        <f aca="false">IF($A217="N/A"," ",IF(Pricetype1=2,MAX(G217,0),IF(OR(Pricetype1=1,Pricetype1=4),IF(G217=0,0,(EURO(G217,Strikeprice1,0,0,($AK217+IF(Smile=TRUE(),VLOOKUP(MAX(-5,Strikeprice1-G217),Volsmile,2),0)),($A217-DateToday)+15,IF(Pricetype1=1,1,0),0))),G217)))</f>
        <v> </v>
      </c>
      <c r="Q217" s="318" t="str">
        <f aca="false">IF($A217="N/A"," ",IF(Pricetype1=2,MAX(H217,0),IF(OR(Pricetype1=1,Pricetype1=4),IF(H217=0,0,(EURO(H217,Strikeprice1,0,0,($AK217+IF(Smile=TRUE(),VLOOKUP(MAX(-5,Strikeprice1-H217),Volsmile,2),0)),($A217-DateToday)+15,IF(Pricetype1=1,1,0),0))),H217)))</f>
        <v> </v>
      </c>
      <c r="R217" s="318" t="str">
        <f aca="false">IF($A217="N/A"," ",IF(Pricetype1=2,MAX(I217,0),IF(OR(Pricetype1=1,Pricetype1=4),IF(I217=0,0,(EURO(I217,Strikeprice1,0,0,($AK217+IF(Smile=TRUE(),VLOOKUP(MAX(-5,Strikeprice1-I217),Volsmile,2),0)),($A217-DateToday)+15,IF(Pricetype1=1,1,0),0))),I217)))</f>
        <v> </v>
      </c>
      <c r="S217" s="318" t="str">
        <f aca="false">IF($A217="N/A"," ",IF(Pricetype1=2,MAX(J217,0),IF(OR(Pricetype1=1,Pricetype1=4),IF(J217=0,0,(EURO(J217,Strikeprice1,0,0,($AK217+IF(Smile=TRUE(),VLOOKUP(MAX(-5,Strikeprice1-J217),Volsmile,2),0)),($A217-DateToday)+15,IF(Pricetype1=1,1,0),0))),J217)))</f>
        <v> </v>
      </c>
      <c r="T217" s="318" t="str">
        <f aca="false">IF($A217="N/A"," ",IF(Pricetype1=2,MAX(K217,0),IF(OR(Pricetype1=1,Pricetype1=4),IF(K217=0,0,(EURO(K217,Strikeprice1,0,0,($AK217+IF(Smile=TRUE(),VLOOKUP(MAX(-5,Strikeprice1-K217),Volsmile,2),0)),($A217-DateToday)+15,IF(Pricetype1=1,1,0),0))),K217)))</f>
        <v> </v>
      </c>
      <c r="U217" s="319" t="str">
        <f aca="false">IF($A217="N/A"," ",Volume1*$AM217)</f>
        <v> </v>
      </c>
      <c r="V217" s="320" t="str">
        <f aca="false">IF($A217="N/A"," ",$U217*(8*($BQ217))*L217)</f>
        <v> </v>
      </c>
      <c r="W217" s="320" t="str">
        <f aca="false">IF($A217="N/A"," ",$U217*(8*($BQ217))*M217)</f>
        <v> </v>
      </c>
      <c r="X217" s="320" t="str">
        <f aca="false">IF($A217="N/A"," ",$U217*(8*($BQ217))*N217)</f>
        <v> </v>
      </c>
      <c r="Y217" s="320" t="str">
        <f aca="false">IF($A217="N/A"," ",$U217*(8*($BR217))*O217)</f>
        <v> </v>
      </c>
      <c r="Z217" s="320" t="str">
        <f aca="false">IF($A217="N/A"," ",$U217*(8*($BR217))*P217)</f>
        <v> </v>
      </c>
      <c r="AA217" s="320" t="str">
        <f aca="false">IF($A217="N/A"," ",$U217*(8*($BR217))*Q217)</f>
        <v> </v>
      </c>
      <c r="AB217" s="320" t="str">
        <f aca="false">IF($A217="N/A"," ",$U217*(8*($BS217))*R217)</f>
        <v> </v>
      </c>
      <c r="AC217" s="320" t="str">
        <f aca="false">IF($A217="N/A"," ",$U217*(8*($BS217))*S217)</f>
        <v> </v>
      </c>
      <c r="AD217" s="320" t="str">
        <f aca="false">IF($A217="N/A"," ",$U217*(8*($BS217))*T217)</f>
        <v> </v>
      </c>
      <c r="AE217" s="320" t="str">
        <f aca="false">IF($A217="N/A"," ",SUM(V217:AD217))</f>
        <v> </v>
      </c>
      <c r="AF217" s="321" t="str">
        <f aca="false">IF(A217="N/A"," ",(VLOOKUP(A217,PowerVolTable,(IF(VolBMO1=2,7,IF(VolBMO1=1,6,8))),FALSE())))</f>
        <v> </v>
      </c>
      <c r="AG217" s="321" t="str">
        <f aca="false">IF(A217="N/A"," ",(VLOOKUP(A217,IntraPowerVol,(IF(VolBMO1=2,3,IF(VolBMO1=1,2,4))),FALSE())*VLOOKUP(MONTH($A217),Volscale,2)))</f>
        <v> </v>
      </c>
      <c r="AH217" s="321" t="str">
        <f aca="false">IF($A217="N/A"," ",IF(VolType1=1,AG217,AF217))</f>
        <v> </v>
      </c>
      <c r="AI217" s="321" t="str">
        <f aca="false">IF($A217="N/A"," ",(VLOOKUP($A217,OffPwrVolTable,(IF(VolBMO1=2,7,IF(VolBMO1=1,6,8))),FALSE())))</f>
        <v> </v>
      </c>
      <c r="AJ217" s="321" t="str">
        <f aca="false">IF($A217="N/A"," ",(VLOOKUP($A217,OffPwrVolTable,(IF(VolBMO1=2,3,IF(VolBMO1=1,2,4))),FALSE())*VLOOKUP(MONTH($A217),Volscale,2)))</f>
        <v> </v>
      </c>
      <c r="AK217" s="321" t="str">
        <f aca="false">IF($A217="N/A"," ",IF(VolType1=1,AJ217,AI217))</f>
        <v> </v>
      </c>
      <c r="AL217" s="321" t="str">
        <f aca="false">IF($A217="N/A"," ",IF(PV=1,0,'Pricing Inputs1'!R250))</f>
        <v> </v>
      </c>
      <c r="AM217" s="323" t="str">
        <f aca="false">IF($A217="N/A"," ",(1+AL217/2)^(-2*((EOMONTH(A217,0)+20)-DateToday)/365.25))</f>
        <v> </v>
      </c>
      <c r="BQ217" s="0" t="str">
        <f aca="false">IF($A217="N/A"," ",(VLOOKUP($A217,NumberofDaysTable,2)))</f>
        <v> </v>
      </c>
      <c r="BR217" s="0" t="str">
        <f aca="false">IF($A217="N/A"," ",(VLOOKUP($A217,NumberofDaysTable,3)))</f>
        <v> </v>
      </c>
      <c r="BS217" s="0" t="str">
        <f aca="false">IF($A217="N/A"," ",(VLOOKUP($A217,NumberofDaysTable,4)))</f>
        <v> </v>
      </c>
    </row>
    <row r="218" customFormat="false" ht="12.75" hidden="false" customHeight="false" outlineLevel="0" collapsed="false">
      <c r="A218" s="315" t="str">
        <f aca="false">IF(A217="N/A","N/A",IF(EDATE(A217,1)&gt;Inputs!$M$5,"N/A",EDATE(A217,1)))</f>
        <v>N/A</v>
      </c>
      <c r="B218" s="316" t="str">
        <f aca="false">IF(A218="N/A"," ",YEAR(A218))</f>
        <v> </v>
      </c>
      <c r="C218" s="324" t="str">
        <f aca="false">IF($A218="N/A"," ",IF(Dayrun1=10,0,IF(Scaler1=1,(VLOOKUP(A218,ScaledPrice1,4)),(VLOOKUP(A218,ScaledPrice1,2)))))</f>
        <v> </v>
      </c>
      <c r="D218" s="317" t="str">
        <f aca="false">IF(A218="N/A"," ",IF(Dayrun1&gt;=7,0,IF(Scaler1=2,VLOOKUP(A218,ScaledPrice1,2),(VLOOKUP(A218,ScaledPrice1,2))*(2-(VLOOKUP(A218,ScaledPrice1,3))))))</f>
        <v> </v>
      </c>
      <c r="E218" s="317" t="str">
        <f aca="false">IF($A218="N/A"," ",IF(AND(Dayrun1&gt;=4,Dayrun1&lt;=9),0,VLOOKUP($A218,ScaledPrice1,9)))</f>
        <v> </v>
      </c>
      <c r="F218" s="317" t="str">
        <f aca="false">IF(A218="N/A"," ",IF(OR(Dayrun1=2,Dayrun1=3,Dayrun1=5,Dayrun1=6,Dayrun1=8,Dayrun1=9),VLOOKUP(A218,ScaledPrice1,IF(Scaler1=1,6,5)),0))</f>
        <v> </v>
      </c>
      <c r="G218" s="317" t="str">
        <f aca="false">IF(A218="N/A"," ",IF(OR(Dayrun1=2,Dayrun1=3,Dayrun1=5,Dayrun1=6),IF(Scaler1=2,F218,(VLOOKUP(A218,ScaledPrice1,5))*(2-(VLOOKUP(A218,ScaledPrice1,3)))),0))</f>
        <v> </v>
      </c>
      <c r="H218" s="317" t="str">
        <f aca="false">IF($A218="N/A"," ",IF(OR(Dayrun1=2,Dayrun1=3,Dayrun1=10),VLOOKUP($A218,ScaledPrice1,9),0))</f>
        <v> </v>
      </c>
      <c r="I218" s="317" t="str">
        <f aca="false">IF(A218="N/A"," ",IF(OR(Dayrun1=3,Dayrun1=6,Dayrun1=9),(VLOOKUP(A218,ScaledPrice1,IF(Scaler1=2,7,8))),0))</f>
        <v> </v>
      </c>
      <c r="J218" s="317" t="str">
        <f aca="false">IF(A218="N/A"," ",IF(OR(Dayrun1=3,Dayrun1=6),IF(Scaler1=2,I218,(VLOOKUP(A218,ScaledPrice1,7))*(2-(VLOOKUP(A218,ScaledPrice1,3)))),0))</f>
        <v> </v>
      </c>
      <c r="K218" s="317" t="str">
        <f aca="false">IF($A218="N/A"," ",IF(OR(Dayrun1=3,Dayrun1=10),VLOOKUP($A218,ScaledPrice1,9),0))</f>
        <v> </v>
      </c>
      <c r="L218" s="318" t="str">
        <f aca="false">IF($A218="N/A"," ",IF(Pricetype1=2,MAX(C218,0),IF(OR(Pricetype1=1,Pricetype1=4),IF(C218=0,0,(EURO(C218,Strikeprice1,0,0,($AH218+IF(Smile=TRUE(),VLOOKUP(MAX(-5,Strikeprice1-C218),Volsmile,2),0)),($A218-DateToday)+15,IF(Pricetype1=1,1,0),0))),C218)))</f>
        <v> </v>
      </c>
      <c r="M218" s="318" t="str">
        <f aca="false">IF($A218="N/A"," ",IF(Pricetype1=2,MAX(D218,0),IF(OR(Pricetype1=1,Pricetype1=4),IF(D218=0,0,(EURO(D218,Strikeprice1,0,0,($AH218+IF(Smile=TRUE(),VLOOKUP(MAX(-5,Strikeprice1-D218),Volsmile,2),0)),($A218-DateToday)+15,IF(Pricetype1=1,1,0),0))),D218)))</f>
        <v> </v>
      </c>
      <c r="N218" s="318" t="str">
        <f aca="false">IF($A218="N/A"," ",IF(Pricetype1=2,MAX(E218,0),IF(OR(Pricetype1=1,Pricetype1=4),IF(E218=0,0,(EURO(E218,Strikeprice1,0,0,($AK218+IF(Smile=TRUE(),VLOOKUP(MAX(-5,Strikeprice1-E218),Volsmile,2),0)),($A218-DateToday)+15,IF(Pricetype1=1,1,0),0))),E218)))</f>
        <v> </v>
      </c>
      <c r="O218" s="318" t="str">
        <f aca="false">IF($A218="N/A"," ",IF(Pricetype1=2,MAX(F218,0),IF(OR(Pricetype1=1,Pricetype1=4),IF(F218=0,0,(EURO(F218,Strikeprice1,0,0,($AK218+IF(Smile=TRUE(),VLOOKUP(MAX(-5,Strikeprice1-F218),Volsmile,2),0)),($A218-DateToday)+15,IF(Pricetype1=1,1,0),0))),F218)))</f>
        <v> </v>
      </c>
      <c r="P218" s="318" t="str">
        <f aca="false">IF($A218="N/A"," ",IF(Pricetype1=2,MAX(G218,0),IF(OR(Pricetype1=1,Pricetype1=4),IF(G218=0,0,(EURO(G218,Strikeprice1,0,0,($AK218+IF(Smile=TRUE(),VLOOKUP(MAX(-5,Strikeprice1-G218),Volsmile,2),0)),($A218-DateToday)+15,IF(Pricetype1=1,1,0),0))),G218)))</f>
        <v> </v>
      </c>
      <c r="Q218" s="318" t="str">
        <f aca="false">IF($A218="N/A"," ",IF(Pricetype1=2,MAX(H218,0),IF(OR(Pricetype1=1,Pricetype1=4),IF(H218=0,0,(EURO(H218,Strikeprice1,0,0,($AK218+IF(Smile=TRUE(),VLOOKUP(MAX(-5,Strikeprice1-H218),Volsmile,2),0)),($A218-DateToday)+15,IF(Pricetype1=1,1,0),0))),H218)))</f>
        <v> </v>
      </c>
      <c r="R218" s="318" t="str">
        <f aca="false">IF($A218="N/A"," ",IF(Pricetype1=2,MAX(I218,0),IF(OR(Pricetype1=1,Pricetype1=4),IF(I218=0,0,(EURO(I218,Strikeprice1,0,0,($AK218+IF(Smile=TRUE(),VLOOKUP(MAX(-5,Strikeprice1-I218),Volsmile,2),0)),($A218-DateToday)+15,IF(Pricetype1=1,1,0),0))),I218)))</f>
        <v> </v>
      </c>
      <c r="S218" s="318" t="str">
        <f aca="false">IF($A218="N/A"," ",IF(Pricetype1=2,MAX(J218,0),IF(OR(Pricetype1=1,Pricetype1=4),IF(J218=0,0,(EURO(J218,Strikeprice1,0,0,($AK218+IF(Smile=TRUE(),VLOOKUP(MAX(-5,Strikeprice1-J218),Volsmile,2),0)),($A218-DateToday)+15,IF(Pricetype1=1,1,0),0))),J218)))</f>
        <v> </v>
      </c>
      <c r="T218" s="318" t="str">
        <f aca="false">IF($A218="N/A"," ",IF(Pricetype1=2,MAX(K218,0),IF(OR(Pricetype1=1,Pricetype1=4),IF(K218=0,0,(EURO(K218,Strikeprice1,0,0,($AK218+IF(Smile=TRUE(),VLOOKUP(MAX(-5,Strikeprice1-K218),Volsmile,2),0)),($A218-DateToday)+15,IF(Pricetype1=1,1,0),0))),K218)))</f>
        <v> </v>
      </c>
      <c r="U218" s="319" t="str">
        <f aca="false">IF($A218="N/A"," ",Volume1*$AM218)</f>
        <v> </v>
      </c>
      <c r="V218" s="320" t="str">
        <f aca="false">IF($A218="N/A"," ",$U218*(8*($BQ218))*L218)</f>
        <v> </v>
      </c>
      <c r="W218" s="320" t="str">
        <f aca="false">IF($A218="N/A"," ",$U218*(8*($BQ218))*M218)</f>
        <v> </v>
      </c>
      <c r="X218" s="320" t="str">
        <f aca="false">IF($A218="N/A"," ",$U218*(8*($BQ218))*N218)</f>
        <v> </v>
      </c>
      <c r="Y218" s="320" t="str">
        <f aca="false">IF($A218="N/A"," ",$U218*(8*($BR218))*O218)</f>
        <v> </v>
      </c>
      <c r="Z218" s="320" t="str">
        <f aca="false">IF($A218="N/A"," ",$U218*(8*($BR218))*P218)</f>
        <v> </v>
      </c>
      <c r="AA218" s="320" t="str">
        <f aca="false">IF($A218="N/A"," ",$U218*(8*($BR218))*Q218)</f>
        <v> </v>
      </c>
      <c r="AB218" s="320" t="str">
        <f aca="false">IF($A218="N/A"," ",$U218*(8*($BS218))*R218)</f>
        <v> </v>
      </c>
      <c r="AC218" s="320" t="str">
        <f aca="false">IF($A218="N/A"," ",$U218*(8*($BS218))*S218)</f>
        <v> </v>
      </c>
      <c r="AD218" s="320" t="str">
        <f aca="false">IF($A218="N/A"," ",$U218*(8*($BS218))*T218)</f>
        <v> </v>
      </c>
      <c r="AE218" s="320" t="str">
        <f aca="false">IF($A218="N/A"," ",SUM(V218:AD218))</f>
        <v> </v>
      </c>
      <c r="AF218" s="321" t="str">
        <f aca="false">IF(A218="N/A"," ",(VLOOKUP(A218,PowerVolTable,(IF(VolBMO1=2,7,IF(VolBMO1=1,6,8))),FALSE())))</f>
        <v> </v>
      </c>
      <c r="AG218" s="321" t="str">
        <f aca="false">IF(A218="N/A"," ",(VLOOKUP(A218,IntraPowerVol,(IF(VolBMO1=2,3,IF(VolBMO1=1,2,4))),FALSE())*VLOOKUP(MONTH($A218),Volscale,2)))</f>
        <v> </v>
      </c>
      <c r="AH218" s="321" t="str">
        <f aca="false">IF($A218="N/A"," ",IF(VolType1=1,AG218,AF218))</f>
        <v> </v>
      </c>
      <c r="AI218" s="321" t="str">
        <f aca="false">IF($A218="N/A"," ",(VLOOKUP($A218,OffPwrVolTable,(IF(VolBMO1=2,7,IF(VolBMO1=1,6,8))),FALSE())))</f>
        <v> </v>
      </c>
      <c r="AJ218" s="321" t="str">
        <f aca="false">IF($A218="N/A"," ",(VLOOKUP($A218,OffPwrVolTable,(IF(VolBMO1=2,3,IF(VolBMO1=1,2,4))),FALSE())*VLOOKUP(MONTH($A218),Volscale,2)))</f>
        <v> </v>
      </c>
      <c r="AK218" s="321" t="str">
        <f aca="false">IF($A218="N/A"," ",IF(VolType1=1,AJ218,AI218))</f>
        <v> </v>
      </c>
      <c r="AL218" s="321" t="str">
        <f aca="false">IF($A218="N/A"," ",IF(PV=1,0,'Pricing Inputs1'!R251))</f>
        <v> </v>
      </c>
      <c r="AM218" s="323" t="str">
        <f aca="false">IF($A218="N/A"," ",(1+AL218/2)^(-2*((EOMONTH(A218,0)+20)-DateToday)/365.25))</f>
        <v> </v>
      </c>
      <c r="BQ218" s="0" t="str">
        <f aca="false">IF($A218="N/A"," ",(VLOOKUP($A218,NumberofDaysTable,2)))</f>
        <v> </v>
      </c>
      <c r="BR218" s="0" t="str">
        <f aca="false">IF($A218="N/A"," ",(VLOOKUP($A218,NumberofDaysTable,3)))</f>
        <v> </v>
      </c>
      <c r="BS218" s="0" t="str">
        <f aca="false">IF($A218="N/A"," ",(VLOOKUP($A218,NumberofDaysTable,4)))</f>
        <v> </v>
      </c>
    </row>
    <row r="219" customFormat="false" ht="12.75" hidden="false" customHeight="false" outlineLevel="0" collapsed="false">
      <c r="A219" s="315" t="str">
        <f aca="false">IF(A218="N/A","N/A",IF(EDATE(A218,1)&gt;Inputs!$M$5,"N/A",EDATE(A218,1)))</f>
        <v>N/A</v>
      </c>
      <c r="B219" s="316" t="str">
        <f aca="false">IF(A219="N/A"," ",YEAR(A219))</f>
        <v> </v>
      </c>
      <c r="C219" s="324" t="str">
        <f aca="false">IF($A219="N/A"," ",IF(Dayrun1=10,0,IF(Scaler1=1,(VLOOKUP(A219,ScaledPrice1,4)),(VLOOKUP(A219,ScaledPrice1,2)))))</f>
        <v> </v>
      </c>
      <c r="D219" s="317" t="str">
        <f aca="false">IF(A219="N/A"," ",IF(Dayrun1&gt;=7,0,IF(Scaler1=2,VLOOKUP(A219,ScaledPrice1,2),(VLOOKUP(A219,ScaledPrice1,2))*(2-(VLOOKUP(A219,ScaledPrice1,3))))))</f>
        <v> </v>
      </c>
      <c r="E219" s="317" t="str">
        <f aca="false">IF($A219="N/A"," ",IF(AND(Dayrun1&gt;=4,Dayrun1&lt;=9),0,VLOOKUP($A219,ScaledPrice1,9)))</f>
        <v> </v>
      </c>
      <c r="F219" s="317" t="str">
        <f aca="false">IF(A219="N/A"," ",IF(OR(Dayrun1=2,Dayrun1=3,Dayrun1=5,Dayrun1=6,Dayrun1=8,Dayrun1=9),VLOOKUP(A219,ScaledPrice1,IF(Scaler1=1,6,5)),0))</f>
        <v> </v>
      </c>
      <c r="G219" s="317" t="str">
        <f aca="false">IF(A219="N/A"," ",IF(OR(Dayrun1=2,Dayrun1=3,Dayrun1=5,Dayrun1=6),IF(Scaler1=2,F219,(VLOOKUP(A219,ScaledPrice1,5))*(2-(VLOOKUP(A219,ScaledPrice1,3)))),0))</f>
        <v> </v>
      </c>
      <c r="H219" s="317" t="str">
        <f aca="false">IF($A219="N/A"," ",IF(OR(Dayrun1=2,Dayrun1=3,Dayrun1=10),VLOOKUP($A219,ScaledPrice1,9),0))</f>
        <v> </v>
      </c>
      <c r="I219" s="317" t="str">
        <f aca="false">IF(A219="N/A"," ",IF(OR(Dayrun1=3,Dayrun1=6,Dayrun1=9),(VLOOKUP(A219,ScaledPrice1,IF(Scaler1=2,7,8))),0))</f>
        <v> </v>
      </c>
      <c r="J219" s="317" t="str">
        <f aca="false">IF(A219="N/A"," ",IF(OR(Dayrun1=3,Dayrun1=6),IF(Scaler1=2,I219,(VLOOKUP(A219,ScaledPrice1,7))*(2-(VLOOKUP(A219,ScaledPrice1,3)))),0))</f>
        <v> </v>
      </c>
      <c r="K219" s="317" t="str">
        <f aca="false">IF($A219="N/A"," ",IF(OR(Dayrun1=3,Dayrun1=10),VLOOKUP($A219,ScaledPrice1,9),0))</f>
        <v> </v>
      </c>
      <c r="L219" s="318" t="str">
        <f aca="false">IF($A219="N/A"," ",IF(Pricetype1=2,MAX(C219,0),IF(OR(Pricetype1=1,Pricetype1=4),IF(C219=0,0,(EURO(C219,Strikeprice1,0,0,($AH219+IF(Smile=TRUE(),VLOOKUP(MAX(-5,Strikeprice1-C219),Volsmile,2),0)),($A219-DateToday)+15,IF(Pricetype1=1,1,0),0))),C219)))</f>
        <v> </v>
      </c>
      <c r="M219" s="318" t="str">
        <f aca="false">IF($A219="N/A"," ",IF(Pricetype1=2,MAX(D219,0),IF(OR(Pricetype1=1,Pricetype1=4),IF(D219=0,0,(EURO(D219,Strikeprice1,0,0,($AH219+IF(Smile=TRUE(),VLOOKUP(MAX(-5,Strikeprice1-D219),Volsmile,2),0)),($A219-DateToday)+15,IF(Pricetype1=1,1,0),0))),D219)))</f>
        <v> </v>
      </c>
      <c r="N219" s="318" t="str">
        <f aca="false">IF($A219="N/A"," ",IF(Pricetype1=2,MAX(E219,0),IF(OR(Pricetype1=1,Pricetype1=4),IF(E219=0,0,(EURO(E219,Strikeprice1,0,0,($AK219+IF(Smile=TRUE(),VLOOKUP(MAX(-5,Strikeprice1-E219),Volsmile,2),0)),($A219-DateToday)+15,IF(Pricetype1=1,1,0),0))),E219)))</f>
        <v> </v>
      </c>
      <c r="O219" s="318" t="str">
        <f aca="false">IF($A219="N/A"," ",IF(Pricetype1=2,MAX(F219,0),IF(OR(Pricetype1=1,Pricetype1=4),IF(F219=0,0,(EURO(F219,Strikeprice1,0,0,($AK219+IF(Smile=TRUE(),VLOOKUP(MAX(-5,Strikeprice1-F219),Volsmile,2),0)),($A219-DateToday)+15,IF(Pricetype1=1,1,0),0))),F219)))</f>
        <v> </v>
      </c>
      <c r="P219" s="318" t="str">
        <f aca="false">IF($A219="N/A"," ",IF(Pricetype1=2,MAX(G219,0),IF(OR(Pricetype1=1,Pricetype1=4),IF(G219=0,0,(EURO(G219,Strikeprice1,0,0,($AK219+IF(Smile=TRUE(),VLOOKUP(MAX(-5,Strikeprice1-G219),Volsmile,2),0)),($A219-DateToday)+15,IF(Pricetype1=1,1,0),0))),G219)))</f>
        <v> </v>
      </c>
      <c r="Q219" s="318" t="str">
        <f aca="false">IF($A219="N/A"," ",IF(Pricetype1=2,MAX(H219,0),IF(OR(Pricetype1=1,Pricetype1=4),IF(H219=0,0,(EURO(H219,Strikeprice1,0,0,($AK219+IF(Smile=TRUE(),VLOOKUP(MAX(-5,Strikeprice1-H219),Volsmile,2),0)),($A219-DateToday)+15,IF(Pricetype1=1,1,0),0))),H219)))</f>
        <v> </v>
      </c>
      <c r="R219" s="318" t="str">
        <f aca="false">IF($A219="N/A"," ",IF(Pricetype1=2,MAX(I219,0),IF(OR(Pricetype1=1,Pricetype1=4),IF(I219=0,0,(EURO(I219,Strikeprice1,0,0,($AK219+IF(Smile=TRUE(),VLOOKUP(MAX(-5,Strikeprice1-I219),Volsmile,2),0)),($A219-DateToday)+15,IF(Pricetype1=1,1,0),0))),I219)))</f>
        <v> </v>
      </c>
      <c r="S219" s="318" t="str">
        <f aca="false">IF($A219="N/A"," ",IF(Pricetype1=2,MAX(J219,0),IF(OR(Pricetype1=1,Pricetype1=4),IF(J219=0,0,(EURO(J219,Strikeprice1,0,0,($AK219+IF(Smile=TRUE(),VLOOKUP(MAX(-5,Strikeprice1-J219),Volsmile,2),0)),($A219-DateToday)+15,IF(Pricetype1=1,1,0),0))),J219)))</f>
        <v> </v>
      </c>
      <c r="T219" s="318" t="str">
        <f aca="false">IF($A219="N/A"," ",IF(Pricetype1=2,MAX(K219,0),IF(OR(Pricetype1=1,Pricetype1=4),IF(K219=0,0,(EURO(K219,Strikeprice1,0,0,($AK219+IF(Smile=TRUE(),VLOOKUP(MAX(-5,Strikeprice1-K219),Volsmile,2),0)),($A219-DateToday)+15,IF(Pricetype1=1,1,0),0))),K219)))</f>
        <v> </v>
      </c>
      <c r="U219" s="319" t="str">
        <f aca="false">IF($A219="N/A"," ",Volume1*$AM219)</f>
        <v> </v>
      </c>
      <c r="V219" s="320" t="str">
        <f aca="false">IF($A219="N/A"," ",$U219*(8*($BQ219))*L219)</f>
        <v> </v>
      </c>
      <c r="W219" s="320" t="str">
        <f aca="false">IF($A219="N/A"," ",$U219*(8*($BQ219))*M219)</f>
        <v> </v>
      </c>
      <c r="X219" s="320" t="str">
        <f aca="false">IF($A219="N/A"," ",$U219*(8*($BQ219))*N219)</f>
        <v> </v>
      </c>
      <c r="Y219" s="320" t="str">
        <f aca="false">IF($A219="N/A"," ",$U219*(8*($BR219))*O219)</f>
        <v> </v>
      </c>
      <c r="Z219" s="320" t="str">
        <f aca="false">IF($A219="N/A"," ",$U219*(8*($BR219))*P219)</f>
        <v> </v>
      </c>
      <c r="AA219" s="320" t="str">
        <f aca="false">IF($A219="N/A"," ",$U219*(8*($BR219))*Q219)</f>
        <v> </v>
      </c>
      <c r="AB219" s="320" t="str">
        <f aca="false">IF($A219="N/A"," ",$U219*(8*($BS219))*R219)</f>
        <v> </v>
      </c>
      <c r="AC219" s="320" t="str">
        <f aca="false">IF($A219="N/A"," ",$U219*(8*($BS219))*S219)</f>
        <v> </v>
      </c>
      <c r="AD219" s="320" t="str">
        <f aca="false">IF($A219="N/A"," ",$U219*(8*($BS219))*T219)</f>
        <v> </v>
      </c>
      <c r="AE219" s="320" t="str">
        <f aca="false">IF($A219="N/A"," ",SUM(V219:AD219))</f>
        <v> </v>
      </c>
      <c r="AF219" s="321" t="str">
        <f aca="false">IF(A219="N/A"," ",(VLOOKUP(A219,PowerVolTable,(IF(VolBMO1=2,7,IF(VolBMO1=1,6,8))),FALSE())))</f>
        <v> </v>
      </c>
      <c r="AG219" s="321" t="str">
        <f aca="false">IF(A219="N/A"," ",(VLOOKUP(A219,IntraPowerVol,(IF(VolBMO1=2,3,IF(VolBMO1=1,2,4))),FALSE())*VLOOKUP(MONTH($A219),Volscale,2)))</f>
        <v> </v>
      </c>
      <c r="AH219" s="321" t="str">
        <f aca="false">IF($A219="N/A"," ",IF(VolType1=1,AG219,AF219))</f>
        <v> </v>
      </c>
      <c r="AI219" s="321" t="str">
        <f aca="false">IF($A219="N/A"," ",(VLOOKUP($A219,OffPwrVolTable,(IF(VolBMO1=2,7,IF(VolBMO1=1,6,8))),FALSE())))</f>
        <v> </v>
      </c>
      <c r="AJ219" s="321" t="str">
        <f aca="false">IF($A219="N/A"," ",(VLOOKUP($A219,OffPwrVolTable,(IF(VolBMO1=2,3,IF(VolBMO1=1,2,4))),FALSE())*VLOOKUP(MONTH($A219),Volscale,2)))</f>
        <v> </v>
      </c>
      <c r="AK219" s="321" t="str">
        <f aca="false">IF($A219="N/A"," ",IF(VolType1=1,AJ219,AI219))</f>
        <v> </v>
      </c>
      <c r="AL219" s="321" t="str">
        <f aca="false">IF($A219="N/A"," ",IF(PV=1,0,'Pricing Inputs1'!R252))</f>
        <v> </v>
      </c>
      <c r="AM219" s="323" t="str">
        <f aca="false">IF($A219="N/A"," ",(1+AL219/2)^(-2*((EOMONTH(A219,0)+20)-DateToday)/365.25))</f>
        <v> </v>
      </c>
      <c r="BQ219" s="0" t="str">
        <f aca="false">IF($A219="N/A"," ",(VLOOKUP($A219,NumberofDaysTable,2)))</f>
        <v> </v>
      </c>
      <c r="BR219" s="0" t="str">
        <f aca="false">IF($A219="N/A"," ",(VLOOKUP($A219,NumberofDaysTable,3)))</f>
        <v> </v>
      </c>
      <c r="BS219" s="0" t="str">
        <f aca="false">IF($A219="N/A"," ",(VLOOKUP($A219,NumberofDaysTable,4)))</f>
        <v> </v>
      </c>
    </row>
    <row r="220" customFormat="false" ht="12.75" hidden="false" customHeight="false" outlineLevel="0" collapsed="false">
      <c r="A220" s="315" t="str">
        <f aca="false">IF(A219="N/A","N/A",IF(EDATE(A219,1)&gt;Inputs!$M$5,"N/A",EDATE(A219,1)))</f>
        <v>N/A</v>
      </c>
      <c r="B220" s="316" t="str">
        <f aca="false">IF(A220="N/A"," ",YEAR(A220))</f>
        <v> </v>
      </c>
      <c r="C220" s="324" t="str">
        <f aca="false">IF($A220="N/A"," ",IF(Dayrun1=10,0,IF(Scaler1=1,(VLOOKUP(A220,ScaledPrice1,4)),(VLOOKUP(A220,ScaledPrice1,2)))))</f>
        <v> </v>
      </c>
      <c r="D220" s="317" t="str">
        <f aca="false">IF(A220="N/A"," ",IF(Dayrun1&gt;=7,0,IF(Scaler1=2,VLOOKUP(A220,ScaledPrice1,2),(VLOOKUP(A220,ScaledPrice1,2))*(2-(VLOOKUP(A220,ScaledPrice1,3))))))</f>
        <v> </v>
      </c>
      <c r="E220" s="317" t="str">
        <f aca="false">IF($A220="N/A"," ",IF(AND(Dayrun1&gt;=4,Dayrun1&lt;=9),0,VLOOKUP($A220,ScaledPrice1,9)))</f>
        <v> </v>
      </c>
      <c r="F220" s="317" t="str">
        <f aca="false">IF(A220="N/A"," ",IF(OR(Dayrun1=2,Dayrun1=3,Dayrun1=5,Dayrun1=6,Dayrun1=8,Dayrun1=9),VLOOKUP(A220,ScaledPrice1,IF(Scaler1=1,6,5)),0))</f>
        <v> </v>
      </c>
      <c r="G220" s="317" t="str">
        <f aca="false">IF(A220="N/A"," ",IF(OR(Dayrun1=2,Dayrun1=3,Dayrun1=5,Dayrun1=6),IF(Scaler1=2,F220,(VLOOKUP(A220,ScaledPrice1,5))*(2-(VLOOKUP(A220,ScaledPrice1,3)))),0))</f>
        <v> </v>
      </c>
      <c r="H220" s="317" t="str">
        <f aca="false">IF($A220="N/A"," ",IF(OR(Dayrun1=2,Dayrun1=3,Dayrun1=10),VLOOKUP($A220,ScaledPrice1,9),0))</f>
        <v> </v>
      </c>
      <c r="I220" s="317" t="str">
        <f aca="false">IF(A220="N/A"," ",IF(OR(Dayrun1=3,Dayrun1=6,Dayrun1=9),(VLOOKUP(A220,ScaledPrice1,IF(Scaler1=2,7,8))),0))</f>
        <v> </v>
      </c>
      <c r="J220" s="317" t="str">
        <f aca="false">IF(A220="N/A"," ",IF(OR(Dayrun1=3,Dayrun1=6),IF(Scaler1=2,I220,(VLOOKUP(A220,ScaledPrice1,7))*(2-(VLOOKUP(A220,ScaledPrice1,3)))),0))</f>
        <v> </v>
      </c>
      <c r="K220" s="317" t="str">
        <f aca="false">IF($A220="N/A"," ",IF(OR(Dayrun1=3,Dayrun1=10),VLOOKUP($A220,ScaledPrice1,9),0))</f>
        <v> </v>
      </c>
      <c r="L220" s="318" t="str">
        <f aca="false">IF($A220="N/A"," ",IF(Pricetype1=2,MAX(C220,0),IF(OR(Pricetype1=1,Pricetype1=4),IF(C220=0,0,(EURO(C220,Strikeprice1,0,0,($AH220+IF(Smile=TRUE(),VLOOKUP(MAX(-5,Strikeprice1-C220),Volsmile,2),0)),($A220-DateToday)+15,IF(Pricetype1=1,1,0),0))),C220)))</f>
        <v> </v>
      </c>
      <c r="M220" s="318" t="str">
        <f aca="false">IF($A220="N/A"," ",IF(Pricetype1=2,MAX(D220,0),IF(OR(Pricetype1=1,Pricetype1=4),IF(D220=0,0,(EURO(D220,Strikeprice1,0,0,($AH220+IF(Smile=TRUE(),VLOOKUP(MAX(-5,Strikeprice1-D220),Volsmile,2),0)),($A220-DateToday)+15,IF(Pricetype1=1,1,0),0))),D220)))</f>
        <v> </v>
      </c>
      <c r="N220" s="318" t="str">
        <f aca="false">IF($A220="N/A"," ",IF(Pricetype1=2,MAX(E220,0),IF(OR(Pricetype1=1,Pricetype1=4),IF(E220=0,0,(EURO(E220,Strikeprice1,0,0,($AK220+IF(Smile=TRUE(),VLOOKUP(MAX(-5,Strikeprice1-E220),Volsmile,2),0)),($A220-DateToday)+15,IF(Pricetype1=1,1,0),0))),E220)))</f>
        <v> </v>
      </c>
      <c r="O220" s="318" t="str">
        <f aca="false">IF($A220="N/A"," ",IF(Pricetype1=2,MAX(F220,0),IF(OR(Pricetype1=1,Pricetype1=4),IF(F220=0,0,(EURO(F220,Strikeprice1,0,0,($AK220+IF(Smile=TRUE(),VLOOKUP(MAX(-5,Strikeprice1-F220),Volsmile,2),0)),($A220-DateToday)+15,IF(Pricetype1=1,1,0),0))),F220)))</f>
        <v> </v>
      </c>
      <c r="P220" s="318" t="str">
        <f aca="false">IF($A220="N/A"," ",IF(Pricetype1=2,MAX(G220,0),IF(OR(Pricetype1=1,Pricetype1=4),IF(G220=0,0,(EURO(G220,Strikeprice1,0,0,($AK220+IF(Smile=TRUE(),VLOOKUP(MAX(-5,Strikeprice1-G220),Volsmile,2),0)),($A220-DateToday)+15,IF(Pricetype1=1,1,0),0))),G220)))</f>
        <v> </v>
      </c>
      <c r="Q220" s="318" t="str">
        <f aca="false">IF($A220="N/A"," ",IF(Pricetype1=2,MAX(H220,0),IF(OR(Pricetype1=1,Pricetype1=4),IF(H220=0,0,(EURO(H220,Strikeprice1,0,0,($AK220+IF(Smile=TRUE(),VLOOKUP(MAX(-5,Strikeprice1-H220),Volsmile,2),0)),($A220-DateToday)+15,IF(Pricetype1=1,1,0),0))),H220)))</f>
        <v> </v>
      </c>
      <c r="R220" s="318" t="str">
        <f aca="false">IF($A220="N/A"," ",IF(Pricetype1=2,MAX(I220,0),IF(OR(Pricetype1=1,Pricetype1=4),IF(I220=0,0,(EURO(I220,Strikeprice1,0,0,($AK220+IF(Smile=TRUE(),VLOOKUP(MAX(-5,Strikeprice1-I220),Volsmile,2),0)),($A220-DateToday)+15,IF(Pricetype1=1,1,0),0))),I220)))</f>
        <v> </v>
      </c>
      <c r="S220" s="318" t="str">
        <f aca="false">IF($A220="N/A"," ",IF(Pricetype1=2,MAX(J220,0),IF(OR(Pricetype1=1,Pricetype1=4),IF(J220=0,0,(EURO(J220,Strikeprice1,0,0,($AK220+IF(Smile=TRUE(),VLOOKUP(MAX(-5,Strikeprice1-J220),Volsmile,2),0)),($A220-DateToday)+15,IF(Pricetype1=1,1,0),0))),J220)))</f>
        <v> </v>
      </c>
      <c r="T220" s="318" t="str">
        <f aca="false">IF($A220="N/A"," ",IF(Pricetype1=2,MAX(K220,0),IF(OR(Pricetype1=1,Pricetype1=4),IF(K220=0,0,(EURO(K220,Strikeprice1,0,0,($AK220+IF(Smile=TRUE(),VLOOKUP(MAX(-5,Strikeprice1-K220),Volsmile,2),0)),($A220-DateToday)+15,IF(Pricetype1=1,1,0),0))),K220)))</f>
        <v> </v>
      </c>
      <c r="U220" s="319" t="str">
        <f aca="false">IF($A220="N/A"," ",Volume1*$AM220)</f>
        <v> </v>
      </c>
      <c r="V220" s="320" t="str">
        <f aca="false">IF($A220="N/A"," ",$U220*(8*($BQ220))*L220)</f>
        <v> </v>
      </c>
      <c r="W220" s="320" t="str">
        <f aca="false">IF($A220="N/A"," ",$U220*(8*($BQ220))*M220)</f>
        <v> </v>
      </c>
      <c r="X220" s="320" t="str">
        <f aca="false">IF($A220="N/A"," ",$U220*(8*($BQ220))*N220)</f>
        <v> </v>
      </c>
      <c r="Y220" s="320" t="str">
        <f aca="false">IF($A220="N/A"," ",$U220*(8*($BR220))*O220)</f>
        <v> </v>
      </c>
      <c r="Z220" s="320" t="str">
        <f aca="false">IF($A220="N/A"," ",$U220*(8*($BR220))*P220)</f>
        <v> </v>
      </c>
      <c r="AA220" s="320" t="str">
        <f aca="false">IF($A220="N/A"," ",$U220*(8*($BR220))*Q220)</f>
        <v> </v>
      </c>
      <c r="AB220" s="320" t="str">
        <f aca="false">IF($A220="N/A"," ",$U220*(8*($BS220))*R220)</f>
        <v> </v>
      </c>
      <c r="AC220" s="320" t="str">
        <f aca="false">IF($A220="N/A"," ",$U220*(8*($BS220))*S220)</f>
        <v> </v>
      </c>
      <c r="AD220" s="320" t="str">
        <f aca="false">IF($A220="N/A"," ",$U220*(8*($BS220))*T220)</f>
        <v> </v>
      </c>
      <c r="AE220" s="320" t="str">
        <f aca="false">IF($A220="N/A"," ",SUM(V220:AD220))</f>
        <v> </v>
      </c>
      <c r="AF220" s="321" t="str">
        <f aca="false">IF(A220="N/A"," ",(VLOOKUP(A220,PowerVolTable,(IF(VolBMO1=2,7,IF(VolBMO1=1,6,8))),FALSE())))</f>
        <v> </v>
      </c>
      <c r="AG220" s="321" t="str">
        <f aca="false">IF(A220="N/A"," ",(VLOOKUP(A220,IntraPowerVol,(IF(VolBMO1=2,3,IF(VolBMO1=1,2,4))),FALSE())*VLOOKUP(MONTH($A220),Volscale,2)))</f>
        <v> </v>
      </c>
      <c r="AH220" s="321" t="str">
        <f aca="false">IF($A220="N/A"," ",IF(VolType1=1,AG220,AF220))</f>
        <v> </v>
      </c>
      <c r="AI220" s="321" t="str">
        <f aca="false">IF($A220="N/A"," ",(VLOOKUP($A220,OffPwrVolTable,(IF(VolBMO1=2,7,IF(VolBMO1=1,6,8))),FALSE())))</f>
        <v> </v>
      </c>
      <c r="AJ220" s="321" t="str">
        <f aca="false">IF($A220="N/A"," ",(VLOOKUP($A220,OffPwrVolTable,(IF(VolBMO1=2,3,IF(VolBMO1=1,2,4))),FALSE())*VLOOKUP(MONTH($A220),Volscale,2)))</f>
        <v> </v>
      </c>
      <c r="AK220" s="321" t="str">
        <f aca="false">IF($A220="N/A"," ",IF(VolType1=1,AJ220,AI220))</f>
        <v> </v>
      </c>
      <c r="AL220" s="321" t="str">
        <f aca="false">IF($A220="N/A"," ",IF(PV=1,0,'Pricing Inputs1'!R253))</f>
        <v> </v>
      </c>
      <c r="AM220" s="323" t="str">
        <f aca="false">IF($A220="N/A"," ",(1+AL220/2)^(-2*((EOMONTH(A220,0)+20)-DateToday)/365.25))</f>
        <v> </v>
      </c>
      <c r="BQ220" s="0" t="str">
        <f aca="false">IF($A220="N/A"," ",(VLOOKUP($A220,NumberofDaysTable,2)))</f>
        <v> </v>
      </c>
      <c r="BR220" s="0" t="str">
        <f aca="false">IF($A220="N/A"," ",(VLOOKUP($A220,NumberofDaysTable,3)))</f>
        <v> </v>
      </c>
      <c r="BS220" s="0" t="str">
        <f aca="false">IF($A220="N/A"," ",(VLOOKUP($A220,NumberofDaysTable,4)))</f>
        <v> </v>
      </c>
    </row>
    <row r="221" customFormat="false" ht="12.75" hidden="false" customHeight="false" outlineLevel="0" collapsed="false">
      <c r="A221" s="315" t="str">
        <f aca="false">IF(A220="N/A","N/A",IF(EDATE(A220,1)&gt;Inputs!$M$5,"N/A",EDATE(A220,1)))</f>
        <v>N/A</v>
      </c>
      <c r="B221" s="316" t="str">
        <f aca="false">IF(A221="N/A"," ",YEAR(A221))</f>
        <v> </v>
      </c>
      <c r="C221" s="324" t="str">
        <f aca="false">IF($A221="N/A"," ",IF(Dayrun1=10,0,IF(Scaler1=1,(VLOOKUP(A221,ScaledPrice1,4)),(VLOOKUP(A221,ScaledPrice1,2)))))</f>
        <v> </v>
      </c>
      <c r="D221" s="317" t="str">
        <f aca="false">IF(A221="N/A"," ",IF(Dayrun1&gt;=7,0,IF(Scaler1=2,VLOOKUP(A221,ScaledPrice1,2),(VLOOKUP(A221,ScaledPrice1,2))*(2-(VLOOKUP(A221,ScaledPrice1,3))))))</f>
        <v> </v>
      </c>
      <c r="E221" s="317" t="str">
        <f aca="false">IF($A221="N/A"," ",IF(AND(Dayrun1&gt;=4,Dayrun1&lt;=9),0,VLOOKUP($A221,ScaledPrice1,9)))</f>
        <v> </v>
      </c>
      <c r="F221" s="317" t="str">
        <f aca="false">IF(A221="N/A"," ",IF(OR(Dayrun1=2,Dayrun1=3,Dayrun1=5,Dayrun1=6,Dayrun1=8,Dayrun1=9),VLOOKUP(A221,ScaledPrice1,IF(Scaler1=1,6,5)),0))</f>
        <v> </v>
      </c>
      <c r="G221" s="317" t="str">
        <f aca="false">IF(A221="N/A"," ",IF(OR(Dayrun1=2,Dayrun1=3,Dayrun1=5,Dayrun1=6),IF(Scaler1=2,F221,(VLOOKUP(A221,ScaledPrice1,5))*(2-(VLOOKUP(A221,ScaledPrice1,3)))),0))</f>
        <v> </v>
      </c>
      <c r="H221" s="317" t="str">
        <f aca="false">IF($A221="N/A"," ",IF(OR(Dayrun1=2,Dayrun1=3,Dayrun1=10),VLOOKUP($A221,ScaledPrice1,9),0))</f>
        <v> </v>
      </c>
      <c r="I221" s="317" t="str">
        <f aca="false">IF(A221="N/A"," ",IF(OR(Dayrun1=3,Dayrun1=6,Dayrun1=9),(VLOOKUP(A221,ScaledPrice1,IF(Scaler1=2,7,8))),0))</f>
        <v> </v>
      </c>
      <c r="J221" s="317" t="str">
        <f aca="false">IF(A221="N/A"," ",IF(OR(Dayrun1=3,Dayrun1=6),IF(Scaler1=2,I221,(VLOOKUP(A221,ScaledPrice1,7))*(2-(VLOOKUP(A221,ScaledPrice1,3)))),0))</f>
        <v> </v>
      </c>
      <c r="K221" s="317" t="str">
        <f aca="false">IF($A221="N/A"," ",IF(OR(Dayrun1=3,Dayrun1=10),VLOOKUP($A221,ScaledPrice1,9),0))</f>
        <v> </v>
      </c>
      <c r="L221" s="318" t="str">
        <f aca="false">IF($A221="N/A"," ",IF(Pricetype1=2,MAX(C221,0),IF(OR(Pricetype1=1,Pricetype1=4),IF(C221=0,0,(EURO(C221,Strikeprice1,0,0,($AH221+IF(Smile=TRUE(),VLOOKUP(MAX(-5,Strikeprice1-C221),Volsmile,2),0)),($A221-DateToday)+15,IF(Pricetype1=1,1,0),0))),C221)))</f>
        <v> </v>
      </c>
      <c r="M221" s="318" t="str">
        <f aca="false">IF($A221="N/A"," ",IF(Pricetype1=2,MAX(D221,0),IF(OR(Pricetype1=1,Pricetype1=4),IF(D221=0,0,(EURO(D221,Strikeprice1,0,0,($AH221+IF(Smile=TRUE(),VLOOKUP(MAX(-5,Strikeprice1-D221),Volsmile,2),0)),($A221-DateToday)+15,IF(Pricetype1=1,1,0),0))),D221)))</f>
        <v> </v>
      </c>
      <c r="N221" s="318" t="str">
        <f aca="false">IF($A221="N/A"," ",IF(Pricetype1=2,MAX(E221,0),IF(OR(Pricetype1=1,Pricetype1=4),IF(E221=0,0,(EURO(E221,Strikeprice1,0,0,($AK221+IF(Smile=TRUE(),VLOOKUP(MAX(-5,Strikeprice1-E221),Volsmile,2),0)),($A221-DateToday)+15,IF(Pricetype1=1,1,0),0))),E221)))</f>
        <v> </v>
      </c>
      <c r="O221" s="318" t="str">
        <f aca="false">IF($A221="N/A"," ",IF(Pricetype1=2,MAX(F221,0),IF(OR(Pricetype1=1,Pricetype1=4),IF(F221=0,0,(EURO(F221,Strikeprice1,0,0,($AK221+IF(Smile=TRUE(),VLOOKUP(MAX(-5,Strikeprice1-F221),Volsmile,2),0)),($A221-DateToday)+15,IF(Pricetype1=1,1,0),0))),F221)))</f>
        <v> </v>
      </c>
      <c r="P221" s="318" t="str">
        <f aca="false">IF($A221="N/A"," ",IF(Pricetype1=2,MAX(G221,0),IF(OR(Pricetype1=1,Pricetype1=4),IF(G221=0,0,(EURO(G221,Strikeprice1,0,0,($AK221+IF(Smile=TRUE(),VLOOKUP(MAX(-5,Strikeprice1-G221),Volsmile,2),0)),($A221-DateToday)+15,IF(Pricetype1=1,1,0),0))),G221)))</f>
        <v> </v>
      </c>
      <c r="Q221" s="318" t="str">
        <f aca="false">IF($A221="N/A"," ",IF(Pricetype1=2,MAX(H221,0),IF(OR(Pricetype1=1,Pricetype1=4),IF(H221=0,0,(EURO(H221,Strikeprice1,0,0,($AK221+IF(Smile=TRUE(),VLOOKUP(MAX(-5,Strikeprice1-H221),Volsmile,2),0)),($A221-DateToday)+15,IF(Pricetype1=1,1,0),0))),H221)))</f>
        <v> </v>
      </c>
      <c r="R221" s="318" t="str">
        <f aca="false">IF($A221="N/A"," ",IF(Pricetype1=2,MAX(I221,0),IF(OR(Pricetype1=1,Pricetype1=4),IF(I221=0,0,(EURO(I221,Strikeprice1,0,0,($AK221+IF(Smile=TRUE(),VLOOKUP(MAX(-5,Strikeprice1-I221),Volsmile,2),0)),($A221-DateToday)+15,IF(Pricetype1=1,1,0),0))),I221)))</f>
        <v> </v>
      </c>
      <c r="S221" s="318" t="str">
        <f aca="false">IF($A221="N/A"," ",IF(Pricetype1=2,MAX(J221,0),IF(OR(Pricetype1=1,Pricetype1=4),IF(J221=0,0,(EURO(J221,Strikeprice1,0,0,($AK221+IF(Smile=TRUE(),VLOOKUP(MAX(-5,Strikeprice1-J221),Volsmile,2),0)),($A221-DateToday)+15,IF(Pricetype1=1,1,0),0))),J221)))</f>
        <v> </v>
      </c>
      <c r="T221" s="318" t="str">
        <f aca="false">IF($A221="N/A"," ",IF(Pricetype1=2,MAX(K221,0),IF(OR(Pricetype1=1,Pricetype1=4),IF(K221=0,0,(EURO(K221,Strikeprice1,0,0,($AK221+IF(Smile=TRUE(),VLOOKUP(MAX(-5,Strikeprice1-K221),Volsmile,2),0)),($A221-DateToday)+15,IF(Pricetype1=1,1,0),0))),K221)))</f>
        <v> </v>
      </c>
      <c r="U221" s="319" t="str">
        <f aca="false">IF($A221="N/A"," ",Volume1*$AM221)</f>
        <v> </v>
      </c>
      <c r="V221" s="320" t="str">
        <f aca="false">IF($A221="N/A"," ",$U221*(8*($BQ221))*L221)</f>
        <v> </v>
      </c>
      <c r="W221" s="320" t="str">
        <f aca="false">IF($A221="N/A"," ",$U221*(8*($BQ221))*M221)</f>
        <v> </v>
      </c>
      <c r="X221" s="320" t="str">
        <f aca="false">IF($A221="N/A"," ",$U221*(8*($BQ221))*N221)</f>
        <v> </v>
      </c>
      <c r="Y221" s="320" t="str">
        <f aca="false">IF($A221="N/A"," ",$U221*(8*($BR221))*O221)</f>
        <v> </v>
      </c>
      <c r="Z221" s="320" t="str">
        <f aca="false">IF($A221="N/A"," ",$U221*(8*($BR221))*P221)</f>
        <v> </v>
      </c>
      <c r="AA221" s="320" t="str">
        <f aca="false">IF($A221="N/A"," ",$U221*(8*($BR221))*Q221)</f>
        <v> </v>
      </c>
      <c r="AB221" s="320" t="str">
        <f aca="false">IF($A221="N/A"," ",$U221*(8*($BS221))*R221)</f>
        <v> </v>
      </c>
      <c r="AC221" s="320" t="str">
        <f aca="false">IF($A221="N/A"," ",$U221*(8*($BS221))*S221)</f>
        <v> </v>
      </c>
      <c r="AD221" s="320" t="str">
        <f aca="false">IF($A221="N/A"," ",$U221*(8*($BS221))*T221)</f>
        <v> </v>
      </c>
      <c r="AE221" s="320" t="str">
        <f aca="false">IF($A221="N/A"," ",SUM(V221:AD221))</f>
        <v> </v>
      </c>
      <c r="AF221" s="321" t="str">
        <f aca="false">IF(A221="N/A"," ",(VLOOKUP(A221,PowerVolTable,(IF(VolBMO1=2,7,IF(VolBMO1=1,6,8))),FALSE())))</f>
        <v> </v>
      </c>
      <c r="AG221" s="321" t="str">
        <f aca="false">IF(A221="N/A"," ",(VLOOKUP(A221,IntraPowerVol,(IF(VolBMO1=2,3,IF(VolBMO1=1,2,4))),FALSE())*VLOOKUP(MONTH($A221),Volscale,2)))</f>
        <v> </v>
      </c>
      <c r="AH221" s="321" t="str">
        <f aca="false">IF($A221="N/A"," ",IF(VolType1=1,AG221,AF221))</f>
        <v> </v>
      </c>
      <c r="AI221" s="321" t="str">
        <f aca="false">IF($A221="N/A"," ",(VLOOKUP($A221,OffPwrVolTable,(IF(VolBMO1=2,7,IF(VolBMO1=1,6,8))),FALSE())))</f>
        <v> </v>
      </c>
      <c r="AJ221" s="321" t="str">
        <f aca="false">IF($A221="N/A"," ",(VLOOKUP($A221,OffPwrVolTable,(IF(VolBMO1=2,3,IF(VolBMO1=1,2,4))),FALSE())*VLOOKUP(MONTH($A221),Volscale,2)))</f>
        <v> </v>
      </c>
      <c r="AK221" s="321" t="str">
        <f aca="false">IF($A221="N/A"," ",IF(VolType1=1,AJ221,AI221))</f>
        <v> </v>
      </c>
      <c r="AL221" s="321" t="str">
        <f aca="false">IF($A221="N/A"," ",IF(PV=1,0,'Pricing Inputs1'!R254))</f>
        <v> </v>
      </c>
      <c r="AM221" s="323" t="str">
        <f aca="false">IF($A221="N/A"," ",(1+AL221/2)^(-2*((EOMONTH(A221,0)+20)-DateToday)/365.25))</f>
        <v> </v>
      </c>
      <c r="BQ221" s="0" t="str">
        <f aca="false">IF($A221="N/A"," ",(VLOOKUP($A221,NumberofDaysTable,2)))</f>
        <v> </v>
      </c>
      <c r="BR221" s="0" t="str">
        <f aca="false">IF($A221="N/A"," ",(VLOOKUP($A221,NumberofDaysTable,3)))</f>
        <v> </v>
      </c>
      <c r="BS221" s="0" t="str">
        <f aca="false">IF($A221="N/A"," ",(VLOOKUP($A221,NumberofDaysTable,4)))</f>
        <v> </v>
      </c>
    </row>
    <row r="222" customFormat="false" ht="12.75" hidden="false" customHeight="false" outlineLevel="0" collapsed="false">
      <c r="A222" s="315" t="str">
        <f aca="false">IF(A221="N/A","N/A",IF(EDATE(A221,1)&gt;Inputs!$M$5,"N/A",EDATE(A221,1)))</f>
        <v>N/A</v>
      </c>
      <c r="B222" s="316" t="str">
        <f aca="false">IF(A222="N/A"," ",YEAR(A222))</f>
        <v> </v>
      </c>
      <c r="C222" s="324" t="str">
        <f aca="false">IF($A222="N/A"," ",IF(Dayrun1=10,0,IF(Scaler1=1,(VLOOKUP(A222,ScaledPrice1,4)),(VLOOKUP(A222,ScaledPrice1,2)))))</f>
        <v> </v>
      </c>
      <c r="D222" s="317" t="str">
        <f aca="false">IF(A222="N/A"," ",IF(Dayrun1&gt;=7,0,IF(Scaler1=2,VLOOKUP(A222,ScaledPrice1,2),(VLOOKUP(A222,ScaledPrice1,2))*(2-(VLOOKUP(A222,ScaledPrice1,3))))))</f>
        <v> </v>
      </c>
      <c r="E222" s="317" t="str">
        <f aca="false">IF($A222="N/A"," ",IF(AND(Dayrun1&gt;=4,Dayrun1&lt;=9),0,VLOOKUP($A222,ScaledPrice1,9)))</f>
        <v> </v>
      </c>
      <c r="F222" s="317" t="str">
        <f aca="false">IF(A222="N/A"," ",IF(OR(Dayrun1=2,Dayrun1=3,Dayrun1=5,Dayrun1=6,Dayrun1=8,Dayrun1=9),VLOOKUP(A222,ScaledPrice1,IF(Scaler1=1,6,5)),0))</f>
        <v> </v>
      </c>
      <c r="G222" s="317" t="str">
        <f aca="false">IF(A222="N/A"," ",IF(OR(Dayrun1=2,Dayrun1=3,Dayrun1=5,Dayrun1=6),IF(Scaler1=2,F222,(VLOOKUP(A222,ScaledPrice1,5))*(2-(VLOOKUP(A222,ScaledPrice1,3)))),0))</f>
        <v> </v>
      </c>
      <c r="H222" s="317" t="str">
        <f aca="false">IF($A222="N/A"," ",IF(OR(Dayrun1=2,Dayrun1=3,Dayrun1=10),VLOOKUP($A222,ScaledPrice1,9),0))</f>
        <v> </v>
      </c>
      <c r="I222" s="317" t="str">
        <f aca="false">IF(A222="N/A"," ",IF(OR(Dayrun1=3,Dayrun1=6,Dayrun1=9),(VLOOKUP(A222,ScaledPrice1,IF(Scaler1=2,7,8))),0))</f>
        <v> </v>
      </c>
      <c r="J222" s="317" t="str">
        <f aca="false">IF(A222="N/A"," ",IF(OR(Dayrun1=3,Dayrun1=6),IF(Scaler1=2,I222,(VLOOKUP(A222,ScaledPrice1,7))*(2-(VLOOKUP(A222,ScaledPrice1,3)))),0))</f>
        <v> </v>
      </c>
      <c r="K222" s="317" t="str">
        <f aca="false">IF($A222="N/A"," ",IF(OR(Dayrun1=3,Dayrun1=10),VLOOKUP($A222,ScaledPrice1,9),0))</f>
        <v> </v>
      </c>
      <c r="L222" s="318" t="str">
        <f aca="false">IF($A222="N/A"," ",IF(Pricetype1=2,MAX(C222,0),IF(OR(Pricetype1=1,Pricetype1=4),IF(C222=0,0,(EURO(C222,Strikeprice1,0,0,($AH222+IF(Smile=TRUE(),VLOOKUP(MAX(-5,Strikeprice1-C222),Volsmile,2),0)),($A222-DateToday)+15,IF(Pricetype1=1,1,0),0))),C222)))</f>
        <v> </v>
      </c>
      <c r="M222" s="318" t="str">
        <f aca="false">IF($A222="N/A"," ",IF(Pricetype1=2,MAX(D222,0),IF(OR(Pricetype1=1,Pricetype1=4),IF(D222=0,0,(EURO(D222,Strikeprice1,0,0,($AH222+IF(Smile=TRUE(),VLOOKUP(MAX(-5,Strikeprice1-D222),Volsmile,2),0)),($A222-DateToday)+15,IF(Pricetype1=1,1,0),0))),D222)))</f>
        <v> </v>
      </c>
      <c r="N222" s="318" t="str">
        <f aca="false">IF($A222="N/A"," ",IF(Pricetype1=2,MAX(E222,0),IF(OR(Pricetype1=1,Pricetype1=4),IF(E222=0,0,(EURO(E222,Strikeprice1,0,0,($AK222+IF(Smile=TRUE(),VLOOKUP(MAX(-5,Strikeprice1-E222),Volsmile,2),0)),($A222-DateToday)+15,IF(Pricetype1=1,1,0),0))),E222)))</f>
        <v> </v>
      </c>
      <c r="O222" s="318" t="str">
        <f aca="false">IF($A222="N/A"," ",IF(Pricetype1=2,MAX(F222,0),IF(OR(Pricetype1=1,Pricetype1=4),IF(F222=0,0,(EURO(F222,Strikeprice1,0,0,($AK222+IF(Smile=TRUE(),VLOOKUP(MAX(-5,Strikeprice1-F222),Volsmile,2),0)),($A222-DateToday)+15,IF(Pricetype1=1,1,0),0))),F222)))</f>
        <v> </v>
      </c>
      <c r="P222" s="318" t="str">
        <f aca="false">IF($A222="N/A"," ",IF(Pricetype1=2,MAX(G222,0),IF(OR(Pricetype1=1,Pricetype1=4),IF(G222=0,0,(EURO(G222,Strikeprice1,0,0,($AK222+IF(Smile=TRUE(),VLOOKUP(MAX(-5,Strikeprice1-G222),Volsmile,2),0)),($A222-DateToday)+15,IF(Pricetype1=1,1,0),0))),G222)))</f>
        <v> </v>
      </c>
      <c r="Q222" s="318" t="str">
        <f aca="false">IF($A222="N/A"," ",IF(Pricetype1=2,MAX(H222,0),IF(OR(Pricetype1=1,Pricetype1=4),IF(H222=0,0,(EURO(H222,Strikeprice1,0,0,($AK222+IF(Smile=TRUE(),VLOOKUP(MAX(-5,Strikeprice1-H222),Volsmile,2),0)),($A222-DateToday)+15,IF(Pricetype1=1,1,0),0))),H222)))</f>
        <v> </v>
      </c>
      <c r="R222" s="318" t="str">
        <f aca="false">IF($A222="N/A"," ",IF(Pricetype1=2,MAX(I222,0),IF(OR(Pricetype1=1,Pricetype1=4),IF(I222=0,0,(EURO(I222,Strikeprice1,0,0,($AK222+IF(Smile=TRUE(),VLOOKUP(MAX(-5,Strikeprice1-I222),Volsmile,2),0)),($A222-DateToday)+15,IF(Pricetype1=1,1,0),0))),I222)))</f>
        <v> </v>
      </c>
      <c r="S222" s="318" t="str">
        <f aca="false">IF($A222="N/A"," ",IF(Pricetype1=2,MAX(J222,0),IF(OR(Pricetype1=1,Pricetype1=4),IF(J222=0,0,(EURO(J222,Strikeprice1,0,0,($AK222+IF(Smile=TRUE(),VLOOKUP(MAX(-5,Strikeprice1-J222),Volsmile,2),0)),($A222-DateToday)+15,IF(Pricetype1=1,1,0),0))),J222)))</f>
        <v> </v>
      </c>
      <c r="T222" s="318" t="str">
        <f aca="false">IF($A222="N/A"," ",IF(Pricetype1=2,MAX(K222,0),IF(OR(Pricetype1=1,Pricetype1=4),IF(K222=0,0,(EURO(K222,Strikeprice1,0,0,($AK222+IF(Smile=TRUE(),VLOOKUP(MAX(-5,Strikeprice1-K222),Volsmile,2),0)),($A222-DateToday)+15,IF(Pricetype1=1,1,0),0))),K222)))</f>
        <v> </v>
      </c>
      <c r="U222" s="319" t="str">
        <f aca="false">IF($A222="N/A"," ",Volume1*$AM222)</f>
        <v> </v>
      </c>
      <c r="V222" s="320" t="str">
        <f aca="false">IF($A222="N/A"," ",$U222*(8*($BQ222))*L222)</f>
        <v> </v>
      </c>
      <c r="W222" s="320" t="str">
        <f aca="false">IF($A222="N/A"," ",$U222*(8*($BQ222))*M222)</f>
        <v> </v>
      </c>
      <c r="X222" s="320" t="str">
        <f aca="false">IF($A222="N/A"," ",$U222*(8*($BQ222))*N222)</f>
        <v> </v>
      </c>
      <c r="Y222" s="320" t="str">
        <f aca="false">IF($A222="N/A"," ",$U222*(8*($BR222))*O222)</f>
        <v> </v>
      </c>
      <c r="Z222" s="320" t="str">
        <f aca="false">IF($A222="N/A"," ",$U222*(8*($BR222))*P222)</f>
        <v> </v>
      </c>
      <c r="AA222" s="320" t="str">
        <f aca="false">IF($A222="N/A"," ",$U222*(8*($BR222))*Q222)</f>
        <v> </v>
      </c>
      <c r="AB222" s="320" t="str">
        <f aca="false">IF($A222="N/A"," ",$U222*(8*($BS222))*R222)</f>
        <v> </v>
      </c>
      <c r="AC222" s="320" t="str">
        <f aca="false">IF($A222="N/A"," ",$U222*(8*($BS222))*S222)</f>
        <v> </v>
      </c>
      <c r="AD222" s="320" t="str">
        <f aca="false">IF($A222="N/A"," ",$U222*(8*($BS222))*T222)</f>
        <v> </v>
      </c>
      <c r="AE222" s="320" t="str">
        <f aca="false">IF($A222="N/A"," ",SUM(V222:AD222))</f>
        <v> </v>
      </c>
      <c r="AF222" s="321" t="str">
        <f aca="false">IF(A222="N/A"," ",(VLOOKUP(A222,PowerVolTable,(IF(VolBMO1=2,7,IF(VolBMO1=1,6,8))),FALSE())))</f>
        <v> </v>
      </c>
      <c r="AG222" s="321" t="str">
        <f aca="false">IF(A222="N/A"," ",(VLOOKUP(A222,IntraPowerVol,(IF(VolBMO1=2,3,IF(VolBMO1=1,2,4))),FALSE())*VLOOKUP(MONTH($A222),Volscale,2)))</f>
        <v> </v>
      </c>
      <c r="AH222" s="321" t="str">
        <f aca="false">IF($A222="N/A"," ",IF(VolType1=1,AG222,AF222))</f>
        <v> </v>
      </c>
      <c r="AI222" s="321" t="str">
        <f aca="false">IF($A222="N/A"," ",(VLOOKUP($A222,OffPwrVolTable,(IF(VolBMO1=2,7,IF(VolBMO1=1,6,8))),FALSE())))</f>
        <v> </v>
      </c>
      <c r="AJ222" s="321" t="str">
        <f aca="false">IF($A222="N/A"," ",(VLOOKUP($A222,OffPwrVolTable,(IF(VolBMO1=2,3,IF(VolBMO1=1,2,4))),FALSE())*VLOOKUP(MONTH($A222),Volscale,2)))</f>
        <v> </v>
      </c>
      <c r="AK222" s="321" t="str">
        <f aca="false">IF($A222="N/A"," ",IF(VolType1=1,AJ222,AI222))</f>
        <v> </v>
      </c>
      <c r="AL222" s="321" t="str">
        <f aca="false">IF($A222="N/A"," ",IF(PV=1,0,'Pricing Inputs1'!R255))</f>
        <v> </v>
      </c>
      <c r="AM222" s="323" t="str">
        <f aca="false">IF($A222="N/A"," ",(1+AL222/2)^(-2*((EOMONTH(A222,0)+20)-DateToday)/365.25))</f>
        <v> </v>
      </c>
      <c r="BQ222" s="0" t="str">
        <f aca="false">IF($A222="N/A"," ",(VLOOKUP($A222,NumberofDaysTable,2)))</f>
        <v> </v>
      </c>
      <c r="BR222" s="0" t="str">
        <f aca="false">IF($A222="N/A"," ",(VLOOKUP($A222,NumberofDaysTable,3)))</f>
        <v> </v>
      </c>
      <c r="BS222" s="0" t="str">
        <f aca="false">IF($A222="N/A"," ",(VLOOKUP($A222,NumberofDaysTable,4)))</f>
        <v> </v>
      </c>
    </row>
    <row r="223" customFormat="false" ht="12.75" hidden="false" customHeight="false" outlineLevel="0" collapsed="false">
      <c r="A223" s="315" t="str">
        <f aca="false">IF(A222="N/A","N/A",IF(EDATE(A222,1)&gt;Inputs!$M$5,"N/A",EDATE(A222,1)))</f>
        <v>N/A</v>
      </c>
      <c r="B223" s="316" t="str">
        <f aca="false">IF(A223="N/A"," ",YEAR(A223))</f>
        <v> </v>
      </c>
      <c r="C223" s="324" t="str">
        <f aca="false">IF($A223="N/A"," ",IF(Dayrun1=10,0,IF(Scaler1=1,(VLOOKUP(A223,ScaledPrice1,4)),(VLOOKUP(A223,ScaledPrice1,2)))))</f>
        <v> </v>
      </c>
      <c r="D223" s="317" t="str">
        <f aca="false">IF(A223="N/A"," ",IF(Dayrun1&gt;=7,0,IF(Scaler1=2,VLOOKUP(A223,ScaledPrice1,2),(VLOOKUP(A223,ScaledPrice1,2))*(2-(VLOOKUP(A223,ScaledPrice1,3))))))</f>
        <v> </v>
      </c>
      <c r="E223" s="317" t="str">
        <f aca="false">IF($A223="N/A"," ",IF(AND(Dayrun1&gt;=4,Dayrun1&lt;=9),0,VLOOKUP($A223,ScaledPrice1,9)))</f>
        <v> </v>
      </c>
      <c r="F223" s="317" t="str">
        <f aca="false">IF(A223="N/A"," ",IF(OR(Dayrun1=2,Dayrun1=3,Dayrun1=5,Dayrun1=6,Dayrun1=8,Dayrun1=9),VLOOKUP(A223,ScaledPrice1,IF(Scaler1=1,6,5)),0))</f>
        <v> </v>
      </c>
      <c r="G223" s="317" t="str">
        <f aca="false">IF(A223="N/A"," ",IF(OR(Dayrun1=2,Dayrun1=3,Dayrun1=5,Dayrun1=6),IF(Scaler1=2,F223,(VLOOKUP(A223,ScaledPrice1,5))*(2-(VLOOKUP(A223,ScaledPrice1,3)))),0))</f>
        <v> </v>
      </c>
      <c r="H223" s="317" t="str">
        <f aca="false">IF($A223="N/A"," ",IF(OR(Dayrun1=2,Dayrun1=3,Dayrun1=10),VLOOKUP($A223,ScaledPrice1,9),0))</f>
        <v> </v>
      </c>
      <c r="I223" s="317" t="str">
        <f aca="false">IF(A223="N/A"," ",IF(OR(Dayrun1=3,Dayrun1=6,Dayrun1=9),(VLOOKUP(A223,ScaledPrice1,IF(Scaler1=2,7,8))),0))</f>
        <v> </v>
      </c>
      <c r="J223" s="317" t="str">
        <f aca="false">IF(A223="N/A"," ",IF(OR(Dayrun1=3,Dayrun1=6),IF(Scaler1=2,I223,(VLOOKUP(A223,ScaledPrice1,7))*(2-(VLOOKUP(A223,ScaledPrice1,3)))),0))</f>
        <v> </v>
      </c>
      <c r="K223" s="317" t="str">
        <f aca="false">IF($A223="N/A"," ",IF(OR(Dayrun1=3,Dayrun1=10),VLOOKUP($A223,ScaledPrice1,9),0))</f>
        <v> </v>
      </c>
      <c r="L223" s="318" t="str">
        <f aca="false">IF($A223="N/A"," ",IF(Pricetype1=2,MAX(C223,0),IF(OR(Pricetype1=1,Pricetype1=4),IF(C223=0,0,(EURO(C223,Strikeprice1,0,0,($AH223+IF(Smile=TRUE(),VLOOKUP(MAX(-5,Strikeprice1-C223),Volsmile,2),0)),($A223-DateToday)+15,IF(Pricetype1=1,1,0),0))),C223)))</f>
        <v> </v>
      </c>
      <c r="M223" s="318" t="str">
        <f aca="false">IF($A223="N/A"," ",IF(Pricetype1=2,MAX(D223,0),IF(OR(Pricetype1=1,Pricetype1=4),IF(D223=0,0,(EURO(D223,Strikeprice1,0,0,($AH223+IF(Smile=TRUE(),VLOOKUP(MAX(-5,Strikeprice1-D223),Volsmile,2),0)),($A223-DateToday)+15,IF(Pricetype1=1,1,0),0))),D223)))</f>
        <v> </v>
      </c>
      <c r="N223" s="318" t="str">
        <f aca="false">IF($A223="N/A"," ",IF(Pricetype1=2,MAX(E223,0),IF(OR(Pricetype1=1,Pricetype1=4),IF(E223=0,0,(EURO(E223,Strikeprice1,0,0,($AK223+IF(Smile=TRUE(),VLOOKUP(MAX(-5,Strikeprice1-E223),Volsmile,2),0)),($A223-DateToday)+15,IF(Pricetype1=1,1,0),0))),E223)))</f>
        <v> </v>
      </c>
      <c r="O223" s="318" t="str">
        <f aca="false">IF($A223="N/A"," ",IF(Pricetype1=2,MAX(F223,0),IF(OR(Pricetype1=1,Pricetype1=4),IF(F223=0,0,(EURO(F223,Strikeprice1,0,0,($AK223+IF(Smile=TRUE(),VLOOKUP(MAX(-5,Strikeprice1-F223),Volsmile,2),0)),($A223-DateToday)+15,IF(Pricetype1=1,1,0),0))),F223)))</f>
        <v> </v>
      </c>
      <c r="P223" s="318" t="str">
        <f aca="false">IF($A223="N/A"," ",IF(Pricetype1=2,MAX(G223,0),IF(OR(Pricetype1=1,Pricetype1=4),IF(G223=0,0,(EURO(G223,Strikeprice1,0,0,($AK223+IF(Smile=TRUE(),VLOOKUP(MAX(-5,Strikeprice1-G223),Volsmile,2),0)),($A223-DateToday)+15,IF(Pricetype1=1,1,0),0))),G223)))</f>
        <v> </v>
      </c>
      <c r="Q223" s="318" t="str">
        <f aca="false">IF($A223="N/A"," ",IF(Pricetype1=2,MAX(H223,0),IF(OR(Pricetype1=1,Pricetype1=4),IF(H223=0,0,(EURO(H223,Strikeprice1,0,0,($AK223+IF(Smile=TRUE(),VLOOKUP(MAX(-5,Strikeprice1-H223),Volsmile,2),0)),($A223-DateToday)+15,IF(Pricetype1=1,1,0),0))),H223)))</f>
        <v> </v>
      </c>
      <c r="R223" s="318" t="str">
        <f aca="false">IF($A223="N/A"," ",IF(Pricetype1=2,MAX(I223,0),IF(OR(Pricetype1=1,Pricetype1=4),IF(I223=0,0,(EURO(I223,Strikeprice1,0,0,($AK223+IF(Smile=TRUE(),VLOOKUP(MAX(-5,Strikeprice1-I223),Volsmile,2),0)),($A223-DateToday)+15,IF(Pricetype1=1,1,0),0))),I223)))</f>
        <v> </v>
      </c>
      <c r="S223" s="318" t="str">
        <f aca="false">IF($A223="N/A"," ",IF(Pricetype1=2,MAX(J223,0),IF(OR(Pricetype1=1,Pricetype1=4),IF(J223=0,0,(EURO(J223,Strikeprice1,0,0,($AK223+IF(Smile=TRUE(),VLOOKUP(MAX(-5,Strikeprice1-J223),Volsmile,2),0)),($A223-DateToday)+15,IF(Pricetype1=1,1,0),0))),J223)))</f>
        <v> </v>
      </c>
      <c r="T223" s="318" t="str">
        <f aca="false">IF($A223="N/A"," ",IF(Pricetype1=2,MAX(K223,0),IF(OR(Pricetype1=1,Pricetype1=4),IF(K223=0,0,(EURO(K223,Strikeprice1,0,0,($AK223+IF(Smile=TRUE(),VLOOKUP(MAX(-5,Strikeprice1-K223),Volsmile,2),0)),($A223-DateToday)+15,IF(Pricetype1=1,1,0),0))),K223)))</f>
        <v> </v>
      </c>
      <c r="U223" s="319" t="str">
        <f aca="false">IF($A223="N/A"," ",Volume1*$AM223)</f>
        <v> </v>
      </c>
      <c r="V223" s="320" t="str">
        <f aca="false">IF($A223="N/A"," ",$U223*(8*($BQ223))*L223)</f>
        <v> </v>
      </c>
      <c r="W223" s="320" t="str">
        <f aca="false">IF($A223="N/A"," ",$U223*(8*($BQ223))*M223)</f>
        <v> </v>
      </c>
      <c r="X223" s="320" t="str">
        <f aca="false">IF($A223="N/A"," ",$U223*(8*($BQ223))*N223)</f>
        <v> </v>
      </c>
      <c r="Y223" s="320" t="str">
        <f aca="false">IF($A223="N/A"," ",$U223*(8*($BR223))*O223)</f>
        <v> </v>
      </c>
      <c r="Z223" s="320" t="str">
        <f aca="false">IF($A223="N/A"," ",$U223*(8*($BR223))*P223)</f>
        <v> </v>
      </c>
      <c r="AA223" s="320" t="str">
        <f aca="false">IF($A223="N/A"," ",$U223*(8*($BR223))*Q223)</f>
        <v> </v>
      </c>
      <c r="AB223" s="320" t="str">
        <f aca="false">IF($A223="N/A"," ",$U223*(8*($BS223))*R223)</f>
        <v> </v>
      </c>
      <c r="AC223" s="320" t="str">
        <f aca="false">IF($A223="N/A"," ",$U223*(8*($BS223))*S223)</f>
        <v> </v>
      </c>
      <c r="AD223" s="320" t="str">
        <f aca="false">IF($A223="N/A"," ",$U223*(8*($BS223))*T223)</f>
        <v> </v>
      </c>
      <c r="AE223" s="320" t="str">
        <f aca="false">IF($A223="N/A"," ",SUM(V223:AD223))</f>
        <v> </v>
      </c>
      <c r="AF223" s="321" t="str">
        <f aca="false">IF(A223="N/A"," ",(VLOOKUP(A223,PowerVolTable,(IF(VolBMO1=2,7,IF(VolBMO1=1,6,8))),FALSE())))</f>
        <v> </v>
      </c>
      <c r="AG223" s="321" t="str">
        <f aca="false">IF(A223="N/A"," ",(VLOOKUP(A223,IntraPowerVol,(IF(VolBMO1=2,3,IF(VolBMO1=1,2,4))),FALSE())*VLOOKUP(MONTH($A223),Volscale,2)))</f>
        <v> </v>
      </c>
      <c r="AH223" s="321" t="str">
        <f aca="false">IF($A223="N/A"," ",IF(VolType1=1,AG223,AF223))</f>
        <v> </v>
      </c>
      <c r="AI223" s="321" t="str">
        <f aca="false">IF($A223="N/A"," ",(VLOOKUP($A223,OffPwrVolTable,(IF(VolBMO1=2,7,IF(VolBMO1=1,6,8))),FALSE())))</f>
        <v> </v>
      </c>
      <c r="AJ223" s="321" t="str">
        <f aca="false">IF($A223="N/A"," ",(VLOOKUP($A223,OffPwrVolTable,(IF(VolBMO1=2,3,IF(VolBMO1=1,2,4))),FALSE())*VLOOKUP(MONTH($A223),Volscale,2)))</f>
        <v> </v>
      </c>
      <c r="AK223" s="321" t="str">
        <f aca="false">IF($A223="N/A"," ",IF(VolType1=1,AJ223,AI223))</f>
        <v> </v>
      </c>
      <c r="AL223" s="321" t="str">
        <f aca="false">IF($A223="N/A"," ",IF(PV=1,0,'Pricing Inputs1'!R256))</f>
        <v> </v>
      </c>
      <c r="AM223" s="323" t="str">
        <f aca="false">IF($A223="N/A"," ",(1+AL223/2)^(-2*((EOMONTH(A223,0)+20)-DateToday)/365.25))</f>
        <v> </v>
      </c>
      <c r="BQ223" s="0" t="str">
        <f aca="false">IF($A223="N/A"," ",(VLOOKUP($A223,NumberofDaysTable,2)))</f>
        <v> </v>
      </c>
      <c r="BR223" s="0" t="str">
        <f aca="false">IF($A223="N/A"," ",(VLOOKUP($A223,NumberofDaysTable,3)))</f>
        <v> </v>
      </c>
      <c r="BS223" s="0" t="str">
        <f aca="false">IF($A223="N/A"," ",(VLOOKUP($A223,NumberofDaysTable,4)))</f>
        <v> </v>
      </c>
    </row>
    <row r="224" customFormat="false" ht="12.75" hidden="false" customHeight="false" outlineLevel="0" collapsed="false">
      <c r="A224" s="315" t="str">
        <f aca="false">IF(A223="N/A","N/A",IF(EDATE(A223,1)&gt;Inputs!$M$5,"N/A",EDATE(A223,1)))</f>
        <v>N/A</v>
      </c>
      <c r="B224" s="316" t="str">
        <f aca="false">IF(A224="N/A"," ",YEAR(A224))</f>
        <v> </v>
      </c>
      <c r="C224" s="324" t="str">
        <f aca="false">IF($A224="N/A"," ",IF(Dayrun1=10,0,IF(Scaler1=1,(VLOOKUP(A224,ScaledPrice1,4)),(VLOOKUP(A224,ScaledPrice1,2)))))</f>
        <v> </v>
      </c>
      <c r="D224" s="317" t="str">
        <f aca="false">IF(A224="N/A"," ",IF(Dayrun1&gt;=7,0,IF(Scaler1=2,VLOOKUP(A224,ScaledPrice1,2),(VLOOKUP(A224,ScaledPrice1,2))*(2-(VLOOKUP(A224,ScaledPrice1,3))))))</f>
        <v> </v>
      </c>
      <c r="E224" s="317" t="str">
        <f aca="false">IF($A224="N/A"," ",IF(AND(Dayrun1&gt;=4,Dayrun1&lt;=9),0,VLOOKUP($A224,ScaledPrice1,9)))</f>
        <v> </v>
      </c>
      <c r="F224" s="317" t="str">
        <f aca="false">IF(A224="N/A"," ",IF(OR(Dayrun1=2,Dayrun1=3,Dayrun1=5,Dayrun1=6,Dayrun1=8,Dayrun1=9),VLOOKUP(A224,ScaledPrice1,IF(Scaler1=1,6,5)),0))</f>
        <v> </v>
      </c>
      <c r="G224" s="317" t="str">
        <f aca="false">IF(A224="N/A"," ",IF(OR(Dayrun1=2,Dayrun1=3,Dayrun1=5,Dayrun1=6),IF(Scaler1=2,F224,(VLOOKUP(A224,ScaledPrice1,5))*(2-(VLOOKUP(A224,ScaledPrice1,3)))),0))</f>
        <v> </v>
      </c>
      <c r="H224" s="317" t="str">
        <f aca="false">IF($A224="N/A"," ",IF(OR(Dayrun1=2,Dayrun1=3,Dayrun1=10),VLOOKUP($A224,ScaledPrice1,9),0))</f>
        <v> </v>
      </c>
      <c r="I224" s="317" t="str">
        <f aca="false">IF(A224="N/A"," ",IF(OR(Dayrun1=3,Dayrun1=6,Dayrun1=9),(VLOOKUP(A224,ScaledPrice1,IF(Scaler1=2,7,8))),0))</f>
        <v> </v>
      </c>
      <c r="J224" s="317" t="str">
        <f aca="false">IF(A224="N/A"," ",IF(OR(Dayrun1=3,Dayrun1=6),IF(Scaler1=2,I224,(VLOOKUP(A224,ScaledPrice1,7))*(2-(VLOOKUP(A224,ScaledPrice1,3)))),0))</f>
        <v> </v>
      </c>
      <c r="K224" s="317" t="str">
        <f aca="false">IF($A224="N/A"," ",IF(OR(Dayrun1=3,Dayrun1=10),VLOOKUP($A224,ScaledPrice1,9),0))</f>
        <v> </v>
      </c>
      <c r="L224" s="318" t="str">
        <f aca="false">IF($A224="N/A"," ",IF(Pricetype1=2,MAX(C224,0),IF(OR(Pricetype1=1,Pricetype1=4),IF(C224=0,0,(EURO(C224,Strikeprice1,0,0,($AH224+IF(Smile=TRUE(),VLOOKUP(MAX(-5,Strikeprice1-C224),Volsmile,2),0)),($A224-DateToday)+15,IF(Pricetype1=1,1,0),0))),C224)))</f>
        <v> </v>
      </c>
      <c r="M224" s="318" t="str">
        <f aca="false">IF($A224="N/A"," ",IF(Pricetype1=2,MAX(D224,0),IF(OR(Pricetype1=1,Pricetype1=4),IF(D224=0,0,(EURO(D224,Strikeprice1,0,0,($AH224+IF(Smile=TRUE(),VLOOKUP(MAX(-5,Strikeprice1-D224),Volsmile,2),0)),($A224-DateToday)+15,IF(Pricetype1=1,1,0),0))),D224)))</f>
        <v> </v>
      </c>
      <c r="N224" s="318" t="str">
        <f aca="false">IF($A224="N/A"," ",IF(Pricetype1=2,MAX(E224,0),IF(OR(Pricetype1=1,Pricetype1=4),IF(E224=0,0,(EURO(E224,Strikeprice1,0,0,($AK224+IF(Smile=TRUE(),VLOOKUP(MAX(-5,Strikeprice1-E224),Volsmile,2),0)),($A224-DateToday)+15,IF(Pricetype1=1,1,0),0))),E224)))</f>
        <v> </v>
      </c>
      <c r="O224" s="318" t="str">
        <f aca="false">IF($A224="N/A"," ",IF(Pricetype1=2,MAX(F224,0),IF(OR(Pricetype1=1,Pricetype1=4),IF(F224=0,0,(EURO(F224,Strikeprice1,0,0,($AK224+IF(Smile=TRUE(),VLOOKUP(MAX(-5,Strikeprice1-F224),Volsmile,2),0)),($A224-DateToday)+15,IF(Pricetype1=1,1,0),0))),F224)))</f>
        <v> </v>
      </c>
      <c r="P224" s="318" t="str">
        <f aca="false">IF($A224="N/A"," ",IF(Pricetype1=2,MAX(G224,0),IF(OR(Pricetype1=1,Pricetype1=4),IF(G224=0,0,(EURO(G224,Strikeprice1,0,0,($AK224+IF(Smile=TRUE(),VLOOKUP(MAX(-5,Strikeprice1-G224),Volsmile,2),0)),($A224-DateToday)+15,IF(Pricetype1=1,1,0),0))),G224)))</f>
        <v> </v>
      </c>
      <c r="Q224" s="318" t="str">
        <f aca="false">IF($A224="N/A"," ",IF(Pricetype1=2,MAX(H224,0),IF(OR(Pricetype1=1,Pricetype1=4),IF(H224=0,0,(EURO(H224,Strikeprice1,0,0,($AK224+IF(Smile=TRUE(),VLOOKUP(MAX(-5,Strikeprice1-H224),Volsmile,2),0)),($A224-DateToday)+15,IF(Pricetype1=1,1,0),0))),H224)))</f>
        <v> </v>
      </c>
      <c r="R224" s="318" t="str">
        <f aca="false">IF($A224="N/A"," ",IF(Pricetype1=2,MAX(I224,0),IF(OR(Pricetype1=1,Pricetype1=4),IF(I224=0,0,(EURO(I224,Strikeprice1,0,0,($AK224+IF(Smile=TRUE(),VLOOKUP(MAX(-5,Strikeprice1-I224),Volsmile,2),0)),($A224-DateToday)+15,IF(Pricetype1=1,1,0),0))),I224)))</f>
        <v> </v>
      </c>
      <c r="S224" s="318" t="str">
        <f aca="false">IF($A224="N/A"," ",IF(Pricetype1=2,MAX(J224,0),IF(OR(Pricetype1=1,Pricetype1=4),IF(J224=0,0,(EURO(J224,Strikeprice1,0,0,($AK224+IF(Smile=TRUE(),VLOOKUP(MAX(-5,Strikeprice1-J224),Volsmile,2),0)),($A224-DateToday)+15,IF(Pricetype1=1,1,0),0))),J224)))</f>
        <v> </v>
      </c>
      <c r="T224" s="318" t="str">
        <f aca="false">IF($A224="N/A"," ",IF(Pricetype1=2,MAX(K224,0),IF(OR(Pricetype1=1,Pricetype1=4),IF(K224=0,0,(EURO(K224,Strikeprice1,0,0,($AK224+IF(Smile=TRUE(),VLOOKUP(MAX(-5,Strikeprice1-K224),Volsmile,2),0)),($A224-DateToday)+15,IF(Pricetype1=1,1,0),0))),K224)))</f>
        <v> </v>
      </c>
      <c r="U224" s="319" t="str">
        <f aca="false">IF($A224="N/A"," ",Volume1*$AM224)</f>
        <v> </v>
      </c>
      <c r="V224" s="320" t="str">
        <f aca="false">IF($A224="N/A"," ",$U224*(8*($BQ224))*L224)</f>
        <v> </v>
      </c>
      <c r="W224" s="320" t="str">
        <f aca="false">IF($A224="N/A"," ",$U224*(8*($BQ224))*M224)</f>
        <v> </v>
      </c>
      <c r="X224" s="320" t="str">
        <f aca="false">IF($A224="N/A"," ",$U224*(8*($BQ224))*N224)</f>
        <v> </v>
      </c>
      <c r="Y224" s="320" t="str">
        <f aca="false">IF($A224="N/A"," ",$U224*(8*($BR224))*O224)</f>
        <v> </v>
      </c>
      <c r="Z224" s="320" t="str">
        <f aca="false">IF($A224="N/A"," ",$U224*(8*($BR224))*P224)</f>
        <v> </v>
      </c>
      <c r="AA224" s="320" t="str">
        <f aca="false">IF($A224="N/A"," ",$U224*(8*($BR224))*Q224)</f>
        <v> </v>
      </c>
      <c r="AB224" s="320" t="str">
        <f aca="false">IF($A224="N/A"," ",$U224*(8*($BS224))*R224)</f>
        <v> </v>
      </c>
      <c r="AC224" s="320" t="str">
        <f aca="false">IF($A224="N/A"," ",$U224*(8*($BS224))*S224)</f>
        <v> </v>
      </c>
      <c r="AD224" s="320" t="str">
        <f aca="false">IF($A224="N/A"," ",$U224*(8*($BS224))*T224)</f>
        <v> </v>
      </c>
      <c r="AE224" s="320" t="str">
        <f aca="false">IF($A224="N/A"," ",SUM(V224:AD224))</f>
        <v> </v>
      </c>
      <c r="AF224" s="321" t="str">
        <f aca="false">IF(A224="N/A"," ",(VLOOKUP(A224,PowerVolTable,(IF(VolBMO1=2,7,IF(VolBMO1=1,6,8))),FALSE())))</f>
        <v> </v>
      </c>
      <c r="AG224" s="321" t="str">
        <f aca="false">IF(A224="N/A"," ",(VLOOKUP(A224,IntraPowerVol,(IF(VolBMO1=2,3,IF(VolBMO1=1,2,4))),FALSE())*VLOOKUP(MONTH($A224),Volscale,2)))</f>
        <v> </v>
      </c>
      <c r="AH224" s="321" t="str">
        <f aca="false">IF($A224="N/A"," ",IF(VolType1=1,AG224,AF224))</f>
        <v> </v>
      </c>
      <c r="AI224" s="321" t="str">
        <f aca="false">IF($A224="N/A"," ",(VLOOKUP($A224,OffPwrVolTable,(IF(VolBMO1=2,7,IF(VolBMO1=1,6,8))),FALSE())))</f>
        <v> </v>
      </c>
      <c r="AJ224" s="321" t="str">
        <f aca="false">IF($A224="N/A"," ",(VLOOKUP($A224,OffPwrVolTable,(IF(VolBMO1=2,3,IF(VolBMO1=1,2,4))),FALSE())*VLOOKUP(MONTH($A224),Volscale,2)))</f>
        <v> </v>
      </c>
      <c r="AK224" s="321" t="str">
        <f aca="false">IF($A224="N/A"," ",IF(VolType1=1,AJ224,AI224))</f>
        <v> </v>
      </c>
      <c r="AL224" s="321" t="str">
        <f aca="false">IF($A224="N/A"," ",IF(PV=1,0,'Pricing Inputs1'!R257))</f>
        <v> </v>
      </c>
      <c r="AM224" s="323" t="str">
        <f aca="false">IF($A224="N/A"," ",(1+AL224/2)^(-2*((EOMONTH(A224,0)+20)-DateToday)/365.25))</f>
        <v> </v>
      </c>
      <c r="BQ224" s="0" t="str">
        <f aca="false">IF($A224="N/A"," ",(VLOOKUP($A224,NumberofDaysTable,2)))</f>
        <v> </v>
      </c>
      <c r="BR224" s="0" t="str">
        <f aca="false">IF($A224="N/A"," ",(VLOOKUP($A224,NumberofDaysTable,3)))</f>
        <v> </v>
      </c>
      <c r="BS224" s="0" t="str">
        <f aca="false">IF($A224="N/A"," ",(VLOOKUP($A224,NumberofDaysTable,4)))</f>
        <v> </v>
      </c>
    </row>
    <row r="225" customFormat="false" ht="12.75" hidden="false" customHeight="false" outlineLevel="0" collapsed="false">
      <c r="A225" s="315" t="str">
        <f aca="false">IF(A224="N/A","N/A",IF(EDATE(A224,1)&gt;Inputs!$M$5,"N/A",EDATE(A224,1)))</f>
        <v>N/A</v>
      </c>
      <c r="B225" s="316" t="str">
        <f aca="false">IF(A225="N/A"," ",YEAR(A225))</f>
        <v> </v>
      </c>
      <c r="C225" s="324" t="str">
        <f aca="false">IF($A225="N/A"," ",IF(Dayrun1=10,0,IF(Scaler1=1,(VLOOKUP(A225,ScaledPrice1,4)),(VLOOKUP(A225,ScaledPrice1,2)))))</f>
        <v> </v>
      </c>
      <c r="D225" s="317" t="str">
        <f aca="false">IF(A225="N/A"," ",IF(Dayrun1&gt;=7,0,IF(Scaler1=2,VLOOKUP(A225,ScaledPrice1,2),(VLOOKUP(A225,ScaledPrice1,2))*(2-(VLOOKUP(A225,ScaledPrice1,3))))))</f>
        <v> </v>
      </c>
      <c r="E225" s="317" t="str">
        <f aca="false">IF($A225="N/A"," ",IF(AND(Dayrun1&gt;=4,Dayrun1&lt;=9),0,VLOOKUP($A225,ScaledPrice1,9)))</f>
        <v> </v>
      </c>
      <c r="F225" s="317" t="str">
        <f aca="false">IF(A225="N/A"," ",IF(OR(Dayrun1=2,Dayrun1=3,Dayrun1=5,Dayrun1=6,Dayrun1=8,Dayrun1=9),VLOOKUP(A225,ScaledPrice1,IF(Scaler1=1,6,5)),0))</f>
        <v> </v>
      </c>
      <c r="G225" s="317" t="str">
        <f aca="false">IF(A225="N/A"," ",IF(OR(Dayrun1=2,Dayrun1=3,Dayrun1=5,Dayrun1=6),IF(Scaler1=2,F225,(VLOOKUP(A225,ScaledPrice1,5))*(2-(VLOOKUP(A225,ScaledPrice1,3)))),0))</f>
        <v> </v>
      </c>
      <c r="H225" s="317" t="str">
        <f aca="false">IF($A225="N/A"," ",IF(OR(Dayrun1=2,Dayrun1=3,Dayrun1=10),VLOOKUP($A225,ScaledPrice1,9),0))</f>
        <v> </v>
      </c>
      <c r="I225" s="317" t="str">
        <f aca="false">IF(A225="N/A"," ",IF(OR(Dayrun1=3,Dayrun1=6,Dayrun1=9),(VLOOKUP(A225,ScaledPrice1,IF(Scaler1=2,7,8))),0))</f>
        <v> </v>
      </c>
      <c r="J225" s="317" t="str">
        <f aca="false">IF(A225="N/A"," ",IF(OR(Dayrun1=3,Dayrun1=6),IF(Scaler1=2,I225,(VLOOKUP(A225,ScaledPrice1,7))*(2-(VLOOKUP(A225,ScaledPrice1,3)))),0))</f>
        <v> </v>
      </c>
      <c r="K225" s="317" t="str">
        <f aca="false">IF($A225="N/A"," ",IF(OR(Dayrun1=3,Dayrun1=10),VLOOKUP($A225,ScaledPrice1,9),0))</f>
        <v> </v>
      </c>
      <c r="L225" s="318" t="str">
        <f aca="false">IF($A225="N/A"," ",IF(Pricetype1=2,MAX(C225,0),IF(OR(Pricetype1=1,Pricetype1=4),IF(C225=0,0,(EURO(C225,Strikeprice1,0,0,($AH225+IF(Smile=TRUE(),VLOOKUP(MAX(-5,Strikeprice1-C225),Volsmile,2),0)),($A225-DateToday)+15,IF(Pricetype1=1,1,0),0))),C225)))</f>
        <v> </v>
      </c>
      <c r="M225" s="318" t="str">
        <f aca="false">IF($A225="N/A"," ",IF(Pricetype1=2,MAX(D225,0),IF(OR(Pricetype1=1,Pricetype1=4),IF(D225=0,0,(EURO(D225,Strikeprice1,0,0,($AH225+IF(Smile=TRUE(),VLOOKUP(MAX(-5,Strikeprice1-D225),Volsmile,2),0)),($A225-DateToday)+15,IF(Pricetype1=1,1,0),0))),D225)))</f>
        <v> </v>
      </c>
      <c r="N225" s="318" t="str">
        <f aca="false">IF($A225="N/A"," ",IF(Pricetype1=2,MAX(E225,0),IF(OR(Pricetype1=1,Pricetype1=4),IF(E225=0,0,(EURO(E225,Strikeprice1,0,0,($AK225+IF(Smile=TRUE(),VLOOKUP(MAX(-5,Strikeprice1-E225),Volsmile,2),0)),($A225-DateToday)+15,IF(Pricetype1=1,1,0),0))),E225)))</f>
        <v> </v>
      </c>
      <c r="O225" s="318" t="str">
        <f aca="false">IF($A225="N/A"," ",IF(Pricetype1=2,MAX(F225,0),IF(OR(Pricetype1=1,Pricetype1=4),IF(F225=0,0,(EURO(F225,Strikeprice1,0,0,($AK225+IF(Smile=TRUE(),VLOOKUP(MAX(-5,Strikeprice1-F225),Volsmile,2),0)),($A225-DateToday)+15,IF(Pricetype1=1,1,0),0))),F225)))</f>
        <v> </v>
      </c>
      <c r="P225" s="318" t="str">
        <f aca="false">IF($A225="N/A"," ",IF(Pricetype1=2,MAX(G225,0),IF(OR(Pricetype1=1,Pricetype1=4),IF(G225=0,0,(EURO(G225,Strikeprice1,0,0,($AK225+IF(Smile=TRUE(),VLOOKUP(MAX(-5,Strikeprice1-G225),Volsmile,2),0)),($A225-DateToday)+15,IF(Pricetype1=1,1,0),0))),G225)))</f>
        <v> </v>
      </c>
      <c r="Q225" s="318" t="str">
        <f aca="false">IF($A225="N/A"," ",IF(Pricetype1=2,MAX(H225,0),IF(OR(Pricetype1=1,Pricetype1=4),IF(H225=0,0,(EURO(H225,Strikeprice1,0,0,($AK225+IF(Smile=TRUE(),VLOOKUP(MAX(-5,Strikeprice1-H225),Volsmile,2),0)),($A225-DateToday)+15,IF(Pricetype1=1,1,0),0))),H225)))</f>
        <v> </v>
      </c>
      <c r="R225" s="318" t="str">
        <f aca="false">IF($A225="N/A"," ",IF(Pricetype1=2,MAX(I225,0),IF(OR(Pricetype1=1,Pricetype1=4),IF(I225=0,0,(EURO(I225,Strikeprice1,0,0,($AK225+IF(Smile=TRUE(),VLOOKUP(MAX(-5,Strikeprice1-I225),Volsmile,2),0)),($A225-DateToday)+15,IF(Pricetype1=1,1,0),0))),I225)))</f>
        <v> </v>
      </c>
      <c r="S225" s="318" t="str">
        <f aca="false">IF($A225="N/A"," ",IF(Pricetype1=2,MAX(J225,0),IF(OR(Pricetype1=1,Pricetype1=4),IF(J225=0,0,(EURO(J225,Strikeprice1,0,0,($AK225+IF(Smile=TRUE(),VLOOKUP(MAX(-5,Strikeprice1-J225),Volsmile,2),0)),($A225-DateToday)+15,IF(Pricetype1=1,1,0),0))),J225)))</f>
        <v> </v>
      </c>
      <c r="T225" s="318" t="str">
        <f aca="false">IF($A225="N/A"," ",IF(Pricetype1=2,MAX(K225,0),IF(OR(Pricetype1=1,Pricetype1=4),IF(K225=0,0,(EURO(K225,Strikeprice1,0,0,($AK225+IF(Smile=TRUE(),VLOOKUP(MAX(-5,Strikeprice1-K225),Volsmile,2),0)),($A225-DateToday)+15,IF(Pricetype1=1,1,0),0))),K225)))</f>
        <v> </v>
      </c>
      <c r="U225" s="319" t="str">
        <f aca="false">IF($A225="N/A"," ",Volume1*$AM225)</f>
        <v> </v>
      </c>
      <c r="V225" s="320" t="str">
        <f aca="false">IF($A225="N/A"," ",$U225*(8*($BQ225))*L225)</f>
        <v> </v>
      </c>
      <c r="W225" s="320" t="str">
        <f aca="false">IF($A225="N/A"," ",$U225*(8*($BQ225))*M225)</f>
        <v> </v>
      </c>
      <c r="X225" s="320" t="str">
        <f aca="false">IF($A225="N/A"," ",$U225*(8*($BQ225))*N225)</f>
        <v> </v>
      </c>
      <c r="Y225" s="320" t="str">
        <f aca="false">IF($A225="N/A"," ",$U225*(8*($BR225))*O225)</f>
        <v> </v>
      </c>
      <c r="Z225" s="320" t="str">
        <f aca="false">IF($A225="N/A"," ",$U225*(8*($BR225))*P225)</f>
        <v> </v>
      </c>
      <c r="AA225" s="320" t="str">
        <f aca="false">IF($A225="N/A"," ",$U225*(8*($BR225))*Q225)</f>
        <v> </v>
      </c>
      <c r="AB225" s="320" t="str">
        <f aca="false">IF($A225="N/A"," ",$U225*(8*($BS225))*R225)</f>
        <v> </v>
      </c>
      <c r="AC225" s="320" t="str">
        <f aca="false">IF($A225="N/A"," ",$U225*(8*($BS225))*S225)</f>
        <v> </v>
      </c>
      <c r="AD225" s="320" t="str">
        <f aca="false">IF($A225="N/A"," ",$U225*(8*($BS225))*T225)</f>
        <v> </v>
      </c>
      <c r="AE225" s="320" t="str">
        <f aca="false">IF($A225="N/A"," ",SUM(V225:AD225))</f>
        <v> </v>
      </c>
      <c r="AF225" s="321" t="str">
        <f aca="false">IF(A225="N/A"," ",(VLOOKUP(A225,PowerVolTable,(IF(VolBMO1=2,7,IF(VolBMO1=1,6,8))),FALSE())))</f>
        <v> </v>
      </c>
      <c r="AG225" s="321" t="str">
        <f aca="false">IF(A225="N/A"," ",(VLOOKUP(A225,IntraPowerVol,(IF(VolBMO1=2,3,IF(VolBMO1=1,2,4))),FALSE())*VLOOKUP(MONTH($A225),Volscale,2)))</f>
        <v> </v>
      </c>
      <c r="AH225" s="321" t="str">
        <f aca="false">IF($A225="N/A"," ",IF(VolType1=1,AG225,AF225))</f>
        <v> </v>
      </c>
      <c r="AI225" s="321" t="str">
        <f aca="false">IF($A225="N/A"," ",(VLOOKUP($A225,OffPwrVolTable,(IF(VolBMO1=2,7,IF(VolBMO1=1,6,8))),FALSE())))</f>
        <v> </v>
      </c>
      <c r="AJ225" s="321" t="str">
        <f aca="false">IF($A225="N/A"," ",(VLOOKUP($A225,OffPwrVolTable,(IF(VolBMO1=2,3,IF(VolBMO1=1,2,4))),FALSE())*VLOOKUP(MONTH($A225),Volscale,2)))</f>
        <v> </v>
      </c>
      <c r="AK225" s="321" t="str">
        <f aca="false">IF($A225="N/A"," ",IF(VolType1=1,AJ225,AI225))</f>
        <v> </v>
      </c>
      <c r="AL225" s="321" t="str">
        <f aca="false">IF($A225="N/A"," ",IF(PV=1,0,'Pricing Inputs1'!R258))</f>
        <v> </v>
      </c>
      <c r="AM225" s="323" t="str">
        <f aca="false">IF($A225="N/A"," ",(1+AL225/2)^(-2*((EOMONTH(A225,0)+20)-DateToday)/365.25))</f>
        <v> </v>
      </c>
      <c r="BQ225" s="0" t="str">
        <f aca="false">IF($A225="N/A"," ",(VLOOKUP($A225,NumberofDaysTable,2)))</f>
        <v> </v>
      </c>
      <c r="BR225" s="0" t="str">
        <f aca="false">IF($A225="N/A"," ",(VLOOKUP($A225,NumberofDaysTable,3)))</f>
        <v> </v>
      </c>
      <c r="BS225" s="0" t="str">
        <f aca="false">IF($A225="N/A"," ",(VLOOKUP($A225,NumberofDaysTable,4)))</f>
        <v> </v>
      </c>
    </row>
    <row r="226" customFormat="false" ht="12.75" hidden="false" customHeight="false" outlineLevel="0" collapsed="false">
      <c r="A226" s="315" t="str">
        <f aca="false">IF(A225="N/A","N/A",IF(EDATE(A225,1)&gt;Inputs!$M$5,"N/A",EDATE(A225,1)))</f>
        <v>N/A</v>
      </c>
      <c r="B226" s="316" t="str">
        <f aca="false">IF(A226="N/A"," ",YEAR(A226))</f>
        <v> </v>
      </c>
      <c r="C226" s="324" t="str">
        <f aca="false">IF($A226="N/A"," ",IF(Dayrun1=10,0,IF(Scaler1=1,(VLOOKUP(A226,ScaledPrice1,4)),(VLOOKUP(A226,ScaledPrice1,2)))))</f>
        <v> </v>
      </c>
      <c r="D226" s="317" t="str">
        <f aca="false">IF(A226="N/A"," ",IF(Dayrun1&gt;=7,0,IF(Scaler1=2,VLOOKUP(A226,ScaledPrice1,2),(VLOOKUP(A226,ScaledPrice1,2))*(2-(VLOOKUP(A226,ScaledPrice1,3))))))</f>
        <v> </v>
      </c>
      <c r="E226" s="317" t="str">
        <f aca="false">IF($A226="N/A"," ",IF(AND(Dayrun1&gt;=4,Dayrun1&lt;=9),0,VLOOKUP($A226,ScaledPrice1,9)))</f>
        <v> </v>
      </c>
      <c r="F226" s="317" t="str">
        <f aca="false">IF(A226="N/A"," ",IF(OR(Dayrun1=2,Dayrun1=3,Dayrun1=5,Dayrun1=6,Dayrun1=8,Dayrun1=9),VLOOKUP(A226,ScaledPrice1,IF(Scaler1=1,6,5)),0))</f>
        <v> </v>
      </c>
      <c r="G226" s="317" t="str">
        <f aca="false">IF(A226="N/A"," ",IF(OR(Dayrun1=2,Dayrun1=3,Dayrun1=5,Dayrun1=6),IF(Scaler1=2,F226,(VLOOKUP(A226,ScaledPrice1,5))*(2-(VLOOKUP(A226,ScaledPrice1,3)))),0))</f>
        <v> </v>
      </c>
      <c r="H226" s="317" t="str">
        <f aca="false">IF($A226="N/A"," ",IF(OR(Dayrun1=2,Dayrun1=3,Dayrun1=10),VLOOKUP($A226,ScaledPrice1,9),0))</f>
        <v> </v>
      </c>
      <c r="I226" s="317" t="str">
        <f aca="false">IF(A226="N/A"," ",IF(OR(Dayrun1=3,Dayrun1=6,Dayrun1=9),(VLOOKUP(A226,ScaledPrice1,IF(Scaler1=2,7,8))),0))</f>
        <v> </v>
      </c>
      <c r="J226" s="317" t="str">
        <f aca="false">IF(A226="N/A"," ",IF(OR(Dayrun1=3,Dayrun1=6),IF(Scaler1=2,I226,(VLOOKUP(A226,ScaledPrice1,7))*(2-(VLOOKUP(A226,ScaledPrice1,3)))),0))</f>
        <v> </v>
      </c>
      <c r="K226" s="317" t="str">
        <f aca="false">IF($A226="N/A"," ",IF(OR(Dayrun1=3,Dayrun1=10),VLOOKUP($A226,ScaledPrice1,9),0))</f>
        <v> </v>
      </c>
      <c r="L226" s="318" t="str">
        <f aca="false">IF($A226="N/A"," ",IF(Pricetype1=2,MAX(C226,0),IF(OR(Pricetype1=1,Pricetype1=4),IF(C226=0,0,(EURO(C226,Strikeprice1,0,0,($AH226+IF(Smile=TRUE(),VLOOKUP(MAX(-5,Strikeprice1-C226),Volsmile,2),0)),($A226-DateToday)+15,IF(Pricetype1=1,1,0),0))),C226)))</f>
        <v> </v>
      </c>
      <c r="M226" s="318" t="str">
        <f aca="false">IF($A226="N/A"," ",IF(Pricetype1=2,MAX(D226,0),IF(OR(Pricetype1=1,Pricetype1=4),IF(D226=0,0,(EURO(D226,Strikeprice1,0,0,($AH226+IF(Smile=TRUE(),VLOOKUP(MAX(-5,Strikeprice1-D226),Volsmile,2),0)),($A226-DateToday)+15,IF(Pricetype1=1,1,0),0))),D226)))</f>
        <v> </v>
      </c>
      <c r="N226" s="318" t="str">
        <f aca="false">IF($A226="N/A"," ",IF(Pricetype1=2,MAX(E226,0),IF(OR(Pricetype1=1,Pricetype1=4),IF(E226=0,0,(EURO(E226,Strikeprice1,0,0,($AK226+IF(Smile=TRUE(),VLOOKUP(MAX(-5,Strikeprice1-E226),Volsmile,2),0)),($A226-DateToday)+15,IF(Pricetype1=1,1,0),0))),E226)))</f>
        <v> </v>
      </c>
      <c r="O226" s="318" t="str">
        <f aca="false">IF($A226="N/A"," ",IF(Pricetype1=2,MAX(F226,0),IF(OR(Pricetype1=1,Pricetype1=4),IF(F226=0,0,(EURO(F226,Strikeprice1,0,0,($AK226+IF(Smile=TRUE(),VLOOKUP(MAX(-5,Strikeprice1-F226),Volsmile,2),0)),($A226-DateToday)+15,IF(Pricetype1=1,1,0),0))),F226)))</f>
        <v> </v>
      </c>
      <c r="P226" s="318" t="str">
        <f aca="false">IF($A226="N/A"," ",IF(Pricetype1=2,MAX(G226,0),IF(OR(Pricetype1=1,Pricetype1=4),IF(G226=0,0,(EURO(G226,Strikeprice1,0,0,($AK226+IF(Smile=TRUE(),VLOOKUP(MAX(-5,Strikeprice1-G226),Volsmile,2),0)),($A226-DateToday)+15,IF(Pricetype1=1,1,0),0))),G226)))</f>
        <v> </v>
      </c>
      <c r="Q226" s="318" t="str">
        <f aca="false">IF($A226="N/A"," ",IF(Pricetype1=2,MAX(H226,0),IF(OR(Pricetype1=1,Pricetype1=4),IF(H226=0,0,(EURO(H226,Strikeprice1,0,0,($AK226+IF(Smile=TRUE(),VLOOKUP(MAX(-5,Strikeprice1-H226),Volsmile,2),0)),($A226-DateToday)+15,IF(Pricetype1=1,1,0),0))),H226)))</f>
        <v> </v>
      </c>
      <c r="R226" s="318" t="str">
        <f aca="false">IF($A226="N/A"," ",IF(Pricetype1=2,MAX(I226,0),IF(OR(Pricetype1=1,Pricetype1=4),IF(I226=0,0,(EURO(I226,Strikeprice1,0,0,($AK226+IF(Smile=TRUE(),VLOOKUP(MAX(-5,Strikeprice1-I226),Volsmile,2),0)),($A226-DateToday)+15,IF(Pricetype1=1,1,0),0))),I226)))</f>
        <v> </v>
      </c>
      <c r="S226" s="318" t="str">
        <f aca="false">IF($A226="N/A"," ",IF(Pricetype1=2,MAX(J226,0),IF(OR(Pricetype1=1,Pricetype1=4),IF(J226=0,0,(EURO(J226,Strikeprice1,0,0,($AK226+IF(Smile=TRUE(),VLOOKUP(MAX(-5,Strikeprice1-J226),Volsmile,2),0)),($A226-DateToday)+15,IF(Pricetype1=1,1,0),0))),J226)))</f>
        <v> </v>
      </c>
      <c r="T226" s="318" t="str">
        <f aca="false">IF($A226="N/A"," ",IF(Pricetype1=2,MAX(K226,0),IF(OR(Pricetype1=1,Pricetype1=4),IF(K226=0,0,(EURO(K226,Strikeprice1,0,0,($AK226+IF(Smile=TRUE(),VLOOKUP(MAX(-5,Strikeprice1-K226),Volsmile,2),0)),($A226-DateToday)+15,IF(Pricetype1=1,1,0),0))),K226)))</f>
        <v> </v>
      </c>
      <c r="U226" s="319" t="str">
        <f aca="false">IF($A226="N/A"," ",Volume1*$AM226)</f>
        <v> </v>
      </c>
      <c r="V226" s="320" t="str">
        <f aca="false">IF($A226="N/A"," ",$U226*(8*($BQ226))*L226)</f>
        <v> </v>
      </c>
      <c r="W226" s="320" t="str">
        <f aca="false">IF($A226="N/A"," ",$U226*(8*($BQ226))*M226)</f>
        <v> </v>
      </c>
      <c r="X226" s="320" t="str">
        <f aca="false">IF($A226="N/A"," ",$U226*(8*($BQ226))*N226)</f>
        <v> </v>
      </c>
      <c r="Y226" s="320" t="str">
        <f aca="false">IF($A226="N/A"," ",$U226*(8*($BR226))*O226)</f>
        <v> </v>
      </c>
      <c r="Z226" s="320" t="str">
        <f aca="false">IF($A226="N/A"," ",$U226*(8*($BR226))*P226)</f>
        <v> </v>
      </c>
      <c r="AA226" s="320" t="str">
        <f aca="false">IF($A226="N/A"," ",$U226*(8*($BR226))*Q226)</f>
        <v> </v>
      </c>
      <c r="AB226" s="320" t="str">
        <f aca="false">IF($A226="N/A"," ",$U226*(8*($BS226))*R226)</f>
        <v> </v>
      </c>
      <c r="AC226" s="320" t="str">
        <f aca="false">IF($A226="N/A"," ",$U226*(8*($BS226))*S226)</f>
        <v> </v>
      </c>
      <c r="AD226" s="320" t="str">
        <f aca="false">IF($A226="N/A"," ",$U226*(8*($BS226))*T226)</f>
        <v> </v>
      </c>
      <c r="AE226" s="320" t="str">
        <f aca="false">IF($A226="N/A"," ",SUM(V226:AD226))</f>
        <v> </v>
      </c>
      <c r="AF226" s="321" t="str">
        <f aca="false">IF(A226="N/A"," ",(VLOOKUP(A226,PowerVolTable,(IF(VolBMO1=2,7,IF(VolBMO1=1,6,8))),FALSE())))</f>
        <v> </v>
      </c>
      <c r="AG226" s="321" t="str">
        <f aca="false">IF(A226="N/A"," ",(VLOOKUP(A226,IntraPowerVol,(IF(VolBMO1=2,3,IF(VolBMO1=1,2,4))),FALSE())*VLOOKUP(MONTH($A226),Volscale,2)))</f>
        <v> </v>
      </c>
      <c r="AH226" s="321" t="str">
        <f aca="false">IF($A226="N/A"," ",IF(VolType1=1,AG226,AF226))</f>
        <v> </v>
      </c>
      <c r="AI226" s="321" t="str">
        <f aca="false">IF($A226="N/A"," ",(VLOOKUP($A226,OffPwrVolTable,(IF(VolBMO1=2,7,IF(VolBMO1=1,6,8))),FALSE())))</f>
        <v> </v>
      </c>
      <c r="AJ226" s="321" t="str">
        <f aca="false">IF($A226="N/A"," ",(VLOOKUP($A226,OffPwrVolTable,(IF(VolBMO1=2,3,IF(VolBMO1=1,2,4))),FALSE())*VLOOKUP(MONTH($A226),Volscale,2)))</f>
        <v> </v>
      </c>
      <c r="AK226" s="321" t="str">
        <f aca="false">IF($A226="N/A"," ",IF(VolType1=1,AJ226,AI226))</f>
        <v> </v>
      </c>
      <c r="AL226" s="321" t="str">
        <f aca="false">IF($A226="N/A"," ",IF(PV=1,0,'Pricing Inputs1'!R259))</f>
        <v> </v>
      </c>
      <c r="AM226" s="323" t="str">
        <f aca="false">IF($A226="N/A"," ",(1+AL226/2)^(-2*((EOMONTH(A226,0)+20)-DateToday)/365.25))</f>
        <v> </v>
      </c>
      <c r="BQ226" s="0" t="str">
        <f aca="false">IF($A226="N/A"," ",(VLOOKUP($A226,NumberofDaysTable,2)))</f>
        <v> </v>
      </c>
      <c r="BR226" s="0" t="str">
        <f aca="false">IF($A226="N/A"," ",(VLOOKUP($A226,NumberofDaysTable,3)))</f>
        <v> </v>
      </c>
      <c r="BS226" s="0" t="str">
        <f aca="false">IF($A226="N/A"," ",(VLOOKUP($A226,NumberofDaysTable,4)))</f>
        <v> </v>
      </c>
    </row>
    <row r="227" customFormat="false" ht="12.75" hidden="false" customHeight="false" outlineLevel="0" collapsed="false">
      <c r="A227" s="315" t="str">
        <f aca="false">IF(A226="N/A","N/A",IF(EDATE(A226,1)&gt;Inputs!$M$5,"N/A",EDATE(A226,1)))</f>
        <v>N/A</v>
      </c>
      <c r="B227" s="316" t="str">
        <f aca="false">IF(A227="N/A"," ",YEAR(A227))</f>
        <v> </v>
      </c>
      <c r="C227" s="324" t="str">
        <f aca="false">IF($A227="N/A"," ",IF(Dayrun1=10,0,IF(Scaler1=1,(VLOOKUP(A227,ScaledPrice1,4)),(VLOOKUP(A227,ScaledPrice1,2)))))</f>
        <v> </v>
      </c>
      <c r="D227" s="317" t="str">
        <f aca="false">IF(A227="N/A"," ",IF(Dayrun1&gt;=7,0,IF(Scaler1=2,VLOOKUP(A227,ScaledPrice1,2),(VLOOKUP(A227,ScaledPrice1,2))*(2-(VLOOKUP(A227,ScaledPrice1,3))))))</f>
        <v> </v>
      </c>
      <c r="E227" s="317" t="str">
        <f aca="false">IF($A227="N/A"," ",IF(AND(Dayrun1&gt;=4,Dayrun1&lt;=9),0,VLOOKUP($A227,ScaledPrice1,9)))</f>
        <v> </v>
      </c>
      <c r="F227" s="317" t="str">
        <f aca="false">IF(A227="N/A"," ",IF(OR(Dayrun1=2,Dayrun1=3,Dayrun1=5,Dayrun1=6,Dayrun1=8,Dayrun1=9),VLOOKUP(A227,ScaledPrice1,IF(Scaler1=1,6,5)),0))</f>
        <v> </v>
      </c>
      <c r="G227" s="317" t="str">
        <f aca="false">IF(A227="N/A"," ",IF(OR(Dayrun1=2,Dayrun1=3,Dayrun1=5,Dayrun1=6),IF(Scaler1=2,F227,(VLOOKUP(A227,ScaledPrice1,5))*(2-(VLOOKUP(A227,ScaledPrice1,3)))),0))</f>
        <v> </v>
      </c>
      <c r="H227" s="317" t="str">
        <f aca="false">IF($A227="N/A"," ",IF(OR(Dayrun1=2,Dayrun1=3,Dayrun1=10),VLOOKUP($A227,ScaledPrice1,9),0))</f>
        <v> </v>
      </c>
      <c r="I227" s="317" t="str">
        <f aca="false">IF(A227="N/A"," ",IF(OR(Dayrun1=3,Dayrun1=6,Dayrun1=9),(VLOOKUP(A227,ScaledPrice1,IF(Scaler1=2,7,8))),0))</f>
        <v> </v>
      </c>
      <c r="J227" s="317" t="str">
        <f aca="false">IF(A227="N/A"," ",IF(OR(Dayrun1=3,Dayrun1=6),IF(Scaler1=2,I227,(VLOOKUP(A227,ScaledPrice1,7))*(2-(VLOOKUP(A227,ScaledPrice1,3)))),0))</f>
        <v> </v>
      </c>
      <c r="K227" s="317" t="str">
        <f aca="false">IF($A227="N/A"," ",IF(OR(Dayrun1=3,Dayrun1=10),VLOOKUP($A227,ScaledPrice1,9),0))</f>
        <v> </v>
      </c>
      <c r="L227" s="318" t="str">
        <f aca="false">IF($A227="N/A"," ",IF(Pricetype1=2,MAX(C227,0),IF(OR(Pricetype1=1,Pricetype1=4),IF(C227=0,0,(EURO(C227,Strikeprice1,0,0,($AH227+IF(Smile=TRUE(),VLOOKUP(MAX(-5,Strikeprice1-C227),Volsmile,2),0)),($A227-DateToday)+15,IF(Pricetype1=1,1,0),0))),C227)))</f>
        <v> </v>
      </c>
      <c r="M227" s="318" t="str">
        <f aca="false">IF($A227="N/A"," ",IF(Pricetype1=2,MAX(D227,0),IF(OR(Pricetype1=1,Pricetype1=4),IF(D227=0,0,(EURO(D227,Strikeprice1,0,0,($AH227+IF(Smile=TRUE(),VLOOKUP(MAX(-5,Strikeprice1-D227),Volsmile,2),0)),($A227-DateToday)+15,IF(Pricetype1=1,1,0),0))),D227)))</f>
        <v> </v>
      </c>
      <c r="N227" s="318" t="str">
        <f aca="false">IF($A227="N/A"," ",IF(Pricetype1=2,MAX(E227,0),IF(OR(Pricetype1=1,Pricetype1=4),IF(E227=0,0,(EURO(E227,Strikeprice1,0,0,($AK227+IF(Smile=TRUE(),VLOOKUP(MAX(-5,Strikeprice1-E227),Volsmile,2),0)),($A227-DateToday)+15,IF(Pricetype1=1,1,0),0))),E227)))</f>
        <v> </v>
      </c>
      <c r="O227" s="318" t="str">
        <f aca="false">IF($A227="N/A"," ",IF(Pricetype1=2,MAX(F227,0),IF(OR(Pricetype1=1,Pricetype1=4),IF(F227=0,0,(EURO(F227,Strikeprice1,0,0,($AK227+IF(Smile=TRUE(),VLOOKUP(MAX(-5,Strikeprice1-F227),Volsmile,2),0)),($A227-DateToday)+15,IF(Pricetype1=1,1,0),0))),F227)))</f>
        <v> </v>
      </c>
      <c r="P227" s="318" t="str">
        <f aca="false">IF($A227="N/A"," ",IF(Pricetype1=2,MAX(G227,0),IF(OR(Pricetype1=1,Pricetype1=4),IF(G227=0,0,(EURO(G227,Strikeprice1,0,0,($AK227+IF(Smile=TRUE(),VLOOKUP(MAX(-5,Strikeprice1-G227),Volsmile,2),0)),($A227-DateToday)+15,IF(Pricetype1=1,1,0),0))),G227)))</f>
        <v> </v>
      </c>
      <c r="Q227" s="318" t="str">
        <f aca="false">IF($A227="N/A"," ",IF(Pricetype1=2,MAX(H227,0),IF(OR(Pricetype1=1,Pricetype1=4),IF(H227=0,0,(EURO(H227,Strikeprice1,0,0,($AK227+IF(Smile=TRUE(),VLOOKUP(MAX(-5,Strikeprice1-H227),Volsmile,2),0)),($A227-DateToday)+15,IF(Pricetype1=1,1,0),0))),H227)))</f>
        <v> </v>
      </c>
      <c r="R227" s="318" t="str">
        <f aca="false">IF($A227="N/A"," ",IF(Pricetype1=2,MAX(I227,0),IF(OR(Pricetype1=1,Pricetype1=4),IF(I227=0,0,(EURO(I227,Strikeprice1,0,0,($AK227+IF(Smile=TRUE(),VLOOKUP(MAX(-5,Strikeprice1-I227),Volsmile,2),0)),($A227-DateToday)+15,IF(Pricetype1=1,1,0),0))),I227)))</f>
        <v> </v>
      </c>
      <c r="S227" s="318" t="str">
        <f aca="false">IF($A227="N/A"," ",IF(Pricetype1=2,MAX(J227,0),IF(OR(Pricetype1=1,Pricetype1=4),IF(J227=0,0,(EURO(J227,Strikeprice1,0,0,($AK227+IF(Smile=TRUE(),VLOOKUP(MAX(-5,Strikeprice1-J227),Volsmile,2),0)),($A227-DateToday)+15,IF(Pricetype1=1,1,0),0))),J227)))</f>
        <v> </v>
      </c>
      <c r="T227" s="318" t="str">
        <f aca="false">IF($A227="N/A"," ",IF(Pricetype1=2,MAX(K227,0),IF(OR(Pricetype1=1,Pricetype1=4),IF(K227=0,0,(EURO(K227,Strikeprice1,0,0,($AK227+IF(Smile=TRUE(),VLOOKUP(MAX(-5,Strikeprice1-K227),Volsmile,2),0)),($A227-DateToday)+15,IF(Pricetype1=1,1,0),0))),K227)))</f>
        <v> </v>
      </c>
      <c r="U227" s="319" t="str">
        <f aca="false">IF($A227="N/A"," ",Volume1*$AM227)</f>
        <v> </v>
      </c>
      <c r="V227" s="320" t="str">
        <f aca="false">IF($A227="N/A"," ",$U227*(8*($BQ227))*L227)</f>
        <v> </v>
      </c>
      <c r="W227" s="320" t="str">
        <f aca="false">IF($A227="N/A"," ",$U227*(8*($BQ227))*M227)</f>
        <v> </v>
      </c>
      <c r="X227" s="320" t="str">
        <f aca="false">IF($A227="N/A"," ",$U227*(8*($BQ227))*N227)</f>
        <v> </v>
      </c>
      <c r="Y227" s="320" t="str">
        <f aca="false">IF($A227="N/A"," ",$U227*(8*($BR227))*O227)</f>
        <v> </v>
      </c>
      <c r="Z227" s="320" t="str">
        <f aca="false">IF($A227="N/A"," ",$U227*(8*($BR227))*P227)</f>
        <v> </v>
      </c>
      <c r="AA227" s="320" t="str">
        <f aca="false">IF($A227="N/A"," ",$U227*(8*($BR227))*Q227)</f>
        <v> </v>
      </c>
      <c r="AB227" s="320" t="str">
        <f aca="false">IF($A227="N/A"," ",$U227*(8*($BS227))*R227)</f>
        <v> </v>
      </c>
      <c r="AC227" s="320" t="str">
        <f aca="false">IF($A227="N/A"," ",$U227*(8*($BS227))*S227)</f>
        <v> </v>
      </c>
      <c r="AD227" s="320" t="str">
        <f aca="false">IF($A227="N/A"," ",$U227*(8*($BS227))*T227)</f>
        <v> </v>
      </c>
      <c r="AE227" s="320" t="str">
        <f aca="false">IF($A227="N/A"," ",SUM(V227:AD227))</f>
        <v> </v>
      </c>
      <c r="AF227" s="321" t="str">
        <f aca="false">IF(A227="N/A"," ",(VLOOKUP(A227,PowerVolTable,(IF(VolBMO1=2,7,IF(VolBMO1=1,6,8))),FALSE())))</f>
        <v> </v>
      </c>
      <c r="AG227" s="321" t="str">
        <f aca="false">IF(A227="N/A"," ",(VLOOKUP(A227,IntraPowerVol,(IF(VolBMO1=2,3,IF(VolBMO1=1,2,4))),FALSE())*VLOOKUP(MONTH($A227),Volscale,2)))</f>
        <v> </v>
      </c>
      <c r="AH227" s="321" t="str">
        <f aca="false">IF($A227="N/A"," ",IF(VolType1=1,AG227,AF227))</f>
        <v> </v>
      </c>
      <c r="AI227" s="321" t="str">
        <f aca="false">IF($A227="N/A"," ",(VLOOKUP($A227,OffPwrVolTable,(IF(VolBMO1=2,7,IF(VolBMO1=1,6,8))),FALSE())))</f>
        <v> </v>
      </c>
      <c r="AJ227" s="321" t="str">
        <f aca="false">IF($A227="N/A"," ",(VLOOKUP($A227,OffPwrVolTable,(IF(VolBMO1=2,3,IF(VolBMO1=1,2,4))),FALSE())*VLOOKUP(MONTH($A227),Volscale,2)))</f>
        <v> </v>
      </c>
      <c r="AK227" s="321" t="str">
        <f aca="false">IF($A227="N/A"," ",IF(VolType1=1,AJ227,AI227))</f>
        <v> </v>
      </c>
      <c r="AL227" s="321" t="str">
        <f aca="false">IF($A227="N/A"," ",IF(PV=1,0,'Pricing Inputs1'!R260))</f>
        <v> </v>
      </c>
      <c r="AM227" s="323" t="str">
        <f aca="false">IF($A227="N/A"," ",(1+AL227/2)^(-2*((EOMONTH(A227,0)+20)-DateToday)/365.25))</f>
        <v> </v>
      </c>
      <c r="BQ227" s="0" t="str">
        <f aca="false">IF($A227="N/A"," ",(VLOOKUP($A227,NumberofDaysTable,2)))</f>
        <v> </v>
      </c>
      <c r="BR227" s="0" t="str">
        <f aca="false">IF($A227="N/A"," ",(VLOOKUP($A227,NumberofDaysTable,3)))</f>
        <v> </v>
      </c>
      <c r="BS227" s="0" t="str">
        <f aca="false">IF($A227="N/A"," ",(VLOOKUP($A227,NumberofDaysTable,4)))</f>
        <v> </v>
      </c>
    </row>
    <row r="228" customFormat="false" ht="12.75" hidden="false" customHeight="false" outlineLevel="0" collapsed="false">
      <c r="A228" s="315" t="str">
        <f aca="false">IF(A227="N/A","N/A",IF(EDATE(A227,1)&gt;Inputs!$M$5,"N/A",EDATE(A227,1)))</f>
        <v>N/A</v>
      </c>
      <c r="B228" s="316" t="str">
        <f aca="false">IF(A228="N/A"," ",YEAR(A228))</f>
        <v> </v>
      </c>
      <c r="C228" s="324" t="str">
        <f aca="false">IF($A228="N/A"," ",IF(Dayrun1=10,0,IF(Scaler1=1,(VLOOKUP(A228,ScaledPrice1,4)),(VLOOKUP(A228,ScaledPrice1,2)))))</f>
        <v> </v>
      </c>
      <c r="D228" s="317" t="str">
        <f aca="false">IF(A228="N/A"," ",IF(Dayrun1&gt;=7,0,IF(Scaler1=2,VLOOKUP(A228,ScaledPrice1,2),(VLOOKUP(A228,ScaledPrice1,2))*(2-(VLOOKUP(A228,ScaledPrice1,3))))))</f>
        <v> </v>
      </c>
      <c r="E228" s="317" t="str">
        <f aca="false">IF($A228="N/A"," ",IF(AND(Dayrun1&gt;=4,Dayrun1&lt;=9),0,VLOOKUP($A228,ScaledPrice1,9)))</f>
        <v> </v>
      </c>
      <c r="F228" s="317" t="str">
        <f aca="false">IF(A228="N/A"," ",IF(OR(Dayrun1=2,Dayrun1=3,Dayrun1=5,Dayrun1=6,Dayrun1=8,Dayrun1=9),VLOOKUP(A228,ScaledPrice1,IF(Scaler1=1,6,5)),0))</f>
        <v> </v>
      </c>
      <c r="G228" s="317" t="str">
        <f aca="false">IF(A228="N/A"," ",IF(OR(Dayrun1=2,Dayrun1=3,Dayrun1=5,Dayrun1=6),IF(Scaler1=2,F228,(VLOOKUP(A228,ScaledPrice1,5))*(2-(VLOOKUP(A228,ScaledPrice1,3)))),0))</f>
        <v> </v>
      </c>
      <c r="H228" s="317" t="str">
        <f aca="false">IF($A228="N/A"," ",IF(OR(Dayrun1=2,Dayrun1=3,Dayrun1=10),VLOOKUP($A228,ScaledPrice1,9),0))</f>
        <v> </v>
      </c>
      <c r="I228" s="317" t="str">
        <f aca="false">IF(A228="N/A"," ",IF(OR(Dayrun1=3,Dayrun1=6,Dayrun1=9),(VLOOKUP(A228,ScaledPrice1,IF(Scaler1=2,7,8))),0))</f>
        <v> </v>
      </c>
      <c r="J228" s="317" t="str">
        <f aca="false">IF(A228="N/A"," ",IF(OR(Dayrun1=3,Dayrun1=6),IF(Scaler1=2,I228,(VLOOKUP(A228,ScaledPrice1,7))*(2-(VLOOKUP(A228,ScaledPrice1,3)))),0))</f>
        <v> </v>
      </c>
      <c r="K228" s="317" t="str">
        <f aca="false">IF($A228="N/A"," ",IF(OR(Dayrun1=3,Dayrun1=10),VLOOKUP($A228,ScaledPrice1,9),0))</f>
        <v> </v>
      </c>
      <c r="L228" s="318" t="str">
        <f aca="false">IF($A228="N/A"," ",IF(Pricetype1=2,MAX(C228,0),IF(OR(Pricetype1=1,Pricetype1=4),IF(C228=0,0,(EURO(C228,Strikeprice1,0,0,($AH228+IF(Smile=TRUE(),VLOOKUP(MAX(-5,Strikeprice1-C228),Volsmile,2),0)),($A228-DateToday)+15,IF(Pricetype1=1,1,0),0))),C228)))</f>
        <v> </v>
      </c>
      <c r="M228" s="318" t="str">
        <f aca="false">IF($A228="N/A"," ",IF(Pricetype1=2,MAX(D228,0),IF(OR(Pricetype1=1,Pricetype1=4),IF(D228=0,0,(EURO(D228,Strikeprice1,0,0,($AH228+IF(Smile=TRUE(),VLOOKUP(MAX(-5,Strikeprice1-D228),Volsmile,2),0)),($A228-DateToday)+15,IF(Pricetype1=1,1,0),0))),D228)))</f>
        <v> </v>
      </c>
      <c r="N228" s="318" t="str">
        <f aca="false">IF($A228="N/A"," ",IF(Pricetype1=2,MAX(E228,0),IF(OR(Pricetype1=1,Pricetype1=4),IF(E228=0,0,(EURO(E228,Strikeprice1,0,0,($AK228+IF(Smile=TRUE(),VLOOKUP(MAX(-5,Strikeprice1-E228),Volsmile,2),0)),($A228-DateToday)+15,IF(Pricetype1=1,1,0),0))),E228)))</f>
        <v> </v>
      </c>
      <c r="O228" s="318" t="str">
        <f aca="false">IF($A228="N/A"," ",IF(Pricetype1=2,MAX(F228,0),IF(OR(Pricetype1=1,Pricetype1=4),IF(F228=0,0,(EURO(F228,Strikeprice1,0,0,($AK228+IF(Smile=TRUE(),VLOOKUP(MAX(-5,Strikeprice1-F228),Volsmile,2),0)),($A228-DateToday)+15,IF(Pricetype1=1,1,0),0))),F228)))</f>
        <v> </v>
      </c>
      <c r="P228" s="318" t="str">
        <f aca="false">IF($A228="N/A"," ",IF(Pricetype1=2,MAX(G228,0),IF(OR(Pricetype1=1,Pricetype1=4),IF(G228=0,0,(EURO(G228,Strikeprice1,0,0,($AK228+IF(Smile=TRUE(),VLOOKUP(MAX(-5,Strikeprice1-G228),Volsmile,2),0)),($A228-DateToday)+15,IF(Pricetype1=1,1,0),0))),G228)))</f>
        <v> </v>
      </c>
      <c r="Q228" s="318" t="str">
        <f aca="false">IF($A228="N/A"," ",IF(Pricetype1=2,MAX(H228,0),IF(OR(Pricetype1=1,Pricetype1=4),IF(H228=0,0,(EURO(H228,Strikeprice1,0,0,($AK228+IF(Smile=TRUE(),VLOOKUP(MAX(-5,Strikeprice1-H228),Volsmile,2),0)),($A228-DateToday)+15,IF(Pricetype1=1,1,0),0))),H228)))</f>
        <v> </v>
      </c>
      <c r="R228" s="318" t="str">
        <f aca="false">IF($A228="N/A"," ",IF(Pricetype1=2,MAX(I228,0),IF(OR(Pricetype1=1,Pricetype1=4),IF(I228=0,0,(EURO(I228,Strikeprice1,0,0,($AK228+IF(Smile=TRUE(),VLOOKUP(MAX(-5,Strikeprice1-I228),Volsmile,2),0)),($A228-DateToday)+15,IF(Pricetype1=1,1,0),0))),I228)))</f>
        <v> </v>
      </c>
      <c r="S228" s="318" t="str">
        <f aca="false">IF($A228="N/A"," ",IF(Pricetype1=2,MAX(J228,0),IF(OR(Pricetype1=1,Pricetype1=4),IF(J228=0,0,(EURO(J228,Strikeprice1,0,0,($AK228+IF(Smile=TRUE(),VLOOKUP(MAX(-5,Strikeprice1-J228),Volsmile,2),0)),($A228-DateToday)+15,IF(Pricetype1=1,1,0),0))),J228)))</f>
        <v> </v>
      </c>
      <c r="T228" s="318" t="str">
        <f aca="false">IF($A228="N/A"," ",IF(Pricetype1=2,MAX(K228,0),IF(OR(Pricetype1=1,Pricetype1=4),IF(K228=0,0,(EURO(K228,Strikeprice1,0,0,($AK228+IF(Smile=TRUE(),VLOOKUP(MAX(-5,Strikeprice1-K228),Volsmile,2),0)),($A228-DateToday)+15,IF(Pricetype1=1,1,0),0))),K228)))</f>
        <v> </v>
      </c>
      <c r="U228" s="319" t="str">
        <f aca="false">IF($A228="N/A"," ",Volume1*$AM228)</f>
        <v> </v>
      </c>
      <c r="V228" s="320" t="str">
        <f aca="false">IF($A228="N/A"," ",$U228*(8*($BQ228))*L228)</f>
        <v> </v>
      </c>
      <c r="W228" s="320" t="str">
        <f aca="false">IF($A228="N/A"," ",$U228*(8*($BQ228))*M228)</f>
        <v> </v>
      </c>
      <c r="X228" s="320" t="str">
        <f aca="false">IF($A228="N/A"," ",$U228*(8*($BQ228))*N228)</f>
        <v> </v>
      </c>
      <c r="Y228" s="320" t="str">
        <f aca="false">IF($A228="N/A"," ",$U228*(8*($BR228))*O228)</f>
        <v> </v>
      </c>
      <c r="Z228" s="320" t="str">
        <f aca="false">IF($A228="N/A"," ",$U228*(8*($BR228))*P228)</f>
        <v> </v>
      </c>
      <c r="AA228" s="320" t="str">
        <f aca="false">IF($A228="N/A"," ",$U228*(8*($BR228))*Q228)</f>
        <v> </v>
      </c>
      <c r="AB228" s="320" t="str">
        <f aca="false">IF($A228="N/A"," ",$U228*(8*($BS228))*R228)</f>
        <v> </v>
      </c>
      <c r="AC228" s="320" t="str">
        <f aca="false">IF($A228="N/A"," ",$U228*(8*($BS228))*S228)</f>
        <v> </v>
      </c>
      <c r="AD228" s="320" t="str">
        <f aca="false">IF($A228="N/A"," ",$U228*(8*($BS228))*T228)</f>
        <v> </v>
      </c>
      <c r="AE228" s="320" t="str">
        <f aca="false">IF($A228="N/A"," ",SUM(V228:AD228))</f>
        <v> </v>
      </c>
      <c r="AF228" s="321" t="str">
        <f aca="false">IF(A228="N/A"," ",(VLOOKUP(A228,PowerVolTable,(IF(VolBMO1=2,7,IF(VolBMO1=1,6,8))),FALSE())))</f>
        <v> </v>
      </c>
      <c r="AG228" s="321" t="str">
        <f aca="false">IF(A228="N/A"," ",(VLOOKUP(A228,IntraPowerVol,(IF(VolBMO1=2,3,IF(VolBMO1=1,2,4))),FALSE())*VLOOKUP(MONTH($A228),Volscale,2)))</f>
        <v> </v>
      </c>
      <c r="AH228" s="321" t="str">
        <f aca="false">IF($A228="N/A"," ",IF(VolType1=1,AG228,AF228))</f>
        <v> </v>
      </c>
      <c r="AI228" s="321" t="str">
        <f aca="false">IF($A228="N/A"," ",(VLOOKUP($A228,OffPwrVolTable,(IF(VolBMO1=2,7,IF(VolBMO1=1,6,8))),FALSE())))</f>
        <v> </v>
      </c>
      <c r="AJ228" s="321" t="str">
        <f aca="false">IF($A228="N/A"," ",(VLOOKUP($A228,OffPwrVolTable,(IF(VolBMO1=2,3,IF(VolBMO1=1,2,4))),FALSE())*VLOOKUP(MONTH($A228),Volscale,2)))</f>
        <v> </v>
      </c>
      <c r="AK228" s="321" t="str">
        <f aca="false">IF($A228="N/A"," ",IF(VolType1=1,AJ228,AI228))</f>
        <v> </v>
      </c>
      <c r="AL228" s="321" t="str">
        <f aca="false">IF($A228="N/A"," ",IF(PV=1,0,'Pricing Inputs1'!R261))</f>
        <v> </v>
      </c>
      <c r="AM228" s="323" t="str">
        <f aca="false">IF($A228="N/A"," ",(1+AL228/2)^(-2*((EOMONTH(A228,0)+20)-DateToday)/365.25))</f>
        <v> </v>
      </c>
      <c r="BQ228" s="0" t="str">
        <f aca="false">IF($A228="N/A"," ",(VLOOKUP($A228,NumberofDaysTable,2)))</f>
        <v> </v>
      </c>
      <c r="BR228" s="0" t="str">
        <f aca="false">IF($A228="N/A"," ",(VLOOKUP($A228,NumberofDaysTable,3)))</f>
        <v> </v>
      </c>
      <c r="BS228" s="0" t="str">
        <f aca="false">IF($A228="N/A"," ",(VLOOKUP($A228,NumberofDaysTable,4)))</f>
        <v> </v>
      </c>
    </row>
    <row r="229" customFormat="false" ht="12.75" hidden="false" customHeight="false" outlineLevel="0" collapsed="false">
      <c r="A229" s="315" t="str">
        <f aca="false">IF(A228="N/A","N/A",IF(EDATE(A228,1)&gt;Inputs!$M$5,"N/A",EDATE(A228,1)))</f>
        <v>N/A</v>
      </c>
      <c r="B229" s="316" t="str">
        <f aca="false">IF(A229="N/A"," ",YEAR(A229))</f>
        <v> </v>
      </c>
      <c r="C229" s="324" t="str">
        <f aca="false">IF($A229="N/A"," ",IF(Dayrun1=10,0,IF(Scaler1=1,(VLOOKUP(A229,ScaledPrice1,4)),(VLOOKUP(A229,ScaledPrice1,2)))))</f>
        <v> </v>
      </c>
      <c r="D229" s="317" t="str">
        <f aca="false">IF(A229="N/A"," ",IF(Dayrun1&gt;=7,0,IF(Scaler1=2,VLOOKUP(A229,ScaledPrice1,2),(VLOOKUP(A229,ScaledPrice1,2))*(2-(VLOOKUP(A229,ScaledPrice1,3))))))</f>
        <v> </v>
      </c>
      <c r="E229" s="317" t="str">
        <f aca="false">IF($A229="N/A"," ",IF(AND(Dayrun1&gt;=4,Dayrun1&lt;=9),0,VLOOKUP($A229,ScaledPrice1,9)))</f>
        <v> </v>
      </c>
      <c r="F229" s="317" t="str">
        <f aca="false">IF(A229="N/A"," ",IF(OR(Dayrun1=2,Dayrun1=3,Dayrun1=5,Dayrun1=6,Dayrun1=8,Dayrun1=9),VLOOKUP(A229,ScaledPrice1,IF(Scaler1=1,6,5)),0))</f>
        <v> </v>
      </c>
      <c r="G229" s="317" t="str">
        <f aca="false">IF(A229="N/A"," ",IF(OR(Dayrun1=2,Dayrun1=3,Dayrun1=5,Dayrun1=6),IF(Scaler1=2,F229,(VLOOKUP(A229,ScaledPrice1,5))*(2-(VLOOKUP(A229,ScaledPrice1,3)))),0))</f>
        <v> </v>
      </c>
      <c r="H229" s="317" t="str">
        <f aca="false">IF($A229="N/A"," ",IF(OR(Dayrun1=2,Dayrun1=3,Dayrun1=10),VLOOKUP($A229,ScaledPrice1,9),0))</f>
        <v> </v>
      </c>
      <c r="I229" s="317" t="str">
        <f aca="false">IF(A229="N/A"," ",IF(OR(Dayrun1=3,Dayrun1=6,Dayrun1=9),(VLOOKUP(A229,ScaledPrice1,IF(Scaler1=2,7,8))),0))</f>
        <v> </v>
      </c>
      <c r="J229" s="317" t="str">
        <f aca="false">IF(A229="N/A"," ",IF(OR(Dayrun1=3,Dayrun1=6),IF(Scaler1=2,I229,(VLOOKUP(A229,ScaledPrice1,7))*(2-(VLOOKUP(A229,ScaledPrice1,3)))),0))</f>
        <v> </v>
      </c>
      <c r="K229" s="317" t="str">
        <f aca="false">IF($A229="N/A"," ",IF(OR(Dayrun1=3,Dayrun1=10),VLOOKUP($A229,ScaledPrice1,9),0))</f>
        <v> </v>
      </c>
      <c r="L229" s="318" t="str">
        <f aca="false">IF($A229="N/A"," ",IF(Pricetype1=2,MAX(C229,0),IF(OR(Pricetype1=1,Pricetype1=4),IF(C229=0,0,(EURO(C229,Strikeprice1,0,0,($AH229+IF(Smile=TRUE(),VLOOKUP(MAX(-5,Strikeprice1-C229),Volsmile,2),0)),($A229-DateToday)+15,IF(Pricetype1=1,1,0),0))),C229)))</f>
        <v> </v>
      </c>
      <c r="M229" s="318" t="str">
        <f aca="false">IF($A229="N/A"," ",IF(Pricetype1=2,MAX(D229,0),IF(OR(Pricetype1=1,Pricetype1=4),IF(D229=0,0,(EURO(D229,Strikeprice1,0,0,($AH229+IF(Smile=TRUE(),VLOOKUP(MAX(-5,Strikeprice1-D229),Volsmile,2),0)),($A229-DateToday)+15,IF(Pricetype1=1,1,0),0))),D229)))</f>
        <v> </v>
      </c>
      <c r="N229" s="318" t="str">
        <f aca="false">IF($A229="N/A"," ",IF(Pricetype1=2,MAX(E229,0),IF(OR(Pricetype1=1,Pricetype1=4),IF(E229=0,0,(EURO(E229,Strikeprice1,0,0,($AK229+IF(Smile=TRUE(),VLOOKUP(MAX(-5,Strikeprice1-E229),Volsmile,2),0)),($A229-DateToday)+15,IF(Pricetype1=1,1,0),0))),E229)))</f>
        <v> </v>
      </c>
      <c r="O229" s="318" t="str">
        <f aca="false">IF($A229="N/A"," ",IF(Pricetype1=2,MAX(F229,0),IF(OR(Pricetype1=1,Pricetype1=4),IF(F229=0,0,(EURO(F229,Strikeprice1,0,0,($AK229+IF(Smile=TRUE(),VLOOKUP(MAX(-5,Strikeprice1-F229),Volsmile,2),0)),($A229-DateToday)+15,IF(Pricetype1=1,1,0),0))),F229)))</f>
        <v> </v>
      </c>
      <c r="P229" s="318" t="str">
        <f aca="false">IF($A229="N/A"," ",IF(Pricetype1=2,MAX(G229,0),IF(OR(Pricetype1=1,Pricetype1=4),IF(G229=0,0,(EURO(G229,Strikeprice1,0,0,($AK229+IF(Smile=TRUE(),VLOOKUP(MAX(-5,Strikeprice1-G229),Volsmile,2),0)),($A229-DateToday)+15,IF(Pricetype1=1,1,0),0))),G229)))</f>
        <v> </v>
      </c>
      <c r="Q229" s="318" t="str">
        <f aca="false">IF($A229="N/A"," ",IF(Pricetype1=2,MAX(H229,0),IF(OR(Pricetype1=1,Pricetype1=4),IF(H229=0,0,(EURO(H229,Strikeprice1,0,0,($AK229+IF(Smile=TRUE(),VLOOKUP(MAX(-5,Strikeprice1-H229),Volsmile,2),0)),($A229-DateToday)+15,IF(Pricetype1=1,1,0),0))),H229)))</f>
        <v> </v>
      </c>
      <c r="R229" s="318" t="str">
        <f aca="false">IF($A229="N/A"," ",IF(Pricetype1=2,MAX(I229,0),IF(OR(Pricetype1=1,Pricetype1=4),IF(I229=0,0,(EURO(I229,Strikeprice1,0,0,($AK229+IF(Smile=TRUE(),VLOOKUP(MAX(-5,Strikeprice1-I229),Volsmile,2),0)),($A229-DateToday)+15,IF(Pricetype1=1,1,0),0))),I229)))</f>
        <v> </v>
      </c>
      <c r="S229" s="318" t="str">
        <f aca="false">IF($A229="N/A"," ",IF(Pricetype1=2,MAX(J229,0),IF(OR(Pricetype1=1,Pricetype1=4),IF(J229=0,0,(EURO(J229,Strikeprice1,0,0,($AK229+IF(Smile=TRUE(),VLOOKUP(MAX(-5,Strikeprice1-J229),Volsmile,2),0)),($A229-DateToday)+15,IF(Pricetype1=1,1,0),0))),J229)))</f>
        <v> </v>
      </c>
      <c r="T229" s="318" t="str">
        <f aca="false">IF($A229="N/A"," ",IF(Pricetype1=2,MAX(K229,0),IF(OR(Pricetype1=1,Pricetype1=4),IF(K229=0,0,(EURO(K229,Strikeprice1,0,0,($AK229+IF(Smile=TRUE(),VLOOKUP(MAX(-5,Strikeprice1-K229),Volsmile,2),0)),($A229-DateToday)+15,IF(Pricetype1=1,1,0),0))),K229)))</f>
        <v> </v>
      </c>
      <c r="U229" s="319" t="str">
        <f aca="false">IF($A229="N/A"," ",Volume1*$AM229)</f>
        <v> </v>
      </c>
      <c r="V229" s="320" t="str">
        <f aca="false">IF($A229="N/A"," ",$U229*(8*($BQ229))*L229)</f>
        <v> </v>
      </c>
      <c r="W229" s="320" t="str">
        <f aca="false">IF($A229="N/A"," ",$U229*(8*($BQ229))*M229)</f>
        <v> </v>
      </c>
      <c r="X229" s="320" t="str">
        <f aca="false">IF($A229="N/A"," ",$U229*(8*($BQ229))*N229)</f>
        <v> </v>
      </c>
      <c r="Y229" s="320" t="str">
        <f aca="false">IF($A229="N/A"," ",$U229*(8*($BR229))*O229)</f>
        <v> </v>
      </c>
      <c r="Z229" s="320" t="str">
        <f aca="false">IF($A229="N/A"," ",$U229*(8*($BR229))*P229)</f>
        <v> </v>
      </c>
      <c r="AA229" s="320" t="str">
        <f aca="false">IF($A229="N/A"," ",$U229*(8*($BR229))*Q229)</f>
        <v> </v>
      </c>
      <c r="AB229" s="320" t="str">
        <f aca="false">IF($A229="N/A"," ",$U229*(8*($BS229))*R229)</f>
        <v> </v>
      </c>
      <c r="AC229" s="320" t="str">
        <f aca="false">IF($A229="N/A"," ",$U229*(8*($BS229))*S229)</f>
        <v> </v>
      </c>
      <c r="AD229" s="320" t="str">
        <f aca="false">IF($A229="N/A"," ",$U229*(8*($BS229))*T229)</f>
        <v> </v>
      </c>
      <c r="AE229" s="320" t="str">
        <f aca="false">IF($A229="N/A"," ",SUM(V229:AD229))</f>
        <v> </v>
      </c>
      <c r="AF229" s="321" t="str">
        <f aca="false">IF(A229="N/A"," ",(VLOOKUP(A229,PowerVolTable,(IF(VolBMO1=2,7,IF(VolBMO1=1,6,8))),FALSE())))</f>
        <v> </v>
      </c>
      <c r="AG229" s="321" t="str">
        <f aca="false">IF(A229="N/A"," ",(VLOOKUP(A229,IntraPowerVol,(IF(VolBMO1=2,3,IF(VolBMO1=1,2,4))),FALSE())*VLOOKUP(MONTH($A229),Volscale,2)))</f>
        <v> </v>
      </c>
      <c r="AH229" s="321" t="str">
        <f aca="false">IF($A229="N/A"," ",IF(VolType1=1,AG229,AF229))</f>
        <v> </v>
      </c>
      <c r="AI229" s="321" t="str">
        <f aca="false">IF($A229="N/A"," ",(VLOOKUP($A229,OffPwrVolTable,(IF(VolBMO1=2,7,IF(VolBMO1=1,6,8))),FALSE())))</f>
        <v> </v>
      </c>
      <c r="AJ229" s="321" t="str">
        <f aca="false">IF($A229="N/A"," ",(VLOOKUP($A229,OffPwrVolTable,(IF(VolBMO1=2,3,IF(VolBMO1=1,2,4))),FALSE())*VLOOKUP(MONTH($A229),Volscale,2)))</f>
        <v> </v>
      </c>
      <c r="AK229" s="321" t="str">
        <f aca="false">IF($A229="N/A"," ",IF(VolType1=1,AJ229,AI229))</f>
        <v> </v>
      </c>
      <c r="AL229" s="321" t="str">
        <f aca="false">IF($A229="N/A"," ",IF(PV=1,0,'Pricing Inputs1'!R262))</f>
        <v> </v>
      </c>
      <c r="AM229" s="323" t="str">
        <f aca="false">IF($A229="N/A"," ",(1+AL229/2)^(-2*((EOMONTH(A229,0)+20)-DateToday)/365.25))</f>
        <v> </v>
      </c>
      <c r="BQ229" s="0" t="str">
        <f aca="false">IF($A229="N/A"," ",(VLOOKUP($A229,NumberofDaysTable,2)))</f>
        <v> </v>
      </c>
      <c r="BR229" s="0" t="str">
        <f aca="false">IF($A229="N/A"," ",(VLOOKUP($A229,NumberofDaysTable,3)))</f>
        <v> </v>
      </c>
      <c r="BS229" s="0" t="str">
        <f aca="false">IF($A229="N/A"," ",(VLOOKUP($A229,NumberofDaysTable,4)))</f>
        <v> </v>
      </c>
    </row>
    <row r="230" customFormat="false" ht="12.75" hidden="false" customHeight="false" outlineLevel="0" collapsed="false">
      <c r="A230" s="315" t="str">
        <f aca="false">IF(A229="N/A","N/A",IF(EDATE(A229,1)&gt;Inputs!$M$5,"N/A",EDATE(A229,1)))</f>
        <v>N/A</v>
      </c>
      <c r="B230" s="316" t="str">
        <f aca="false">IF(A230="N/A"," ",YEAR(A230))</f>
        <v> </v>
      </c>
      <c r="C230" s="324" t="str">
        <f aca="false">IF($A230="N/A"," ",IF(Dayrun1=10,0,IF(Scaler1=1,(VLOOKUP(A230,ScaledPrice1,4)),(VLOOKUP(A230,ScaledPrice1,2)))))</f>
        <v> </v>
      </c>
      <c r="D230" s="317" t="str">
        <f aca="false">IF(A230="N/A"," ",IF(Dayrun1&gt;=7,0,IF(Scaler1=2,VLOOKUP(A230,ScaledPrice1,2),(VLOOKUP(A230,ScaledPrice1,2))*(2-(VLOOKUP(A230,ScaledPrice1,3))))))</f>
        <v> </v>
      </c>
      <c r="E230" s="317" t="str">
        <f aca="false">IF($A230="N/A"," ",IF(AND(Dayrun1&gt;=4,Dayrun1&lt;=9),0,VLOOKUP($A230,ScaledPrice1,9)))</f>
        <v> </v>
      </c>
      <c r="F230" s="317" t="str">
        <f aca="false">IF(A230="N/A"," ",IF(OR(Dayrun1=2,Dayrun1=3,Dayrun1=5,Dayrun1=6,Dayrun1=8,Dayrun1=9),VLOOKUP(A230,ScaledPrice1,IF(Scaler1=1,6,5)),0))</f>
        <v> </v>
      </c>
      <c r="G230" s="317" t="str">
        <f aca="false">IF(A230="N/A"," ",IF(OR(Dayrun1=2,Dayrun1=3,Dayrun1=5,Dayrun1=6),IF(Scaler1=2,F230,(VLOOKUP(A230,ScaledPrice1,5))*(2-(VLOOKUP(A230,ScaledPrice1,3)))),0))</f>
        <v> </v>
      </c>
      <c r="H230" s="317" t="str">
        <f aca="false">IF($A230="N/A"," ",IF(OR(Dayrun1=2,Dayrun1=3,Dayrun1=10),VLOOKUP($A230,ScaledPrice1,9),0))</f>
        <v> </v>
      </c>
      <c r="I230" s="317" t="str">
        <f aca="false">IF(A230="N/A"," ",IF(OR(Dayrun1=3,Dayrun1=6,Dayrun1=9),(VLOOKUP(A230,ScaledPrice1,IF(Scaler1=2,7,8))),0))</f>
        <v> </v>
      </c>
      <c r="J230" s="317" t="str">
        <f aca="false">IF(A230="N/A"," ",IF(OR(Dayrun1=3,Dayrun1=6),IF(Scaler1=2,I230,(VLOOKUP(A230,ScaledPrice1,7))*(2-(VLOOKUP(A230,ScaledPrice1,3)))),0))</f>
        <v> </v>
      </c>
      <c r="K230" s="317" t="str">
        <f aca="false">IF($A230="N/A"," ",IF(OR(Dayrun1=3,Dayrun1=10),VLOOKUP($A230,ScaledPrice1,9),0))</f>
        <v> </v>
      </c>
      <c r="L230" s="318" t="str">
        <f aca="false">IF($A230="N/A"," ",IF(Pricetype1=2,MAX(C230,0),IF(OR(Pricetype1=1,Pricetype1=4),IF(C230=0,0,(EURO(C230,Strikeprice1,0,0,($AH230+IF(Smile=TRUE(),VLOOKUP(MAX(-5,Strikeprice1-C230),Volsmile,2),0)),($A230-DateToday)+15,IF(Pricetype1=1,1,0),0))),C230)))</f>
        <v> </v>
      </c>
      <c r="M230" s="318" t="str">
        <f aca="false">IF($A230="N/A"," ",IF(Pricetype1=2,MAX(D230,0),IF(OR(Pricetype1=1,Pricetype1=4),IF(D230=0,0,(EURO(D230,Strikeprice1,0,0,($AH230+IF(Smile=TRUE(),VLOOKUP(MAX(-5,Strikeprice1-D230),Volsmile,2),0)),($A230-DateToday)+15,IF(Pricetype1=1,1,0),0))),D230)))</f>
        <v> </v>
      </c>
      <c r="N230" s="318" t="str">
        <f aca="false">IF($A230="N/A"," ",IF(Pricetype1=2,MAX(E230,0),IF(OR(Pricetype1=1,Pricetype1=4),IF(E230=0,0,(EURO(E230,Strikeprice1,0,0,($AK230+IF(Smile=TRUE(),VLOOKUP(MAX(-5,Strikeprice1-E230),Volsmile,2),0)),($A230-DateToday)+15,IF(Pricetype1=1,1,0),0))),E230)))</f>
        <v> </v>
      </c>
      <c r="O230" s="318" t="str">
        <f aca="false">IF($A230="N/A"," ",IF(Pricetype1=2,MAX(F230,0),IF(OR(Pricetype1=1,Pricetype1=4),IF(F230=0,0,(EURO(F230,Strikeprice1,0,0,($AK230+IF(Smile=TRUE(),VLOOKUP(MAX(-5,Strikeprice1-F230),Volsmile,2),0)),($A230-DateToday)+15,IF(Pricetype1=1,1,0),0))),F230)))</f>
        <v> </v>
      </c>
      <c r="P230" s="318" t="str">
        <f aca="false">IF($A230="N/A"," ",IF(Pricetype1=2,MAX(G230,0),IF(OR(Pricetype1=1,Pricetype1=4),IF(G230=0,0,(EURO(G230,Strikeprice1,0,0,($AK230+IF(Smile=TRUE(),VLOOKUP(MAX(-5,Strikeprice1-G230),Volsmile,2),0)),($A230-DateToday)+15,IF(Pricetype1=1,1,0),0))),G230)))</f>
        <v> </v>
      </c>
      <c r="Q230" s="318" t="str">
        <f aca="false">IF($A230="N/A"," ",IF(Pricetype1=2,MAX(H230,0),IF(OR(Pricetype1=1,Pricetype1=4),IF(H230=0,0,(EURO(H230,Strikeprice1,0,0,($AK230+IF(Smile=TRUE(),VLOOKUP(MAX(-5,Strikeprice1-H230),Volsmile,2),0)),($A230-DateToday)+15,IF(Pricetype1=1,1,0),0))),H230)))</f>
        <v> </v>
      </c>
      <c r="R230" s="318" t="str">
        <f aca="false">IF($A230="N/A"," ",IF(Pricetype1=2,MAX(I230,0),IF(OR(Pricetype1=1,Pricetype1=4),IF(I230=0,0,(EURO(I230,Strikeprice1,0,0,($AK230+IF(Smile=TRUE(),VLOOKUP(MAX(-5,Strikeprice1-I230),Volsmile,2),0)),($A230-DateToday)+15,IF(Pricetype1=1,1,0),0))),I230)))</f>
        <v> </v>
      </c>
      <c r="S230" s="318" t="str">
        <f aca="false">IF($A230="N/A"," ",IF(Pricetype1=2,MAX(J230,0),IF(OR(Pricetype1=1,Pricetype1=4),IF(J230=0,0,(EURO(J230,Strikeprice1,0,0,($AK230+IF(Smile=TRUE(),VLOOKUP(MAX(-5,Strikeprice1-J230),Volsmile,2),0)),($A230-DateToday)+15,IF(Pricetype1=1,1,0),0))),J230)))</f>
        <v> </v>
      </c>
      <c r="T230" s="318" t="str">
        <f aca="false">IF($A230="N/A"," ",IF(Pricetype1=2,MAX(K230,0),IF(OR(Pricetype1=1,Pricetype1=4),IF(K230=0,0,(EURO(K230,Strikeprice1,0,0,($AK230+IF(Smile=TRUE(),VLOOKUP(MAX(-5,Strikeprice1-K230),Volsmile,2),0)),($A230-DateToday)+15,IF(Pricetype1=1,1,0),0))),K230)))</f>
        <v> </v>
      </c>
      <c r="U230" s="319" t="str">
        <f aca="false">IF($A230="N/A"," ",Volume1*$AM230)</f>
        <v> </v>
      </c>
      <c r="V230" s="320" t="str">
        <f aca="false">IF($A230="N/A"," ",$U230*(8*($BQ230))*L230)</f>
        <v> </v>
      </c>
      <c r="W230" s="320" t="str">
        <f aca="false">IF($A230="N/A"," ",$U230*(8*($BQ230))*M230)</f>
        <v> </v>
      </c>
      <c r="X230" s="320" t="str">
        <f aca="false">IF($A230="N/A"," ",$U230*(8*($BQ230))*N230)</f>
        <v> </v>
      </c>
      <c r="Y230" s="320" t="str">
        <f aca="false">IF($A230="N/A"," ",$U230*(8*($BR230))*O230)</f>
        <v> </v>
      </c>
      <c r="Z230" s="320" t="str">
        <f aca="false">IF($A230="N/A"," ",$U230*(8*($BR230))*P230)</f>
        <v> </v>
      </c>
      <c r="AA230" s="320" t="str">
        <f aca="false">IF($A230="N/A"," ",$U230*(8*($BR230))*Q230)</f>
        <v> </v>
      </c>
      <c r="AB230" s="320" t="str">
        <f aca="false">IF($A230="N/A"," ",$U230*(8*($BS230))*R230)</f>
        <v> </v>
      </c>
      <c r="AC230" s="320" t="str">
        <f aca="false">IF($A230="N/A"," ",$U230*(8*($BS230))*S230)</f>
        <v> </v>
      </c>
      <c r="AD230" s="320" t="str">
        <f aca="false">IF($A230="N/A"," ",$U230*(8*($BS230))*T230)</f>
        <v> </v>
      </c>
      <c r="AE230" s="320" t="str">
        <f aca="false">IF($A230="N/A"," ",SUM(V230:AD230))</f>
        <v> </v>
      </c>
      <c r="AF230" s="321" t="str">
        <f aca="false">IF(A230="N/A"," ",(VLOOKUP(A230,PowerVolTable,(IF(VolBMO1=2,7,IF(VolBMO1=1,6,8))),FALSE())))</f>
        <v> </v>
      </c>
      <c r="AG230" s="321" t="str">
        <f aca="false">IF(A230="N/A"," ",(VLOOKUP(A230,IntraPowerVol,(IF(VolBMO1=2,3,IF(VolBMO1=1,2,4))),FALSE())*VLOOKUP(MONTH($A230),Volscale,2)))</f>
        <v> </v>
      </c>
      <c r="AH230" s="321" t="str">
        <f aca="false">IF($A230="N/A"," ",IF(VolType1=1,AG230,AF230))</f>
        <v> </v>
      </c>
      <c r="AI230" s="321" t="str">
        <f aca="false">IF($A230="N/A"," ",(VLOOKUP($A230,OffPwrVolTable,(IF(VolBMO1=2,7,IF(VolBMO1=1,6,8))),FALSE())))</f>
        <v> </v>
      </c>
      <c r="AJ230" s="321" t="str">
        <f aca="false">IF($A230="N/A"," ",(VLOOKUP($A230,OffPwrVolTable,(IF(VolBMO1=2,3,IF(VolBMO1=1,2,4))),FALSE())*VLOOKUP(MONTH($A230),Volscale,2)))</f>
        <v> </v>
      </c>
      <c r="AK230" s="321" t="str">
        <f aca="false">IF($A230="N/A"," ",IF(VolType1=1,AJ230,AI230))</f>
        <v> </v>
      </c>
      <c r="AL230" s="321" t="str">
        <f aca="false">IF($A230="N/A"," ",IF(PV=1,0,'Pricing Inputs1'!R263))</f>
        <v> </v>
      </c>
      <c r="AM230" s="323" t="str">
        <f aca="false">IF($A230="N/A"," ",(1+AL230/2)^(-2*((EOMONTH(A230,0)+20)-DateToday)/365.25))</f>
        <v> </v>
      </c>
      <c r="BQ230" s="0" t="str">
        <f aca="false">IF($A230="N/A"," ",(VLOOKUP($A230,NumberofDaysTable,2)))</f>
        <v> </v>
      </c>
      <c r="BR230" s="0" t="str">
        <f aca="false">IF($A230="N/A"," ",(VLOOKUP($A230,NumberofDaysTable,3)))</f>
        <v> </v>
      </c>
      <c r="BS230" s="0" t="str">
        <f aca="false">IF($A230="N/A"," ",(VLOOKUP($A230,NumberofDaysTable,4)))</f>
        <v> </v>
      </c>
    </row>
    <row r="231" customFormat="false" ht="12.75" hidden="false" customHeight="false" outlineLevel="0" collapsed="false">
      <c r="A231" s="315" t="str">
        <f aca="false">IF(A230="N/A","N/A",IF(EDATE(A230,1)&gt;Inputs!$M$5,"N/A",EDATE(A230,1)))</f>
        <v>N/A</v>
      </c>
      <c r="B231" s="316" t="str">
        <f aca="false">IF(A231="N/A"," ",YEAR(A231))</f>
        <v> </v>
      </c>
      <c r="C231" s="324" t="str">
        <f aca="false">IF($A231="N/A"," ",IF(Dayrun1=10,0,IF(Scaler1=1,(VLOOKUP(A231,ScaledPrice1,4)),(VLOOKUP(A231,ScaledPrice1,2)))))</f>
        <v> </v>
      </c>
      <c r="D231" s="317" t="str">
        <f aca="false">IF(A231="N/A"," ",IF(Dayrun1&gt;=7,0,IF(Scaler1=2,VLOOKUP(A231,ScaledPrice1,2),(VLOOKUP(A231,ScaledPrice1,2))*(2-(VLOOKUP(A231,ScaledPrice1,3))))))</f>
        <v> </v>
      </c>
      <c r="E231" s="317" t="str">
        <f aca="false">IF($A231="N/A"," ",IF(AND(Dayrun1&gt;=4,Dayrun1&lt;=9),0,VLOOKUP($A231,ScaledPrice1,9)))</f>
        <v> </v>
      </c>
      <c r="F231" s="317" t="str">
        <f aca="false">IF(A231="N/A"," ",IF(OR(Dayrun1=2,Dayrun1=3,Dayrun1=5,Dayrun1=6,Dayrun1=8,Dayrun1=9),VLOOKUP(A231,ScaledPrice1,IF(Scaler1=1,6,5)),0))</f>
        <v> </v>
      </c>
      <c r="G231" s="317" t="str">
        <f aca="false">IF(A231="N/A"," ",IF(OR(Dayrun1=2,Dayrun1=3,Dayrun1=5,Dayrun1=6),IF(Scaler1=2,F231,(VLOOKUP(A231,ScaledPrice1,5))*(2-(VLOOKUP(A231,ScaledPrice1,3)))),0))</f>
        <v> </v>
      </c>
      <c r="H231" s="317" t="str">
        <f aca="false">IF($A231="N/A"," ",IF(OR(Dayrun1=2,Dayrun1=3,Dayrun1=10),VLOOKUP($A231,ScaledPrice1,9),0))</f>
        <v> </v>
      </c>
      <c r="I231" s="317" t="str">
        <f aca="false">IF(A231="N/A"," ",IF(OR(Dayrun1=3,Dayrun1=6,Dayrun1=9),(VLOOKUP(A231,ScaledPrice1,IF(Scaler1=2,7,8))),0))</f>
        <v> </v>
      </c>
      <c r="J231" s="317" t="str">
        <f aca="false">IF(A231="N/A"," ",IF(OR(Dayrun1=3,Dayrun1=6),IF(Scaler1=2,I231,(VLOOKUP(A231,ScaledPrice1,7))*(2-(VLOOKUP(A231,ScaledPrice1,3)))),0))</f>
        <v> </v>
      </c>
      <c r="K231" s="317" t="str">
        <f aca="false">IF($A231="N/A"," ",IF(OR(Dayrun1=3,Dayrun1=10),VLOOKUP($A231,ScaledPrice1,9),0))</f>
        <v> </v>
      </c>
      <c r="L231" s="318" t="str">
        <f aca="false">IF($A231="N/A"," ",IF(Pricetype1=2,MAX(C231,0),IF(OR(Pricetype1=1,Pricetype1=4),IF(C231=0,0,(EURO(C231,Strikeprice1,0,0,($AH231+IF(Smile=TRUE(),VLOOKUP(MAX(-5,Strikeprice1-C231),Volsmile,2),0)),($A231-DateToday)+15,IF(Pricetype1=1,1,0),0))),C231)))</f>
        <v> </v>
      </c>
      <c r="M231" s="318" t="str">
        <f aca="false">IF($A231="N/A"," ",IF(Pricetype1=2,MAX(D231,0),IF(OR(Pricetype1=1,Pricetype1=4),IF(D231=0,0,(EURO(D231,Strikeprice1,0,0,($AH231+IF(Smile=TRUE(),VLOOKUP(MAX(-5,Strikeprice1-D231),Volsmile,2),0)),($A231-DateToday)+15,IF(Pricetype1=1,1,0),0))),D231)))</f>
        <v> </v>
      </c>
      <c r="N231" s="318" t="str">
        <f aca="false">IF($A231="N/A"," ",IF(Pricetype1=2,MAX(E231,0),IF(OR(Pricetype1=1,Pricetype1=4),IF(E231=0,0,(EURO(E231,Strikeprice1,0,0,($AK231+IF(Smile=TRUE(),VLOOKUP(MAX(-5,Strikeprice1-E231),Volsmile,2),0)),($A231-DateToday)+15,IF(Pricetype1=1,1,0),0))),E231)))</f>
        <v> </v>
      </c>
      <c r="O231" s="318" t="str">
        <f aca="false">IF($A231="N/A"," ",IF(Pricetype1=2,MAX(F231,0),IF(OR(Pricetype1=1,Pricetype1=4),IF(F231=0,0,(EURO(F231,Strikeprice1,0,0,($AK231+IF(Smile=TRUE(),VLOOKUP(MAX(-5,Strikeprice1-F231),Volsmile,2),0)),($A231-DateToday)+15,IF(Pricetype1=1,1,0),0))),F231)))</f>
        <v> </v>
      </c>
      <c r="P231" s="318" t="str">
        <f aca="false">IF($A231="N/A"," ",IF(Pricetype1=2,MAX(G231,0),IF(OR(Pricetype1=1,Pricetype1=4),IF(G231=0,0,(EURO(G231,Strikeprice1,0,0,($AK231+IF(Smile=TRUE(),VLOOKUP(MAX(-5,Strikeprice1-G231),Volsmile,2),0)),($A231-DateToday)+15,IF(Pricetype1=1,1,0),0))),G231)))</f>
        <v> </v>
      </c>
      <c r="Q231" s="318" t="str">
        <f aca="false">IF($A231="N/A"," ",IF(Pricetype1=2,MAX(H231,0),IF(OR(Pricetype1=1,Pricetype1=4),IF(H231=0,0,(EURO(H231,Strikeprice1,0,0,($AK231+IF(Smile=TRUE(),VLOOKUP(MAX(-5,Strikeprice1-H231),Volsmile,2),0)),($A231-DateToday)+15,IF(Pricetype1=1,1,0),0))),H231)))</f>
        <v> </v>
      </c>
      <c r="R231" s="318" t="str">
        <f aca="false">IF($A231="N/A"," ",IF(Pricetype1=2,MAX(I231,0),IF(OR(Pricetype1=1,Pricetype1=4),IF(I231=0,0,(EURO(I231,Strikeprice1,0,0,($AK231+IF(Smile=TRUE(),VLOOKUP(MAX(-5,Strikeprice1-I231),Volsmile,2),0)),($A231-DateToday)+15,IF(Pricetype1=1,1,0),0))),I231)))</f>
        <v> </v>
      </c>
      <c r="S231" s="318" t="str">
        <f aca="false">IF($A231="N/A"," ",IF(Pricetype1=2,MAX(J231,0),IF(OR(Pricetype1=1,Pricetype1=4),IF(J231=0,0,(EURO(J231,Strikeprice1,0,0,($AK231+IF(Smile=TRUE(),VLOOKUP(MAX(-5,Strikeprice1-J231),Volsmile,2),0)),($A231-DateToday)+15,IF(Pricetype1=1,1,0),0))),J231)))</f>
        <v> </v>
      </c>
      <c r="T231" s="318" t="str">
        <f aca="false">IF($A231="N/A"," ",IF(Pricetype1=2,MAX(K231,0),IF(OR(Pricetype1=1,Pricetype1=4),IF(K231=0,0,(EURO(K231,Strikeprice1,0,0,($AK231+IF(Smile=TRUE(),VLOOKUP(MAX(-5,Strikeprice1-K231),Volsmile,2),0)),($A231-DateToday)+15,IF(Pricetype1=1,1,0),0))),K231)))</f>
        <v> </v>
      </c>
      <c r="U231" s="319" t="str">
        <f aca="false">IF($A231="N/A"," ",Volume1*$AM231)</f>
        <v> </v>
      </c>
      <c r="V231" s="320" t="str">
        <f aca="false">IF($A231="N/A"," ",$U231*(8*($BQ231))*L231)</f>
        <v> </v>
      </c>
      <c r="W231" s="320" t="str">
        <f aca="false">IF($A231="N/A"," ",$U231*(8*($BQ231))*M231)</f>
        <v> </v>
      </c>
      <c r="X231" s="320" t="str">
        <f aca="false">IF($A231="N/A"," ",$U231*(8*($BQ231))*N231)</f>
        <v> </v>
      </c>
      <c r="Y231" s="320" t="str">
        <f aca="false">IF($A231="N/A"," ",$U231*(8*($BR231))*O231)</f>
        <v> </v>
      </c>
      <c r="Z231" s="320" t="str">
        <f aca="false">IF($A231="N/A"," ",$U231*(8*($BR231))*P231)</f>
        <v> </v>
      </c>
      <c r="AA231" s="320" t="str">
        <f aca="false">IF($A231="N/A"," ",$U231*(8*($BR231))*Q231)</f>
        <v> </v>
      </c>
      <c r="AB231" s="320" t="str">
        <f aca="false">IF($A231="N/A"," ",$U231*(8*($BS231))*R231)</f>
        <v> </v>
      </c>
      <c r="AC231" s="320" t="str">
        <f aca="false">IF($A231="N/A"," ",$U231*(8*($BS231))*S231)</f>
        <v> </v>
      </c>
      <c r="AD231" s="320" t="str">
        <f aca="false">IF($A231="N/A"," ",$U231*(8*($BS231))*T231)</f>
        <v> </v>
      </c>
      <c r="AE231" s="320" t="str">
        <f aca="false">IF($A231="N/A"," ",SUM(V231:AD231))</f>
        <v> </v>
      </c>
      <c r="AF231" s="321" t="str">
        <f aca="false">IF(A231="N/A"," ",(VLOOKUP(A231,PowerVolTable,(IF(VolBMO1=2,7,IF(VolBMO1=1,6,8))),FALSE())))</f>
        <v> </v>
      </c>
      <c r="AG231" s="321" t="str">
        <f aca="false">IF(A231="N/A"," ",(VLOOKUP(A231,IntraPowerVol,(IF(VolBMO1=2,3,IF(VolBMO1=1,2,4))),FALSE())*VLOOKUP(MONTH($A231),Volscale,2)))</f>
        <v> </v>
      </c>
      <c r="AH231" s="321" t="str">
        <f aca="false">IF($A231="N/A"," ",IF(VolType1=1,AG231,AF231))</f>
        <v> </v>
      </c>
      <c r="AI231" s="321" t="str">
        <f aca="false">IF($A231="N/A"," ",(VLOOKUP($A231,OffPwrVolTable,(IF(VolBMO1=2,7,IF(VolBMO1=1,6,8))),FALSE())))</f>
        <v> </v>
      </c>
      <c r="AJ231" s="321" t="str">
        <f aca="false">IF($A231="N/A"," ",(VLOOKUP($A231,OffPwrVolTable,(IF(VolBMO1=2,3,IF(VolBMO1=1,2,4))),FALSE())*VLOOKUP(MONTH($A231),Volscale,2)))</f>
        <v> </v>
      </c>
      <c r="AK231" s="321" t="str">
        <f aca="false">IF($A231="N/A"," ",IF(VolType1=1,AJ231,AI231))</f>
        <v> </v>
      </c>
      <c r="AL231" s="321" t="str">
        <f aca="false">IF($A231="N/A"," ",IF(PV=1,0,'Pricing Inputs1'!R264))</f>
        <v> </v>
      </c>
      <c r="AM231" s="323" t="str">
        <f aca="false">IF($A231="N/A"," ",(1+AL231/2)^(-2*((EOMONTH(A231,0)+20)-DateToday)/365.25))</f>
        <v> </v>
      </c>
      <c r="BQ231" s="0" t="str">
        <f aca="false">IF($A231="N/A"," ",(VLOOKUP($A231,NumberofDaysTable,2)))</f>
        <v> </v>
      </c>
      <c r="BR231" s="0" t="str">
        <f aca="false">IF($A231="N/A"," ",(VLOOKUP($A231,NumberofDaysTable,3)))</f>
        <v> </v>
      </c>
      <c r="BS231" s="0" t="str">
        <f aca="false">IF($A231="N/A"," ",(VLOOKUP($A231,NumberofDaysTable,4)))</f>
        <v> </v>
      </c>
    </row>
    <row r="232" customFormat="false" ht="12.75" hidden="false" customHeight="false" outlineLevel="0" collapsed="false">
      <c r="A232" s="315" t="str">
        <f aca="false">IF(A231="N/A","N/A",IF(EDATE(A231,1)&gt;Inputs!$M$5,"N/A",EDATE(A231,1)))</f>
        <v>N/A</v>
      </c>
      <c r="B232" s="316" t="str">
        <f aca="false">IF(A232="N/A"," ",YEAR(A232))</f>
        <v> </v>
      </c>
      <c r="C232" s="324" t="str">
        <f aca="false">IF($A232="N/A"," ",IF(Dayrun1=10,0,IF(Scaler1=1,(VLOOKUP(A232,ScaledPrice1,4)),(VLOOKUP(A232,ScaledPrice1,2)))))</f>
        <v> </v>
      </c>
      <c r="D232" s="317" t="str">
        <f aca="false">IF(A232="N/A"," ",IF(Dayrun1&gt;=7,0,IF(Scaler1=2,VLOOKUP(A232,ScaledPrice1,2),(VLOOKUP(A232,ScaledPrice1,2))*(2-(VLOOKUP(A232,ScaledPrice1,3))))))</f>
        <v> </v>
      </c>
      <c r="E232" s="317" t="str">
        <f aca="false">IF($A232="N/A"," ",IF(AND(Dayrun1&gt;=4,Dayrun1&lt;=9),0,VLOOKUP($A232,ScaledPrice1,9)))</f>
        <v> </v>
      </c>
      <c r="F232" s="317" t="str">
        <f aca="false">IF(A232="N/A"," ",IF(OR(Dayrun1=2,Dayrun1=3,Dayrun1=5,Dayrun1=6,Dayrun1=8,Dayrun1=9),VLOOKUP(A232,ScaledPrice1,IF(Scaler1=1,6,5)),0))</f>
        <v> </v>
      </c>
      <c r="G232" s="317" t="str">
        <f aca="false">IF(A232="N/A"," ",IF(OR(Dayrun1=2,Dayrun1=3,Dayrun1=5,Dayrun1=6),IF(Scaler1=2,F232,(VLOOKUP(A232,ScaledPrice1,5))*(2-(VLOOKUP(A232,ScaledPrice1,3)))),0))</f>
        <v> </v>
      </c>
      <c r="H232" s="317" t="str">
        <f aca="false">IF($A232="N/A"," ",IF(OR(Dayrun1=2,Dayrun1=3,Dayrun1=10),VLOOKUP($A232,ScaledPrice1,9),0))</f>
        <v> </v>
      </c>
      <c r="I232" s="317" t="str">
        <f aca="false">IF(A232="N/A"," ",IF(OR(Dayrun1=3,Dayrun1=6,Dayrun1=9),(VLOOKUP(A232,ScaledPrice1,IF(Scaler1=2,7,8))),0))</f>
        <v> </v>
      </c>
      <c r="J232" s="317" t="str">
        <f aca="false">IF(A232="N/A"," ",IF(OR(Dayrun1=3,Dayrun1=6),IF(Scaler1=2,I232,(VLOOKUP(A232,ScaledPrice1,7))*(2-(VLOOKUP(A232,ScaledPrice1,3)))),0))</f>
        <v> </v>
      </c>
      <c r="K232" s="317" t="str">
        <f aca="false">IF($A232="N/A"," ",IF(OR(Dayrun1=3,Dayrun1=10),VLOOKUP($A232,ScaledPrice1,9),0))</f>
        <v> </v>
      </c>
      <c r="L232" s="318" t="str">
        <f aca="false">IF($A232="N/A"," ",IF(Pricetype1=2,MAX(C232,0),IF(OR(Pricetype1=1,Pricetype1=4),IF(C232=0,0,(EURO(C232,Strikeprice1,0,0,($AH232+IF(Smile=TRUE(),VLOOKUP(MAX(-5,Strikeprice1-C232),Volsmile,2),0)),($A232-DateToday)+15,IF(Pricetype1=1,1,0),0))),C232)))</f>
        <v> </v>
      </c>
      <c r="M232" s="318" t="str">
        <f aca="false">IF($A232="N/A"," ",IF(Pricetype1=2,MAX(D232,0),IF(OR(Pricetype1=1,Pricetype1=4),IF(D232=0,0,(EURO(D232,Strikeprice1,0,0,($AH232+IF(Smile=TRUE(),VLOOKUP(MAX(-5,Strikeprice1-D232),Volsmile,2),0)),($A232-DateToday)+15,IF(Pricetype1=1,1,0),0))),D232)))</f>
        <v> </v>
      </c>
      <c r="N232" s="318" t="str">
        <f aca="false">IF($A232="N/A"," ",IF(Pricetype1=2,MAX(E232,0),IF(OR(Pricetype1=1,Pricetype1=4),IF(E232=0,0,(EURO(E232,Strikeprice1,0,0,($AK232+IF(Smile=TRUE(),VLOOKUP(MAX(-5,Strikeprice1-E232),Volsmile,2),0)),($A232-DateToday)+15,IF(Pricetype1=1,1,0),0))),E232)))</f>
        <v> </v>
      </c>
      <c r="O232" s="318" t="str">
        <f aca="false">IF($A232="N/A"," ",IF(Pricetype1=2,MAX(F232,0),IF(OR(Pricetype1=1,Pricetype1=4),IF(F232=0,0,(EURO(F232,Strikeprice1,0,0,($AK232+IF(Smile=TRUE(),VLOOKUP(MAX(-5,Strikeprice1-F232),Volsmile,2),0)),($A232-DateToday)+15,IF(Pricetype1=1,1,0),0))),F232)))</f>
        <v> </v>
      </c>
      <c r="P232" s="318" t="str">
        <f aca="false">IF($A232="N/A"," ",IF(Pricetype1=2,MAX(G232,0),IF(OR(Pricetype1=1,Pricetype1=4),IF(G232=0,0,(EURO(G232,Strikeprice1,0,0,($AK232+IF(Smile=TRUE(),VLOOKUP(MAX(-5,Strikeprice1-G232),Volsmile,2),0)),($A232-DateToday)+15,IF(Pricetype1=1,1,0),0))),G232)))</f>
        <v> </v>
      </c>
      <c r="Q232" s="318" t="str">
        <f aca="false">IF($A232="N/A"," ",IF(Pricetype1=2,MAX(H232,0),IF(OR(Pricetype1=1,Pricetype1=4),IF(H232=0,0,(EURO(H232,Strikeprice1,0,0,($AK232+IF(Smile=TRUE(),VLOOKUP(MAX(-5,Strikeprice1-H232),Volsmile,2),0)),($A232-DateToday)+15,IF(Pricetype1=1,1,0),0))),H232)))</f>
        <v> </v>
      </c>
      <c r="R232" s="318" t="str">
        <f aca="false">IF($A232="N/A"," ",IF(Pricetype1=2,MAX(I232,0),IF(OR(Pricetype1=1,Pricetype1=4),IF(I232=0,0,(EURO(I232,Strikeprice1,0,0,($AK232+IF(Smile=TRUE(),VLOOKUP(MAX(-5,Strikeprice1-I232),Volsmile,2),0)),($A232-DateToday)+15,IF(Pricetype1=1,1,0),0))),I232)))</f>
        <v> </v>
      </c>
      <c r="S232" s="318" t="str">
        <f aca="false">IF($A232="N/A"," ",IF(Pricetype1=2,MAX(J232,0),IF(OR(Pricetype1=1,Pricetype1=4),IF(J232=0,0,(EURO(J232,Strikeprice1,0,0,($AK232+IF(Smile=TRUE(),VLOOKUP(MAX(-5,Strikeprice1-J232),Volsmile,2),0)),($A232-DateToday)+15,IF(Pricetype1=1,1,0),0))),J232)))</f>
        <v> </v>
      </c>
      <c r="T232" s="318" t="str">
        <f aca="false">IF($A232="N/A"," ",IF(Pricetype1=2,MAX(K232,0),IF(OR(Pricetype1=1,Pricetype1=4),IF(K232=0,0,(EURO(K232,Strikeprice1,0,0,($AK232+IF(Smile=TRUE(),VLOOKUP(MAX(-5,Strikeprice1-K232),Volsmile,2),0)),($A232-DateToday)+15,IF(Pricetype1=1,1,0),0))),K232)))</f>
        <v> </v>
      </c>
      <c r="U232" s="319" t="str">
        <f aca="false">IF($A232="N/A"," ",Volume1*$AM232)</f>
        <v> </v>
      </c>
      <c r="V232" s="320" t="str">
        <f aca="false">IF($A232="N/A"," ",$U232*(8*($BQ232))*L232)</f>
        <v> </v>
      </c>
      <c r="W232" s="320" t="str">
        <f aca="false">IF($A232="N/A"," ",$U232*(8*($BQ232))*M232)</f>
        <v> </v>
      </c>
      <c r="X232" s="320" t="str">
        <f aca="false">IF($A232="N/A"," ",$U232*(8*($BQ232))*N232)</f>
        <v> </v>
      </c>
      <c r="Y232" s="320" t="str">
        <f aca="false">IF($A232="N/A"," ",$U232*(8*($BR232))*O232)</f>
        <v> </v>
      </c>
      <c r="Z232" s="320" t="str">
        <f aca="false">IF($A232="N/A"," ",$U232*(8*($BR232))*P232)</f>
        <v> </v>
      </c>
      <c r="AA232" s="320" t="str">
        <f aca="false">IF($A232="N/A"," ",$U232*(8*($BR232))*Q232)</f>
        <v> </v>
      </c>
      <c r="AB232" s="320" t="str">
        <f aca="false">IF($A232="N/A"," ",$U232*(8*($BS232))*R232)</f>
        <v> </v>
      </c>
      <c r="AC232" s="320" t="str">
        <f aca="false">IF($A232="N/A"," ",$U232*(8*($BS232))*S232)</f>
        <v> </v>
      </c>
      <c r="AD232" s="320" t="str">
        <f aca="false">IF($A232="N/A"," ",$U232*(8*($BS232))*T232)</f>
        <v> </v>
      </c>
      <c r="AE232" s="320" t="str">
        <f aca="false">IF($A232="N/A"," ",SUM(V232:AD232))</f>
        <v> </v>
      </c>
      <c r="AF232" s="321" t="str">
        <f aca="false">IF(A232="N/A"," ",(VLOOKUP(A232,PowerVolTable,(IF(VolBMO1=2,7,IF(VolBMO1=1,6,8))),FALSE())))</f>
        <v> </v>
      </c>
      <c r="AG232" s="321" t="str">
        <f aca="false">IF(A232="N/A"," ",(VLOOKUP(A232,IntraPowerVol,(IF(VolBMO1=2,3,IF(VolBMO1=1,2,4))),FALSE())*VLOOKUP(MONTH($A232),Volscale,2)))</f>
        <v> </v>
      </c>
      <c r="AH232" s="321" t="str">
        <f aca="false">IF($A232="N/A"," ",IF(VolType1=1,AG232,AF232))</f>
        <v> </v>
      </c>
      <c r="AI232" s="321" t="str">
        <f aca="false">IF($A232="N/A"," ",(VLOOKUP($A232,OffPwrVolTable,(IF(VolBMO1=2,7,IF(VolBMO1=1,6,8))),FALSE())))</f>
        <v> </v>
      </c>
      <c r="AJ232" s="321" t="str">
        <f aca="false">IF($A232="N/A"," ",(VLOOKUP($A232,OffPwrVolTable,(IF(VolBMO1=2,3,IF(VolBMO1=1,2,4))),FALSE())*VLOOKUP(MONTH($A232),Volscale,2)))</f>
        <v> </v>
      </c>
      <c r="AK232" s="321" t="str">
        <f aca="false">IF($A232="N/A"," ",IF(VolType1=1,AJ232,AI232))</f>
        <v> </v>
      </c>
      <c r="AL232" s="321" t="str">
        <f aca="false">IF($A232="N/A"," ",IF(PV=1,0,'Pricing Inputs1'!R265))</f>
        <v> </v>
      </c>
      <c r="AM232" s="323" t="str">
        <f aca="false">IF($A232="N/A"," ",(1+AL232/2)^(-2*((EOMONTH(A232,0)+20)-DateToday)/365.25))</f>
        <v> </v>
      </c>
      <c r="BQ232" s="0" t="str">
        <f aca="false">IF($A232="N/A"," ",(VLOOKUP($A232,NumberofDaysTable,2)))</f>
        <v> </v>
      </c>
      <c r="BR232" s="0" t="str">
        <f aca="false">IF($A232="N/A"," ",(VLOOKUP($A232,NumberofDaysTable,3)))</f>
        <v> </v>
      </c>
      <c r="BS232" s="0" t="str">
        <f aca="false">IF($A232="N/A"," ",(VLOOKUP($A232,NumberofDaysTable,4)))</f>
        <v> </v>
      </c>
    </row>
    <row r="233" customFormat="false" ht="12.75" hidden="false" customHeight="false" outlineLevel="0" collapsed="false">
      <c r="A233" s="315" t="str">
        <f aca="false">IF(A232="N/A","N/A",IF(EDATE(A232,1)&gt;Inputs!$M$5,"N/A",EDATE(A232,1)))</f>
        <v>N/A</v>
      </c>
      <c r="B233" s="316" t="str">
        <f aca="false">IF(A233="N/A"," ",YEAR(A233))</f>
        <v> </v>
      </c>
      <c r="C233" s="324" t="str">
        <f aca="false">IF($A233="N/A"," ",IF(Dayrun1=10,0,IF(Scaler1=1,(VLOOKUP(A233,ScaledPrice1,4)),(VLOOKUP(A233,ScaledPrice1,2)))))</f>
        <v> </v>
      </c>
      <c r="D233" s="317" t="str">
        <f aca="false">IF(A233="N/A"," ",IF(Dayrun1&gt;=7,0,IF(Scaler1=2,VLOOKUP(A233,ScaledPrice1,2),(VLOOKUP(A233,ScaledPrice1,2))*(2-(VLOOKUP(A233,ScaledPrice1,3))))))</f>
        <v> </v>
      </c>
      <c r="E233" s="317" t="str">
        <f aca="false">IF($A233="N/A"," ",IF(AND(Dayrun1&gt;=4,Dayrun1&lt;=9),0,VLOOKUP($A233,ScaledPrice1,9)))</f>
        <v> </v>
      </c>
      <c r="F233" s="317" t="str">
        <f aca="false">IF(A233="N/A"," ",IF(OR(Dayrun1=2,Dayrun1=3,Dayrun1=5,Dayrun1=6,Dayrun1=8,Dayrun1=9),VLOOKUP(A233,ScaledPrice1,IF(Scaler1=1,6,5)),0))</f>
        <v> </v>
      </c>
      <c r="G233" s="317" t="str">
        <f aca="false">IF(A233="N/A"," ",IF(OR(Dayrun1=2,Dayrun1=3,Dayrun1=5,Dayrun1=6),IF(Scaler1=2,F233,(VLOOKUP(A233,ScaledPrice1,5))*(2-(VLOOKUP(A233,ScaledPrice1,3)))),0))</f>
        <v> </v>
      </c>
      <c r="H233" s="317" t="str">
        <f aca="false">IF($A233="N/A"," ",IF(OR(Dayrun1=2,Dayrun1=3,Dayrun1=10),VLOOKUP($A233,ScaledPrice1,9),0))</f>
        <v> </v>
      </c>
      <c r="I233" s="317" t="str">
        <f aca="false">IF(A233="N/A"," ",IF(OR(Dayrun1=3,Dayrun1=6,Dayrun1=9),(VLOOKUP(A233,ScaledPrice1,IF(Scaler1=2,7,8))),0))</f>
        <v> </v>
      </c>
      <c r="J233" s="317" t="str">
        <f aca="false">IF(A233="N/A"," ",IF(OR(Dayrun1=3,Dayrun1=6),IF(Scaler1=2,I233,(VLOOKUP(A233,ScaledPrice1,7))*(2-(VLOOKUP(A233,ScaledPrice1,3)))),0))</f>
        <v> </v>
      </c>
      <c r="K233" s="317" t="str">
        <f aca="false">IF($A233="N/A"," ",IF(OR(Dayrun1=3,Dayrun1=10),VLOOKUP($A233,ScaledPrice1,9),0))</f>
        <v> </v>
      </c>
      <c r="L233" s="318" t="str">
        <f aca="false">IF($A233="N/A"," ",IF(Pricetype1=2,MAX(C233,0),IF(OR(Pricetype1=1,Pricetype1=4),IF(C233=0,0,(EURO(C233,Strikeprice1,0,0,($AH233+IF(Smile=TRUE(),VLOOKUP(MAX(-5,Strikeprice1-C233),Volsmile,2),0)),($A233-DateToday)+15,IF(Pricetype1=1,1,0),0))),C233)))</f>
        <v> </v>
      </c>
      <c r="M233" s="318" t="str">
        <f aca="false">IF($A233="N/A"," ",IF(Pricetype1=2,MAX(D233,0),IF(OR(Pricetype1=1,Pricetype1=4),IF(D233=0,0,(EURO(D233,Strikeprice1,0,0,($AH233+IF(Smile=TRUE(),VLOOKUP(MAX(-5,Strikeprice1-D233),Volsmile,2),0)),($A233-DateToday)+15,IF(Pricetype1=1,1,0),0))),D233)))</f>
        <v> </v>
      </c>
      <c r="N233" s="318" t="str">
        <f aca="false">IF($A233="N/A"," ",IF(Pricetype1=2,MAX(E233,0),IF(OR(Pricetype1=1,Pricetype1=4),IF(E233=0,0,(EURO(E233,Strikeprice1,0,0,($AK233+IF(Smile=TRUE(),VLOOKUP(MAX(-5,Strikeprice1-E233),Volsmile,2),0)),($A233-DateToday)+15,IF(Pricetype1=1,1,0),0))),E233)))</f>
        <v> </v>
      </c>
      <c r="O233" s="318" t="str">
        <f aca="false">IF($A233="N/A"," ",IF(Pricetype1=2,MAX(F233,0),IF(OR(Pricetype1=1,Pricetype1=4),IF(F233=0,0,(EURO(F233,Strikeprice1,0,0,($AK233+IF(Smile=TRUE(),VLOOKUP(MAX(-5,Strikeprice1-F233),Volsmile,2),0)),($A233-DateToday)+15,IF(Pricetype1=1,1,0),0))),F233)))</f>
        <v> </v>
      </c>
      <c r="P233" s="318" t="str">
        <f aca="false">IF($A233="N/A"," ",IF(Pricetype1=2,MAX(G233,0),IF(OR(Pricetype1=1,Pricetype1=4),IF(G233=0,0,(EURO(G233,Strikeprice1,0,0,($AK233+IF(Smile=TRUE(),VLOOKUP(MAX(-5,Strikeprice1-G233),Volsmile,2),0)),($A233-DateToday)+15,IF(Pricetype1=1,1,0),0))),G233)))</f>
        <v> </v>
      </c>
      <c r="Q233" s="318" t="str">
        <f aca="false">IF($A233="N/A"," ",IF(Pricetype1=2,MAX(H233,0),IF(OR(Pricetype1=1,Pricetype1=4),IF(H233=0,0,(EURO(H233,Strikeprice1,0,0,($AK233+IF(Smile=TRUE(),VLOOKUP(MAX(-5,Strikeprice1-H233),Volsmile,2),0)),($A233-DateToday)+15,IF(Pricetype1=1,1,0),0))),H233)))</f>
        <v> </v>
      </c>
      <c r="R233" s="318" t="str">
        <f aca="false">IF($A233="N/A"," ",IF(Pricetype1=2,MAX(I233,0),IF(OR(Pricetype1=1,Pricetype1=4),IF(I233=0,0,(EURO(I233,Strikeprice1,0,0,($AK233+IF(Smile=TRUE(),VLOOKUP(MAX(-5,Strikeprice1-I233),Volsmile,2),0)),($A233-DateToday)+15,IF(Pricetype1=1,1,0),0))),I233)))</f>
        <v> </v>
      </c>
      <c r="S233" s="318" t="str">
        <f aca="false">IF($A233="N/A"," ",IF(Pricetype1=2,MAX(J233,0),IF(OR(Pricetype1=1,Pricetype1=4),IF(J233=0,0,(EURO(J233,Strikeprice1,0,0,($AK233+IF(Smile=TRUE(),VLOOKUP(MAX(-5,Strikeprice1-J233),Volsmile,2),0)),($A233-DateToday)+15,IF(Pricetype1=1,1,0),0))),J233)))</f>
        <v> </v>
      </c>
      <c r="T233" s="318" t="str">
        <f aca="false">IF($A233="N/A"," ",IF(Pricetype1=2,MAX(K233,0),IF(OR(Pricetype1=1,Pricetype1=4),IF(K233=0,0,(EURO(K233,Strikeprice1,0,0,($AK233+IF(Smile=TRUE(),VLOOKUP(MAX(-5,Strikeprice1-K233),Volsmile,2),0)),($A233-DateToday)+15,IF(Pricetype1=1,1,0),0))),K233)))</f>
        <v> </v>
      </c>
      <c r="U233" s="319" t="str">
        <f aca="false">IF($A233="N/A"," ",Volume1*$AM233)</f>
        <v> </v>
      </c>
      <c r="V233" s="320" t="str">
        <f aca="false">IF($A233="N/A"," ",$U233*(8*($BQ233))*L233)</f>
        <v> </v>
      </c>
      <c r="W233" s="320" t="str">
        <f aca="false">IF($A233="N/A"," ",$U233*(8*($BQ233))*M233)</f>
        <v> </v>
      </c>
      <c r="X233" s="320" t="str">
        <f aca="false">IF($A233="N/A"," ",$U233*(8*($BQ233))*N233)</f>
        <v> </v>
      </c>
      <c r="Y233" s="320" t="str">
        <f aca="false">IF($A233="N/A"," ",$U233*(8*($BR233))*O233)</f>
        <v> </v>
      </c>
      <c r="Z233" s="320" t="str">
        <f aca="false">IF($A233="N/A"," ",$U233*(8*($BR233))*P233)</f>
        <v> </v>
      </c>
      <c r="AA233" s="320" t="str">
        <f aca="false">IF($A233="N/A"," ",$U233*(8*($BR233))*Q233)</f>
        <v> </v>
      </c>
      <c r="AB233" s="320" t="str">
        <f aca="false">IF($A233="N/A"," ",$U233*(8*($BS233))*R233)</f>
        <v> </v>
      </c>
      <c r="AC233" s="320" t="str">
        <f aca="false">IF($A233="N/A"," ",$U233*(8*($BS233))*S233)</f>
        <v> </v>
      </c>
      <c r="AD233" s="320" t="str">
        <f aca="false">IF($A233="N/A"," ",$U233*(8*($BS233))*T233)</f>
        <v> </v>
      </c>
      <c r="AE233" s="320" t="str">
        <f aca="false">IF($A233="N/A"," ",SUM(V233:AD233))</f>
        <v> </v>
      </c>
      <c r="AF233" s="321" t="str">
        <f aca="false">IF(A233="N/A"," ",(VLOOKUP(A233,PowerVolTable,(IF(VolBMO1=2,7,IF(VolBMO1=1,6,8))),FALSE())))</f>
        <v> </v>
      </c>
      <c r="AG233" s="321" t="str">
        <f aca="false">IF(A233="N/A"," ",(VLOOKUP(A233,IntraPowerVol,(IF(VolBMO1=2,3,IF(VolBMO1=1,2,4))),FALSE())*VLOOKUP(MONTH($A233),Volscale,2)))</f>
        <v> </v>
      </c>
      <c r="AH233" s="321" t="str">
        <f aca="false">IF($A233="N/A"," ",IF(VolType1=1,AG233,AF233))</f>
        <v> </v>
      </c>
      <c r="AI233" s="321" t="str">
        <f aca="false">IF($A233="N/A"," ",(VLOOKUP($A233,OffPwrVolTable,(IF(VolBMO1=2,7,IF(VolBMO1=1,6,8))),FALSE())))</f>
        <v> </v>
      </c>
      <c r="AJ233" s="321" t="str">
        <f aca="false">IF($A233="N/A"," ",(VLOOKUP($A233,OffPwrVolTable,(IF(VolBMO1=2,3,IF(VolBMO1=1,2,4))),FALSE())*VLOOKUP(MONTH($A233),Volscale,2)))</f>
        <v> </v>
      </c>
      <c r="AK233" s="321" t="str">
        <f aca="false">IF($A233="N/A"," ",IF(VolType1=1,AJ233,AI233))</f>
        <v> </v>
      </c>
      <c r="AL233" s="321" t="str">
        <f aca="false">IF($A233="N/A"," ",IF(PV=1,0,'Pricing Inputs1'!R266))</f>
        <v> </v>
      </c>
      <c r="AM233" s="323" t="str">
        <f aca="false">IF($A233="N/A"," ",(1+AL233/2)^(-2*((EOMONTH(A233,0)+20)-DateToday)/365.25))</f>
        <v> </v>
      </c>
      <c r="BQ233" s="0" t="str">
        <f aca="false">IF($A233="N/A"," ",(VLOOKUP($A233,NumberofDaysTable,2)))</f>
        <v> </v>
      </c>
      <c r="BR233" s="0" t="str">
        <f aca="false">IF($A233="N/A"," ",(VLOOKUP($A233,NumberofDaysTable,3)))</f>
        <v> </v>
      </c>
      <c r="BS233" s="0" t="str">
        <f aca="false">IF($A233="N/A"," ",(VLOOKUP($A233,NumberofDaysTable,4)))</f>
        <v> </v>
      </c>
    </row>
    <row r="234" customFormat="false" ht="12.75" hidden="false" customHeight="false" outlineLevel="0" collapsed="false">
      <c r="A234" s="315" t="str">
        <f aca="false">IF(A233="N/A","N/A",IF(EDATE(A233,1)&gt;Inputs!$M$5,"N/A",EDATE(A233,1)))</f>
        <v>N/A</v>
      </c>
      <c r="B234" s="316" t="str">
        <f aca="false">IF(A234="N/A"," ",YEAR(A234))</f>
        <v> </v>
      </c>
      <c r="C234" s="324" t="str">
        <f aca="false">IF($A234="N/A"," ",IF(Dayrun1=10,0,IF(Scaler1=1,(VLOOKUP(A234,ScaledPrice1,4)),(VLOOKUP(A234,ScaledPrice1,2)))))</f>
        <v> </v>
      </c>
      <c r="D234" s="317" t="str">
        <f aca="false">IF(A234="N/A"," ",IF(Dayrun1&gt;=7,0,IF(Scaler1=2,VLOOKUP(A234,ScaledPrice1,2),(VLOOKUP(A234,ScaledPrice1,2))*(2-(VLOOKUP(A234,ScaledPrice1,3))))))</f>
        <v> </v>
      </c>
      <c r="E234" s="317" t="str">
        <f aca="false">IF($A234="N/A"," ",IF(AND(Dayrun1&gt;=4,Dayrun1&lt;=9),0,VLOOKUP($A234,ScaledPrice1,9)))</f>
        <v> </v>
      </c>
      <c r="F234" s="317" t="str">
        <f aca="false">IF(A234="N/A"," ",IF(OR(Dayrun1=2,Dayrun1=3,Dayrun1=5,Dayrun1=6,Dayrun1=8,Dayrun1=9),VLOOKUP(A234,ScaledPrice1,IF(Scaler1=1,6,5)),0))</f>
        <v> </v>
      </c>
      <c r="G234" s="317" t="str">
        <f aca="false">IF(A234="N/A"," ",IF(OR(Dayrun1=2,Dayrun1=3,Dayrun1=5,Dayrun1=6),IF(Scaler1=2,F234,(VLOOKUP(A234,ScaledPrice1,5))*(2-(VLOOKUP(A234,ScaledPrice1,3)))),0))</f>
        <v> </v>
      </c>
      <c r="H234" s="317" t="str">
        <f aca="false">IF($A234="N/A"," ",IF(OR(Dayrun1=2,Dayrun1=3,Dayrun1=10),VLOOKUP($A234,ScaledPrice1,9),0))</f>
        <v> </v>
      </c>
      <c r="I234" s="317" t="str">
        <f aca="false">IF(A234="N/A"," ",IF(OR(Dayrun1=3,Dayrun1=6,Dayrun1=9),(VLOOKUP(A234,ScaledPrice1,IF(Scaler1=2,7,8))),0))</f>
        <v> </v>
      </c>
      <c r="J234" s="317" t="str">
        <f aca="false">IF(A234="N/A"," ",IF(OR(Dayrun1=3,Dayrun1=6),IF(Scaler1=2,I234,(VLOOKUP(A234,ScaledPrice1,7))*(2-(VLOOKUP(A234,ScaledPrice1,3)))),0))</f>
        <v> </v>
      </c>
      <c r="K234" s="317" t="str">
        <f aca="false">IF($A234="N/A"," ",IF(OR(Dayrun1=3,Dayrun1=10),VLOOKUP($A234,ScaledPrice1,9),0))</f>
        <v> </v>
      </c>
      <c r="L234" s="318" t="str">
        <f aca="false">IF($A234="N/A"," ",IF(Pricetype1=2,MAX(C234,0),IF(OR(Pricetype1=1,Pricetype1=4),IF(C234=0,0,(EURO(C234,Strikeprice1,0,0,($AH234+IF(Smile=TRUE(),VLOOKUP(MAX(-5,Strikeprice1-C234),Volsmile,2),0)),($A234-DateToday)+15,IF(Pricetype1=1,1,0),0))),C234)))</f>
        <v> </v>
      </c>
      <c r="M234" s="318" t="str">
        <f aca="false">IF($A234="N/A"," ",IF(Pricetype1=2,MAX(D234,0),IF(OR(Pricetype1=1,Pricetype1=4),IF(D234=0,0,(EURO(D234,Strikeprice1,0,0,($AH234+IF(Smile=TRUE(),VLOOKUP(MAX(-5,Strikeprice1-D234),Volsmile,2),0)),($A234-DateToday)+15,IF(Pricetype1=1,1,0),0))),D234)))</f>
        <v> </v>
      </c>
      <c r="N234" s="318" t="str">
        <f aca="false">IF($A234="N/A"," ",IF(Pricetype1=2,MAX(E234,0),IF(OR(Pricetype1=1,Pricetype1=4),IF(E234=0,0,(EURO(E234,Strikeprice1,0,0,($AK234+IF(Smile=TRUE(),VLOOKUP(MAX(-5,Strikeprice1-E234),Volsmile,2),0)),($A234-DateToday)+15,IF(Pricetype1=1,1,0),0))),E234)))</f>
        <v> </v>
      </c>
      <c r="O234" s="318" t="str">
        <f aca="false">IF($A234="N/A"," ",IF(Pricetype1=2,MAX(F234,0),IF(OR(Pricetype1=1,Pricetype1=4),IF(F234=0,0,(EURO(F234,Strikeprice1,0,0,($AK234+IF(Smile=TRUE(),VLOOKUP(MAX(-5,Strikeprice1-F234),Volsmile,2),0)),($A234-DateToday)+15,IF(Pricetype1=1,1,0),0))),F234)))</f>
        <v> </v>
      </c>
      <c r="P234" s="318" t="str">
        <f aca="false">IF($A234="N/A"," ",IF(Pricetype1=2,MAX(G234,0),IF(OR(Pricetype1=1,Pricetype1=4),IF(G234=0,0,(EURO(G234,Strikeprice1,0,0,($AK234+IF(Smile=TRUE(),VLOOKUP(MAX(-5,Strikeprice1-G234),Volsmile,2),0)),($A234-DateToday)+15,IF(Pricetype1=1,1,0),0))),G234)))</f>
        <v> </v>
      </c>
      <c r="Q234" s="318" t="str">
        <f aca="false">IF($A234="N/A"," ",IF(Pricetype1=2,MAX(H234,0),IF(OR(Pricetype1=1,Pricetype1=4),IF(H234=0,0,(EURO(H234,Strikeprice1,0,0,($AK234+IF(Smile=TRUE(),VLOOKUP(MAX(-5,Strikeprice1-H234),Volsmile,2),0)),($A234-DateToday)+15,IF(Pricetype1=1,1,0),0))),H234)))</f>
        <v> </v>
      </c>
      <c r="R234" s="318" t="str">
        <f aca="false">IF($A234="N/A"," ",IF(Pricetype1=2,MAX(I234,0),IF(OR(Pricetype1=1,Pricetype1=4),IF(I234=0,0,(EURO(I234,Strikeprice1,0,0,($AK234+IF(Smile=TRUE(),VLOOKUP(MAX(-5,Strikeprice1-I234),Volsmile,2),0)),($A234-DateToday)+15,IF(Pricetype1=1,1,0),0))),I234)))</f>
        <v> </v>
      </c>
      <c r="S234" s="318" t="str">
        <f aca="false">IF($A234="N/A"," ",IF(Pricetype1=2,MAX(J234,0),IF(OR(Pricetype1=1,Pricetype1=4),IF(J234=0,0,(EURO(J234,Strikeprice1,0,0,($AK234+IF(Smile=TRUE(),VLOOKUP(MAX(-5,Strikeprice1-J234),Volsmile,2),0)),($A234-DateToday)+15,IF(Pricetype1=1,1,0),0))),J234)))</f>
        <v> </v>
      </c>
      <c r="T234" s="318" t="str">
        <f aca="false">IF($A234="N/A"," ",IF(Pricetype1=2,MAX(K234,0),IF(OR(Pricetype1=1,Pricetype1=4),IF(K234=0,0,(EURO(K234,Strikeprice1,0,0,($AK234+IF(Smile=TRUE(),VLOOKUP(MAX(-5,Strikeprice1-K234),Volsmile,2),0)),($A234-DateToday)+15,IF(Pricetype1=1,1,0),0))),K234)))</f>
        <v> </v>
      </c>
      <c r="U234" s="319" t="str">
        <f aca="false">IF($A234="N/A"," ",Volume1*$AM234)</f>
        <v> </v>
      </c>
      <c r="V234" s="320" t="str">
        <f aca="false">IF($A234="N/A"," ",$U234*(8*($BQ234))*L234)</f>
        <v> </v>
      </c>
      <c r="W234" s="320" t="str">
        <f aca="false">IF($A234="N/A"," ",$U234*(8*($BQ234))*M234)</f>
        <v> </v>
      </c>
      <c r="X234" s="320" t="str">
        <f aca="false">IF($A234="N/A"," ",$U234*(8*($BQ234))*N234)</f>
        <v> </v>
      </c>
      <c r="Y234" s="320" t="str">
        <f aca="false">IF($A234="N/A"," ",$U234*(8*($BR234))*O234)</f>
        <v> </v>
      </c>
      <c r="Z234" s="320" t="str">
        <f aca="false">IF($A234="N/A"," ",$U234*(8*($BR234))*P234)</f>
        <v> </v>
      </c>
      <c r="AA234" s="320" t="str">
        <f aca="false">IF($A234="N/A"," ",$U234*(8*($BR234))*Q234)</f>
        <v> </v>
      </c>
      <c r="AB234" s="320" t="str">
        <f aca="false">IF($A234="N/A"," ",$U234*(8*($BS234))*R234)</f>
        <v> </v>
      </c>
      <c r="AC234" s="320" t="str">
        <f aca="false">IF($A234="N/A"," ",$U234*(8*($BS234))*S234)</f>
        <v> </v>
      </c>
      <c r="AD234" s="320" t="str">
        <f aca="false">IF($A234="N/A"," ",$U234*(8*($BS234))*T234)</f>
        <v> </v>
      </c>
      <c r="AE234" s="320" t="str">
        <f aca="false">IF($A234="N/A"," ",SUM(V234:AD234))</f>
        <v> </v>
      </c>
      <c r="AF234" s="321" t="str">
        <f aca="false">IF(A234="N/A"," ",(VLOOKUP(A234,PowerVolTable,(IF(VolBMO1=2,7,IF(VolBMO1=1,6,8))),FALSE())))</f>
        <v> </v>
      </c>
      <c r="AG234" s="321" t="str">
        <f aca="false">IF(A234="N/A"," ",(VLOOKUP(A234,IntraPowerVol,(IF(VolBMO1=2,3,IF(VolBMO1=1,2,4))),FALSE())*VLOOKUP(MONTH($A234),Volscale,2)))</f>
        <v> </v>
      </c>
      <c r="AH234" s="321" t="str">
        <f aca="false">IF($A234="N/A"," ",IF(VolType1=1,AG234,AF234))</f>
        <v> </v>
      </c>
      <c r="AI234" s="321" t="str">
        <f aca="false">IF($A234="N/A"," ",(VLOOKUP($A234,OffPwrVolTable,(IF(VolBMO1=2,7,IF(VolBMO1=1,6,8))),FALSE())))</f>
        <v> </v>
      </c>
      <c r="AJ234" s="321" t="str">
        <f aca="false">IF($A234="N/A"," ",(VLOOKUP($A234,OffPwrVolTable,(IF(VolBMO1=2,3,IF(VolBMO1=1,2,4))),FALSE())*VLOOKUP(MONTH($A234),Volscale,2)))</f>
        <v> </v>
      </c>
      <c r="AK234" s="321" t="str">
        <f aca="false">IF($A234="N/A"," ",IF(VolType1=1,AJ234,AI234))</f>
        <v> </v>
      </c>
      <c r="AL234" s="321" t="str">
        <f aca="false">IF($A234="N/A"," ",IF(PV=1,0,'Pricing Inputs1'!R267))</f>
        <v> </v>
      </c>
      <c r="AM234" s="323" t="str">
        <f aca="false">IF($A234="N/A"," ",(1+AL234/2)^(-2*((EOMONTH(A234,0)+20)-DateToday)/365.25))</f>
        <v> </v>
      </c>
      <c r="BQ234" s="0" t="str">
        <f aca="false">IF($A234="N/A"," ",(VLOOKUP($A234,NumberofDaysTable,2)))</f>
        <v> </v>
      </c>
      <c r="BR234" s="0" t="str">
        <f aca="false">IF($A234="N/A"," ",(VLOOKUP($A234,NumberofDaysTable,3)))</f>
        <v> </v>
      </c>
      <c r="BS234" s="0" t="str">
        <f aca="false">IF($A234="N/A"," ",(VLOOKUP($A234,NumberofDaysTable,4)))</f>
        <v> </v>
      </c>
    </row>
    <row r="235" customFormat="false" ht="12.75" hidden="false" customHeight="false" outlineLevel="0" collapsed="false">
      <c r="A235" s="315" t="str">
        <f aca="false">IF(A234="N/A","N/A",IF(EDATE(A234,1)&gt;Inputs!$M$5,"N/A",EDATE(A234,1)))</f>
        <v>N/A</v>
      </c>
      <c r="B235" s="316" t="str">
        <f aca="false">IF(A235="N/A"," ",YEAR(A235))</f>
        <v> </v>
      </c>
      <c r="C235" s="324" t="str">
        <f aca="false">IF($A235="N/A"," ",IF(Dayrun1=10,0,IF(Scaler1=1,(VLOOKUP(A235,ScaledPrice1,4)),(VLOOKUP(A235,ScaledPrice1,2)))))</f>
        <v> </v>
      </c>
      <c r="D235" s="317" t="str">
        <f aca="false">IF(A235="N/A"," ",IF(Dayrun1&gt;=7,0,IF(Scaler1=2,VLOOKUP(A235,ScaledPrice1,2),(VLOOKUP(A235,ScaledPrice1,2))*(2-(VLOOKUP(A235,ScaledPrice1,3))))))</f>
        <v> </v>
      </c>
      <c r="E235" s="317" t="str">
        <f aca="false">IF($A235="N/A"," ",IF(AND(Dayrun1&gt;=4,Dayrun1&lt;=9),0,VLOOKUP($A235,ScaledPrice1,9)))</f>
        <v> </v>
      </c>
      <c r="F235" s="317" t="str">
        <f aca="false">IF(A235="N/A"," ",IF(OR(Dayrun1=2,Dayrun1=3,Dayrun1=5,Dayrun1=6,Dayrun1=8,Dayrun1=9),VLOOKUP(A235,ScaledPrice1,IF(Scaler1=1,6,5)),0))</f>
        <v> </v>
      </c>
      <c r="G235" s="317" t="str">
        <f aca="false">IF(A235="N/A"," ",IF(OR(Dayrun1=2,Dayrun1=3,Dayrun1=5,Dayrun1=6),IF(Scaler1=2,F235,(VLOOKUP(A235,ScaledPrice1,5))*(2-(VLOOKUP(A235,ScaledPrice1,3)))),0))</f>
        <v> </v>
      </c>
      <c r="H235" s="317" t="str">
        <f aca="false">IF($A235="N/A"," ",IF(OR(Dayrun1=2,Dayrun1=3,Dayrun1=10),VLOOKUP($A235,ScaledPrice1,9),0))</f>
        <v> </v>
      </c>
      <c r="I235" s="317" t="str">
        <f aca="false">IF(A235="N/A"," ",IF(OR(Dayrun1=3,Dayrun1=6,Dayrun1=9),(VLOOKUP(A235,ScaledPrice1,IF(Scaler1=2,7,8))),0))</f>
        <v> </v>
      </c>
      <c r="J235" s="317" t="str">
        <f aca="false">IF(A235="N/A"," ",IF(OR(Dayrun1=3,Dayrun1=6),IF(Scaler1=2,I235,(VLOOKUP(A235,ScaledPrice1,7))*(2-(VLOOKUP(A235,ScaledPrice1,3)))),0))</f>
        <v> </v>
      </c>
      <c r="K235" s="317" t="str">
        <f aca="false">IF($A235="N/A"," ",IF(OR(Dayrun1=3,Dayrun1=10),VLOOKUP($A235,ScaledPrice1,9),0))</f>
        <v> </v>
      </c>
      <c r="L235" s="318" t="str">
        <f aca="false">IF($A235="N/A"," ",IF(Pricetype1=2,MAX(C235,0),IF(OR(Pricetype1=1,Pricetype1=4),IF(C235=0,0,(EURO(C235,Strikeprice1,0,0,($AH235+IF(Smile=TRUE(),VLOOKUP(MAX(-5,Strikeprice1-C235),Volsmile,2),0)),($A235-DateToday)+15,IF(Pricetype1=1,1,0),0))),C235)))</f>
        <v> </v>
      </c>
      <c r="M235" s="318" t="str">
        <f aca="false">IF($A235="N/A"," ",IF(Pricetype1=2,MAX(D235,0),IF(OR(Pricetype1=1,Pricetype1=4),IF(D235=0,0,(EURO(D235,Strikeprice1,0,0,($AH235+IF(Smile=TRUE(),VLOOKUP(MAX(-5,Strikeprice1-D235),Volsmile,2),0)),($A235-DateToday)+15,IF(Pricetype1=1,1,0),0))),D235)))</f>
        <v> </v>
      </c>
      <c r="N235" s="318" t="str">
        <f aca="false">IF($A235="N/A"," ",IF(Pricetype1=2,MAX(E235,0),IF(OR(Pricetype1=1,Pricetype1=4),IF(E235=0,0,(EURO(E235,Strikeprice1,0,0,($AK235+IF(Smile=TRUE(),VLOOKUP(MAX(-5,Strikeprice1-E235),Volsmile,2),0)),($A235-DateToday)+15,IF(Pricetype1=1,1,0),0))),E235)))</f>
        <v> </v>
      </c>
      <c r="O235" s="318" t="str">
        <f aca="false">IF($A235="N/A"," ",IF(Pricetype1=2,MAX(F235,0),IF(OR(Pricetype1=1,Pricetype1=4),IF(F235=0,0,(EURO(F235,Strikeprice1,0,0,($AK235+IF(Smile=TRUE(),VLOOKUP(MAX(-5,Strikeprice1-F235),Volsmile,2),0)),($A235-DateToday)+15,IF(Pricetype1=1,1,0),0))),F235)))</f>
        <v> </v>
      </c>
      <c r="P235" s="318" t="str">
        <f aca="false">IF($A235="N/A"," ",IF(Pricetype1=2,MAX(G235,0),IF(OR(Pricetype1=1,Pricetype1=4),IF(G235=0,0,(EURO(G235,Strikeprice1,0,0,($AK235+IF(Smile=TRUE(),VLOOKUP(MAX(-5,Strikeprice1-G235),Volsmile,2),0)),($A235-DateToday)+15,IF(Pricetype1=1,1,0),0))),G235)))</f>
        <v> </v>
      </c>
      <c r="Q235" s="318" t="str">
        <f aca="false">IF($A235="N/A"," ",IF(Pricetype1=2,MAX(H235,0),IF(OR(Pricetype1=1,Pricetype1=4),IF(H235=0,0,(EURO(H235,Strikeprice1,0,0,($AK235+IF(Smile=TRUE(),VLOOKUP(MAX(-5,Strikeprice1-H235),Volsmile,2),0)),($A235-DateToday)+15,IF(Pricetype1=1,1,0),0))),H235)))</f>
        <v> </v>
      </c>
      <c r="R235" s="318" t="str">
        <f aca="false">IF($A235="N/A"," ",IF(Pricetype1=2,MAX(I235,0),IF(OR(Pricetype1=1,Pricetype1=4),IF(I235=0,0,(EURO(I235,Strikeprice1,0,0,($AK235+IF(Smile=TRUE(),VLOOKUP(MAX(-5,Strikeprice1-I235),Volsmile,2),0)),($A235-DateToday)+15,IF(Pricetype1=1,1,0),0))),I235)))</f>
        <v> </v>
      </c>
      <c r="S235" s="318" t="str">
        <f aca="false">IF($A235="N/A"," ",IF(Pricetype1=2,MAX(J235,0),IF(OR(Pricetype1=1,Pricetype1=4),IF(J235=0,0,(EURO(J235,Strikeprice1,0,0,($AK235+IF(Smile=TRUE(),VLOOKUP(MAX(-5,Strikeprice1-J235),Volsmile,2),0)),($A235-DateToday)+15,IF(Pricetype1=1,1,0),0))),J235)))</f>
        <v> </v>
      </c>
      <c r="T235" s="318" t="str">
        <f aca="false">IF($A235="N/A"," ",IF(Pricetype1=2,MAX(K235,0),IF(OR(Pricetype1=1,Pricetype1=4),IF(K235=0,0,(EURO(K235,Strikeprice1,0,0,($AK235+IF(Smile=TRUE(),VLOOKUP(MAX(-5,Strikeprice1-K235),Volsmile,2),0)),($A235-DateToday)+15,IF(Pricetype1=1,1,0),0))),K235)))</f>
        <v> </v>
      </c>
      <c r="U235" s="319" t="str">
        <f aca="false">IF($A235="N/A"," ",Volume1*$AM235)</f>
        <v> </v>
      </c>
      <c r="V235" s="320" t="str">
        <f aca="false">IF($A235="N/A"," ",$U235*(8*($BQ235))*L235)</f>
        <v> </v>
      </c>
      <c r="W235" s="320" t="str">
        <f aca="false">IF($A235="N/A"," ",$U235*(8*($BQ235))*M235)</f>
        <v> </v>
      </c>
      <c r="X235" s="320" t="str">
        <f aca="false">IF($A235="N/A"," ",$U235*(8*($BQ235))*N235)</f>
        <v> </v>
      </c>
      <c r="Y235" s="320" t="str">
        <f aca="false">IF($A235="N/A"," ",$U235*(8*($BR235))*O235)</f>
        <v> </v>
      </c>
      <c r="Z235" s="320" t="str">
        <f aca="false">IF($A235="N/A"," ",$U235*(8*($BR235))*P235)</f>
        <v> </v>
      </c>
      <c r="AA235" s="320" t="str">
        <f aca="false">IF($A235="N/A"," ",$U235*(8*($BR235))*Q235)</f>
        <v> </v>
      </c>
      <c r="AB235" s="320" t="str">
        <f aca="false">IF($A235="N/A"," ",$U235*(8*($BS235))*R235)</f>
        <v> </v>
      </c>
      <c r="AC235" s="320" t="str">
        <f aca="false">IF($A235="N/A"," ",$U235*(8*($BS235))*S235)</f>
        <v> </v>
      </c>
      <c r="AD235" s="320" t="str">
        <f aca="false">IF($A235="N/A"," ",$U235*(8*($BS235))*T235)</f>
        <v> </v>
      </c>
      <c r="AE235" s="320" t="str">
        <f aca="false">IF($A235="N/A"," ",SUM(V235:AD235))</f>
        <v> </v>
      </c>
      <c r="AF235" s="321" t="str">
        <f aca="false">IF(A235="N/A"," ",(VLOOKUP(A235,PowerVolTable,(IF(VolBMO1=2,7,IF(VolBMO1=1,6,8))),FALSE())))</f>
        <v> </v>
      </c>
      <c r="AG235" s="321" t="str">
        <f aca="false">IF(A235="N/A"," ",(VLOOKUP(A235,IntraPowerVol,(IF(VolBMO1=2,3,IF(VolBMO1=1,2,4))),FALSE())*VLOOKUP(MONTH($A235),Volscale,2)))</f>
        <v> </v>
      </c>
      <c r="AH235" s="321" t="str">
        <f aca="false">IF($A235="N/A"," ",IF(VolType1=1,AG235,AF235))</f>
        <v> </v>
      </c>
      <c r="AI235" s="321" t="str">
        <f aca="false">IF($A235="N/A"," ",(VLOOKUP($A235,OffPwrVolTable,(IF(VolBMO1=2,7,IF(VolBMO1=1,6,8))),FALSE())))</f>
        <v> </v>
      </c>
      <c r="AJ235" s="321" t="str">
        <f aca="false">IF($A235="N/A"," ",(VLOOKUP($A235,OffPwrVolTable,(IF(VolBMO1=2,3,IF(VolBMO1=1,2,4))),FALSE())*VLOOKUP(MONTH($A235),Volscale,2)))</f>
        <v> </v>
      </c>
      <c r="AK235" s="321" t="str">
        <f aca="false">IF($A235="N/A"," ",IF(VolType1=1,AJ235,AI235))</f>
        <v> </v>
      </c>
      <c r="AL235" s="321" t="str">
        <f aca="false">IF($A235="N/A"," ",IF(PV=1,0,'Pricing Inputs1'!R268))</f>
        <v> </v>
      </c>
      <c r="AM235" s="323" t="str">
        <f aca="false">IF($A235="N/A"," ",(1+AL235/2)^(-2*((EOMONTH(A235,0)+20)-DateToday)/365.25))</f>
        <v> </v>
      </c>
      <c r="BQ235" s="0" t="str">
        <f aca="false">IF($A235="N/A"," ",(VLOOKUP($A235,NumberofDaysTable,2)))</f>
        <v> </v>
      </c>
      <c r="BR235" s="0" t="str">
        <f aca="false">IF($A235="N/A"," ",(VLOOKUP($A235,NumberofDaysTable,3)))</f>
        <v> </v>
      </c>
      <c r="BS235" s="0" t="str">
        <f aca="false">IF($A235="N/A"," ",(VLOOKUP($A235,NumberofDaysTable,4)))</f>
        <v> </v>
      </c>
    </row>
    <row r="236" customFormat="false" ht="12.75" hidden="false" customHeight="false" outlineLevel="0" collapsed="false">
      <c r="A236" s="315" t="str">
        <f aca="false">IF(A235="N/A","N/A",IF(EDATE(A235,1)&gt;Inputs!$M$5,"N/A",EDATE(A235,1)))</f>
        <v>N/A</v>
      </c>
      <c r="B236" s="316" t="str">
        <f aca="false">IF(A236="N/A"," ",YEAR(A236))</f>
        <v> </v>
      </c>
      <c r="C236" s="324" t="str">
        <f aca="false">IF($A236="N/A"," ",IF(Dayrun1=10,0,IF(Scaler1=1,(VLOOKUP(A236,ScaledPrice1,4)),(VLOOKUP(A236,ScaledPrice1,2)))))</f>
        <v> </v>
      </c>
      <c r="D236" s="317" t="str">
        <f aca="false">IF(A236="N/A"," ",IF(Dayrun1&gt;=7,0,IF(Scaler1=2,VLOOKUP(A236,ScaledPrice1,2),(VLOOKUP(A236,ScaledPrice1,2))*(2-(VLOOKUP(A236,ScaledPrice1,3))))))</f>
        <v> </v>
      </c>
      <c r="E236" s="317" t="str">
        <f aca="false">IF($A236="N/A"," ",IF(AND(Dayrun1&gt;=4,Dayrun1&lt;=9),0,VLOOKUP($A236,ScaledPrice1,9)))</f>
        <v> </v>
      </c>
      <c r="F236" s="317" t="str">
        <f aca="false">IF(A236="N/A"," ",IF(OR(Dayrun1=2,Dayrun1=3,Dayrun1=5,Dayrun1=6,Dayrun1=8,Dayrun1=9),VLOOKUP(A236,ScaledPrice1,IF(Scaler1=1,6,5)),0))</f>
        <v> </v>
      </c>
      <c r="G236" s="317" t="str">
        <f aca="false">IF(A236="N/A"," ",IF(OR(Dayrun1=2,Dayrun1=3,Dayrun1=5,Dayrun1=6),IF(Scaler1=2,F236,(VLOOKUP(A236,ScaledPrice1,5))*(2-(VLOOKUP(A236,ScaledPrice1,3)))),0))</f>
        <v> </v>
      </c>
      <c r="H236" s="317" t="str">
        <f aca="false">IF($A236="N/A"," ",IF(OR(Dayrun1=2,Dayrun1=3,Dayrun1=10),VLOOKUP($A236,ScaledPrice1,9),0))</f>
        <v> </v>
      </c>
      <c r="I236" s="317" t="str">
        <f aca="false">IF(A236="N/A"," ",IF(OR(Dayrun1=3,Dayrun1=6,Dayrun1=9),(VLOOKUP(A236,ScaledPrice1,IF(Scaler1=2,7,8))),0))</f>
        <v> </v>
      </c>
      <c r="J236" s="317" t="str">
        <f aca="false">IF(A236="N/A"," ",IF(OR(Dayrun1=3,Dayrun1=6),IF(Scaler1=2,I236,(VLOOKUP(A236,ScaledPrice1,7))*(2-(VLOOKUP(A236,ScaledPrice1,3)))),0))</f>
        <v> </v>
      </c>
      <c r="K236" s="317" t="str">
        <f aca="false">IF($A236="N/A"," ",IF(OR(Dayrun1=3,Dayrun1=10),VLOOKUP($A236,ScaledPrice1,9),0))</f>
        <v> </v>
      </c>
      <c r="L236" s="318" t="str">
        <f aca="false">IF($A236="N/A"," ",IF(Pricetype1=2,MAX(C236,0),IF(OR(Pricetype1=1,Pricetype1=4),IF(C236=0,0,(EURO(C236,Strikeprice1,0,0,($AH236+IF(Smile=TRUE(),VLOOKUP(MAX(-5,Strikeprice1-C236),Volsmile,2),0)),($A236-DateToday)+15,IF(Pricetype1=1,1,0),0))),C236)))</f>
        <v> </v>
      </c>
      <c r="M236" s="318" t="str">
        <f aca="false">IF($A236="N/A"," ",IF(Pricetype1=2,MAX(D236,0),IF(OR(Pricetype1=1,Pricetype1=4),IF(D236=0,0,(EURO(D236,Strikeprice1,0,0,($AH236+IF(Smile=TRUE(),VLOOKUP(MAX(-5,Strikeprice1-D236),Volsmile,2),0)),($A236-DateToday)+15,IF(Pricetype1=1,1,0),0))),D236)))</f>
        <v> </v>
      </c>
      <c r="N236" s="318" t="str">
        <f aca="false">IF($A236="N/A"," ",IF(Pricetype1=2,MAX(E236,0),IF(OR(Pricetype1=1,Pricetype1=4),IF(E236=0,0,(EURO(E236,Strikeprice1,0,0,($AK236+IF(Smile=TRUE(),VLOOKUP(MAX(-5,Strikeprice1-E236),Volsmile,2),0)),($A236-DateToday)+15,IF(Pricetype1=1,1,0),0))),E236)))</f>
        <v> </v>
      </c>
      <c r="O236" s="318" t="str">
        <f aca="false">IF($A236="N/A"," ",IF(Pricetype1=2,MAX(F236,0),IF(OR(Pricetype1=1,Pricetype1=4),IF(F236=0,0,(EURO(F236,Strikeprice1,0,0,($AK236+IF(Smile=TRUE(),VLOOKUP(MAX(-5,Strikeprice1-F236),Volsmile,2),0)),($A236-DateToday)+15,IF(Pricetype1=1,1,0),0))),F236)))</f>
        <v> </v>
      </c>
      <c r="P236" s="318" t="str">
        <f aca="false">IF($A236="N/A"," ",IF(Pricetype1=2,MAX(G236,0),IF(OR(Pricetype1=1,Pricetype1=4),IF(G236=0,0,(EURO(G236,Strikeprice1,0,0,($AK236+IF(Smile=TRUE(),VLOOKUP(MAX(-5,Strikeprice1-G236),Volsmile,2),0)),($A236-DateToday)+15,IF(Pricetype1=1,1,0),0))),G236)))</f>
        <v> </v>
      </c>
      <c r="Q236" s="318" t="str">
        <f aca="false">IF($A236="N/A"," ",IF(Pricetype1=2,MAX(H236,0),IF(OR(Pricetype1=1,Pricetype1=4),IF(H236=0,0,(EURO(H236,Strikeprice1,0,0,($AK236+IF(Smile=TRUE(),VLOOKUP(MAX(-5,Strikeprice1-H236),Volsmile,2),0)),($A236-DateToday)+15,IF(Pricetype1=1,1,0),0))),H236)))</f>
        <v> </v>
      </c>
      <c r="R236" s="318" t="str">
        <f aca="false">IF($A236="N/A"," ",IF(Pricetype1=2,MAX(I236,0),IF(OR(Pricetype1=1,Pricetype1=4),IF(I236=0,0,(EURO(I236,Strikeprice1,0,0,($AK236+IF(Smile=TRUE(),VLOOKUP(MAX(-5,Strikeprice1-I236),Volsmile,2),0)),($A236-DateToday)+15,IF(Pricetype1=1,1,0),0))),I236)))</f>
        <v> </v>
      </c>
      <c r="S236" s="318" t="str">
        <f aca="false">IF($A236="N/A"," ",IF(Pricetype1=2,MAX(J236,0),IF(OR(Pricetype1=1,Pricetype1=4),IF(J236=0,0,(EURO(J236,Strikeprice1,0,0,($AK236+IF(Smile=TRUE(),VLOOKUP(MAX(-5,Strikeprice1-J236),Volsmile,2),0)),($A236-DateToday)+15,IF(Pricetype1=1,1,0),0))),J236)))</f>
        <v> </v>
      </c>
      <c r="T236" s="318" t="str">
        <f aca="false">IF($A236="N/A"," ",IF(Pricetype1=2,MAX(K236,0),IF(OR(Pricetype1=1,Pricetype1=4),IF(K236=0,0,(EURO(K236,Strikeprice1,0,0,($AK236+IF(Smile=TRUE(),VLOOKUP(MAX(-5,Strikeprice1-K236),Volsmile,2),0)),($A236-DateToday)+15,IF(Pricetype1=1,1,0),0))),K236)))</f>
        <v> </v>
      </c>
      <c r="U236" s="319" t="str">
        <f aca="false">IF($A236="N/A"," ",Volume1*$AM236)</f>
        <v> </v>
      </c>
      <c r="V236" s="320" t="str">
        <f aca="false">IF($A236="N/A"," ",$U236*(8*($BQ236))*L236)</f>
        <v> </v>
      </c>
      <c r="W236" s="320" t="str">
        <f aca="false">IF($A236="N/A"," ",$U236*(8*($BQ236))*M236)</f>
        <v> </v>
      </c>
      <c r="X236" s="320" t="str">
        <f aca="false">IF($A236="N/A"," ",$U236*(8*($BQ236))*N236)</f>
        <v> </v>
      </c>
      <c r="Y236" s="320" t="str">
        <f aca="false">IF($A236="N/A"," ",$U236*(8*($BR236))*O236)</f>
        <v> </v>
      </c>
      <c r="Z236" s="320" t="str">
        <f aca="false">IF($A236="N/A"," ",$U236*(8*($BR236))*P236)</f>
        <v> </v>
      </c>
      <c r="AA236" s="320" t="str">
        <f aca="false">IF($A236="N/A"," ",$U236*(8*($BR236))*Q236)</f>
        <v> </v>
      </c>
      <c r="AB236" s="320" t="str">
        <f aca="false">IF($A236="N/A"," ",$U236*(8*($BS236))*R236)</f>
        <v> </v>
      </c>
      <c r="AC236" s="320" t="str">
        <f aca="false">IF($A236="N/A"," ",$U236*(8*($BS236))*S236)</f>
        <v> </v>
      </c>
      <c r="AD236" s="320" t="str">
        <f aca="false">IF($A236="N/A"," ",$U236*(8*($BS236))*T236)</f>
        <v> </v>
      </c>
      <c r="AE236" s="320" t="str">
        <f aca="false">IF($A236="N/A"," ",SUM(V236:AD236))</f>
        <v> </v>
      </c>
      <c r="AF236" s="321" t="str">
        <f aca="false">IF(A236="N/A"," ",(VLOOKUP(A236,PowerVolTable,(IF(VolBMO1=2,7,IF(VolBMO1=1,6,8))),FALSE())))</f>
        <v> </v>
      </c>
      <c r="AG236" s="321" t="str">
        <f aca="false">IF(A236="N/A"," ",(VLOOKUP(A236,IntraPowerVol,(IF(VolBMO1=2,3,IF(VolBMO1=1,2,4))),FALSE())*VLOOKUP(MONTH($A236),Volscale,2)))</f>
        <v> </v>
      </c>
      <c r="AH236" s="321" t="str">
        <f aca="false">IF($A236="N/A"," ",IF(VolType1=1,AG236,AF236))</f>
        <v> </v>
      </c>
      <c r="AI236" s="321" t="str">
        <f aca="false">IF($A236="N/A"," ",(VLOOKUP($A236,OffPwrVolTable,(IF(VolBMO1=2,7,IF(VolBMO1=1,6,8))),FALSE())))</f>
        <v> </v>
      </c>
      <c r="AJ236" s="321" t="str">
        <f aca="false">IF($A236="N/A"," ",(VLOOKUP($A236,OffPwrVolTable,(IF(VolBMO1=2,3,IF(VolBMO1=1,2,4))),FALSE())*VLOOKUP(MONTH($A236),Volscale,2)))</f>
        <v> </v>
      </c>
      <c r="AK236" s="321" t="str">
        <f aca="false">IF($A236="N/A"," ",IF(VolType1=1,AJ236,AI236))</f>
        <v> </v>
      </c>
      <c r="AL236" s="321" t="str">
        <f aca="false">IF($A236="N/A"," ",IF(PV=1,0,'Pricing Inputs1'!R269))</f>
        <v> </v>
      </c>
      <c r="AM236" s="323" t="str">
        <f aca="false">IF($A236="N/A"," ",(1+AL236/2)^(-2*((EOMONTH(A236,0)+20)-DateToday)/365.25))</f>
        <v> </v>
      </c>
      <c r="BQ236" s="0" t="str">
        <f aca="false">IF($A236="N/A"," ",(VLOOKUP($A236,NumberofDaysTable,2)))</f>
        <v> </v>
      </c>
      <c r="BR236" s="0" t="str">
        <f aca="false">IF($A236="N/A"," ",(VLOOKUP($A236,NumberofDaysTable,3)))</f>
        <v> </v>
      </c>
      <c r="BS236" s="0" t="str">
        <f aca="false">IF($A236="N/A"," ",(VLOOKUP($A236,NumberofDaysTable,4)))</f>
        <v> </v>
      </c>
    </row>
    <row r="237" customFormat="false" ht="12.75" hidden="false" customHeight="false" outlineLevel="0" collapsed="false">
      <c r="A237" s="315" t="str">
        <f aca="false">IF(A236="N/A","N/A",IF(EDATE(A236,1)&gt;Inputs!$M$5,"N/A",EDATE(A236,1)))</f>
        <v>N/A</v>
      </c>
      <c r="B237" s="316" t="str">
        <f aca="false">IF(A237="N/A"," ",YEAR(A237))</f>
        <v> </v>
      </c>
      <c r="C237" s="324" t="str">
        <f aca="false">IF($A237="N/A"," ",IF(Dayrun1=10,0,IF(Scaler1=1,(VLOOKUP(A237,ScaledPrice1,4)),(VLOOKUP(A237,ScaledPrice1,2)))))</f>
        <v> </v>
      </c>
      <c r="D237" s="317" t="str">
        <f aca="false">IF(A237="N/A"," ",IF(Dayrun1&gt;=7,0,IF(Scaler1=2,VLOOKUP(A237,ScaledPrice1,2),(VLOOKUP(A237,ScaledPrice1,2))*(2-(VLOOKUP(A237,ScaledPrice1,3))))))</f>
        <v> </v>
      </c>
      <c r="E237" s="317" t="str">
        <f aca="false">IF($A237="N/A"," ",IF(AND(Dayrun1&gt;=4,Dayrun1&lt;=9),0,VLOOKUP($A237,ScaledPrice1,9)))</f>
        <v> </v>
      </c>
      <c r="F237" s="317" t="str">
        <f aca="false">IF(A237="N/A"," ",IF(OR(Dayrun1=2,Dayrun1=3,Dayrun1=5,Dayrun1=6,Dayrun1=8,Dayrun1=9),VLOOKUP(A237,ScaledPrice1,IF(Scaler1=1,6,5)),0))</f>
        <v> </v>
      </c>
      <c r="G237" s="317" t="str">
        <f aca="false">IF(A237="N/A"," ",IF(OR(Dayrun1=2,Dayrun1=3,Dayrun1=5,Dayrun1=6),IF(Scaler1=2,F237,(VLOOKUP(A237,ScaledPrice1,5))*(2-(VLOOKUP(A237,ScaledPrice1,3)))),0))</f>
        <v> </v>
      </c>
      <c r="H237" s="317" t="str">
        <f aca="false">IF($A237="N/A"," ",IF(OR(Dayrun1=2,Dayrun1=3,Dayrun1=10),VLOOKUP($A237,ScaledPrice1,9),0))</f>
        <v> </v>
      </c>
      <c r="I237" s="317" t="str">
        <f aca="false">IF(A237="N/A"," ",IF(OR(Dayrun1=3,Dayrun1=6,Dayrun1=9),(VLOOKUP(A237,ScaledPrice1,IF(Scaler1=2,7,8))),0))</f>
        <v> </v>
      </c>
      <c r="J237" s="317" t="str">
        <f aca="false">IF(A237="N/A"," ",IF(OR(Dayrun1=3,Dayrun1=6),IF(Scaler1=2,I237,(VLOOKUP(A237,ScaledPrice1,7))*(2-(VLOOKUP(A237,ScaledPrice1,3)))),0))</f>
        <v> </v>
      </c>
      <c r="K237" s="317" t="str">
        <f aca="false">IF($A237="N/A"," ",IF(OR(Dayrun1=3,Dayrun1=10),VLOOKUP($A237,ScaledPrice1,9),0))</f>
        <v> </v>
      </c>
      <c r="L237" s="318" t="str">
        <f aca="false">IF($A237="N/A"," ",IF(Pricetype1=2,MAX(C237,0),IF(OR(Pricetype1=1,Pricetype1=4),IF(C237=0,0,(EURO(C237,Strikeprice1,0,0,($AH237+IF(Smile=TRUE(),VLOOKUP(MAX(-5,Strikeprice1-C237),Volsmile,2),0)),($A237-DateToday)+15,IF(Pricetype1=1,1,0),0))),C237)))</f>
        <v> </v>
      </c>
      <c r="M237" s="318" t="str">
        <f aca="false">IF($A237="N/A"," ",IF(Pricetype1=2,MAX(D237,0),IF(OR(Pricetype1=1,Pricetype1=4),IF(D237=0,0,(EURO(D237,Strikeprice1,0,0,($AH237+IF(Smile=TRUE(),VLOOKUP(MAX(-5,Strikeprice1-D237),Volsmile,2),0)),($A237-DateToday)+15,IF(Pricetype1=1,1,0),0))),D237)))</f>
        <v> </v>
      </c>
      <c r="N237" s="318" t="str">
        <f aca="false">IF($A237="N/A"," ",IF(Pricetype1=2,MAX(E237,0),IF(OR(Pricetype1=1,Pricetype1=4),IF(E237=0,0,(EURO(E237,Strikeprice1,0,0,($AK237+IF(Smile=TRUE(),VLOOKUP(MAX(-5,Strikeprice1-E237),Volsmile,2),0)),($A237-DateToday)+15,IF(Pricetype1=1,1,0),0))),E237)))</f>
        <v> </v>
      </c>
      <c r="O237" s="318" t="str">
        <f aca="false">IF($A237="N/A"," ",IF(Pricetype1=2,MAX(F237,0),IF(OR(Pricetype1=1,Pricetype1=4),IF(F237=0,0,(EURO(F237,Strikeprice1,0,0,($AK237+IF(Smile=TRUE(),VLOOKUP(MAX(-5,Strikeprice1-F237),Volsmile,2),0)),($A237-DateToday)+15,IF(Pricetype1=1,1,0),0))),F237)))</f>
        <v> </v>
      </c>
      <c r="P237" s="318" t="str">
        <f aca="false">IF($A237="N/A"," ",IF(Pricetype1=2,MAX(G237,0),IF(OR(Pricetype1=1,Pricetype1=4),IF(G237=0,0,(EURO(G237,Strikeprice1,0,0,($AK237+IF(Smile=TRUE(),VLOOKUP(MAX(-5,Strikeprice1-G237),Volsmile,2),0)),($A237-DateToday)+15,IF(Pricetype1=1,1,0),0))),G237)))</f>
        <v> </v>
      </c>
      <c r="Q237" s="318" t="str">
        <f aca="false">IF($A237="N/A"," ",IF(Pricetype1=2,MAX(H237,0),IF(OR(Pricetype1=1,Pricetype1=4),IF(H237=0,0,(EURO(H237,Strikeprice1,0,0,($AK237+IF(Smile=TRUE(),VLOOKUP(MAX(-5,Strikeprice1-H237),Volsmile,2),0)),($A237-DateToday)+15,IF(Pricetype1=1,1,0),0))),H237)))</f>
        <v> </v>
      </c>
      <c r="R237" s="318" t="str">
        <f aca="false">IF($A237="N/A"," ",IF(Pricetype1=2,MAX(I237,0),IF(OR(Pricetype1=1,Pricetype1=4),IF(I237=0,0,(EURO(I237,Strikeprice1,0,0,($AK237+IF(Smile=TRUE(),VLOOKUP(MAX(-5,Strikeprice1-I237),Volsmile,2),0)),($A237-DateToday)+15,IF(Pricetype1=1,1,0),0))),I237)))</f>
        <v> </v>
      </c>
      <c r="S237" s="318" t="str">
        <f aca="false">IF($A237="N/A"," ",IF(Pricetype1=2,MAX(J237,0),IF(OR(Pricetype1=1,Pricetype1=4),IF(J237=0,0,(EURO(J237,Strikeprice1,0,0,($AK237+IF(Smile=TRUE(),VLOOKUP(MAX(-5,Strikeprice1-J237),Volsmile,2),0)),($A237-DateToday)+15,IF(Pricetype1=1,1,0),0))),J237)))</f>
        <v> </v>
      </c>
      <c r="T237" s="318" t="str">
        <f aca="false">IF($A237="N/A"," ",IF(Pricetype1=2,MAX(K237,0),IF(OR(Pricetype1=1,Pricetype1=4),IF(K237=0,0,(EURO(K237,Strikeprice1,0,0,($AK237+IF(Smile=TRUE(),VLOOKUP(MAX(-5,Strikeprice1-K237),Volsmile,2),0)),($A237-DateToday)+15,IF(Pricetype1=1,1,0),0))),K237)))</f>
        <v> </v>
      </c>
      <c r="U237" s="319" t="str">
        <f aca="false">IF($A237="N/A"," ",Volume1*$AM237)</f>
        <v> </v>
      </c>
      <c r="V237" s="320" t="str">
        <f aca="false">IF($A237="N/A"," ",$U237*(8*($BQ237))*L237)</f>
        <v> </v>
      </c>
      <c r="W237" s="320" t="str">
        <f aca="false">IF($A237="N/A"," ",$U237*(8*($BQ237))*M237)</f>
        <v> </v>
      </c>
      <c r="X237" s="320" t="str">
        <f aca="false">IF($A237="N/A"," ",$U237*(8*($BQ237))*N237)</f>
        <v> </v>
      </c>
      <c r="Y237" s="320" t="str">
        <f aca="false">IF($A237="N/A"," ",$U237*(8*($BR237))*O237)</f>
        <v> </v>
      </c>
      <c r="Z237" s="320" t="str">
        <f aca="false">IF($A237="N/A"," ",$U237*(8*($BR237))*P237)</f>
        <v> </v>
      </c>
      <c r="AA237" s="320" t="str">
        <f aca="false">IF($A237="N/A"," ",$U237*(8*($BR237))*Q237)</f>
        <v> </v>
      </c>
      <c r="AB237" s="320" t="str">
        <f aca="false">IF($A237="N/A"," ",$U237*(8*($BS237))*R237)</f>
        <v> </v>
      </c>
      <c r="AC237" s="320" t="str">
        <f aca="false">IF($A237="N/A"," ",$U237*(8*($BS237))*S237)</f>
        <v> </v>
      </c>
      <c r="AD237" s="320" t="str">
        <f aca="false">IF($A237="N/A"," ",$U237*(8*($BS237))*T237)</f>
        <v> </v>
      </c>
      <c r="AE237" s="320" t="str">
        <f aca="false">IF($A237="N/A"," ",SUM(V237:AD237))</f>
        <v> </v>
      </c>
      <c r="AF237" s="321" t="str">
        <f aca="false">IF(A237="N/A"," ",(VLOOKUP(A237,PowerVolTable,(IF(VolBMO1=2,7,IF(VolBMO1=1,6,8))),FALSE())))</f>
        <v> </v>
      </c>
      <c r="AG237" s="321" t="str">
        <f aca="false">IF(A237="N/A"," ",(VLOOKUP(A237,IntraPowerVol,(IF(VolBMO1=2,3,IF(VolBMO1=1,2,4))),FALSE())*VLOOKUP(MONTH($A237),Volscale,2)))</f>
        <v> </v>
      </c>
      <c r="AH237" s="321" t="str">
        <f aca="false">IF($A237="N/A"," ",IF(VolType1=1,AG237,AF237))</f>
        <v> </v>
      </c>
      <c r="AI237" s="321" t="str">
        <f aca="false">IF($A237="N/A"," ",(VLOOKUP($A237,OffPwrVolTable,(IF(VolBMO1=2,7,IF(VolBMO1=1,6,8))),FALSE())))</f>
        <v> </v>
      </c>
      <c r="AJ237" s="321" t="str">
        <f aca="false">IF($A237="N/A"," ",(VLOOKUP($A237,OffPwrVolTable,(IF(VolBMO1=2,3,IF(VolBMO1=1,2,4))),FALSE())*VLOOKUP(MONTH($A237),Volscale,2)))</f>
        <v> </v>
      </c>
      <c r="AK237" s="321" t="str">
        <f aca="false">IF($A237="N/A"," ",IF(VolType1=1,AJ237,AI237))</f>
        <v> </v>
      </c>
      <c r="AL237" s="321" t="str">
        <f aca="false">IF($A237="N/A"," ",IF(PV=1,0,'Pricing Inputs1'!R270))</f>
        <v> </v>
      </c>
      <c r="AM237" s="323" t="str">
        <f aca="false">IF($A237="N/A"," ",(1+AL237/2)^(-2*((EOMONTH(A237,0)+20)-DateToday)/365.25))</f>
        <v> </v>
      </c>
      <c r="BQ237" s="0" t="str">
        <f aca="false">IF($A237="N/A"," ",(VLOOKUP($A237,NumberofDaysTable,2)))</f>
        <v> </v>
      </c>
      <c r="BR237" s="0" t="str">
        <f aca="false">IF($A237="N/A"," ",(VLOOKUP($A237,NumberofDaysTable,3)))</f>
        <v> </v>
      </c>
      <c r="BS237" s="0" t="str">
        <f aca="false">IF($A237="N/A"," ",(VLOOKUP($A237,NumberofDaysTable,4)))</f>
        <v> </v>
      </c>
    </row>
    <row r="238" customFormat="false" ht="12.75" hidden="false" customHeight="false" outlineLevel="0" collapsed="false">
      <c r="A238" s="315" t="str">
        <f aca="false">IF(A237="N/A","N/A",IF(EDATE(A237,1)&gt;Inputs!$M$5,"N/A",EDATE(A237,1)))</f>
        <v>N/A</v>
      </c>
      <c r="B238" s="316" t="str">
        <f aca="false">IF(A238="N/A"," ",YEAR(A238))</f>
        <v> </v>
      </c>
      <c r="C238" s="324" t="str">
        <f aca="false">IF($A238="N/A"," ",IF(Dayrun1=10,0,IF(Scaler1=1,(VLOOKUP(A238,ScaledPrice1,4)),(VLOOKUP(A238,ScaledPrice1,2)))))</f>
        <v> </v>
      </c>
      <c r="D238" s="317" t="str">
        <f aca="false">IF(A238="N/A"," ",IF(Dayrun1&gt;=7,0,IF(Scaler1=2,VLOOKUP(A238,ScaledPrice1,2),(VLOOKUP(A238,ScaledPrice1,2))*(2-(VLOOKUP(A238,ScaledPrice1,3))))))</f>
        <v> </v>
      </c>
      <c r="E238" s="317" t="str">
        <f aca="false">IF($A238="N/A"," ",IF(AND(Dayrun1&gt;=4,Dayrun1&lt;=9),0,VLOOKUP($A238,ScaledPrice1,9)))</f>
        <v> </v>
      </c>
      <c r="F238" s="317" t="str">
        <f aca="false">IF(A238="N/A"," ",IF(OR(Dayrun1=2,Dayrun1=3,Dayrun1=5,Dayrun1=6,Dayrun1=8,Dayrun1=9),VLOOKUP(A238,ScaledPrice1,IF(Scaler1=1,6,5)),0))</f>
        <v> </v>
      </c>
      <c r="G238" s="317" t="str">
        <f aca="false">IF(A238="N/A"," ",IF(OR(Dayrun1=2,Dayrun1=3,Dayrun1=5,Dayrun1=6),IF(Scaler1=2,F238,(VLOOKUP(A238,ScaledPrice1,5))*(2-(VLOOKUP(A238,ScaledPrice1,3)))),0))</f>
        <v> </v>
      </c>
      <c r="H238" s="317" t="str">
        <f aca="false">IF($A238="N/A"," ",IF(OR(Dayrun1=2,Dayrun1=3,Dayrun1=10),VLOOKUP($A238,ScaledPrice1,9),0))</f>
        <v> </v>
      </c>
      <c r="I238" s="317" t="str">
        <f aca="false">IF(A238="N/A"," ",IF(OR(Dayrun1=3,Dayrun1=6,Dayrun1=9),(VLOOKUP(A238,ScaledPrice1,IF(Scaler1=2,7,8))),0))</f>
        <v> </v>
      </c>
      <c r="J238" s="317" t="str">
        <f aca="false">IF(A238="N/A"," ",IF(OR(Dayrun1=3,Dayrun1=6),IF(Scaler1=2,I238,(VLOOKUP(A238,ScaledPrice1,7))*(2-(VLOOKUP(A238,ScaledPrice1,3)))),0))</f>
        <v> </v>
      </c>
      <c r="K238" s="317" t="str">
        <f aca="false">IF($A238="N/A"," ",IF(OR(Dayrun1=3,Dayrun1=10),VLOOKUP($A238,ScaledPrice1,9),0))</f>
        <v> </v>
      </c>
      <c r="L238" s="318" t="str">
        <f aca="false">IF($A238="N/A"," ",IF(Pricetype1=2,MAX(C238,0),IF(OR(Pricetype1=1,Pricetype1=4),IF(C238=0,0,(EURO(C238,Strikeprice1,0,0,($AH238+IF(Smile=TRUE(),VLOOKUP(MAX(-5,Strikeprice1-C238),Volsmile,2),0)),($A238-DateToday)+15,IF(Pricetype1=1,1,0),0))),C238)))</f>
        <v> </v>
      </c>
      <c r="M238" s="318" t="str">
        <f aca="false">IF($A238="N/A"," ",IF(Pricetype1=2,MAX(D238,0),IF(OR(Pricetype1=1,Pricetype1=4),IF(D238=0,0,(EURO(D238,Strikeprice1,0,0,($AH238+IF(Smile=TRUE(),VLOOKUP(MAX(-5,Strikeprice1-D238),Volsmile,2),0)),($A238-DateToday)+15,IF(Pricetype1=1,1,0),0))),D238)))</f>
        <v> </v>
      </c>
      <c r="N238" s="318" t="str">
        <f aca="false">IF($A238="N/A"," ",IF(Pricetype1=2,MAX(E238,0),IF(OR(Pricetype1=1,Pricetype1=4),IF(E238=0,0,(EURO(E238,Strikeprice1,0,0,($AK238+IF(Smile=TRUE(),VLOOKUP(MAX(-5,Strikeprice1-E238),Volsmile,2),0)),($A238-DateToday)+15,IF(Pricetype1=1,1,0),0))),E238)))</f>
        <v> </v>
      </c>
      <c r="O238" s="318" t="str">
        <f aca="false">IF($A238="N/A"," ",IF(Pricetype1=2,MAX(F238,0),IF(OR(Pricetype1=1,Pricetype1=4),IF(F238=0,0,(EURO(F238,Strikeprice1,0,0,($AK238+IF(Smile=TRUE(),VLOOKUP(MAX(-5,Strikeprice1-F238),Volsmile,2),0)),($A238-DateToday)+15,IF(Pricetype1=1,1,0),0))),F238)))</f>
        <v> </v>
      </c>
      <c r="P238" s="318" t="str">
        <f aca="false">IF($A238="N/A"," ",IF(Pricetype1=2,MAX(G238,0),IF(OR(Pricetype1=1,Pricetype1=4),IF(G238=0,0,(EURO(G238,Strikeprice1,0,0,($AK238+IF(Smile=TRUE(),VLOOKUP(MAX(-5,Strikeprice1-G238),Volsmile,2),0)),($A238-DateToday)+15,IF(Pricetype1=1,1,0),0))),G238)))</f>
        <v> </v>
      </c>
      <c r="Q238" s="318" t="str">
        <f aca="false">IF($A238="N/A"," ",IF(Pricetype1=2,MAX(H238,0),IF(OR(Pricetype1=1,Pricetype1=4),IF(H238=0,0,(EURO(H238,Strikeprice1,0,0,($AK238+IF(Smile=TRUE(),VLOOKUP(MAX(-5,Strikeprice1-H238),Volsmile,2),0)),($A238-DateToday)+15,IF(Pricetype1=1,1,0),0))),H238)))</f>
        <v> </v>
      </c>
      <c r="R238" s="318" t="str">
        <f aca="false">IF($A238="N/A"," ",IF(Pricetype1=2,MAX(I238,0),IF(OR(Pricetype1=1,Pricetype1=4),IF(I238=0,0,(EURO(I238,Strikeprice1,0,0,($AK238+IF(Smile=TRUE(),VLOOKUP(MAX(-5,Strikeprice1-I238),Volsmile,2),0)),($A238-DateToday)+15,IF(Pricetype1=1,1,0),0))),I238)))</f>
        <v> </v>
      </c>
      <c r="S238" s="318" t="str">
        <f aca="false">IF($A238="N/A"," ",IF(Pricetype1=2,MAX(J238,0),IF(OR(Pricetype1=1,Pricetype1=4),IF(J238=0,0,(EURO(J238,Strikeprice1,0,0,($AK238+IF(Smile=TRUE(),VLOOKUP(MAX(-5,Strikeprice1-J238),Volsmile,2),0)),($A238-DateToday)+15,IF(Pricetype1=1,1,0),0))),J238)))</f>
        <v> </v>
      </c>
      <c r="T238" s="318" t="str">
        <f aca="false">IF($A238="N/A"," ",IF(Pricetype1=2,MAX(K238,0),IF(OR(Pricetype1=1,Pricetype1=4),IF(K238=0,0,(EURO(K238,Strikeprice1,0,0,($AK238+IF(Smile=TRUE(),VLOOKUP(MAX(-5,Strikeprice1-K238),Volsmile,2),0)),($A238-DateToday)+15,IF(Pricetype1=1,1,0),0))),K238)))</f>
        <v> </v>
      </c>
      <c r="U238" s="319" t="str">
        <f aca="false">IF($A238="N/A"," ",Volume1*$AM238)</f>
        <v> </v>
      </c>
      <c r="V238" s="320" t="str">
        <f aca="false">IF($A238="N/A"," ",$U238*(8*($BQ238))*L238)</f>
        <v> </v>
      </c>
      <c r="W238" s="320" t="str">
        <f aca="false">IF($A238="N/A"," ",$U238*(8*($BQ238))*M238)</f>
        <v> </v>
      </c>
      <c r="X238" s="320" t="str">
        <f aca="false">IF($A238="N/A"," ",$U238*(8*($BQ238))*N238)</f>
        <v> </v>
      </c>
      <c r="Y238" s="320" t="str">
        <f aca="false">IF($A238="N/A"," ",$U238*(8*($BR238))*O238)</f>
        <v> </v>
      </c>
      <c r="Z238" s="320" t="str">
        <f aca="false">IF($A238="N/A"," ",$U238*(8*($BR238))*P238)</f>
        <v> </v>
      </c>
      <c r="AA238" s="320" t="str">
        <f aca="false">IF($A238="N/A"," ",$U238*(8*($BR238))*Q238)</f>
        <v> </v>
      </c>
      <c r="AB238" s="320" t="str">
        <f aca="false">IF($A238="N/A"," ",$U238*(8*($BS238))*R238)</f>
        <v> </v>
      </c>
      <c r="AC238" s="320" t="str">
        <f aca="false">IF($A238="N/A"," ",$U238*(8*($BS238))*S238)</f>
        <v> </v>
      </c>
      <c r="AD238" s="320" t="str">
        <f aca="false">IF($A238="N/A"," ",$U238*(8*($BS238))*T238)</f>
        <v> </v>
      </c>
      <c r="AE238" s="320" t="str">
        <f aca="false">IF($A238="N/A"," ",SUM(V238:AD238))</f>
        <v> </v>
      </c>
      <c r="AF238" s="321" t="str">
        <f aca="false">IF(A238="N/A"," ",(VLOOKUP(A238,PowerVolTable,(IF(VolBMO1=2,7,IF(VolBMO1=1,6,8))),FALSE())))</f>
        <v> </v>
      </c>
      <c r="AG238" s="321" t="str">
        <f aca="false">IF(A238="N/A"," ",(VLOOKUP(A238,IntraPowerVol,(IF(VolBMO1=2,3,IF(VolBMO1=1,2,4))),FALSE())*VLOOKUP(MONTH($A238),Volscale,2)))</f>
        <v> </v>
      </c>
      <c r="AH238" s="321" t="str">
        <f aca="false">IF($A238="N/A"," ",IF(VolType1=1,AG238,AF238))</f>
        <v> </v>
      </c>
      <c r="AI238" s="321" t="str">
        <f aca="false">IF($A238="N/A"," ",(VLOOKUP($A238,OffPwrVolTable,(IF(VolBMO1=2,7,IF(VolBMO1=1,6,8))),FALSE())))</f>
        <v> </v>
      </c>
      <c r="AJ238" s="321" t="str">
        <f aca="false">IF($A238="N/A"," ",(VLOOKUP($A238,OffPwrVolTable,(IF(VolBMO1=2,3,IF(VolBMO1=1,2,4))),FALSE())*VLOOKUP(MONTH($A238),Volscale,2)))</f>
        <v> </v>
      </c>
      <c r="AK238" s="321" t="str">
        <f aca="false">IF($A238="N/A"," ",IF(VolType1=1,AJ238,AI238))</f>
        <v> </v>
      </c>
      <c r="AL238" s="321" t="str">
        <f aca="false">IF($A238="N/A"," ",IF(PV=1,0,'Pricing Inputs1'!R271))</f>
        <v> </v>
      </c>
      <c r="AM238" s="323" t="str">
        <f aca="false">IF($A238="N/A"," ",(1+AL238/2)^(-2*((EOMONTH(A238,0)+20)-DateToday)/365.25))</f>
        <v> </v>
      </c>
      <c r="BQ238" s="0" t="str">
        <f aca="false">IF($A238="N/A"," ",(VLOOKUP($A238,NumberofDaysTable,2)))</f>
        <v> </v>
      </c>
      <c r="BR238" s="0" t="str">
        <f aca="false">IF($A238="N/A"," ",(VLOOKUP($A238,NumberofDaysTable,3)))</f>
        <v> </v>
      </c>
      <c r="BS238" s="0" t="str">
        <f aca="false">IF($A238="N/A"," ",(VLOOKUP($A238,NumberofDaysTable,4)))</f>
        <v> </v>
      </c>
    </row>
    <row r="239" customFormat="false" ht="12.75" hidden="false" customHeight="false" outlineLevel="0" collapsed="false">
      <c r="A239" s="315" t="str">
        <f aca="false">IF(A238="N/A","N/A",IF(EDATE(A238,1)&gt;Inputs!$M$5,"N/A",EDATE(A238,1)))</f>
        <v>N/A</v>
      </c>
      <c r="B239" s="316" t="str">
        <f aca="false">IF(A239="N/A"," ",YEAR(A239))</f>
        <v> </v>
      </c>
      <c r="C239" s="324" t="str">
        <f aca="false">IF($A239="N/A"," ",IF(Dayrun1=10,0,IF(Scaler1=1,(VLOOKUP(A239,ScaledPrice1,4)),(VLOOKUP(A239,ScaledPrice1,2)))))</f>
        <v> </v>
      </c>
      <c r="D239" s="317" t="str">
        <f aca="false">IF(A239="N/A"," ",IF(Dayrun1&gt;=7,0,IF(Scaler1=2,VLOOKUP(A239,ScaledPrice1,2),(VLOOKUP(A239,ScaledPrice1,2))*(2-(VLOOKUP(A239,ScaledPrice1,3))))))</f>
        <v> </v>
      </c>
      <c r="E239" s="317" t="str">
        <f aca="false">IF($A239="N/A"," ",IF(AND(Dayrun1&gt;=4,Dayrun1&lt;=9),0,VLOOKUP($A239,ScaledPrice1,9)))</f>
        <v> </v>
      </c>
      <c r="F239" s="317" t="str">
        <f aca="false">IF(A239="N/A"," ",IF(OR(Dayrun1=2,Dayrun1=3,Dayrun1=5,Dayrun1=6,Dayrun1=8,Dayrun1=9),VLOOKUP(A239,ScaledPrice1,IF(Scaler1=1,6,5)),0))</f>
        <v> </v>
      </c>
      <c r="G239" s="317" t="str">
        <f aca="false">IF(A239="N/A"," ",IF(OR(Dayrun1=2,Dayrun1=3,Dayrun1=5,Dayrun1=6),IF(Scaler1=2,F239,(VLOOKUP(A239,ScaledPrice1,5))*(2-(VLOOKUP(A239,ScaledPrice1,3)))),0))</f>
        <v> </v>
      </c>
      <c r="H239" s="317" t="str">
        <f aca="false">IF($A239="N/A"," ",IF(OR(Dayrun1=2,Dayrun1=3,Dayrun1=10),VLOOKUP($A239,ScaledPrice1,9),0))</f>
        <v> </v>
      </c>
      <c r="I239" s="317" t="str">
        <f aca="false">IF(A239="N/A"," ",IF(OR(Dayrun1=3,Dayrun1=6,Dayrun1=9),(VLOOKUP(A239,ScaledPrice1,IF(Scaler1=2,7,8))),0))</f>
        <v> </v>
      </c>
      <c r="J239" s="317" t="str">
        <f aca="false">IF(A239="N/A"," ",IF(OR(Dayrun1=3,Dayrun1=6),IF(Scaler1=2,I239,(VLOOKUP(A239,ScaledPrice1,7))*(2-(VLOOKUP(A239,ScaledPrice1,3)))),0))</f>
        <v> </v>
      </c>
      <c r="K239" s="317" t="str">
        <f aca="false">IF($A239="N/A"," ",IF(OR(Dayrun1=3,Dayrun1=10),VLOOKUP($A239,ScaledPrice1,9),0))</f>
        <v> </v>
      </c>
      <c r="L239" s="318" t="str">
        <f aca="false">IF($A239="N/A"," ",IF(Pricetype1=2,MAX(C239,0),IF(OR(Pricetype1=1,Pricetype1=4),IF(C239=0,0,(EURO(C239,Strikeprice1,0,0,($AH239+IF(Smile=TRUE(),VLOOKUP(MAX(-5,Strikeprice1-C239),Volsmile,2),0)),($A239-DateToday)+15,IF(Pricetype1=1,1,0),0))),C239)))</f>
        <v> </v>
      </c>
      <c r="M239" s="318" t="str">
        <f aca="false">IF($A239="N/A"," ",IF(Pricetype1=2,MAX(D239,0),IF(OR(Pricetype1=1,Pricetype1=4),IF(D239=0,0,(EURO(D239,Strikeprice1,0,0,($AH239+IF(Smile=TRUE(),VLOOKUP(MAX(-5,Strikeprice1-D239),Volsmile,2),0)),($A239-DateToday)+15,IF(Pricetype1=1,1,0),0))),D239)))</f>
        <v> </v>
      </c>
      <c r="N239" s="318" t="str">
        <f aca="false">IF($A239="N/A"," ",IF(Pricetype1=2,MAX(E239,0),IF(OR(Pricetype1=1,Pricetype1=4),IF(E239=0,0,(EURO(E239,Strikeprice1,0,0,($AK239+IF(Smile=TRUE(),VLOOKUP(MAX(-5,Strikeprice1-E239),Volsmile,2),0)),($A239-DateToday)+15,IF(Pricetype1=1,1,0),0))),E239)))</f>
        <v> </v>
      </c>
      <c r="O239" s="318" t="str">
        <f aca="false">IF($A239="N/A"," ",IF(Pricetype1=2,MAX(F239,0),IF(OR(Pricetype1=1,Pricetype1=4),IF(F239=0,0,(EURO(F239,Strikeprice1,0,0,($AK239+IF(Smile=TRUE(),VLOOKUP(MAX(-5,Strikeprice1-F239),Volsmile,2),0)),($A239-DateToday)+15,IF(Pricetype1=1,1,0),0))),F239)))</f>
        <v> </v>
      </c>
      <c r="P239" s="318" t="str">
        <f aca="false">IF($A239="N/A"," ",IF(Pricetype1=2,MAX(G239,0),IF(OR(Pricetype1=1,Pricetype1=4),IF(G239=0,0,(EURO(G239,Strikeprice1,0,0,($AK239+IF(Smile=TRUE(),VLOOKUP(MAX(-5,Strikeprice1-G239),Volsmile,2),0)),($A239-DateToday)+15,IF(Pricetype1=1,1,0),0))),G239)))</f>
        <v> </v>
      </c>
      <c r="Q239" s="318" t="str">
        <f aca="false">IF($A239="N/A"," ",IF(Pricetype1=2,MAX(H239,0),IF(OR(Pricetype1=1,Pricetype1=4),IF(H239=0,0,(EURO(H239,Strikeprice1,0,0,($AK239+IF(Smile=TRUE(),VLOOKUP(MAX(-5,Strikeprice1-H239),Volsmile,2),0)),($A239-DateToday)+15,IF(Pricetype1=1,1,0),0))),H239)))</f>
        <v> </v>
      </c>
      <c r="R239" s="318" t="str">
        <f aca="false">IF($A239="N/A"," ",IF(Pricetype1=2,MAX(I239,0),IF(OR(Pricetype1=1,Pricetype1=4),IF(I239=0,0,(EURO(I239,Strikeprice1,0,0,($AK239+IF(Smile=TRUE(),VLOOKUP(MAX(-5,Strikeprice1-I239),Volsmile,2),0)),($A239-DateToday)+15,IF(Pricetype1=1,1,0),0))),I239)))</f>
        <v> </v>
      </c>
      <c r="S239" s="318" t="str">
        <f aca="false">IF($A239="N/A"," ",IF(Pricetype1=2,MAX(J239,0),IF(OR(Pricetype1=1,Pricetype1=4),IF(J239=0,0,(EURO(J239,Strikeprice1,0,0,($AK239+IF(Smile=TRUE(),VLOOKUP(MAX(-5,Strikeprice1-J239),Volsmile,2),0)),($A239-DateToday)+15,IF(Pricetype1=1,1,0),0))),J239)))</f>
        <v> </v>
      </c>
      <c r="T239" s="318" t="str">
        <f aca="false">IF($A239="N/A"," ",IF(Pricetype1=2,MAX(K239,0),IF(OR(Pricetype1=1,Pricetype1=4),IF(K239=0,0,(EURO(K239,Strikeprice1,0,0,($AK239+IF(Smile=TRUE(),VLOOKUP(MAX(-5,Strikeprice1-K239),Volsmile,2),0)),($A239-DateToday)+15,IF(Pricetype1=1,1,0),0))),K239)))</f>
        <v> </v>
      </c>
      <c r="U239" s="319" t="str">
        <f aca="false">IF($A239="N/A"," ",Volume1*$AM239)</f>
        <v> </v>
      </c>
      <c r="V239" s="320" t="str">
        <f aca="false">IF($A239="N/A"," ",$U239*(8*($BQ239))*L239)</f>
        <v> </v>
      </c>
      <c r="W239" s="320" t="str">
        <f aca="false">IF($A239="N/A"," ",$U239*(8*($BQ239))*M239)</f>
        <v> </v>
      </c>
      <c r="X239" s="320" t="str">
        <f aca="false">IF($A239="N/A"," ",$U239*(8*($BQ239))*N239)</f>
        <v> </v>
      </c>
      <c r="Y239" s="320" t="str">
        <f aca="false">IF($A239="N/A"," ",$U239*(8*($BR239))*O239)</f>
        <v> </v>
      </c>
      <c r="Z239" s="320" t="str">
        <f aca="false">IF($A239="N/A"," ",$U239*(8*($BR239))*P239)</f>
        <v> </v>
      </c>
      <c r="AA239" s="320" t="str">
        <f aca="false">IF($A239="N/A"," ",$U239*(8*($BR239))*Q239)</f>
        <v> </v>
      </c>
      <c r="AB239" s="320" t="str">
        <f aca="false">IF($A239="N/A"," ",$U239*(8*($BS239))*R239)</f>
        <v> </v>
      </c>
      <c r="AC239" s="320" t="str">
        <f aca="false">IF($A239="N/A"," ",$U239*(8*($BS239))*S239)</f>
        <v> </v>
      </c>
      <c r="AD239" s="320" t="str">
        <f aca="false">IF($A239="N/A"," ",$U239*(8*($BS239))*T239)</f>
        <v> </v>
      </c>
      <c r="AE239" s="320" t="str">
        <f aca="false">IF($A239="N/A"," ",SUM(V239:AD239))</f>
        <v> </v>
      </c>
      <c r="AF239" s="321" t="str">
        <f aca="false">IF(A239="N/A"," ",(VLOOKUP(A239,PowerVolTable,(IF(VolBMO1=2,7,IF(VolBMO1=1,6,8))),FALSE())))</f>
        <v> </v>
      </c>
      <c r="AG239" s="321" t="str">
        <f aca="false">IF(A239="N/A"," ",(VLOOKUP(A239,IntraPowerVol,(IF(VolBMO1=2,3,IF(VolBMO1=1,2,4))),FALSE())*VLOOKUP(MONTH($A239),Volscale,2)))</f>
        <v> </v>
      </c>
      <c r="AH239" s="321" t="str">
        <f aca="false">IF($A239="N/A"," ",IF(VolType1=1,AG239,AF239))</f>
        <v> </v>
      </c>
      <c r="AI239" s="321" t="str">
        <f aca="false">IF($A239="N/A"," ",(VLOOKUP($A239,OffPwrVolTable,(IF(VolBMO1=2,7,IF(VolBMO1=1,6,8))),FALSE())))</f>
        <v> </v>
      </c>
      <c r="AJ239" s="321" t="str">
        <f aca="false">IF($A239="N/A"," ",(VLOOKUP($A239,OffPwrVolTable,(IF(VolBMO1=2,3,IF(VolBMO1=1,2,4))),FALSE())*VLOOKUP(MONTH($A239),Volscale,2)))</f>
        <v> </v>
      </c>
      <c r="AK239" s="321" t="str">
        <f aca="false">IF($A239="N/A"," ",IF(VolType1=1,AJ239,AI239))</f>
        <v> </v>
      </c>
      <c r="AL239" s="321" t="str">
        <f aca="false">IF($A239="N/A"," ",IF(PV=1,0,'Pricing Inputs1'!R272))</f>
        <v> </v>
      </c>
      <c r="AM239" s="323" t="str">
        <f aca="false">IF($A239="N/A"," ",(1+AL239/2)^(-2*((EOMONTH(A239,0)+20)-DateToday)/365.25))</f>
        <v> </v>
      </c>
      <c r="BQ239" s="0" t="str">
        <f aca="false">IF($A239="N/A"," ",(VLOOKUP($A239,NumberofDaysTable,2)))</f>
        <v> </v>
      </c>
      <c r="BR239" s="0" t="str">
        <f aca="false">IF($A239="N/A"," ",(VLOOKUP($A239,NumberofDaysTable,3)))</f>
        <v> </v>
      </c>
      <c r="BS239" s="0" t="str">
        <f aca="false">IF($A239="N/A"," ",(VLOOKUP($A239,NumberofDaysTable,4)))</f>
        <v> </v>
      </c>
    </row>
    <row r="240" customFormat="false" ht="12.75" hidden="false" customHeight="false" outlineLevel="0" collapsed="false">
      <c r="A240" s="315" t="str">
        <f aca="false">IF(A239="N/A","N/A",IF(EDATE(A239,1)&gt;Inputs!$M$5,"N/A",EDATE(A239,1)))</f>
        <v>N/A</v>
      </c>
      <c r="B240" s="316" t="str">
        <f aca="false">IF(A240="N/A"," ",YEAR(A240))</f>
        <v> </v>
      </c>
      <c r="C240" s="324" t="str">
        <f aca="false">IF($A240="N/A"," ",IF(Dayrun1=10,0,IF(Scaler1=1,(VLOOKUP(A240,ScaledPrice1,4)),(VLOOKUP(A240,ScaledPrice1,2)))))</f>
        <v> </v>
      </c>
      <c r="D240" s="317" t="str">
        <f aca="false">IF(A240="N/A"," ",IF(Dayrun1&gt;=7,0,IF(Scaler1=2,VLOOKUP(A240,ScaledPrice1,2),(VLOOKUP(A240,ScaledPrice1,2))*(2-(VLOOKUP(A240,ScaledPrice1,3))))))</f>
        <v> </v>
      </c>
      <c r="E240" s="317" t="str">
        <f aca="false">IF($A240="N/A"," ",IF(AND(Dayrun1&gt;=4,Dayrun1&lt;=9),0,VLOOKUP($A240,ScaledPrice1,9)))</f>
        <v> </v>
      </c>
      <c r="F240" s="317" t="str">
        <f aca="false">IF(A240="N/A"," ",IF(OR(Dayrun1=2,Dayrun1=3,Dayrun1=5,Dayrun1=6,Dayrun1=8,Dayrun1=9),VLOOKUP(A240,ScaledPrice1,IF(Scaler1=1,6,5)),0))</f>
        <v> </v>
      </c>
      <c r="G240" s="317" t="str">
        <f aca="false">IF(A240="N/A"," ",IF(OR(Dayrun1=2,Dayrun1=3,Dayrun1=5,Dayrun1=6),IF(Scaler1=2,F240,(VLOOKUP(A240,ScaledPrice1,5))*(2-(VLOOKUP(A240,ScaledPrice1,3)))),0))</f>
        <v> </v>
      </c>
      <c r="H240" s="317" t="str">
        <f aca="false">IF($A240="N/A"," ",IF(OR(Dayrun1=2,Dayrun1=3,Dayrun1=10),VLOOKUP($A240,ScaledPrice1,9),0))</f>
        <v> </v>
      </c>
      <c r="I240" s="317" t="str">
        <f aca="false">IF(A240="N/A"," ",IF(OR(Dayrun1=3,Dayrun1=6,Dayrun1=9),(VLOOKUP(A240,ScaledPrice1,IF(Scaler1=2,7,8))),0))</f>
        <v> </v>
      </c>
      <c r="J240" s="317" t="str">
        <f aca="false">IF(A240="N/A"," ",IF(OR(Dayrun1=3,Dayrun1=6),IF(Scaler1=2,I240,(VLOOKUP(A240,ScaledPrice1,7))*(2-(VLOOKUP(A240,ScaledPrice1,3)))),0))</f>
        <v> </v>
      </c>
      <c r="K240" s="317" t="str">
        <f aca="false">IF($A240="N/A"," ",IF(OR(Dayrun1=3,Dayrun1=10),VLOOKUP($A240,ScaledPrice1,9),0))</f>
        <v> </v>
      </c>
      <c r="L240" s="318" t="str">
        <f aca="false">IF($A240="N/A"," ",IF(Pricetype1=2,MAX(C240,0),IF(OR(Pricetype1=1,Pricetype1=4),IF(C240=0,0,(EURO(C240,Strikeprice1,0,0,($AH240+IF(Smile=TRUE(),VLOOKUP(MAX(-5,Strikeprice1-C240),Volsmile,2),0)),($A240-DateToday)+15,IF(Pricetype1=1,1,0),0))),C240)))</f>
        <v> </v>
      </c>
      <c r="M240" s="318" t="str">
        <f aca="false">IF($A240="N/A"," ",IF(Pricetype1=2,MAX(D240,0),IF(OR(Pricetype1=1,Pricetype1=4),IF(D240=0,0,(EURO(D240,Strikeprice1,0,0,($AH240+IF(Smile=TRUE(),VLOOKUP(MAX(-5,Strikeprice1-D240),Volsmile,2),0)),($A240-DateToday)+15,IF(Pricetype1=1,1,0),0))),D240)))</f>
        <v> </v>
      </c>
      <c r="N240" s="318" t="str">
        <f aca="false">IF($A240="N/A"," ",IF(Pricetype1=2,MAX(E240,0),IF(OR(Pricetype1=1,Pricetype1=4),IF(E240=0,0,(EURO(E240,Strikeprice1,0,0,($AK240+IF(Smile=TRUE(),VLOOKUP(MAX(-5,Strikeprice1-E240),Volsmile,2),0)),($A240-DateToday)+15,IF(Pricetype1=1,1,0),0))),E240)))</f>
        <v> </v>
      </c>
      <c r="O240" s="318" t="str">
        <f aca="false">IF($A240="N/A"," ",IF(Pricetype1=2,MAX(F240,0),IF(OR(Pricetype1=1,Pricetype1=4),IF(F240=0,0,(EURO(F240,Strikeprice1,0,0,($AK240+IF(Smile=TRUE(),VLOOKUP(MAX(-5,Strikeprice1-F240),Volsmile,2),0)),($A240-DateToday)+15,IF(Pricetype1=1,1,0),0))),F240)))</f>
        <v> </v>
      </c>
      <c r="P240" s="318" t="str">
        <f aca="false">IF($A240="N/A"," ",IF(Pricetype1=2,MAX(G240,0),IF(OR(Pricetype1=1,Pricetype1=4),IF(G240=0,0,(EURO(G240,Strikeprice1,0,0,($AK240+IF(Smile=TRUE(),VLOOKUP(MAX(-5,Strikeprice1-G240),Volsmile,2),0)),($A240-DateToday)+15,IF(Pricetype1=1,1,0),0))),G240)))</f>
        <v> </v>
      </c>
      <c r="Q240" s="318" t="str">
        <f aca="false">IF($A240="N/A"," ",IF(Pricetype1=2,MAX(H240,0),IF(OR(Pricetype1=1,Pricetype1=4),IF(H240=0,0,(EURO(H240,Strikeprice1,0,0,($AK240+IF(Smile=TRUE(),VLOOKUP(MAX(-5,Strikeprice1-H240),Volsmile,2),0)),($A240-DateToday)+15,IF(Pricetype1=1,1,0),0))),H240)))</f>
        <v> </v>
      </c>
      <c r="R240" s="318" t="str">
        <f aca="false">IF($A240="N/A"," ",IF(Pricetype1=2,MAX(I240,0),IF(OR(Pricetype1=1,Pricetype1=4),IF(I240=0,0,(EURO(I240,Strikeprice1,0,0,($AK240+IF(Smile=TRUE(),VLOOKUP(MAX(-5,Strikeprice1-I240),Volsmile,2),0)),($A240-DateToday)+15,IF(Pricetype1=1,1,0),0))),I240)))</f>
        <v> </v>
      </c>
      <c r="S240" s="318" t="str">
        <f aca="false">IF($A240="N/A"," ",IF(Pricetype1=2,MAX(J240,0),IF(OR(Pricetype1=1,Pricetype1=4),IF(J240=0,0,(EURO(J240,Strikeprice1,0,0,($AK240+IF(Smile=TRUE(),VLOOKUP(MAX(-5,Strikeprice1-J240),Volsmile,2),0)),($A240-DateToday)+15,IF(Pricetype1=1,1,0),0))),J240)))</f>
        <v> </v>
      </c>
      <c r="T240" s="318" t="str">
        <f aca="false">IF($A240="N/A"," ",IF(Pricetype1=2,MAX(K240,0),IF(OR(Pricetype1=1,Pricetype1=4),IF(K240=0,0,(EURO(K240,Strikeprice1,0,0,($AK240+IF(Smile=TRUE(),VLOOKUP(MAX(-5,Strikeprice1-K240),Volsmile,2),0)),($A240-DateToday)+15,IF(Pricetype1=1,1,0),0))),K240)))</f>
        <v> </v>
      </c>
      <c r="U240" s="319" t="str">
        <f aca="false">IF($A240="N/A"," ",Volume1*$AM240)</f>
        <v> </v>
      </c>
      <c r="V240" s="320" t="str">
        <f aca="false">IF($A240="N/A"," ",$U240*(8*($BQ240))*L240)</f>
        <v> </v>
      </c>
      <c r="W240" s="320" t="str">
        <f aca="false">IF($A240="N/A"," ",$U240*(8*($BQ240))*M240)</f>
        <v> </v>
      </c>
      <c r="X240" s="320" t="str">
        <f aca="false">IF($A240="N/A"," ",$U240*(8*($BQ240))*N240)</f>
        <v> </v>
      </c>
      <c r="Y240" s="320" t="str">
        <f aca="false">IF($A240="N/A"," ",$U240*(8*($BR240))*O240)</f>
        <v> </v>
      </c>
      <c r="Z240" s="320" t="str">
        <f aca="false">IF($A240="N/A"," ",$U240*(8*($BR240))*P240)</f>
        <v> </v>
      </c>
      <c r="AA240" s="320" t="str">
        <f aca="false">IF($A240="N/A"," ",$U240*(8*($BR240))*Q240)</f>
        <v> </v>
      </c>
      <c r="AB240" s="320" t="str">
        <f aca="false">IF($A240="N/A"," ",$U240*(8*($BS240))*R240)</f>
        <v> </v>
      </c>
      <c r="AC240" s="320" t="str">
        <f aca="false">IF($A240="N/A"," ",$U240*(8*($BS240))*S240)</f>
        <v> </v>
      </c>
      <c r="AD240" s="320" t="str">
        <f aca="false">IF($A240="N/A"," ",$U240*(8*($BS240))*T240)</f>
        <v> </v>
      </c>
      <c r="AE240" s="320" t="str">
        <f aca="false">IF($A240="N/A"," ",SUM(V240:AD240))</f>
        <v> </v>
      </c>
      <c r="AF240" s="321" t="str">
        <f aca="false">IF(A240="N/A"," ",(VLOOKUP(A240,PowerVolTable,(IF(VolBMO1=2,7,IF(VolBMO1=1,6,8))),FALSE())))</f>
        <v> </v>
      </c>
      <c r="AG240" s="321" t="str">
        <f aca="false">IF(A240="N/A"," ",(VLOOKUP(A240,IntraPowerVol,(IF(VolBMO1=2,3,IF(VolBMO1=1,2,4))),FALSE())*VLOOKUP(MONTH($A240),Volscale,2)))</f>
        <v> </v>
      </c>
      <c r="AH240" s="321" t="str">
        <f aca="false">IF($A240="N/A"," ",IF(VolType1=1,AG240,AF240))</f>
        <v> </v>
      </c>
      <c r="AI240" s="321" t="str">
        <f aca="false">IF($A240="N/A"," ",(VLOOKUP($A240,OffPwrVolTable,(IF(VolBMO1=2,7,IF(VolBMO1=1,6,8))),FALSE())))</f>
        <v> </v>
      </c>
      <c r="AJ240" s="321" t="str">
        <f aca="false">IF($A240="N/A"," ",(VLOOKUP($A240,OffPwrVolTable,(IF(VolBMO1=2,3,IF(VolBMO1=1,2,4))),FALSE())*VLOOKUP(MONTH($A240),Volscale,2)))</f>
        <v> </v>
      </c>
      <c r="AK240" s="321" t="str">
        <f aca="false">IF($A240="N/A"," ",IF(VolType1=1,AJ240,AI240))</f>
        <v> </v>
      </c>
      <c r="AL240" s="321" t="str">
        <f aca="false">IF($A240="N/A"," ",IF(PV=1,0,'Pricing Inputs1'!R273))</f>
        <v> </v>
      </c>
      <c r="AM240" s="323" t="str">
        <f aca="false">IF($A240="N/A"," ",(1+AL240/2)^(-2*((EOMONTH(A240,0)+20)-DateToday)/365.25))</f>
        <v> </v>
      </c>
      <c r="BQ240" s="0" t="str">
        <f aca="false">IF($A240="N/A"," ",(VLOOKUP($A240,NumberofDaysTable,2)))</f>
        <v> </v>
      </c>
      <c r="BR240" s="0" t="str">
        <f aca="false">IF($A240="N/A"," ",(VLOOKUP($A240,NumberofDaysTable,3)))</f>
        <v> </v>
      </c>
      <c r="BS240" s="0" t="str">
        <f aca="false">IF($A240="N/A"," ",(VLOOKUP($A240,NumberofDaysTable,4)))</f>
        <v> </v>
      </c>
    </row>
    <row r="241" customFormat="false" ht="12.75" hidden="false" customHeight="false" outlineLevel="0" collapsed="false">
      <c r="A241" s="315" t="str">
        <f aca="false">IF(A240="N/A","N/A",IF(EDATE(A240,1)&gt;Inputs!$M$5,"N/A",EDATE(A240,1)))</f>
        <v>N/A</v>
      </c>
      <c r="B241" s="316" t="str">
        <f aca="false">IF(A241="N/A"," ",YEAR(A241))</f>
        <v> </v>
      </c>
      <c r="C241" s="324" t="str">
        <f aca="false">IF($A241="N/A"," ",IF(Dayrun1=10,0,IF(Scaler1=1,(VLOOKUP(A241,ScaledPrice1,4)),(VLOOKUP(A241,ScaledPrice1,2)))))</f>
        <v> </v>
      </c>
      <c r="D241" s="317" t="str">
        <f aca="false">IF(A241="N/A"," ",IF(Dayrun1&gt;=7,0,IF(Scaler1=2,VLOOKUP(A241,ScaledPrice1,2),(VLOOKUP(A241,ScaledPrice1,2))*(2-(VLOOKUP(A241,ScaledPrice1,3))))))</f>
        <v> </v>
      </c>
      <c r="E241" s="317" t="str">
        <f aca="false">IF($A241="N/A"," ",IF(AND(Dayrun1&gt;=4,Dayrun1&lt;=9),0,VLOOKUP($A241,ScaledPrice1,9)))</f>
        <v> </v>
      </c>
      <c r="F241" s="317" t="str">
        <f aca="false">IF(A241="N/A"," ",IF(OR(Dayrun1=2,Dayrun1=3,Dayrun1=5,Dayrun1=6,Dayrun1=8,Dayrun1=9),VLOOKUP(A241,ScaledPrice1,IF(Scaler1=1,6,5)),0))</f>
        <v> </v>
      </c>
      <c r="G241" s="317" t="str">
        <f aca="false">IF(A241="N/A"," ",IF(OR(Dayrun1=2,Dayrun1=3,Dayrun1=5,Dayrun1=6),IF(Scaler1=2,F241,(VLOOKUP(A241,ScaledPrice1,5))*(2-(VLOOKUP(A241,ScaledPrice1,3)))),0))</f>
        <v> </v>
      </c>
      <c r="H241" s="317" t="str">
        <f aca="false">IF($A241="N/A"," ",IF(OR(Dayrun1=2,Dayrun1=3,Dayrun1=10),VLOOKUP($A241,ScaledPrice1,9),0))</f>
        <v> </v>
      </c>
      <c r="I241" s="317" t="str">
        <f aca="false">IF(A241="N/A"," ",IF(OR(Dayrun1=3,Dayrun1=6,Dayrun1=9),(VLOOKUP(A241,ScaledPrice1,IF(Scaler1=2,7,8))),0))</f>
        <v> </v>
      </c>
      <c r="J241" s="317" t="str">
        <f aca="false">IF(A241="N/A"," ",IF(OR(Dayrun1=3,Dayrun1=6),IF(Scaler1=2,I241,(VLOOKUP(A241,ScaledPrice1,7))*(2-(VLOOKUP(A241,ScaledPrice1,3)))),0))</f>
        <v> </v>
      </c>
      <c r="K241" s="317" t="str">
        <f aca="false">IF($A241="N/A"," ",IF(OR(Dayrun1=3,Dayrun1=10),VLOOKUP($A241,ScaledPrice1,9),0))</f>
        <v> </v>
      </c>
      <c r="L241" s="318" t="str">
        <f aca="false">IF($A241="N/A"," ",IF(Pricetype1=2,MAX(C241,0),IF(OR(Pricetype1=1,Pricetype1=4),IF(C241=0,0,(EURO(C241,Strikeprice1,0,0,($AH241+IF(Smile=TRUE(),VLOOKUP(MAX(-5,Strikeprice1-C241),Volsmile,2),0)),($A241-DateToday)+15,IF(Pricetype1=1,1,0),0))),C241)))</f>
        <v> </v>
      </c>
      <c r="M241" s="318" t="str">
        <f aca="false">IF($A241="N/A"," ",IF(Pricetype1=2,MAX(D241,0),IF(OR(Pricetype1=1,Pricetype1=4),IF(D241=0,0,(EURO(D241,Strikeprice1,0,0,($AH241+IF(Smile=TRUE(),VLOOKUP(MAX(-5,Strikeprice1-D241),Volsmile,2),0)),($A241-DateToday)+15,IF(Pricetype1=1,1,0),0))),D241)))</f>
        <v> </v>
      </c>
      <c r="N241" s="318" t="str">
        <f aca="false">IF($A241="N/A"," ",IF(Pricetype1=2,MAX(E241,0),IF(OR(Pricetype1=1,Pricetype1=4),IF(E241=0,0,(EURO(E241,Strikeprice1,0,0,($AK241+IF(Smile=TRUE(),VLOOKUP(MAX(-5,Strikeprice1-E241),Volsmile,2),0)),($A241-DateToday)+15,IF(Pricetype1=1,1,0),0))),E241)))</f>
        <v> </v>
      </c>
      <c r="O241" s="318" t="str">
        <f aca="false">IF($A241="N/A"," ",IF(Pricetype1=2,MAX(F241,0),IF(OR(Pricetype1=1,Pricetype1=4),IF(F241=0,0,(EURO(F241,Strikeprice1,0,0,($AK241+IF(Smile=TRUE(),VLOOKUP(MAX(-5,Strikeprice1-F241),Volsmile,2),0)),($A241-DateToday)+15,IF(Pricetype1=1,1,0),0))),F241)))</f>
        <v> </v>
      </c>
      <c r="P241" s="318" t="str">
        <f aca="false">IF($A241="N/A"," ",IF(Pricetype1=2,MAX(G241,0),IF(OR(Pricetype1=1,Pricetype1=4),IF(G241=0,0,(EURO(G241,Strikeprice1,0,0,($AK241+IF(Smile=TRUE(),VLOOKUP(MAX(-5,Strikeprice1-G241),Volsmile,2),0)),($A241-DateToday)+15,IF(Pricetype1=1,1,0),0))),G241)))</f>
        <v> </v>
      </c>
      <c r="Q241" s="318" t="str">
        <f aca="false">IF($A241="N/A"," ",IF(Pricetype1=2,MAX(H241,0),IF(OR(Pricetype1=1,Pricetype1=4),IF(H241=0,0,(EURO(H241,Strikeprice1,0,0,($AK241+IF(Smile=TRUE(),VLOOKUP(MAX(-5,Strikeprice1-H241),Volsmile,2),0)),($A241-DateToday)+15,IF(Pricetype1=1,1,0),0))),H241)))</f>
        <v> </v>
      </c>
      <c r="R241" s="318" t="str">
        <f aca="false">IF($A241="N/A"," ",IF(Pricetype1=2,MAX(I241,0),IF(OR(Pricetype1=1,Pricetype1=4),IF(I241=0,0,(EURO(I241,Strikeprice1,0,0,($AK241+IF(Smile=TRUE(),VLOOKUP(MAX(-5,Strikeprice1-I241),Volsmile,2),0)),($A241-DateToday)+15,IF(Pricetype1=1,1,0),0))),I241)))</f>
        <v> </v>
      </c>
      <c r="S241" s="318" t="str">
        <f aca="false">IF($A241="N/A"," ",IF(Pricetype1=2,MAX(J241,0),IF(OR(Pricetype1=1,Pricetype1=4),IF(J241=0,0,(EURO(J241,Strikeprice1,0,0,($AK241+IF(Smile=TRUE(),VLOOKUP(MAX(-5,Strikeprice1-J241),Volsmile,2),0)),($A241-DateToday)+15,IF(Pricetype1=1,1,0),0))),J241)))</f>
        <v> </v>
      </c>
      <c r="T241" s="318" t="str">
        <f aca="false">IF($A241="N/A"," ",IF(Pricetype1=2,MAX(K241,0),IF(OR(Pricetype1=1,Pricetype1=4),IF(K241=0,0,(EURO(K241,Strikeprice1,0,0,($AK241+IF(Smile=TRUE(),VLOOKUP(MAX(-5,Strikeprice1-K241),Volsmile,2),0)),($A241-DateToday)+15,IF(Pricetype1=1,1,0),0))),K241)))</f>
        <v> </v>
      </c>
      <c r="U241" s="319" t="str">
        <f aca="false">IF($A241="N/A"," ",Volume1*$AM241)</f>
        <v> </v>
      </c>
      <c r="V241" s="320" t="str">
        <f aca="false">IF($A241="N/A"," ",$U241*(8*($BQ241))*L241)</f>
        <v> </v>
      </c>
      <c r="W241" s="320" t="str">
        <f aca="false">IF($A241="N/A"," ",$U241*(8*($BQ241))*M241)</f>
        <v> </v>
      </c>
      <c r="X241" s="320" t="str">
        <f aca="false">IF($A241="N/A"," ",$U241*(8*($BQ241))*N241)</f>
        <v> </v>
      </c>
      <c r="Y241" s="320" t="str">
        <f aca="false">IF($A241="N/A"," ",$U241*(8*($BR241))*O241)</f>
        <v> </v>
      </c>
      <c r="Z241" s="320" t="str">
        <f aca="false">IF($A241="N/A"," ",$U241*(8*($BR241))*P241)</f>
        <v> </v>
      </c>
      <c r="AA241" s="320" t="str">
        <f aca="false">IF($A241="N/A"," ",$U241*(8*($BR241))*Q241)</f>
        <v> </v>
      </c>
      <c r="AB241" s="320" t="str">
        <f aca="false">IF($A241="N/A"," ",$U241*(8*($BS241))*R241)</f>
        <v> </v>
      </c>
      <c r="AC241" s="320" t="str">
        <f aca="false">IF($A241="N/A"," ",$U241*(8*($BS241))*S241)</f>
        <v> </v>
      </c>
      <c r="AD241" s="320" t="str">
        <f aca="false">IF($A241="N/A"," ",$U241*(8*($BS241))*T241)</f>
        <v> </v>
      </c>
      <c r="AE241" s="320" t="str">
        <f aca="false">IF($A241="N/A"," ",SUM(V241:AD241))</f>
        <v> </v>
      </c>
      <c r="AF241" s="321" t="str">
        <f aca="false">IF(A241="N/A"," ",(VLOOKUP(A241,PowerVolTable,(IF(VolBMO1=2,7,IF(VolBMO1=1,6,8))),FALSE())))</f>
        <v> </v>
      </c>
      <c r="AG241" s="321" t="str">
        <f aca="false">IF(A241="N/A"," ",(VLOOKUP(A241,IntraPowerVol,(IF(VolBMO1=2,3,IF(VolBMO1=1,2,4))),FALSE())*VLOOKUP(MONTH($A241),Volscale,2)))</f>
        <v> </v>
      </c>
      <c r="AH241" s="321" t="str">
        <f aca="false">IF($A241="N/A"," ",IF(VolType1=1,AG241,AF241))</f>
        <v> </v>
      </c>
      <c r="AI241" s="321" t="str">
        <f aca="false">IF($A241="N/A"," ",(VLOOKUP($A241,OffPwrVolTable,(IF(VolBMO1=2,7,IF(VolBMO1=1,6,8))),FALSE())))</f>
        <v> </v>
      </c>
      <c r="AJ241" s="321" t="str">
        <f aca="false">IF($A241="N/A"," ",(VLOOKUP($A241,OffPwrVolTable,(IF(VolBMO1=2,3,IF(VolBMO1=1,2,4))),FALSE())*VLOOKUP(MONTH($A241),Volscale,2)))</f>
        <v> </v>
      </c>
      <c r="AK241" s="321" t="str">
        <f aca="false">IF($A241="N/A"," ",IF(VolType1=1,AJ241,AI241))</f>
        <v> </v>
      </c>
      <c r="AL241" s="321" t="str">
        <f aca="false">IF($A241="N/A"," ",IF(PV=1,0,'Pricing Inputs1'!R274))</f>
        <v> </v>
      </c>
      <c r="AM241" s="323" t="str">
        <f aca="false">IF($A241="N/A"," ",(1+AL241/2)^(-2*((EOMONTH(A241,0)+20)-DateToday)/365.25))</f>
        <v> </v>
      </c>
      <c r="BQ241" s="0" t="str">
        <f aca="false">IF($A241="N/A"," ",(VLOOKUP($A241,NumberofDaysTable,2)))</f>
        <v> </v>
      </c>
      <c r="BR241" s="0" t="str">
        <f aca="false">IF($A241="N/A"," ",(VLOOKUP($A241,NumberofDaysTable,3)))</f>
        <v> </v>
      </c>
      <c r="BS241" s="0" t="str">
        <f aca="false">IF($A241="N/A"," ",(VLOOKUP($A241,NumberofDaysTable,4)))</f>
        <v> </v>
      </c>
    </row>
    <row r="242" customFormat="false" ht="12.75" hidden="false" customHeight="false" outlineLevel="0" collapsed="false">
      <c r="A242" s="315" t="str">
        <f aca="false">IF(A241="N/A","N/A",IF(EDATE(A241,1)&gt;Inputs!$M$5,"N/A",EDATE(A241,1)))</f>
        <v>N/A</v>
      </c>
      <c r="B242" s="316" t="str">
        <f aca="false">IF(A242="N/A"," ",YEAR(A242))</f>
        <v> </v>
      </c>
      <c r="C242" s="324" t="str">
        <f aca="false">IF($A242="N/A"," ",IF(Dayrun1=10,0,IF(Scaler1=1,(VLOOKUP(A242,ScaledPrice1,4)),(VLOOKUP(A242,ScaledPrice1,2)))))</f>
        <v> </v>
      </c>
      <c r="D242" s="317" t="str">
        <f aca="false">IF(A242="N/A"," ",IF(Dayrun1&gt;=7,0,IF(Scaler1=2,VLOOKUP(A242,ScaledPrice1,2),(VLOOKUP(A242,ScaledPrice1,2))*(2-(VLOOKUP(A242,ScaledPrice1,3))))))</f>
        <v> </v>
      </c>
      <c r="E242" s="317" t="str">
        <f aca="false">IF($A242="N/A"," ",IF(AND(Dayrun1&gt;=4,Dayrun1&lt;=9),0,VLOOKUP($A242,ScaledPrice1,9)))</f>
        <v> </v>
      </c>
      <c r="F242" s="317" t="str">
        <f aca="false">IF(A242="N/A"," ",IF(OR(Dayrun1=2,Dayrun1=3,Dayrun1=5,Dayrun1=6,Dayrun1=8,Dayrun1=9),VLOOKUP(A242,ScaledPrice1,IF(Scaler1=1,6,5)),0))</f>
        <v> </v>
      </c>
      <c r="G242" s="317" t="str">
        <f aca="false">IF(A242="N/A"," ",IF(OR(Dayrun1=2,Dayrun1=3,Dayrun1=5,Dayrun1=6),IF(Scaler1=2,F242,(VLOOKUP(A242,ScaledPrice1,5))*(2-(VLOOKUP(A242,ScaledPrice1,3)))),0))</f>
        <v> </v>
      </c>
      <c r="H242" s="317" t="str">
        <f aca="false">IF($A242="N/A"," ",IF(OR(Dayrun1=2,Dayrun1=3,Dayrun1=10),VLOOKUP($A242,ScaledPrice1,9),0))</f>
        <v> </v>
      </c>
      <c r="I242" s="317" t="str">
        <f aca="false">IF(A242="N/A"," ",IF(OR(Dayrun1=3,Dayrun1=6,Dayrun1=9),(VLOOKUP(A242,ScaledPrice1,IF(Scaler1=2,7,8))),0))</f>
        <v> </v>
      </c>
      <c r="J242" s="317" t="str">
        <f aca="false">IF(A242="N/A"," ",IF(OR(Dayrun1=3,Dayrun1=6),IF(Scaler1=2,I242,(VLOOKUP(A242,ScaledPrice1,7))*(2-(VLOOKUP(A242,ScaledPrice1,3)))),0))</f>
        <v> </v>
      </c>
      <c r="K242" s="317" t="str">
        <f aca="false">IF($A242="N/A"," ",IF(OR(Dayrun1=3,Dayrun1=10),VLOOKUP($A242,ScaledPrice1,9),0))</f>
        <v> </v>
      </c>
      <c r="L242" s="318" t="str">
        <f aca="false">IF($A242="N/A"," ",IF(Pricetype1=2,MAX(C242,0),IF(OR(Pricetype1=1,Pricetype1=4),IF(C242=0,0,(EURO(C242,Strikeprice1,0,0,($AH242+IF(Smile=TRUE(),VLOOKUP(MAX(-5,Strikeprice1-C242),Volsmile,2),0)),($A242-DateToday)+15,IF(Pricetype1=1,1,0),0))),C242)))</f>
        <v> </v>
      </c>
      <c r="M242" s="318" t="str">
        <f aca="false">IF($A242="N/A"," ",IF(Pricetype1=2,MAX(D242,0),IF(OR(Pricetype1=1,Pricetype1=4),IF(D242=0,0,(EURO(D242,Strikeprice1,0,0,($AH242+IF(Smile=TRUE(),VLOOKUP(MAX(-5,Strikeprice1-D242),Volsmile,2),0)),($A242-DateToday)+15,IF(Pricetype1=1,1,0),0))),D242)))</f>
        <v> </v>
      </c>
      <c r="N242" s="318" t="str">
        <f aca="false">IF($A242="N/A"," ",IF(Pricetype1=2,MAX(E242,0),IF(OR(Pricetype1=1,Pricetype1=4),IF(E242=0,0,(EURO(E242,Strikeprice1,0,0,($AK242+IF(Smile=TRUE(),VLOOKUP(MAX(-5,Strikeprice1-E242),Volsmile,2),0)),($A242-DateToday)+15,IF(Pricetype1=1,1,0),0))),E242)))</f>
        <v> </v>
      </c>
      <c r="O242" s="318" t="str">
        <f aca="false">IF($A242="N/A"," ",IF(Pricetype1=2,MAX(F242,0),IF(OR(Pricetype1=1,Pricetype1=4),IF(F242=0,0,(EURO(F242,Strikeprice1,0,0,($AK242+IF(Smile=TRUE(),VLOOKUP(MAX(-5,Strikeprice1-F242),Volsmile,2),0)),($A242-DateToday)+15,IF(Pricetype1=1,1,0),0))),F242)))</f>
        <v> </v>
      </c>
      <c r="P242" s="318" t="str">
        <f aca="false">IF($A242="N/A"," ",IF(Pricetype1=2,MAX(G242,0),IF(OR(Pricetype1=1,Pricetype1=4),IF(G242=0,0,(EURO(G242,Strikeprice1,0,0,($AK242+IF(Smile=TRUE(),VLOOKUP(MAX(-5,Strikeprice1-G242),Volsmile,2),0)),($A242-DateToday)+15,IF(Pricetype1=1,1,0),0))),G242)))</f>
        <v> </v>
      </c>
      <c r="Q242" s="318" t="str">
        <f aca="false">IF($A242="N/A"," ",IF(Pricetype1=2,MAX(H242,0),IF(OR(Pricetype1=1,Pricetype1=4),IF(H242=0,0,(EURO(H242,Strikeprice1,0,0,($AK242+IF(Smile=TRUE(),VLOOKUP(MAX(-5,Strikeprice1-H242),Volsmile,2),0)),($A242-DateToday)+15,IF(Pricetype1=1,1,0),0))),H242)))</f>
        <v> </v>
      </c>
      <c r="R242" s="318" t="str">
        <f aca="false">IF($A242="N/A"," ",IF(Pricetype1=2,MAX(I242,0),IF(OR(Pricetype1=1,Pricetype1=4),IF(I242=0,0,(EURO(I242,Strikeprice1,0,0,($AK242+IF(Smile=TRUE(),VLOOKUP(MAX(-5,Strikeprice1-I242),Volsmile,2),0)),($A242-DateToday)+15,IF(Pricetype1=1,1,0),0))),I242)))</f>
        <v> </v>
      </c>
      <c r="S242" s="318" t="str">
        <f aca="false">IF($A242="N/A"," ",IF(Pricetype1=2,MAX(J242,0),IF(OR(Pricetype1=1,Pricetype1=4),IF(J242=0,0,(EURO(J242,Strikeprice1,0,0,($AK242+IF(Smile=TRUE(),VLOOKUP(MAX(-5,Strikeprice1-J242),Volsmile,2),0)),($A242-DateToday)+15,IF(Pricetype1=1,1,0),0))),J242)))</f>
        <v> </v>
      </c>
      <c r="T242" s="318" t="str">
        <f aca="false">IF($A242="N/A"," ",IF(Pricetype1=2,MAX(K242,0),IF(OR(Pricetype1=1,Pricetype1=4),IF(K242=0,0,(EURO(K242,Strikeprice1,0,0,($AK242+IF(Smile=TRUE(),VLOOKUP(MAX(-5,Strikeprice1-K242),Volsmile,2),0)),($A242-DateToday)+15,IF(Pricetype1=1,1,0),0))),K242)))</f>
        <v> </v>
      </c>
      <c r="U242" s="319" t="str">
        <f aca="false">IF($A242="N/A"," ",Volume1*$AM242)</f>
        <v> </v>
      </c>
      <c r="V242" s="320" t="str">
        <f aca="false">IF($A242="N/A"," ",$U242*(8*($BQ242))*L242)</f>
        <v> </v>
      </c>
      <c r="W242" s="320" t="str">
        <f aca="false">IF($A242="N/A"," ",$U242*(8*($BQ242))*M242)</f>
        <v> </v>
      </c>
      <c r="X242" s="320" t="str">
        <f aca="false">IF($A242="N/A"," ",$U242*(8*($BQ242))*N242)</f>
        <v> </v>
      </c>
      <c r="Y242" s="320" t="str">
        <f aca="false">IF($A242="N/A"," ",$U242*(8*($BR242))*O242)</f>
        <v> </v>
      </c>
      <c r="Z242" s="320" t="str">
        <f aca="false">IF($A242="N/A"," ",$U242*(8*($BR242))*P242)</f>
        <v> </v>
      </c>
      <c r="AA242" s="320" t="str">
        <f aca="false">IF($A242="N/A"," ",$U242*(8*($BR242))*Q242)</f>
        <v> </v>
      </c>
      <c r="AB242" s="320" t="str">
        <f aca="false">IF($A242="N/A"," ",$U242*(8*($BS242))*R242)</f>
        <v> </v>
      </c>
      <c r="AC242" s="320" t="str">
        <f aca="false">IF($A242="N/A"," ",$U242*(8*($BS242))*S242)</f>
        <v> </v>
      </c>
      <c r="AD242" s="320" t="str">
        <f aca="false">IF($A242="N/A"," ",$U242*(8*($BS242))*T242)</f>
        <v> </v>
      </c>
      <c r="AE242" s="320" t="str">
        <f aca="false">IF($A242="N/A"," ",SUM(V242:AD242))</f>
        <v> </v>
      </c>
      <c r="AF242" s="321" t="str">
        <f aca="false">IF(A242="N/A"," ",(VLOOKUP(A242,PowerVolTable,(IF(VolBMO1=2,7,IF(VolBMO1=1,6,8))),FALSE())))</f>
        <v> </v>
      </c>
      <c r="AG242" s="321" t="str">
        <f aca="false">IF(A242="N/A"," ",(VLOOKUP(A242,IntraPowerVol,(IF(VolBMO1=2,3,IF(VolBMO1=1,2,4))),FALSE())*VLOOKUP(MONTH($A242),Volscale,2)))</f>
        <v> </v>
      </c>
      <c r="AH242" s="321" t="str">
        <f aca="false">IF($A242="N/A"," ",IF(VolType1=1,AG242,AF242))</f>
        <v> </v>
      </c>
      <c r="AI242" s="321" t="str">
        <f aca="false">IF($A242="N/A"," ",(VLOOKUP($A242,OffPwrVolTable,(IF(VolBMO1=2,7,IF(VolBMO1=1,6,8))),FALSE())))</f>
        <v> </v>
      </c>
      <c r="AJ242" s="321" t="str">
        <f aca="false">IF($A242="N/A"," ",(VLOOKUP($A242,OffPwrVolTable,(IF(VolBMO1=2,3,IF(VolBMO1=1,2,4))),FALSE())*VLOOKUP(MONTH($A242),Volscale,2)))</f>
        <v> </v>
      </c>
      <c r="AK242" s="321" t="str">
        <f aca="false">IF($A242="N/A"," ",IF(VolType1=1,AJ242,AI242))</f>
        <v> </v>
      </c>
      <c r="AL242" s="321" t="str">
        <f aca="false">IF($A242="N/A"," ",IF(PV=1,0,'Pricing Inputs1'!R275))</f>
        <v> </v>
      </c>
      <c r="AM242" s="323" t="str">
        <f aca="false">IF($A242="N/A"," ",(1+AL242/2)^(-2*((EOMONTH(A242,0)+20)-DateToday)/365.25))</f>
        <v> </v>
      </c>
      <c r="BQ242" s="0" t="str">
        <f aca="false">IF($A242="N/A"," ",(VLOOKUP($A242,NumberofDaysTable,2)))</f>
        <v> </v>
      </c>
      <c r="BR242" s="0" t="str">
        <f aca="false">IF($A242="N/A"," ",(VLOOKUP($A242,NumberofDaysTable,3)))</f>
        <v> </v>
      </c>
      <c r="BS242" s="0" t="str">
        <f aca="false">IF($A242="N/A"," ",(VLOOKUP($A242,NumberofDaysTable,4)))</f>
        <v> </v>
      </c>
    </row>
    <row r="243" customFormat="false" ht="12.75" hidden="false" customHeight="false" outlineLevel="0" collapsed="false">
      <c r="A243" s="315" t="str">
        <f aca="false">IF(A242="N/A","N/A",IF(EDATE(A242,1)&gt;Inputs!$M$5,"N/A",EDATE(A242,1)))</f>
        <v>N/A</v>
      </c>
      <c r="B243" s="316" t="str">
        <f aca="false">IF(A243="N/A"," ",YEAR(A243))</f>
        <v> </v>
      </c>
      <c r="C243" s="324" t="str">
        <f aca="false">IF($A243="N/A"," ",IF(Dayrun1=10,0,IF(Scaler1=1,(VLOOKUP(A243,ScaledPrice1,4)),(VLOOKUP(A243,ScaledPrice1,2)))))</f>
        <v> </v>
      </c>
      <c r="D243" s="317" t="str">
        <f aca="false">IF(A243="N/A"," ",IF(Dayrun1&gt;=7,0,IF(Scaler1=2,VLOOKUP(A243,ScaledPrice1,2),(VLOOKUP(A243,ScaledPrice1,2))*(2-(VLOOKUP(A243,ScaledPrice1,3))))))</f>
        <v> </v>
      </c>
      <c r="E243" s="317" t="str">
        <f aca="false">IF($A243="N/A"," ",IF(AND(Dayrun1&gt;=4,Dayrun1&lt;=9),0,VLOOKUP($A243,ScaledPrice1,9)))</f>
        <v> </v>
      </c>
      <c r="F243" s="317" t="str">
        <f aca="false">IF(A243="N/A"," ",IF(OR(Dayrun1=2,Dayrun1=3,Dayrun1=5,Dayrun1=6,Dayrun1=8,Dayrun1=9),VLOOKUP(A243,ScaledPrice1,IF(Scaler1=1,6,5)),0))</f>
        <v> </v>
      </c>
      <c r="G243" s="317" t="str">
        <f aca="false">IF(A243="N/A"," ",IF(OR(Dayrun1=2,Dayrun1=3,Dayrun1=5,Dayrun1=6),IF(Scaler1=2,F243,(VLOOKUP(A243,ScaledPrice1,5))*(2-(VLOOKUP(A243,ScaledPrice1,3)))),0))</f>
        <v> </v>
      </c>
      <c r="H243" s="317" t="str">
        <f aca="false">IF($A243="N/A"," ",IF(OR(Dayrun1=2,Dayrun1=3,Dayrun1=10),VLOOKUP($A243,ScaledPrice1,9),0))</f>
        <v> </v>
      </c>
      <c r="I243" s="317" t="str">
        <f aca="false">IF(A243="N/A"," ",IF(OR(Dayrun1=3,Dayrun1=6,Dayrun1=9),(VLOOKUP(A243,ScaledPrice1,IF(Scaler1=2,7,8))),0))</f>
        <v> </v>
      </c>
      <c r="J243" s="317" t="str">
        <f aca="false">IF(A243="N/A"," ",IF(OR(Dayrun1=3,Dayrun1=6),IF(Scaler1=2,I243,(VLOOKUP(A243,ScaledPrice1,7))*(2-(VLOOKUP(A243,ScaledPrice1,3)))),0))</f>
        <v> </v>
      </c>
      <c r="K243" s="317" t="str">
        <f aca="false">IF($A243="N/A"," ",IF(OR(Dayrun1=3,Dayrun1=10),VLOOKUP($A243,ScaledPrice1,9),0))</f>
        <v> </v>
      </c>
      <c r="L243" s="318" t="str">
        <f aca="false">IF($A243="N/A"," ",IF(Pricetype1=2,MAX(C243,0),IF(OR(Pricetype1=1,Pricetype1=4),IF(C243=0,0,(EURO(C243,Strikeprice1,0,0,($AH243+IF(Smile=TRUE(),VLOOKUP(MAX(-5,Strikeprice1-C243),Volsmile,2),0)),($A243-DateToday)+15,IF(Pricetype1=1,1,0),0))),C243)))</f>
        <v> </v>
      </c>
      <c r="M243" s="318" t="str">
        <f aca="false">IF($A243="N/A"," ",IF(Pricetype1=2,MAX(D243,0),IF(OR(Pricetype1=1,Pricetype1=4),IF(D243=0,0,(EURO(D243,Strikeprice1,0,0,($AH243+IF(Smile=TRUE(),VLOOKUP(MAX(-5,Strikeprice1-D243),Volsmile,2),0)),($A243-DateToday)+15,IF(Pricetype1=1,1,0),0))),D243)))</f>
        <v> </v>
      </c>
      <c r="N243" s="318" t="str">
        <f aca="false">IF($A243="N/A"," ",IF(Pricetype1=2,MAX(E243,0),IF(OR(Pricetype1=1,Pricetype1=4),IF(E243=0,0,(EURO(E243,Strikeprice1,0,0,($AK243+IF(Smile=TRUE(),VLOOKUP(MAX(-5,Strikeprice1-E243),Volsmile,2),0)),($A243-DateToday)+15,IF(Pricetype1=1,1,0),0))),E243)))</f>
        <v> </v>
      </c>
      <c r="O243" s="318" t="str">
        <f aca="false">IF($A243="N/A"," ",IF(Pricetype1=2,MAX(F243,0),IF(OR(Pricetype1=1,Pricetype1=4),IF(F243=0,0,(EURO(F243,Strikeprice1,0,0,($AK243+IF(Smile=TRUE(),VLOOKUP(MAX(-5,Strikeprice1-F243),Volsmile,2),0)),($A243-DateToday)+15,IF(Pricetype1=1,1,0),0))),F243)))</f>
        <v> </v>
      </c>
      <c r="P243" s="318" t="str">
        <f aca="false">IF($A243="N/A"," ",IF(Pricetype1=2,MAX(G243,0),IF(OR(Pricetype1=1,Pricetype1=4),IF(G243=0,0,(EURO(G243,Strikeprice1,0,0,($AK243+IF(Smile=TRUE(),VLOOKUP(MAX(-5,Strikeprice1-G243),Volsmile,2),0)),($A243-DateToday)+15,IF(Pricetype1=1,1,0),0))),G243)))</f>
        <v> </v>
      </c>
      <c r="Q243" s="318" t="str">
        <f aca="false">IF($A243="N/A"," ",IF(Pricetype1=2,MAX(H243,0),IF(OR(Pricetype1=1,Pricetype1=4),IF(H243=0,0,(EURO(H243,Strikeprice1,0,0,($AK243+IF(Smile=TRUE(),VLOOKUP(MAX(-5,Strikeprice1-H243),Volsmile,2),0)),($A243-DateToday)+15,IF(Pricetype1=1,1,0),0))),H243)))</f>
        <v> </v>
      </c>
      <c r="R243" s="318" t="str">
        <f aca="false">IF($A243="N/A"," ",IF(Pricetype1=2,MAX(I243,0),IF(OR(Pricetype1=1,Pricetype1=4),IF(I243=0,0,(EURO(I243,Strikeprice1,0,0,($AK243+IF(Smile=TRUE(),VLOOKUP(MAX(-5,Strikeprice1-I243),Volsmile,2),0)),($A243-DateToday)+15,IF(Pricetype1=1,1,0),0))),I243)))</f>
        <v> </v>
      </c>
      <c r="S243" s="318" t="str">
        <f aca="false">IF($A243="N/A"," ",IF(Pricetype1=2,MAX(J243,0),IF(OR(Pricetype1=1,Pricetype1=4),IF(J243=0,0,(EURO(J243,Strikeprice1,0,0,($AK243+IF(Smile=TRUE(),VLOOKUP(MAX(-5,Strikeprice1-J243),Volsmile,2),0)),($A243-DateToday)+15,IF(Pricetype1=1,1,0),0))),J243)))</f>
        <v> </v>
      </c>
      <c r="T243" s="318" t="str">
        <f aca="false">IF($A243="N/A"," ",IF(Pricetype1=2,MAX(K243,0),IF(OR(Pricetype1=1,Pricetype1=4),IF(K243=0,0,(EURO(K243,Strikeprice1,0,0,($AK243+IF(Smile=TRUE(),VLOOKUP(MAX(-5,Strikeprice1-K243),Volsmile,2),0)),($A243-DateToday)+15,IF(Pricetype1=1,1,0),0))),K243)))</f>
        <v> </v>
      </c>
      <c r="U243" s="319" t="str">
        <f aca="false">IF($A243="N/A"," ",Volume1*$AM243)</f>
        <v> </v>
      </c>
      <c r="V243" s="320" t="str">
        <f aca="false">IF($A243="N/A"," ",$U243*(8*($BQ243))*L243)</f>
        <v> </v>
      </c>
      <c r="W243" s="320" t="str">
        <f aca="false">IF($A243="N/A"," ",$U243*(8*($BQ243))*M243)</f>
        <v> </v>
      </c>
      <c r="X243" s="320" t="str">
        <f aca="false">IF($A243="N/A"," ",$U243*(8*($BQ243))*N243)</f>
        <v> </v>
      </c>
      <c r="Y243" s="320" t="str">
        <f aca="false">IF($A243="N/A"," ",$U243*(8*($BR243))*O243)</f>
        <v> </v>
      </c>
      <c r="Z243" s="320" t="str">
        <f aca="false">IF($A243="N/A"," ",$U243*(8*($BR243))*P243)</f>
        <v> </v>
      </c>
      <c r="AA243" s="320" t="str">
        <f aca="false">IF($A243="N/A"," ",$U243*(8*($BR243))*Q243)</f>
        <v> </v>
      </c>
      <c r="AB243" s="320" t="str">
        <f aca="false">IF($A243="N/A"," ",$U243*(8*($BS243))*R243)</f>
        <v> </v>
      </c>
      <c r="AC243" s="320" t="str">
        <f aca="false">IF($A243="N/A"," ",$U243*(8*($BS243))*S243)</f>
        <v> </v>
      </c>
      <c r="AD243" s="320" t="str">
        <f aca="false">IF($A243="N/A"," ",$U243*(8*($BS243))*T243)</f>
        <v> </v>
      </c>
      <c r="AE243" s="320" t="str">
        <f aca="false">IF($A243="N/A"," ",SUM(V243:AD243))</f>
        <v> </v>
      </c>
      <c r="AF243" s="321" t="str">
        <f aca="false">IF(A243="N/A"," ",(VLOOKUP(A243,PowerVolTable,(IF(VolBMO1=2,7,IF(VolBMO1=1,6,8))),FALSE())))</f>
        <v> </v>
      </c>
      <c r="AG243" s="321" t="str">
        <f aca="false">IF(A243="N/A"," ",(VLOOKUP(A243,IntraPowerVol,(IF(VolBMO1=2,3,IF(VolBMO1=1,2,4))),FALSE())*VLOOKUP(MONTH($A243),Volscale,2)))</f>
        <v> </v>
      </c>
      <c r="AH243" s="321" t="str">
        <f aca="false">IF($A243="N/A"," ",IF(VolType1=1,AG243,AF243))</f>
        <v> </v>
      </c>
      <c r="AI243" s="321" t="str">
        <f aca="false">IF($A243="N/A"," ",(VLOOKUP($A243,OffPwrVolTable,(IF(VolBMO1=2,7,IF(VolBMO1=1,6,8))),FALSE())))</f>
        <v> </v>
      </c>
      <c r="AJ243" s="321" t="str">
        <f aca="false">IF($A243="N/A"," ",(VLOOKUP($A243,OffPwrVolTable,(IF(VolBMO1=2,3,IF(VolBMO1=1,2,4))),FALSE())*VLOOKUP(MONTH($A243),Volscale,2)))</f>
        <v> </v>
      </c>
      <c r="AK243" s="321" t="str">
        <f aca="false">IF($A243="N/A"," ",IF(VolType1=1,AJ243,AI243))</f>
        <v> </v>
      </c>
      <c r="AL243" s="321" t="str">
        <f aca="false">IF($A243="N/A"," ",IF(PV=1,0,'Pricing Inputs1'!R276))</f>
        <v> </v>
      </c>
      <c r="AM243" s="323" t="str">
        <f aca="false">IF($A243="N/A"," ",(1+AL243/2)^(-2*((EOMONTH(A243,0)+20)-DateToday)/365.25))</f>
        <v> </v>
      </c>
      <c r="BQ243" s="0" t="str">
        <f aca="false">IF($A243="N/A"," ",(VLOOKUP($A243,NumberofDaysTable,2)))</f>
        <v> </v>
      </c>
      <c r="BR243" s="0" t="str">
        <f aca="false">IF($A243="N/A"," ",(VLOOKUP($A243,NumberofDaysTable,3)))</f>
        <v> </v>
      </c>
      <c r="BS243" s="0" t="str">
        <f aca="false">IF($A243="N/A"," ",(VLOOKUP($A243,NumberofDaysTable,4)))</f>
        <v> </v>
      </c>
    </row>
    <row r="244" customFormat="false" ht="12.75" hidden="false" customHeight="false" outlineLevel="0" collapsed="false">
      <c r="A244" s="315" t="str">
        <f aca="false">IF(A243="N/A","N/A",IF(EDATE(A243,1)&gt;Inputs!$M$5,"N/A",EDATE(A243,1)))</f>
        <v>N/A</v>
      </c>
      <c r="B244" s="316" t="str">
        <f aca="false">IF(A244="N/A"," ",YEAR(A244))</f>
        <v> </v>
      </c>
      <c r="C244" s="324" t="str">
        <f aca="false">IF($A244="N/A"," ",IF(Dayrun1=10,0,IF(Scaler1=1,(VLOOKUP(A244,ScaledPrice1,4)),(VLOOKUP(A244,ScaledPrice1,2)))))</f>
        <v> </v>
      </c>
      <c r="D244" s="317" t="str">
        <f aca="false">IF(A244="N/A"," ",IF(Dayrun1&gt;=7,0,IF(Scaler1=2,VLOOKUP(A244,ScaledPrice1,2),(VLOOKUP(A244,ScaledPrice1,2))*(2-(VLOOKUP(A244,ScaledPrice1,3))))))</f>
        <v> </v>
      </c>
      <c r="E244" s="317" t="str">
        <f aca="false">IF($A244="N/A"," ",IF(AND(Dayrun1&gt;=4,Dayrun1&lt;=9),0,VLOOKUP($A244,ScaledPrice1,9)))</f>
        <v> </v>
      </c>
      <c r="F244" s="317" t="str">
        <f aca="false">IF(A244="N/A"," ",IF(OR(Dayrun1=2,Dayrun1=3,Dayrun1=5,Dayrun1=6,Dayrun1=8,Dayrun1=9),VLOOKUP(A244,ScaledPrice1,IF(Scaler1=1,6,5)),0))</f>
        <v> </v>
      </c>
      <c r="G244" s="317" t="str">
        <f aca="false">IF(A244="N/A"," ",IF(OR(Dayrun1=2,Dayrun1=3,Dayrun1=5,Dayrun1=6),IF(Scaler1=2,F244,(VLOOKUP(A244,ScaledPrice1,5))*(2-(VLOOKUP(A244,ScaledPrice1,3)))),0))</f>
        <v> </v>
      </c>
      <c r="H244" s="317" t="str">
        <f aca="false">IF($A244="N/A"," ",IF(OR(Dayrun1=2,Dayrun1=3,Dayrun1=10),VLOOKUP($A244,ScaledPrice1,9),0))</f>
        <v> </v>
      </c>
      <c r="I244" s="317" t="str">
        <f aca="false">IF(A244="N/A"," ",IF(OR(Dayrun1=3,Dayrun1=6,Dayrun1=9),(VLOOKUP(A244,ScaledPrice1,IF(Scaler1=2,7,8))),0))</f>
        <v> </v>
      </c>
      <c r="J244" s="317" t="str">
        <f aca="false">IF(A244="N/A"," ",IF(OR(Dayrun1=3,Dayrun1=6),IF(Scaler1=2,I244,(VLOOKUP(A244,ScaledPrice1,7))*(2-(VLOOKUP(A244,ScaledPrice1,3)))),0))</f>
        <v> </v>
      </c>
      <c r="K244" s="317" t="str">
        <f aca="false">IF($A244="N/A"," ",IF(OR(Dayrun1=3,Dayrun1=10),VLOOKUP($A244,ScaledPrice1,9),0))</f>
        <v> </v>
      </c>
      <c r="L244" s="318" t="str">
        <f aca="false">IF($A244="N/A"," ",IF(Pricetype1=2,MAX(C244,0),IF(OR(Pricetype1=1,Pricetype1=4),IF(C244=0,0,(EURO(C244,Strikeprice1,0,0,($AH244+IF(Smile=TRUE(),VLOOKUP(MAX(-5,Strikeprice1-C244),Volsmile,2),0)),($A244-DateToday)+15,IF(Pricetype1=1,1,0),0))),C244)))</f>
        <v> </v>
      </c>
      <c r="M244" s="318" t="str">
        <f aca="false">IF($A244="N/A"," ",IF(Pricetype1=2,MAX(D244,0),IF(OR(Pricetype1=1,Pricetype1=4),IF(D244=0,0,(EURO(D244,Strikeprice1,0,0,($AH244+IF(Smile=TRUE(),VLOOKUP(MAX(-5,Strikeprice1-D244),Volsmile,2),0)),($A244-DateToday)+15,IF(Pricetype1=1,1,0),0))),D244)))</f>
        <v> </v>
      </c>
      <c r="N244" s="318" t="str">
        <f aca="false">IF($A244="N/A"," ",IF(Pricetype1=2,MAX(E244,0),IF(OR(Pricetype1=1,Pricetype1=4),IF(E244=0,0,(EURO(E244,Strikeprice1,0,0,($AK244+IF(Smile=TRUE(),VLOOKUP(MAX(-5,Strikeprice1-E244),Volsmile,2),0)),($A244-DateToday)+15,IF(Pricetype1=1,1,0),0))),E244)))</f>
        <v> </v>
      </c>
      <c r="O244" s="318" t="str">
        <f aca="false">IF($A244="N/A"," ",IF(Pricetype1=2,MAX(F244,0),IF(OR(Pricetype1=1,Pricetype1=4),IF(F244=0,0,(EURO(F244,Strikeprice1,0,0,($AK244+IF(Smile=TRUE(),VLOOKUP(MAX(-5,Strikeprice1-F244),Volsmile,2),0)),($A244-DateToday)+15,IF(Pricetype1=1,1,0),0))),F244)))</f>
        <v> </v>
      </c>
      <c r="P244" s="318" t="str">
        <f aca="false">IF($A244="N/A"," ",IF(Pricetype1=2,MAX(G244,0),IF(OR(Pricetype1=1,Pricetype1=4),IF(G244=0,0,(EURO(G244,Strikeprice1,0,0,($AK244+IF(Smile=TRUE(),VLOOKUP(MAX(-5,Strikeprice1-G244),Volsmile,2),0)),($A244-DateToday)+15,IF(Pricetype1=1,1,0),0))),G244)))</f>
        <v> </v>
      </c>
      <c r="Q244" s="318" t="str">
        <f aca="false">IF($A244="N/A"," ",IF(Pricetype1=2,MAX(H244,0),IF(OR(Pricetype1=1,Pricetype1=4),IF(H244=0,0,(EURO(H244,Strikeprice1,0,0,($AK244+IF(Smile=TRUE(),VLOOKUP(MAX(-5,Strikeprice1-H244),Volsmile,2),0)),($A244-DateToday)+15,IF(Pricetype1=1,1,0),0))),H244)))</f>
        <v> </v>
      </c>
      <c r="R244" s="318" t="str">
        <f aca="false">IF($A244="N/A"," ",IF(Pricetype1=2,MAX(I244,0),IF(OR(Pricetype1=1,Pricetype1=4),IF(I244=0,0,(EURO(I244,Strikeprice1,0,0,($AK244+IF(Smile=TRUE(),VLOOKUP(MAX(-5,Strikeprice1-I244),Volsmile,2),0)),($A244-DateToday)+15,IF(Pricetype1=1,1,0),0))),I244)))</f>
        <v> </v>
      </c>
      <c r="S244" s="318" t="str">
        <f aca="false">IF($A244="N/A"," ",IF(Pricetype1=2,MAX(J244,0),IF(OR(Pricetype1=1,Pricetype1=4),IF(J244=0,0,(EURO(J244,Strikeprice1,0,0,($AK244+IF(Smile=TRUE(),VLOOKUP(MAX(-5,Strikeprice1-J244),Volsmile,2),0)),($A244-DateToday)+15,IF(Pricetype1=1,1,0),0))),J244)))</f>
        <v> </v>
      </c>
      <c r="T244" s="318" t="str">
        <f aca="false">IF($A244="N/A"," ",IF(Pricetype1=2,MAX(K244,0),IF(OR(Pricetype1=1,Pricetype1=4),IF(K244=0,0,(EURO(K244,Strikeprice1,0,0,($AK244+IF(Smile=TRUE(),VLOOKUP(MAX(-5,Strikeprice1-K244),Volsmile,2),0)),($A244-DateToday)+15,IF(Pricetype1=1,1,0),0))),K244)))</f>
        <v> </v>
      </c>
      <c r="U244" s="319" t="str">
        <f aca="false">IF($A244="N/A"," ",Volume1*$AM244)</f>
        <v> </v>
      </c>
      <c r="V244" s="320" t="str">
        <f aca="false">IF($A244="N/A"," ",$U244*(8*($BQ244))*L244)</f>
        <v> </v>
      </c>
      <c r="W244" s="320" t="str">
        <f aca="false">IF($A244="N/A"," ",$U244*(8*($BQ244))*M244)</f>
        <v> </v>
      </c>
      <c r="X244" s="320" t="str">
        <f aca="false">IF($A244="N/A"," ",$U244*(8*($BQ244))*N244)</f>
        <v> </v>
      </c>
      <c r="Y244" s="320" t="str">
        <f aca="false">IF($A244="N/A"," ",$U244*(8*($BR244))*O244)</f>
        <v> </v>
      </c>
      <c r="Z244" s="320" t="str">
        <f aca="false">IF($A244="N/A"," ",$U244*(8*($BR244))*P244)</f>
        <v> </v>
      </c>
      <c r="AA244" s="320" t="str">
        <f aca="false">IF($A244="N/A"," ",$U244*(8*($BR244))*Q244)</f>
        <v> </v>
      </c>
      <c r="AB244" s="320" t="str">
        <f aca="false">IF($A244="N/A"," ",$U244*(8*($BS244))*R244)</f>
        <v> </v>
      </c>
      <c r="AC244" s="320" t="str">
        <f aca="false">IF($A244="N/A"," ",$U244*(8*($BS244))*S244)</f>
        <v> </v>
      </c>
      <c r="AD244" s="320" t="str">
        <f aca="false">IF($A244="N/A"," ",$U244*(8*($BS244))*T244)</f>
        <v> </v>
      </c>
      <c r="AE244" s="320" t="str">
        <f aca="false">IF($A244="N/A"," ",SUM(V244:AD244))</f>
        <v> </v>
      </c>
      <c r="AF244" s="321" t="str">
        <f aca="false">IF(A244="N/A"," ",(VLOOKUP(A244,PowerVolTable,(IF(VolBMO1=2,7,IF(VolBMO1=1,6,8))),FALSE())))</f>
        <v> </v>
      </c>
      <c r="AG244" s="321" t="str">
        <f aca="false">IF(A244="N/A"," ",(VLOOKUP(A244,IntraPowerVol,(IF(VolBMO1=2,3,IF(VolBMO1=1,2,4))),FALSE())*VLOOKUP(MONTH($A244),Volscale,2)))</f>
        <v> </v>
      </c>
      <c r="AH244" s="321" t="str">
        <f aca="false">IF($A244="N/A"," ",IF(VolType1=1,AG244,AF244))</f>
        <v> </v>
      </c>
      <c r="AI244" s="321" t="str">
        <f aca="false">IF($A244="N/A"," ",(VLOOKUP($A244,OffPwrVolTable,(IF(VolBMO1=2,7,IF(VolBMO1=1,6,8))),FALSE())))</f>
        <v> </v>
      </c>
      <c r="AJ244" s="321" t="str">
        <f aca="false">IF($A244="N/A"," ",(VLOOKUP($A244,OffPwrVolTable,(IF(VolBMO1=2,3,IF(VolBMO1=1,2,4))),FALSE())*VLOOKUP(MONTH($A244),Volscale,2)))</f>
        <v> </v>
      </c>
      <c r="AK244" s="321" t="str">
        <f aca="false">IF($A244="N/A"," ",IF(VolType1=1,AJ244,AI244))</f>
        <v> </v>
      </c>
      <c r="AL244" s="321" t="str">
        <f aca="false">IF($A244="N/A"," ",IF(PV=1,0,'Pricing Inputs1'!R277))</f>
        <v> </v>
      </c>
      <c r="AM244" s="323" t="str">
        <f aca="false">IF($A244="N/A"," ",(1+AL244/2)^(-2*((EOMONTH(A244,0)+20)-DateToday)/365.25))</f>
        <v> </v>
      </c>
      <c r="BQ244" s="0" t="str">
        <f aca="false">IF($A244="N/A"," ",(VLOOKUP($A244,NumberofDaysTable,2)))</f>
        <v> </v>
      </c>
      <c r="BR244" s="0" t="str">
        <f aca="false">IF($A244="N/A"," ",(VLOOKUP($A244,NumberofDaysTable,3)))</f>
        <v> </v>
      </c>
      <c r="BS244" s="0" t="str">
        <f aca="false">IF($A244="N/A"," ",(VLOOKUP($A244,NumberofDaysTable,4)))</f>
        <v> </v>
      </c>
    </row>
    <row r="245" customFormat="false" ht="12.75" hidden="false" customHeight="false" outlineLevel="0" collapsed="false">
      <c r="A245" s="315" t="str">
        <f aca="false">IF(A244="N/A","N/A",IF(EDATE(A244,1)&gt;Inputs!$M$5,"N/A",EDATE(A244,1)))</f>
        <v>N/A</v>
      </c>
      <c r="B245" s="316" t="str">
        <f aca="false">IF(A245="N/A"," ",YEAR(A245))</f>
        <v> </v>
      </c>
      <c r="C245" s="324" t="str">
        <f aca="false">IF($A245="N/A"," ",IF(Dayrun1=10,0,IF(Scaler1=1,(VLOOKUP(A245,ScaledPrice1,4)),(VLOOKUP(A245,ScaledPrice1,2)))))</f>
        <v> </v>
      </c>
      <c r="D245" s="317" t="str">
        <f aca="false">IF(A245="N/A"," ",IF(Dayrun1&gt;=7,0,IF(Scaler1=2,VLOOKUP(A245,ScaledPrice1,2),(VLOOKUP(A245,ScaledPrice1,2))*(2-(VLOOKUP(A245,ScaledPrice1,3))))))</f>
        <v> </v>
      </c>
      <c r="E245" s="317" t="str">
        <f aca="false">IF($A245="N/A"," ",IF(AND(Dayrun1&gt;=4,Dayrun1&lt;=9),0,VLOOKUP($A245,ScaledPrice1,9)))</f>
        <v> </v>
      </c>
      <c r="F245" s="317" t="str">
        <f aca="false">IF(A245="N/A"," ",IF(OR(Dayrun1=2,Dayrun1=3,Dayrun1=5,Dayrun1=6,Dayrun1=8,Dayrun1=9),VLOOKUP(A245,ScaledPrice1,IF(Scaler1=1,6,5)),0))</f>
        <v> </v>
      </c>
      <c r="G245" s="317" t="str">
        <f aca="false">IF(A245="N/A"," ",IF(OR(Dayrun1=2,Dayrun1=3,Dayrun1=5,Dayrun1=6),IF(Scaler1=2,F245,(VLOOKUP(A245,ScaledPrice1,5))*(2-(VLOOKUP(A245,ScaledPrice1,3)))),0))</f>
        <v> </v>
      </c>
      <c r="H245" s="317" t="str">
        <f aca="false">IF($A245="N/A"," ",IF(OR(Dayrun1=2,Dayrun1=3,Dayrun1=10),VLOOKUP($A245,ScaledPrice1,9),0))</f>
        <v> </v>
      </c>
      <c r="I245" s="317" t="str">
        <f aca="false">IF(A245="N/A"," ",IF(OR(Dayrun1=3,Dayrun1=6,Dayrun1=9),(VLOOKUP(A245,ScaledPrice1,IF(Scaler1=2,7,8))),0))</f>
        <v> </v>
      </c>
      <c r="J245" s="317" t="str">
        <f aca="false">IF(A245="N/A"," ",IF(OR(Dayrun1=3,Dayrun1=6),IF(Scaler1=2,I245,(VLOOKUP(A245,ScaledPrice1,7))*(2-(VLOOKUP(A245,ScaledPrice1,3)))),0))</f>
        <v> </v>
      </c>
      <c r="K245" s="317" t="str">
        <f aca="false">IF($A245="N/A"," ",IF(OR(Dayrun1=3,Dayrun1=10),VLOOKUP($A245,ScaledPrice1,9),0))</f>
        <v> </v>
      </c>
      <c r="L245" s="318" t="str">
        <f aca="false">IF($A245="N/A"," ",IF(Pricetype1=2,MAX(C245,0),IF(OR(Pricetype1=1,Pricetype1=4),IF(C245=0,0,(EURO(C245,Strikeprice1,0,0,($AH245+IF(Smile=TRUE(),VLOOKUP(MAX(-5,Strikeprice1-C245),Volsmile,2),0)),($A245-DateToday)+15,IF(Pricetype1=1,1,0),0))),C245)))</f>
        <v> </v>
      </c>
      <c r="M245" s="318" t="str">
        <f aca="false">IF($A245="N/A"," ",IF(Pricetype1=2,MAX(D245,0),IF(OR(Pricetype1=1,Pricetype1=4),IF(D245=0,0,(EURO(D245,Strikeprice1,0,0,($AH245+IF(Smile=TRUE(),VLOOKUP(MAX(-5,Strikeprice1-D245),Volsmile,2),0)),($A245-DateToday)+15,IF(Pricetype1=1,1,0),0))),D245)))</f>
        <v> </v>
      </c>
      <c r="N245" s="318" t="str">
        <f aca="false">IF($A245="N/A"," ",IF(Pricetype1=2,MAX(E245,0),IF(OR(Pricetype1=1,Pricetype1=4),IF(E245=0,0,(EURO(E245,Strikeprice1,0,0,($AK245+IF(Smile=TRUE(),VLOOKUP(MAX(-5,Strikeprice1-E245),Volsmile,2),0)),($A245-DateToday)+15,IF(Pricetype1=1,1,0),0))),E245)))</f>
        <v> </v>
      </c>
      <c r="O245" s="318" t="str">
        <f aca="false">IF($A245="N/A"," ",IF(Pricetype1=2,MAX(F245,0),IF(OR(Pricetype1=1,Pricetype1=4),IF(F245=0,0,(EURO(F245,Strikeprice1,0,0,($AK245+IF(Smile=TRUE(),VLOOKUP(MAX(-5,Strikeprice1-F245),Volsmile,2),0)),($A245-DateToday)+15,IF(Pricetype1=1,1,0),0))),F245)))</f>
        <v> </v>
      </c>
      <c r="P245" s="318" t="str">
        <f aca="false">IF($A245="N/A"," ",IF(Pricetype1=2,MAX(G245,0),IF(OR(Pricetype1=1,Pricetype1=4),IF(G245=0,0,(EURO(G245,Strikeprice1,0,0,($AK245+IF(Smile=TRUE(),VLOOKUP(MAX(-5,Strikeprice1-G245),Volsmile,2),0)),($A245-DateToday)+15,IF(Pricetype1=1,1,0),0))),G245)))</f>
        <v> </v>
      </c>
      <c r="Q245" s="318" t="str">
        <f aca="false">IF($A245="N/A"," ",IF(Pricetype1=2,MAX(H245,0),IF(OR(Pricetype1=1,Pricetype1=4),IF(H245=0,0,(EURO(H245,Strikeprice1,0,0,($AK245+IF(Smile=TRUE(),VLOOKUP(MAX(-5,Strikeprice1-H245),Volsmile,2),0)),($A245-DateToday)+15,IF(Pricetype1=1,1,0),0))),H245)))</f>
        <v> </v>
      </c>
      <c r="R245" s="318" t="str">
        <f aca="false">IF($A245="N/A"," ",IF(Pricetype1=2,MAX(I245,0),IF(OR(Pricetype1=1,Pricetype1=4),IF(I245=0,0,(EURO(I245,Strikeprice1,0,0,($AK245+IF(Smile=TRUE(),VLOOKUP(MAX(-5,Strikeprice1-I245),Volsmile,2),0)),($A245-DateToday)+15,IF(Pricetype1=1,1,0),0))),I245)))</f>
        <v> </v>
      </c>
      <c r="S245" s="318" t="str">
        <f aca="false">IF($A245="N/A"," ",IF(Pricetype1=2,MAX(J245,0),IF(OR(Pricetype1=1,Pricetype1=4),IF(J245=0,0,(EURO(J245,Strikeprice1,0,0,($AK245+IF(Smile=TRUE(),VLOOKUP(MAX(-5,Strikeprice1-J245),Volsmile,2),0)),($A245-DateToday)+15,IF(Pricetype1=1,1,0),0))),J245)))</f>
        <v> </v>
      </c>
      <c r="T245" s="318" t="str">
        <f aca="false">IF($A245="N/A"," ",IF(Pricetype1=2,MAX(K245,0),IF(OR(Pricetype1=1,Pricetype1=4),IF(K245=0,0,(EURO(K245,Strikeprice1,0,0,($AK245+IF(Smile=TRUE(),VLOOKUP(MAX(-5,Strikeprice1-K245),Volsmile,2),0)),($A245-DateToday)+15,IF(Pricetype1=1,1,0),0))),K245)))</f>
        <v> </v>
      </c>
      <c r="U245" s="319" t="str">
        <f aca="false">IF($A245="N/A"," ",Volume1*$AM245)</f>
        <v> </v>
      </c>
      <c r="V245" s="320" t="str">
        <f aca="false">IF($A245="N/A"," ",$U245*(8*($BQ245))*L245)</f>
        <v> </v>
      </c>
      <c r="W245" s="320" t="str">
        <f aca="false">IF($A245="N/A"," ",$U245*(8*($BQ245))*M245)</f>
        <v> </v>
      </c>
      <c r="X245" s="320" t="str">
        <f aca="false">IF($A245="N/A"," ",$U245*(8*($BQ245))*N245)</f>
        <v> </v>
      </c>
      <c r="Y245" s="320" t="str">
        <f aca="false">IF($A245="N/A"," ",$U245*(8*($BR245))*O245)</f>
        <v> </v>
      </c>
      <c r="Z245" s="320" t="str">
        <f aca="false">IF($A245="N/A"," ",$U245*(8*($BR245))*P245)</f>
        <v> </v>
      </c>
      <c r="AA245" s="320" t="str">
        <f aca="false">IF($A245="N/A"," ",$U245*(8*($BR245))*Q245)</f>
        <v> </v>
      </c>
      <c r="AB245" s="320" t="str">
        <f aca="false">IF($A245="N/A"," ",$U245*(8*($BS245))*R245)</f>
        <v> </v>
      </c>
      <c r="AC245" s="320" t="str">
        <f aca="false">IF($A245="N/A"," ",$U245*(8*($BS245))*S245)</f>
        <v> </v>
      </c>
      <c r="AD245" s="320" t="str">
        <f aca="false">IF($A245="N/A"," ",$U245*(8*($BS245))*T245)</f>
        <v> </v>
      </c>
      <c r="AE245" s="320" t="str">
        <f aca="false">IF($A245="N/A"," ",SUM(V245:AD245))</f>
        <v> </v>
      </c>
      <c r="AF245" s="321" t="str">
        <f aca="false">IF(A245="N/A"," ",(VLOOKUP(A245,PowerVolTable,(IF(VolBMO1=2,7,IF(VolBMO1=1,6,8))),FALSE())))</f>
        <v> </v>
      </c>
      <c r="AG245" s="321" t="str">
        <f aca="false">IF(A245="N/A"," ",(VLOOKUP(A245,IntraPowerVol,(IF(VolBMO1=2,3,IF(VolBMO1=1,2,4))),FALSE())*VLOOKUP(MONTH($A245),Volscale,2)))</f>
        <v> </v>
      </c>
      <c r="AH245" s="321" t="str">
        <f aca="false">IF($A245="N/A"," ",IF(VolType1=1,AG245,AF245))</f>
        <v> </v>
      </c>
      <c r="AI245" s="321" t="str">
        <f aca="false">IF($A245="N/A"," ",(VLOOKUP($A245,OffPwrVolTable,(IF(VolBMO1=2,7,IF(VolBMO1=1,6,8))),FALSE())))</f>
        <v> </v>
      </c>
      <c r="AJ245" s="321" t="str">
        <f aca="false">IF($A245="N/A"," ",(VLOOKUP($A245,OffPwrVolTable,(IF(VolBMO1=2,3,IF(VolBMO1=1,2,4))),FALSE())*VLOOKUP(MONTH($A245),Volscale,2)))</f>
        <v> </v>
      </c>
      <c r="AK245" s="321" t="str">
        <f aca="false">IF($A245="N/A"," ",IF(VolType1=1,AJ245,AI245))</f>
        <v> </v>
      </c>
      <c r="AL245" s="321" t="str">
        <f aca="false">IF($A245="N/A"," ",IF(PV=1,0,'Pricing Inputs1'!R278))</f>
        <v> </v>
      </c>
      <c r="AM245" s="323" t="str">
        <f aca="false">IF($A245="N/A"," ",(1+AL245/2)^(-2*((EOMONTH(A245,0)+20)-DateToday)/365.25))</f>
        <v> </v>
      </c>
      <c r="BQ245" s="0" t="str">
        <f aca="false">IF($A245="N/A"," ",(VLOOKUP($A245,NumberofDaysTable,2)))</f>
        <v> </v>
      </c>
      <c r="BR245" s="0" t="str">
        <f aca="false">IF($A245="N/A"," ",(VLOOKUP($A245,NumberofDaysTable,3)))</f>
        <v> </v>
      </c>
      <c r="BS245" s="0" t="str">
        <f aca="false">IF($A245="N/A"," ",(VLOOKUP($A245,NumberofDaysTable,4)))</f>
        <v> </v>
      </c>
    </row>
    <row r="246" customFormat="false" ht="12.75" hidden="false" customHeight="false" outlineLevel="0" collapsed="false">
      <c r="A246" s="315" t="str">
        <f aca="false">IF(A245="N/A","N/A",IF(EDATE(A245,1)&gt;Inputs!$M$5,"N/A",EDATE(A245,1)))</f>
        <v>N/A</v>
      </c>
      <c r="B246" s="316" t="str">
        <f aca="false">IF(A246="N/A"," ",YEAR(A246))</f>
        <v> </v>
      </c>
      <c r="C246" s="324" t="str">
        <f aca="false">IF($A246="N/A"," ",IF(Dayrun1=10,0,IF(Scaler1=1,(VLOOKUP(A246,ScaledPrice1,4)),(VLOOKUP(A246,ScaledPrice1,2)))))</f>
        <v> </v>
      </c>
      <c r="D246" s="317" t="str">
        <f aca="false">IF(A246="N/A"," ",IF(Dayrun1&gt;=7,0,IF(Scaler1=2,VLOOKUP(A246,ScaledPrice1,2),(VLOOKUP(A246,ScaledPrice1,2))*(2-(VLOOKUP(A246,ScaledPrice1,3))))))</f>
        <v> </v>
      </c>
      <c r="E246" s="317" t="str">
        <f aca="false">IF($A246="N/A"," ",IF(AND(Dayrun1&gt;=4,Dayrun1&lt;=9),0,VLOOKUP($A246,ScaledPrice1,9)))</f>
        <v> </v>
      </c>
      <c r="F246" s="317" t="str">
        <f aca="false">IF(A246="N/A"," ",IF(OR(Dayrun1=2,Dayrun1=3,Dayrun1=5,Dayrun1=6,Dayrun1=8,Dayrun1=9),VLOOKUP(A246,ScaledPrice1,IF(Scaler1=1,6,5)),0))</f>
        <v> </v>
      </c>
      <c r="G246" s="317" t="str">
        <f aca="false">IF(A246="N/A"," ",IF(OR(Dayrun1=2,Dayrun1=3,Dayrun1=5,Dayrun1=6),IF(Scaler1=2,F246,(VLOOKUP(A246,ScaledPrice1,5))*(2-(VLOOKUP(A246,ScaledPrice1,3)))),0))</f>
        <v> </v>
      </c>
      <c r="H246" s="317" t="str">
        <f aca="false">IF($A246="N/A"," ",IF(OR(Dayrun1=2,Dayrun1=3,Dayrun1=10),VLOOKUP($A246,ScaledPrice1,9),0))</f>
        <v> </v>
      </c>
      <c r="I246" s="317" t="str">
        <f aca="false">IF(A246="N/A"," ",IF(OR(Dayrun1=3,Dayrun1=6,Dayrun1=9),(VLOOKUP(A246,ScaledPrice1,IF(Scaler1=2,7,8))),0))</f>
        <v> </v>
      </c>
      <c r="J246" s="317" t="str">
        <f aca="false">IF(A246="N/A"," ",IF(OR(Dayrun1=3,Dayrun1=6),IF(Scaler1=2,I246,(VLOOKUP(A246,ScaledPrice1,7))*(2-(VLOOKUP(A246,ScaledPrice1,3)))),0))</f>
        <v> </v>
      </c>
      <c r="K246" s="317" t="str">
        <f aca="false">IF($A246="N/A"," ",IF(OR(Dayrun1=3,Dayrun1=10),VLOOKUP($A246,ScaledPrice1,9),0))</f>
        <v> </v>
      </c>
      <c r="L246" s="318" t="str">
        <f aca="false">IF($A246="N/A"," ",IF(Pricetype1=2,MAX(C246,0),IF(OR(Pricetype1=1,Pricetype1=4),IF(C246=0,0,(EURO(C246,Strikeprice1,0,0,($AH246+IF(Smile=TRUE(),VLOOKUP(MAX(-5,Strikeprice1-C246),Volsmile,2),0)),($A246-DateToday)+15,IF(Pricetype1=1,1,0),0))),C246)))</f>
        <v> </v>
      </c>
      <c r="M246" s="318" t="str">
        <f aca="false">IF($A246="N/A"," ",IF(Pricetype1=2,MAX(D246,0),IF(OR(Pricetype1=1,Pricetype1=4),IF(D246=0,0,(EURO(D246,Strikeprice1,0,0,($AH246+IF(Smile=TRUE(),VLOOKUP(MAX(-5,Strikeprice1-D246),Volsmile,2),0)),($A246-DateToday)+15,IF(Pricetype1=1,1,0),0))),D246)))</f>
        <v> </v>
      </c>
      <c r="N246" s="318" t="str">
        <f aca="false">IF($A246="N/A"," ",IF(Pricetype1=2,MAX(E246,0),IF(OR(Pricetype1=1,Pricetype1=4),IF(E246=0,0,(EURO(E246,Strikeprice1,0,0,($AK246+IF(Smile=TRUE(),VLOOKUP(MAX(-5,Strikeprice1-E246),Volsmile,2),0)),($A246-DateToday)+15,IF(Pricetype1=1,1,0),0))),E246)))</f>
        <v> </v>
      </c>
      <c r="O246" s="318" t="str">
        <f aca="false">IF($A246="N/A"," ",IF(Pricetype1=2,MAX(F246,0),IF(OR(Pricetype1=1,Pricetype1=4),IF(F246=0,0,(EURO(F246,Strikeprice1,0,0,($AK246+IF(Smile=TRUE(),VLOOKUP(MAX(-5,Strikeprice1-F246),Volsmile,2),0)),($A246-DateToday)+15,IF(Pricetype1=1,1,0),0))),F246)))</f>
        <v> </v>
      </c>
      <c r="P246" s="318" t="str">
        <f aca="false">IF($A246="N/A"," ",IF(Pricetype1=2,MAX(G246,0),IF(OR(Pricetype1=1,Pricetype1=4),IF(G246=0,0,(EURO(G246,Strikeprice1,0,0,($AK246+IF(Smile=TRUE(),VLOOKUP(MAX(-5,Strikeprice1-G246),Volsmile,2),0)),($A246-DateToday)+15,IF(Pricetype1=1,1,0),0))),G246)))</f>
        <v> </v>
      </c>
      <c r="Q246" s="318" t="str">
        <f aca="false">IF($A246="N/A"," ",IF(Pricetype1=2,MAX(H246,0),IF(OR(Pricetype1=1,Pricetype1=4),IF(H246=0,0,(EURO(H246,Strikeprice1,0,0,($AK246+IF(Smile=TRUE(),VLOOKUP(MAX(-5,Strikeprice1-H246),Volsmile,2),0)),($A246-DateToday)+15,IF(Pricetype1=1,1,0),0))),H246)))</f>
        <v> </v>
      </c>
      <c r="R246" s="318" t="str">
        <f aca="false">IF($A246="N/A"," ",IF(Pricetype1=2,MAX(I246,0),IF(OR(Pricetype1=1,Pricetype1=4),IF(I246=0,0,(EURO(I246,Strikeprice1,0,0,($AK246+IF(Smile=TRUE(),VLOOKUP(MAX(-5,Strikeprice1-I246),Volsmile,2),0)),($A246-DateToday)+15,IF(Pricetype1=1,1,0),0))),I246)))</f>
        <v> </v>
      </c>
      <c r="S246" s="318" t="str">
        <f aca="false">IF($A246="N/A"," ",IF(Pricetype1=2,MAX(J246,0),IF(OR(Pricetype1=1,Pricetype1=4),IF(J246=0,0,(EURO(J246,Strikeprice1,0,0,($AK246+IF(Smile=TRUE(),VLOOKUP(MAX(-5,Strikeprice1-J246),Volsmile,2),0)),($A246-DateToday)+15,IF(Pricetype1=1,1,0),0))),J246)))</f>
        <v> </v>
      </c>
      <c r="T246" s="318" t="str">
        <f aca="false">IF($A246="N/A"," ",IF(Pricetype1=2,MAX(K246,0),IF(OR(Pricetype1=1,Pricetype1=4),IF(K246=0,0,(EURO(K246,Strikeprice1,0,0,($AK246+IF(Smile=TRUE(),VLOOKUP(MAX(-5,Strikeprice1-K246),Volsmile,2),0)),($A246-DateToday)+15,IF(Pricetype1=1,1,0),0))),K246)))</f>
        <v> </v>
      </c>
      <c r="U246" s="319" t="str">
        <f aca="false">IF($A246="N/A"," ",Volume1*$AM246)</f>
        <v> </v>
      </c>
      <c r="V246" s="320" t="str">
        <f aca="false">IF($A246="N/A"," ",$U246*(8*($BQ246))*L246)</f>
        <v> </v>
      </c>
      <c r="W246" s="320" t="str">
        <f aca="false">IF($A246="N/A"," ",$U246*(8*($BQ246))*M246)</f>
        <v> </v>
      </c>
      <c r="X246" s="320" t="str">
        <f aca="false">IF($A246="N/A"," ",$U246*(8*($BQ246))*N246)</f>
        <v> </v>
      </c>
      <c r="Y246" s="320" t="str">
        <f aca="false">IF($A246="N/A"," ",$U246*(8*($BR246))*O246)</f>
        <v> </v>
      </c>
      <c r="Z246" s="320" t="str">
        <f aca="false">IF($A246="N/A"," ",$U246*(8*($BR246))*P246)</f>
        <v> </v>
      </c>
      <c r="AA246" s="320" t="str">
        <f aca="false">IF($A246="N/A"," ",$U246*(8*($BR246))*Q246)</f>
        <v> </v>
      </c>
      <c r="AB246" s="320" t="str">
        <f aca="false">IF($A246="N/A"," ",$U246*(8*($BS246))*R246)</f>
        <v> </v>
      </c>
      <c r="AC246" s="320" t="str">
        <f aca="false">IF($A246="N/A"," ",$U246*(8*($BS246))*S246)</f>
        <v> </v>
      </c>
      <c r="AD246" s="320" t="str">
        <f aca="false">IF($A246="N/A"," ",$U246*(8*($BS246))*T246)</f>
        <v> </v>
      </c>
      <c r="AE246" s="320" t="str">
        <f aca="false">IF($A246="N/A"," ",SUM(V246:AD246))</f>
        <v> </v>
      </c>
      <c r="AF246" s="321" t="str">
        <f aca="false">IF(A246="N/A"," ",(VLOOKUP(A246,PowerVolTable,(IF(VolBMO1=2,7,IF(VolBMO1=1,6,8))),FALSE())))</f>
        <v> </v>
      </c>
      <c r="AG246" s="321" t="str">
        <f aca="false">IF(A246="N/A"," ",(VLOOKUP(A246,IntraPowerVol,(IF(VolBMO1=2,3,IF(VolBMO1=1,2,4))),FALSE())*VLOOKUP(MONTH($A246),Volscale,2)))</f>
        <v> </v>
      </c>
      <c r="AH246" s="321" t="str">
        <f aca="false">IF($A246="N/A"," ",IF(VolType1=1,AG246,AF246))</f>
        <v> </v>
      </c>
      <c r="AI246" s="321" t="str">
        <f aca="false">IF($A246="N/A"," ",(VLOOKUP($A246,OffPwrVolTable,(IF(VolBMO1=2,7,IF(VolBMO1=1,6,8))),FALSE())))</f>
        <v> </v>
      </c>
      <c r="AJ246" s="321" t="str">
        <f aca="false">IF($A246="N/A"," ",(VLOOKUP($A246,OffPwrVolTable,(IF(VolBMO1=2,3,IF(VolBMO1=1,2,4))),FALSE())*VLOOKUP(MONTH($A246),Volscale,2)))</f>
        <v> </v>
      </c>
      <c r="AK246" s="321" t="str">
        <f aca="false">IF($A246="N/A"," ",IF(VolType1=1,AJ246,AI246))</f>
        <v> </v>
      </c>
      <c r="AL246" s="321" t="str">
        <f aca="false">IF($A246="N/A"," ",IF(PV=1,0,'Pricing Inputs1'!R279))</f>
        <v> </v>
      </c>
      <c r="AM246" s="323" t="str">
        <f aca="false">IF($A246="N/A"," ",(1+AL246/2)^(-2*((EOMONTH(A246,0)+20)-DateToday)/365.25))</f>
        <v> </v>
      </c>
      <c r="BQ246" s="0" t="str">
        <f aca="false">IF($A246="N/A"," ",(VLOOKUP($A246,NumberofDaysTable,2)))</f>
        <v> </v>
      </c>
      <c r="BR246" s="0" t="str">
        <f aca="false">IF($A246="N/A"," ",(VLOOKUP($A246,NumberofDaysTable,3)))</f>
        <v> </v>
      </c>
      <c r="BS246" s="0" t="str">
        <f aca="false">IF($A246="N/A"," ",(VLOOKUP($A246,NumberofDaysTable,4)))</f>
        <v> </v>
      </c>
    </row>
    <row r="247" customFormat="false" ht="12.75" hidden="false" customHeight="false" outlineLevel="0" collapsed="false">
      <c r="A247" s="315" t="str">
        <f aca="false">IF(A246="N/A","N/A",IF(EDATE(A246,1)&gt;Inputs!$M$5,"N/A",EDATE(A246,1)))</f>
        <v>N/A</v>
      </c>
      <c r="B247" s="316" t="str">
        <f aca="false">IF(A247="N/A"," ",YEAR(A247))</f>
        <v> </v>
      </c>
      <c r="C247" s="324" t="str">
        <f aca="false">IF($A247="N/A"," ",IF(Dayrun1=10,0,IF(Scaler1=1,(VLOOKUP(A247,ScaledPrice1,4)),(VLOOKUP(A247,ScaledPrice1,2)))))</f>
        <v> </v>
      </c>
      <c r="D247" s="317" t="str">
        <f aca="false">IF(A247="N/A"," ",IF(Dayrun1&gt;=7,0,IF(Scaler1=2,VLOOKUP(A247,ScaledPrice1,2),(VLOOKUP(A247,ScaledPrice1,2))*(2-(VLOOKUP(A247,ScaledPrice1,3))))))</f>
        <v> </v>
      </c>
      <c r="E247" s="317" t="str">
        <f aca="false">IF($A247="N/A"," ",IF(AND(Dayrun1&gt;=4,Dayrun1&lt;=9),0,VLOOKUP($A247,ScaledPrice1,9)))</f>
        <v> </v>
      </c>
      <c r="F247" s="317" t="str">
        <f aca="false">IF(A247="N/A"," ",IF(OR(Dayrun1=2,Dayrun1=3,Dayrun1=5,Dayrun1=6,Dayrun1=8,Dayrun1=9),VLOOKUP(A247,ScaledPrice1,IF(Scaler1=1,6,5)),0))</f>
        <v> </v>
      </c>
      <c r="G247" s="317" t="str">
        <f aca="false">IF(A247="N/A"," ",IF(OR(Dayrun1=2,Dayrun1=3,Dayrun1=5,Dayrun1=6),IF(Scaler1=2,F247,(VLOOKUP(A247,ScaledPrice1,5))*(2-(VLOOKUP(A247,ScaledPrice1,3)))),0))</f>
        <v> </v>
      </c>
      <c r="H247" s="317" t="str">
        <f aca="false">IF($A247="N/A"," ",IF(OR(Dayrun1=2,Dayrun1=3,Dayrun1=10),VLOOKUP($A247,ScaledPrice1,9),0))</f>
        <v> </v>
      </c>
      <c r="I247" s="317" t="str">
        <f aca="false">IF(A247="N/A"," ",IF(OR(Dayrun1=3,Dayrun1=6,Dayrun1=9),(VLOOKUP(A247,ScaledPrice1,IF(Scaler1=2,7,8))),0))</f>
        <v> </v>
      </c>
      <c r="J247" s="317" t="str">
        <f aca="false">IF(A247="N/A"," ",IF(OR(Dayrun1=3,Dayrun1=6),IF(Scaler1=2,I247,(VLOOKUP(A247,ScaledPrice1,7))*(2-(VLOOKUP(A247,ScaledPrice1,3)))),0))</f>
        <v> </v>
      </c>
      <c r="K247" s="317" t="str">
        <f aca="false">IF($A247="N/A"," ",IF(OR(Dayrun1=3,Dayrun1=10),VLOOKUP($A247,ScaledPrice1,9),0))</f>
        <v> </v>
      </c>
      <c r="L247" s="318" t="str">
        <f aca="false">IF($A247="N/A"," ",IF(Pricetype1=2,MAX(C247,0),IF(OR(Pricetype1=1,Pricetype1=4),IF(C247=0,0,(EURO(C247,Strikeprice1,0,0,($AH247+IF(Smile=TRUE(),VLOOKUP(MAX(-5,Strikeprice1-C247),Volsmile,2),0)),($A247-DateToday)+15,IF(Pricetype1=1,1,0),0))),C247)))</f>
        <v> </v>
      </c>
      <c r="M247" s="318" t="str">
        <f aca="false">IF($A247="N/A"," ",IF(Pricetype1=2,MAX(D247,0),IF(OR(Pricetype1=1,Pricetype1=4),IF(D247=0,0,(EURO(D247,Strikeprice1,0,0,($AH247+IF(Smile=TRUE(),VLOOKUP(MAX(-5,Strikeprice1-D247),Volsmile,2),0)),($A247-DateToday)+15,IF(Pricetype1=1,1,0),0))),D247)))</f>
        <v> </v>
      </c>
      <c r="N247" s="318" t="str">
        <f aca="false">IF($A247="N/A"," ",IF(Pricetype1=2,MAX(E247,0),IF(OR(Pricetype1=1,Pricetype1=4),IF(E247=0,0,(EURO(E247,Strikeprice1,0,0,($AK247+IF(Smile=TRUE(),VLOOKUP(MAX(-5,Strikeprice1-E247),Volsmile,2),0)),($A247-DateToday)+15,IF(Pricetype1=1,1,0),0))),E247)))</f>
        <v> </v>
      </c>
      <c r="O247" s="318" t="str">
        <f aca="false">IF($A247="N/A"," ",IF(Pricetype1=2,MAX(F247,0),IF(OR(Pricetype1=1,Pricetype1=4),IF(F247=0,0,(EURO(F247,Strikeprice1,0,0,($AK247+IF(Smile=TRUE(),VLOOKUP(MAX(-5,Strikeprice1-F247),Volsmile,2),0)),($A247-DateToday)+15,IF(Pricetype1=1,1,0),0))),F247)))</f>
        <v> </v>
      </c>
      <c r="P247" s="318" t="str">
        <f aca="false">IF($A247="N/A"," ",IF(Pricetype1=2,MAX(G247,0),IF(OR(Pricetype1=1,Pricetype1=4),IF(G247=0,0,(EURO(G247,Strikeprice1,0,0,($AK247+IF(Smile=TRUE(),VLOOKUP(MAX(-5,Strikeprice1-G247),Volsmile,2),0)),($A247-DateToday)+15,IF(Pricetype1=1,1,0),0))),G247)))</f>
        <v> </v>
      </c>
      <c r="Q247" s="318" t="str">
        <f aca="false">IF($A247="N/A"," ",IF(Pricetype1=2,MAX(H247,0),IF(OR(Pricetype1=1,Pricetype1=4),IF(H247=0,0,(EURO(H247,Strikeprice1,0,0,($AK247+IF(Smile=TRUE(),VLOOKUP(MAX(-5,Strikeprice1-H247),Volsmile,2),0)),($A247-DateToday)+15,IF(Pricetype1=1,1,0),0))),H247)))</f>
        <v> </v>
      </c>
      <c r="R247" s="318" t="str">
        <f aca="false">IF($A247="N/A"," ",IF(Pricetype1=2,MAX(I247,0),IF(OR(Pricetype1=1,Pricetype1=4),IF(I247=0,0,(EURO(I247,Strikeprice1,0,0,($AK247+IF(Smile=TRUE(),VLOOKUP(MAX(-5,Strikeprice1-I247),Volsmile,2),0)),($A247-DateToday)+15,IF(Pricetype1=1,1,0),0))),I247)))</f>
        <v> </v>
      </c>
      <c r="S247" s="318" t="str">
        <f aca="false">IF($A247="N/A"," ",IF(Pricetype1=2,MAX(J247,0),IF(OR(Pricetype1=1,Pricetype1=4),IF(J247=0,0,(EURO(J247,Strikeprice1,0,0,($AK247+IF(Smile=TRUE(),VLOOKUP(MAX(-5,Strikeprice1-J247),Volsmile,2),0)),($A247-DateToday)+15,IF(Pricetype1=1,1,0),0))),J247)))</f>
        <v> </v>
      </c>
      <c r="T247" s="318" t="str">
        <f aca="false">IF($A247="N/A"," ",IF(Pricetype1=2,MAX(K247,0),IF(OR(Pricetype1=1,Pricetype1=4),IF(K247=0,0,(EURO(K247,Strikeprice1,0,0,($AK247+IF(Smile=TRUE(),VLOOKUP(MAX(-5,Strikeprice1-K247),Volsmile,2),0)),($A247-DateToday)+15,IF(Pricetype1=1,1,0),0))),K247)))</f>
        <v> </v>
      </c>
      <c r="U247" s="319" t="str">
        <f aca="false">IF($A247="N/A"," ",Volume1*$AM247)</f>
        <v> </v>
      </c>
      <c r="V247" s="320" t="str">
        <f aca="false">IF($A247="N/A"," ",$U247*(8*($BQ247))*L247)</f>
        <v> </v>
      </c>
      <c r="W247" s="320" t="str">
        <f aca="false">IF($A247="N/A"," ",$U247*(8*($BQ247))*M247)</f>
        <v> </v>
      </c>
      <c r="X247" s="320" t="str">
        <f aca="false">IF($A247="N/A"," ",$U247*(8*($BQ247))*N247)</f>
        <v> </v>
      </c>
      <c r="Y247" s="320" t="str">
        <f aca="false">IF($A247="N/A"," ",$U247*(8*($BR247))*O247)</f>
        <v> </v>
      </c>
      <c r="Z247" s="320" t="str">
        <f aca="false">IF($A247="N/A"," ",$U247*(8*($BR247))*P247)</f>
        <v> </v>
      </c>
      <c r="AA247" s="320" t="str">
        <f aca="false">IF($A247="N/A"," ",$U247*(8*($BR247))*Q247)</f>
        <v> </v>
      </c>
      <c r="AB247" s="320" t="str">
        <f aca="false">IF($A247="N/A"," ",$U247*(8*($BS247))*R247)</f>
        <v> </v>
      </c>
      <c r="AC247" s="320" t="str">
        <f aca="false">IF($A247="N/A"," ",$U247*(8*($BS247))*S247)</f>
        <v> </v>
      </c>
      <c r="AD247" s="320" t="str">
        <f aca="false">IF($A247="N/A"," ",$U247*(8*($BS247))*T247)</f>
        <v> </v>
      </c>
      <c r="AE247" s="320" t="str">
        <f aca="false">IF($A247="N/A"," ",SUM(V247:AD247))</f>
        <v> </v>
      </c>
      <c r="AF247" s="321" t="str">
        <f aca="false">IF(A247="N/A"," ",(VLOOKUP(A247,PowerVolTable,(IF(VolBMO1=2,7,IF(VolBMO1=1,6,8))),FALSE())))</f>
        <v> </v>
      </c>
      <c r="AG247" s="321" t="str">
        <f aca="false">IF(A247="N/A"," ",(VLOOKUP(A247,IntraPowerVol,(IF(VolBMO1=2,3,IF(VolBMO1=1,2,4))),FALSE())*VLOOKUP(MONTH($A247),Volscale,2)))</f>
        <v> </v>
      </c>
      <c r="AH247" s="321" t="str">
        <f aca="false">IF($A247="N/A"," ",IF(VolType1=1,AG247,AF247))</f>
        <v> </v>
      </c>
      <c r="AI247" s="321" t="str">
        <f aca="false">IF($A247="N/A"," ",(VLOOKUP($A247,OffPwrVolTable,(IF(VolBMO1=2,7,IF(VolBMO1=1,6,8))),FALSE())))</f>
        <v> </v>
      </c>
      <c r="AJ247" s="321" t="str">
        <f aca="false">IF($A247="N/A"," ",(VLOOKUP($A247,OffPwrVolTable,(IF(VolBMO1=2,3,IF(VolBMO1=1,2,4))),FALSE())*VLOOKUP(MONTH($A247),Volscale,2)))</f>
        <v> </v>
      </c>
      <c r="AK247" s="321" t="str">
        <f aca="false">IF($A247="N/A"," ",IF(VolType1=1,AJ247,AI247))</f>
        <v> </v>
      </c>
      <c r="AL247" s="321" t="str">
        <f aca="false">IF($A247="N/A"," ",IF(PV=1,0,'Pricing Inputs1'!R280))</f>
        <v> </v>
      </c>
      <c r="AM247" s="323" t="str">
        <f aca="false">IF($A247="N/A"," ",(1+AL247/2)^(-2*((EOMONTH(A247,0)+20)-DateToday)/365.25))</f>
        <v> </v>
      </c>
      <c r="BQ247" s="0" t="str">
        <f aca="false">IF($A247="N/A"," ",(VLOOKUP($A247,NumberofDaysTable,2)))</f>
        <v> </v>
      </c>
      <c r="BR247" s="0" t="str">
        <f aca="false">IF($A247="N/A"," ",(VLOOKUP($A247,NumberofDaysTable,3)))</f>
        <v> </v>
      </c>
      <c r="BS247" s="0" t="str">
        <f aca="false">IF($A247="N/A"," ",(VLOOKUP($A247,NumberofDaysTable,4)))</f>
        <v> </v>
      </c>
    </row>
    <row r="248" customFormat="false" ht="12.75" hidden="false" customHeight="false" outlineLevel="0" collapsed="false">
      <c r="A248" s="315" t="str">
        <f aca="false">IF(A247="N/A","N/A",IF(EDATE(A247,1)&gt;Inputs!$M$5,"N/A",EDATE(A247,1)))</f>
        <v>N/A</v>
      </c>
      <c r="B248" s="316" t="str">
        <f aca="false">IF(A248="N/A"," ",YEAR(A248))</f>
        <v> </v>
      </c>
      <c r="C248" s="324" t="str">
        <f aca="false">IF($A248="N/A"," ",IF(Dayrun1=10,0,IF(Scaler1=1,(VLOOKUP(A248,ScaledPrice1,4)),(VLOOKUP(A248,ScaledPrice1,2)))))</f>
        <v> </v>
      </c>
      <c r="D248" s="317" t="str">
        <f aca="false">IF(A248="N/A"," ",IF(Dayrun1&gt;=7,0,IF(Scaler1=2,VLOOKUP(A248,ScaledPrice1,2),(VLOOKUP(A248,ScaledPrice1,2))*(2-(VLOOKUP(A248,ScaledPrice1,3))))))</f>
        <v> </v>
      </c>
      <c r="E248" s="317" t="str">
        <f aca="false">IF($A248="N/A"," ",IF(AND(Dayrun1&gt;=4,Dayrun1&lt;=9),0,VLOOKUP($A248,ScaledPrice1,9)))</f>
        <v> </v>
      </c>
      <c r="F248" s="317" t="str">
        <f aca="false">IF(A248="N/A"," ",IF(OR(Dayrun1=2,Dayrun1=3,Dayrun1=5,Dayrun1=6,Dayrun1=8,Dayrun1=9),VLOOKUP(A248,ScaledPrice1,IF(Scaler1=1,6,5)),0))</f>
        <v> </v>
      </c>
      <c r="G248" s="317" t="str">
        <f aca="false">IF(A248="N/A"," ",IF(OR(Dayrun1=2,Dayrun1=3,Dayrun1=5,Dayrun1=6),IF(Scaler1=2,F248,(VLOOKUP(A248,ScaledPrice1,5))*(2-(VLOOKUP(A248,ScaledPrice1,3)))),0))</f>
        <v> </v>
      </c>
      <c r="H248" s="317" t="str">
        <f aca="false">IF($A248="N/A"," ",IF(OR(Dayrun1=2,Dayrun1=3,Dayrun1=10),VLOOKUP($A248,ScaledPrice1,9),0))</f>
        <v> </v>
      </c>
      <c r="I248" s="317" t="str">
        <f aca="false">IF(A248="N/A"," ",IF(OR(Dayrun1=3,Dayrun1=6,Dayrun1=9),(VLOOKUP(A248,ScaledPrice1,IF(Scaler1=2,7,8))),0))</f>
        <v> </v>
      </c>
      <c r="J248" s="317" t="str">
        <f aca="false">IF(A248="N/A"," ",IF(OR(Dayrun1=3,Dayrun1=6),IF(Scaler1=2,I248,(VLOOKUP(A248,ScaledPrice1,7))*(2-(VLOOKUP(A248,ScaledPrice1,3)))),0))</f>
        <v> </v>
      </c>
      <c r="K248" s="317" t="str">
        <f aca="false">IF($A248="N/A"," ",IF(OR(Dayrun1=3,Dayrun1=10),VLOOKUP($A248,ScaledPrice1,9),0))</f>
        <v> </v>
      </c>
      <c r="L248" s="318" t="str">
        <f aca="false">IF($A248="N/A"," ",IF(Pricetype1=2,MAX(C248,0),IF(OR(Pricetype1=1,Pricetype1=4),IF(C248=0,0,(EURO(C248,Strikeprice1,0,0,($AH248+IF(Smile=TRUE(),VLOOKUP(MAX(-5,Strikeprice1-C248),Volsmile,2),0)),($A248-DateToday)+15,IF(Pricetype1=1,1,0),0))),C248)))</f>
        <v> </v>
      </c>
      <c r="M248" s="318" t="str">
        <f aca="false">IF($A248="N/A"," ",IF(Pricetype1=2,MAX(D248,0),IF(OR(Pricetype1=1,Pricetype1=4),IF(D248=0,0,(EURO(D248,Strikeprice1,0,0,($AH248+IF(Smile=TRUE(),VLOOKUP(MAX(-5,Strikeprice1-D248),Volsmile,2),0)),($A248-DateToday)+15,IF(Pricetype1=1,1,0),0))),D248)))</f>
        <v> </v>
      </c>
      <c r="N248" s="318" t="str">
        <f aca="false">IF($A248="N/A"," ",IF(Pricetype1=2,MAX(E248,0),IF(OR(Pricetype1=1,Pricetype1=4),IF(E248=0,0,(EURO(E248,Strikeprice1,0,0,($AK248+IF(Smile=TRUE(),VLOOKUP(MAX(-5,Strikeprice1-E248),Volsmile,2),0)),($A248-DateToday)+15,IF(Pricetype1=1,1,0),0))),E248)))</f>
        <v> </v>
      </c>
      <c r="O248" s="318" t="str">
        <f aca="false">IF($A248="N/A"," ",IF(Pricetype1=2,MAX(F248,0),IF(OR(Pricetype1=1,Pricetype1=4),IF(F248=0,0,(EURO(F248,Strikeprice1,0,0,($AK248+IF(Smile=TRUE(),VLOOKUP(MAX(-5,Strikeprice1-F248),Volsmile,2),0)),($A248-DateToday)+15,IF(Pricetype1=1,1,0),0))),F248)))</f>
        <v> </v>
      </c>
      <c r="P248" s="318" t="str">
        <f aca="false">IF($A248="N/A"," ",IF(Pricetype1=2,MAX(G248,0),IF(OR(Pricetype1=1,Pricetype1=4),IF(G248=0,0,(EURO(G248,Strikeprice1,0,0,($AK248+IF(Smile=TRUE(),VLOOKUP(MAX(-5,Strikeprice1-G248),Volsmile,2),0)),($A248-DateToday)+15,IF(Pricetype1=1,1,0),0))),G248)))</f>
        <v> </v>
      </c>
      <c r="Q248" s="318" t="str">
        <f aca="false">IF($A248="N/A"," ",IF(Pricetype1=2,MAX(H248,0),IF(OR(Pricetype1=1,Pricetype1=4),IF(H248=0,0,(EURO(H248,Strikeprice1,0,0,($AK248+IF(Smile=TRUE(),VLOOKUP(MAX(-5,Strikeprice1-H248),Volsmile,2),0)),($A248-DateToday)+15,IF(Pricetype1=1,1,0),0))),H248)))</f>
        <v> </v>
      </c>
      <c r="R248" s="318" t="str">
        <f aca="false">IF($A248="N/A"," ",IF(Pricetype1=2,MAX(I248,0),IF(OR(Pricetype1=1,Pricetype1=4),IF(I248=0,0,(EURO(I248,Strikeprice1,0,0,($AK248+IF(Smile=TRUE(),VLOOKUP(MAX(-5,Strikeprice1-I248),Volsmile,2),0)),($A248-DateToday)+15,IF(Pricetype1=1,1,0),0))),I248)))</f>
        <v> </v>
      </c>
      <c r="S248" s="318" t="str">
        <f aca="false">IF($A248="N/A"," ",IF(Pricetype1=2,MAX(J248,0),IF(OR(Pricetype1=1,Pricetype1=4),IF(J248=0,0,(EURO(J248,Strikeprice1,0,0,($AK248+IF(Smile=TRUE(),VLOOKUP(MAX(-5,Strikeprice1-J248),Volsmile,2),0)),($A248-DateToday)+15,IF(Pricetype1=1,1,0),0))),J248)))</f>
        <v> </v>
      </c>
      <c r="T248" s="318" t="str">
        <f aca="false">IF($A248="N/A"," ",IF(Pricetype1=2,MAX(K248,0),IF(OR(Pricetype1=1,Pricetype1=4),IF(K248=0,0,(EURO(K248,Strikeprice1,0,0,($AK248+IF(Smile=TRUE(),VLOOKUP(MAX(-5,Strikeprice1-K248),Volsmile,2),0)),($A248-DateToday)+15,IF(Pricetype1=1,1,0),0))),K248)))</f>
        <v> </v>
      </c>
      <c r="U248" s="319" t="str">
        <f aca="false">IF($A248="N/A"," ",Volume1*$AM248)</f>
        <v> </v>
      </c>
      <c r="V248" s="320" t="str">
        <f aca="false">IF($A248="N/A"," ",$U248*(8*($BQ248))*L248)</f>
        <v> </v>
      </c>
      <c r="W248" s="320" t="str">
        <f aca="false">IF($A248="N/A"," ",$U248*(8*($BQ248))*M248)</f>
        <v> </v>
      </c>
      <c r="X248" s="320" t="str">
        <f aca="false">IF($A248="N/A"," ",$U248*(8*($BQ248))*N248)</f>
        <v> </v>
      </c>
      <c r="Y248" s="320" t="str">
        <f aca="false">IF($A248="N/A"," ",$U248*(8*($BR248))*O248)</f>
        <v> </v>
      </c>
      <c r="Z248" s="320" t="str">
        <f aca="false">IF($A248="N/A"," ",$U248*(8*($BR248))*P248)</f>
        <v> </v>
      </c>
      <c r="AA248" s="320" t="str">
        <f aca="false">IF($A248="N/A"," ",$U248*(8*($BR248))*Q248)</f>
        <v> </v>
      </c>
      <c r="AB248" s="320" t="str">
        <f aca="false">IF($A248="N/A"," ",$U248*(8*($BS248))*R248)</f>
        <v> </v>
      </c>
      <c r="AC248" s="320" t="str">
        <f aca="false">IF($A248="N/A"," ",$U248*(8*($BS248))*S248)</f>
        <v> </v>
      </c>
      <c r="AD248" s="320" t="str">
        <f aca="false">IF($A248="N/A"," ",$U248*(8*($BS248))*T248)</f>
        <v> </v>
      </c>
      <c r="AE248" s="320" t="str">
        <f aca="false">IF($A248="N/A"," ",SUM(V248:AD248))</f>
        <v> </v>
      </c>
      <c r="AF248" s="321" t="str">
        <f aca="false">IF(A248="N/A"," ",(VLOOKUP(A248,PowerVolTable,(IF(VolBMO1=2,7,IF(VolBMO1=1,6,8))),FALSE())))</f>
        <v> </v>
      </c>
      <c r="AG248" s="321" t="str">
        <f aca="false">IF(A248="N/A"," ",(VLOOKUP(A248,IntraPowerVol,(IF(VolBMO1=2,3,IF(VolBMO1=1,2,4))),FALSE())*VLOOKUP(MONTH($A248),Volscale,2)))</f>
        <v> </v>
      </c>
      <c r="AH248" s="321" t="str">
        <f aca="false">IF($A248="N/A"," ",IF(VolType1=1,AG248,AF248))</f>
        <v> </v>
      </c>
      <c r="AI248" s="321" t="str">
        <f aca="false">IF($A248="N/A"," ",(VLOOKUP($A248,OffPwrVolTable,(IF(VolBMO1=2,7,IF(VolBMO1=1,6,8))),FALSE())))</f>
        <v> </v>
      </c>
      <c r="AJ248" s="321" t="str">
        <f aca="false">IF($A248="N/A"," ",(VLOOKUP($A248,OffPwrVolTable,(IF(VolBMO1=2,3,IF(VolBMO1=1,2,4))),FALSE())*VLOOKUP(MONTH($A248),Volscale,2)))</f>
        <v> </v>
      </c>
      <c r="AK248" s="321" t="str">
        <f aca="false">IF($A248="N/A"," ",IF(VolType1=1,AJ248,AI248))</f>
        <v> </v>
      </c>
      <c r="AL248" s="321" t="str">
        <f aca="false">IF($A248="N/A"," ",IF(PV=1,0,'Pricing Inputs1'!R281))</f>
        <v> </v>
      </c>
      <c r="AM248" s="323" t="str">
        <f aca="false">IF($A248="N/A"," ",(1+AL248/2)^(-2*((EOMONTH(A248,0)+20)-DateToday)/365.25))</f>
        <v> </v>
      </c>
      <c r="BQ248" s="0" t="str">
        <f aca="false">IF($A248="N/A"," ",(VLOOKUP($A248,NumberofDaysTable,2)))</f>
        <v> </v>
      </c>
      <c r="BR248" s="0" t="str">
        <f aca="false">IF($A248="N/A"," ",(VLOOKUP($A248,NumberofDaysTable,3)))</f>
        <v> </v>
      </c>
      <c r="BS248" s="0" t="str">
        <f aca="false">IF($A248="N/A"," ",(VLOOKUP($A248,NumberofDaysTable,4)))</f>
        <v> </v>
      </c>
    </row>
    <row r="249" customFormat="false" ht="12.75" hidden="false" customHeight="false" outlineLevel="0" collapsed="false">
      <c r="A249" s="315" t="str">
        <f aca="false">IF(A248="N/A","N/A",IF(EDATE(A248,1)&gt;Inputs!$M$5,"N/A",EDATE(A248,1)))</f>
        <v>N/A</v>
      </c>
      <c r="B249" s="316" t="str">
        <f aca="false">IF(A249="N/A"," ",YEAR(A249))</f>
        <v> </v>
      </c>
      <c r="C249" s="324" t="str">
        <f aca="false">IF($A249="N/A"," ",IF(Dayrun1=10,0,IF(Scaler1=1,(VLOOKUP(A249,ScaledPrice1,4)),(VLOOKUP(A249,ScaledPrice1,2)))))</f>
        <v> </v>
      </c>
      <c r="D249" s="317" t="str">
        <f aca="false">IF(A249="N/A"," ",IF(Dayrun1&gt;=7,0,IF(Scaler1=2,VLOOKUP(A249,ScaledPrice1,2),(VLOOKUP(A249,ScaledPrice1,2))*(2-(VLOOKUP(A249,ScaledPrice1,3))))))</f>
        <v> </v>
      </c>
      <c r="E249" s="317" t="str">
        <f aca="false">IF($A249="N/A"," ",IF(AND(Dayrun1&gt;=4,Dayrun1&lt;=9),0,VLOOKUP($A249,ScaledPrice1,9)))</f>
        <v> </v>
      </c>
      <c r="F249" s="317" t="str">
        <f aca="false">IF(A249="N/A"," ",IF(OR(Dayrun1=2,Dayrun1=3,Dayrun1=5,Dayrun1=6,Dayrun1=8,Dayrun1=9),VLOOKUP(A249,ScaledPrice1,IF(Scaler1=1,6,5)),0))</f>
        <v> </v>
      </c>
      <c r="G249" s="317" t="str">
        <f aca="false">IF(A249="N/A"," ",IF(OR(Dayrun1=2,Dayrun1=3,Dayrun1=5,Dayrun1=6),IF(Scaler1=2,F249,(VLOOKUP(A249,ScaledPrice1,5))*(2-(VLOOKUP(A249,ScaledPrice1,3)))),0))</f>
        <v> </v>
      </c>
      <c r="H249" s="317" t="str">
        <f aca="false">IF($A249="N/A"," ",IF(OR(Dayrun1=2,Dayrun1=3,Dayrun1=10),VLOOKUP($A249,ScaledPrice1,9),0))</f>
        <v> </v>
      </c>
      <c r="I249" s="317" t="str">
        <f aca="false">IF(A249="N/A"," ",IF(OR(Dayrun1=3,Dayrun1=6,Dayrun1=9),(VLOOKUP(A249,ScaledPrice1,IF(Scaler1=2,7,8))),0))</f>
        <v> </v>
      </c>
      <c r="J249" s="317" t="str">
        <f aca="false">IF(A249="N/A"," ",IF(OR(Dayrun1=3,Dayrun1=6),IF(Scaler1=2,I249,(VLOOKUP(A249,ScaledPrice1,7))*(2-(VLOOKUP(A249,ScaledPrice1,3)))),0))</f>
        <v> </v>
      </c>
      <c r="K249" s="317" t="str">
        <f aca="false">IF($A249="N/A"," ",IF(OR(Dayrun1=3,Dayrun1=10),VLOOKUP($A249,ScaledPrice1,9),0))</f>
        <v> </v>
      </c>
      <c r="L249" s="318" t="str">
        <f aca="false">IF($A249="N/A"," ",IF(Pricetype1=2,MAX(C249,0),IF(OR(Pricetype1=1,Pricetype1=4),IF(C249=0,0,(EURO(C249,Strikeprice1,0,0,($AH249+IF(Smile=TRUE(),VLOOKUP(MAX(-5,Strikeprice1-C249),Volsmile,2),0)),($A249-DateToday)+15,IF(Pricetype1=1,1,0),0))),C249)))</f>
        <v> </v>
      </c>
      <c r="M249" s="318" t="str">
        <f aca="false">IF($A249="N/A"," ",IF(Pricetype1=2,MAX(D249,0),IF(OR(Pricetype1=1,Pricetype1=4),IF(D249=0,0,(EURO(D249,Strikeprice1,0,0,($AH249+IF(Smile=TRUE(),VLOOKUP(MAX(-5,Strikeprice1-D249),Volsmile,2),0)),($A249-DateToday)+15,IF(Pricetype1=1,1,0),0))),D249)))</f>
        <v> </v>
      </c>
      <c r="N249" s="318" t="str">
        <f aca="false">IF($A249="N/A"," ",IF(Pricetype1=2,MAX(E249,0),IF(OR(Pricetype1=1,Pricetype1=4),IF(E249=0,0,(EURO(E249,Strikeprice1,0,0,($AK249+IF(Smile=TRUE(),VLOOKUP(MAX(-5,Strikeprice1-E249),Volsmile,2),0)),($A249-DateToday)+15,IF(Pricetype1=1,1,0),0))),E249)))</f>
        <v> </v>
      </c>
      <c r="O249" s="318" t="str">
        <f aca="false">IF($A249="N/A"," ",IF(Pricetype1=2,MAX(F249,0),IF(OR(Pricetype1=1,Pricetype1=4),IF(F249=0,0,(EURO(F249,Strikeprice1,0,0,($AK249+IF(Smile=TRUE(),VLOOKUP(MAX(-5,Strikeprice1-F249),Volsmile,2),0)),($A249-DateToday)+15,IF(Pricetype1=1,1,0),0))),F249)))</f>
        <v> </v>
      </c>
      <c r="P249" s="318" t="str">
        <f aca="false">IF($A249="N/A"," ",IF(Pricetype1=2,MAX(G249,0),IF(OR(Pricetype1=1,Pricetype1=4),IF(G249=0,0,(EURO(G249,Strikeprice1,0,0,($AK249+IF(Smile=TRUE(),VLOOKUP(MAX(-5,Strikeprice1-G249),Volsmile,2),0)),($A249-DateToday)+15,IF(Pricetype1=1,1,0),0))),G249)))</f>
        <v> </v>
      </c>
      <c r="Q249" s="318" t="str">
        <f aca="false">IF($A249="N/A"," ",IF(Pricetype1=2,MAX(H249,0),IF(OR(Pricetype1=1,Pricetype1=4),IF(H249=0,0,(EURO(H249,Strikeprice1,0,0,($AK249+IF(Smile=TRUE(),VLOOKUP(MAX(-5,Strikeprice1-H249),Volsmile,2),0)),($A249-DateToday)+15,IF(Pricetype1=1,1,0),0))),H249)))</f>
        <v> </v>
      </c>
      <c r="R249" s="318" t="str">
        <f aca="false">IF($A249="N/A"," ",IF(Pricetype1=2,MAX(I249,0),IF(OR(Pricetype1=1,Pricetype1=4),IF(I249=0,0,(EURO(I249,Strikeprice1,0,0,($AK249+IF(Smile=TRUE(),VLOOKUP(MAX(-5,Strikeprice1-I249),Volsmile,2),0)),($A249-DateToday)+15,IF(Pricetype1=1,1,0),0))),I249)))</f>
        <v> </v>
      </c>
      <c r="S249" s="318" t="str">
        <f aca="false">IF($A249="N/A"," ",IF(Pricetype1=2,MAX(J249,0),IF(OR(Pricetype1=1,Pricetype1=4),IF(J249=0,0,(EURO(J249,Strikeprice1,0,0,($AK249+IF(Smile=TRUE(),VLOOKUP(MAX(-5,Strikeprice1-J249),Volsmile,2),0)),($A249-DateToday)+15,IF(Pricetype1=1,1,0),0))),J249)))</f>
        <v> </v>
      </c>
      <c r="T249" s="318" t="str">
        <f aca="false">IF($A249="N/A"," ",IF(Pricetype1=2,MAX(K249,0),IF(OR(Pricetype1=1,Pricetype1=4),IF(K249=0,0,(EURO(K249,Strikeprice1,0,0,($AK249+IF(Smile=TRUE(),VLOOKUP(MAX(-5,Strikeprice1-K249),Volsmile,2),0)),($A249-DateToday)+15,IF(Pricetype1=1,1,0),0))),K249)))</f>
        <v> </v>
      </c>
      <c r="U249" s="319" t="str">
        <f aca="false">IF($A249="N/A"," ",Volume1*$AM249)</f>
        <v> </v>
      </c>
      <c r="V249" s="320" t="str">
        <f aca="false">IF($A249="N/A"," ",$U249*(8*($BQ249))*L249)</f>
        <v> </v>
      </c>
      <c r="W249" s="320" t="str">
        <f aca="false">IF($A249="N/A"," ",$U249*(8*($BQ249))*M249)</f>
        <v> </v>
      </c>
      <c r="X249" s="320" t="str">
        <f aca="false">IF($A249="N/A"," ",$U249*(8*($BQ249))*N249)</f>
        <v> </v>
      </c>
      <c r="Y249" s="320" t="str">
        <f aca="false">IF($A249="N/A"," ",$U249*(8*($BR249))*O249)</f>
        <v> </v>
      </c>
      <c r="Z249" s="320" t="str">
        <f aca="false">IF($A249="N/A"," ",$U249*(8*($BR249))*P249)</f>
        <v> </v>
      </c>
      <c r="AA249" s="320" t="str">
        <f aca="false">IF($A249="N/A"," ",$U249*(8*($BR249))*Q249)</f>
        <v> </v>
      </c>
      <c r="AB249" s="320" t="str">
        <f aca="false">IF($A249="N/A"," ",$U249*(8*($BS249))*R249)</f>
        <v> </v>
      </c>
      <c r="AC249" s="320" t="str">
        <f aca="false">IF($A249="N/A"," ",$U249*(8*($BS249))*S249)</f>
        <v> </v>
      </c>
      <c r="AD249" s="320" t="str">
        <f aca="false">IF($A249="N/A"," ",$U249*(8*($BS249))*T249)</f>
        <v> </v>
      </c>
      <c r="AE249" s="320" t="str">
        <f aca="false">IF($A249="N/A"," ",SUM(V249:AD249))</f>
        <v> </v>
      </c>
      <c r="AF249" s="321" t="str">
        <f aca="false">IF(A249="N/A"," ",(VLOOKUP(A249,PowerVolTable,(IF(VolBMO1=2,7,IF(VolBMO1=1,6,8))),FALSE())))</f>
        <v> </v>
      </c>
      <c r="AG249" s="321" t="str">
        <f aca="false">IF(A249="N/A"," ",(VLOOKUP(A249,IntraPowerVol,(IF(VolBMO1=2,3,IF(VolBMO1=1,2,4))),FALSE())*VLOOKUP(MONTH($A249),Volscale,2)))</f>
        <v> </v>
      </c>
      <c r="AH249" s="321" t="str">
        <f aca="false">IF($A249="N/A"," ",IF(VolType1=1,AG249,AF249))</f>
        <v> </v>
      </c>
      <c r="AI249" s="321" t="str">
        <f aca="false">IF($A249="N/A"," ",(VLOOKUP($A249,OffPwrVolTable,(IF(VolBMO1=2,7,IF(VolBMO1=1,6,8))),FALSE())))</f>
        <v> </v>
      </c>
      <c r="AJ249" s="321" t="str">
        <f aca="false">IF($A249="N/A"," ",(VLOOKUP($A249,OffPwrVolTable,(IF(VolBMO1=2,3,IF(VolBMO1=1,2,4))),FALSE())*VLOOKUP(MONTH($A249),Volscale,2)))</f>
        <v> </v>
      </c>
      <c r="AK249" s="321" t="str">
        <f aca="false">IF($A249="N/A"," ",IF(VolType1=1,AJ249,AI249))</f>
        <v> </v>
      </c>
      <c r="AL249" s="321" t="str">
        <f aca="false">IF($A249="N/A"," ",IF(PV=1,0,'Pricing Inputs1'!R282))</f>
        <v> </v>
      </c>
      <c r="AM249" s="323" t="str">
        <f aca="false">IF($A249="N/A"," ",(1+AL249/2)^(-2*((EOMONTH(A249,0)+20)-DateToday)/365.25))</f>
        <v> </v>
      </c>
      <c r="BQ249" s="0" t="str">
        <f aca="false">IF($A249="N/A"," ",(VLOOKUP($A249,NumberofDaysTable,2)))</f>
        <v> </v>
      </c>
      <c r="BR249" s="0" t="str">
        <f aca="false">IF($A249="N/A"," ",(VLOOKUP($A249,NumberofDaysTable,3)))</f>
        <v> </v>
      </c>
      <c r="BS249" s="0" t="str">
        <f aca="false">IF($A249="N/A"," ",(VLOOKUP($A249,NumberofDaysTable,4)))</f>
        <v> </v>
      </c>
    </row>
    <row r="250" customFormat="false" ht="12.75" hidden="false" customHeight="false" outlineLevel="0" collapsed="false">
      <c r="A250" s="315" t="str">
        <f aca="false">IF(A249="N/A","N/A",IF(EDATE(A249,1)&gt;Inputs!$M$5,"N/A",EDATE(A249,1)))</f>
        <v>N/A</v>
      </c>
      <c r="B250" s="316" t="str">
        <f aca="false">IF(A250="N/A"," ",YEAR(A250))</f>
        <v> </v>
      </c>
      <c r="C250" s="324" t="str">
        <f aca="false">IF($A250="N/A"," ",IF(Dayrun1=10,0,IF(Scaler1=1,(VLOOKUP(A250,ScaledPrice1,4)),(VLOOKUP(A250,ScaledPrice1,2)))))</f>
        <v> </v>
      </c>
      <c r="D250" s="317" t="str">
        <f aca="false">IF(A250="N/A"," ",IF(Dayrun1&gt;=7,0,IF(Scaler1=2,VLOOKUP(A250,ScaledPrice1,2),(VLOOKUP(A250,ScaledPrice1,2))*(2-(VLOOKUP(A250,ScaledPrice1,3))))))</f>
        <v> </v>
      </c>
      <c r="E250" s="317" t="str">
        <f aca="false">IF($A250="N/A"," ",IF(AND(Dayrun1&gt;=4,Dayrun1&lt;=9),0,VLOOKUP($A250,ScaledPrice1,9)))</f>
        <v> </v>
      </c>
      <c r="F250" s="317" t="str">
        <f aca="false">IF(A250="N/A"," ",IF(OR(Dayrun1=2,Dayrun1=3,Dayrun1=5,Dayrun1=6,Dayrun1=8,Dayrun1=9),VLOOKUP(A250,ScaledPrice1,IF(Scaler1=1,6,5)),0))</f>
        <v> </v>
      </c>
      <c r="G250" s="317" t="str">
        <f aca="false">IF(A250="N/A"," ",IF(OR(Dayrun1=2,Dayrun1=3,Dayrun1=5,Dayrun1=6),IF(Scaler1=2,F250,(VLOOKUP(A250,ScaledPrice1,5))*(2-(VLOOKUP(A250,ScaledPrice1,3)))),0))</f>
        <v> </v>
      </c>
      <c r="H250" s="317" t="str">
        <f aca="false">IF($A250="N/A"," ",IF(OR(Dayrun1=2,Dayrun1=3,Dayrun1=10),VLOOKUP($A250,ScaledPrice1,9),0))</f>
        <v> </v>
      </c>
      <c r="I250" s="317" t="str">
        <f aca="false">IF(A250="N/A"," ",IF(OR(Dayrun1=3,Dayrun1=6,Dayrun1=9),(VLOOKUP(A250,ScaledPrice1,IF(Scaler1=2,7,8))),0))</f>
        <v> </v>
      </c>
      <c r="J250" s="317" t="str">
        <f aca="false">IF(A250="N/A"," ",IF(OR(Dayrun1=3,Dayrun1=6),IF(Scaler1=2,I250,(VLOOKUP(A250,ScaledPrice1,7))*(2-(VLOOKUP(A250,ScaledPrice1,3)))),0))</f>
        <v> </v>
      </c>
      <c r="K250" s="317" t="str">
        <f aca="false">IF($A250="N/A"," ",IF(OR(Dayrun1=3,Dayrun1=10),VLOOKUP($A250,ScaledPrice1,9),0))</f>
        <v> </v>
      </c>
      <c r="L250" s="318" t="str">
        <f aca="false">IF($A250="N/A"," ",IF(Pricetype1=2,MAX(C250,0),IF(OR(Pricetype1=1,Pricetype1=4),IF(C250=0,0,(EURO(C250,Strikeprice1,0,0,($AH250+IF(Smile=TRUE(),VLOOKUP(MAX(-5,Strikeprice1-C250),Volsmile,2),0)),($A250-DateToday)+15,IF(Pricetype1=1,1,0),0))),C250)))</f>
        <v> </v>
      </c>
      <c r="M250" s="318" t="str">
        <f aca="false">IF($A250="N/A"," ",IF(Pricetype1=2,MAX(D250,0),IF(OR(Pricetype1=1,Pricetype1=4),IF(D250=0,0,(EURO(D250,Strikeprice1,0,0,($AH250+IF(Smile=TRUE(),VLOOKUP(MAX(-5,Strikeprice1-D250),Volsmile,2),0)),($A250-DateToday)+15,IF(Pricetype1=1,1,0),0))),D250)))</f>
        <v> </v>
      </c>
      <c r="N250" s="318" t="str">
        <f aca="false">IF($A250="N/A"," ",IF(Pricetype1=2,MAX(E250,0),IF(OR(Pricetype1=1,Pricetype1=4),IF(E250=0,0,(EURO(E250,Strikeprice1,0,0,($AK250+IF(Smile=TRUE(),VLOOKUP(MAX(-5,Strikeprice1-E250),Volsmile,2),0)),($A250-DateToday)+15,IF(Pricetype1=1,1,0),0))),E250)))</f>
        <v> </v>
      </c>
      <c r="O250" s="318" t="str">
        <f aca="false">IF($A250="N/A"," ",IF(Pricetype1=2,MAX(F250,0),IF(OR(Pricetype1=1,Pricetype1=4),IF(F250=0,0,(EURO(F250,Strikeprice1,0,0,($AK250+IF(Smile=TRUE(),VLOOKUP(MAX(-5,Strikeprice1-F250),Volsmile,2),0)),($A250-DateToday)+15,IF(Pricetype1=1,1,0),0))),F250)))</f>
        <v> </v>
      </c>
      <c r="P250" s="318" t="str">
        <f aca="false">IF($A250="N/A"," ",IF(Pricetype1=2,MAX(G250,0),IF(OR(Pricetype1=1,Pricetype1=4),IF(G250=0,0,(EURO(G250,Strikeprice1,0,0,($AK250+IF(Smile=TRUE(),VLOOKUP(MAX(-5,Strikeprice1-G250),Volsmile,2),0)),($A250-DateToday)+15,IF(Pricetype1=1,1,0),0))),G250)))</f>
        <v> </v>
      </c>
      <c r="Q250" s="318" t="str">
        <f aca="false">IF($A250="N/A"," ",IF(Pricetype1=2,MAX(H250,0),IF(OR(Pricetype1=1,Pricetype1=4),IF(H250=0,0,(EURO(H250,Strikeprice1,0,0,($AK250+IF(Smile=TRUE(),VLOOKUP(MAX(-5,Strikeprice1-H250),Volsmile,2),0)),($A250-DateToday)+15,IF(Pricetype1=1,1,0),0))),H250)))</f>
        <v> </v>
      </c>
      <c r="R250" s="318" t="str">
        <f aca="false">IF($A250="N/A"," ",IF(Pricetype1=2,MAX(I250,0),IF(OR(Pricetype1=1,Pricetype1=4),IF(I250=0,0,(EURO(I250,Strikeprice1,0,0,($AK250+IF(Smile=TRUE(),VLOOKUP(MAX(-5,Strikeprice1-I250),Volsmile,2),0)),($A250-DateToday)+15,IF(Pricetype1=1,1,0),0))),I250)))</f>
        <v> </v>
      </c>
      <c r="S250" s="318" t="str">
        <f aca="false">IF($A250="N/A"," ",IF(Pricetype1=2,MAX(J250,0),IF(OR(Pricetype1=1,Pricetype1=4),IF(J250=0,0,(EURO(J250,Strikeprice1,0,0,($AK250+IF(Smile=TRUE(),VLOOKUP(MAX(-5,Strikeprice1-J250),Volsmile,2),0)),($A250-DateToday)+15,IF(Pricetype1=1,1,0),0))),J250)))</f>
        <v> </v>
      </c>
      <c r="T250" s="318" t="str">
        <f aca="false">IF($A250="N/A"," ",IF(Pricetype1=2,MAX(K250,0),IF(OR(Pricetype1=1,Pricetype1=4),IF(K250=0,0,(EURO(K250,Strikeprice1,0,0,($AK250+IF(Smile=TRUE(),VLOOKUP(MAX(-5,Strikeprice1-K250),Volsmile,2),0)),($A250-DateToday)+15,IF(Pricetype1=1,1,0),0))),K250)))</f>
        <v> </v>
      </c>
      <c r="U250" s="319" t="str">
        <f aca="false">IF($A250="N/A"," ",Volume1*$AM250)</f>
        <v> </v>
      </c>
      <c r="V250" s="320" t="str">
        <f aca="false">IF($A250="N/A"," ",$U250*(8*($BQ250))*L250)</f>
        <v> </v>
      </c>
      <c r="W250" s="320" t="str">
        <f aca="false">IF($A250="N/A"," ",$U250*(8*($BQ250))*M250)</f>
        <v> </v>
      </c>
      <c r="X250" s="320" t="str">
        <f aca="false">IF($A250="N/A"," ",$U250*(8*($BQ250))*N250)</f>
        <v> </v>
      </c>
      <c r="Y250" s="320" t="str">
        <f aca="false">IF($A250="N/A"," ",$U250*(8*($BR250))*O250)</f>
        <v> </v>
      </c>
      <c r="Z250" s="320" t="str">
        <f aca="false">IF($A250="N/A"," ",$U250*(8*($BR250))*P250)</f>
        <v> </v>
      </c>
      <c r="AA250" s="320" t="str">
        <f aca="false">IF($A250="N/A"," ",$U250*(8*($BR250))*Q250)</f>
        <v> </v>
      </c>
      <c r="AB250" s="320" t="str">
        <f aca="false">IF($A250="N/A"," ",$U250*(8*($BS250))*R250)</f>
        <v> </v>
      </c>
      <c r="AC250" s="320" t="str">
        <f aca="false">IF($A250="N/A"," ",$U250*(8*($BS250))*S250)</f>
        <v> </v>
      </c>
      <c r="AD250" s="320" t="str">
        <f aca="false">IF($A250="N/A"," ",$U250*(8*($BS250))*T250)</f>
        <v> </v>
      </c>
      <c r="AE250" s="320" t="str">
        <f aca="false">IF($A250="N/A"," ",SUM(V250:AD250))</f>
        <v> </v>
      </c>
      <c r="AF250" s="321" t="str">
        <f aca="false">IF(A250="N/A"," ",(VLOOKUP(A250,PowerVolTable,(IF(VolBMO1=2,7,IF(VolBMO1=1,6,8))),FALSE())))</f>
        <v> </v>
      </c>
      <c r="AG250" s="321" t="str">
        <f aca="false">IF(A250="N/A"," ",(VLOOKUP(A250,IntraPowerVol,(IF(VolBMO1=2,3,IF(VolBMO1=1,2,4))),FALSE())*VLOOKUP(MONTH($A250),Volscale,2)))</f>
        <v> </v>
      </c>
      <c r="AH250" s="321" t="str">
        <f aca="false">IF($A250="N/A"," ",IF(VolType1=1,AG250,AF250))</f>
        <v> </v>
      </c>
      <c r="AI250" s="321" t="str">
        <f aca="false">IF($A250="N/A"," ",(VLOOKUP($A250,OffPwrVolTable,(IF(VolBMO1=2,7,IF(VolBMO1=1,6,8))),FALSE())))</f>
        <v> </v>
      </c>
      <c r="AJ250" s="321" t="str">
        <f aca="false">IF($A250="N/A"," ",(VLOOKUP($A250,OffPwrVolTable,(IF(VolBMO1=2,3,IF(VolBMO1=1,2,4))),FALSE())*VLOOKUP(MONTH($A250),Volscale,2)))</f>
        <v> </v>
      </c>
      <c r="AK250" s="321" t="str">
        <f aca="false">IF($A250="N/A"," ",IF(VolType1=1,AJ250,AI250))</f>
        <v> </v>
      </c>
      <c r="AL250" s="321" t="str">
        <f aca="false">IF($A250="N/A"," ",IF(PV=1,0,'Pricing Inputs1'!R283))</f>
        <v> </v>
      </c>
      <c r="AM250" s="323" t="str">
        <f aca="false">IF($A250="N/A"," ",(1+AL250/2)^(-2*((EOMONTH(A250,0)+20)-DateToday)/365.25))</f>
        <v> </v>
      </c>
      <c r="BQ250" s="0" t="str">
        <f aca="false">IF($A250="N/A"," ",(VLOOKUP($A250,NumberofDaysTable,2)))</f>
        <v> </v>
      </c>
      <c r="BR250" s="0" t="str">
        <f aca="false">IF($A250="N/A"," ",(VLOOKUP($A250,NumberofDaysTable,3)))</f>
        <v> </v>
      </c>
      <c r="BS250" s="0" t="str">
        <f aca="false">IF($A250="N/A"," ",(VLOOKUP($A250,NumberofDaysTable,4)))</f>
        <v> </v>
      </c>
    </row>
    <row r="251" customFormat="false" ht="12.75" hidden="false" customHeight="false" outlineLevel="0" collapsed="false">
      <c r="A251" s="315" t="str">
        <f aca="false">IF(A250="N/A","N/A",IF(EDATE(A250,1)&gt;Inputs!$M$5,"N/A",EDATE(A250,1)))</f>
        <v>N/A</v>
      </c>
      <c r="B251" s="316" t="str">
        <f aca="false">IF(A251="N/A"," ",YEAR(A251))</f>
        <v> </v>
      </c>
      <c r="C251" s="324" t="str">
        <f aca="false">IF($A251="N/A"," ",IF(Dayrun1=10,0,IF(Scaler1=1,(VLOOKUP(A251,ScaledPrice1,4)),(VLOOKUP(A251,ScaledPrice1,2)))))</f>
        <v> </v>
      </c>
      <c r="D251" s="317" t="str">
        <f aca="false">IF(A251="N/A"," ",IF(Dayrun1&gt;=7,0,IF(Scaler1=2,VLOOKUP(A251,ScaledPrice1,2),(VLOOKUP(A251,ScaledPrice1,2))*(2-(VLOOKUP(A251,ScaledPrice1,3))))))</f>
        <v> </v>
      </c>
      <c r="E251" s="317" t="str">
        <f aca="false">IF($A251="N/A"," ",IF(AND(Dayrun1&gt;=4,Dayrun1&lt;=9),0,VLOOKUP($A251,ScaledPrice1,9)))</f>
        <v> </v>
      </c>
      <c r="F251" s="317" t="str">
        <f aca="false">IF(A251="N/A"," ",IF(OR(Dayrun1=2,Dayrun1=3,Dayrun1=5,Dayrun1=6,Dayrun1=8,Dayrun1=9),VLOOKUP(A251,ScaledPrice1,IF(Scaler1=1,6,5)),0))</f>
        <v> </v>
      </c>
      <c r="G251" s="317" t="str">
        <f aca="false">IF(A251="N/A"," ",IF(OR(Dayrun1=2,Dayrun1=3,Dayrun1=5,Dayrun1=6),IF(Scaler1=2,F251,(VLOOKUP(A251,ScaledPrice1,5))*(2-(VLOOKUP(A251,ScaledPrice1,3)))),0))</f>
        <v> </v>
      </c>
      <c r="H251" s="317" t="str">
        <f aca="false">IF($A251="N/A"," ",IF(OR(Dayrun1=2,Dayrun1=3,Dayrun1=10),VLOOKUP($A251,ScaledPrice1,9),0))</f>
        <v> </v>
      </c>
      <c r="I251" s="317" t="str">
        <f aca="false">IF(A251="N/A"," ",IF(OR(Dayrun1=3,Dayrun1=6,Dayrun1=9),(VLOOKUP(A251,ScaledPrice1,IF(Scaler1=2,7,8))),0))</f>
        <v> </v>
      </c>
      <c r="J251" s="317" t="str">
        <f aca="false">IF(A251="N/A"," ",IF(OR(Dayrun1=3,Dayrun1=6),IF(Scaler1=2,I251,(VLOOKUP(A251,ScaledPrice1,7))*(2-(VLOOKUP(A251,ScaledPrice1,3)))),0))</f>
        <v> </v>
      </c>
      <c r="K251" s="317" t="str">
        <f aca="false">IF($A251="N/A"," ",IF(OR(Dayrun1=3,Dayrun1=10),VLOOKUP($A251,ScaledPrice1,9),0))</f>
        <v> </v>
      </c>
      <c r="L251" s="318" t="str">
        <f aca="false">IF($A251="N/A"," ",IF(Pricetype1=2,MAX(C251,0),IF(OR(Pricetype1=1,Pricetype1=4),IF(C251=0,0,(EURO(C251,Strikeprice1,0,0,($AH251+IF(Smile=TRUE(),VLOOKUP(MAX(-5,Strikeprice1-C251),Volsmile,2),0)),($A251-DateToday)+15,IF(Pricetype1=1,1,0),0))),C251)))</f>
        <v> </v>
      </c>
      <c r="M251" s="318" t="str">
        <f aca="false">IF($A251="N/A"," ",IF(Pricetype1=2,MAX(D251,0),IF(OR(Pricetype1=1,Pricetype1=4),IF(D251=0,0,(EURO(D251,Strikeprice1,0,0,($AH251+IF(Smile=TRUE(),VLOOKUP(MAX(-5,Strikeprice1-D251),Volsmile,2),0)),($A251-DateToday)+15,IF(Pricetype1=1,1,0),0))),D251)))</f>
        <v> </v>
      </c>
      <c r="N251" s="318" t="str">
        <f aca="false">IF($A251="N/A"," ",IF(Pricetype1=2,MAX(E251,0),IF(OR(Pricetype1=1,Pricetype1=4),IF(E251=0,0,(EURO(E251,Strikeprice1,0,0,($AK251+IF(Smile=TRUE(),VLOOKUP(MAX(-5,Strikeprice1-E251),Volsmile,2),0)),($A251-DateToday)+15,IF(Pricetype1=1,1,0),0))),E251)))</f>
        <v> </v>
      </c>
      <c r="O251" s="318" t="str">
        <f aca="false">IF($A251="N/A"," ",IF(Pricetype1=2,MAX(F251,0),IF(OR(Pricetype1=1,Pricetype1=4),IF(F251=0,0,(EURO(F251,Strikeprice1,0,0,($AK251+IF(Smile=TRUE(),VLOOKUP(MAX(-5,Strikeprice1-F251),Volsmile,2),0)),($A251-DateToday)+15,IF(Pricetype1=1,1,0),0))),F251)))</f>
        <v> </v>
      </c>
      <c r="P251" s="318" t="str">
        <f aca="false">IF($A251="N/A"," ",IF(Pricetype1=2,MAX(G251,0),IF(OR(Pricetype1=1,Pricetype1=4),IF(G251=0,0,(EURO(G251,Strikeprice1,0,0,($AK251+IF(Smile=TRUE(),VLOOKUP(MAX(-5,Strikeprice1-G251),Volsmile,2),0)),($A251-DateToday)+15,IF(Pricetype1=1,1,0),0))),G251)))</f>
        <v> </v>
      </c>
      <c r="Q251" s="318" t="str">
        <f aca="false">IF($A251="N/A"," ",IF(Pricetype1=2,MAX(H251,0),IF(OR(Pricetype1=1,Pricetype1=4),IF(H251=0,0,(EURO(H251,Strikeprice1,0,0,($AK251+IF(Smile=TRUE(),VLOOKUP(MAX(-5,Strikeprice1-H251),Volsmile,2),0)),($A251-DateToday)+15,IF(Pricetype1=1,1,0),0))),H251)))</f>
        <v> </v>
      </c>
      <c r="R251" s="318" t="str">
        <f aca="false">IF($A251="N/A"," ",IF(Pricetype1=2,MAX(I251,0),IF(OR(Pricetype1=1,Pricetype1=4),IF(I251=0,0,(EURO(I251,Strikeprice1,0,0,($AK251+IF(Smile=TRUE(),VLOOKUP(MAX(-5,Strikeprice1-I251),Volsmile,2),0)),($A251-DateToday)+15,IF(Pricetype1=1,1,0),0))),I251)))</f>
        <v> </v>
      </c>
      <c r="S251" s="318" t="str">
        <f aca="false">IF($A251="N/A"," ",IF(Pricetype1=2,MAX(J251,0),IF(OR(Pricetype1=1,Pricetype1=4),IF(J251=0,0,(EURO(J251,Strikeprice1,0,0,($AK251+IF(Smile=TRUE(),VLOOKUP(MAX(-5,Strikeprice1-J251),Volsmile,2),0)),($A251-DateToday)+15,IF(Pricetype1=1,1,0),0))),J251)))</f>
        <v> </v>
      </c>
      <c r="T251" s="318" t="str">
        <f aca="false">IF($A251="N/A"," ",IF(Pricetype1=2,MAX(K251,0),IF(OR(Pricetype1=1,Pricetype1=4),IF(K251=0,0,(EURO(K251,Strikeprice1,0,0,($AK251+IF(Smile=TRUE(),VLOOKUP(MAX(-5,Strikeprice1-K251),Volsmile,2),0)),($A251-DateToday)+15,IF(Pricetype1=1,1,0),0))),K251)))</f>
        <v> </v>
      </c>
      <c r="U251" s="319" t="str">
        <f aca="false">IF($A251="N/A"," ",Volume1*$AM251)</f>
        <v> </v>
      </c>
      <c r="V251" s="320" t="str">
        <f aca="false">IF($A251="N/A"," ",$U251*(8*($BQ251))*L251)</f>
        <v> </v>
      </c>
      <c r="W251" s="320" t="str">
        <f aca="false">IF($A251="N/A"," ",$U251*(8*($BQ251))*M251)</f>
        <v> </v>
      </c>
      <c r="X251" s="320" t="str">
        <f aca="false">IF($A251="N/A"," ",$U251*(8*($BQ251))*N251)</f>
        <v> </v>
      </c>
      <c r="Y251" s="320" t="str">
        <f aca="false">IF($A251="N/A"," ",$U251*(8*($BR251))*O251)</f>
        <v> </v>
      </c>
      <c r="Z251" s="320" t="str">
        <f aca="false">IF($A251="N/A"," ",$U251*(8*($BR251))*P251)</f>
        <v> </v>
      </c>
      <c r="AA251" s="320" t="str">
        <f aca="false">IF($A251="N/A"," ",$U251*(8*($BR251))*Q251)</f>
        <v> </v>
      </c>
      <c r="AB251" s="320" t="str">
        <f aca="false">IF($A251="N/A"," ",$U251*(8*($BS251))*R251)</f>
        <v> </v>
      </c>
      <c r="AC251" s="320" t="str">
        <f aca="false">IF($A251="N/A"," ",$U251*(8*($BS251))*S251)</f>
        <v> </v>
      </c>
      <c r="AD251" s="320" t="str">
        <f aca="false">IF($A251="N/A"," ",$U251*(8*($BS251))*T251)</f>
        <v> </v>
      </c>
      <c r="AE251" s="320" t="str">
        <f aca="false">IF($A251="N/A"," ",SUM(V251:AD251))</f>
        <v> </v>
      </c>
      <c r="AF251" s="321" t="str">
        <f aca="false">IF(A251="N/A"," ",(VLOOKUP(A251,PowerVolTable,(IF(VolBMO1=2,7,IF(VolBMO1=1,6,8))),FALSE())))</f>
        <v> </v>
      </c>
      <c r="AG251" s="321" t="str">
        <f aca="false">IF(A251="N/A"," ",(VLOOKUP(A251,IntraPowerVol,(IF(VolBMO1=2,3,IF(VolBMO1=1,2,4))),FALSE())*VLOOKUP(MONTH($A251),Volscale,2)))</f>
        <v> </v>
      </c>
      <c r="AH251" s="321" t="str">
        <f aca="false">IF($A251="N/A"," ",IF(VolType1=1,AG251,AF251))</f>
        <v> </v>
      </c>
      <c r="AI251" s="321" t="str">
        <f aca="false">IF($A251="N/A"," ",(VLOOKUP($A251,OffPwrVolTable,(IF(VolBMO1=2,7,IF(VolBMO1=1,6,8))),FALSE())))</f>
        <v> </v>
      </c>
      <c r="AJ251" s="321" t="str">
        <f aca="false">IF($A251="N/A"," ",(VLOOKUP($A251,OffPwrVolTable,(IF(VolBMO1=2,3,IF(VolBMO1=1,2,4))),FALSE())*VLOOKUP(MONTH($A251),Volscale,2)))</f>
        <v> </v>
      </c>
      <c r="AK251" s="321" t="str">
        <f aca="false">IF($A251="N/A"," ",IF(VolType1=1,AJ251,AI251))</f>
        <v> </v>
      </c>
      <c r="AL251" s="321" t="str">
        <f aca="false">IF($A251="N/A"," ",IF(PV=1,0,'Pricing Inputs1'!R284))</f>
        <v> </v>
      </c>
      <c r="AM251" s="323" t="str">
        <f aca="false">IF($A251="N/A"," ",(1+AL251/2)^(-2*((EOMONTH(A251,0)+20)-DateToday)/365.25))</f>
        <v> </v>
      </c>
      <c r="BQ251" s="0" t="str">
        <f aca="false">IF($A251="N/A"," ",(VLOOKUP($A251,NumberofDaysTable,2)))</f>
        <v> </v>
      </c>
      <c r="BR251" s="0" t="str">
        <f aca="false">IF($A251="N/A"," ",(VLOOKUP($A251,NumberofDaysTable,3)))</f>
        <v> </v>
      </c>
      <c r="BS251" s="0" t="str">
        <f aca="false">IF($A251="N/A"," ",(VLOOKUP($A251,NumberofDaysTable,4)))</f>
        <v> </v>
      </c>
    </row>
    <row r="252" customFormat="false" ht="12.75" hidden="false" customHeight="false" outlineLevel="0" collapsed="false">
      <c r="A252" s="315" t="str">
        <f aca="false">IF(A251="N/A","N/A",IF(EDATE(A251,1)&gt;Inputs!$M$5,"N/A",EDATE(A251,1)))</f>
        <v>N/A</v>
      </c>
      <c r="B252" s="316" t="str">
        <f aca="false">IF(A252="N/A"," ",YEAR(A252))</f>
        <v> </v>
      </c>
      <c r="C252" s="324" t="str">
        <f aca="false">IF($A252="N/A"," ",IF(Dayrun1=10,0,IF(Scaler1=1,(VLOOKUP(A252,ScaledPrice1,4)),(VLOOKUP(A252,ScaledPrice1,2)))))</f>
        <v> </v>
      </c>
      <c r="D252" s="317" t="str">
        <f aca="false">IF(A252="N/A"," ",IF(Dayrun1&gt;=7,0,IF(Scaler1=2,VLOOKUP(A252,ScaledPrice1,2),(VLOOKUP(A252,ScaledPrice1,2))*(2-(VLOOKUP(A252,ScaledPrice1,3))))))</f>
        <v> </v>
      </c>
      <c r="E252" s="317" t="str">
        <f aca="false">IF($A252="N/A"," ",IF(AND(Dayrun1&gt;=4,Dayrun1&lt;=9),0,VLOOKUP($A252,ScaledPrice1,9)))</f>
        <v> </v>
      </c>
      <c r="F252" s="317" t="str">
        <f aca="false">IF(A252="N/A"," ",IF(OR(Dayrun1=2,Dayrun1=3,Dayrun1=5,Dayrun1=6,Dayrun1=8,Dayrun1=9),VLOOKUP(A252,ScaledPrice1,IF(Scaler1=1,6,5)),0))</f>
        <v> </v>
      </c>
      <c r="G252" s="317" t="str">
        <f aca="false">IF(A252="N/A"," ",IF(OR(Dayrun1=2,Dayrun1=3,Dayrun1=5,Dayrun1=6),IF(Scaler1=2,F252,(VLOOKUP(A252,ScaledPrice1,5))*(2-(VLOOKUP(A252,ScaledPrice1,3)))),0))</f>
        <v> </v>
      </c>
      <c r="H252" s="317" t="str">
        <f aca="false">IF($A252="N/A"," ",IF(OR(Dayrun1=2,Dayrun1=3,Dayrun1=10),VLOOKUP($A252,ScaledPrice1,9),0))</f>
        <v> </v>
      </c>
      <c r="I252" s="317" t="str">
        <f aca="false">IF(A252="N/A"," ",IF(OR(Dayrun1=3,Dayrun1=6,Dayrun1=9),(VLOOKUP(A252,ScaledPrice1,IF(Scaler1=2,7,8))),0))</f>
        <v> </v>
      </c>
      <c r="J252" s="317" t="str">
        <f aca="false">IF(A252="N/A"," ",IF(OR(Dayrun1=3,Dayrun1=6),IF(Scaler1=2,I252,(VLOOKUP(A252,ScaledPrice1,7))*(2-(VLOOKUP(A252,ScaledPrice1,3)))),0))</f>
        <v> </v>
      </c>
      <c r="K252" s="317" t="str">
        <f aca="false">IF($A252="N/A"," ",IF(OR(Dayrun1=3,Dayrun1=10),VLOOKUP($A252,ScaledPrice1,9),0))</f>
        <v> </v>
      </c>
      <c r="L252" s="318" t="str">
        <f aca="false">IF($A252="N/A"," ",IF(Pricetype1=2,MAX(C252,0),IF(OR(Pricetype1=1,Pricetype1=4),IF(C252=0,0,(EURO(C252,Strikeprice1,0,0,($AH252+IF(Smile=TRUE(),VLOOKUP(MAX(-5,Strikeprice1-C252),Volsmile,2),0)),($A252-DateToday)+15,IF(Pricetype1=1,1,0),0))),C252)))</f>
        <v> </v>
      </c>
      <c r="M252" s="318" t="str">
        <f aca="false">IF($A252="N/A"," ",IF(Pricetype1=2,MAX(D252,0),IF(OR(Pricetype1=1,Pricetype1=4),IF(D252=0,0,(EURO(D252,Strikeprice1,0,0,($AH252+IF(Smile=TRUE(),VLOOKUP(MAX(-5,Strikeprice1-D252),Volsmile,2),0)),($A252-DateToday)+15,IF(Pricetype1=1,1,0),0))),D252)))</f>
        <v> </v>
      </c>
      <c r="N252" s="318" t="str">
        <f aca="false">IF($A252="N/A"," ",IF(Pricetype1=2,MAX(E252,0),IF(OR(Pricetype1=1,Pricetype1=4),IF(E252=0,0,(EURO(E252,Strikeprice1,0,0,($AK252+IF(Smile=TRUE(),VLOOKUP(MAX(-5,Strikeprice1-E252),Volsmile,2),0)),($A252-DateToday)+15,IF(Pricetype1=1,1,0),0))),E252)))</f>
        <v> </v>
      </c>
      <c r="O252" s="318" t="str">
        <f aca="false">IF($A252="N/A"," ",IF(Pricetype1=2,MAX(F252,0),IF(OR(Pricetype1=1,Pricetype1=4),IF(F252=0,0,(EURO(F252,Strikeprice1,0,0,($AK252+IF(Smile=TRUE(),VLOOKUP(MAX(-5,Strikeprice1-F252),Volsmile,2),0)),($A252-DateToday)+15,IF(Pricetype1=1,1,0),0))),F252)))</f>
        <v> </v>
      </c>
      <c r="P252" s="318" t="str">
        <f aca="false">IF($A252="N/A"," ",IF(Pricetype1=2,MAX(G252,0),IF(OR(Pricetype1=1,Pricetype1=4),IF(G252=0,0,(EURO(G252,Strikeprice1,0,0,($AK252+IF(Smile=TRUE(),VLOOKUP(MAX(-5,Strikeprice1-G252),Volsmile,2),0)),($A252-DateToday)+15,IF(Pricetype1=1,1,0),0))),G252)))</f>
        <v> </v>
      </c>
      <c r="Q252" s="318" t="str">
        <f aca="false">IF($A252="N/A"," ",IF(Pricetype1=2,MAX(H252,0),IF(OR(Pricetype1=1,Pricetype1=4),IF(H252=0,0,(EURO(H252,Strikeprice1,0,0,($AK252+IF(Smile=TRUE(),VLOOKUP(MAX(-5,Strikeprice1-H252),Volsmile,2),0)),($A252-DateToday)+15,IF(Pricetype1=1,1,0),0))),H252)))</f>
        <v> </v>
      </c>
      <c r="R252" s="318" t="str">
        <f aca="false">IF($A252="N/A"," ",IF(Pricetype1=2,MAX(I252,0),IF(OR(Pricetype1=1,Pricetype1=4),IF(I252=0,0,(EURO(I252,Strikeprice1,0,0,($AK252+IF(Smile=TRUE(),VLOOKUP(MAX(-5,Strikeprice1-I252),Volsmile,2),0)),($A252-DateToday)+15,IF(Pricetype1=1,1,0),0))),I252)))</f>
        <v> </v>
      </c>
      <c r="S252" s="318" t="str">
        <f aca="false">IF($A252="N/A"," ",IF(Pricetype1=2,MAX(J252,0),IF(OR(Pricetype1=1,Pricetype1=4),IF(J252=0,0,(EURO(J252,Strikeprice1,0,0,($AK252+IF(Smile=TRUE(),VLOOKUP(MAX(-5,Strikeprice1-J252),Volsmile,2),0)),($A252-DateToday)+15,IF(Pricetype1=1,1,0),0))),J252)))</f>
        <v> </v>
      </c>
      <c r="T252" s="318" t="str">
        <f aca="false">IF($A252="N/A"," ",IF(Pricetype1=2,MAX(K252,0),IF(OR(Pricetype1=1,Pricetype1=4),IF(K252=0,0,(EURO(K252,Strikeprice1,0,0,($AK252+IF(Smile=TRUE(),VLOOKUP(MAX(-5,Strikeprice1-K252),Volsmile,2),0)),($A252-DateToday)+15,IF(Pricetype1=1,1,0),0))),K252)))</f>
        <v> </v>
      </c>
      <c r="U252" s="319" t="str">
        <f aca="false">IF($A252="N/A"," ",Volume1*$AM252)</f>
        <v> </v>
      </c>
      <c r="V252" s="320" t="str">
        <f aca="false">IF($A252="N/A"," ",$U252*(8*($BQ252))*L252)</f>
        <v> </v>
      </c>
      <c r="W252" s="320" t="str">
        <f aca="false">IF($A252="N/A"," ",$U252*(8*($BQ252))*M252)</f>
        <v> </v>
      </c>
      <c r="X252" s="320" t="str">
        <f aca="false">IF($A252="N/A"," ",$U252*(8*($BQ252))*N252)</f>
        <v> </v>
      </c>
      <c r="Y252" s="320" t="str">
        <f aca="false">IF($A252="N/A"," ",$U252*(8*($BR252))*O252)</f>
        <v> </v>
      </c>
      <c r="Z252" s="320" t="str">
        <f aca="false">IF($A252="N/A"," ",$U252*(8*($BR252))*P252)</f>
        <v> </v>
      </c>
      <c r="AA252" s="320" t="str">
        <f aca="false">IF($A252="N/A"," ",$U252*(8*($BR252))*Q252)</f>
        <v> </v>
      </c>
      <c r="AB252" s="320" t="str">
        <f aca="false">IF($A252="N/A"," ",$U252*(8*($BS252))*R252)</f>
        <v> </v>
      </c>
      <c r="AC252" s="320" t="str">
        <f aca="false">IF($A252="N/A"," ",$U252*(8*($BS252))*S252)</f>
        <v> </v>
      </c>
      <c r="AD252" s="320" t="str">
        <f aca="false">IF($A252="N/A"," ",$U252*(8*($BS252))*T252)</f>
        <v> </v>
      </c>
      <c r="AE252" s="320" t="str">
        <f aca="false">IF($A252="N/A"," ",SUM(V252:AD252))</f>
        <v> </v>
      </c>
      <c r="AF252" s="321" t="str">
        <f aca="false">IF(A252="N/A"," ",(VLOOKUP(A252,PowerVolTable,(IF(VolBMO1=2,7,IF(VolBMO1=1,6,8))),FALSE())))</f>
        <v> </v>
      </c>
      <c r="AG252" s="321" t="str">
        <f aca="false">IF(A252="N/A"," ",(VLOOKUP(A252,IntraPowerVol,(IF(VolBMO1=2,3,IF(VolBMO1=1,2,4))),FALSE())*VLOOKUP(MONTH($A252),Volscale,2)))</f>
        <v> </v>
      </c>
      <c r="AH252" s="321" t="str">
        <f aca="false">IF($A252="N/A"," ",IF(VolType1=1,AG252,AF252))</f>
        <v> </v>
      </c>
      <c r="AI252" s="321" t="str">
        <f aca="false">IF($A252="N/A"," ",(VLOOKUP($A252,OffPwrVolTable,(IF(VolBMO1=2,7,IF(VolBMO1=1,6,8))),FALSE())))</f>
        <v> </v>
      </c>
      <c r="AJ252" s="321" t="str">
        <f aca="false">IF($A252="N/A"," ",(VLOOKUP($A252,OffPwrVolTable,(IF(VolBMO1=2,3,IF(VolBMO1=1,2,4))),FALSE())*VLOOKUP(MONTH($A252),Volscale,2)))</f>
        <v> </v>
      </c>
      <c r="AK252" s="321" t="str">
        <f aca="false">IF($A252="N/A"," ",IF(VolType1=1,AJ252,AI252))</f>
        <v> </v>
      </c>
      <c r="AL252" s="321" t="str">
        <f aca="false">IF($A252="N/A"," ",IF(PV=1,0,'Pricing Inputs1'!R285))</f>
        <v> </v>
      </c>
      <c r="AM252" s="323" t="str">
        <f aca="false">IF($A252="N/A"," ",(1+AL252/2)^(-2*((EOMONTH(A252,0)+20)-DateToday)/365.25))</f>
        <v> </v>
      </c>
      <c r="BQ252" s="0" t="str">
        <f aca="false">IF($A252="N/A"," ",(VLOOKUP($A252,NumberofDaysTable,2)))</f>
        <v> </v>
      </c>
      <c r="BR252" s="0" t="str">
        <f aca="false">IF($A252="N/A"," ",(VLOOKUP($A252,NumberofDaysTable,3)))</f>
        <v> </v>
      </c>
      <c r="BS252" s="0" t="str">
        <f aca="false">IF($A252="N/A"," ",(VLOOKUP($A252,NumberofDaysTable,4)))</f>
        <v> </v>
      </c>
    </row>
    <row r="253" customFormat="false" ht="12.75" hidden="false" customHeight="false" outlineLevel="0" collapsed="false">
      <c r="A253" s="315" t="str">
        <f aca="false">IF(A252="N/A","N/A",IF(EDATE(A252,1)&gt;Inputs!$M$5,"N/A",EDATE(A252,1)))</f>
        <v>N/A</v>
      </c>
      <c r="B253" s="316" t="str">
        <f aca="false">IF(A253="N/A"," ",YEAR(A253))</f>
        <v> </v>
      </c>
      <c r="C253" s="324" t="str">
        <f aca="false">IF($A253="N/A"," ",IF(Dayrun1=10,0,IF(Scaler1=1,(VLOOKUP(A253,ScaledPrice1,4)),(VLOOKUP(A253,ScaledPrice1,2)))))</f>
        <v> </v>
      </c>
      <c r="D253" s="317" t="str">
        <f aca="false">IF(A253="N/A"," ",IF(Dayrun1&gt;=7,0,IF(Scaler1=2,VLOOKUP(A253,ScaledPrice1,2),(VLOOKUP(A253,ScaledPrice1,2))*(2-(VLOOKUP(A253,ScaledPrice1,3))))))</f>
        <v> </v>
      </c>
      <c r="E253" s="317" t="str">
        <f aca="false">IF($A253="N/A"," ",IF(AND(Dayrun1&gt;=4,Dayrun1&lt;=9),0,VLOOKUP($A253,ScaledPrice1,9)))</f>
        <v> </v>
      </c>
      <c r="F253" s="317" t="str">
        <f aca="false">IF(A253="N/A"," ",IF(OR(Dayrun1=2,Dayrun1=3,Dayrun1=5,Dayrun1=6,Dayrun1=8,Dayrun1=9),VLOOKUP(A253,ScaledPrice1,IF(Scaler1=1,6,5)),0))</f>
        <v> </v>
      </c>
      <c r="G253" s="317" t="str">
        <f aca="false">IF(A253="N/A"," ",IF(OR(Dayrun1=2,Dayrun1=3,Dayrun1=5,Dayrun1=6),IF(Scaler1=2,F253,(VLOOKUP(A253,ScaledPrice1,5))*(2-(VLOOKUP(A253,ScaledPrice1,3)))),0))</f>
        <v> </v>
      </c>
      <c r="H253" s="317" t="str">
        <f aca="false">IF($A253="N/A"," ",IF(OR(Dayrun1=2,Dayrun1=3,Dayrun1=10),VLOOKUP($A253,ScaledPrice1,9),0))</f>
        <v> </v>
      </c>
      <c r="I253" s="317" t="str">
        <f aca="false">IF(A253="N/A"," ",IF(OR(Dayrun1=3,Dayrun1=6,Dayrun1=9),(VLOOKUP(A253,ScaledPrice1,IF(Scaler1=2,7,8))),0))</f>
        <v> </v>
      </c>
      <c r="J253" s="317" t="str">
        <f aca="false">IF(A253="N/A"," ",IF(OR(Dayrun1=3,Dayrun1=6),IF(Scaler1=2,I253,(VLOOKUP(A253,ScaledPrice1,7))*(2-(VLOOKUP(A253,ScaledPrice1,3)))),0))</f>
        <v> </v>
      </c>
      <c r="K253" s="317" t="str">
        <f aca="false">IF($A253="N/A"," ",IF(OR(Dayrun1=3,Dayrun1=10),VLOOKUP($A253,ScaledPrice1,9),0))</f>
        <v> </v>
      </c>
      <c r="L253" s="318" t="str">
        <f aca="false">IF($A253="N/A"," ",IF(Pricetype1=2,MAX(C253,0),IF(OR(Pricetype1=1,Pricetype1=4),IF(C253=0,0,(EURO(C253,Strikeprice1,0,0,($AH253+IF(Smile=TRUE(),VLOOKUP(MAX(-5,Strikeprice1-C253),Volsmile,2),0)),($A253-DateToday)+15,IF(Pricetype1=1,1,0),0))),C253)))</f>
        <v> </v>
      </c>
      <c r="M253" s="318" t="str">
        <f aca="false">IF($A253="N/A"," ",IF(Pricetype1=2,MAX(D253,0),IF(OR(Pricetype1=1,Pricetype1=4),IF(D253=0,0,(EURO(D253,Strikeprice1,0,0,($AH253+IF(Smile=TRUE(),VLOOKUP(MAX(-5,Strikeprice1-D253),Volsmile,2),0)),($A253-DateToday)+15,IF(Pricetype1=1,1,0),0))),D253)))</f>
        <v> </v>
      </c>
      <c r="N253" s="318" t="str">
        <f aca="false">IF($A253="N/A"," ",IF(Pricetype1=2,MAX(E253,0),IF(OR(Pricetype1=1,Pricetype1=4),IF(E253=0,0,(EURO(E253,Strikeprice1,0,0,($AK253+IF(Smile=TRUE(),VLOOKUP(MAX(-5,Strikeprice1-E253),Volsmile,2),0)),($A253-DateToday)+15,IF(Pricetype1=1,1,0),0))),E253)))</f>
        <v> </v>
      </c>
      <c r="O253" s="318" t="str">
        <f aca="false">IF($A253="N/A"," ",IF(Pricetype1=2,MAX(F253,0),IF(OR(Pricetype1=1,Pricetype1=4),IF(F253=0,0,(EURO(F253,Strikeprice1,0,0,($AK253+IF(Smile=TRUE(),VLOOKUP(MAX(-5,Strikeprice1-F253),Volsmile,2),0)),($A253-DateToday)+15,IF(Pricetype1=1,1,0),0))),F253)))</f>
        <v> </v>
      </c>
      <c r="P253" s="318" t="str">
        <f aca="false">IF($A253="N/A"," ",IF(Pricetype1=2,MAX(G253,0),IF(OR(Pricetype1=1,Pricetype1=4),IF(G253=0,0,(EURO(G253,Strikeprice1,0,0,($AK253+IF(Smile=TRUE(),VLOOKUP(MAX(-5,Strikeprice1-G253),Volsmile,2),0)),($A253-DateToday)+15,IF(Pricetype1=1,1,0),0))),G253)))</f>
        <v> </v>
      </c>
      <c r="Q253" s="318" t="str">
        <f aca="false">IF($A253="N/A"," ",IF(Pricetype1=2,MAX(H253,0),IF(OR(Pricetype1=1,Pricetype1=4),IF(H253=0,0,(EURO(H253,Strikeprice1,0,0,($AK253+IF(Smile=TRUE(),VLOOKUP(MAX(-5,Strikeprice1-H253),Volsmile,2),0)),($A253-DateToday)+15,IF(Pricetype1=1,1,0),0))),H253)))</f>
        <v> </v>
      </c>
      <c r="R253" s="318" t="str">
        <f aca="false">IF($A253="N/A"," ",IF(Pricetype1=2,MAX(I253,0),IF(OR(Pricetype1=1,Pricetype1=4),IF(I253=0,0,(EURO(I253,Strikeprice1,0,0,($AK253+IF(Smile=TRUE(),VLOOKUP(MAX(-5,Strikeprice1-I253),Volsmile,2),0)),($A253-DateToday)+15,IF(Pricetype1=1,1,0),0))),I253)))</f>
        <v> </v>
      </c>
      <c r="S253" s="318" t="str">
        <f aca="false">IF($A253="N/A"," ",IF(Pricetype1=2,MAX(J253,0),IF(OR(Pricetype1=1,Pricetype1=4),IF(J253=0,0,(EURO(J253,Strikeprice1,0,0,($AK253+IF(Smile=TRUE(),VLOOKUP(MAX(-5,Strikeprice1-J253),Volsmile,2),0)),($A253-DateToday)+15,IF(Pricetype1=1,1,0),0))),J253)))</f>
        <v> </v>
      </c>
      <c r="T253" s="318" t="str">
        <f aca="false">IF($A253="N/A"," ",IF(Pricetype1=2,MAX(K253,0),IF(OR(Pricetype1=1,Pricetype1=4),IF(K253=0,0,(EURO(K253,Strikeprice1,0,0,($AK253+IF(Smile=TRUE(),VLOOKUP(MAX(-5,Strikeprice1-K253),Volsmile,2),0)),($A253-DateToday)+15,IF(Pricetype1=1,1,0),0))),K253)))</f>
        <v> </v>
      </c>
      <c r="U253" s="319" t="str">
        <f aca="false">IF($A253="N/A"," ",Volume1*$AM253)</f>
        <v> </v>
      </c>
      <c r="V253" s="320" t="str">
        <f aca="false">IF($A253="N/A"," ",$U253*(8*($BQ253))*L253)</f>
        <v> </v>
      </c>
      <c r="W253" s="320" t="str">
        <f aca="false">IF($A253="N/A"," ",$U253*(8*($BQ253))*M253)</f>
        <v> </v>
      </c>
      <c r="X253" s="320" t="str">
        <f aca="false">IF($A253="N/A"," ",$U253*(8*($BQ253))*N253)</f>
        <v> </v>
      </c>
      <c r="Y253" s="320" t="str">
        <f aca="false">IF($A253="N/A"," ",$U253*(8*($BR253))*O253)</f>
        <v> </v>
      </c>
      <c r="Z253" s="320" t="str">
        <f aca="false">IF($A253="N/A"," ",$U253*(8*($BR253))*P253)</f>
        <v> </v>
      </c>
      <c r="AA253" s="320" t="str">
        <f aca="false">IF($A253="N/A"," ",$U253*(8*($BR253))*Q253)</f>
        <v> </v>
      </c>
      <c r="AB253" s="320" t="str">
        <f aca="false">IF($A253="N/A"," ",$U253*(8*($BS253))*R253)</f>
        <v> </v>
      </c>
      <c r="AC253" s="320" t="str">
        <f aca="false">IF($A253="N/A"," ",$U253*(8*($BS253))*S253)</f>
        <v> </v>
      </c>
      <c r="AD253" s="320" t="str">
        <f aca="false">IF($A253="N/A"," ",$U253*(8*($BS253))*T253)</f>
        <v> </v>
      </c>
      <c r="AE253" s="320" t="str">
        <f aca="false">IF($A253="N/A"," ",SUM(V253:AD253))</f>
        <v> </v>
      </c>
      <c r="AF253" s="321" t="str">
        <f aca="false">IF(A253="N/A"," ",(VLOOKUP(A253,PowerVolTable,(IF(VolBMO1=2,7,IF(VolBMO1=1,6,8))),FALSE())))</f>
        <v> </v>
      </c>
      <c r="AG253" s="321" t="str">
        <f aca="false">IF(A253="N/A"," ",(VLOOKUP(A253,IntraPowerVol,(IF(VolBMO1=2,3,IF(VolBMO1=1,2,4))),FALSE())*VLOOKUP(MONTH($A253),Volscale,2)))</f>
        <v> </v>
      </c>
      <c r="AH253" s="321" t="str">
        <f aca="false">IF($A253="N/A"," ",IF(VolType1=1,AG253,AF253))</f>
        <v> </v>
      </c>
      <c r="AI253" s="321" t="str">
        <f aca="false">IF($A253="N/A"," ",(VLOOKUP($A253,OffPwrVolTable,(IF(VolBMO1=2,7,IF(VolBMO1=1,6,8))),FALSE())))</f>
        <v> </v>
      </c>
      <c r="AJ253" s="321" t="str">
        <f aca="false">IF($A253="N/A"," ",(VLOOKUP($A253,OffPwrVolTable,(IF(VolBMO1=2,3,IF(VolBMO1=1,2,4))),FALSE())*VLOOKUP(MONTH($A253),Volscale,2)))</f>
        <v> </v>
      </c>
      <c r="AK253" s="321" t="str">
        <f aca="false">IF($A253="N/A"," ",IF(VolType1=1,AJ253,AI253))</f>
        <v> </v>
      </c>
      <c r="AL253" s="321" t="str">
        <f aca="false">IF($A253="N/A"," ",IF(PV=1,0,'Pricing Inputs1'!R286))</f>
        <v> </v>
      </c>
      <c r="AM253" s="323" t="str">
        <f aca="false">IF($A253="N/A"," ",(1+AL253/2)^(-2*((EOMONTH(A253,0)+20)-DateToday)/365.25))</f>
        <v> </v>
      </c>
      <c r="BQ253" s="0" t="str">
        <f aca="false">IF($A253="N/A"," ",(VLOOKUP($A253,NumberofDaysTable,2)))</f>
        <v> </v>
      </c>
      <c r="BR253" s="0" t="str">
        <f aca="false">IF($A253="N/A"," ",(VLOOKUP($A253,NumberofDaysTable,3)))</f>
        <v> </v>
      </c>
      <c r="BS253" s="0" t="str">
        <f aca="false">IF($A253="N/A"," ",(VLOOKUP($A253,NumberofDaysTable,4)))</f>
        <v> </v>
      </c>
    </row>
    <row r="254" customFormat="false" ht="12.75" hidden="false" customHeight="false" outlineLevel="0" collapsed="false">
      <c r="A254" s="315" t="str">
        <f aca="false">IF(A253="N/A","N/A",IF(EDATE(A253,1)&gt;Inputs!$M$5,"N/A",EDATE(A253,1)))</f>
        <v>N/A</v>
      </c>
      <c r="B254" s="316" t="str">
        <f aca="false">IF(A254="N/A"," ",YEAR(A254))</f>
        <v> </v>
      </c>
      <c r="C254" s="324" t="str">
        <f aca="false">IF($A254="N/A"," ",IF(Dayrun1=10,0,IF(Scaler1=1,(VLOOKUP(A254,ScaledPrice1,4)),(VLOOKUP(A254,ScaledPrice1,2)))))</f>
        <v> </v>
      </c>
      <c r="D254" s="317" t="str">
        <f aca="false">IF(A254="N/A"," ",IF(Dayrun1&gt;=7,0,IF(Scaler1=2,VLOOKUP(A254,ScaledPrice1,2),(VLOOKUP(A254,ScaledPrice1,2))*(2-(VLOOKUP(A254,ScaledPrice1,3))))))</f>
        <v> </v>
      </c>
      <c r="E254" s="317" t="str">
        <f aca="false">IF($A254="N/A"," ",IF(AND(Dayrun1&gt;=4,Dayrun1&lt;=9),0,VLOOKUP($A254,ScaledPrice1,9)))</f>
        <v> </v>
      </c>
      <c r="F254" s="317" t="str">
        <f aca="false">IF(A254="N/A"," ",IF(OR(Dayrun1=2,Dayrun1=3,Dayrun1=5,Dayrun1=6,Dayrun1=8,Dayrun1=9),VLOOKUP(A254,ScaledPrice1,IF(Scaler1=1,6,5)),0))</f>
        <v> </v>
      </c>
      <c r="G254" s="317" t="str">
        <f aca="false">IF(A254="N/A"," ",IF(OR(Dayrun1=2,Dayrun1=3,Dayrun1=5,Dayrun1=6),IF(Scaler1=2,F254,(VLOOKUP(A254,ScaledPrice1,5))*(2-(VLOOKUP(A254,ScaledPrice1,3)))),0))</f>
        <v> </v>
      </c>
      <c r="H254" s="317" t="str">
        <f aca="false">IF($A254="N/A"," ",IF(OR(Dayrun1=2,Dayrun1=3,Dayrun1=10),VLOOKUP($A254,ScaledPrice1,9),0))</f>
        <v> </v>
      </c>
      <c r="I254" s="317" t="str">
        <f aca="false">IF(A254="N/A"," ",IF(OR(Dayrun1=3,Dayrun1=6,Dayrun1=9),(VLOOKUP(A254,ScaledPrice1,IF(Scaler1=2,7,8))),0))</f>
        <v> </v>
      </c>
      <c r="J254" s="317" t="str">
        <f aca="false">IF(A254="N/A"," ",IF(OR(Dayrun1=3,Dayrun1=6),IF(Scaler1=2,I254,(VLOOKUP(A254,ScaledPrice1,7))*(2-(VLOOKUP(A254,ScaledPrice1,3)))),0))</f>
        <v> </v>
      </c>
      <c r="K254" s="317" t="str">
        <f aca="false">IF($A254="N/A"," ",IF(OR(Dayrun1=3,Dayrun1=10),VLOOKUP($A254,ScaledPrice1,9),0))</f>
        <v> </v>
      </c>
      <c r="L254" s="318" t="str">
        <f aca="false">IF($A254="N/A"," ",IF(Pricetype1=2,MAX(C254,0),IF(OR(Pricetype1=1,Pricetype1=4),IF(C254=0,0,(EURO(C254,Strikeprice1,0,0,($AH254+IF(Smile=TRUE(),VLOOKUP(MAX(-5,Strikeprice1-C254),Volsmile,2),0)),($A254-DateToday)+15,IF(Pricetype1=1,1,0),0))),C254)))</f>
        <v> </v>
      </c>
      <c r="M254" s="318" t="str">
        <f aca="false">IF($A254="N/A"," ",IF(Pricetype1=2,MAX(D254,0),IF(OR(Pricetype1=1,Pricetype1=4),IF(D254=0,0,(EURO(D254,Strikeprice1,0,0,($AH254+IF(Smile=TRUE(),VLOOKUP(MAX(-5,Strikeprice1-D254),Volsmile,2),0)),($A254-DateToday)+15,IF(Pricetype1=1,1,0),0))),D254)))</f>
        <v> </v>
      </c>
      <c r="N254" s="318" t="str">
        <f aca="false">IF($A254="N/A"," ",IF(Pricetype1=2,MAX(E254,0),IF(OR(Pricetype1=1,Pricetype1=4),IF(E254=0,0,(EURO(E254,Strikeprice1,0,0,($AK254+IF(Smile=TRUE(),VLOOKUP(MAX(-5,Strikeprice1-E254),Volsmile,2),0)),($A254-DateToday)+15,IF(Pricetype1=1,1,0),0))),E254)))</f>
        <v> </v>
      </c>
      <c r="O254" s="318" t="str">
        <f aca="false">IF($A254="N/A"," ",IF(Pricetype1=2,MAX(F254,0),IF(OR(Pricetype1=1,Pricetype1=4),IF(F254=0,0,(EURO(F254,Strikeprice1,0,0,($AK254+IF(Smile=TRUE(),VLOOKUP(MAX(-5,Strikeprice1-F254),Volsmile,2),0)),($A254-DateToday)+15,IF(Pricetype1=1,1,0),0))),F254)))</f>
        <v> </v>
      </c>
      <c r="P254" s="318" t="str">
        <f aca="false">IF($A254="N/A"," ",IF(Pricetype1=2,MAX(G254,0),IF(OR(Pricetype1=1,Pricetype1=4),IF(G254=0,0,(EURO(G254,Strikeprice1,0,0,($AK254+IF(Smile=TRUE(),VLOOKUP(MAX(-5,Strikeprice1-G254),Volsmile,2),0)),($A254-DateToday)+15,IF(Pricetype1=1,1,0),0))),G254)))</f>
        <v> </v>
      </c>
      <c r="Q254" s="318" t="str">
        <f aca="false">IF($A254="N/A"," ",IF(Pricetype1=2,MAX(H254,0),IF(OR(Pricetype1=1,Pricetype1=4),IF(H254=0,0,(EURO(H254,Strikeprice1,0,0,($AK254+IF(Smile=TRUE(),VLOOKUP(MAX(-5,Strikeprice1-H254),Volsmile,2),0)),($A254-DateToday)+15,IF(Pricetype1=1,1,0),0))),H254)))</f>
        <v> </v>
      </c>
      <c r="R254" s="318" t="str">
        <f aca="false">IF($A254="N/A"," ",IF(Pricetype1=2,MAX(I254,0),IF(OR(Pricetype1=1,Pricetype1=4),IF(I254=0,0,(EURO(I254,Strikeprice1,0,0,($AK254+IF(Smile=TRUE(),VLOOKUP(MAX(-5,Strikeprice1-I254),Volsmile,2),0)),($A254-DateToday)+15,IF(Pricetype1=1,1,0),0))),I254)))</f>
        <v> </v>
      </c>
      <c r="S254" s="318" t="str">
        <f aca="false">IF($A254="N/A"," ",IF(Pricetype1=2,MAX(J254,0),IF(OR(Pricetype1=1,Pricetype1=4),IF(J254=0,0,(EURO(J254,Strikeprice1,0,0,($AK254+IF(Smile=TRUE(),VLOOKUP(MAX(-5,Strikeprice1-J254),Volsmile,2),0)),($A254-DateToday)+15,IF(Pricetype1=1,1,0),0))),J254)))</f>
        <v> </v>
      </c>
      <c r="T254" s="318" t="str">
        <f aca="false">IF($A254="N/A"," ",IF(Pricetype1=2,MAX(K254,0),IF(OR(Pricetype1=1,Pricetype1=4),IF(K254=0,0,(EURO(K254,Strikeprice1,0,0,($AK254+IF(Smile=TRUE(),VLOOKUP(MAX(-5,Strikeprice1-K254),Volsmile,2),0)),($A254-DateToday)+15,IF(Pricetype1=1,1,0),0))),K254)))</f>
        <v> </v>
      </c>
      <c r="U254" s="319" t="str">
        <f aca="false">IF($A254="N/A"," ",Volume1*$AM254)</f>
        <v> </v>
      </c>
      <c r="V254" s="320" t="str">
        <f aca="false">IF($A254="N/A"," ",$U254*(8*($BQ254))*L254)</f>
        <v> </v>
      </c>
      <c r="W254" s="320" t="str">
        <f aca="false">IF($A254="N/A"," ",$U254*(8*($BQ254))*M254)</f>
        <v> </v>
      </c>
      <c r="X254" s="320" t="str">
        <f aca="false">IF($A254="N/A"," ",$U254*(8*($BQ254))*N254)</f>
        <v> </v>
      </c>
      <c r="Y254" s="320" t="str">
        <f aca="false">IF($A254="N/A"," ",$U254*(8*($BR254))*O254)</f>
        <v> </v>
      </c>
      <c r="Z254" s="320" t="str">
        <f aca="false">IF($A254="N/A"," ",$U254*(8*($BR254))*P254)</f>
        <v> </v>
      </c>
      <c r="AA254" s="320" t="str">
        <f aca="false">IF($A254="N/A"," ",$U254*(8*($BR254))*Q254)</f>
        <v> </v>
      </c>
      <c r="AB254" s="320" t="str">
        <f aca="false">IF($A254="N/A"," ",$U254*(8*($BS254))*R254)</f>
        <v> </v>
      </c>
      <c r="AC254" s="320" t="str">
        <f aca="false">IF($A254="N/A"," ",$U254*(8*($BS254))*S254)</f>
        <v> </v>
      </c>
      <c r="AD254" s="320" t="str">
        <f aca="false">IF($A254="N/A"," ",$U254*(8*($BS254))*T254)</f>
        <v> </v>
      </c>
      <c r="AE254" s="320" t="str">
        <f aca="false">IF($A254="N/A"," ",SUM(V254:AD254))</f>
        <v> </v>
      </c>
      <c r="AF254" s="321" t="str">
        <f aca="false">IF(A254="N/A"," ",(VLOOKUP(A254,PowerVolTable,(IF(VolBMO1=2,7,IF(VolBMO1=1,6,8))),FALSE())))</f>
        <v> </v>
      </c>
      <c r="AG254" s="321" t="str">
        <f aca="false">IF(A254="N/A"," ",(VLOOKUP(A254,IntraPowerVol,(IF(VolBMO1=2,3,IF(VolBMO1=1,2,4))),FALSE())*VLOOKUP(MONTH($A254),Volscale,2)))</f>
        <v> </v>
      </c>
      <c r="AH254" s="321" t="str">
        <f aca="false">IF($A254="N/A"," ",IF(VolType1=1,AG254,AF254))</f>
        <v> </v>
      </c>
      <c r="AI254" s="321" t="str">
        <f aca="false">IF($A254="N/A"," ",(VLOOKUP($A254,OffPwrVolTable,(IF(VolBMO1=2,7,IF(VolBMO1=1,6,8))),FALSE())))</f>
        <v> </v>
      </c>
      <c r="AJ254" s="321" t="str">
        <f aca="false">IF($A254="N/A"," ",(VLOOKUP($A254,OffPwrVolTable,(IF(VolBMO1=2,3,IF(VolBMO1=1,2,4))),FALSE())*VLOOKUP(MONTH($A254),Volscale,2)))</f>
        <v> </v>
      </c>
      <c r="AK254" s="321" t="str">
        <f aca="false">IF($A254="N/A"," ",IF(VolType1=1,AJ254,AI254))</f>
        <v> </v>
      </c>
      <c r="AL254" s="321" t="str">
        <f aca="false">IF($A254="N/A"," ",IF(PV=1,0,'Pricing Inputs1'!R287))</f>
        <v> </v>
      </c>
      <c r="AM254" s="323" t="str">
        <f aca="false">IF($A254="N/A"," ",(1+AL254/2)^(-2*((EOMONTH(A254,0)+20)-DateToday)/365.25))</f>
        <v> </v>
      </c>
      <c r="BQ254" s="0" t="str">
        <f aca="false">IF($A254="N/A"," ",(VLOOKUP($A254,NumberofDaysTable,2)))</f>
        <v> </v>
      </c>
      <c r="BR254" s="0" t="str">
        <f aca="false">IF($A254="N/A"," ",(VLOOKUP($A254,NumberofDaysTable,3)))</f>
        <v> </v>
      </c>
      <c r="BS254" s="0" t="str">
        <f aca="false">IF($A254="N/A"," ",(VLOOKUP($A254,NumberofDaysTable,4)))</f>
        <v> </v>
      </c>
    </row>
    <row r="255" customFormat="false" ht="12.75" hidden="false" customHeight="false" outlineLevel="0" collapsed="false">
      <c r="A255" s="315" t="str">
        <f aca="false">IF(A254="N/A","N/A",IF(EDATE(A254,1)&gt;Inputs!$M$5,"N/A",EDATE(A254,1)))</f>
        <v>N/A</v>
      </c>
      <c r="B255" s="316" t="str">
        <f aca="false">IF(A255="N/A"," ",YEAR(A255))</f>
        <v> </v>
      </c>
      <c r="C255" s="324" t="str">
        <f aca="false">IF($A255="N/A"," ",IF(Dayrun1=10,0,IF(Scaler1=1,(VLOOKUP(A255,ScaledPrice1,4)),(VLOOKUP(A255,ScaledPrice1,2)))))</f>
        <v> </v>
      </c>
      <c r="D255" s="317" t="str">
        <f aca="false">IF(A255="N/A"," ",IF(Dayrun1&gt;=7,0,IF(Scaler1=2,VLOOKUP(A255,ScaledPrice1,2),(VLOOKUP(A255,ScaledPrice1,2))*(2-(VLOOKUP(A255,ScaledPrice1,3))))))</f>
        <v> </v>
      </c>
      <c r="E255" s="317" t="str">
        <f aca="false">IF($A255="N/A"," ",IF(AND(Dayrun1&gt;=4,Dayrun1&lt;=9),0,VLOOKUP($A255,ScaledPrice1,9)))</f>
        <v> </v>
      </c>
      <c r="F255" s="317" t="str">
        <f aca="false">IF(A255="N/A"," ",IF(OR(Dayrun1=2,Dayrun1=3,Dayrun1=5,Dayrun1=6,Dayrun1=8,Dayrun1=9),VLOOKUP(A255,ScaledPrice1,IF(Scaler1=1,6,5)),0))</f>
        <v> </v>
      </c>
      <c r="G255" s="317" t="str">
        <f aca="false">IF(A255="N/A"," ",IF(OR(Dayrun1=2,Dayrun1=3,Dayrun1=5,Dayrun1=6),IF(Scaler1=2,F255,(VLOOKUP(A255,ScaledPrice1,5))*(2-(VLOOKUP(A255,ScaledPrice1,3)))),0))</f>
        <v> </v>
      </c>
      <c r="H255" s="317" t="str">
        <f aca="false">IF($A255="N/A"," ",IF(OR(Dayrun1=2,Dayrun1=3,Dayrun1=10),VLOOKUP($A255,ScaledPrice1,9),0))</f>
        <v> </v>
      </c>
      <c r="I255" s="317" t="str">
        <f aca="false">IF(A255="N/A"," ",IF(OR(Dayrun1=3,Dayrun1=6,Dayrun1=9),(VLOOKUP(A255,ScaledPrice1,IF(Scaler1=2,7,8))),0))</f>
        <v> </v>
      </c>
      <c r="J255" s="317" t="str">
        <f aca="false">IF(A255="N/A"," ",IF(OR(Dayrun1=3,Dayrun1=6),IF(Scaler1=2,I255,(VLOOKUP(A255,ScaledPrice1,7))*(2-(VLOOKUP(A255,ScaledPrice1,3)))),0))</f>
        <v> </v>
      </c>
      <c r="K255" s="317" t="str">
        <f aca="false">IF($A255="N/A"," ",IF(OR(Dayrun1=3,Dayrun1=10),VLOOKUP($A255,ScaledPrice1,9),0))</f>
        <v> </v>
      </c>
      <c r="L255" s="318" t="str">
        <f aca="false">IF($A255="N/A"," ",IF(Pricetype1=2,MAX(C255,0),IF(OR(Pricetype1=1,Pricetype1=4),IF(C255=0,0,(EURO(C255,Strikeprice1,0,0,($AH255+IF(Smile=TRUE(),VLOOKUP(MAX(-5,Strikeprice1-C255),Volsmile,2),0)),($A255-DateToday)+15,IF(Pricetype1=1,1,0),0))),C255)))</f>
        <v> </v>
      </c>
      <c r="M255" s="318" t="str">
        <f aca="false">IF($A255="N/A"," ",IF(Pricetype1=2,MAX(D255,0),IF(OR(Pricetype1=1,Pricetype1=4),IF(D255=0,0,(EURO(D255,Strikeprice1,0,0,($AH255+IF(Smile=TRUE(),VLOOKUP(MAX(-5,Strikeprice1-D255),Volsmile,2),0)),($A255-DateToday)+15,IF(Pricetype1=1,1,0),0))),D255)))</f>
        <v> </v>
      </c>
      <c r="N255" s="318" t="str">
        <f aca="false">IF($A255="N/A"," ",IF(Pricetype1=2,MAX(E255,0),IF(OR(Pricetype1=1,Pricetype1=4),IF(E255=0,0,(EURO(E255,Strikeprice1,0,0,($AK255+IF(Smile=TRUE(),VLOOKUP(MAX(-5,Strikeprice1-E255),Volsmile,2),0)),($A255-DateToday)+15,IF(Pricetype1=1,1,0),0))),E255)))</f>
        <v> </v>
      </c>
      <c r="O255" s="318" t="str">
        <f aca="false">IF($A255="N/A"," ",IF(Pricetype1=2,MAX(F255,0),IF(OR(Pricetype1=1,Pricetype1=4),IF(F255=0,0,(EURO(F255,Strikeprice1,0,0,($AK255+IF(Smile=TRUE(),VLOOKUP(MAX(-5,Strikeprice1-F255),Volsmile,2),0)),($A255-DateToday)+15,IF(Pricetype1=1,1,0),0))),F255)))</f>
        <v> </v>
      </c>
      <c r="P255" s="318" t="str">
        <f aca="false">IF($A255="N/A"," ",IF(Pricetype1=2,MAX(G255,0),IF(OR(Pricetype1=1,Pricetype1=4),IF(G255=0,0,(EURO(G255,Strikeprice1,0,0,($AK255+IF(Smile=TRUE(),VLOOKUP(MAX(-5,Strikeprice1-G255),Volsmile,2),0)),($A255-DateToday)+15,IF(Pricetype1=1,1,0),0))),G255)))</f>
        <v> </v>
      </c>
      <c r="Q255" s="318" t="str">
        <f aca="false">IF($A255="N/A"," ",IF(Pricetype1=2,MAX(H255,0),IF(OR(Pricetype1=1,Pricetype1=4),IF(H255=0,0,(EURO(H255,Strikeprice1,0,0,($AK255+IF(Smile=TRUE(),VLOOKUP(MAX(-5,Strikeprice1-H255),Volsmile,2),0)),($A255-DateToday)+15,IF(Pricetype1=1,1,0),0))),H255)))</f>
        <v> </v>
      </c>
      <c r="R255" s="318" t="str">
        <f aca="false">IF($A255="N/A"," ",IF(Pricetype1=2,MAX(I255,0),IF(OR(Pricetype1=1,Pricetype1=4),IF(I255=0,0,(EURO(I255,Strikeprice1,0,0,($AK255+IF(Smile=TRUE(),VLOOKUP(MAX(-5,Strikeprice1-I255),Volsmile,2),0)),($A255-DateToday)+15,IF(Pricetype1=1,1,0),0))),I255)))</f>
        <v> </v>
      </c>
      <c r="S255" s="318" t="str">
        <f aca="false">IF($A255="N/A"," ",IF(Pricetype1=2,MAX(J255,0),IF(OR(Pricetype1=1,Pricetype1=4),IF(J255=0,0,(EURO(J255,Strikeprice1,0,0,($AK255+IF(Smile=TRUE(),VLOOKUP(MAX(-5,Strikeprice1-J255),Volsmile,2),0)),($A255-DateToday)+15,IF(Pricetype1=1,1,0),0))),J255)))</f>
        <v> </v>
      </c>
      <c r="T255" s="318" t="str">
        <f aca="false">IF($A255="N/A"," ",IF(Pricetype1=2,MAX(K255,0),IF(OR(Pricetype1=1,Pricetype1=4),IF(K255=0,0,(EURO(K255,Strikeprice1,0,0,($AK255+IF(Smile=TRUE(),VLOOKUP(MAX(-5,Strikeprice1-K255),Volsmile,2),0)),($A255-DateToday)+15,IF(Pricetype1=1,1,0),0))),K255)))</f>
        <v> </v>
      </c>
      <c r="U255" s="319" t="str">
        <f aca="false">IF($A255="N/A"," ",Volume1*$AM255)</f>
        <v> </v>
      </c>
      <c r="V255" s="320" t="str">
        <f aca="false">IF($A255="N/A"," ",$U255*(8*($BQ255))*L255)</f>
        <v> </v>
      </c>
      <c r="W255" s="320" t="str">
        <f aca="false">IF($A255="N/A"," ",$U255*(8*($BQ255))*M255)</f>
        <v> </v>
      </c>
      <c r="X255" s="320" t="str">
        <f aca="false">IF($A255="N/A"," ",$U255*(8*($BQ255))*N255)</f>
        <v> </v>
      </c>
      <c r="Y255" s="320" t="str">
        <f aca="false">IF($A255="N/A"," ",$U255*(8*($BR255))*O255)</f>
        <v> </v>
      </c>
      <c r="Z255" s="320" t="str">
        <f aca="false">IF($A255="N/A"," ",$U255*(8*($BR255))*P255)</f>
        <v> </v>
      </c>
      <c r="AA255" s="320" t="str">
        <f aca="false">IF($A255="N/A"," ",$U255*(8*($BR255))*Q255)</f>
        <v> </v>
      </c>
      <c r="AB255" s="320" t="str">
        <f aca="false">IF($A255="N/A"," ",$U255*(8*($BS255))*R255)</f>
        <v> </v>
      </c>
      <c r="AC255" s="320" t="str">
        <f aca="false">IF($A255="N/A"," ",$U255*(8*($BS255))*S255)</f>
        <v> </v>
      </c>
      <c r="AD255" s="320" t="str">
        <f aca="false">IF($A255="N/A"," ",$U255*(8*($BS255))*T255)</f>
        <v> </v>
      </c>
      <c r="AE255" s="320" t="str">
        <f aca="false">IF($A255="N/A"," ",SUM(V255:AD255))</f>
        <v> </v>
      </c>
      <c r="AF255" s="321" t="str">
        <f aca="false">IF(A255="N/A"," ",(VLOOKUP(A255,PowerVolTable,(IF(VolBMO1=2,7,IF(VolBMO1=1,6,8))),FALSE())))</f>
        <v> </v>
      </c>
      <c r="AG255" s="321" t="str">
        <f aca="false">IF(A255="N/A"," ",(VLOOKUP(A255,IntraPowerVol,(IF(VolBMO1=2,3,IF(VolBMO1=1,2,4))),FALSE())*VLOOKUP(MONTH($A255),Volscale,2)))</f>
        <v> </v>
      </c>
      <c r="AH255" s="321" t="str">
        <f aca="false">IF($A255="N/A"," ",IF(VolType1=1,AG255,AF255))</f>
        <v> </v>
      </c>
      <c r="AI255" s="321" t="str">
        <f aca="false">IF($A255="N/A"," ",(VLOOKUP($A255,OffPwrVolTable,(IF(VolBMO1=2,7,IF(VolBMO1=1,6,8))),FALSE())))</f>
        <v> </v>
      </c>
      <c r="AJ255" s="321" t="str">
        <f aca="false">IF($A255="N/A"," ",(VLOOKUP($A255,OffPwrVolTable,(IF(VolBMO1=2,3,IF(VolBMO1=1,2,4))),FALSE())*VLOOKUP(MONTH($A255),Volscale,2)))</f>
        <v> </v>
      </c>
      <c r="AK255" s="321" t="str">
        <f aca="false">IF($A255="N/A"," ",IF(VolType1=1,AJ255,AI255))</f>
        <v> </v>
      </c>
      <c r="AL255" s="321" t="str">
        <f aca="false">IF($A255="N/A"," ",IF(PV=1,0,'Pricing Inputs1'!R288))</f>
        <v> </v>
      </c>
      <c r="AM255" s="323" t="str">
        <f aca="false">IF($A255="N/A"," ",(1+AL255/2)^(-2*((EOMONTH(A255,0)+20)-DateToday)/365.25))</f>
        <v> </v>
      </c>
      <c r="BQ255" s="0" t="str">
        <f aca="false">IF($A255="N/A"," ",(VLOOKUP($A255,NumberofDaysTable,2)))</f>
        <v> </v>
      </c>
      <c r="BR255" s="0" t="str">
        <f aca="false">IF($A255="N/A"," ",(VLOOKUP($A255,NumberofDaysTable,3)))</f>
        <v> </v>
      </c>
      <c r="BS255" s="0" t="str">
        <f aca="false">IF($A255="N/A"," ",(VLOOKUP($A255,NumberofDaysTable,4)))</f>
        <v> </v>
      </c>
    </row>
    <row r="256" customFormat="false" ht="12.75" hidden="false" customHeight="false" outlineLevel="0" collapsed="false">
      <c r="A256" s="325"/>
      <c r="B256" s="326"/>
      <c r="J256" s="73"/>
      <c r="K256" s="327"/>
    </row>
    <row r="257" customFormat="false" ht="12.75" hidden="false" customHeight="false" outlineLevel="0" collapsed="false">
      <c r="A257" s="325"/>
      <c r="B257" s="326"/>
      <c r="J257" s="73"/>
      <c r="K257" s="327"/>
    </row>
    <row r="258" customFormat="false" ht="12.75" hidden="false" customHeight="false" outlineLevel="0" collapsed="false">
      <c r="A258" s="325"/>
      <c r="B258" s="326"/>
      <c r="J258" s="73"/>
      <c r="K258" s="327"/>
    </row>
    <row r="259" customFormat="false" ht="12.75" hidden="false" customHeight="false" outlineLevel="0" collapsed="false">
      <c r="A259" s="325"/>
      <c r="B259" s="326"/>
      <c r="J259" s="73"/>
      <c r="K259" s="327"/>
    </row>
    <row r="260" customFormat="false" ht="12.75" hidden="false" customHeight="false" outlineLevel="0" collapsed="false">
      <c r="A260" s="325"/>
      <c r="B260" s="326"/>
      <c r="J260" s="73"/>
      <c r="K260" s="327"/>
    </row>
    <row r="261" customFormat="false" ht="12.75" hidden="false" customHeight="false" outlineLevel="0" collapsed="false">
      <c r="A261" s="325"/>
      <c r="B261" s="326"/>
      <c r="J261" s="73"/>
      <c r="K261" s="327"/>
    </row>
    <row r="262" customFormat="false" ht="12.75" hidden="false" customHeight="false" outlineLevel="0" collapsed="false">
      <c r="A262" s="325"/>
      <c r="B262" s="326"/>
      <c r="J262" s="73"/>
      <c r="K262" s="327"/>
    </row>
    <row r="263" customFormat="false" ht="12.75" hidden="false" customHeight="false" outlineLevel="0" collapsed="false">
      <c r="A263" s="325"/>
      <c r="B263" s="326"/>
      <c r="J263" s="73"/>
      <c r="K263" s="327"/>
    </row>
    <row r="264" customFormat="false" ht="12.75" hidden="false" customHeight="false" outlineLevel="0" collapsed="false">
      <c r="A264" s="325"/>
      <c r="B264" s="326"/>
      <c r="J264" s="73"/>
      <c r="K264" s="327"/>
    </row>
    <row r="265" customFormat="false" ht="12.75" hidden="false" customHeight="false" outlineLevel="0" collapsed="false">
      <c r="A265" s="325"/>
      <c r="B265" s="326"/>
      <c r="J265" s="73"/>
      <c r="K265" s="327"/>
    </row>
    <row r="266" customFormat="false" ht="12.75" hidden="false" customHeight="false" outlineLevel="0" collapsed="false">
      <c r="A266" s="325"/>
      <c r="B266" s="326"/>
      <c r="J266" s="73"/>
      <c r="K266" s="327"/>
    </row>
    <row r="267" customFormat="false" ht="12.75" hidden="false" customHeight="false" outlineLevel="0" collapsed="false">
      <c r="A267" s="325"/>
      <c r="B267" s="326"/>
      <c r="J267" s="73"/>
      <c r="K267" s="327"/>
    </row>
    <row r="268" customFormat="false" ht="12.75" hidden="false" customHeight="false" outlineLevel="0" collapsed="false">
      <c r="A268" s="325"/>
      <c r="B268" s="326"/>
      <c r="J268" s="73"/>
      <c r="K268" s="327"/>
    </row>
    <row r="269" customFormat="false" ht="12.75" hidden="false" customHeight="false" outlineLevel="0" collapsed="false">
      <c r="A269" s="325"/>
      <c r="B269" s="326"/>
      <c r="J269" s="73"/>
      <c r="K269" s="327"/>
    </row>
    <row r="270" customFormat="false" ht="12.75" hidden="false" customHeight="false" outlineLevel="0" collapsed="false">
      <c r="A270" s="325"/>
      <c r="B270" s="326"/>
      <c r="J270" s="73"/>
      <c r="K270" s="327"/>
    </row>
    <row r="271" customFormat="false" ht="12.75" hidden="false" customHeight="false" outlineLevel="0" collapsed="false">
      <c r="A271" s="325"/>
      <c r="B271" s="326"/>
      <c r="J271" s="73"/>
      <c r="K271" s="327"/>
    </row>
    <row r="272" customFormat="false" ht="12.75" hidden="false" customHeight="false" outlineLevel="0" collapsed="false">
      <c r="A272" s="325"/>
      <c r="B272" s="326"/>
      <c r="J272" s="73"/>
      <c r="K272" s="327"/>
    </row>
    <row r="273" customFormat="false" ht="12.75" hidden="false" customHeight="false" outlineLevel="0" collapsed="false">
      <c r="A273" s="325"/>
      <c r="B273" s="326"/>
      <c r="J273" s="73"/>
      <c r="K273" s="327"/>
    </row>
    <row r="274" customFormat="false" ht="12.75" hidden="false" customHeight="false" outlineLevel="0" collapsed="false">
      <c r="A274" s="325"/>
      <c r="B274" s="326"/>
      <c r="J274" s="73"/>
      <c r="K274" s="327"/>
    </row>
    <row r="275" customFormat="false" ht="12.75" hidden="false" customHeight="false" outlineLevel="0" collapsed="false">
      <c r="A275" s="325"/>
      <c r="B275" s="326"/>
      <c r="J275" s="73"/>
      <c r="K275" s="327"/>
    </row>
    <row r="276" customFormat="false" ht="12.75" hidden="false" customHeight="false" outlineLevel="0" collapsed="false">
      <c r="A276" s="325"/>
      <c r="B276" s="326"/>
      <c r="J276" s="73"/>
      <c r="K276" s="327"/>
    </row>
    <row r="277" customFormat="false" ht="12.75" hidden="false" customHeight="false" outlineLevel="0" collapsed="false">
      <c r="A277" s="325"/>
      <c r="B277" s="326"/>
      <c r="J277" s="73"/>
      <c r="K277" s="327"/>
    </row>
    <row r="278" customFormat="false" ht="12.75" hidden="false" customHeight="false" outlineLevel="0" collapsed="false">
      <c r="A278" s="325"/>
      <c r="B278" s="326"/>
      <c r="J278" s="73"/>
      <c r="K278" s="327"/>
    </row>
    <row r="279" customFormat="false" ht="12.75" hidden="false" customHeight="false" outlineLevel="0" collapsed="false">
      <c r="A279" s="325"/>
      <c r="B279" s="326"/>
      <c r="J279" s="73"/>
      <c r="K279" s="327"/>
    </row>
    <row r="280" customFormat="false" ht="12.75" hidden="false" customHeight="false" outlineLevel="0" collapsed="false">
      <c r="A280" s="325"/>
      <c r="B280" s="326"/>
      <c r="J280" s="73"/>
      <c r="K280" s="327"/>
    </row>
    <row r="281" customFormat="false" ht="12.75" hidden="false" customHeight="false" outlineLevel="0" collapsed="false">
      <c r="A281" s="325"/>
      <c r="B281" s="326"/>
      <c r="J281" s="73"/>
      <c r="K281" s="327"/>
    </row>
    <row r="282" customFormat="false" ht="12.75" hidden="false" customHeight="false" outlineLevel="0" collapsed="false">
      <c r="A282" s="325"/>
      <c r="B282" s="326"/>
      <c r="J282" s="73"/>
      <c r="K282" s="327"/>
    </row>
    <row r="283" customFormat="false" ht="12.75" hidden="false" customHeight="false" outlineLevel="0" collapsed="false">
      <c r="A283" s="325"/>
      <c r="B283" s="326"/>
      <c r="J283" s="73"/>
      <c r="K283" s="327"/>
    </row>
    <row r="284" customFormat="false" ht="12.75" hidden="false" customHeight="false" outlineLevel="0" collapsed="false">
      <c r="A284" s="325"/>
      <c r="B284" s="326"/>
      <c r="J284" s="73"/>
      <c r="K284" s="327"/>
    </row>
    <row r="285" customFormat="false" ht="12.75" hidden="false" customHeight="false" outlineLevel="0" collapsed="false">
      <c r="A285" s="325"/>
      <c r="B285" s="326"/>
      <c r="J285" s="73"/>
      <c r="K285" s="327"/>
    </row>
    <row r="286" customFormat="false" ht="12.75" hidden="false" customHeight="false" outlineLevel="0" collapsed="false">
      <c r="A286" s="325"/>
      <c r="B286" s="326"/>
      <c r="J286" s="73"/>
      <c r="K286" s="327"/>
    </row>
    <row r="287" customFormat="false" ht="12.75" hidden="false" customHeight="false" outlineLevel="0" collapsed="false">
      <c r="A287" s="325"/>
      <c r="B287" s="326"/>
      <c r="J287" s="73"/>
      <c r="K287" s="327"/>
    </row>
    <row r="288" customFormat="false" ht="12.75" hidden="false" customHeight="false" outlineLevel="0" collapsed="false">
      <c r="A288" s="325"/>
      <c r="B288" s="326"/>
      <c r="J288" s="73"/>
      <c r="K288" s="327"/>
    </row>
    <row r="289" customFormat="false" ht="12.75" hidden="false" customHeight="false" outlineLevel="0" collapsed="false">
      <c r="A289" s="325"/>
      <c r="B289" s="326"/>
      <c r="J289" s="73"/>
      <c r="K289" s="327"/>
    </row>
    <row r="290" customFormat="false" ht="12.75" hidden="false" customHeight="false" outlineLevel="0" collapsed="false">
      <c r="A290" s="325"/>
      <c r="B290" s="326"/>
      <c r="J290" s="73"/>
      <c r="K290" s="327"/>
    </row>
    <row r="291" customFormat="false" ht="12.75" hidden="false" customHeight="false" outlineLevel="0" collapsed="false">
      <c r="A291" s="325"/>
      <c r="B291" s="326"/>
      <c r="J291" s="73"/>
      <c r="K291" s="327"/>
    </row>
    <row r="292" customFormat="false" ht="12.75" hidden="false" customHeight="false" outlineLevel="0" collapsed="false">
      <c r="A292" s="325"/>
      <c r="B292" s="326"/>
      <c r="J292" s="73"/>
      <c r="K292" s="327"/>
    </row>
    <row r="293" customFormat="false" ht="12.75" hidden="false" customHeight="false" outlineLevel="0" collapsed="false">
      <c r="A293" s="325"/>
      <c r="B293" s="326"/>
      <c r="J293" s="73"/>
      <c r="K293" s="327"/>
    </row>
    <row r="294" customFormat="false" ht="12.75" hidden="false" customHeight="false" outlineLevel="0" collapsed="false">
      <c r="A294" s="325"/>
      <c r="B294" s="326"/>
      <c r="J294" s="73"/>
      <c r="K294" s="327"/>
    </row>
    <row r="295" customFormat="false" ht="12.75" hidden="false" customHeight="false" outlineLevel="0" collapsed="false">
      <c r="A295" s="325"/>
      <c r="B295" s="326"/>
      <c r="J295" s="73"/>
      <c r="K295" s="327"/>
    </row>
    <row r="296" customFormat="false" ht="12.75" hidden="false" customHeight="false" outlineLevel="0" collapsed="false">
      <c r="A296" s="325"/>
      <c r="B296" s="326"/>
      <c r="J296" s="73"/>
      <c r="K296" s="327"/>
    </row>
    <row r="297" customFormat="false" ht="12.75" hidden="false" customHeight="false" outlineLevel="0" collapsed="false">
      <c r="A297" s="325"/>
      <c r="B297" s="326"/>
      <c r="J297" s="73"/>
      <c r="K297" s="327"/>
    </row>
    <row r="298" customFormat="false" ht="12.75" hidden="false" customHeight="false" outlineLevel="0" collapsed="false">
      <c r="A298" s="325"/>
      <c r="B298" s="326"/>
      <c r="J298" s="73"/>
      <c r="K298" s="327"/>
    </row>
    <row r="299" customFormat="false" ht="12.75" hidden="false" customHeight="false" outlineLevel="0" collapsed="false">
      <c r="A299" s="325"/>
      <c r="B299" s="326"/>
      <c r="J299" s="73"/>
      <c r="K299" s="327"/>
    </row>
    <row r="300" customFormat="false" ht="12.75" hidden="false" customHeight="false" outlineLevel="0" collapsed="false">
      <c r="A300" s="325"/>
      <c r="B300" s="326"/>
      <c r="J300" s="73"/>
      <c r="K300" s="327"/>
    </row>
    <row r="301" customFormat="false" ht="12.75" hidden="false" customHeight="false" outlineLevel="0" collapsed="false">
      <c r="A301" s="325"/>
      <c r="B301" s="326"/>
      <c r="J301" s="73"/>
      <c r="K301" s="327"/>
    </row>
    <row r="302" customFormat="false" ht="12.75" hidden="false" customHeight="false" outlineLevel="0" collapsed="false">
      <c r="A302" s="325"/>
      <c r="B302" s="326"/>
      <c r="J302" s="73"/>
      <c r="K302" s="327"/>
    </row>
    <row r="303" customFormat="false" ht="12.75" hidden="false" customHeight="false" outlineLevel="0" collapsed="false">
      <c r="A303" s="325"/>
      <c r="B303" s="326"/>
      <c r="J303" s="73"/>
      <c r="K303" s="327"/>
    </row>
    <row r="304" customFormat="false" ht="12.75" hidden="false" customHeight="false" outlineLevel="0" collapsed="false">
      <c r="A304" s="325"/>
      <c r="B304" s="326"/>
      <c r="J304" s="73"/>
      <c r="K304" s="327"/>
    </row>
    <row r="305" customFormat="false" ht="12.75" hidden="false" customHeight="false" outlineLevel="0" collapsed="false">
      <c r="A305" s="325"/>
      <c r="B305" s="326"/>
      <c r="J305" s="73"/>
      <c r="K305" s="327"/>
    </row>
    <row r="306" customFormat="false" ht="12.75" hidden="false" customHeight="false" outlineLevel="0" collapsed="false">
      <c r="A306" s="325"/>
      <c r="B306" s="326"/>
      <c r="J306" s="73"/>
      <c r="K306" s="327"/>
    </row>
    <row r="307" customFormat="false" ht="12.75" hidden="false" customHeight="false" outlineLevel="0" collapsed="false">
      <c r="A307" s="325"/>
      <c r="B307" s="326"/>
      <c r="J307" s="73"/>
      <c r="K307" s="327"/>
    </row>
    <row r="308" customFormat="false" ht="12.75" hidden="false" customHeight="false" outlineLevel="0" collapsed="false">
      <c r="A308" s="325"/>
      <c r="B308" s="326"/>
      <c r="J308" s="73"/>
      <c r="K308" s="327"/>
    </row>
    <row r="309" customFormat="false" ht="12.75" hidden="false" customHeight="false" outlineLevel="0" collapsed="false">
      <c r="A309" s="325"/>
      <c r="B309" s="326"/>
      <c r="J309" s="73"/>
      <c r="K309" s="327"/>
    </row>
    <row r="310" customFormat="false" ht="12.75" hidden="false" customHeight="false" outlineLevel="0" collapsed="false">
      <c r="A310" s="325"/>
      <c r="B310" s="326"/>
      <c r="J310" s="73"/>
      <c r="K310" s="327"/>
    </row>
    <row r="311" customFormat="false" ht="12.75" hidden="false" customHeight="false" outlineLevel="0" collapsed="false">
      <c r="A311" s="325"/>
      <c r="B311" s="326"/>
      <c r="J311" s="73"/>
      <c r="K311" s="327"/>
    </row>
    <row r="312" customFormat="false" ht="12.75" hidden="false" customHeight="false" outlineLevel="0" collapsed="false">
      <c r="A312" s="325"/>
      <c r="B312" s="326"/>
      <c r="J312" s="73"/>
      <c r="K312" s="327"/>
    </row>
    <row r="313" customFormat="false" ht="12.75" hidden="false" customHeight="false" outlineLevel="0" collapsed="false">
      <c r="A313" s="325"/>
      <c r="B313" s="326"/>
      <c r="J313" s="73"/>
      <c r="K313" s="327"/>
    </row>
    <row r="314" customFormat="false" ht="12.75" hidden="false" customHeight="false" outlineLevel="0" collapsed="false">
      <c r="A314" s="325"/>
      <c r="B314" s="326"/>
      <c r="J314" s="73"/>
      <c r="K314" s="327"/>
    </row>
    <row r="315" customFormat="false" ht="12.75" hidden="false" customHeight="false" outlineLevel="0" collapsed="false">
      <c r="A315" s="325"/>
      <c r="B315" s="326"/>
      <c r="J315" s="73"/>
      <c r="K315" s="327"/>
    </row>
    <row r="316" customFormat="false" ht="12.75" hidden="false" customHeight="false" outlineLevel="0" collapsed="false">
      <c r="A316" s="325"/>
      <c r="B316" s="326"/>
      <c r="J316" s="73"/>
      <c r="K316" s="327"/>
    </row>
    <row r="317" customFormat="false" ht="12.75" hidden="false" customHeight="false" outlineLevel="0" collapsed="false">
      <c r="A317" s="325"/>
      <c r="B317" s="326"/>
      <c r="J317" s="73"/>
      <c r="K317" s="327"/>
    </row>
    <row r="318" customFormat="false" ht="12.75" hidden="false" customHeight="false" outlineLevel="0" collapsed="false">
      <c r="A318" s="325"/>
      <c r="B318" s="326"/>
      <c r="J318" s="73"/>
      <c r="K318" s="327"/>
    </row>
    <row r="319" customFormat="false" ht="12.75" hidden="false" customHeight="false" outlineLevel="0" collapsed="false">
      <c r="A319" s="325"/>
      <c r="B319" s="326"/>
      <c r="J319" s="73"/>
      <c r="K319" s="327"/>
    </row>
    <row r="320" customFormat="false" ht="12.75" hidden="false" customHeight="false" outlineLevel="0" collapsed="false">
      <c r="A320" s="325"/>
      <c r="B320" s="326"/>
      <c r="J320" s="73"/>
      <c r="K320" s="327"/>
    </row>
    <row r="321" customFormat="false" ht="12.75" hidden="false" customHeight="false" outlineLevel="0" collapsed="false">
      <c r="A321" s="325"/>
      <c r="B321" s="326"/>
      <c r="J321" s="73"/>
      <c r="K321" s="327"/>
    </row>
    <row r="322" customFormat="false" ht="12.75" hidden="false" customHeight="false" outlineLevel="0" collapsed="false">
      <c r="A322" s="325"/>
      <c r="B322" s="326"/>
      <c r="J322" s="73"/>
      <c r="K322" s="327"/>
    </row>
    <row r="323" customFormat="false" ht="12.75" hidden="false" customHeight="false" outlineLevel="0" collapsed="false">
      <c r="A323" s="325"/>
      <c r="B323" s="326"/>
      <c r="J323" s="73"/>
      <c r="K323" s="327"/>
    </row>
    <row r="324" customFormat="false" ht="12.75" hidden="false" customHeight="false" outlineLevel="0" collapsed="false">
      <c r="A324" s="325"/>
      <c r="B324" s="326"/>
      <c r="J324" s="73"/>
      <c r="K324" s="327"/>
    </row>
    <row r="325" customFormat="false" ht="12.75" hidden="false" customHeight="false" outlineLevel="0" collapsed="false">
      <c r="A325" s="325"/>
      <c r="B325" s="326"/>
      <c r="J325" s="73"/>
      <c r="K325" s="327"/>
    </row>
    <row r="326" customFormat="false" ht="12.75" hidden="false" customHeight="false" outlineLevel="0" collapsed="false">
      <c r="A326" s="325"/>
      <c r="B326" s="326"/>
      <c r="J326" s="73"/>
      <c r="K326" s="327"/>
    </row>
    <row r="327" customFormat="false" ht="12.75" hidden="false" customHeight="false" outlineLevel="0" collapsed="false">
      <c r="A327" s="325"/>
      <c r="B327" s="326"/>
      <c r="J327" s="73"/>
      <c r="K327" s="327"/>
    </row>
    <row r="328" customFormat="false" ht="12.75" hidden="false" customHeight="false" outlineLevel="0" collapsed="false">
      <c r="A328" s="325"/>
      <c r="B328" s="326"/>
      <c r="J328" s="73"/>
      <c r="K328" s="327"/>
    </row>
    <row r="329" customFormat="false" ht="12.75" hidden="false" customHeight="false" outlineLevel="0" collapsed="false">
      <c r="A329" s="325"/>
      <c r="B329" s="326"/>
      <c r="J329" s="73"/>
      <c r="K329" s="327"/>
    </row>
    <row r="330" customFormat="false" ht="12.75" hidden="false" customHeight="false" outlineLevel="0" collapsed="false">
      <c r="A330" s="325"/>
      <c r="B330" s="326"/>
      <c r="J330" s="73"/>
      <c r="K330" s="327"/>
    </row>
    <row r="331" customFormat="false" ht="12.75" hidden="false" customHeight="false" outlineLevel="0" collapsed="false">
      <c r="A331" s="325"/>
      <c r="B331" s="326"/>
      <c r="J331" s="73"/>
      <c r="K331" s="327"/>
    </row>
    <row r="332" customFormat="false" ht="12.75" hidden="false" customHeight="false" outlineLevel="0" collapsed="false">
      <c r="A332" s="325"/>
      <c r="B332" s="326"/>
      <c r="J332" s="73"/>
      <c r="K332" s="327"/>
    </row>
    <row r="333" customFormat="false" ht="12.75" hidden="false" customHeight="false" outlineLevel="0" collapsed="false">
      <c r="A333" s="325"/>
      <c r="B333" s="326"/>
      <c r="J333" s="73"/>
      <c r="K333" s="327"/>
    </row>
    <row r="334" customFormat="false" ht="12.75" hidden="false" customHeight="false" outlineLevel="0" collapsed="false">
      <c r="A334" s="325"/>
      <c r="B334" s="326"/>
      <c r="J334" s="73"/>
      <c r="K334" s="327"/>
    </row>
    <row r="335" customFormat="false" ht="12.75" hidden="false" customHeight="false" outlineLevel="0" collapsed="false">
      <c r="A335" s="325"/>
      <c r="B335" s="326"/>
      <c r="J335" s="73"/>
      <c r="K335" s="327"/>
    </row>
    <row r="336" customFormat="false" ht="12.75" hidden="false" customHeight="false" outlineLevel="0" collapsed="false">
      <c r="A336" s="325"/>
      <c r="B336" s="326"/>
      <c r="J336" s="73"/>
      <c r="K336" s="327"/>
    </row>
    <row r="337" customFormat="false" ht="12.75" hidden="false" customHeight="false" outlineLevel="0" collapsed="false">
      <c r="A337" s="325"/>
      <c r="B337" s="326"/>
      <c r="J337" s="73"/>
      <c r="K337" s="327"/>
    </row>
    <row r="338" customFormat="false" ht="12.75" hidden="false" customHeight="false" outlineLevel="0" collapsed="false">
      <c r="A338" s="325"/>
      <c r="B338" s="326"/>
      <c r="J338" s="73"/>
      <c r="K338" s="327"/>
    </row>
    <row r="339" customFormat="false" ht="12.75" hidden="false" customHeight="false" outlineLevel="0" collapsed="false">
      <c r="A339" s="325"/>
      <c r="B339" s="326"/>
      <c r="J339" s="73"/>
      <c r="K339" s="327"/>
    </row>
    <row r="340" customFormat="false" ht="12.75" hidden="false" customHeight="false" outlineLevel="0" collapsed="false">
      <c r="A340" s="325"/>
      <c r="B340" s="326"/>
      <c r="J340" s="73"/>
      <c r="K340" s="327"/>
    </row>
    <row r="341" customFormat="false" ht="12.75" hidden="false" customHeight="false" outlineLevel="0" collapsed="false">
      <c r="A341" s="325"/>
      <c r="B341" s="326"/>
      <c r="J341" s="73"/>
      <c r="K341" s="327"/>
    </row>
    <row r="342" customFormat="false" ht="12.75" hidden="false" customHeight="false" outlineLevel="0" collapsed="false">
      <c r="A342" s="325"/>
      <c r="B342" s="326"/>
      <c r="J342" s="73"/>
      <c r="K342" s="327"/>
    </row>
    <row r="343" customFormat="false" ht="12.75" hidden="false" customHeight="false" outlineLevel="0" collapsed="false">
      <c r="A343" s="325"/>
      <c r="B343" s="326"/>
      <c r="J343" s="73"/>
      <c r="K343" s="327"/>
    </row>
    <row r="344" customFormat="false" ht="12.75" hidden="false" customHeight="false" outlineLevel="0" collapsed="false">
      <c r="A344" s="325"/>
      <c r="B344" s="326"/>
      <c r="J344" s="73"/>
      <c r="K344" s="327"/>
    </row>
    <row r="345" customFormat="false" ht="12.75" hidden="false" customHeight="false" outlineLevel="0" collapsed="false">
      <c r="A345" s="325"/>
      <c r="B345" s="326"/>
      <c r="J345" s="73"/>
      <c r="K345" s="327"/>
    </row>
    <row r="346" customFormat="false" ht="12.75" hidden="false" customHeight="false" outlineLevel="0" collapsed="false">
      <c r="A346" s="325"/>
      <c r="B346" s="326"/>
      <c r="J346" s="73"/>
      <c r="K346" s="327"/>
    </row>
    <row r="347" customFormat="false" ht="12.75" hidden="false" customHeight="false" outlineLevel="0" collapsed="false">
      <c r="A347" s="325"/>
      <c r="B347" s="326"/>
      <c r="J347" s="73"/>
      <c r="K347" s="327"/>
    </row>
    <row r="348" customFormat="false" ht="12.75" hidden="false" customHeight="false" outlineLevel="0" collapsed="false">
      <c r="A348" s="325"/>
      <c r="B348" s="326"/>
      <c r="J348" s="73"/>
      <c r="K348" s="327"/>
    </row>
    <row r="349" customFormat="false" ht="12.75" hidden="false" customHeight="false" outlineLevel="0" collapsed="false">
      <c r="A349" s="325"/>
      <c r="B349" s="326"/>
      <c r="J349" s="73"/>
      <c r="K349" s="327"/>
    </row>
    <row r="350" customFormat="false" ht="12.75" hidden="false" customHeight="false" outlineLevel="0" collapsed="false">
      <c r="A350" s="325"/>
      <c r="B350" s="326"/>
      <c r="J350" s="73"/>
      <c r="K350" s="327"/>
    </row>
    <row r="351" customFormat="false" ht="12.75" hidden="false" customHeight="false" outlineLevel="0" collapsed="false">
      <c r="A351" s="325"/>
      <c r="B351" s="326"/>
      <c r="J351" s="73"/>
      <c r="K351" s="327"/>
    </row>
    <row r="352" customFormat="false" ht="12.75" hidden="false" customHeight="false" outlineLevel="0" collapsed="false">
      <c r="A352" s="325"/>
      <c r="B352" s="326"/>
      <c r="J352" s="73"/>
      <c r="K352" s="327"/>
    </row>
    <row r="353" customFormat="false" ht="12.75" hidden="false" customHeight="false" outlineLevel="0" collapsed="false">
      <c r="A353" s="325"/>
      <c r="B353" s="326"/>
      <c r="J353" s="73"/>
      <c r="K353" s="327"/>
    </row>
    <row r="354" customFormat="false" ht="12.75" hidden="false" customHeight="false" outlineLevel="0" collapsed="false">
      <c r="A354" s="325"/>
      <c r="B354" s="326"/>
      <c r="J354" s="73"/>
      <c r="K354" s="327"/>
    </row>
    <row r="355" customFormat="false" ht="12.75" hidden="false" customHeight="false" outlineLevel="0" collapsed="false">
      <c r="A355" s="325"/>
      <c r="B355" s="326"/>
      <c r="J355" s="73"/>
      <c r="K355" s="327"/>
    </row>
    <row r="356" customFormat="false" ht="12.75" hidden="false" customHeight="false" outlineLevel="0" collapsed="false">
      <c r="A356" s="325"/>
      <c r="B356" s="326"/>
      <c r="J356" s="73"/>
      <c r="K356" s="327"/>
    </row>
    <row r="357" customFormat="false" ht="12.75" hidden="false" customHeight="false" outlineLevel="0" collapsed="false">
      <c r="A357" s="325"/>
      <c r="B357" s="326"/>
      <c r="J357" s="73"/>
      <c r="K357" s="327"/>
    </row>
    <row r="358" customFormat="false" ht="12.75" hidden="false" customHeight="false" outlineLevel="0" collapsed="false">
      <c r="A358" s="325"/>
      <c r="B358" s="326"/>
      <c r="J358" s="73"/>
      <c r="K358" s="327"/>
    </row>
    <row r="359" customFormat="false" ht="12.75" hidden="false" customHeight="false" outlineLevel="0" collapsed="false">
      <c r="A359" s="325"/>
      <c r="B359" s="326"/>
      <c r="J359" s="73"/>
      <c r="K359" s="327"/>
    </row>
    <row r="360" customFormat="false" ht="12.75" hidden="false" customHeight="false" outlineLevel="0" collapsed="false">
      <c r="A360" s="325"/>
      <c r="B360" s="326"/>
      <c r="J360" s="73"/>
      <c r="K360" s="327"/>
    </row>
    <row r="361" customFormat="false" ht="12.75" hidden="false" customHeight="false" outlineLevel="0" collapsed="false">
      <c r="A361" s="325"/>
      <c r="B361" s="326"/>
      <c r="J361" s="73"/>
      <c r="K361" s="327"/>
    </row>
    <row r="362" customFormat="false" ht="12.75" hidden="false" customHeight="false" outlineLevel="0" collapsed="false">
      <c r="A362" s="325"/>
      <c r="B362" s="326"/>
      <c r="J362" s="73"/>
      <c r="K362" s="327"/>
    </row>
    <row r="363" customFormat="false" ht="12.75" hidden="false" customHeight="false" outlineLevel="0" collapsed="false">
      <c r="A363" s="325"/>
      <c r="B363" s="326"/>
      <c r="J363" s="73"/>
      <c r="K363" s="327"/>
    </row>
    <row r="364" customFormat="false" ht="12.75" hidden="false" customHeight="false" outlineLevel="0" collapsed="false">
      <c r="A364" s="325"/>
      <c r="B364" s="326"/>
      <c r="J364" s="73"/>
      <c r="K364" s="327"/>
    </row>
    <row r="365" customFormat="false" ht="12.75" hidden="false" customHeight="false" outlineLevel="0" collapsed="false">
      <c r="A365" s="325"/>
      <c r="B365" s="326"/>
      <c r="J365" s="73"/>
      <c r="K365" s="327"/>
    </row>
    <row r="366" customFormat="false" ht="12.75" hidden="false" customHeight="false" outlineLevel="0" collapsed="false">
      <c r="A366" s="325"/>
      <c r="B366" s="326"/>
      <c r="J366" s="73"/>
      <c r="K366" s="327"/>
    </row>
    <row r="367" customFormat="false" ht="12.75" hidden="false" customHeight="false" outlineLevel="0" collapsed="false">
      <c r="A367" s="325"/>
      <c r="B367" s="326"/>
      <c r="J367" s="73"/>
      <c r="K367" s="327"/>
    </row>
    <row r="368" customFormat="false" ht="12.75" hidden="false" customHeight="false" outlineLevel="0" collapsed="false">
      <c r="A368" s="325"/>
      <c r="B368" s="326"/>
      <c r="J368" s="73"/>
      <c r="K368" s="327"/>
    </row>
    <row r="369" customFormat="false" ht="12.75" hidden="false" customHeight="false" outlineLevel="0" collapsed="false">
      <c r="A369" s="325"/>
      <c r="B369" s="326"/>
      <c r="J369" s="73"/>
      <c r="K369" s="327"/>
    </row>
    <row r="370" customFormat="false" ht="12.75" hidden="false" customHeight="false" outlineLevel="0" collapsed="false">
      <c r="A370" s="325"/>
      <c r="B370" s="326"/>
      <c r="J370" s="73"/>
      <c r="K370" s="327"/>
    </row>
    <row r="371" customFormat="false" ht="12.75" hidden="false" customHeight="false" outlineLevel="0" collapsed="false">
      <c r="A371" s="325"/>
      <c r="B371" s="326"/>
      <c r="J371" s="73"/>
      <c r="K371" s="327"/>
    </row>
    <row r="372" customFormat="false" ht="12.75" hidden="false" customHeight="false" outlineLevel="0" collapsed="false">
      <c r="A372" s="325"/>
      <c r="B372" s="326"/>
      <c r="J372" s="73"/>
      <c r="K372" s="327"/>
    </row>
    <row r="373" customFormat="false" ht="12.75" hidden="false" customHeight="false" outlineLevel="0" collapsed="false">
      <c r="A373" s="325"/>
      <c r="B373" s="326"/>
      <c r="J373" s="73"/>
      <c r="K373" s="327"/>
    </row>
    <row r="374" customFormat="false" ht="12.75" hidden="false" customHeight="false" outlineLevel="0" collapsed="false">
      <c r="A374" s="325"/>
      <c r="B374" s="326"/>
      <c r="J374" s="73"/>
      <c r="K374" s="327"/>
    </row>
    <row r="375" customFormat="false" ht="12.75" hidden="false" customHeight="false" outlineLevel="0" collapsed="false">
      <c r="A375" s="325"/>
      <c r="B375" s="326"/>
      <c r="J375" s="73"/>
      <c r="K375" s="327"/>
    </row>
    <row r="376" customFormat="false" ht="12.75" hidden="false" customHeight="false" outlineLevel="0" collapsed="false">
      <c r="A376" s="325"/>
      <c r="B376" s="326"/>
      <c r="J376" s="73"/>
      <c r="K376" s="327"/>
    </row>
    <row r="377" customFormat="false" ht="12.75" hidden="false" customHeight="false" outlineLevel="0" collapsed="false">
      <c r="A377" s="325"/>
      <c r="B377" s="326"/>
      <c r="J377" s="73"/>
      <c r="K377" s="327"/>
    </row>
    <row r="378" customFormat="false" ht="12.75" hidden="false" customHeight="false" outlineLevel="0" collapsed="false">
      <c r="A378" s="325"/>
      <c r="B378" s="326"/>
      <c r="J378" s="73"/>
      <c r="K378" s="327"/>
    </row>
    <row r="379" customFormat="false" ht="12.75" hidden="false" customHeight="false" outlineLevel="0" collapsed="false">
      <c r="A379" s="325"/>
      <c r="B379" s="326"/>
      <c r="J379" s="73"/>
      <c r="K379" s="327"/>
    </row>
    <row r="380" customFormat="false" ht="12.75" hidden="false" customHeight="false" outlineLevel="0" collapsed="false">
      <c r="A380" s="325"/>
      <c r="B380" s="326"/>
      <c r="J380" s="73"/>
      <c r="K380" s="327"/>
    </row>
    <row r="381" customFormat="false" ht="12.75" hidden="false" customHeight="false" outlineLevel="0" collapsed="false">
      <c r="A381" s="325"/>
      <c r="B381" s="326"/>
      <c r="J381" s="73"/>
      <c r="K381" s="327"/>
    </row>
    <row r="382" customFormat="false" ht="12.75" hidden="false" customHeight="false" outlineLevel="0" collapsed="false">
      <c r="A382" s="325"/>
      <c r="B382" s="326"/>
      <c r="J382" s="73"/>
      <c r="K382" s="327"/>
    </row>
    <row r="383" customFormat="false" ht="12.75" hidden="false" customHeight="false" outlineLevel="0" collapsed="false">
      <c r="A383" s="325"/>
      <c r="B383" s="326"/>
      <c r="J383" s="73"/>
      <c r="K383" s="327"/>
    </row>
    <row r="384" customFormat="false" ht="12.75" hidden="false" customHeight="false" outlineLevel="0" collapsed="false">
      <c r="A384" s="325"/>
      <c r="B384" s="326"/>
      <c r="J384" s="73"/>
      <c r="K384" s="327"/>
    </row>
    <row r="385" customFormat="false" ht="12.75" hidden="false" customHeight="false" outlineLevel="0" collapsed="false">
      <c r="A385" s="325"/>
      <c r="B385" s="326"/>
      <c r="J385" s="73"/>
      <c r="K385" s="327"/>
    </row>
    <row r="386" customFormat="false" ht="12.75" hidden="false" customHeight="false" outlineLevel="0" collapsed="false">
      <c r="A386" s="325"/>
      <c r="B386" s="326"/>
      <c r="J386" s="73"/>
      <c r="K386" s="327"/>
    </row>
    <row r="387" customFormat="false" ht="12.75" hidden="false" customHeight="false" outlineLevel="0" collapsed="false">
      <c r="A387" s="325"/>
      <c r="B387" s="326"/>
      <c r="J387" s="73"/>
      <c r="K387" s="327"/>
    </row>
    <row r="388" customFormat="false" ht="12.75" hidden="false" customHeight="false" outlineLevel="0" collapsed="false">
      <c r="A388" s="325"/>
      <c r="B388" s="326"/>
      <c r="J388" s="73"/>
      <c r="K388" s="327"/>
    </row>
    <row r="389" customFormat="false" ht="12.75" hidden="false" customHeight="false" outlineLevel="0" collapsed="false">
      <c r="A389" s="325"/>
      <c r="B389" s="326"/>
      <c r="J389" s="73"/>
      <c r="K389" s="327"/>
    </row>
    <row r="390" customFormat="false" ht="12.75" hidden="false" customHeight="false" outlineLevel="0" collapsed="false">
      <c r="A390" s="325"/>
      <c r="B390" s="326"/>
      <c r="J390" s="73"/>
      <c r="K390" s="327"/>
    </row>
    <row r="391" customFormat="false" ht="12.75" hidden="false" customHeight="false" outlineLevel="0" collapsed="false">
      <c r="A391" s="325"/>
      <c r="B391" s="326"/>
      <c r="J391" s="73"/>
      <c r="K391" s="327"/>
    </row>
    <row r="392" customFormat="false" ht="12.75" hidden="false" customHeight="false" outlineLevel="0" collapsed="false">
      <c r="A392" s="325"/>
      <c r="B392" s="326"/>
      <c r="J392" s="73"/>
      <c r="K392" s="327"/>
    </row>
    <row r="393" customFormat="false" ht="12.75" hidden="false" customHeight="false" outlineLevel="0" collapsed="false">
      <c r="A393" s="325"/>
      <c r="B393" s="326"/>
      <c r="J393" s="73"/>
      <c r="K393" s="327"/>
    </row>
    <row r="394" customFormat="false" ht="12.75" hidden="false" customHeight="false" outlineLevel="0" collapsed="false">
      <c r="A394" s="325"/>
      <c r="B394" s="326"/>
      <c r="J394" s="73"/>
      <c r="K394" s="327"/>
    </row>
    <row r="395" customFormat="false" ht="12.75" hidden="false" customHeight="false" outlineLevel="0" collapsed="false">
      <c r="A395" s="325"/>
      <c r="B395" s="326"/>
      <c r="J395" s="73"/>
      <c r="K395" s="327"/>
    </row>
    <row r="396" customFormat="false" ht="12.75" hidden="false" customHeight="false" outlineLevel="0" collapsed="false">
      <c r="A396" s="325"/>
      <c r="B396" s="326"/>
      <c r="J396" s="73"/>
      <c r="K396" s="327"/>
    </row>
    <row r="397" customFormat="false" ht="12.75" hidden="false" customHeight="false" outlineLevel="0" collapsed="false">
      <c r="A397" s="325"/>
      <c r="B397" s="326"/>
      <c r="J397" s="73"/>
      <c r="K397" s="327"/>
    </row>
    <row r="398" customFormat="false" ht="12.75" hidden="false" customHeight="false" outlineLevel="0" collapsed="false">
      <c r="A398" s="325"/>
      <c r="B398" s="326"/>
      <c r="J398" s="73"/>
      <c r="K398" s="327"/>
    </row>
    <row r="399" customFormat="false" ht="12.75" hidden="false" customHeight="false" outlineLevel="0" collapsed="false">
      <c r="A399" s="325"/>
      <c r="B399" s="326"/>
      <c r="J399" s="73"/>
      <c r="K399" s="327"/>
    </row>
    <row r="400" customFormat="false" ht="12.75" hidden="false" customHeight="false" outlineLevel="0" collapsed="false">
      <c r="A400" s="325"/>
      <c r="B400" s="326"/>
      <c r="J400" s="73"/>
      <c r="K400" s="327"/>
    </row>
    <row r="401" customFormat="false" ht="12.75" hidden="false" customHeight="false" outlineLevel="0" collapsed="false">
      <c r="A401" s="325"/>
      <c r="B401" s="326"/>
      <c r="J401" s="73"/>
      <c r="K401" s="327"/>
    </row>
    <row r="402" customFormat="false" ht="12.75" hidden="false" customHeight="false" outlineLevel="0" collapsed="false">
      <c r="A402" s="325"/>
      <c r="B402" s="326"/>
      <c r="J402" s="73"/>
      <c r="K402" s="327"/>
    </row>
    <row r="403" customFormat="false" ht="12.75" hidden="false" customHeight="false" outlineLevel="0" collapsed="false">
      <c r="A403" s="325"/>
      <c r="B403" s="326"/>
      <c r="J403" s="73"/>
      <c r="K403" s="327"/>
    </row>
    <row r="404" customFormat="false" ht="12.75" hidden="false" customHeight="false" outlineLevel="0" collapsed="false">
      <c r="A404" s="325"/>
      <c r="B404" s="326"/>
      <c r="J404" s="73"/>
      <c r="K404" s="327"/>
    </row>
    <row r="405" customFormat="false" ht="12.75" hidden="false" customHeight="false" outlineLevel="0" collapsed="false">
      <c r="A405" s="325"/>
      <c r="B405" s="326"/>
      <c r="J405" s="73"/>
      <c r="K405" s="327"/>
    </row>
    <row r="406" customFormat="false" ht="12.75" hidden="false" customHeight="false" outlineLevel="0" collapsed="false">
      <c r="A406" s="325"/>
      <c r="B406" s="326"/>
      <c r="J406" s="73"/>
      <c r="K406" s="327"/>
    </row>
    <row r="407" customFormat="false" ht="12.75" hidden="false" customHeight="false" outlineLevel="0" collapsed="false">
      <c r="A407" s="325"/>
      <c r="B407" s="326"/>
      <c r="J407" s="73"/>
      <c r="K407" s="327"/>
    </row>
    <row r="408" customFormat="false" ht="12.75" hidden="false" customHeight="false" outlineLevel="0" collapsed="false">
      <c r="A408" s="325"/>
      <c r="B408" s="326"/>
      <c r="J408" s="73"/>
      <c r="K408" s="327"/>
    </row>
    <row r="409" customFormat="false" ht="12.75" hidden="false" customHeight="false" outlineLevel="0" collapsed="false">
      <c r="A409" s="325"/>
      <c r="B409" s="326"/>
      <c r="J409" s="73"/>
      <c r="K409" s="327"/>
    </row>
    <row r="410" customFormat="false" ht="12.75" hidden="false" customHeight="false" outlineLevel="0" collapsed="false">
      <c r="A410" s="325"/>
      <c r="B410" s="326"/>
      <c r="J410" s="73"/>
      <c r="K410" s="327"/>
    </row>
    <row r="411" customFormat="false" ht="12.75" hidden="false" customHeight="false" outlineLevel="0" collapsed="false">
      <c r="A411" s="325"/>
      <c r="B411" s="326"/>
      <c r="J411" s="73"/>
      <c r="K411" s="327"/>
    </row>
    <row r="412" customFormat="false" ht="12.75" hidden="false" customHeight="false" outlineLevel="0" collapsed="false">
      <c r="A412" s="325"/>
      <c r="B412" s="326"/>
      <c r="J412" s="73"/>
      <c r="K412" s="327"/>
    </row>
    <row r="413" customFormat="false" ht="12.75" hidden="false" customHeight="false" outlineLevel="0" collapsed="false">
      <c r="A413" s="325"/>
      <c r="B413" s="326"/>
      <c r="J413" s="73"/>
      <c r="K413" s="327"/>
    </row>
    <row r="414" customFormat="false" ht="12.75" hidden="false" customHeight="false" outlineLevel="0" collapsed="false">
      <c r="A414" s="325"/>
      <c r="B414" s="326"/>
      <c r="J414" s="73"/>
      <c r="K414" s="327"/>
    </row>
    <row r="415" customFormat="false" ht="12.75" hidden="false" customHeight="false" outlineLevel="0" collapsed="false">
      <c r="A415" s="325"/>
      <c r="B415" s="326"/>
      <c r="J415" s="73"/>
      <c r="K415" s="327"/>
    </row>
    <row r="416" customFormat="false" ht="12.75" hidden="false" customHeight="false" outlineLevel="0" collapsed="false">
      <c r="A416" s="325"/>
      <c r="B416" s="326"/>
      <c r="J416" s="73"/>
      <c r="K416" s="327"/>
    </row>
    <row r="417" customFormat="false" ht="12.75" hidden="false" customHeight="false" outlineLevel="0" collapsed="false">
      <c r="A417" s="325"/>
      <c r="B417" s="326"/>
      <c r="J417" s="73"/>
      <c r="K417" s="327"/>
    </row>
    <row r="418" customFormat="false" ht="12.75" hidden="false" customHeight="false" outlineLevel="0" collapsed="false">
      <c r="A418" s="325"/>
      <c r="B418" s="326"/>
      <c r="J418" s="73"/>
      <c r="K418" s="327"/>
    </row>
    <row r="419" customFormat="false" ht="12.75" hidden="false" customHeight="false" outlineLevel="0" collapsed="false">
      <c r="A419" s="325"/>
      <c r="B419" s="326"/>
      <c r="J419" s="73"/>
      <c r="K419" s="327"/>
    </row>
    <row r="420" customFormat="false" ht="12.75" hidden="false" customHeight="false" outlineLevel="0" collapsed="false">
      <c r="A420" s="325"/>
      <c r="B420" s="326"/>
      <c r="J420" s="73"/>
      <c r="K420" s="327"/>
    </row>
    <row r="421" customFormat="false" ht="12.75" hidden="false" customHeight="false" outlineLevel="0" collapsed="false">
      <c r="A421" s="325"/>
      <c r="B421" s="326"/>
      <c r="J421" s="73"/>
      <c r="K421" s="327"/>
    </row>
    <row r="422" customFormat="false" ht="12.75" hidden="false" customHeight="false" outlineLevel="0" collapsed="false">
      <c r="A422" s="325"/>
      <c r="B422" s="326"/>
      <c r="J422" s="73"/>
      <c r="K422" s="327"/>
    </row>
    <row r="423" customFormat="false" ht="12.75" hidden="false" customHeight="false" outlineLevel="0" collapsed="false">
      <c r="A423" s="325"/>
      <c r="B423" s="326"/>
      <c r="J423" s="73"/>
      <c r="K423" s="327"/>
    </row>
    <row r="424" customFormat="false" ht="12.75" hidden="false" customHeight="false" outlineLevel="0" collapsed="false">
      <c r="A424" s="325"/>
      <c r="B424" s="326"/>
      <c r="J424" s="73"/>
      <c r="K424" s="327"/>
    </row>
    <row r="425" customFormat="false" ht="12.75" hidden="false" customHeight="false" outlineLevel="0" collapsed="false">
      <c r="A425" s="325"/>
      <c r="B425" s="326"/>
      <c r="J425" s="73"/>
      <c r="K425" s="327"/>
    </row>
    <row r="426" customFormat="false" ht="12.75" hidden="false" customHeight="false" outlineLevel="0" collapsed="false">
      <c r="A426" s="325"/>
      <c r="B426" s="326"/>
      <c r="J426" s="73"/>
      <c r="K426" s="327"/>
    </row>
    <row r="427" customFormat="false" ht="12.75" hidden="false" customHeight="false" outlineLevel="0" collapsed="false">
      <c r="A427" s="325"/>
      <c r="B427" s="326"/>
      <c r="J427" s="73"/>
      <c r="K427" s="327"/>
    </row>
    <row r="428" customFormat="false" ht="12.75" hidden="false" customHeight="false" outlineLevel="0" collapsed="false">
      <c r="A428" s="325"/>
      <c r="B428" s="326"/>
      <c r="J428" s="73"/>
      <c r="K428" s="327"/>
    </row>
    <row r="429" customFormat="false" ht="12.75" hidden="false" customHeight="false" outlineLevel="0" collapsed="false">
      <c r="A429" s="325"/>
      <c r="B429" s="326"/>
      <c r="J429" s="73"/>
      <c r="K429" s="327"/>
    </row>
    <row r="430" customFormat="false" ht="12.75" hidden="false" customHeight="false" outlineLevel="0" collapsed="false">
      <c r="A430" s="325"/>
      <c r="B430" s="326"/>
      <c r="J430" s="73"/>
      <c r="K430" s="327"/>
    </row>
    <row r="431" customFormat="false" ht="12.75" hidden="false" customHeight="false" outlineLevel="0" collapsed="false">
      <c r="A431" s="325"/>
      <c r="B431" s="326"/>
      <c r="J431" s="73"/>
      <c r="K431" s="327"/>
    </row>
    <row r="432" customFormat="false" ht="12.75" hidden="false" customHeight="false" outlineLevel="0" collapsed="false">
      <c r="A432" s="325"/>
      <c r="B432" s="326"/>
      <c r="J432" s="73"/>
      <c r="K432" s="327"/>
    </row>
    <row r="433" customFormat="false" ht="12.75" hidden="false" customHeight="false" outlineLevel="0" collapsed="false">
      <c r="A433" s="325"/>
      <c r="B433" s="326"/>
      <c r="J433" s="73"/>
      <c r="K433" s="327"/>
    </row>
    <row r="434" customFormat="false" ht="12.75" hidden="false" customHeight="false" outlineLevel="0" collapsed="false">
      <c r="A434" s="325"/>
      <c r="B434" s="326"/>
      <c r="J434" s="73"/>
      <c r="K434" s="327"/>
    </row>
    <row r="435" customFormat="false" ht="12.75" hidden="false" customHeight="false" outlineLevel="0" collapsed="false">
      <c r="A435" s="325"/>
      <c r="B435" s="326"/>
      <c r="J435" s="73"/>
      <c r="K435" s="327"/>
    </row>
    <row r="436" customFormat="false" ht="12.75" hidden="false" customHeight="false" outlineLevel="0" collapsed="false">
      <c r="A436" s="325"/>
      <c r="B436" s="326"/>
      <c r="J436" s="73"/>
      <c r="K436" s="327"/>
    </row>
    <row r="437" customFormat="false" ht="12.75" hidden="false" customHeight="false" outlineLevel="0" collapsed="false">
      <c r="A437" s="325"/>
      <c r="B437" s="326"/>
      <c r="J437" s="73"/>
      <c r="K437" s="327"/>
    </row>
    <row r="438" customFormat="false" ht="12.75" hidden="false" customHeight="false" outlineLevel="0" collapsed="false">
      <c r="A438" s="325"/>
      <c r="B438" s="326"/>
      <c r="J438" s="73"/>
      <c r="K438" s="327"/>
    </row>
    <row r="439" customFormat="false" ht="12.75" hidden="false" customHeight="false" outlineLevel="0" collapsed="false">
      <c r="A439" s="325"/>
      <c r="B439" s="326"/>
      <c r="J439" s="73"/>
      <c r="K439" s="327"/>
    </row>
    <row r="440" customFormat="false" ht="12.75" hidden="false" customHeight="false" outlineLevel="0" collapsed="false">
      <c r="A440" s="325"/>
      <c r="B440" s="326"/>
      <c r="J440" s="73"/>
      <c r="K440" s="327"/>
    </row>
    <row r="441" customFormat="false" ht="12.75" hidden="false" customHeight="false" outlineLevel="0" collapsed="false">
      <c r="A441" s="325"/>
      <c r="B441" s="326"/>
      <c r="J441" s="73"/>
      <c r="K441" s="327"/>
    </row>
    <row r="442" customFormat="false" ht="12.75" hidden="false" customHeight="false" outlineLevel="0" collapsed="false">
      <c r="A442" s="325"/>
      <c r="B442" s="326"/>
      <c r="J442" s="73"/>
      <c r="K442" s="327"/>
    </row>
    <row r="443" customFormat="false" ht="12.75" hidden="false" customHeight="false" outlineLevel="0" collapsed="false">
      <c r="A443" s="325"/>
      <c r="B443" s="326"/>
      <c r="J443" s="73"/>
      <c r="K443" s="327"/>
    </row>
    <row r="444" customFormat="false" ht="12.75" hidden="false" customHeight="false" outlineLevel="0" collapsed="false">
      <c r="A444" s="325"/>
      <c r="B444" s="326"/>
      <c r="J444" s="73"/>
      <c r="K444" s="327"/>
    </row>
    <row r="445" customFormat="false" ht="12.75" hidden="false" customHeight="false" outlineLevel="0" collapsed="false">
      <c r="A445" s="325"/>
      <c r="B445" s="326"/>
      <c r="J445" s="73"/>
      <c r="K445" s="327"/>
    </row>
    <row r="446" customFormat="false" ht="12.75" hidden="false" customHeight="false" outlineLevel="0" collapsed="false">
      <c r="A446" s="325"/>
      <c r="B446" s="326"/>
      <c r="J446" s="73"/>
      <c r="K446" s="327"/>
    </row>
    <row r="447" customFormat="false" ht="12.75" hidden="false" customHeight="false" outlineLevel="0" collapsed="false">
      <c r="A447" s="325"/>
      <c r="B447" s="326"/>
      <c r="J447" s="73"/>
      <c r="K447" s="327"/>
    </row>
    <row r="448" customFormat="false" ht="12.75" hidden="false" customHeight="false" outlineLevel="0" collapsed="false">
      <c r="A448" s="325"/>
      <c r="B448" s="326"/>
      <c r="J448" s="73"/>
      <c r="K448" s="327"/>
    </row>
    <row r="449" customFormat="false" ht="12.75" hidden="false" customHeight="false" outlineLevel="0" collapsed="false">
      <c r="A449" s="325"/>
      <c r="B449" s="326"/>
      <c r="J449" s="73"/>
      <c r="K449" s="327"/>
    </row>
    <row r="450" customFormat="false" ht="12.75" hidden="false" customHeight="false" outlineLevel="0" collapsed="false">
      <c r="A450" s="325"/>
      <c r="B450" s="326"/>
      <c r="J450" s="73"/>
      <c r="K450" s="327"/>
    </row>
    <row r="451" customFormat="false" ht="12.75" hidden="false" customHeight="false" outlineLevel="0" collapsed="false">
      <c r="A451" s="325"/>
      <c r="B451" s="326"/>
      <c r="J451" s="73"/>
      <c r="K451" s="327"/>
    </row>
    <row r="452" customFormat="false" ht="12.75" hidden="false" customHeight="false" outlineLevel="0" collapsed="false">
      <c r="A452" s="325"/>
      <c r="B452" s="326"/>
      <c r="J452" s="73"/>
      <c r="K452" s="327"/>
    </row>
    <row r="453" customFormat="false" ht="12.75" hidden="false" customHeight="false" outlineLevel="0" collapsed="false">
      <c r="A453" s="325"/>
      <c r="B453" s="326"/>
      <c r="J453" s="73"/>
      <c r="K453" s="327"/>
    </row>
    <row r="454" customFormat="false" ht="12.75" hidden="false" customHeight="false" outlineLevel="0" collapsed="false">
      <c r="A454" s="325"/>
      <c r="B454" s="326"/>
      <c r="J454" s="73"/>
      <c r="K454" s="327"/>
    </row>
    <row r="455" customFormat="false" ht="12.75" hidden="false" customHeight="false" outlineLevel="0" collapsed="false">
      <c r="A455" s="325"/>
      <c r="B455" s="326"/>
      <c r="J455" s="73"/>
      <c r="K455" s="327"/>
    </row>
    <row r="456" customFormat="false" ht="12.75" hidden="false" customHeight="false" outlineLevel="0" collapsed="false">
      <c r="A456" s="325"/>
      <c r="B456" s="326"/>
      <c r="J456" s="73"/>
      <c r="K456" s="327"/>
    </row>
    <row r="457" customFormat="false" ht="12.75" hidden="false" customHeight="false" outlineLevel="0" collapsed="false">
      <c r="A457" s="325"/>
      <c r="B457" s="326"/>
      <c r="J457" s="73"/>
      <c r="K457" s="327"/>
    </row>
    <row r="458" customFormat="false" ht="12.75" hidden="false" customHeight="false" outlineLevel="0" collapsed="false">
      <c r="A458" s="325"/>
      <c r="B458" s="326"/>
      <c r="J458" s="73"/>
      <c r="K458" s="327"/>
    </row>
    <row r="459" customFormat="false" ht="12.75" hidden="false" customHeight="false" outlineLevel="0" collapsed="false">
      <c r="A459" s="325"/>
      <c r="B459" s="326"/>
      <c r="J459" s="73"/>
      <c r="K459" s="327"/>
    </row>
    <row r="460" customFormat="false" ht="12.75" hidden="false" customHeight="false" outlineLevel="0" collapsed="false">
      <c r="A460" s="325"/>
      <c r="B460" s="326"/>
      <c r="J460" s="73"/>
      <c r="K460" s="327"/>
    </row>
    <row r="461" customFormat="false" ht="12.75" hidden="false" customHeight="false" outlineLevel="0" collapsed="false">
      <c r="A461" s="325"/>
      <c r="B461" s="326"/>
      <c r="J461" s="73"/>
      <c r="K461" s="327"/>
    </row>
    <row r="462" customFormat="false" ht="12.75" hidden="false" customHeight="false" outlineLevel="0" collapsed="false">
      <c r="A462" s="325"/>
      <c r="B462" s="326"/>
      <c r="J462" s="73"/>
      <c r="K462" s="327"/>
    </row>
    <row r="463" customFormat="false" ht="12.75" hidden="false" customHeight="false" outlineLevel="0" collapsed="false">
      <c r="A463" s="325"/>
      <c r="B463" s="326"/>
      <c r="J463" s="73"/>
      <c r="K463" s="327"/>
    </row>
    <row r="464" customFormat="false" ht="12.75" hidden="false" customHeight="false" outlineLevel="0" collapsed="false">
      <c r="A464" s="325"/>
      <c r="B464" s="326"/>
      <c r="J464" s="73"/>
      <c r="K464" s="327"/>
    </row>
    <row r="465" customFormat="false" ht="12.75" hidden="false" customHeight="false" outlineLevel="0" collapsed="false">
      <c r="A465" s="325"/>
      <c r="B465" s="326"/>
      <c r="J465" s="73"/>
      <c r="K465" s="327"/>
    </row>
    <row r="466" customFormat="false" ht="12.75" hidden="false" customHeight="false" outlineLevel="0" collapsed="false">
      <c r="A466" s="325"/>
      <c r="B466" s="326"/>
      <c r="J466" s="73"/>
      <c r="K466" s="327"/>
    </row>
    <row r="467" customFormat="false" ht="12.75" hidden="false" customHeight="false" outlineLevel="0" collapsed="false">
      <c r="A467" s="325"/>
      <c r="B467" s="326"/>
      <c r="J467" s="73"/>
      <c r="K467" s="327"/>
    </row>
    <row r="468" customFormat="false" ht="12.75" hidden="false" customHeight="false" outlineLevel="0" collapsed="false">
      <c r="A468" s="325"/>
      <c r="B468" s="326"/>
      <c r="J468" s="73"/>
      <c r="K468" s="327"/>
    </row>
    <row r="469" customFormat="false" ht="12.75" hidden="false" customHeight="false" outlineLevel="0" collapsed="false">
      <c r="A469" s="325"/>
      <c r="B469" s="326"/>
      <c r="J469" s="73"/>
      <c r="K469" s="327"/>
    </row>
    <row r="470" customFormat="false" ht="12.75" hidden="false" customHeight="false" outlineLevel="0" collapsed="false">
      <c r="A470" s="325"/>
      <c r="B470" s="326"/>
      <c r="J470" s="73"/>
      <c r="K470" s="327"/>
    </row>
    <row r="471" customFormat="false" ht="12.75" hidden="false" customHeight="false" outlineLevel="0" collapsed="false">
      <c r="A471" s="325"/>
      <c r="B471" s="326"/>
      <c r="J471" s="73"/>
      <c r="K471" s="327"/>
    </row>
    <row r="472" customFormat="false" ht="12.75" hidden="false" customHeight="false" outlineLevel="0" collapsed="false">
      <c r="A472" s="325"/>
      <c r="B472" s="326"/>
      <c r="J472" s="73"/>
      <c r="K472" s="327"/>
    </row>
    <row r="473" customFormat="false" ht="12.75" hidden="false" customHeight="false" outlineLevel="0" collapsed="false">
      <c r="A473" s="325"/>
      <c r="B473" s="326"/>
      <c r="J473" s="73"/>
      <c r="K473" s="327"/>
    </row>
    <row r="474" customFormat="false" ht="12.75" hidden="false" customHeight="false" outlineLevel="0" collapsed="false">
      <c r="A474" s="325"/>
      <c r="B474" s="326"/>
      <c r="J474" s="73"/>
      <c r="K474" s="327"/>
    </row>
    <row r="475" customFormat="false" ht="12.75" hidden="false" customHeight="false" outlineLevel="0" collapsed="false">
      <c r="A475" s="325"/>
      <c r="B475" s="326"/>
      <c r="J475" s="73"/>
      <c r="K475" s="327"/>
    </row>
    <row r="476" customFormat="false" ht="12.75" hidden="false" customHeight="false" outlineLevel="0" collapsed="false">
      <c r="A476" s="325"/>
      <c r="B476" s="326"/>
      <c r="J476" s="73"/>
      <c r="K476" s="327"/>
    </row>
    <row r="477" customFormat="false" ht="12.75" hidden="false" customHeight="false" outlineLevel="0" collapsed="false">
      <c r="A477" s="325"/>
      <c r="B477" s="326"/>
      <c r="J477" s="73"/>
      <c r="K477" s="327"/>
    </row>
    <row r="478" customFormat="false" ht="12.75" hidden="false" customHeight="false" outlineLevel="0" collapsed="false">
      <c r="A478" s="325"/>
      <c r="B478" s="326"/>
      <c r="J478" s="73"/>
      <c r="K478" s="327"/>
    </row>
    <row r="479" customFormat="false" ht="12.75" hidden="false" customHeight="false" outlineLevel="0" collapsed="false">
      <c r="A479" s="325"/>
      <c r="B479" s="326"/>
      <c r="J479" s="73"/>
      <c r="K479" s="327"/>
    </row>
    <row r="480" customFormat="false" ht="12.75" hidden="false" customHeight="false" outlineLevel="0" collapsed="false">
      <c r="A480" s="325"/>
      <c r="B480" s="326"/>
      <c r="J480" s="73"/>
      <c r="K480" s="327"/>
    </row>
    <row r="481" customFormat="false" ht="12.75" hidden="false" customHeight="false" outlineLevel="0" collapsed="false">
      <c r="A481" s="325"/>
      <c r="B481" s="326"/>
      <c r="J481" s="73"/>
      <c r="K481" s="327"/>
    </row>
    <row r="482" customFormat="false" ht="12.75" hidden="false" customHeight="false" outlineLevel="0" collapsed="false">
      <c r="A482" s="325"/>
      <c r="B482" s="326"/>
      <c r="J482" s="73"/>
      <c r="K482" s="327"/>
    </row>
    <row r="483" customFormat="false" ht="12.75" hidden="false" customHeight="false" outlineLevel="0" collapsed="false">
      <c r="A483" s="325"/>
      <c r="B483" s="326"/>
      <c r="J483" s="73"/>
      <c r="K483" s="327"/>
    </row>
    <row r="484" customFormat="false" ht="12.75" hidden="false" customHeight="false" outlineLevel="0" collapsed="false">
      <c r="A484" s="325"/>
      <c r="B484" s="326"/>
      <c r="J484" s="73"/>
      <c r="K484" s="327"/>
    </row>
    <row r="485" customFormat="false" ht="12.75" hidden="false" customHeight="false" outlineLevel="0" collapsed="false">
      <c r="A485" s="325"/>
      <c r="B485" s="326"/>
      <c r="J485" s="73"/>
      <c r="K485" s="327"/>
    </row>
    <row r="486" customFormat="false" ht="12.75" hidden="false" customHeight="false" outlineLevel="0" collapsed="false">
      <c r="A486" s="325"/>
      <c r="B486" s="326"/>
      <c r="J486" s="73"/>
      <c r="K486" s="327"/>
    </row>
    <row r="487" customFormat="false" ht="12.75" hidden="false" customHeight="false" outlineLevel="0" collapsed="false">
      <c r="A487" s="325"/>
      <c r="B487" s="326"/>
      <c r="J487" s="73"/>
      <c r="K487" s="327"/>
    </row>
    <row r="488" customFormat="false" ht="12.75" hidden="false" customHeight="false" outlineLevel="0" collapsed="false">
      <c r="A488" s="325"/>
      <c r="B488" s="326"/>
      <c r="J488" s="73"/>
      <c r="K488" s="327"/>
    </row>
    <row r="489" customFormat="false" ht="12.75" hidden="false" customHeight="false" outlineLevel="0" collapsed="false">
      <c r="A489" s="325"/>
      <c r="B489" s="326"/>
      <c r="J489" s="73"/>
      <c r="K489" s="327"/>
    </row>
    <row r="490" customFormat="false" ht="12.75" hidden="false" customHeight="false" outlineLevel="0" collapsed="false">
      <c r="A490" s="325"/>
      <c r="B490" s="326"/>
      <c r="J490" s="73"/>
      <c r="K490" s="327"/>
    </row>
    <row r="491" customFormat="false" ht="12.75" hidden="false" customHeight="false" outlineLevel="0" collapsed="false">
      <c r="A491" s="325"/>
      <c r="B491" s="326"/>
      <c r="J491" s="73"/>
      <c r="K491" s="327"/>
    </row>
    <row r="492" customFormat="false" ht="12.75" hidden="false" customHeight="false" outlineLevel="0" collapsed="false">
      <c r="A492" s="325"/>
      <c r="B492" s="326"/>
      <c r="J492" s="73"/>
      <c r="K492" s="327"/>
    </row>
    <row r="493" customFormat="false" ht="12.75" hidden="false" customHeight="false" outlineLevel="0" collapsed="false">
      <c r="A493" s="325"/>
      <c r="B493" s="326"/>
      <c r="J493" s="73"/>
      <c r="K493" s="327"/>
    </row>
    <row r="494" customFormat="false" ht="12.75" hidden="false" customHeight="false" outlineLevel="0" collapsed="false">
      <c r="A494" s="325"/>
      <c r="B494" s="326"/>
      <c r="J494" s="73"/>
      <c r="K494" s="327"/>
    </row>
    <row r="495" customFormat="false" ht="12.75" hidden="false" customHeight="false" outlineLevel="0" collapsed="false">
      <c r="A495" s="325"/>
      <c r="B495" s="326"/>
      <c r="J495" s="73"/>
      <c r="K495" s="327"/>
    </row>
    <row r="496" customFormat="false" ht="12.75" hidden="false" customHeight="false" outlineLevel="0" collapsed="false">
      <c r="A496" s="325"/>
      <c r="B496" s="326"/>
      <c r="J496" s="73"/>
      <c r="K496" s="327"/>
    </row>
    <row r="497" customFormat="false" ht="12.75" hidden="false" customHeight="false" outlineLevel="0" collapsed="false">
      <c r="A497" s="325"/>
      <c r="B497" s="326"/>
      <c r="J497" s="73"/>
      <c r="K497" s="327"/>
    </row>
    <row r="498" customFormat="false" ht="12.75" hidden="false" customHeight="false" outlineLevel="0" collapsed="false">
      <c r="A498" s="325"/>
      <c r="B498" s="326"/>
      <c r="J498" s="73"/>
      <c r="K498" s="327"/>
    </row>
    <row r="499" customFormat="false" ht="12.75" hidden="false" customHeight="false" outlineLevel="0" collapsed="false">
      <c r="A499" s="325"/>
      <c r="B499" s="326"/>
      <c r="J499" s="73"/>
      <c r="K499" s="327"/>
    </row>
    <row r="500" customFormat="false" ht="12.75" hidden="false" customHeight="false" outlineLevel="0" collapsed="false">
      <c r="A500" s="325"/>
      <c r="B500" s="326"/>
      <c r="J500" s="73"/>
      <c r="K500" s="327"/>
    </row>
    <row r="501" customFormat="false" ht="12.75" hidden="false" customHeight="false" outlineLevel="0" collapsed="false">
      <c r="A501" s="325"/>
      <c r="B501" s="326"/>
      <c r="J501" s="73"/>
      <c r="K501" s="327"/>
    </row>
    <row r="502" customFormat="false" ht="12.75" hidden="false" customHeight="false" outlineLevel="0" collapsed="false">
      <c r="A502" s="325"/>
      <c r="B502" s="326"/>
      <c r="J502" s="73"/>
      <c r="K502" s="327"/>
    </row>
    <row r="503" customFormat="false" ht="12.75" hidden="false" customHeight="false" outlineLevel="0" collapsed="false">
      <c r="A503" s="325"/>
      <c r="B503" s="326"/>
      <c r="J503" s="73"/>
      <c r="K503" s="327"/>
    </row>
    <row r="504" customFormat="false" ht="12.75" hidden="false" customHeight="false" outlineLevel="0" collapsed="false">
      <c r="A504" s="325"/>
      <c r="B504" s="326"/>
      <c r="J504" s="73"/>
      <c r="K504" s="327"/>
    </row>
    <row r="505" customFormat="false" ht="12.75" hidden="false" customHeight="false" outlineLevel="0" collapsed="false">
      <c r="A505" s="325"/>
      <c r="B505" s="326"/>
      <c r="J505" s="73"/>
      <c r="K505" s="327"/>
    </row>
    <row r="506" customFormat="false" ht="12.75" hidden="false" customHeight="false" outlineLevel="0" collapsed="false">
      <c r="A506" s="325"/>
      <c r="B506" s="326"/>
      <c r="J506" s="73"/>
      <c r="K506" s="327"/>
    </row>
    <row r="507" customFormat="false" ht="12.75" hidden="false" customHeight="false" outlineLevel="0" collapsed="false">
      <c r="A507" s="325"/>
      <c r="B507" s="326"/>
      <c r="J507" s="73"/>
      <c r="K507" s="327"/>
    </row>
    <row r="508" customFormat="false" ht="12.75" hidden="false" customHeight="false" outlineLevel="0" collapsed="false">
      <c r="A508" s="325"/>
      <c r="B508" s="326"/>
      <c r="J508" s="73"/>
      <c r="K508" s="327"/>
    </row>
    <row r="509" customFormat="false" ht="12.75" hidden="false" customHeight="false" outlineLevel="0" collapsed="false">
      <c r="A509" s="325"/>
      <c r="B509" s="326"/>
      <c r="J509" s="73"/>
      <c r="K509" s="327"/>
    </row>
    <row r="510" customFormat="false" ht="12.75" hidden="false" customHeight="false" outlineLevel="0" collapsed="false">
      <c r="A510" s="325"/>
      <c r="B510" s="326"/>
      <c r="J510" s="73"/>
      <c r="K510" s="327"/>
    </row>
    <row r="511" customFormat="false" ht="12.75" hidden="false" customHeight="false" outlineLevel="0" collapsed="false">
      <c r="A511" s="325"/>
      <c r="B511" s="326"/>
      <c r="J511" s="73"/>
      <c r="K511" s="327"/>
    </row>
    <row r="512" customFormat="false" ht="12.75" hidden="false" customHeight="false" outlineLevel="0" collapsed="false">
      <c r="A512" s="325"/>
      <c r="B512" s="326"/>
      <c r="J512" s="73"/>
      <c r="K512" s="327"/>
    </row>
    <row r="513" customFormat="false" ht="12.75" hidden="false" customHeight="false" outlineLevel="0" collapsed="false">
      <c r="A513" s="325"/>
      <c r="B513" s="326"/>
      <c r="J513" s="73"/>
      <c r="K513" s="327"/>
    </row>
    <row r="514" customFormat="false" ht="12.75" hidden="false" customHeight="false" outlineLevel="0" collapsed="false">
      <c r="A514" s="325"/>
      <c r="B514" s="326"/>
      <c r="J514" s="73"/>
      <c r="K514" s="327"/>
    </row>
    <row r="515" customFormat="false" ht="12.75" hidden="false" customHeight="false" outlineLevel="0" collapsed="false">
      <c r="A515" s="325"/>
      <c r="B515" s="326"/>
      <c r="J515" s="73"/>
      <c r="K515" s="327"/>
    </row>
    <row r="516" customFormat="false" ht="12.75" hidden="false" customHeight="false" outlineLevel="0" collapsed="false">
      <c r="A516" s="325"/>
      <c r="B516" s="326"/>
      <c r="J516" s="73"/>
      <c r="K516" s="327"/>
    </row>
    <row r="517" customFormat="false" ht="12.75" hidden="false" customHeight="false" outlineLevel="0" collapsed="false">
      <c r="A517" s="325"/>
      <c r="B517" s="326"/>
      <c r="J517" s="73"/>
      <c r="K517" s="327"/>
    </row>
    <row r="518" customFormat="false" ht="12.75" hidden="false" customHeight="false" outlineLevel="0" collapsed="false">
      <c r="A518" s="325"/>
      <c r="B518" s="326"/>
      <c r="J518" s="73"/>
      <c r="K518" s="327"/>
    </row>
    <row r="519" customFormat="false" ht="12.75" hidden="false" customHeight="false" outlineLevel="0" collapsed="false">
      <c r="A519" s="325"/>
      <c r="B519" s="326"/>
      <c r="J519" s="73"/>
      <c r="K519" s="327"/>
    </row>
    <row r="520" customFormat="false" ht="12.75" hidden="false" customHeight="false" outlineLevel="0" collapsed="false">
      <c r="A520" s="325"/>
      <c r="B520" s="326"/>
      <c r="J520" s="73"/>
      <c r="K520" s="327"/>
    </row>
    <row r="521" customFormat="false" ht="12.75" hidden="false" customHeight="false" outlineLevel="0" collapsed="false">
      <c r="A521" s="325"/>
      <c r="B521" s="326"/>
      <c r="J521" s="73"/>
      <c r="K521" s="327"/>
    </row>
    <row r="522" customFormat="false" ht="12.75" hidden="false" customHeight="false" outlineLevel="0" collapsed="false">
      <c r="A522" s="325"/>
      <c r="B522" s="326"/>
      <c r="J522" s="73"/>
      <c r="K522" s="327"/>
    </row>
    <row r="523" customFormat="false" ht="12.75" hidden="false" customHeight="false" outlineLevel="0" collapsed="false">
      <c r="A523" s="325"/>
      <c r="B523" s="326"/>
      <c r="J523" s="73"/>
      <c r="K523" s="327"/>
    </row>
    <row r="524" customFormat="false" ht="12.75" hidden="false" customHeight="false" outlineLevel="0" collapsed="false">
      <c r="A524" s="325"/>
      <c r="B524" s="326"/>
      <c r="J524" s="73"/>
      <c r="K524" s="327"/>
    </row>
    <row r="525" customFormat="false" ht="12.75" hidden="false" customHeight="false" outlineLevel="0" collapsed="false">
      <c r="A525" s="325"/>
      <c r="B525" s="326"/>
      <c r="J525" s="73"/>
      <c r="K525" s="327"/>
    </row>
    <row r="526" customFormat="false" ht="12.75" hidden="false" customHeight="false" outlineLevel="0" collapsed="false">
      <c r="A526" s="325"/>
      <c r="B526" s="326"/>
      <c r="J526" s="73"/>
      <c r="K526" s="327"/>
    </row>
    <row r="527" customFormat="false" ht="12.75" hidden="false" customHeight="false" outlineLevel="0" collapsed="false">
      <c r="A527" s="325"/>
      <c r="B527" s="326"/>
      <c r="J527" s="73"/>
      <c r="K527" s="327"/>
    </row>
    <row r="528" customFormat="false" ht="12.75" hidden="false" customHeight="false" outlineLevel="0" collapsed="false">
      <c r="A528" s="325"/>
      <c r="B528" s="326"/>
      <c r="J528" s="73"/>
      <c r="K528" s="327"/>
    </row>
    <row r="529" customFormat="false" ht="12.75" hidden="false" customHeight="false" outlineLevel="0" collapsed="false">
      <c r="A529" s="325"/>
      <c r="B529" s="326"/>
      <c r="J529" s="73"/>
      <c r="K529" s="327"/>
    </row>
    <row r="530" customFormat="false" ht="12.75" hidden="false" customHeight="false" outlineLevel="0" collapsed="false">
      <c r="A530" s="325"/>
      <c r="B530" s="326"/>
      <c r="J530" s="73"/>
      <c r="K530" s="327"/>
    </row>
    <row r="531" customFormat="false" ht="12.75" hidden="false" customHeight="false" outlineLevel="0" collapsed="false">
      <c r="A531" s="325"/>
      <c r="B531" s="326"/>
      <c r="J531" s="73"/>
      <c r="K531" s="327"/>
    </row>
    <row r="532" customFormat="false" ht="12.75" hidden="false" customHeight="false" outlineLevel="0" collapsed="false">
      <c r="A532" s="325"/>
      <c r="B532" s="326"/>
      <c r="J532" s="73"/>
      <c r="K532" s="327"/>
    </row>
    <row r="533" customFormat="false" ht="12.75" hidden="false" customHeight="false" outlineLevel="0" collapsed="false">
      <c r="A533" s="325"/>
      <c r="B533" s="326"/>
      <c r="J533" s="73"/>
      <c r="K533" s="327"/>
    </row>
    <row r="534" customFormat="false" ht="12.75" hidden="false" customHeight="false" outlineLevel="0" collapsed="false">
      <c r="A534" s="325"/>
      <c r="B534" s="326"/>
      <c r="J534" s="73"/>
      <c r="K534" s="327"/>
    </row>
    <row r="535" customFormat="false" ht="12.75" hidden="false" customHeight="false" outlineLevel="0" collapsed="false">
      <c r="A535" s="325"/>
      <c r="B535" s="326"/>
      <c r="J535" s="73"/>
      <c r="K535" s="327"/>
    </row>
    <row r="536" customFormat="false" ht="12.75" hidden="false" customHeight="false" outlineLevel="0" collapsed="false">
      <c r="A536" s="325"/>
      <c r="B536" s="326"/>
      <c r="J536" s="73"/>
      <c r="K536" s="327"/>
    </row>
    <row r="537" customFormat="false" ht="12.75" hidden="false" customHeight="false" outlineLevel="0" collapsed="false">
      <c r="A537" s="325"/>
      <c r="B537" s="326"/>
      <c r="J537" s="73"/>
      <c r="K537" s="327"/>
    </row>
    <row r="538" customFormat="false" ht="12.75" hidden="false" customHeight="false" outlineLevel="0" collapsed="false">
      <c r="A538" s="325"/>
      <c r="B538" s="326"/>
      <c r="J538" s="73"/>
      <c r="K538" s="327"/>
    </row>
    <row r="539" customFormat="false" ht="12.75" hidden="false" customHeight="false" outlineLevel="0" collapsed="false">
      <c r="A539" s="325"/>
      <c r="B539" s="326"/>
      <c r="J539" s="73"/>
      <c r="K539" s="327"/>
    </row>
    <row r="540" customFormat="false" ht="12.75" hidden="false" customHeight="false" outlineLevel="0" collapsed="false">
      <c r="A540" s="325"/>
      <c r="B540" s="326"/>
      <c r="J540" s="73"/>
      <c r="K540" s="327"/>
    </row>
    <row r="541" customFormat="false" ht="12.75" hidden="false" customHeight="false" outlineLevel="0" collapsed="false">
      <c r="A541" s="325"/>
      <c r="B541" s="326"/>
      <c r="J541" s="73"/>
      <c r="K541" s="327"/>
    </row>
    <row r="542" customFormat="false" ht="12.75" hidden="false" customHeight="false" outlineLevel="0" collapsed="false">
      <c r="A542" s="325"/>
      <c r="B542" s="326"/>
      <c r="J542" s="73"/>
      <c r="K542" s="327"/>
    </row>
    <row r="543" customFormat="false" ht="12.75" hidden="false" customHeight="false" outlineLevel="0" collapsed="false">
      <c r="A543" s="325"/>
      <c r="B543" s="326"/>
      <c r="J543" s="73"/>
      <c r="K543" s="327"/>
    </row>
    <row r="544" customFormat="false" ht="12.75" hidden="false" customHeight="false" outlineLevel="0" collapsed="false">
      <c r="A544" s="325"/>
      <c r="B544" s="326"/>
      <c r="J544" s="73"/>
      <c r="K544" s="327"/>
    </row>
    <row r="545" customFormat="false" ht="12.75" hidden="false" customHeight="false" outlineLevel="0" collapsed="false">
      <c r="A545" s="325"/>
      <c r="B545" s="326"/>
      <c r="J545" s="73"/>
      <c r="K545" s="327"/>
    </row>
    <row r="546" customFormat="false" ht="12.75" hidden="false" customHeight="false" outlineLevel="0" collapsed="false">
      <c r="A546" s="325"/>
      <c r="B546" s="326"/>
      <c r="J546" s="73"/>
      <c r="K546" s="327"/>
    </row>
    <row r="547" customFormat="false" ht="12.75" hidden="false" customHeight="false" outlineLevel="0" collapsed="false">
      <c r="A547" s="325"/>
      <c r="B547" s="326"/>
      <c r="J547" s="73"/>
      <c r="K547" s="327"/>
    </row>
    <row r="548" customFormat="false" ht="12.75" hidden="false" customHeight="false" outlineLevel="0" collapsed="false">
      <c r="A548" s="325"/>
      <c r="B548" s="326"/>
      <c r="J548" s="73"/>
      <c r="K548" s="327"/>
    </row>
    <row r="549" customFormat="false" ht="12.75" hidden="false" customHeight="false" outlineLevel="0" collapsed="false">
      <c r="A549" s="325"/>
      <c r="B549" s="326"/>
      <c r="J549" s="73"/>
      <c r="K549" s="327"/>
    </row>
    <row r="550" customFormat="false" ht="12.75" hidden="false" customHeight="false" outlineLevel="0" collapsed="false">
      <c r="A550" s="325"/>
      <c r="B550" s="326"/>
      <c r="J550" s="73"/>
      <c r="K550" s="327"/>
    </row>
    <row r="551" customFormat="false" ht="12.75" hidden="false" customHeight="false" outlineLevel="0" collapsed="false">
      <c r="A551" s="325"/>
      <c r="B551" s="326"/>
      <c r="J551" s="73"/>
      <c r="K551" s="327"/>
    </row>
    <row r="552" customFormat="false" ht="12.75" hidden="false" customHeight="false" outlineLevel="0" collapsed="false">
      <c r="A552" s="325"/>
      <c r="B552" s="326"/>
      <c r="J552" s="73"/>
      <c r="K552" s="327"/>
    </row>
    <row r="553" customFormat="false" ht="12.75" hidden="false" customHeight="false" outlineLevel="0" collapsed="false">
      <c r="A553" s="325"/>
      <c r="B553" s="326"/>
      <c r="J553" s="73"/>
      <c r="K553" s="327"/>
    </row>
    <row r="554" customFormat="false" ht="12.75" hidden="false" customHeight="false" outlineLevel="0" collapsed="false">
      <c r="A554" s="325"/>
      <c r="B554" s="326"/>
      <c r="J554" s="73"/>
      <c r="K554" s="327"/>
    </row>
    <row r="555" customFormat="false" ht="12.75" hidden="false" customHeight="false" outlineLevel="0" collapsed="false">
      <c r="A555" s="325"/>
      <c r="B555" s="326"/>
      <c r="J555" s="73"/>
      <c r="K555" s="327"/>
    </row>
    <row r="556" customFormat="false" ht="12.75" hidden="false" customHeight="false" outlineLevel="0" collapsed="false">
      <c r="A556" s="325"/>
      <c r="B556" s="326"/>
      <c r="J556" s="73"/>
      <c r="K556" s="327"/>
    </row>
    <row r="557" customFormat="false" ht="12.75" hidden="false" customHeight="false" outlineLevel="0" collapsed="false">
      <c r="A557" s="325"/>
      <c r="B557" s="326"/>
      <c r="J557" s="73"/>
      <c r="K557" s="327"/>
    </row>
    <row r="558" customFormat="false" ht="12.75" hidden="false" customHeight="false" outlineLevel="0" collapsed="false">
      <c r="A558" s="325"/>
      <c r="B558" s="326"/>
      <c r="J558" s="73"/>
      <c r="K558" s="327"/>
    </row>
    <row r="559" customFormat="false" ht="12.75" hidden="false" customHeight="false" outlineLevel="0" collapsed="false">
      <c r="A559" s="325"/>
      <c r="B559" s="326"/>
      <c r="J559" s="73"/>
      <c r="K559" s="327"/>
    </row>
    <row r="560" customFormat="false" ht="12.75" hidden="false" customHeight="false" outlineLevel="0" collapsed="false">
      <c r="A560" s="325"/>
      <c r="B560" s="326"/>
      <c r="J560" s="73"/>
      <c r="K560" s="327"/>
    </row>
    <row r="561" customFormat="false" ht="12.75" hidden="false" customHeight="false" outlineLevel="0" collapsed="false">
      <c r="A561" s="325"/>
      <c r="B561" s="326"/>
      <c r="J561" s="73"/>
      <c r="K561" s="327"/>
    </row>
    <row r="562" customFormat="false" ht="12.75" hidden="false" customHeight="false" outlineLevel="0" collapsed="false">
      <c r="A562" s="325"/>
      <c r="B562" s="326"/>
      <c r="J562" s="73"/>
      <c r="K562" s="327"/>
    </row>
    <row r="563" customFormat="false" ht="12.75" hidden="false" customHeight="false" outlineLevel="0" collapsed="false">
      <c r="A563" s="325"/>
      <c r="B563" s="326"/>
      <c r="J563" s="73"/>
      <c r="K563" s="327"/>
    </row>
    <row r="564" customFormat="false" ht="12.75" hidden="false" customHeight="false" outlineLevel="0" collapsed="false">
      <c r="A564" s="325"/>
      <c r="B564" s="326"/>
      <c r="J564" s="73"/>
      <c r="K564" s="327"/>
    </row>
    <row r="565" customFormat="false" ht="12.75" hidden="false" customHeight="false" outlineLevel="0" collapsed="false">
      <c r="A565" s="325"/>
      <c r="B565" s="326"/>
      <c r="J565" s="73"/>
      <c r="K565" s="327"/>
    </row>
    <row r="566" customFormat="false" ht="12.75" hidden="false" customHeight="false" outlineLevel="0" collapsed="false">
      <c r="A566" s="325"/>
      <c r="B566" s="326"/>
      <c r="J566" s="73"/>
      <c r="K566" s="327"/>
    </row>
    <row r="567" customFormat="false" ht="12.75" hidden="false" customHeight="false" outlineLevel="0" collapsed="false">
      <c r="A567" s="325"/>
      <c r="B567" s="326"/>
      <c r="J567" s="73"/>
      <c r="K567" s="327"/>
    </row>
    <row r="568" customFormat="false" ht="12.75" hidden="false" customHeight="false" outlineLevel="0" collapsed="false">
      <c r="A568" s="325"/>
      <c r="B568" s="326"/>
      <c r="J568" s="73"/>
      <c r="K568" s="327"/>
    </row>
    <row r="569" customFormat="false" ht="12.75" hidden="false" customHeight="false" outlineLevel="0" collapsed="false">
      <c r="A569" s="325"/>
      <c r="B569" s="326"/>
      <c r="J569" s="73"/>
      <c r="K569" s="327"/>
    </row>
    <row r="570" customFormat="false" ht="12.75" hidden="false" customHeight="false" outlineLevel="0" collapsed="false">
      <c r="A570" s="325"/>
      <c r="B570" s="326"/>
      <c r="J570" s="73"/>
      <c r="K570" s="327"/>
    </row>
    <row r="571" customFormat="false" ht="12.75" hidden="false" customHeight="false" outlineLevel="0" collapsed="false">
      <c r="A571" s="325"/>
      <c r="B571" s="326"/>
      <c r="J571" s="73"/>
      <c r="K571" s="327"/>
    </row>
    <row r="572" customFormat="false" ht="12.75" hidden="false" customHeight="false" outlineLevel="0" collapsed="false">
      <c r="A572" s="325"/>
      <c r="B572" s="326"/>
      <c r="J572" s="73"/>
      <c r="K572" s="327"/>
    </row>
    <row r="573" customFormat="false" ht="12.75" hidden="false" customHeight="false" outlineLevel="0" collapsed="false">
      <c r="A573" s="325"/>
      <c r="B573" s="326"/>
      <c r="J573" s="73"/>
      <c r="K573" s="327"/>
    </row>
    <row r="574" customFormat="false" ht="12.75" hidden="false" customHeight="false" outlineLevel="0" collapsed="false">
      <c r="A574" s="325"/>
      <c r="B574" s="326"/>
      <c r="J574" s="73"/>
      <c r="K574" s="327"/>
    </row>
    <row r="575" customFormat="false" ht="12.75" hidden="false" customHeight="false" outlineLevel="0" collapsed="false">
      <c r="A575" s="325"/>
      <c r="B575" s="326"/>
      <c r="J575" s="73"/>
      <c r="K575" s="327"/>
    </row>
    <row r="576" customFormat="false" ht="12.75" hidden="false" customHeight="false" outlineLevel="0" collapsed="false">
      <c r="A576" s="325"/>
      <c r="B576" s="326"/>
      <c r="J576" s="73"/>
      <c r="K576" s="327"/>
    </row>
    <row r="577" customFormat="false" ht="12.75" hidden="false" customHeight="false" outlineLevel="0" collapsed="false">
      <c r="A577" s="325"/>
      <c r="B577" s="326"/>
      <c r="J577" s="73"/>
      <c r="K577" s="327"/>
    </row>
    <row r="578" customFormat="false" ht="12.75" hidden="false" customHeight="false" outlineLevel="0" collapsed="false">
      <c r="A578" s="325"/>
      <c r="B578" s="326"/>
      <c r="J578" s="73"/>
      <c r="K578" s="327"/>
    </row>
    <row r="579" customFormat="false" ht="12.75" hidden="false" customHeight="false" outlineLevel="0" collapsed="false">
      <c r="A579" s="325"/>
      <c r="B579" s="326"/>
      <c r="J579" s="73"/>
      <c r="K579" s="327"/>
    </row>
    <row r="580" customFormat="false" ht="12.75" hidden="false" customHeight="false" outlineLevel="0" collapsed="false">
      <c r="A580" s="325"/>
      <c r="B580" s="326"/>
      <c r="J580" s="73"/>
      <c r="K580" s="327"/>
    </row>
    <row r="581" customFormat="false" ht="12.75" hidden="false" customHeight="false" outlineLevel="0" collapsed="false">
      <c r="A581" s="325"/>
      <c r="B581" s="326"/>
      <c r="J581" s="73"/>
      <c r="K581" s="327"/>
    </row>
    <row r="582" customFormat="false" ht="12.75" hidden="false" customHeight="false" outlineLevel="0" collapsed="false">
      <c r="A582" s="325"/>
      <c r="B582" s="326"/>
      <c r="J582" s="73"/>
      <c r="K582" s="327"/>
    </row>
    <row r="583" customFormat="false" ht="12.75" hidden="false" customHeight="false" outlineLevel="0" collapsed="false">
      <c r="A583" s="325"/>
      <c r="B583" s="326"/>
      <c r="J583" s="73"/>
      <c r="K583" s="327"/>
    </row>
    <row r="584" customFormat="false" ht="12.75" hidden="false" customHeight="false" outlineLevel="0" collapsed="false">
      <c r="A584" s="325"/>
      <c r="B584" s="326"/>
      <c r="J584" s="73"/>
      <c r="K584" s="327"/>
    </row>
    <row r="585" customFormat="false" ht="12.75" hidden="false" customHeight="false" outlineLevel="0" collapsed="false">
      <c r="A585" s="325"/>
      <c r="B585" s="326"/>
      <c r="J585" s="73"/>
      <c r="K585" s="327"/>
    </row>
    <row r="586" customFormat="false" ht="12.75" hidden="false" customHeight="false" outlineLevel="0" collapsed="false">
      <c r="A586" s="325"/>
      <c r="B586" s="326"/>
      <c r="J586" s="73"/>
      <c r="K586" s="327"/>
    </row>
    <row r="587" customFormat="false" ht="12.75" hidden="false" customHeight="false" outlineLevel="0" collapsed="false">
      <c r="A587" s="325"/>
      <c r="B587" s="326"/>
      <c r="J587" s="73"/>
      <c r="K587" s="327"/>
    </row>
    <row r="588" customFormat="false" ht="12.75" hidden="false" customHeight="false" outlineLevel="0" collapsed="false">
      <c r="A588" s="325"/>
      <c r="B588" s="326"/>
      <c r="J588" s="73"/>
      <c r="K588" s="327"/>
    </row>
    <row r="589" customFormat="false" ht="12.75" hidden="false" customHeight="false" outlineLevel="0" collapsed="false">
      <c r="A589" s="325"/>
      <c r="B589" s="326"/>
      <c r="J589" s="73"/>
      <c r="K589" s="327"/>
    </row>
    <row r="590" customFormat="false" ht="12.75" hidden="false" customHeight="false" outlineLevel="0" collapsed="false">
      <c r="A590" s="325"/>
      <c r="B590" s="326"/>
      <c r="J590" s="73"/>
      <c r="K590" s="327"/>
    </row>
    <row r="591" customFormat="false" ht="12.75" hidden="false" customHeight="false" outlineLevel="0" collapsed="false">
      <c r="A591" s="325"/>
      <c r="B591" s="326"/>
      <c r="J591" s="73"/>
      <c r="K591" s="327"/>
    </row>
    <row r="592" customFormat="false" ht="12.75" hidden="false" customHeight="false" outlineLevel="0" collapsed="false">
      <c r="A592" s="325"/>
      <c r="B592" s="326"/>
      <c r="J592" s="73"/>
      <c r="K592" s="327"/>
    </row>
    <row r="593" customFormat="false" ht="12.75" hidden="false" customHeight="false" outlineLevel="0" collapsed="false">
      <c r="A593" s="325"/>
      <c r="B593" s="326"/>
      <c r="J593" s="73"/>
      <c r="K593" s="327"/>
    </row>
    <row r="594" customFormat="false" ht="12.75" hidden="false" customHeight="false" outlineLevel="0" collapsed="false">
      <c r="A594" s="325"/>
      <c r="B594" s="326"/>
      <c r="J594" s="73"/>
      <c r="K594" s="327"/>
    </row>
    <row r="595" customFormat="false" ht="12.75" hidden="false" customHeight="false" outlineLevel="0" collapsed="false">
      <c r="A595" s="325"/>
      <c r="B595" s="326"/>
      <c r="J595" s="73"/>
      <c r="K595" s="327"/>
    </row>
    <row r="596" customFormat="false" ht="12.75" hidden="false" customHeight="false" outlineLevel="0" collapsed="false">
      <c r="A596" s="325"/>
      <c r="B596" s="326"/>
      <c r="J596" s="73"/>
      <c r="K596" s="327"/>
    </row>
    <row r="597" customFormat="false" ht="12.75" hidden="false" customHeight="false" outlineLevel="0" collapsed="false">
      <c r="A597" s="325"/>
      <c r="B597" s="326"/>
      <c r="J597" s="73"/>
      <c r="K597" s="327"/>
    </row>
    <row r="598" customFormat="false" ht="12.75" hidden="false" customHeight="false" outlineLevel="0" collapsed="false">
      <c r="A598" s="325"/>
      <c r="B598" s="326"/>
      <c r="J598" s="73"/>
      <c r="K598" s="327"/>
    </row>
    <row r="599" customFormat="false" ht="12.75" hidden="false" customHeight="false" outlineLevel="0" collapsed="false">
      <c r="A599" s="325"/>
      <c r="B599" s="326"/>
      <c r="J599" s="73"/>
      <c r="K599" s="327"/>
    </row>
    <row r="600" customFormat="false" ht="12.75" hidden="false" customHeight="false" outlineLevel="0" collapsed="false">
      <c r="A600" s="325"/>
      <c r="B600" s="326"/>
      <c r="J600" s="73"/>
      <c r="K600" s="327"/>
    </row>
    <row r="601" customFormat="false" ht="12.75" hidden="false" customHeight="false" outlineLevel="0" collapsed="false">
      <c r="A601" s="325"/>
      <c r="B601" s="326"/>
      <c r="J601" s="73"/>
      <c r="K601" s="327"/>
    </row>
    <row r="602" customFormat="false" ht="12.75" hidden="false" customHeight="false" outlineLevel="0" collapsed="false">
      <c r="A602" s="325"/>
      <c r="B602" s="326"/>
      <c r="J602" s="73"/>
      <c r="K602" s="327"/>
    </row>
    <row r="603" customFormat="false" ht="12.75" hidden="false" customHeight="false" outlineLevel="0" collapsed="false">
      <c r="A603" s="325"/>
      <c r="B603" s="326"/>
      <c r="J603" s="73"/>
      <c r="K603" s="327"/>
    </row>
    <row r="604" customFormat="false" ht="12.75" hidden="false" customHeight="false" outlineLevel="0" collapsed="false">
      <c r="A604" s="325"/>
      <c r="B604" s="326"/>
      <c r="J604" s="73"/>
      <c r="K604" s="327"/>
    </row>
    <row r="605" customFormat="false" ht="12.75" hidden="false" customHeight="false" outlineLevel="0" collapsed="false">
      <c r="A605" s="325"/>
      <c r="B605" s="326"/>
      <c r="J605" s="73"/>
      <c r="K605" s="327"/>
    </row>
    <row r="606" customFormat="false" ht="12.75" hidden="false" customHeight="false" outlineLevel="0" collapsed="false">
      <c r="A606" s="325"/>
      <c r="B606" s="326"/>
      <c r="J606" s="73"/>
      <c r="K606" s="327"/>
    </row>
    <row r="607" customFormat="false" ht="12.75" hidden="false" customHeight="false" outlineLevel="0" collapsed="false">
      <c r="A607" s="325"/>
      <c r="B607" s="326"/>
      <c r="J607" s="73"/>
      <c r="K607" s="327"/>
    </row>
    <row r="608" customFormat="false" ht="12.75" hidden="false" customHeight="false" outlineLevel="0" collapsed="false">
      <c r="A608" s="325"/>
      <c r="B608" s="326"/>
      <c r="J608" s="73"/>
      <c r="K608" s="327"/>
    </row>
    <row r="609" customFormat="false" ht="12.75" hidden="false" customHeight="false" outlineLevel="0" collapsed="false">
      <c r="A609" s="325"/>
      <c r="B609" s="326"/>
      <c r="J609" s="73"/>
      <c r="K609" s="327"/>
    </row>
    <row r="610" customFormat="false" ht="12.75" hidden="false" customHeight="false" outlineLevel="0" collapsed="false">
      <c r="A610" s="325"/>
      <c r="B610" s="326"/>
      <c r="J610" s="73"/>
      <c r="K610" s="327"/>
    </row>
    <row r="611" customFormat="false" ht="12.75" hidden="false" customHeight="false" outlineLevel="0" collapsed="false">
      <c r="A611" s="325"/>
      <c r="B611" s="326"/>
      <c r="J611" s="73"/>
      <c r="K611" s="327"/>
    </row>
    <row r="612" customFormat="false" ht="12.75" hidden="false" customHeight="false" outlineLevel="0" collapsed="false">
      <c r="A612" s="325"/>
      <c r="B612" s="326"/>
      <c r="J612" s="73"/>
      <c r="K612" s="327"/>
    </row>
    <row r="613" customFormat="false" ht="12.75" hidden="false" customHeight="false" outlineLevel="0" collapsed="false">
      <c r="A613" s="325"/>
      <c r="B613" s="326"/>
      <c r="J613" s="73"/>
      <c r="K613" s="327"/>
    </row>
    <row r="614" customFormat="false" ht="12.75" hidden="false" customHeight="false" outlineLevel="0" collapsed="false">
      <c r="A614" s="325"/>
      <c r="B614" s="326"/>
      <c r="J614" s="73"/>
      <c r="K614" s="327"/>
    </row>
    <row r="615" customFormat="false" ht="12.75" hidden="false" customHeight="false" outlineLevel="0" collapsed="false">
      <c r="A615" s="325"/>
      <c r="B615" s="326"/>
      <c r="J615" s="73"/>
      <c r="K615" s="327"/>
    </row>
    <row r="616" customFormat="false" ht="12.75" hidden="false" customHeight="false" outlineLevel="0" collapsed="false">
      <c r="A616" s="325"/>
      <c r="B616" s="326"/>
      <c r="J616" s="73"/>
      <c r="K616" s="327"/>
    </row>
    <row r="617" customFormat="false" ht="12.75" hidden="false" customHeight="false" outlineLevel="0" collapsed="false">
      <c r="A617" s="325"/>
      <c r="B617" s="326"/>
      <c r="J617" s="73"/>
      <c r="K617" s="327"/>
    </row>
    <row r="618" customFormat="false" ht="12.75" hidden="false" customHeight="false" outlineLevel="0" collapsed="false">
      <c r="A618" s="325"/>
      <c r="B618" s="326"/>
      <c r="J618" s="73"/>
      <c r="K618" s="327"/>
    </row>
    <row r="619" customFormat="false" ht="12.75" hidden="false" customHeight="false" outlineLevel="0" collapsed="false">
      <c r="A619" s="325"/>
      <c r="B619" s="326"/>
      <c r="J619" s="73"/>
      <c r="K619" s="327"/>
    </row>
    <row r="620" customFormat="false" ht="12.75" hidden="false" customHeight="false" outlineLevel="0" collapsed="false">
      <c r="A620" s="325"/>
      <c r="B620" s="326"/>
      <c r="J620" s="73"/>
      <c r="K620" s="327"/>
    </row>
    <row r="621" customFormat="false" ht="12.75" hidden="false" customHeight="false" outlineLevel="0" collapsed="false">
      <c r="A621" s="325"/>
      <c r="B621" s="326"/>
      <c r="J621" s="73"/>
      <c r="K621" s="327"/>
    </row>
    <row r="622" customFormat="false" ht="12.75" hidden="false" customHeight="false" outlineLevel="0" collapsed="false">
      <c r="A622" s="325"/>
      <c r="B622" s="326"/>
      <c r="J622" s="73"/>
      <c r="K622" s="327"/>
    </row>
    <row r="623" customFormat="false" ht="12.75" hidden="false" customHeight="false" outlineLevel="0" collapsed="false">
      <c r="A623" s="325"/>
      <c r="B623" s="326"/>
      <c r="J623" s="73"/>
      <c r="K623" s="327"/>
    </row>
    <row r="624" customFormat="false" ht="12.75" hidden="false" customHeight="false" outlineLevel="0" collapsed="false">
      <c r="A624" s="325"/>
      <c r="B624" s="326"/>
      <c r="J624" s="73"/>
      <c r="K624" s="327"/>
    </row>
    <row r="625" customFormat="false" ht="12.75" hidden="false" customHeight="false" outlineLevel="0" collapsed="false">
      <c r="A625" s="325"/>
      <c r="B625" s="326"/>
      <c r="J625" s="73"/>
      <c r="K625" s="327"/>
    </row>
    <row r="626" customFormat="false" ht="12.75" hidden="false" customHeight="false" outlineLevel="0" collapsed="false">
      <c r="A626" s="325"/>
      <c r="B626" s="326"/>
      <c r="J626" s="73"/>
      <c r="K626" s="327"/>
    </row>
    <row r="627" customFormat="false" ht="12.75" hidden="false" customHeight="false" outlineLevel="0" collapsed="false">
      <c r="A627" s="325"/>
      <c r="B627" s="326"/>
      <c r="J627" s="73"/>
      <c r="K627" s="327"/>
    </row>
    <row r="628" customFormat="false" ht="12.75" hidden="false" customHeight="false" outlineLevel="0" collapsed="false">
      <c r="A628" s="325"/>
      <c r="B628" s="326"/>
      <c r="J628" s="73"/>
      <c r="K628" s="327"/>
    </row>
    <row r="629" customFormat="false" ht="12.75" hidden="false" customHeight="false" outlineLevel="0" collapsed="false">
      <c r="A629" s="325"/>
      <c r="B629" s="326"/>
      <c r="J629" s="73"/>
      <c r="K629" s="327"/>
    </row>
    <row r="630" customFormat="false" ht="12.75" hidden="false" customHeight="false" outlineLevel="0" collapsed="false">
      <c r="A630" s="325"/>
      <c r="B630" s="326"/>
      <c r="J630" s="73"/>
      <c r="K630" s="327"/>
    </row>
    <row r="631" customFormat="false" ht="12.75" hidden="false" customHeight="false" outlineLevel="0" collapsed="false">
      <c r="A631" s="325"/>
      <c r="B631" s="326"/>
      <c r="J631" s="73"/>
      <c r="K631" s="327"/>
    </row>
    <row r="632" customFormat="false" ht="12.75" hidden="false" customHeight="false" outlineLevel="0" collapsed="false">
      <c r="A632" s="325"/>
      <c r="B632" s="326"/>
      <c r="J632" s="73"/>
      <c r="K632" s="327"/>
    </row>
    <row r="633" customFormat="false" ht="12.75" hidden="false" customHeight="false" outlineLevel="0" collapsed="false">
      <c r="A633" s="325"/>
      <c r="B633" s="326"/>
      <c r="J633" s="73"/>
      <c r="K633" s="327"/>
    </row>
    <row r="634" customFormat="false" ht="12.75" hidden="false" customHeight="false" outlineLevel="0" collapsed="false">
      <c r="A634" s="325"/>
      <c r="B634" s="326"/>
      <c r="J634" s="73"/>
      <c r="K634" s="327"/>
    </row>
    <row r="635" customFormat="false" ht="12.75" hidden="false" customHeight="false" outlineLevel="0" collapsed="false">
      <c r="A635" s="325"/>
      <c r="B635" s="326"/>
      <c r="J635" s="73"/>
      <c r="K635" s="327"/>
    </row>
    <row r="636" customFormat="false" ht="12.75" hidden="false" customHeight="false" outlineLevel="0" collapsed="false">
      <c r="A636" s="325"/>
      <c r="B636" s="326"/>
      <c r="J636" s="73"/>
      <c r="K636" s="327"/>
    </row>
    <row r="637" customFormat="false" ht="12.75" hidden="false" customHeight="false" outlineLevel="0" collapsed="false">
      <c r="A637" s="325"/>
      <c r="B637" s="326"/>
      <c r="J637" s="73"/>
      <c r="K637" s="327"/>
    </row>
    <row r="638" customFormat="false" ht="12.75" hidden="false" customHeight="false" outlineLevel="0" collapsed="false">
      <c r="A638" s="325"/>
      <c r="B638" s="326"/>
      <c r="J638" s="73"/>
      <c r="K638" s="327"/>
    </row>
    <row r="639" customFormat="false" ht="12.75" hidden="false" customHeight="false" outlineLevel="0" collapsed="false">
      <c r="A639" s="325"/>
      <c r="B639" s="326"/>
      <c r="J639" s="73"/>
      <c r="K639" s="327"/>
    </row>
    <row r="640" customFormat="false" ht="12.75" hidden="false" customHeight="false" outlineLevel="0" collapsed="false">
      <c r="A640" s="325"/>
      <c r="B640" s="326"/>
      <c r="J640" s="73"/>
      <c r="K640" s="327"/>
    </row>
    <row r="641" customFormat="false" ht="12.75" hidden="false" customHeight="false" outlineLevel="0" collapsed="false">
      <c r="A641" s="325"/>
      <c r="B641" s="326"/>
      <c r="J641" s="73"/>
      <c r="K641" s="327"/>
    </row>
    <row r="642" customFormat="false" ht="12.75" hidden="false" customHeight="false" outlineLevel="0" collapsed="false">
      <c r="A642" s="325"/>
      <c r="B642" s="326"/>
      <c r="J642" s="73"/>
      <c r="K642" s="327"/>
    </row>
    <row r="643" customFormat="false" ht="12.75" hidden="false" customHeight="false" outlineLevel="0" collapsed="false">
      <c r="A643" s="325"/>
      <c r="B643" s="326"/>
      <c r="J643" s="73"/>
      <c r="K643" s="327"/>
    </row>
    <row r="644" customFormat="false" ht="12.75" hidden="false" customHeight="false" outlineLevel="0" collapsed="false">
      <c r="A644" s="325"/>
      <c r="B644" s="326"/>
      <c r="J644" s="73"/>
      <c r="K644" s="327"/>
    </row>
    <row r="645" customFormat="false" ht="12.75" hidden="false" customHeight="false" outlineLevel="0" collapsed="false">
      <c r="A645" s="325"/>
      <c r="B645" s="326"/>
      <c r="J645" s="73"/>
      <c r="K645" s="327"/>
    </row>
    <row r="646" customFormat="false" ht="12.75" hidden="false" customHeight="false" outlineLevel="0" collapsed="false">
      <c r="A646" s="325"/>
      <c r="B646" s="326"/>
      <c r="J646" s="73"/>
      <c r="K646" s="327"/>
    </row>
    <row r="647" customFormat="false" ht="12.75" hidden="false" customHeight="false" outlineLevel="0" collapsed="false">
      <c r="A647" s="325"/>
      <c r="B647" s="326"/>
      <c r="J647" s="73"/>
      <c r="K647" s="327"/>
    </row>
    <row r="648" customFormat="false" ht="12.75" hidden="false" customHeight="false" outlineLevel="0" collapsed="false">
      <c r="A648" s="325"/>
      <c r="B648" s="326"/>
      <c r="J648" s="73"/>
      <c r="K648" s="327"/>
    </row>
    <row r="649" customFormat="false" ht="12.75" hidden="false" customHeight="false" outlineLevel="0" collapsed="false">
      <c r="A649" s="325"/>
      <c r="B649" s="326"/>
      <c r="J649" s="73"/>
      <c r="K649" s="327"/>
    </row>
    <row r="650" customFormat="false" ht="12.75" hidden="false" customHeight="false" outlineLevel="0" collapsed="false">
      <c r="A650" s="325"/>
      <c r="B650" s="326"/>
      <c r="J650" s="73"/>
      <c r="K650" s="327"/>
    </row>
    <row r="651" customFormat="false" ht="12.75" hidden="false" customHeight="false" outlineLevel="0" collapsed="false">
      <c r="A651" s="325"/>
      <c r="B651" s="326"/>
      <c r="J651" s="73"/>
      <c r="K651" s="327"/>
    </row>
    <row r="652" customFormat="false" ht="12.75" hidden="false" customHeight="false" outlineLevel="0" collapsed="false">
      <c r="A652" s="325"/>
      <c r="B652" s="326"/>
      <c r="J652" s="73"/>
      <c r="K652" s="327"/>
    </row>
    <row r="653" customFormat="false" ht="12.75" hidden="false" customHeight="false" outlineLevel="0" collapsed="false">
      <c r="A653" s="325"/>
      <c r="B653" s="326"/>
      <c r="J653" s="73"/>
      <c r="K653" s="327"/>
    </row>
    <row r="654" customFormat="false" ht="12.75" hidden="false" customHeight="false" outlineLevel="0" collapsed="false">
      <c r="A654" s="325"/>
      <c r="B654" s="326"/>
      <c r="J654" s="73"/>
      <c r="K654" s="327"/>
    </row>
    <row r="655" customFormat="false" ht="12.75" hidden="false" customHeight="false" outlineLevel="0" collapsed="false">
      <c r="A655" s="325"/>
      <c r="B655" s="326"/>
      <c r="J655" s="73"/>
      <c r="K655" s="327"/>
    </row>
    <row r="656" customFormat="false" ht="12.75" hidden="false" customHeight="false" outlineLevel="0" collapsed="false">
      <c r="A656" s="325"/>
      <c r="B656" s="326"/>
      <c r="J656" s="73"/>
      <c r="K656" s="327"/>
    </row>
    <row r="657" customFormat="false" ht="12.75" hidden="false" customHeight="false" outlineLevel="0" collapsed="false">
      <c r="A657" s="325"/>
      <c r="B657" s="326"/>
      <c r="J657" s="73"/>
      <c r="K657" s="327"/>
    </row>
    <row r="658" customFormat="false" ht="12.75" hidden="false" customHeight="false" outlineLevel="0" collapsed="false">
      <c r="A658" s="325"/>
      <c r="B658" s="326"/>
      <c r="J658" s="73"/>
      <c r="K658" s="327"/>
    </row>
    <row r="659" customFormat="false" ht="12.75" hidden="false" customHeight="false" outlineLevel="0" collapsed="false">
      <c r="A659" s="325"/>
      <c r="B659" s="326"/>
      <c r="J659" s="73"/>
      <c r="K659" s="327"/>
    </row>
    <row r="660" customFormat="false" ht="12.75" hidden="false" customHeight="false" outlineLevel="0" collapsed="false">
      <c r="A660" s="325"/>
      <c r="B660" s="326"/>
      <c r="J660" s="73"/>
      <c r="K660" s="327"/>
    </row>
    <row r="661" customFormat="false" ht="12.75" hidden="false" customHeight="false" outlineLevel="0" collapsed="false">
      <c r="A661" s="325"/>
      <c r="B661" s="326"/>
      <c r="J661" s="73"/>
      <c r="K661" s="327"/>
    </row>
    <row r="662" customFormat="false" ht="12.75" hidden="false" customHeight="false" outlineLevel="0" collapsed="false">
      <c r="A662" s="325"/>
      <c r="B662" s="326"/>
      <c r="J662" s="73"/>
      <c r="K662" s="327"/>
    </row>
    <row r="663" customFormat="false" ht="12.75" hidden="false" customHeight="false" outlineLevel="0" collapsed="false">
      <c r="A663" s="325"/>
      <c r="B663" s="326"/>
      <c r="J663" s="73"/>
      <c r="K663" s="327"/>
    </row>
    <row r="664" customFormat="false" ht="12.75" hidden="false" customHeight="false" outlineLevel="0" collapsed="false">
      <c r="A664" s="325"/>
      <c r="B664" s="326"/>
      <c r="J664" s="73"/>
      <c r="K664" s="327"/>
    </row>
    <row r="665" customFormat="false" ht="12.75" hidden="false" customHeight="false" outlineLevel="0" collapsed="false">
      <c r="A665" s="325"/>
      <c r="B665" s="326"/>
      <c r="J665" s="73"/>
      <c r="K665" s="327"/>
    </row>
    <row r="666" customFormat="false" ht="12.75" hidden="false" customHeight="false" outlineLevel="0" collapsed="false">
      <c r="A666" s="325"/>
      <c r="B666" s="326"/>
      <c r="J666" s="73"/>
      <c r="K666" s="327"/>
    </row>
    <row r="667" customFormat="false" ht="12.75" hidden="false" customHeight="false" outlineLevel="0" collapsed="false">
      <c r="A667" s="325"/>
      <c r="B667" s="326"/>
      <c r="J667" s="73"/>
      <c r="K667" s="327"/>
    </row>
    <row r="668" customFormat="false" ht="12.75" hidden="false" customHeight="false" outlineLevel="0" collapsed="false">
      <c r="A668" s="325"/>
      <c r="B668" s="326"/>
      <c r="J668" s="73"/>
      <c r="K668" s="327"/>
    </row>
    <row r="669" customFormat="false" ht="12.75" hidden="false" customHeight="false" outlineLevel="0" collapsed="false">
      <c r="A669" s="325"/>
      <c r="B669" s="326"/>
      <c r="J669" s="73"/>
      <c r="K669" s="327"/>
    </row>
    <row r="670" customFormat="false" ht="12.75" hidden="false" customHeight="false" outlineLevel="0" collapsed="false">
      <c r="A670" s="325"/>
      <c r="B670" s="326"/>
      <c r="J670" s="73"/>
      <c r="K670" s="327"/>
    </row>
    <row r="671" customFormat="false" ht="12.75" hidden="false" customHeight="false" outlineLevel="0" collapsed="false">
      <c r="A671" s="325"/>
      <c r="B671" s="326"/>
      <c r="J671" s="73"/>
      <c r="K671" s="327"/>
    </row>
    <row r="672" customFormat="false" ht="12.75" hidden="false" customHeight="false" outlineLevel="0" collapsed="false">
      <c r="A672" s="325"/>
      <c r="B672" s="326"/>
      <c r="J672" s="73"/>
      <c r="K672" s="327"/>
    </row>
    <row r="673" customFormat="false" ht="12.75" hidden="false" customHeight="false" outlineLevel="0" collapsed="false">
      <c r="A673" s="325"/>
      <c r="B673" s="326"/>
      <c r="J673" s="73"/>
      <c r="K673" s="327"/>
    </row>
    <row r="674" customFormat="false" ht="12.75" hidden="false" customHeight="false" outlineLevel="0" collapsed="false">
      <c r="A674" s="325"/>
      <c r="B674" s="326"/>
      <c r="J674" s="73"/>
      <c r="K674" s="327"/>
    </row>
    <row r="675" customFormat="false" ht="12.75" hidden="false" customHeight="false" outlineLevel="0" collapsed="false">
      <c r="A675" s="325"/>
      <c r="B675" s="326"/>
      <c r="J675" s="73"/>
      <c r="K675" s="327"/>
    </row>
    <row r="676" customFormat="false" ht="12.75" hidden="false" customHeight="false" outlineLevel="0" collapsed="false">
      <c r="A676" s="325"/>
      <c r="B676" s="326"/>
      <c r="J676" s="73"/>
      <c r="K676" s="327"/>
    </row>
    <row r="677" customFormat="false" ht="12.75" hidden="false" customHeight="false" outlineLevel="0" collapsed="false">
      <c r="A677" s="325"/>
      <c r="B677" s="326"/>
      <c r="J677" s="73"/>
      <c r="K677" s="327"/>
    </row>
    <row r="678" customFormat="false" ht="12.75" hidden="false" customHeight="false" outlineLevel="0" collapsed="false">
      <c r="A678" s="325"/>
      <c r="B678" s="326"/>
      <c r="J678" s="73"/>
      <c r="K678" s="327"/>
    </row>
    <row r="679" customFormat="false" ht="12.75" hidden="false" customHeight="false" outlineLevel="0" collapsed="false">
      <c r="A679" s="325"/>
      <c r="B679" s="326"/>
      <c r="J679" s="73"/>
      <c r="K679" s="327"/>
    </row>
    <row r="680" customFormat="false" ht="12.75" hidden="false" customHeight="false" outlineLevel="0" collapsed="false">
      <c r="A680" s="325"/>
      <c r="B680" s="326"/>
      <c r="J680" s="73"/>
      <c r="K680" s="327"/>
    </row>
    <row r="681" customFormat="false" ht="12.75" hidden="false" customHeight="false" outlineLevel="0" collapsed="false">
      <c r="A681" s="325"/>
      <c r="B681" s="326"/>
      <c r="J681" s="73"/>
      <c r="K681" s="327"/>
    </row>
    <row r="682" customFormat="false" ht="12.75" hidden="false" customHeight="false" outlineLevel="0" collapsed="false">
      <c r="A682" s="325"/>
      <c r="B682" s="326"/>
      <c r="J682" s="73"/>
      <c r="K682" s="327"/>
    </row>
    <row r="683" customFormat="false" ht="12.75" hidden="false" customHeight="false" outlineLevel="0" collapsed="false">
      <c r="A683" s="325"/>
      <c r="B683" s="326"/>
      <c r="J683" s="73"/>
      <c r="K683" s="327"/>
    </row>
    <row r="684" customFormat="false" ht="12.75" hidden="false" customHeight="false" outlineLevel="0" collapsed="false">
      <c r="A684" s="325"/>
      <c r="B684" s="326"/>
      <c r="J684" s="73"/>
      <c r="K684" s="327"/>
    </row>
    <row r="685" customFormat="false" ht="12.75" hidden="false" customHeight="false" outlineLevel="0" collapsed="false">
      <c r="A685" s="325"/>
      <c r="B685" s="326"/>
      <c r="J685" s="73"/>
      <c r="K685" s="327"/>
    </row>
    <row r="686" customFormat="false" ht="12.75" hidden="false" customHeight="false" outlineLevel="0" collapsed="false">
      <c r="A686" s="325"/>
      <c r="B686" s="326"/>
      <c r="J686" s="73"/>
      <c r="K686" s="327"/>
    </row>
    <row r="687" customFormat="false" ht="12.75" hidden="false" customHeight="false" outlineLevel="0" collapsed="false">
      <c r="A687" s="325"/>
      <c r="B687" s="326"/>
      <c r="J687" s="73"/>
      <c r="K687" s="327"/>
    </row>
    <row r="688" customFormat="false" ht="12.75" hidden="false" customHeight="false" outlineLevel="0" collapsed="false">
      <c r="A688" s="325"/>
      <c r="B688" s="326"/>
      <c r="J688" s="73"/>
      <c r="K688" s="327"/>
    </row>
    <row r="689" customFormat="false" ht="12.75" hidden="false" customHeight="false" outlineLevel="0" collapsed="false">
      <c r="A689" s="325"/>
      <c r="B689" s="326"/>
      <c r="J689" s="73"/>
      <c r="K689" s="327"/>
    </row>
    <row r="690" customFormat="false" ht="12.75" hidden="false" customHeight="false" outlineLevel="0" collapsed="false">
      <c r="A690" s="325"/>
      <c r="B690" s="326"/>
      <c r="J690" s="73"/>
      <c r="K690" s="327"/>
    </row>
    <row r="691" customFormat="false" ht="12.75" hidden="false" customHeight="false" outlineLevel="0" collapsed="false">
      <c r="A691" s="325"/>
      <c r="B691" s="326"/>
      <c r="J691" s="73"/>
      <c r="K691" s="327"/>
    </row>
    <row r="692" customFormat="false" ht="12.75" hidden="false" customHeight="false" outlineLevel="0" collapsed="false">
      <c r="A692" s="325"/>
      <c r="B692" s="326"/>
      <c r="J692" s="73"/>
      <c r="K692" s="327"/>
    </row>
    <row r="693" customFormat="false" ht="12.75" hidden="false" customHeight="false" outlineLevel="0" collapsed="false">
      <c r="A693" s="325"/>
      <c r="B693" s="326"/>
      <c r="J693" s="73"/>
      <c r="K693" s="327"/>
    </row>
    <row r="694" customFormat="false" ht="12.75" hidden="false" customHeight="false" outlineLevel="0" collapsed="false">
      <c r="A694" s="325"/>
      <c r="B694" s="326"/>
      <c r="J694" s="73"/>
      <c r="K694" s="327"/>
    </row>
    <row r="695" customFormat="false" ht="12.75" hidden="false" customHeight="false" outlineLevel="0" collapsed="false">
      <c r="A695" s="325"/>
      <c r="B695" s="326"/>
      <c r="J695" s="73"/>
      <c r="K695" s="327"/>
    </row>
    <row r="696" customFormat="false" ht="12.75" hidden="false" customHeight="false" outlineLevel="0" collapsed="false">
      <c r="A696" s="325"/>
      <c r="B696" s="326"/>
      <c r="J696" s="73"/>
      <c r="K696" s="327"/>
    </row>
    <row r="697" customFormat="false" ht="12.75" hidden="false" customHeight="false" outlineLevel="0" collapsed="false">
      <c r="A697" s="325"/>
      <c r="B697" s="326"/>
      <c r="J697" s="73"/>
      <c r="K697" s="327"/>
    </row>
    <row r="698" customFormat="false" ht="12.75" hidden="false" customHeight="false" outlineLevel="0" collapsed="false">
      <c r="A698" s="325"/>
      <c r="B698" s="326"/>
      <c r="J698" s="73"/>
      <c r="K698" s="327"/>
    </row>
    <row r="699" customFormat="false" ht="12.75" hidden="false" customHeight="false" outlineLevel="0" collapsed="false">
      <c r="A699" s="325"/>
      <c r="B699" s="326"/>
      <c r="J699" s="73"/>
      <c r="K699" s="327"/>
    </row>
    <row r="700" customFormat="false" ht="12.75" hidden="false" customHeight="false" outlineLevel="0" collapsed="false">
      <c r="A700" s="325"/>
      <c r="B700" s="326"/>
      <c r="J700" s="73"/>
      <c r="K700" s="327"/>
    </row>
    <row r="701" customFormat="false" ht="12.75" hidden="false" customHeight="false" outlineLevel="0" collapsed="false">
      <c r="A701" s="325"/>
      <c r="B701" s="326"/>
      <c r="J701" s="73"/>
      <c r="K701" s="327"/>
    </row>
    <row r="702" customFormat="false" ht="12.75" hidden="false" customHeight="false" outlineLevel="0" collapsed="false">
      <c r="A702" s="325"/>
      <c r="B702" s="326"/>
      <c r="J702" s="73"/>
      <c r="K702" s="327"/>
    </row>
    <row r="703" customFormat="false" ht="12.75" hidden="false" customHeight="false" outlineLevel="0" collapsed="false">
      <c r="A703" s="325"/>
      <c r="B703" s="326"/>
      <c r="J703" s="73"/>
      <c r="K703" s="327"/>
    </row>
    <row r="704" customFormat="false" ht="12.75" hidden="false" customHeight="false" outlineLevel="0" collapsed="false">
      <c r="A704" s="325"/>
      <c r="B704" s="326"/>
      <c r="J704" s="73"/>
      <c r="K704" s="327"/>
    </row>
    <row r="705" customFormat="false" ht="12.75" hidden="false" customHeight="false" outlineLevel="0" collapsed="false">
      <c r="A705" s="325"/>
      <c r="B705" s="326"/>
      <c r="J705" s="73"/>
      <c r="K705" s="327"/>
    </row>
    <row r="706" customFormat="false" ht="12.75" hidden="false" customHeight="false" outlineLevel="0" collapsed="false">
      <c r="A706" s="325"/>
      <c r="B706" s="326"/>
      <c r="J706" s="73"/>
      <c r="K706" s="327"/>
    </row>
    <row r="707" customFormat="false" ht="12.75" hidden="false" customHeight="false" outlineLevel="0" collapsed="false">
      <c r="A707" s="325"/>
      <c r="B707" s="326"/>
      <c r="J707" s="73"/>
      <c r="K707" s="327"/>
    </row>
    <row r="708" customFormat="false" ht="12.75" hidden="false" customHeight="false" outlineLevel="0" collapsed="false">
      <c r="A708" s="325"/>
      <c r="B708" s="326"/>
      <c r="J708" s="73"/>
      <c r="K708" s="327"/>
    </row>
    <row r="709" customFormat="false" ht="12.75" hidden="false" customHeight="false" outlineLevel="0" collapsed="false">
      <c r="A709" s="325"/>
      <c r="B709" s="326"/>
      <c r="J709" s="73"/>
      <c r="K709" s="327"/>
    </row>
    <row r="710" customFormat="false" ht="12.75" hidden="false" customHeight="false" outlineLevel="0" collapsed="false">
      <c r="A710" s="325"/>
      <c r="B710" s="326"/>
      <c r="J710" s="73"/>
      <c r="K710" s="327"/>
    </row>
    <row r="711" customFormat="false" ht="12.75" hidden="false" customHeight="false" outlineLevel="0" collapsed="false">
      <c r="A711" s="325"/>
      <c r="B711" s="326"/>
      <c r="J711" s="73"/>
      <c r="K711" s="327"/>
    </row>
    <row r="712" customFormat="false" ht="12.75" hidden="false" customHeight="false" outlineLevel="0" collapsed="false">
      <c r="A712" s="325"/>
      <c r="B712" s="326"/>
      <c r="J712" s="73"/>
      <c r="K712" s="327"/>
    </row>
    <row r="713" customFormat="false" ht="12.75" hidden="false" customHeight="false" outlineLevel="0" collapsed="false">
      <c r="A713" s="325"/>
      <c r="B713" s="326"/>
      <c r="J713" s="73"/>
      <c r="K713" s="327"/>
    </row>
    <row r="714" customFormat="false" ht="12.75" hidden="false" customHeight="false" outlineLevel="0" collapsed="false">
      <c r="A714" s="325"/>
      <c r="B714" s="326"/>
      <c r="J714" s="73"/>
      <c r="K714" s="327"/>
    </row>
    <row r="715" customFormat="false" ht="12.75" hidden="false" customHeight="false" outlineLevel="0" collapsed="false">
      <c r="A715" s="325"/>
      <c r="B715" s="326"/>
      <c r="J715" s="73"/>
      <c r="K715" s="327"/>
    </row>
    <row r="716" customFormat="false" ht="12.75" hidden="false" customHeight="false" outlineLevel="0" collapsed="false">
      <c r="A716" s="325"/>
      <c r="B716" s="326"/>
      <c r="J716" s="73"/>
      <c r="K716" s="327"/>
    </row>
    <row r="717" customFormat="false" ht="12.75" hidden="false" customHeight="false" outlineLevel="0" collapsed="false">
      <c r="A717" s="325"/>
      <c r="B717" s="326"/>
      <c r="J717" s="73"/>
      <c r="K717" s="327"/>
    </row>
    <row r="718" customFormat="false" ht="12.75" hidden="false" customHeight="false" outlineLevel="0" collapsed="false">
      <c r="A718" s="325"/>
      <c r="B718" s="326"/>
      <c r="J718" s="73"/>
      <c r="K718" s="327"/>
    </row>
    <row r="719" customFormat="false" ht="12.75" hidden="false" customHeight="false" outlineLevel="0" collapsed="false">
      <c r="A719" s="325"/>
      <c r="B719" s="326"/>
      <c r="J719" s="73"/>
      <c r="K719" s="327"/>
    </row>
    <row r="720" customFormat="false" ht="12.75" hidden="false" customHeight="false" outlineLevel="0" collapsed="false">
      <c r="A720" s="325"/>
      <c r="B720" s="326"/>
      <c r="J720" s="73"/>
      <c r="K720" s="327"/>
    </row>
    <row r="721" customFormat="false" ht="12.75" hidden="false" customHeight="false" outlineLevel="0" collapsed="false">
      <c r="A721" s="325"/>
      <c r="B721" s="326"/>
      <c r="J721" s="73"/>
      <c r="K721" s="327"/>
    </row>
    <row r="722" customFormat="false" ht="12.75" hidden="false" customHeight="false" outlineLevel="0" collapsed="false">
      <c r="A722" s="325"/>
      <c r="B722" s="326"/>
      <c r="J722" s="73"/>
      <c r="K722" s="327"/>
    </row>
    <row r="723" customFormat="false" ht="12.75" hidden="false" customHeight="false" outlineLevel="0" collapsed="false">
      <c r="A723" s="325"/>
      <c r="B723" s="326"/>
      <c r="J723" s="73"/>
      <c r="K723" s="327"/>
    </row>
    <row r="724" customFormat="false" ht="12.75" hidden="false" customHeight="false" outlineLevel="0" collapsed="false">
      <c r="A724" s="325"/>
      <c r="B724" s="326"/>
      <c r="J724" s="73"/>
      <c r="K724" s="327"/>
    </row>
    <row r="725" customFormat="false" ht="12.75" hidden="false" customHeight="false" outlineLevel="0" collapsed="false">
      <c r="A725" s="325"/>
      <c r="B725" s="326"/>
      <c r="J725" s="73"/>
      <c r="K725" s="327"/>
    </row>
    <row r="726" customFormat="false" ht="12.75" hidden="false" customHeight="false" outlineLevel="0" collapsed="false">
      <c r="A726" s="325"/>
      <c r="B726" s="326"/>
      <c r="J726" s="73"/>
      <c r="K726" s="327"/>
    </row>
    <row r="727" customFormat="false" ht="12.75" hidden="false" customHeight="false" outlineLevel="0" collapsed="false">
      <c r="A727" s="325"/>
      <c r="B727" s="326"/>
      <c r="J727" s="73"/>
      <c r="K727" s="327"/>
    </row>
    <row r="728" customFormat="false" ht="12.75" hidden="false" customHeight="false" outlineLevel="0" collapsed="false">
      <c r="A728" s="325"/>
      <c r="B728" s="326"/>
      <c r="J728" s="73"/>
      <c r="K728" s="327"/>
    </row>
    <row r="729" customFormat="false" ht="12.75" hidden="false" customHeight="false" outlineLevel="0" collapsed="false">
      <c r="A729" s="325"/>
      <c r="B729" s="326"/>
      <c r="J729" s="73"/>
      <c r="K729" s="327"/>
    </row>
    <row r="730" customFormat="false" ht="12.75" hidden="false" customHeight="false" outlineLevel="0" collapsed="false">
      <c r="A730" s="325"/>
      <c r="B730" s="326"/>
      <c r="J730" s="73"/>
      <c r="K730" s="327"/>
    </row>
    <row r="731" customFormat="false" ht="12.75" hidden="false" customHeight="false" outlineLevel="0" collapsed="false">
      <c r="A731" s="325"/>
      <c r="B731" s="326"/>
      <c r="J731" s="73"/>
      <c r="K731" s="327"/>
    </row>
    <row r="732" customFormat="false" ht="12.75" hidden="false" customHeight="false" outlineLevel="0" collapsed="false">
      <c r="A732" s="325"/>
      <c r="B732" s="326"/>
      <c r="J732" s="73"/>
      <c r="K732" s="327"/>
    </row>
    <row r="733" customFormat="false" ht="12.75" hidden="false" customHeight="false" outlineLevel="0" collapsed="false">
      <c r="A733" s="325"/>
      <c r="B733" s="326"/>
      <c r="J733" s="73"/>
      <c r="K733" s="327"/>
    </row>
    <row r="734" customFormat="false" ht="12.75" hidden="false" customHeight="false" outlineLevel="0" collapsed="false">
      <c r="A734" s="325"/>
      <c r="B734" s="326"/>
      <c r="J734" s="73"/>
      <c r="K734" s="327"/>
    </row>
    <row r="735" customFormat="false" ht="12.75" hidden="false" customHeight="false" outlineLevel="0" collapsed="false">
      <c r="A735" s="325"/>
      <c r="B735" s="326"/>
      <c r="J735" s="73"/>
      <c r="K735" s="327"/>
    </row>
    <row r="736" customFormat="false" ht="12.75" hidden="false" customHeight="false" outlineLevel="0" collapsed="false">
      <c r="A736" s="325"/>
      <c r="B736" s="326"/>
      <c r="J736" s="73"/>
      <c r="K736" s="327"/>
    </row>
    <row r="737" customFormat="false" ht="12.75" hidden="false" customHeight="false" outlineLevel="0" collapsed="false">
      <c r="A737" s="325"/>
      <c r="B737" s="326"/>
      <c r="J737" s="73"/>
      <c r="K737" s="327"/>
    </row>
    <row r="738" customFormat="false" ht="12.75" hidden="false" customHeight="false" outlineLevel="0" collapsed="false">
      <c r="A738" s="325"/>
      <c r="B738" s="326"/>
      <c r="J738" s="73"/>
      <c r="K738" s="327"/>
    </row>
    <row r="739" customFormat="false" ht="12.75" hidden="false" customHeight="false" outlineLevel="0" collapsed="false">
      <c r="A739" s="325"/>
      <c r="B739" s="326"/>
      <c r="J739" s="73"/>
      <c r="K739" s="327"/>
    </row>
    <row r="740" customFormat="false" ht="12.75" hidden="false" customHeight="false" outlineLevel="0" collapsed="false">
      <c r="A740" s="325"/>
      <c r="B740" s="326"/>
      <c r="J740" s="73"/>
      <c r="K740" s="327"/>
    </row>
    <row r="741" customFormat="false" ht="12.75" hidden="false" customHeight="false" outlineLevel="0" collapsed="false">
      <c r="A741" s="325"/>
      <c r="B741" s="326"/>
      <c r="J741" s="73"/>
      <c r="K741" s="327"/>
    </row>
    <row r="742" customFormat="false" ht="12.75" hidden="false" customHeight="false" outlineLevel="0" collapsed="false">
      <c r="A742" s="325"/>
      <c r="B742" s="326"/>
      <c r="J742" s="73"/>
      <c r="K742" s="327"/>
    </row>
    <row r="743" customFormat="false" ht="12.75" hidden="false" customHeight="false" outlineLevel="0" collapsed="false">
      <c r="A743" s="325"/>
      <c r="B743" s="326"/>
      <c r="J743" s="73"/>
      <c r="K743" s="327"/>
    </row>
    <row r="744" customFormat="false" ht="12.75" hidden="false" customHeight="false" outlineLevel="0" collapsed="false">
      <c r="A744" s="325"/>
      <c r="B744" s="326"/>
      <c r="J744" s="73"/>
      <c r="K744" s="327"/>
    </row>
    <row r="745" customFormat="false" ht="12.75" hidden="false" customHeight="false" outlineLevel="0" collapsed="false">
      <c r="A745" s="325"/>
      <c r="B745" s="326"/>
      <c r="J745" s="73"/>
      <c r="K745" s="327"/>
    </row>
    <row r="746" customFormat="false" ht="12.75" hidden="false" customHeight="false" outlineLevel="0" collapsed="false">
      <c r="A746" s="325"/>
      <c r="B746" s="326"/>
      <c r="J746" s="73"/>
      <c r="K746" s="327"/>
    </row>
    <row r="747" customFormat="false" ht="12.75" hidden="false" customHeight="false" outlineLevel="0" collapsed="false">
      <c r="A747" s="325"/>
      <c r="B747" s="326"/>
      <c r="J747" s="73"/>
      <c r="K747" s="327"/>
    </row>
    <row r="748" customFormat="false" ht="12.75" hidden="false" customHeight="false" outlineLevel="0" collapsed="false">
      <c r="A748" s="325"/>
      <c r="B748" s="326"/>
      <c r="J748" s="73"/>
      <c r="K748" s="327"/>
    </row>
    <row r="749" customFormat="false" ht="12.75" hidden="false" customHeight="false" outlineLevel="0" collapsed="false">
      <c r="A749" s="325"/>
      <c r="B749" s="326"/>
      <c r="J749" s="73"/>
      <c r="K749" s="327"/>
    </row>
    <row r="750" customFormat="false" ht="12.75" hidden="false" customHeight="false" outlineLevel="0" collapsed="false">
      <c r="A750" s="325"/>
      <c r="B750" s="326"/>
      <c r="J750" s="73"/>
      <c r="K750" s="327"/>
    </row>
    <row r="751" customFormat="false" ht="12.75" hidden="false" customHeight="false" outlineLevel="0" collapsed="false">
      <c r="A751" s="325"/>
      <c r="B751" s="326"/>
      <c r="J751" s="73"/>
      <c r="K751" s="327"/>
    </row>
    <row r="752" customFormat="false" ht="12.75" hidden="false" customHeight="false" outlineLevel="0" collapsed="false">
      <c r="A752" s="325"/>
      <c r="B752" s="326"/>
      <c r="J752" s="73"/>
      <c r="K752" s="327"/>
    </row>
    <row r="753" customFormat="false" ht="12.75" hidden="false" customHeight="false" outlineLevel="0" collapsed="false">
      <c r="A753" s="325"/>
      <c r="B753" s="326"/>
      <c r="J753" s="73"/>
      <c r="K753" s="327"/>
    </row>
    <row r="754" customFormat="false" ht="12.75" hidden="false" customHeight="false" outlineLevel="0" collapsed="false">
      <c r="A754" s="325"/>
      <c r="B754" s="326"/>
      <c r="J754" s="73"/>
      <c r="K754" s="327"/>
    </row>
    <row r="755" customFormat="false" ht="12.75" hidden="false" customHeight="false" outlineLevel="0" collapsed="false">
      <c r="A755" s="325"/>
      <c r="B755" s="326"/>
      <c r="J755" s="73"/>
      <c r="K755" s="327"/>
    </row>
    <row r="756" customFormat="false" ht="12.75" hidden="false" customHeight="false" outlineLevel="0" collapsed="false">
      <c r="A756" s="325"/>
      <c r="B756" s="326"/>
      <c r="J756" s="73"/>
      <c r="K756" s="327"/>
    </row>
    <row r="757" customFormat="false" ht="12.75" hidden="false" customHeight="false" outlineLevel="0" collapsed="false">
      <c r="A757" s="325"/>
      <c r="B757" s="326"/>
      <c r="J757" s="73"/>
      <c r="K757" s="327"/>
    </row>
    <row r="758" customFormat="false" ht="12.75" hidden="false" customHeight="false" outlineLevel="0" collapsed="false">
      <c r="A758" s="325"/>
      <c r="B758" s="326"/>
      <c r="J758" s="73"/>
      <c r="K758" s="327"/>
    </row>
    <row r="759" customFormat="false" ht="12.75" hidden="false" customHeight="false" outlineLevel="0" collapsed="false">
      <c r="A759" s="325"/>
      <c r="B759" s="326"/>
      <c r="J759" s="73"/>
      <c r="K759" s="327"/>
    </row>
    <row r="760" customFormat="false" ht="12.75" hidden="false" customHeight="false" outlineLevel="0" collapsed="false">
      <c r="A760" s="325"/>
      <c r="B760" s="326"/>
      <c r="J760" s="73"/>
      <c r="K760" s="327"/>
    </row>
    <row r="761" customFormat="false" ht="12.75" hidden="false" customHeight="false" outlineLevel="0" collapsed="false">
      <c r="A761" s="325"/>
      <c r="B761" s="326"/>
      <c r="J761" s="73"/>
      <c r="K761" s="327"/>
    </row>
    <row r="762" customFormat="false" ht="12.75" hidden="false" customHeight="false" outlineLevel="0" collapsed="false">
      <c r="A762" s="325"/>
      <c r="B762" s="326"/>
      <c r="J762" s="73"/>
      <c r="K762" s="327"/>
    </row>
    <row r="763" customFormat="false" ht="12.75" hidden="false" customHeight="false" outlineLevel="0" collapsed="false">
      <c r="A763" s="325"/>
      <c r="B763" s="326"/>
      <c r="J763" s="73"/>
      <c r="K763" s="327"/>
    </row>
    <row r="764" customFormat="false" ht="12.75" hidden="false" customHeight="false" outlineLevel="0" collapsed="false">
      <c r="A764" s="325"/>
      <c r="B764" s="326"/>
      <c r="J764" s="73"/>
      <c r="K764" s="327"/>
    </row>
    <row r="765" customFormat="false" ht="12.75" hidden="false" customHeight="false" outlineLevel="0" collapsed="false">
      <c r="A765" s="325"/>
      <c r="B765" s="326"/>
      <c r="J765" s="73"/>
      <c r="K765" s="327"/>
    </row>
    <row r="766" customFormat="false" ht="12.75" hidden="false" customHeight="false" outlineLevel="0" collapsed="false">
      <c r="A766" s="325"/>
      <c r="B766" s="326"/>
      <c r="J766" s="73"/>
      <c r="K766" s="327"/>
    </row>
    <row r="767" customFormat="false" ht="12.75" hidden="false" customHeight="false" outlineLevel="0" collapsed="false">
      <c r="A767" s="325"/>
      <c r="B767" s="326"/>
      <c r="J767" s="73"/>
      <c r="K767" s="327"/>
    </row>
    <row r="768" customFormat="false" ht="12.75" hidden="false" customHeight="false" outlineLevel="0" collapsed="false">
      <c r="A768" s="325"/>
      <c r="B768" s="326"/>
      <c r="J768" s="73"/>
      <c r="K768" s="327"/>
    </row>
    <row r="769" customFormat="false" ht="12.75" hidden="false" customHeight="false" outlineLevel="0" collapsed="false">
      <c r="A769" s="325"/>
      <c r="B769" s="326"/>
      <c r="J769" s="73"/>
      <c r="K769" s="327"/>
    </row>
    <row r="770" customFormat="false" ht="12.75" hidden="false" customHeight="false" outlineLevel="0" collapsed="false">
      <c r="A770" s="325"/>
      <c r="B770" s="326"/>
      <c r="J770" s="73"/>
      <c r="K770" s="327"/>
    </row>
    <row r="771" customFormat="false" ht="12.75" hidden="false" customHeight="false" outlineLevel="0" collapsed="false">
      <c r="A771" s="325"/>
      <c r="B771" s="326"/>
      <c r="J771" s="73"/>
      <c r="K771" s="327"/>
    </row>
    <row r="772" customFormat="false" ht="12.75" hidden="false" customHeight="false" outlineLevel="0" collapsed="false">
      <c r="A772" s="325"/>
      <c r="B772" s="326"/>
      <c r="J772" s="73"/>
      <c r="K772" s="327"/>
    </row>
    <row r="773" customFormat="false" ht="12.75" hidden="false" customHeight="false" outlineLevel="0" collapsed="false">
      <c r="A773" s="325"/>
      <c r="B773" s="326"/>
      <c r="J773" s="73"/>
      <c r="K773" s="327"/>
    </row>
    <row r="774" customFormat="false" ht="12.75" hidden="false" customHeight="false" outlineLevel="0" collapsed="false">
      <c r="A774" s="325"/>
      <c r="B774" s="326"/>
      <c r="J774" s="73"/>
      <c r="K774" s="327"/>
    </row>
    <row r="775" customFormat="false" ht="12.75" hidden="false" customHeight="false" outlineLevel="0" collapsed="false">
      <c r="A775" s="325"/>
      <c r="B775" s="326"/>
      <c r="J775" s="73"/>
      <c r="K775" s="327"/>
    </row>
    <row r="776" customFormat="false" ht="12.75" hidden="false" customHeight="false" outlineLevel="0" collapsed="false">
      <c r="A776" s="325"/>
      <c r="B776" s="326"/>
      <c r="J776" s="73"/>
      <c r="K776" s="327"/>
    </row>
    <row r="777" customFormat="false" ht="12.75" hidden="false" customHeight="false" outlineLevel="0" collapsed="false">
      <c r="A777" s="325"/>
      <c r="B777" s="326"/>
      <c r="J777" s="73"/>
      <c r="K777" s="327"/>
    </row>
    <row r="778" customFormat="false" ht="12.75" hidden="false" customHeight="false" outlineLevel="0" collapsed="false">
      <c r="A778" s="325"/>
      <c r="B778" s="326"/>
      <c r="J778" s="73"/>
      <c r="K778" s="327"/>
    </row>
    <row r="779" customFormat="false" ht="12.75" hidden="false" customHeight="false" outlineLevel="0" collapsed="false">
      <c r="A779" s="325"/>
      <c r="B779" s="326"/>
      <c r="J779" s="73"/>
      <c r="K779" s="327"/>
    </row>
    <row r="780" customFormat="false" ht="12.75" hidden="false" customHeight="false" outlineLevel="0" collapsed="false">
      <c r="A780" s="325"/>
      <c r="B780" s="326"/>
      <c r="J780" s="73"/>
      <c r="K780" s="327"/>
    </row>
    <row r="781" customFormat="false" ht="12.75" hidden="false" customHeight="false" outlineLevel="0" collapsed="false">
      <c r="A781" s="325"/>
      <c r="B781" s="326"/>
      <c r="J781" s="73"/>
      <c r="K781" s="327"/>
    </row>
    <row r="782" customFormat="false" ht="12.75" hidden="false" customHeight="false" outlineLevel="0" collapsed="false">
      <c r="A782" s="325"/>
      <c r="B782" s="326"/>
      <c r="J782" s="73"/>
      <c r="K782" s="327"/>
    </row>
    <row r="783" customFormat="false" ht="12.75" hidden="false" customHeight="false" outlineLevel="0" collapsed="false">
      <c r="A783" s="325"/>
      <c r="B783" s="326"/>
      <c r="J783" s="73"/>
      <c r="K783" s="327"/>
    </row>
    <row r="784" customFormat="false" ht="12.75" hidden="false" customHeight="false" outlineLevel="0" collapsed="false">
      <c r="A784" s="325"/>
      <c r="B784" s="326"/>
      <c r="J784" s="73"/>
      <c r="K784" s="327"/>
    </row>
    <row r="785" customFormat="false" ht="12.75" hidden="false" customHeight="false" outlineLevel="0" collapsed="false">
      <c r="A785" s="325"/>
      <c r="B785" s="326"/>
      <c r="J785" s="73"/>
      <c r="K785" s="327"/>
    </row>
    <row r="786" customFormat="false" ht="12.75" hidden="false" customHeight="false" outlineLevel="0" collapsed="false">
      <c r="A786" s="325"/>
      <c r="B786" s="326"/>
      <c r="J786" s="73"/>
      <c r="K786" s="327"/>
    </row>
    <row r="787" customFormat="false" ht="12.75" hidden="false" customHeight="false" outlineLevel="0" collapsed="false">
      <c r="A787" s="325"/>
      <c r="B787" s="326"/>
      <c r="J787" s="73"/>
      <c r="K787" s="327"/>
    </row>
    <row r="788" customFormat="false" ht="12.75" hidden="false" customHeight="false" outlineLevel="0" collapsed="false">
      <c r="A788" s="325"/>
      <c r="B788" s="326"/>
      <c r="J788" s="73"/>
      <c r="K788" s="327"/>
    </row>
    <row r="789" customFormat="false" ht="12.75" hidden="false" customHeight="false" outlineLevel="0" collapsed="false">
      <c r="A789" s="325"/>
      <c r="B789" s="326"/>
      <c r="J789" s="73"/>
      <c r="K789" s="327"/>
    </row>
    <row r="790" customFormat="false" ht="12.75" hidden="false" customHeight="false" outlineLevel="0" collapsed="false">
      <c r="A790" s="325"/>
      <c r="B790" s="326"/>
      <c r="J790" s="73"/>
      <c r="K790" s="327"/>
    </row>
    <row r="791" customFormat="false" ht="12.75" hidden="false" customHeight="false" outlineLevel="0" collapsed="false">
      <c r="A791" s="325"/>
      <c r="B791" s="326"/>
      <c r="J791" s="73"/>
      <c r="K791" s="327"/>
    </row>
    <row r="792" customFormat="false" ht="12.75" hidden="false" customHeight="false" outlineLevel="0" collapsed="false">
      <c r="A792" s="325"/>
      <c r="B792" s="326"/>
      <c r="J792" s="73"/>
      <c r="K792" s="327"/>
    </row>
    <row r="793" customFormat="false" ht="12.75" hidden="false" customHeight="false" outlineLevel="0" collapsed="false">
      <c r="A793" s="325"/>
      <c r="B793" s="326"/>
      <c r="J793" s="73"/>
      <c r="K793" s="327"/>
    </row>
    <row r="794" customFormat="false" ht="12.75" hidden="false" customHeight="false" outlineLevel="0" collapsed="false">
      <c r="A794" s="325"/>
      <c r="B794" s="326"/>
      <c r="J794" s="73"/>
      <c r="K794" s="327"/>
    </row>
    <row r="795" customFormat="false" ht="12.75" hidden="false" customHeight="false" outlineLevel="0" collapsed="false">
      <c r="A795" s="325"/>
      <c r="B795" s="326"/>
      <c r="J795" s="73"/>
      <c r="K795" s="327"/>
    </row>
    <row r="796" customFormat="false" ht="12.75" hidden="false" customHeight="false" outlineLevel="0" collapsed="false">
      <c r="A796" s="325"/>
      <c r="B796" s="326"/>
      <c r="J796" s="73"/>
      <c r="K796" s="327"/>
    </row>
    <row r="797" customFormat="false" ht="12.75" hidden="false" customHeight="false" outlineLevel="0" collapsed="false">
      <c r="A797" s="325"/>
      <c r="B797" s="326"/>
      <c r="J797" s="73"/>
      <c r="K797" s="327"/>
    </row>
    <row r="798" customFormat="false" ht="12.75" hidden="false" customHeight="false" outlineLevel="0" collapsed="false">
      <c r="A798" s="325"/>
      <c r="B798" s="326"/>
      <c r="J798" s="73"/>
      <c r="K798" s="327"/>
    </row>
    <row r="799" customFormat="false" ht="12.75" hidden="false" customHeight="false" outlineLevel="0" collapsed="false">
      <c r="A799" s="325"/>
      <c r="B799" s="326"/>
      <c r="J799" s="73"/>
      <c r="K799" s="327"/>
    </row>
    <row r="800" customFormat="false" ht="12.75" hidden="false" customHeight="false" outlineLevel="0" collapsed="false">
      <c r="A800" s="325"/>
      <c r="B800" s="326"/>
      <c r="J800" s="73"/>
      <c r="K800" s="327"/>
    </row>
    <row r="801" customFormat="false" ht="12.75" hidden="false" customHeight="false" outlineLevel="0" collapsed="false">
      <c r="A801" s="325"/>
      <c r="B801" s="326"/>
      <c r="J801" s="73"/>
      <c r="K801" s="327"/>
    </row>
    <row r="802" customFormat="false" ht="12.75" hidden="false" customHeight="false" outlineLevel="0" collapsed="false">
      <c r="A802" s="325"/>
      <c r="B802" s="326"/>
      <c r="J802" s="73"/>
      <c r="K802" s="327"/>
    </row>
    <row r="803" customFormat="false" ht="12.75" hidden="false" customHeight="false" outlineLevel="0" collapsed="false">
      <c r="A803" s="325"/>
      <c r="B803" s="326"/>
      <c r="J803" s="73"/>
      <c r="K803" s="327"/>
    </row>
    <row r="804" customFormat="false" ht="12.75" hidden="false" customHeight="false" outlineLevel="0" collapsed="false">
      <c r="A804" s="325"/>
      <c r="B804" s="326"/>
      <c r="J804" s="73"/>
      <c r="K804" s="327"/>
    </row>
    <row r="805" customFormat="false" ht="12.75" hidden="false" customHeight="false" outlineLevel="0" collapsed="false">
      <c r="A805" s="325"/>
      <c r="B805" s="326"/>
      <c r="J805" s="73"/>
      <c r="K805" s="327"/>
    </row>
    <row r="806" customFormat="false" ht="12.75" hidden="false" customHeight="false" outlineLevel="0" collapsed="false">
      <c r="A806" s="325"/>
      <c r="B806" s="326"/>
      <c r="J806" s="73"/>
      <c r="K806" s="327"/>
    </row>
    <row r="807" customFormat="false" ht="12.75" hidden="false" customHeight="false" outlineLevel="0" collapsed="false">
      <c r="A807" s="325"/>
      <c r="B807" s="326"/>
      <c r="J807" s="73"/>
      <c r="K807" s="327"/>
    </row>
    <row r="808" customFormat="false" ht="12.75" hidden="false" customHeight="false" outlineLevel="0" collapsed="false">
      <c r="A808" s="325"/>
      <c r="B808" s="326"/>
      <c r="J808" s="73"/>
      <c r="K808" s="327"/>
    </row>
    <row r="809" customFormat="false" ht="12.75" hidden="false" customHeight="false" outlineLevel="0" collapsed="false">
      <c r="A809" s="325"/>
      <c r="B809" s="326"/>
      <c r="J809" s="73"/>
      <c r="K809" s="327"/>
    </row>
    <row r="810" customFormat="false" ht="12.75" hidden="false" customHeight="false" outlineLevel="0" collapsed="false">
      <c r="A810" s="325"/>
      <c r="B810" s="326"/>
      <c r="J810" s="73"/>
      <c r="K810" s="327"/>
    </row>
    <row r="811" customFormat="false" ht="12.75" hidden="false" customHeight="false" outlineLevel="0" collapsed="false">
      <c r="A811" s="325"/>
      <c r="B811" s="326"/>
      <c r="J811" s="73"/>
      <c r="K811" s="327"/>
    </row>
    <row r="812" customFormat="false" ht="12.75" hidden="false" customHeight="false" outlineLevel="0" collapsed="false">
      <c r="A812" s="325"/>
      <c r="B812" s="326"/>
      <c r="J812" s="73"/>
      <c r="K812" s="327"/>
    </row>
    <row r="813" customFormat="false" ht="12.75" hidden="false" customHeight="false" outlineLevel="0" collapsed="false">
      <c r="A813" s="325"/>
      <c r="B813" s="326"/>
      <c r="J813" s="73"/>
      <c r="K813" s="327"/>
    </row>
    <row r="814" customFormat="false" ht="12.75" hidden="false" customHeight="false" outlineLevel="0" collapsed="false">
      <c r="A814" s="325"/>
      <c r="B814" s="326"/>
      <c r="J814" s="73"/>
      <c r="K814" s="327"/>
    </row>
    <row r="815" customFormat="false" ht="12.75" hidden="false" customHeight="false" outlineLevel="0" collapsed="false">
      <c r="A815" s="325"/>
      <c r="B815" s="326"/>
      <c r="J815" s="73"/>
      <c r="K815" s="327"/>
    </row>
    <row r="816" customFormat="false" ht="12.75" hidden="false" customHeight="false" outlineLevel="0" collapsed="false">
      <c r="A816" s="325"/>
      <c r="B816" s="326"/>
      <c r="J816" s="73"/>
      <c r="K816" s="327"/>
    </row>
    <row r="817" customFormat="false" ht="12.75" hidden="false" customHeight="false" outlineLevel="0" collapsed="false">
      <c r="A817" s="325"/>
      <c r="B817" s="326"/>
      <c r="J817" s="73"/>
      <c r="K817" s="327"/>
    </row>
    <row r="818" customFormat="false" ht="12.75" hidden="false" customHeight="false" outlineLevel="0" collapsed="false">
      <c r="A818" s="325"/>
      <c r="B818" s="326"/>
      <c r="J818" s="73"/>
      <c r="K818" s="327"/>
    </row>
    <row r="819" customFormat="false" ht="12.75" hidden="false" customHeight="false" outlineLevel="0" collapsed="false">
      <c r="A819" s="325"/>
      <c r="B819" s="326"/>
      <c r="J819" s="73"/>
      <c r="K819" s="327"/>
    </row>
    <row r="820" customFormat="false" ht="12.75" hidden="false" customHeight="false" outlineLevel="0" collapsed="false">
      <c r="A820" s="325"/>
      <c r="B820" s="326"/>
      <c r="J820" s="73"/>
      <c r="K820" s="327"/>
    </row>
    <row r="821" customFormat="false" ht="12.75" hidden="false" customHeight="false" outlineLevel="0" collapsed="false">
      <c r="A821" s="325"/>
      <c r="B821" s="326"/>
      <c r="J821" s="73"/>
      <c r="K821" s="327"/>
    </row>
    <row r="822" customFormat="false" ht="12.75" hidden="false" customHeight="false" outlineLevel="0" collapsed="false">
      <c r="A822" s="325"/>
      <c r="B822" s="326"/>
      <c r="J822" s="73"/>
      <c r="K822" s="327"/>
    </row>
    <row r="823" customFormat="false" ht="12.75" hidden="false" customHeight="false" outlineLevel="0" collapsed="false">
      <c r="A823" s="325"/>
      <c r="B823" s="326"/>
      <c r="J823" s="73"/>
      <c r="K823" s="327"/>
    </row>
    <row r="824" customFormat="false" ht="12.75" hidden="false" customHeight="false" outlineLevel="0" collapsed="false">
      <c r="A824" s="325"/>
      <c r="B824" s="326"/>
      <c r="J824" s="73"/>
      <c r="K824" s="327"/>
    </row>
    <row r="825" customFormat="false" ht="12.75" hidden="false" customHeight="false" outlineLevel="0" collapsed="false">
      <c r="A825" s="325"/>
      <c r="B825" s="326"/>
      <c r="J825" s="73"/>
      <c r="K825" s="327"/>
    </row>
    <row r="826" customFormat="false" ht="12.75" hidden="false" customHeight="false" outlineLevel="0" collapsed="false">
      <c r="A826" s="325"/>
      <c r="B826" s="326"/>
      <c r="J826" s="73"/>
      <c r="K826" s="327"/>
    </row>
    <row r="827" customFormat="false" ht="12.75" hidden="false" customHeight="false" outlineLevel="0" collapsed="false">
      <c r="A827" s="325"/>
      <c r="B827" s="326"/>
      <c r="J827" s="73"/>
      <c r="K827" s="327"/>
    </row>
    <row r="828" customFormat="false" ht="12.75" hidden="false" customHeight="false" outlineLevel="0" collapsed="false">
      <c r="A828" s="325"/>
      <c r="B828" s="326"/>
      <c r="J828" s="73"/>
      <c r="K828" s="327"/>
    </row>
    <row r="829" customFormat="false" ht="12.75" hidden="false" customHeight="false" outlineLevel="0" collapsed="false">
      <c r="A829" s="325"/>
      <c r="B829" s="326"/>
      <c r="J829" s="73"/>
      <c r="K829" s="327"/>
    </row>
    <row r="830" customFormat="false" ht="12.75" hidden="false" customHeight="false" outlineLevel="0" collapsed="false">
      <c r="A830" s="325"/>
      <c r="B830" s="326"/>
      <c r="J830" s="73"/>
      <c r="K830" s="327"/>
    </row>
    <row r="831" customFormat="false" ht="12.75" hidden="false" customHeight="false" outlineLevel="0" collapsed="false">
      <c r="A831" s="325"/>
      <c r="B831" s="326"/>
      <c r="J831" s="73"/>
      <c r="K831" s="327"/>
    </row>
    <row r="832" customFormat="false" ht="12.75" hidden="false" customHeight="false" outlineLevel="0" collapsed="false">
      <c r="A832" s="325"/>
      <c r="B832" s="326"/>
      <c r="J832" s="73"/>
      <c r="K832" s="327"/>
    </row>
    <row r="833" customFormat="false" ht="12.75" hidden="false" customHeight="false" outlineLevel="0" collapsed="false">
      <c r="A833" s="325"/>
      <c r="B833" s="326"/>
      <c r="J833" s="73"/>
      <c r="K833" s="327"/>
    </row>
    <row r="834" customFormat="false" ht="12.75" hidden="false" customHeight="false" outlineLevel="0" collapsed="false">
      <c r="A834" s="325"/>
      <c r="B834" s="326"/>
      <c r="J834" s="73"/>
      <c r="K834" s="327"/>
    </row>
    <row r="835" customFormat="false" ht="12.75" hidden="false" customHeight="false" outlineLevel="0" collapsed="false">
      <c r="A835" s="325"/>
      <c r="B835" s="326"/>
      <c r="J835" s="73"/>
      <c r="K835" s="327"/>
    </row>
    <row r="836" customFormat="false" ht="12.75" hidden="false" customHeight="false" outlineLevel="0" collapsed="false">
      <c r="A836" s="325"/>
      <c r="B836" s="326"/>
      <c r="J836" s="73"/>
      <c r="K836" s="327"/>
    </row>
    <row r="837" customFormat="false" ht="12.75" hidden="false" customHeight="false" outlineLevel="0" collapsed="false">
      <c r="A837" s="325"/>
      <c r="B837" s="326"/>
      <c r="J837" s="73"/>
      <c r="K837" s="327"/>
    </row>
    <row r="838" customFormat="false" ht="12.75" hidden="false" customHeight="false" outlineLevel="0" collapsed="false">
      <c r="A838" s="325"/>
      <c r="B838" s="326"/>
      <c r="J838" s="73"/>
      <c r="K838" s="327"/>
    </row>
    <row r="839" customFormat="false" ht="12.75" hidden="false" customHeight="false" outlineLevel="0" collapsed="false">
      <c r="A839" s="325"/>
      <c r="B839" s="326"/>
      <c r="J839" s="73"/>
      <c r="K839" s="327"/>
    </row>
    <row r="840" customFormat="false" ht="12.75" hidden="false" customHeight="false" outlineLevel="0" collapsed="false">
      <c r="A840" s="325"/>
      <c r="B840" s="326"/>
      <c r="J840" s="73"/>
      <c r="K840" s="327"/>
    </row>
    <row r="841" customFormat="false" ht="12.75" hidden="false" customHeight="false" outlineLevel="0" collapsed="false">
      <c r="A841" s="325"/>
      <c r="B841" s="326"/>
      <c r="J841" s="73"/>
      <c r="K841" s="327"/>
    </row>
    <row r="842" customFormat="false" ht="12.75" hidden="false" customHeight="false" outlineLevel="0" collapsed="false">
      <c r="A842" s="325"/>
      <c r="B842" s="326"/>
      <c r="J842" s="73"/>
      <c r="K842" s="327"/>
    </row>
    <row r="843" customFormat="false" ht="12.75" hidden="false" customHeight="false" outlineLevel="0" collapsed="false">
      <c r="A843" s="325"/>
      <c r="B843" s="326"/>
      <c r="J843" s="73"/>
      <c r="K843" s="327"/>
    </row>
    <row r="844" customFormat="false" ht="12.75" hidden="false" customHeight="false" outlineLevel="0" collapsed="false">
      <c r="A844" s="325"/>
      <c r="B844" s="326"/>
      <c r="J844" s="73"/>
      <c r="K844" s="327"/>
    </row>
    <row r="845" customFormat="false" ht="12.75" hidden="false" customHeight="false" outlineLevel="0" collapsed="false">
      <c r="A845" s="325"/>
      <c r="B845" s="326"/>
      <c r="J845" s="73"/>
      <c r="K845" s="327"/>
    </row>
    <row r="846" customFormat="false" ht="12.75" hidden="false" customHeight="false" outlineLevel="0" collapsed="false">
      <c r="A846" s="325"/>
      <c r="B846" s="326"/>
      <c r="J846" s="73"/>
      <c r="K846" s="327"/>
    </row>
    <row r="847" customFormat="false" ht="12.75" hidden="false" customHeight="false" outlineLevel="0" collapsed="false">
      <c r="A847" s="325"/>
      <c r="B847" s="326"/>
      <c r="J847" s="73"/>
      <c r="K847" s="327"/>
    </row>
    <row r="848" customFormat="false" ht="12.75" hidden="false" customHeight="false" outlineLevel="0" collapsed="false">
      <c r="A848" s="325"/>
      <c r="B848" s="326"/>
      <c r="J848" s="73"/>
      <c r="K848" s="327"/>
    </row>
    <row r="849" customFormat="false" ht="12.75" hidden="false" customHeight="false" outlineLevel="0" collapsed="false">
      <c r="A849" s="325"/>
      <c r="B849" s="326"/>
      <c r="J849" s="73"/>
      <c r="K849" s="327"/>
    </row>
    <row r="850" customFormat="false" ht="12.75" hidden="false" customHeight="false" outlineLevel="0" collapsed="false">
      <c r="A850" s="325"/>
      <c r="B850" s="326"/>
      <c r="J850" s="73"/>
      <c r="K850" s="327"/>
    </row>
    <row r="851" customFormat="false" ht="12.75" hidden="false" customHeight="false" outlineLevel="0" collapsed="false">
      <c r="A851" s="325"/>
      <c r="B851" s="326"/>
      <c r="J851" s="73"/>
      <c r="K851" s="327"/>
    </row>
    <row r="852" customFormat="false" ht="12.75" hidden="false" customHeight="false" outlineLevel="0" collapsed="false">
      <c r="A852" s="325"/>
      <c r="B852" s="326"/>
      <c r="J852" s="73"/>
      <c r="K852" s="327"/>
    </row>
    <row r="853" customFormat="false" ht="12.75" hidden="false" customHeight="false" outlineLevel="0" collapsed="false">
      <c r="A853" s="325"/>
      <c r="B853" s="326"/>
      <c r="J853" s="73"/>
      <c r="K853" s="327"/>
    </row>
    <row r="854" customFormat="false" ht="12.75" hidden="false" customHeight="false" outlineLevel="0" collapsed="false">
      <c r="A854" s="325"/>
      <c r="B854" s="326"/>
      <c r="J854" s="73"/>
      <c r="K854" s="327"/>
    </row>
    <row r="855" customFormat="false" ht="12.75" hidden="false" customHeight="false" outlineLevel="0" collapsed="false">
      <c r="A855" s="325"/>
      <c r="B855" s="326"/>
      <c r="J855" s="73"/>
      <c r="K855" s="327"/>
    </row>
    <row r="856" customFormat="false" ht="12.75" hidden="false" customHeight="false" outlineLevel="0" collapsed="false">
      <c r="A856" s="325"/>
      <c r="B856" s="326"/>
      <c r="J856" s="73"/>
      <c r="K856" s="327"/>
    </row>
    <row r="857" customFormat="false" ht="12.75" hidden="false" customHeight="false" outlineLevel="0" collapsed="false">
      <c r="A857" s="325"/>
      <c r="B857" s="326"/>
      <c r="J857" s="73"/>
      <c r="K857" s="327"/>
    </row>
    <row r="858" customFormat="false" ht="12.75" hidden="false" customHeight="false" outlineLevel="0" collapsed="false">
      <c r="A858" s="325"/>
      <c r="B858" s="326"/>
      <c r="J858" s="73"/>
      <c r="K858" s="327"/>
    </row>
    <row r="859" customFormat="false" ht="12.75" hidden="false" customHeight="false" outlineLevel="0" collapsed="false">
      <c r="A859" s="325"/>
      <c r="B859" s="326"/>
      <c r="J859" s="73"/>
      <c r="K859" s="327"/>
    </row>
    <row r="860" customFormat="false" ht="12.75" hidden="false" customHeight="false" outlineLevel="0" collapsed="false">
      <c r="A860" s="325"/>
      <c r="B860" s="326"/>
      <c r="J860" s="73"/>
      <c r="K860" s="327"/>
    </row>
    <row r="861" customFormat="false" ht="12.75" hidden="false" customHeight="false" outlineLevel="0" collapsed="false">
      <c r="A861" s="325"/>
      <c r="B861" s="326"/>
      <c r="J861" s="73"/>
      <c r="K861" s="327"/>
    </row>
    <row r="862" customFormat="false" ht="12.75" hidden="false" customHeight="false" outlineLevel="0" collapsed="false">
      <c r="A862" s="325"/>
      <c r="B862" s="326"/>
      <c r="J862" s="73"/>
      <c r="K862" s="327"/>
    </row>
    <row r="863" customFormat="false" ht="12.75" hidden="false" customHeight="false" outlineLevel="0" collapsed="false">
      <c r="A863" s="325"/>
      <c r="B863" s="326"/>
      <c r="J863" s="73"/>
      <c r="K863" s="327"/>
    </row>
    <row r="864" customFormat="false" ht="12.75" hidden="false" customHeight="false" outlineLevel="0" collapsed="false">
      <c r="A864" s="325"/>
      <c r="B864" s="326"/>
      <c r="J864" s="73"/>
      <c r="K864" s="327"/>
    </row>
    <row r="865" customFormat="false" ht="12.75" hidden="false" customHeight="false" outlineLevel="0" collapsed="false">
      <c r="A865" s="325"/>
      <c r="B865" s="326"/>
      <c r="J865" s="73"/>
      <c r="K865" s="327"/>
    </row>
    <row r="866" customFormat="false" ht="12.75" hidden="false" customHeight="false" outlineLevel="0" collapsed="false">
      <c r="A866" s="325"/>
      <c r="B866" s="326"/>
      <c r="J866" s="73"/>
      <c r="K866" s="327"/>
    </row>
    <row r="867" customFormat="false" ht="12.75" hidden="false" customHeight="false" outlineLevel="0" collapsed="false">
      <c r="A867" s="325"/>
      <c r="B867" s="326"/>
      <c r="J867" s="73"/>
      <c r="K867" s="327"/>
    </row>
    <row r="868" customFormat="false" ht="12.75" hidden="false" customHeight="false" outlineLevel="0" collapsed="false">
      <c r="A868" s="325"/>
      <c r="B868" s="326"/>
      <c r="J868" s="73"/>
      <c r="K868" s="327"/>
    </row>
    <row r="869" customFormat="false" ht="12.75" hidden="false" customHeight="false" outlineLevel="0" collapsed="false">
      <c r="A869" s="325"/>
      <c r="B869" s="326"/>
      <c r="J869" s="73"/>
      <c r="K869" s="327"/>
    </row>
    <row r="870" customFormat="false" ht="12.75" hidden="false" customHeight="false" outlineLevel="0" collapsed="false">
      <c r="A870" s="325"/>
      <c r="B870" s="326"/>
      <c r="J870" s="73"/>
      <c r="K870" s="327"/>
    </row>
    <row r="871" customFormat="false" ht="12.75" hidden="false" customHeight="false" outlineLevel="0" collapsed="false">
      <c r="A871" s="325"/>
      <c r="B871" s="326"/>
      <c r="J871" s="73"/>
      <c r="K871" s="327"/>
    </row>
    <row r="872" customFormat="false" ht="12.75" hidden="false" customHeight="false" outlineLevel="0" collapsed="false">
      <c r="A872" s="325"/>
      <c r="B872" s="326"/>
      <c r="J872" s="73"/>
      <c r="K872" s="327"/>
    </row>
    <row r="873" customFormat="false" ht="12.75" hidden="false" customHeight="false" outlineLevel="0" collapsed="false">
      <c r="A873" s="325"/>
      <c r="B873" s="326"/>
      <c r="J873" s="73"/>
      <c r="K873" s="327"/>
    </row>
    <row r="874" customFormat="false" ht="12.75" hidden="false" customHeight="false" outlineLevel="0" collapsed="false">
      <c r="A874" s="325"/>
      <c r="B874" s="326"/>
      <c r="J874" s="73"/>
      <c r="K874" s="327"/>
    </row>
    <row r="875" customFormat="false" ht="12.75" hidden="false" customHeight="false" outlineLevel="0" collapsed="false">
      <c r="A875" s="325"/>
      <c r="B875" s="326"/>
      <c r="J875" s="73"/>
      <c r="K875" s="327"/>
    </row>
    <row r="876" customFormat="false" ht="12.75" hidden="false" customHeight="false" outlineLevel="0" collapsed="false">
      <c r="A876" s="325"/>
      <c r="B876" s="326"/>
      <c r="J876" s="73"/>
      <c r="K876" s="327"/>
    </row>
    <row r="877" customFormat="false" ht="12.75" hidden="false" customHeight="false" outlineLevel="0" collapsed="false">
      <c r="A877" s="325"/>
      <c r="B877" s="326"/>
      <c r="J877" s="73"/>
      <c r="K877" s="327"/>
    </row>
    <row r="878" customFormat="false" ht="12.75" hidden="false" customHeight="false" outlineLevel="0" collapsed="false">
      <c r="A878" s="325"/>
      <c r="B878" s="326"/>
      <c r="J878" s="73"/>
      <c r="K878" s="327"/>
    </row>
    <row r="879" customFormat="false" ht="12.75" hidden="false" customHeight="false" outlineLevel="0" collapsed="false">
      <c r="A879" s="325"/>
      <c r="B879" s="326"/>
      <c r="J879" s="73"/>
      <c r="K879" s="327"/>
    </row>
    <row r="880" customFormat="false" ht="12.75" hidden="false" customHeight="false" outlineLevel="0" collapsed="false">
      <c r="A880" s="325"/>
      <c r="B880" s="326"/>
      <c r="J880" s="73"/>
      <c r="K880" s="327"/>
    </row>
    <row r="881" customFormat="false" ht="12.75" hidden="false" customHeight="false" outlineLevel="0" collapsed="false">
      <c r="A881" s="325"/>
      <c r="B881" s="326"/>
      <c r="J881" s="73"/>
      <c r="K881" s="327"/>
    </row>
    <row r="882" customFormat="false" ht="12.75" hidden="false" customHeight="false" outlineLevel="0" collapsed="false">
      <c r="A882" s="325"/>
      <c r="B882" s="326"/>
      <c r="J882" s="73"/>
      <c r="K882" s="327"/>
    </row>
    <row r="883" customFormat="false" ht="12.75" hidden="false" customHeight="false" outlineLevel="0" collapsed="false">
      <c r="A883" s="325"/>
      <c r="B883" s="326"/>
      <c r="J883" s="73"/>
      <c r="K883" s="327"/>
    </row>
    <row r="884" customFormat="false" ht="12.75" hidden="false" customHeight="false" outlineLevel="0" collapsed="false">
      <c r="A884" s="325"/>
      <c r="B884" s="326"/>
      <c r="J884" s="73"/>
      <c r="K884" s="327"/>
    </row>
    <row r="885" customFormat="false" ht="12.75" hidden="false" customHeight="false" outlineLevel="0" collapsed="false">
      <c r="A885" s="325"/>
      <c r="B885" s="326"/>
      <c r="J885" s="73"/>
      <c r="K885" s="327"/>
    </row>
    <row r="886" customFormat="false" ht="12.75" hidden="false" customHeight="false" outlineLevel="0" collapsed="false">
      <c r="A886" s="325"/>
      <c r="B886" s="326"/>
      <c r="J886" s="73"/>
      <c r="K886" s="327"/>
    </row>
    <row r="887" customFormat="false" ht="12.75" hidden="false" customHeight="false" outlineLevel="0" collapsed="false">
      <c r="A887" s="325"/>
      <c r="B887" s="326"/>
      <c r="J887" s="73"/>
      <c r="K887" s="327"/>
    </row>
    <row r="888" customFormat="false" ht="12.75" hidden="false" customHeight="false" outlineLevel="0" collapsed="false">
      <c r="A888" s="325"/>
      <c r="B888" s="326"/>
      <c r="J888" s="73"/>
      <c r="K888" s="327"/>
    </row>
    <row r="889" customFormat="false" ht="12.75" hidden="false" customHeight="false" outlineLevel="0" collapsed="false">
      <c r="A889" s="325"/>
      <c r="B889" s="326"/>
      <c r="J889" s="73"/>
      <c r="K889" s="327"/>
    </row>
    <row r="890" customFormat="false" ht="12.75" hidden="false" customHeight="false" outlineLevel="0" collapsed="false">
      <c r="A890" s="325"/>
      <c r="B890" s="326"/>
      <c r="J890" s="73"/>
      <c r="K890" s="327"/>
    </row>
    <row r="891" customFormat="false" ht="12.75" hidden="false" customHeight="false" outlineLevel="0" collapsed="false">
      <c r="A891" s="325"/>
      <c r="B891" s="326"/>
      <c r="J891" s="73"/>
      <c r="K891" s="327"/>
    </row>
    <row r="892" customFormat="false" ht="12.75" hidden="false" customHeight="false" outlineLevel="0" collapsed="false">
      <c r="A892" s="325"/>
      <c r="B892" s="326"/>
      <c r="J892" s="73"/>
      <c r="K892" s="327"/>
    </row>
    <row r="893" customFormat="false" ht="12.75" hidden="false" customHeight="false" outlineLevel="0" collapsed="false">
      <c r="A893" s="325"/>
      <c r="B893" s="326"/>
      <c r="J893" s="73"/>
      <c r="K893" s="327"/>
    </row>
    <row r="894" customFormat="false" ht="12.75" hidden="false" customHeight="false" outlineLevel="0" collapsed="false">
      <c r="A894" s="325"/>
      <c r="B894" s="326"/>
      <c r="J894" s="73"/>
      <c r="K894" s="327"/>
    </row>
    <row r="895" customFormat="false" ht="12.75" hidden="false" customHeight="false" outlineLevel="0" collapsed="false">
      <c r="A895" s="325"/>
      <c r="B895" s="326"/>
      <c r="J895" s="73"/>
      <c r="K895" s="327"/>
    </row>
    <row r="896" customFormat="false" ht="12.75" hidden="false" customHeight="false" outlineLevel="0" collapsed="false">
      <c r="A896" s="325"/>
      <c r="B896" s="326"/>
      <c r="J896" s="73"/>
      <c r="K896" s="327"/>
    </row>
    <row r="897" customFormat="false" ht="12.75" hidden="false" customHeight="false" outlineLevel="0" collapsed="false">
      <c r="A897" s="325"/>
      <c r="B897" s="326"/>
      <c r="J897" s="73"/>
      <c r="K897" s="327"/>
    </row>
    <row r="898" customFormat="false" ht="12.75" hidden="false" customHeight="false" outlineLevel="0" collapsed="false">
      <c r="A898" s="325"/>
      <c r="B898" s="326"/>
      <c r="J898" s="73"/>
      <c r="K898" s="327"/>
    </row>
    <row r="899" customFormat="false" ht="12.75" hidden="false" customHeight="false" outlineLevel="0" collapsed="false">
      <c r="A899" s="325"/>
      <c r="B899" s="326"/>
      <c r="J899" s="73"/>
      <c r="K899" s="327"/>
    </row>
    <row r="900" customFormat="false" ht="12.75" hidden="false" customHeight="false" outlineLevel="0" collapsed="false">
      <c r="A900" s="325"/>
      <c r="B900" s="326"/>
      <c r="J900" s="73"/>
      <c r="K900" s="327"/>
    </row>
    <row r="901" customFormat="false" ht="12.75" hidden="false" customHeight="false" outlineLevel="0" collapsed="false">
      <c r="A901" s="325"/>
      <c r="B901" s="326"/>
      <c r="J901" s="73"/>
      <c r="K901" s="327"/>
    </row>
    <row r="902" customFormat="false" ht="12.75" hidden="false" customHeight="false" outlineLevel="0" collapsed="false">
      <c r="A902" s="325"/>
      <c r="B902" s="326"/>
      <c r="J902" s="73"/>
      <c r="K902" s="327"/>
    </row>
    <row r="903" customFormat="false" ht="12.75" hidden="false" customHeight="false" outlineLevel="0" collapsed="false">
      <c r="A903" s="325"/>
      <c r="B903" s="326"/>
      <c r="J903" s="73"/>
      <c r="K903" s="327"/>
    </row>
    <row r="904" customFormat="false" ht="12.75" hidden="false" customHeight="false" outlineLevel="0" collapsed="false">
      <c r="A904" s="325"/>
      <c r="B904" s="326"/>
      <c r="J904" s="73"/>
      <c r="K904" s="327"/>
    </row>
    <row r="905" customFormat="false" ht="12.75" hidden="false" customHeight="false" outlineLevel="0" collapsed="false">
      <c r="A905" s="325"/>
      <c r="B905" s="326"/>
      <c r="J905" s="73"/>
      <c r="K905" s="327"/>
    </row>
    <row r="906" customFormat="false" ht="12.75" hidden="false" customHeight="false" outlineLevel="0" collapsed="false">
      <c r="A906" s="325"/>
      <c r="B906" s="326"/>
      <c r="J906" s="73"/>
      <c r="K906" s="327"/>
    </row>
    <row r="907" customFormat="false" ht="12.75" hidden="false" customHeight="false" outlineLevel="0" collapsed="false">
      <c r="A907" s="325"/>
      <c r="B907" s="326"/>
      <c r="J907" s="73"/>
      <c r="K907" s="327"/>
    </row>
    <row r="908" customFormat="false" ht="12.75" hidden="false" customHeight="false" outlineLevel="0" collapsed="false">
      <c r="A908" s="325"/>
      <c r="B908" s="326"/>
      <c r="J908" s="73"/>
      <c r="K908" s="327"/>
    </row>
    <row r="909" customFormat="false" ht="12.75" hidden="false" customHeight="false" outlineLevel="0" collapsed="false">
      <c r="A909" s="325"/>
      <c r="B909" s="326"/>
      <c r="J909" s="73"/>
      <c r="K909" s="327"/>
    </row>
    <row r="910" customFormat="false" ht="12.75" hidden="false" customHeight="false" outlineLevel="0" collapsed="false">
      <c r="A910" s="325"/>
      <c r="B910" s="326"/>
      <c r="J910" s="73"/>
      <c r="K910" s="327"/>
    </row>
    <row r="911" customFormat="false" ht="12.75" hidden="false" customHeight="false" outlineLevel="0" collapsed="false">
      <c r="A911" s="325"/>
      <c r="B911" s="326"/>
      <c r="J911" s="73"/>
      <c r="K911" s="327"/>
    </row>
    <row r="912" customFormat="false" ht="12.75" hidden="false" customHeight="false" outlineLevel="0" collapsed="false">
      <c r="A912" s="325"/>
      <c r="B912" s="326"/>
      <c r="J912" s="73"/>
      <c r="K912" s="327"/>
    </row>
    <row r="913" customFormat="false" ht="12.75" hidden="false" customHeight="false" outlineLevel="0" collapsed="false">
      <c r="A913" s="325"/>
      <c r="B913" s="326"/>
      <c r="J913" s="73"/>
      <c r="K913" s="327"/>
    </row>
    <row r="914" customFormat="false" ht="12.75" hidden="false" customHeight="false" outlineLevel="0" collapsed="false">
      <c r="A914" s="325"/>
      <c r="B914" s="326"/>
      <c r="J914" s="73"/>
      <c r="K914" s="327"/>
    </row>
    <row r="915" customFormat="false" ht="12.75" hidden="false" customHeight="false" outlineLevel="0" collapsed="false">
      <c r="A915" s="325"/>
      <c r="B915" s="326"/>
      <c r="J915" s="73"/>
      <c r="K915" s="327"/>
    </row>
    <row r="916" customFormat="false" ht="12.75" hidden="false" customHeight="false" outlineLevel="0" collapsed="false">
      <c r="A916" s="325"/>
      <c r="B916" s="326"/>
      <c r="J916" s="73"/>
      <c r="K916" s="327"/>
    </row>
    <row r="917" customFormat="false" ht="12.75" hidden="false" customHeight="false" outlineLevel="0" collapsed="false">
      <c r="A917" s="325"/>
      <c r="B917" s="326"/>
      <c r="J917" s="73"/>
      <c r="K917" s="327"/>
    </row>
    <row r="918" customFormat="false" ht="12.75" hidden="false" customHeight="false" outlineLevel="0" collapsed="false">
      <c r="A918" s="325"/>
      <c r="B918" s="326"/>
      <c r="J918" s="73"/>
      <c r="K918" s="327"/>
    </row>
    <row r="919" customFormat="false" ht="12.75" hidden="false" customHeight="false" outlineLevel="0" collapsed="false">
      <c r="A919" s="325"/>
      <c r="B919" s="326"/>
      <c r="J919" s="73"/>
      <c r="K919" s="327"/>
    </row>
    <row r="920" customFormat="false" ht="12.75" hidden="false" customHeight="false" outlineLevel="0" collapsed="false">
      <c r="A920" s="325"/>
      <c r="B920" s="326"/>
      <c r="J920" s="73"/>
      <c r="K920" s="327"/>
    </row>
    <row r="921" customFormat="false" ht="12.75" hidden="false" customHeight="false" outlineLevel="0" collapsed="false">
      <c r="A921" s="325"/>
      <c r="B921" s="326"/>
      <c r="J921" s="73"/>
      <c r="K921" s="327"/>
    </row>
    <row r="922" customFormat="false" ht="12.75" hidden="false" customHeight="false" outlineLevel="0" collapsed="false">
      <c r="A922" s="325"/>
      <c r="B922" s="326"/>
      <c r="J922" s="73"/>
      <c r="K922" s="327"/>
    </row>
    <row r="923" customFormat="false" ht="12.75" hidden="false" customHeight="false" outlineLevel="0" collapsed="false">
      <c r="A923" s="325"/>
      <c r="B923" s="326"/>
      <c r="J923" s="73"/>
      <c r="K923" s="327"/>
    </row>
    <row r="924" customFormat="false" ht="12.75" hidden="false" customHeight="false" outlineLevel="0" collapsed="false">
      <c r="A924" s="325"/>
      <c r="B924" s="326"/>
      <c r="J924" s="73"/>
      <c r="K924" s="327"/>
    </row>
    <row r="925" customFormat="false" ht="12.75" hidden="false" customHeight="false" outlineLevel="0" collapsed="false">
      <c r="A925" s="325"/>
      <c r="B925" s="326"/>
      <c r="J925" s="73"/>
      <c r="K925" s="327"/>
    </row>
    <row r="926" customFormat="false" ht="12.75" hidden="false" customHeight="false" outlineLevel="0" collapsed="false">
      <c r="A926" s="325"/>
      <c r="B926" s="326"/>
      <c r="J926" s="73"/>
      <c r="K926" s="327"/>
    </row>
    <row r="927" customFormat="false" ht="12.75" hidden="false" customHeight="false" outlineLevel="0" collapsed="false">
      <c r="A927" s="325"/>
      <c r="B927" s="326"/>
      <c r="J927" s="73"/>
      <c r="K927" s="327"/>
    </row>
    <row r="928" customFormat="false" ht="12.75" hidden="false" customHeight="false" outlineLevel="0" collapsed="false">
      <c r="A928" s="325"/>
      <c r="B928" s="326"/>
      <c r="J928" s="73"/>
      <c r="K928" s="327"/>
    </row>
    <row r="929" customFormat="false" ht="12.75" hidden="false" customHeight="false" outlineLevel="0" collapsed="false">
      <c r="A929" s="325"/>
      <c r="B929" s="326"/>
      <c r="J929" s="73"/>
      <c r="K929" s="327"/>
    </row>
    <row r="930" customFormat="false" ht="12.75" hidden="false" customHeight="false" outlineLevel="0" collapsed="false">
      <c r="A930" s="325"/>
      <c r="B930" s="326"/>
      <c r="J930" s="73"/>
      <c r="K930" s="327"/>
    </row>
    <row r="931" customFormat="false" ht="12.75" hidden="false" customHeight="false" outlineLevel="0" collapsed="false">
      <c r="A931" s="325"/>
      <c r="B931" s="326"/>
      <c r="J931" s="73"/>
      <c r="K931" s="327"/>
    </row>
    <row r="932" customFormat="false" ht="12.75" hidden="false" customHeight="false" outlineLevel="0" collapsed="false">
      <c r="A932" s="325"/>
      <c r="B932" s="326"/>
      <c r="J932" s="73"/>
      <c r="K932" s="327"/>
    </row>
    <row r="933" customFormat="false" ht="12.75" hidden="false" customHeight="false" outlineLevel="0" collapsed="false">
      <c r="A933" s="325"/>
      <c r="B933" s="326"/>
      <c r="J933" s="73"/>
      <c r="K933" s="327"/>
    </row>
    <row r="934" customFormat="false" ht="12.75" hidden="false" customHeight="false" outlineLevel="0" collapsed="false">
      <c r="A934" s="325"/>
      <c r="B934" s="326"/>
      <c r="J934" s="73"/>
      <c r="K934" s="327"/>
    </row>
    <row r="935" customFormat="false" ht="12.75" hidden="false" customHeight="false" outlineLevel="0" collapsed="false">
      <c r="A935" s="325"/>
      <c r="B935" s="326"/>
      <c r="J935" s="73"/>
      <c r="K935" s="327"/>
    </row>
    <row r="936" customFormat="false" ht="12.75" hidden="false" customHeight="false" outlineLevel="0" collapsed="false">
      <c r="A936" s="325"/>
      <c r="B936" s="326"/>
      <c r="J936" s="73"/>
      <c r="K936" s="327"/>
    </row>
    <row r="937" customFormat="false" ht="12.75" hidden="false" customHeight="false" outlineLevel="0" collapsed="false">
      <c r="A937" s="325"/>
      <c r="B937" s="326"/>
      <c r="J937" s="73"/>
      <c r="K937" s="327"/>
    </row>
    <row r="938" customFormat="false" ht="12.75" hidden="false" customHeight="false" outlineLevel="0" collapsed="false">
      <c r="A938" s="325"/>
      <c r="B938" s="326"/>
      <c r="J938" s="73"/>
      <c r="K938" s="327"/>
    </row>
    <row r="939" customFormat="false" ht="12.75" hidden="false" customHeight="false" outlineLevel="0" collapsed="false">
      <c r="A939" s="325"/>
      <c r="B939" s="326"/>
      <c r="J939" s="73"/>
      <c r="K939" s="327"/>
    </row>
    <row r="940" customFormat="false" ht="12.75" hidden="false" customHeight="false" outlineLevel="0" collapsed="false">
      <c r="A940" s="325"/>
      <c r="B940" s="326"/>
      <c r="J940" s="73"/>
      <c r="K940" s="327"/>
    </row>
    <row r="941" customFormat="false" ht="12.75" hidden="false" customHeight="false" outlineLevel="0" collapsed="false">
      <c r="A941" s="325"/>
      <c r="B941" s="326"/>
      <c r="J941" s="73"/>
      <c r="K941" s="327"/>
    </row>
    <row r="942" customFormat="false" ht="12.75" hidden="false" customHeight="false" outlineLevel="0" collapsed="false">
      <c r="A942" s="325"/>
      <c r="B942" s="326"/>
      <c r="J942" s="73"/>
      <c r="K942" s="327"/>
    </row>
    <row r="943" customFormat="false" ht="12.75" hidden="false" customHeight="false" outlineLevel="0" collapsed="false">
      <c r="A943" s="325"/>
      <c r="B943" s="326"/>
      <c r="J943" s="73"/>
      <c r="K943" s="327"/>
    </row>
    <row r="944" customFormat="false" ht="12.75" hidden="false" customHeight="false" outlineLevel="0" collapsed="false">
      <c r="A944" s="325"/>
      <c r="B944" s="326"/>
      <c r="J944" s="73"/>
      <c r="K944" s="327"/>
    </row>
    <row r="945" customFormat="false" ht="12.75" hidden="false" customHeight="false" outlineLevel="0" collapsed="false">
      <c r="A945" s="325"/>
      <c r="B945" s="326"/>
      <c r="J945" s="73"/>
      <c r="K945" s="327"/>
    </row>
    <row r="946" customFormat="false" ht="12.75" hidden="false" customHeight="false" outlineLevel="0" collapsed="false">
      <c r="A946" s="325"/>
      <c r="B946" s="326"/>
      <c r="J946" s="73"/>
      <c r="K946" s="327"/>
    </row>
    <row r="947" customFormat="false" ht="12.75" hidden="false" customHeight="false" outlineLevel="0" collapsed="false">
      <c r="A947" s="325"/>
      <c r="B947" s="326"/>
      <c r="J947" s="73"/>
      <c r="K947" s="327"/>
    </row>
    <row r="948" customFormat="false" ht="12.75" hidden="false" customHeight="false" outlineLevel="0" collapsed="false">
      <c r="A948" s="325"/>
      <c r="B948" s="326"/>
      <c r="J948" s="73"/>
      <c r="K948" s="327"/>
    </row>
    <row r="949" customFormat="false" ht="12.75" hidden="false" customHeight="false" outlineLevel="0" collapsed="false">
      <c r="A949" s="325"/>
      <c r="B949" s="326"/>
      <c r="J949" s="73"/>
      <c r="K949" s="327"/>
    </row>
    <row r="950" customFormat="false" ht="12.75" hidden="false" customHeight="false" outlineLevel="0" collapsed="false">
      <c r="A950" s="325"/>
      <c r="B950" s="326"/>
      <c r="J950" s="73"/>
      <c r="K950" s="327"/>
    </row>
    <row r="951" customFormat="false" ht="12.75" hidden="false" customHeight="false" outlineLevel="0" collapsed="false">
      <c r="A951" s="325"/>
      <c r="B951" s="326"/>
      <c r="J951" s="73"/>
      <c r="K951" s="327"/>
    </row>
    <row r="952" customFormat="false" ht="12.75" hidden="false" customHeight="false" outlineLevel="0" collapsed="false">
      <c r="A952" s="325"/>
      <c r="B952" s="326"/>
      <c r="J952" s="73"/>
      <c r="K952" s="327"/>
    </row>
    <row r="953" customFormat="false" ht="12.75" hidden="false" customHeight="false" outlineLevel="0" collapsed="false">
      <c r="A953" s="325"/>
      <c r="B953" s="326"/>
      <c r="J953" s="73"/>
      <c r="K953" s="327"/>
    </row>
    <row r="954" customFormat="false" ht="12.75" hidden="false" customHeight="false" outlineLevel="0" collapsed="false">
      <c r="A954" s="325"/>
      <c r="B954" s="326"/>
      <c r="J954" s="73"/>
      <c r="K954" s="327"/>
    </row>
    <row r="955" customFormat="false" ht="12.75" hidden="false" customHeight="false" outlineLevel="0" collapsed="false">
      <c r="A955" s="325"/>
      <c r="B955" s="326"/>
      <c r="J955" s="73"/>
      <c r="K955" s="327"/>
    </row>
    <row r="956" customFormat="false" ht="12.75" hidden="false" customHeight="false" outlineLevel="0" collapsed="false">
      <c r="A956" s="325"/>
      <c r="B956" s="326"/>
      <c r="J956" s="73"/>
      <c r="K956" s="327"/>
    </row>
    <row r="957" customFormat="false" ht="12.75" hidden="false" customHeight="false" outlineLevel="0" collapsed="false">
      <c r="A957" s="325"/>
      <c r="B957" s="326"/>
      <c r="J957" s="73"/>
      <c r="K957" s="327"/>
    </row>
    <row r="958" customFormat="false" ht="12.75" hidden="false" customHeight="false" outlineLevel="0" collapsed="false">
      <c r="A958" s="325"/>
      <c r="B958" s="326"/>
      <c r="J958" s="73"/>
      <c r="K958" s="327"/>
    </row>
    <row r="959" customFormat="false" ht="12.75" hidden="false" customHeight="false" outlineLevel="0" collapsed="false">
      <c r="A959" s="325"/>
      <c r="B959" s="326"/>
      <c r="J959" s="73"/>
      <c r="K959" s="327"/>
    </row>
    <row r="960" customFormat="false" ht="12.75" hidden="false" customHeight="false" outlineLevel="0" collapsed="false">
      <c r="A960" s="325"/>
      <c r="B960" s="326"/>
      <c r="J960" s="73"/>
      <c r="K960" s="327"/>
    </row>
    <row r="961" customFormat="false" ht="12.75" hidden="false" customHeight="false" outlineLevel="0" collapsed="false">
      <c r="A961" s="325"/>
      <c r="B961" s="326"/>
      <c r="J961" s="73"/>
      <c r="K961" s="327"/>
    </row>
    <row r="962" customFormat="false" ht="12.75" hidden="false" customHeight="false" outlineLevel="0" collapsed="false">
      <c r="A962" s="325"/>
      <c r="B962" s="326"/>
      <c r="J962" s="73"/>
      <c r="K962" s="327"/>
    </row>
    <row r="963" customFormat="false" ht="12.75" hidden="false" customHeight="false" outlineLevel="0" collapsed="false">
      <c r="A963" s="325"/>
      <c r="B963" s="326"/>
      <c r="J963" s="73"/>
      <c r="K963" s="327"/>
    </row>
    <row r="964" customFormat="false" ht="12.75" hidden="false" customHeight="false" outlineLevel="0" collapsed="false">
      <c r="A964" s="325"/>
      <c r="B964" s="326"/>
      <c r="J964" s="73"/>
      <c r="K964" s="327"/>
    </row>
    <row r="965" customFormat="false" ht="12.75" hidden="false" customHeight="false" outlineLevel="0" collapsed="false">
      <c r="A965" s="325"/>
      <c r="B965" s="326"/>
      <c r="J965" s="73"/>
      <c r="K965" s="327"/>
    </row>
    <row r="966" customFormat="false" ht="12.75" hidden="false" customHeight="false" outlineLevel="0" collapsed="false">
      <c r="A966" s="325"/>
      <c r="B966" s="326"/>
      <c r="J966" s="73"/>
      <c r="K966" s="327"/>
    </row>
    <row r="967" customFormat="false" ht="12.75" hidden="false" customHeight="false" outlineLevel="0" collapsed="false">
      <c r="A967" s="325"/>
      <c r="B967" s="326"/>
      <c r="J967" s="73"/>
      <c r="K967" s="327"/>
    </row>
    <row r="968" customFormat="false" ht="12.75" hidden="false" customHeight="false" outlineLevel="0" collapsed="false">
      <c r="A968" s="325"/>
      <c r="B968" s="326"/>
      <c r="J968" s="73"/>
      <c r="K968" s="327"/>
    </row>
    <row r="969" customFormat="false" ht="12.75" hidden="false" customHeight="false" outlineLevel="0" collapsed="false">
      <c r="A969" s="325"/>
      <c r="B969" s="326"/>
      <c r="J969" s="73"/>
      <c r="K969" s="327"/>
    </row>
    <row r="970" customFormat="false" ht="12.75" hidden="false" customHeight="false" outlineLevel="0" collapsed="false">
      <c r="A970" s="325"/>
      <c r="B970" s="326"/>
      <c r="J970" s="73"/>
      <c r="K970" s="327"/>
    </row>
    <row r="971" customFormat="false" ht="12.75" hidden="false" customHeight="false" outlineLevel="0" collapsed="false">
      <c r="A971" s="325"/>
      <c r="B971" s="326"/>
      <c r="J971" s="73"/>
      <c r="K971" s="327"/>
    </row>
    <row r="972" customFormat="false" ht="12.75" hidden="false" customHeight="false" outlineLevel="0" collapsed="false">
      <c r="A972" s="325"/>
      <c r="B972" s="326"/>
      <c r="J972" s="73"/>
      <c r="K972" s="327"/>
    </row>
    <row r="973" customFormat="false" ht="12.75" hidden="false" customHeight="false" outlineLevel="0" collapsed="false">
      <c r="A973" s="325"/>
      <c r="B973" s="326"/>
      <c r="J973" s="73"/>
      <c r="K973" s="327"/>
    </row>
    <row r="974" customFormat="false" ht="12.75" hidden="false" customHeight="false" outlineLevel="0" collapsed="false">
      <c r="A974" s="325"/>
      <c r="B974" s="326"/>
      <c r="J974" s="73"/>
      <c r="K974" s="327"/>
    </row>
    <row r="975" customFormat="false" ht="12.75" hidden="false" customHeight="false" outlineLevel="0" collapsed="false">
      <c r="A975" s="325"/>
      <c r="B975" s="326"/>
      <c r="J975" s="73"/>
      <c r="K975" s="327"/>
    </row>
    <row r="976" customFormat="false" ht="12.75" hidden="false" customHeight="false" outlineLevel="0" collapsed="false">
      <c r="A976" s="325"/>
      <c r="B976" s="326"/>
      <c r="J976" s="73"/>
      <c r="K976" s="327"/>
    </row>
    <row r="977" customFormat="false" ht="12.75" hidden="false" customHeight="false" outlineLevel="0" collapsed="false">
      <c r="A977" s="325"/>
      <c r="B977" s="326"/>
      <c r="J977" s="73"/>
      <c r="K977" s="327"/>
    </row>
    <row r="978" customFormat="false" ht="12.75" hidden="false" customHeight="false" outlineLevel="0" collapsed="false">
      <c r="A978" s="325"/>
      <c r="B978" s="326"/>
      <c r="J978" s="73"/>
      <c r="K978" s="327"/>
    </row>
    <row r="979" customFormat="false" ht="12.75" hidden="false" customHeight="false" outlineLevel="0" collapsed="false">
      <c r="A979" s="325"/>
      <c r="B979" s="326"/>
      <c r="J979" s="73"/>
      <c r="K979" s="327"/>
    </row>
    <row r="980" customFormat="false" ht="12.75" hidden="false" customHeight="false" outlineLevel="0" collapsed="false">
      <c r="A980" s="325"/>
      <c r="B980" s="326"/>
      <c r="J980" s="73"/>
      <c r="K980" s="327"/>
    </row>
    <row r="981" customFormat="false" ht="12.75" hidden="false" customHeight="false" outlineLevel="0" collapsed="false">
      <c r="A981" s="325"/>
      <c r="B981" s="326"/>
      <c r="J981" s="73"/>
      <c r="K981" s="327"/>
    </row>
    <row r="982" customFormat="false" ht="12.75" hidden="false" customHeight="false" outlineLevel="0" collapsed="false">
      <c r="A982" s="325"/>
      <c r="B982" s="326"/>
      <c r="J982" s="73"/>
      <c r="K982" s="327"/>
    </row>
    <row r="983" customFormat="false" ht="12.75" hidden="false" customHeight="false" outlineLevel="0" collapsed="false">
      <c r="A983" s="325"/>
      <c r="B983" s="326"/>
      <c r="J983" s="73"/>
      <c r="K983" s="327"/>
    </row>
    <row r="984" customFormat="false" ht="12.75" hidden="false" customHeight="false" outlineLevel="0" collapsed="false">
      <c r="A984" s="325"/>
      <c r="B984" s="326"/>
      <c r="J984" s="73"/>
      <c r="K984" s="327"/>
    </row>
    <row r="985" customFormat="false" ht="12.75" hidden="false" customHeight="false" outlineLevel="0" collapsed="false">
      <c r="A985" s="325"/>
      <c r="B985" s="326"/>
      <c r="J985" s="73"/>
      <c r="K985" s="327"/>
    </row>
    <row r="986" customFormat="false" ht="12.75" hidden="false" customHeight="false" outlineLevel="0" collapsed="false">
      <c r="A986" s="325"/>
      <c r="B986" s="326"/>
      <c r="J986" s="73"/>
      <c r="K986" s="327"/>
    </row>
    <row r="987" customFormat="false" ht="12.75" hidden="false" customHeight="false" outlineLevel="0" collapsed="false">
      <c r="A987" s="325"/>
      <c r="B987" s="326"/>
      <c r="J987" s="73"/>
      <c r="K987" s="327"/>
    </row>
    <row r="988" customFormat="false" ht="12.75" hidden="false" customHeight="false" outlineLevel="0" collapsed="false">
      <c r="A988" s="325"/>
      <c r="B988" s="326"/>
      <c r="J988" s="73"/>
      <c r="K988" s="327"/>
    </row>
    <row r="989" customFormat="false" ht="12.75" hidden="false" customHeight="false" outlineLevel="0" collapsed="false">
      <c r="A989" s="325"/>
      <c r="B989" s="326"/>
      <c r="J989" s="73"/>
      <c r="K989" s="327"/>
    </row>
    <row r="990" customFormat="false" ht="12.75" hidden="false" customHeight="false" outlineLevel="0" collapsed="false">
      <c r="A990" s="325"/>
      <c r="B990" s="326"/>
      <c r="J990" s="73"/>
      <c r="K990" s="327"/>
    </row>
    <row r="991" customFormat="false" ht="12.75" hidden="false" customHeight="false" outlineLevel="0" collapsed="false">
      <c r="A991" s="325"/>
      <c r="B991" s="326"/>
      <c r="J991" s="73"/>
      <c r="K991" s="327"/>
    </row>
    <row r="992" customFormat="false" ht="12.75" hidden="false" customHeight="false" outlineLevel="0" collapsed="false">
      <c r="A992" s="325"/>
      <c r="B992" s="326"/>
      <c r="J992" s="73"/>
      <c r="K992" s="327"/>
    </row>
    <row r="993" customFormat="false" ht="12.75" hidden="false" customHeight="false" outlineLevel="0" collapsed="false">
      <c r="A993" s="325"/>
      <c r="B993" s="326"/>
      <c r="J993" s="73"/>
      <c r="K993" s="327"/>
    </row>
    <row r="994" customFormat="false" ht="12.75" hidden="false" customHeight="false" outlineLevel="0" collapsed="false">
      <c r="A994" s="325"/>
      <c r="B994" s="326"/>
      <c r="J994" s="73"/>
      <c r="K994" s="327"/>
    </row>
    <row r="995" customFormat="false" ht="12.75" hidden="false" customHeight="false" outlineLevel="0" collapsed="false">
      <c r="A995" s="325"/>
      <c r="B995" s="326"/>
      <c r="J995" s="73"/>
      <c r="K995" s="327"/>
    </row>
    <row r="996" customFormat="false" ht="12.75" hidden="false" customHeight="false" outlineLevel="0" collapsed="false">
      <c r="A996" s="325"/>
      <c r="B996" s="326"/>
      <c r="J996" s="73"/>
      <c r="K996" s="327"/>
    </row>
    <row r="997" customFormat="false" ht="12.75" hidden="false" customHeight="false" outlineLevel="0" collapsed="false">
      <c r="A997" s="325"/>
      <c r="B997" s="326"/>
      <c r="J997" s="73"/>
      <c r="K997" s="327"/>
    </row>
    <row r="998" customFormat="false" ht="12.75" hidden="false" customHeight="false" outlineLevel="0" collapsed="false">
      <c r="A998" s="325"/>
      <c r="B998" s="326"/>
      <c r="J998" s="73"/>
      <c r="K998" s="327"/>
    </row>
    <row r="999" customFormat="false" ht="12.75" hidden="false" customHeight="false" outlineLevel="0" collapsed="false">
      <c r="A999" s="325"/>
      <c r="B999" s="326"/>
      <c r="J999" s="73"/>
      <c r="K999" s="327"/>
    </row>
    <row r="1000" customFormat="false" ht="12.75" hidden="false" customHeight="false" outlineLevel="0" collapsed="false">
      <c r="A1000" s="325"/>
      <c r="B1000" s="326"/>
      <c r="J1000" s="73"/>
      <c r="K1000" s="327"/>
    </row>
    <row r="1001" customFormat="false" ht="12.75" hidden="false" customHeight="false" outlineLevel="0" collapsed="false">
      <c r="A1001" s="325"/>
      <c r="B1001" s="326"/>
      <c r="J1001" s="73"/>
      <c r="K1001" s="327"/>
    </row>
    <row r="1002" customFormat="false" ht="12.75" hidden="false" customHeight="false" outlineLevel="0" collapsed="false">
      <c r="A1002" s="325"/>
      <c r="B1002" s="326"/>
      <c r="J1002" s="73"/>
      <c r="K1002" s="327"/>
    </row>
    <row r="1003" customFormat="false" ht="12.75" hidden="false" customHeight="false" outlineLevel="0" collapsed="false">
      <c r="A1003" s="325"/>
      <c r="B1003" s="326"/>
      <c r="J1003" s="73"/>
      <c r="K1003" s="327"/>
    </row>
    <row r="1004" customFormat="false" ht="12.75" hidden="false" customHeight="false" outlineLevel="0" collapsed="false">
      <c r="A1004" s="325"/>
      <c r="B1004" s="326"/>
      <c r="J1004" s="73"/>
      <c r="K1004" s="327"/>
    </row>
    <row r="1005" customFormat="false" ht="12.75" hidden="false" customHeight="false" outlineLevel="0" collapsed="false">
      <c r="A1005" s="325"/>
      <c r="B1005" s="326"/>
      <c r="J1005" s="73"/>
      <c r="K1005" s="327"/>
    </row>
    <row r="1006" customFormat="false" ht="12.75" hidden="false" customHeight="false" outlineLevel="0" collapsed="false">
      <c r="A1006" s="325"/>
      <c r="B1006" s="326"/>
      <c r="J1006" s="73"/>
      <c r="K1006" s="327"/>
    </row>
    <row r="1007" customFormat="false" ht="12.75" hidden="false" customHeight="false" outlineLevel="0" collapsed="false">
      <c r="A1007" s="325"/>
      <c r="B1007" s="326"/>
      <c r="J1007" s="73"/>
      <c r="K1007" s="327"/>
    </row>
    <row r="1008" customFormat="false" ht="12.75" hidden="false" customHeight="false" outlineLevel="0" collapsed="false">
      <c r="A1008" s="325"/>
      <c r="B1008" s="326"/>
      <c r="J1008" s="73"/>
      <c r="K1008" s="327"/>
    </row>
    <row r="1009" customFormat="false" ht="12.75" hidden="false" customHeight="false" outlineLevel="0" collapsed="false">
      <c r="A1009" s="325"/>
      <c r="B1009" s="326"/>
      <c r="J1009" s="73"/>
      <c r="K1009" s="327"/>
    </row>
    <row r="1010" customFormat="false" ht="12.75" hidden="false" customHeight="false" outlineLevel="0" collapsed="false">
      <c r="A1010" s="325"/>
      <c r="B1010" s="326"/>
      <c r="J1010" s="73"/>
      <c r="K1010" s="327"/>
    </row>
    <row r="1011" customFormat="false" ht="12.75" hidden="false" customHeight="false" outlineLevel="0" collapsed="false">
      <c r="A1011" s="325"/>
      <c r="B1011" s="326"/>
      <c r="J1011" s="73"/>
      <c r="K1011" s="327"/>
    </row>
    <row r="1012" customFormat="false" ht="12.75" hidden="false" customHeight="false" outlineLevel="0" collapsed="false">
      <c r="A1012" s="325"/>
      <c r="B1012" s="326"/>
      <c r="J1012" s="73"/>
      <c r="K1012" s="327"/>
    </row>
    <row r="1013" customFormat="false" ht="12.75" hidden="false" customHeight="false" outlineLevel="0" collapsed="false">
      <c r="A1013" s="325"/>
      <c r="B1013" s="326"/>
      <c r="J1013" s="73"/>
      <c r="K1013" s="327"/>
    </row>
    <row r="1014" customFormat="false" ht="12.75" hidden="false" customHeight="false" outlineLevel="0" collapsed="false">
      <c r="A1014" s="325"/>
      <c r="B1014" s="326"/>
      <c r="J1014" s="73"/>
      <c r="K1014" s="327"/>
    </row>
    <row r="1015" customFormat="false" ht="12.75" hidden="false" customHeight="false" outlineLevel="0" collapsed="false">
      <c r="A1015" s="325"/>
      <c r="B1015" s="326"/>
      <c r="J1015" s="73"/>
      <c r="K1015" s="327"/>
    </row>
    <row r="1016" customFormat="false" ht="12.75" hidden="false" customHeight="false" outlineLevel="0" collapsed="false">
      <c r="A1016" s="325"/>
      <c r="B1016" s="326"/>
      <c r="J1016" s="73"/>
      <c r="K1016" s="327"/>
    </row>
    <row r="1017" customFormat="false" ht="12.75" hidden="false" customHeight="false" outlineLevel="0" collapsed="false">
      <c r="A1017" s="325"/>
      <c r="B1017" s="326"/>
      <c r="J1017" s="73"/>
      <c r="K1017" s="327"/>
    </row>
    <row r="1018" customFormat="false" ht="12.75" hidden="false" customHeight="false" outlineLevel="0" collapsed="false">
      <c r="A1018" s="325"/>
      <c r="B1018" s="326"/>
      <c r="J1018" s="73"/>
      <c r="K1018" s="327"/>
    </row>
    <row r="1019" customFormat="false" ht="12.75" hidden="false" customHeight="false" outlineLevel="0" collapsed="false">
      <c r="A1019" s="325"/>
      <c r="B1019" s="326"/>
      <c r="J1019" s="73"/>
      <c r="K1019" s="327"/>
    </row>
    <row r="1020" customFormat="false" ht="12.75" hidden="false" customHeight="false" outlineLevel="0" collapsed="false">
      <c r="A1020" s="325"/>
      <c r="B1020" s="326"/>
      <c r="J1020" s="73"/>
      <c r="K1020" s="327"/>
    </row>
    <row r="1021" customFormat="false" ht="12.75" hidden="false" customHeight="false" outlineLevel="0" collapsed="false">
      <c r="A1021" s="325"/>
      <c r="B1021" s="326"/>
      <c r="J1021" s="73"/>
      <c r="K1021" s="327"/>
    </row>
    <row r="1022" customFormat="false" ht="12.75" hidden="false" customHeight="false" outlineLevel="0" collapsed="false">
      <c r="A1022" s="325"/>
      <c r="B1022" s="326"/>
      <c r="J1022" s="73"/>
      <c r="K1022" s="327"/>
    </row>
    <row r="1023" customFormat="false" ht="12.75" hidden="false" customHeight="false" outlineLevel="0" collapsed="false">
      <c r="A1023" s="325"/>
      <c r="B1023" s="326"/>
      <c r="J1023" s="73"/>
      <c r="K1023" s="327"/>
    </row>
    <row r="1024" customFormat="false" ht="12.75" hidden="false" customHeight="false" outlineLevel="0" collapsed="false">
      <c r="A1024" s="325"/>
      <c r="B1024" s="326"/>
      <c r="J1024" s="73"/>
      <c r="K1024" s="327"/>
    </row>
    <row r="1025" customFormat="false" ht="12.75" hidden="false" customHeight="false" outlineLevel="0" collapsed="false">
      <c r="A1025" s="325"/>
      <c r="B1025" s="326"/>
      <c r="J1025" s="73"/>
      <c r="K1025" s="327"/>
    </row>
    <row r="1026" customFormat="false" ht="12.75" hidden="false" customHeight="false" outlineLevel="0" collapsed="false">
      <c r="A1026" s="325"/>
      <c r="B1026" s="326"/>
      <c r="J1026" s="73"/>
      <c r="K1026" s="327"/>
    </row>
    <row r="1027" customFormat="false" ht="12.75" hidden="false" customHeight="false" outlineLevel="0" collapsed="false">
      <c r="A1027" s="325"/>
      <c r="B1027" s="326"/>
      <c r="J1027" s="73"/>
      <c r="K1027" s="327"/>
    </row>
    <row r="1028" customFormat="false" ht="12.75" hidden="false" customHeight="false" outlineLevel="0" collapsed="false">
      <c r="A1028" s="325"/>
      <c r="B1028" s="326"/>
      <c r="J1028" s="73"/>
      <c r="K1028" s="327"/>
    </row>
    <row r="1029" customFormat="false" ht="12.75" hidden="false" customHeight="false" outlineLevel="0" collapsed="false">
      <c r="A1029" s="325"/>
      <c r="B1029" s="326"/>
      <c r="J1029" s="73"/>
      <c r="K1029" s="327"/>
    </row>
    <row r="1030" customFormat="false" ht="12.75" hidden="false" customHeight="false" outlineLevel="0" collapsed="false">
      <c r="A1030" s="325"/>
      <c r="B1030" s="326"/>
      <c r="J1030" s="73"/>
      <c r="K1030" s="327"/>
    </row>
    <row r="1031" customFormat="false" ht="12.75" hidden="false" customHeight="false" outlineLevel="0" collapsed="false">
      <c r="A1031" s="325"/>
      <c r="B1031" s="326"/>
      <c r="J1031" s="73"/>
      <c r="K1031" s="327"/>
    </row>
    <row r="1032" customFormat="false" ht="12.75" hidden="false" customHeight="false" outlineLevel="0" collapsed="false">
      <c r="A1032" s="325"/>
      <c r="B1032" s="326"/>
      <c r="J1032" s="73"/>
      <c r="K1032" s="327"/>
    </row>
    <row r="1033" customFormat="false" ht="12.75" hidden="false" customHeight="false" outlineLevel="0" collapsed="false">
      <c r="A1033" s="325"/>
      <c r="B1033" s="326"/>
      <c r="J1033" s="73"/>
      <c r="K1033" s="327"/>
    </row>
    <row r="1034" customFormat="false" ht="12.75" hidden="false" customHeight="false" outlineLevel="0" collapsed="false">
      <c r="A1034" s="325"/>
      <c r="B1034" s="326"/>
      <c r="J1034" s="73"/>
      <c r="K1034" s="327"/>
    </row>
    <row r="1035" customFormat="false" ht="12.75" hidden="false" customHeight="false" outlineLevel="0" collapsed="false">
      <c r="A1035" s="325"/>
      <c r="B1035" s="326"/>
      <c r="J1035" s="73"/>
      <c r="K1035" s="327"/>
    </row>
    <row r="1036" customFormat="false" ht="12.75" hidden="false" customHeight="false" outlineLevel="0" collapsed="false">
      <c r="A1036" s="325"/>
      <c r="B1036" s="326"/>
      <c r="J1036" s="73"/>
      <c r="K1036" s="327"/>
    </row>
    <row r="1037" customFormat="false" ht="12.75" hidden="false" customHeight="false" outlineLevel="0" collapsed="false">
      <c r="A1037" s="325"/>
      <c r="B1037" s="326"/>
      <c r="J1037" s="73"/>
      <c r="K1037" s="327"/>
    </row>
    <row r="1038" customFormat="false" ht="12.75" hidden="false" customHeight="false" outlineLevel="0" collapsed="false">
      <c r="A1038" s="325"/>
      <c r="B1038" s="326"/>
      <c r="J1038" s="73"/>
      <c r="K1038" s="327"/>
    </row>
    <row r="1039" customFormat="false" ht="12.75" hidden="false" customHeight="false" outlineLevel="0" collapsed="false">
      <c r="A1039" s="325"/>
      <c r="B1039" s="326"/>
      <c r="J1039" s="73"/>
      <c r="K1039" s="327"/>
    </row>
    <row r="1040" customFormat="false" ht="12.75" hidden="false" customHeight="false" outlineLevel="0" collapsed="false">
      <c r="A1040" s="325"/>
      <c r="B1040" s="326"/>
      <c r="J1040" s="73"/>
      <c r="K1040" s="327"/>
    </row>
    <row r="1041" customFormat="false" ht="12.75" hidden="false" customHeight="false" outlineLevel="0" collapsed="false">
      <c r="A1041" s="325"/>
      <c r="B1041" s="326"/>
      <c r="J1041" s="73"/>
      <c r="K1041" s="327"/>
    </row>
    <row r="1042" customFormat="false" ht="12.75" hidden="false" customHeight="false" outlineLevel="0" collapsed="false">
      <c r="A1042" s="325"/>
      <c r="B1042" s="326"/>
      <c r="J1042" s="73"/>
      <c r="K1042" s="327"/>
    </row>
    <row r="1043" customFormat="false" ht="12.75" hidden="false" customHeight="false" outlineLevel="0" collapsed="false">
      <c r="A1043" s="325"/>
      <c r="B1043" s="326"/>
      <c r="J1043" s="73"/>
      <c r="K1043" s="327"/>
    </row>
    <row r="1044" customFormat="false" ht="12.75" hidden="false" customHeight="false" outlineLevel="0" collapsed="false">
      <c r="A1044" s="325"/>
      <c r="B1044" s="326"/>
      <c r="J1044" s="73"/>
      <c r="K1044" s="327"/>
    </row>
    <row r="1045" customFormat="false" ht="12.75" hidden="false" customHeight="false" outlineLevel="0" collapsed="false">
      <c r="A1045" s="325"/>
      <c r="B1045" s="326"/>
      <c r="J1045" s="73"/>
      <c r="K1045" s="327"/>
    </row>
    <row r="1046" customFormat="false" ht="12.75" hidden="false" customHeight="false" outlineLevel="0" collapsed="false">
      <c r="A1046" s="325"/>
      <c r="B1046" s="326"/>
      <c r="J1046" s="73"/>
      <c r="K1046" s="327"/>
    </row>
    <row r="1047" customFormat="false" ht="12.75" hidden="false" customHeight="false" outlineLevel="0" collapsed="false">
      <c r="A1047" s="325"/>
      <c r="B1047" s="326"/>
      <c r="J1047" s="73"/>
      <c r="K1047" s="327"/>
    </row>
    <row r="1048" customFormat="false" ht="12.75" hidden="false" customHeight="false" outlineLevel="0" collapsed="false">
      <c r="A1048" s="325"/>
      <c r="B1048" s="326"/>
      <c r="J1048" s="73"/>
      <c r="K1048" s="327"/>
    </row>
    <row r="1049" customFormat="false" ht="12.75" hidden="false" customHeight="false" outlineLevel="0" collapsed="false">
      <c r="A1049" s="325"/>
      <c r="B1049" s="326"/>
      <c r="J1049" s="73"/>
      <c r="K1049" s="327"/>
    </row>
    <row r="1050" customFormat="false" ht="12.75" hidden="false" customHeight="false" outlineLevel="0" collapsed="false">
      <c r="A1050" s="325"/>
      <c r="B1050" s="326"/>
      <c r="J1050" s="73"/>
      <c r="K1050" s="327"/>
    </row>
    <row r="1051" customFormat="false" ht="12.75" hidden="false" customHeight="false" outlineLevel="0" collapsed="false">
      <c r="A1051" s="325"/>
      <c r="B1051" s="326"/>
      <c r="J1051" s="73"/>
      <c r="K1051" s="327"/>
    </row>
    <row r="1052" customFormat="false" ht="12.75" hidden="false" customHeight="false" outlineLevel="0" collapsed="false">
      <c r="A1052" s="325"/>
      <c r="B1052" s="326"/>
      <c r="J1052" s="73"/>
      <c r="K1052" s="327"/>
    </row>
    <row r="1053" customFormat="false" ht="12.75" hidden="false" customHeight="false" outlineLevel="0" collapsed="false">
      <c r="A1053" s="325"/>
      <c r="B1053" s="326"/>
      <c r="J1053" s="73"/>
      <c r="K1053" s="327"/>
    </row>
    <row r="1054" customFormat="false" ht="12.75" hidden="false" customHeight="false" outlineLevel="0" collapsed="false">
      <c r="A1054" s="325"/>
      <c r="B1054" s="326"/>
      <c r="J1054" s="73"/>
      <c r="K1054" s="327"/>
    </row>
    <row r="1055" customFormat="false" ht="12.75" hidden="false" customHeight="false" outlineLevel="0" collapsed="false">
      <c r="A1055" s="325"/>
      <c r="B1055" s="326"/>
      <c r="J1055" s="73"/>
      <c r="K1055" s="327"/>
    </row>
    <row r="1056" customFormat="false" ht="12.75" hidden="false" customHeight="false" outlineLevel="0" collapsed="false">
      <c r="A1056" s="325"/>
      <c r="B1056" s="326"/>
      <c r="J1056" s="73"/>
      <c r="K1056" s="327"/>
    </row>
    <row r="1057" customFormat="false" ht="12.75" hidden="false" customHeight="false" outlineLevel="0" collapsed="false">
      <c r="A1057" s="325"/>
      <c r="B1057" s="326"/>
      <c r="J1057" s="73"/>
      <c r="K1057" s="327"/>
    </row>
    <row r="1058" customFormat="false" ht="12.75" hidden="false" customHeight="false" outlineLevel="0" collapsed="false">
      <c r="A1058" s="325"/>
      <c r="B1058" s="326"/>
      <c r="J1058" s="73"/>
      <c r="K1058" s="327"/>
    </row>
    <row r="1059" customFormat="false" ht="12.75" hidden="false" customHeight="false" outlineLevel="0" collapsed="false">
      <c r="A1059" s="325"/>
      <c r="B1059" s="326"/>
      <c r="J1059" s="73"/>
      <c r="K1059" s="327"/>
    </row>
    <row r="1060" customFormat="false" ht="12.75" hidden="false" customHeight="false" outlineLevel="0" collapsed="false">
      <c r="A1060" s="325"/>
      <c r="B1060" s="326"/>
      <c r="J1060" s="73"/>
      <c r="K1060" s="327"/>
    </row>
    <row r="1061" customFormat="false" ht="12.75" hidden="false" customHeight="false" outlineLevel="0" collapsed="false">
      <c r="A1061" s="325"/>
      <c r="B1061" s="326"/>
      <c r="J1061" s="73"/>
      <c r="K1061" s="327"/>
    </row>
    <row r="1062" customFormat="false" ht="12.75" hidden="false" customHeight="false" outlineLevel="0" collapsed="false">
      <c r="A1062" s="325"/>
      <c r="B1062" s="326"/>
      <c r="J1062" s="73"/>
      <c r="K1062" s="327"/>
    </row>
    <row r="1063" customFormat="false" ht="12.75" hidden="false" customHeight="false" outlineLevel="0" collapsed="false">
      <c r="A1063" s="325"/>
      <c r="B1063" s="326"/>
      <c r="J1063" s="73"/>
      <c r="K1063" s="327"/>
    </row>
    <row r="1064" customFormat="false" ht="12.75" hidden="false" customHeight="false" outlineLevel="0" collapsed="false">
      <c r="A1064" s="325"/>
      <c r="B1064" s="326"/>
      <c r="J1064" s="73"/>
      <c r="K1064" s="327"/>
    </row>
    <row r="1065" customFormat="false" ht="12.75" hidden="false" customHeight="false" outlineLevel="0" collapsed="false">
      <c r="A1065" s="325"/>
      <c r="B1065" s="326"/>
      <c r="J1065" s="73"/>
      <c r="K1065" s="327"/>
    </row>
    <row r="1066" customFormat="false" ht="12.75" hidden="false" customHeight="false" outlineLevel="0" collapsed="false">
      <c r="A1066" s="325"/>
      <c r="B1066" s="326"/>
      <c r="J1066" s="73"/>
      <c r="K1066" s="327"/>
    </row>
    <row r="1067" customFormat="false" ht="12.75" hidden="false" customHeight="false" outlineLevel="0" collapsed="false">
      <c r="A1067" s="325"/>
      <c r="B1067" s="326"/>
      <c r="J1067" s="73"/>
      <c r="K1067" s="327"/>
    </row>
    <row r="1068" customFormat="false" ht="12.75" hidden="false" customHeight="false" outlineLevel="0" collapsed="false">
      <c r="A1068" s="325"/>
      <c r="B1068" s="326"/>
      <c r="J1068" s="73"/>
      <c r="K1068" s="327"/>
    </row>
    <row r="1069" customFormat="false" ht="12.75" hidden="false" customHeight="false" outlineLevel="0" collapsed="false">
      <c r="A1069" s="325"/>
      <c r="B1069" s="326"/>
      <c r="J1069" s="73"/>
      <c r="K1069" s="327"/>
    </row>
    <row r="1070" customFormat="false" ht="12.75" hidden="false" customHeight="false" outlineLevel="0" collapsed="false">
      <c r="A1070" s="325"/>
      <c r="B1070" s="326"/>
      <c r="J1070" s="73"/>
      <c r="K1070" s="327"/>
    </row>
    <row r="1071" customFormat="false" ht="12.75" hidden="false" customHeight="false" outlineLevel="0" collapsed="false">
      <c r="A1071" s="325"/>
      <c r="B1071" s="326"/>
      <c r="J1071" s="73"/>
      <c r="K1071" s="327"/>
    </row>
    <row r="1072" customFormat="false" ht="12.75" hidden="false" customHeight="false" outlineLevel="0" collapsed="false">
      <c r="A1072" s="325"/>
      <c r="B1072" s="326"/>
      <c r="J1072" s="73"/>
      <c r="K1072" s="327"/>
    </row>
    <row r="1073" customFormat="false" ht="12.75" hidden="false" customHeight="false" outlineLevel="0" collapsed="false">
      <c r="A1073" s="325"/>
      <c r="B1073" s="326"/>
      <c r="J1073" s="73"/>
      <c r="K1073" s="327"/>
    </row>
    <row r="1074" customFormat="false" ht="12.75" hidden="false" customHeight="false" outlineLevel="0" collapsed="false">
      <c r="A1074" s="325"/>
      <c r="B1074" s="326"/>
      <c r="J1074" s="73"/>
      <c r="K1074" s="327"/>
    </row>
    <row r="1075" customFormat="false" ht="12.75" hidden="false" customHeight="false" outlineLevel="0" collapsed="false">
      <c r="A1075" s="325"/>
      <c r="B1075" s="326"/>
      <c r="J1075" s="73"/>
      <c r="K1075" s="327"/>
    </row>
    <row r="1076" customFormat="false" ht="12.75" hidden="false" customHeight="false" outlineLevel="0" collapsed="false">
      <c r="A1076" s="325"/>
      <c r="B1076" s="326"/>
      <c r="J1076" s="73"/>
      <c r="K1076" s="327"/>
    </row>
    <row r="1077" customFormat="false" ht="12.75" hidden="false" customHeight="false" outlineLevel="0" collapsed="false">
      <c r="A1077" s="325"/>
      <c r="B1077" s="326"/>
      <c r="J1077" s="73"/>
      <c r="K1077" s="327"/>
    </row>
    <row r="1078" customFormat="false" ht="12.75" hidden="false" customHeight="false" outlineLevel="0" collapsed="false">
      <c r="A1078" s="325"/>
      <c r="B1078" s="326"/>
      <c r="J1078" s="73"/>
      <c r="K1078" s="327"/>
    </row>
    <row r="1079" customFormat="false" ht="12.75" hidden="false" customHeight="false" outlineLevel="0" collapsed="false">
      <c r="A1079" s="325"/>
      <c r="B1079" s="326"/>
      <c r="J1079" s="73"/>
      <c r="K1079" s="327"/>
    </row>
    <row r="1080" customFormat="false" ht="12.75" hidden="false" customHeight="false" outlineLevel="0" collapsed="false">
      <c r="A1080" s="325"/>
      <c r="B1080" s="326"/>
      <c r="J1080" s="73"/>
      <c r="K1080" s="327"/>
    </row>
    <row r="1081" customFormat="false" ht="12.75" hidden="false" customHeight="false" outlineLevel="0" collapsed="false">
      <c r="A1081" s="325"/>
      <c r="B1081" s="326"/>
      <c r="J1081" s="73"/>
      <c r="K1081" s="327"/>
    </row>
    <row r="1082" customFormat="false" ht="12.75" hidden="false" customHeight="false" outlineLevel="0" collapsed="false">
      <c r="A1082" s="325"/>
      <c r="B1082" s="326"/>
      <c r="J1082" s="73"/>
      <c r="K1082" s="327"/>
    </row>
    <row r="1083" customFormat="false" ht="12.75" hidden="false" customHeight="false" outlineLevel="0" collapsed="false">
      <c r="A1083" s="325"/>
      <c r="B1083" s="326"/>
      <c r="J1083" s="73"/>
      <c r="K1083" s="327"/>
    </row>
    <row r="1084" customFormat="false" ht="12.75" hidden="false" customHeight="false" outlineLevel="0" collapsed="false">
      <c r="A1084" s="325"/>
      <c r="B1084" s="326"/>
      <c r="J1084" s="73"/>
      <c r="K1084" s="327"/>
    </row>
    <row r="1085" customFormat="false" ht="12.75" hidden="false" customHeight="false" outlineLevel="0" collapsed="false">
      <c r="A1085" s="325"/>
      <c r="B1085" s="326"/>
      <c r="J1085" s="73"/>
      <c r="K1085" s="327"/>
    </row>
    <row r="1086" customFormat="false" ht="12.75" hidden="false" customHeight="false" outlineLevel="0" collapsed="false">
      <c r="A1086" s="325"/>
      <c r="B1086" s="326"/>
      <c r="J1086" s="73"/>
      <c r="K1086" s="327"/>
    </row>
    <row r="1087" customFormat="false" ht="12.75" hidden="false" customHeight="false" outlineLevel="0" collapsed="false">
      <c r="A1087" s="325"/>
      <c r="B1087" s="326"/>
      <c r="J1087" s="73"/>
      <c r="K1087" s="327"/>
    </row>
    <row r="1088" customFormat="false" ht="12.75" hidden="false" customHeight="false" outlineLevel="0" collapsed="false">
      <c r="A1088" s="325"/>
      <c r="B1088" s="326"/>
      <c r="J1088" s="73"/>
      <c r="K1088" s="327"/>
    </row>
    <row r="1089" customFormat="false" ht="12.75" hidden="false" customHeight="false" outlineLevel="0" collapsed="false">
      <c r="A1089" s="325"/>
      <c r="B1089" s="326"/>
      <c r="J1089" s="73"/>
      <c r="K1089" s="327"/>
    </row>
    <row r="1090" customFormat="false" ht="12.75" hidden="false" customHeight="false" outlineLevel="0" collapsed="false">
      <c r="A1090" s="325"/>
      <c r="B1090" s="326"/>
      <c r="J1090" s="73"/>
      <c r="K1090" s="327"/>
    </row>
    <row r="1091" customFormat="false" ht="12.75" hidden="false" customHeight="false" outlineLevel="0" collapsed="false">
      <c r="A1091" s="325"/>
      <c r="B1091" s="326"/>
      <c r="J1091" s="73"/>
      <c r="K1091" s="327"/>
    </row>
    <row r="1092" customFormat="false" ht="12.75" hidden="false" customHeight="false" outlineLevel="0" collapsed="false">
      <c r="A1092" s="325"/>
      <c r="B1092" s="326"/>
      <c r="J1092" s="73"/>
      <c r="K1092" s="327"/>
    </row>
    <row r="1093" customFormat="false" ht="12.75" hidden="false" customHeight="false" outlineLevel="0" collapsed="false">
      <c r="A1093" s="325"/>
      <c r="B1093" s="326"/>
      <c r="J1093" s="73"/>
      <c r="K1093" s="327"/>
    </row>
    <row r="1094" customFormat="false" ht="12.75" hidden="false" customHeight="false" outlineLevel="0" collapsed="false">
      <c r="A1094" s="325"/>
      <c r="B1094" s="326"/>
      <c r="J1094" s="73"/>
      <c r="K1094" s="327"/>
    </row>
    <row r="1095" customFormat="false" ht="12.75" hidden="false" customHeight="false" outlineLevel="0" collapsed="false">
      <c r="A1095" s="325"/>
      <c r="B1095" s="326"/>
      <c r="J1095" s="73"/>
      <c r="K1095" s="327"/>
    </row>
    <row r="1096" customFormat="false" ht="12.75" hidden="false" customHeight="false" outlineLevel="0" collapsed="false">
      <c r="A1096" s="325"/>
      <c r="B1096" s="326"/>
      <c r="J1096" s="73"/>
      <c r="K1096" s="327"/>
    </row>
    <row r="1097" customFormat="false" ht="12.75" hidden="false" customHeight="false" outlineLevel="0" collapsed="false">
      <c r="A1097" s="325"/>
      <c r="B1097" s="326"/>
      <c r="J1097" s="73"/>
      <c r="K1097" s="327"/>
    </row>
    <row r="1098" customFormat="false" ht="12.75" hidden="false" customHeight="false" outlineLevel="0" collapsed="false">
      <c r="A1098" s="325"/>
      <c r="B1098" s="326"/>
      <c r="J1098" s="73"/>
      <c r="K1098" s="327"/>
    </row>
    <row r="1099" customFormat="false" ht="12.75" hidden="false" customHeight="false" outlineLevel="0" collapsed="false">
      <c r="A1099" s="325"/>
      <c r="B1099" s="326"/>
      <c r="J1099" s="73"/>
      <c r="K1099" s="327"/>
    </row>
    <row r="1100" customFormat="false" ht="12.75" hidden="false" customHeight="false" outlineLevel="0" collapsed="false">
      <c r="A1100" s="325"/>
      <c r="B1100" s="326"/>
      <c r="J1100" s="73"/>
      <c r="K1100" s="327"/>
    </row>
    <row r="1101" customFormat="false" ht="12.75" hidden="false" customHeight="false" outlineLevel="0" collapsed="false">
      <c r="A1101" s="325"/>
      <c r="B1101" s="326"/>
      <c r="J1101" s="73"/>
      <c r="K1101" s="327"/>
    </row>
    <row r="1102" customFormat="false" ht="12.75" hidden="false" customHeight="false" outlineLevel="0" collapsed="false">
      <c r="A1102" s="325"/>
      <c r="B1102" s="326"/>
      <c r="J1102" s="73"/>
      <c r="K1102" s="327"/>
    </row>
    <row r="1103" customFormat="false" ht="12.75" hidden="false" customHeight="false" outlineLevel="0" collapsed="false">
      <c r="A1103" s="325"/>
      <c r="B1103" s="326"/>
      <c r="J1103" s="73"/>
      <c r="K1103" s="327"/>
    </row>
    <row r="1104" customFormat="false" ht="12.75" hidden="false" customHeight="false" outlineLevel="0" collapsed="false">
      <c r="A1104" s="325"/>
      <c r="B1104" s="326"/>
      <c r="J1104" s="73"/>
      <c r="K1104" s="327"/>
    </row>
    <row r="1105" customFormat="false" ht="12.75" hidden="false" customHeight="false" outlineLevel="0" collapsed="false">
      <c r="A1105" s="325"/>
      <c r="B1105" s="326"/>
      <c r="J1105" s="73"/>
      <c r="K1105" s="327"/>
    </row>
    <row r="1106" customFormat="false" ht="12.75" hidden="false" customHeight="false" outlineLevel="0" collapsed="false">
      <c r="A1106" s="325"/>
      <c r="B1106" s="326"/>
      <c r="J1106" s="73"/>
      <c r="K1106" s="327"/>
    </row>
    <row r="1107" customFormat="false" ht="12.75" hidden="false" customHeight="false" outlineLevel="0" collapsed="false">
      <c r="A1107" s="325"/>
      <c r="B1107" s="326"/>
      <c r="J1107" s="73"/>
      <c r="K1107" s="327"/>
    </row>
    <row r="1108" customFormat="false" ht="12.75" hidden="false" customHeight="false" outlineLevel="0" collapsed="false">
      <c r="A1108" s="325"/>
      <c r="B1108" s="326"/>
      <c r="J1108" s="73"/>
      <c r="K1108" s="327"/>
    </row>
    <row r="1109" customFormat="false" ht="12.75" hidden="false" customHeight="false" outlineLevel="0" collapsed="false">
      <c r="A1109" s="325"/>
      <c r="B1109" s="326"/>
      <c r="J1109" s="73"/>
      <c r="K1109" s="327"/>
    </row>
    <row r="1110" customFormat="false" ht="12.75" hidden="false" customHeight="false" outlineLevel="0" collapsed="false">
      <c r="A1110" s="325"/>
      <c r="B1110" s="326"/>
      <c r="J1110" s="73"/>
      <c r="K1110" s="327"/>
    </row>
    <row r="1111" customFormat="false" ht="12.75" hidden="false" customHeight="false" outlineLevel="0" collapsed="false">
      <c r="A1111" s="325"/>
      <c r="B1111" s="326"/>
      <c r="J1111" s="73"/>
      <c r="K1111" s="327"/>
    </row>
    <row r="1112" customFormat="false" ht="12.75" hidden="false" customHeight="false" outlineLevel="0" collapsed="false">
      <c r="A1112" s="325"/>
      <c r="B1112" s="326"/>
      <c r="J1112" s="73"/>
      <c r="K1112" s="327"/>
    </row>
    <row r="1113" customFormat="false" ht="12.75" hidden="false" customHeight="false" outlineLevel="0" collapsed="false">
      <c r="A1113" s="325"/>
      <c r="B1113" s="326"/>
      <c r="J1113" s="73"/>
      <c r="K1113" s="327"/>
    </row>
    <row r="1114" customFormat="false" ht="12.75" hidden="false" customHeight="false" outlineLevel="0" collapsed="false">
      <c r="A1114" s="325"/>
      <c r="B1114" s="326"/>
      <c r="J1114" s="73"/>
      <c r="K1114" s="327"/>
    </row>
    <row r="1115" customFormat="false" ht="12.75" hidden="false" customHeight="false" outlineLevel="0" collapsed="false">
      <c r="A1115" s="325"/>
      <c r="B1115" s="326"/>
      <c r="J1115" s="73"/>
      <c r="K1115" s="327"/>
    </row>
    <row r="1116" customFormat="false" ht="12.75" hidden="false" customHeight="false" outlineLevel="0" collapsed="false">
      <c r="A1116" s="325"/>
      <c r="B1116" s="326"/>
      <c r="J1116" s="73"/>
      <c r="K1116" s="327"/>
    </row>
    <row r="1117" customFormat="false" ht="12.75" hidden="false" customHeight="false" outlineLevel="0" collapsed="false">
      <c r="A1117" s="325"/>
      <c r="B1117" s="326"/>
      <c r="J1117" s="73"/>
      <c r="K1117" s="327"/>
    </row>
    <row r="1118" customFormat="false" ht="12.75" hidden="false" customHeight="false" outlineLevel="0" collapsed="false">
      <c r="A1118" s="325"/>
      <c r="B1118" s="326"/>
      <c r="J1118" s="73"/>
      <c r="K1118" s="327"/>
    </row>
    <row r="1119" customFormat="false" ht="12.75" hidden="false" customHeight="false" outlineLevel="0" collapsed="false">
      <c r="A1119" s="325"/>
      <c r="B1119" s="326"/>
      <c r="J1119" s="73"/>
      <c r="K1119" s="327"/>
    </row>
    <row r="1120" customFormat="false" ht="12.75" hidden="false" customHeight="false" outlineLevel="0" collapsed="false">
      <c r="A1120" s="325"/>
      <c r="B1120" s="326"/>
      <c r="J1120" s="73"/>
      <c r="K1120" s="327"/>
    </row>
    <row r="1121" customFormat="false" ht="12.75" hidden="false" customHeight="false" outlineLevel="0" collapsed="false">
      <c r="A1121" s="325"/>
      <c r="B1121" s="326"/>
      <c r="J1121" s="73"/>
      <c r="K1121" s="327"/>
    </row>
    <row r="1122" customFormat="false" ht="12.75" hidden="false" customHeight="false" outlineLevel="0" collapsed="false">
      <c r="A1122" s="325"/>
      <c r="B1122" s="326"/>
      <c r="J1122" s="73"/>
      <c r="K1122" s="327"/>
    </row>
    <row r="1123" customFormat="false" ht="12.75" hidden="false" customHeight="false" outlineLevel="0" collapsed="false">
      <c r="A1123" s="325"/>
      <c r="B1123" s="326"/>
      <c r="J1123" s="73"/>
      <c r="K1123" s="327"/>
    </row>
    <row r="1124" customFormat="false" ht="12.75" hidden="false" customHeight="false" outlineLevel="0" collapsed="false">
      <c r="A1124" s="325"/>
      <c r="B1124" s="326"/>
      <c r="J1124" s="73"/>
      <c r="K1124" s="327"/>
    </row>
    <row r="1125" customFormat="false" ht="12.75" hidden="false" customHeight="false" outlineLevel="0" collapsed="false">
      <c r="A1125" s="325"/>
      <c r="B1125" s="326"/>
      <c r="J1125" s="73"/>
      <c r="K1125" s="327"/>
    </row>
    <row r="1126" customFormat="false" ht="12.75" hidden="false" customHeight="false" outlineLevel="0" collapsed="false">
      <c r="A1126" s="325"/>
      <c r="B1126" s="326"/>
      <c r="J1126" s="73"/>
      <c r="K1126" s="327"/>
    </row>
    <row r="1127" customFormat="false" ht="12.75" hidden="false" customHeight="false" outlineLevel="0" collapsed="false">
      <c r="A1127" s="325"/>
      <c r="B1127" s="326"/>
      <c r="J1127" s="73"/>
      <c r="K1127" s="327"/>
    </row>
    <row r="1128" customFormat="false" ht="12.75" hidden="false" customHeight="false" outlineLevel="0" collapsed="false">
      <c r="A1128" s="325"/>
      <c r="B1128" s="326"/>
      <c r="J1128" s="73"/>
      <c r="K1128" s="327"/>
    </row>
    <row r="1129" customFormat="false" ht="12.75" hidden="false" customHeight="false" outlineLevel="0" collapsed="false">
      <c r="A1129" s="325"/>
      <c r="B1129" s="326"/>
      <c r="J1129" s="73"/>
      <c r="K1129" s="327"/>
    </row>
    <row r="1130" customFormat="false" ht="12.75" hidden="false" customHeight="false" outlineLevel="0" collapsed="false">
      <c r="A1130" s="325"/>
      <c r="B1130" s="326"/>
      <c r="J1130" s="73"/>
      <c r="K1130" s="327"/>
    </row>
    <row r="1131" customFormat="false" ht="12.75" hidden="false" customHeight="false" outlineLevel="0" collapsed="false">
      <c r="A1131" s="325"/>
      <c r="B1131" s="326"/>
      <c r="J1131" s="73"/>
      <c r="K1131" s="327"/>
    </row>
    <row r="1132" customFormat="false" ht="12.75" hidden="false" customHeight="false" outlineLevel="0" collapsed="false">
      <c r="A1132" s="325"/>
      <c r="B1132" s="326"/>
      <c r="J1132" s="73"/>
      <c r="K1132" s="327"/>
    </row>
    <row r="1133" customFormat="false" ht="12.75" hidden="false" customHeight="false" outlineLevel="0" collapsed="false">
      <c r="A1133" s="325"/>
      <c r="B1133" s="326"/>
      <c r="J1133" s="73"/>
      <c r="K1133" s="327"/>
    </row>
    <row r="1134" customFormat="false" ht="12.75" hidden="false" customHeight="false" outlineLevel="0" collapsed="false">
      <c r="A1134" s="325"/>
      <c r="B1134" s="326"/>
      <c r="J1134" s="73"/>
      <c r="K1134" s="327"/>
    </row>
    <row r="1135" customFormat="false" ht="12.75" hidden="false" customHeight="false" outlineLevel="0" collapsed="false">
      <c r="A1135" s="325"/>
      <c r="B1135" s="326"/>
      <c r="J1135" s="73"/>
      <c r="K1135" s="327"/>
    </row>
    <row r="1136" customFormat="false" ht="12.75" hidden="false" customHeight="false" outlineLevel="0" collapsed="false">
      <c r="A1136" s="325"/>
      <c r="B1136" s="326"/>
      <c r="J1136" s="73"/>
      <c r="K1136" s="327"/>
    </row>
    <row r="1137" customFormat="false" ht="12.75" hidden="false" customHeight="false" outlineLevel="0" collapsed="false">
      <c r="A1137" s="325"/>
      <c r="B1137" s="326"/>
      <c r="J1137" s="73"/>
      <c r="K1137" s="327"/>
    </row>
    <row r="1138" customFormat="false" ht="12.75" hidden="false" customHeight="false" outlineLevel="0" collapsed="false">
      <c r="A1138" s="325"/>
      <c r="B1138" s="326"/>
      <c r="J1138" s="73"/>
      <c r="K1138" s="327"/>
    </row>
    <row r="1139" customFormat="false" ht="12.75" hidden="false" customHeight="false" outlineLevel="0" collapsed="false">
      <c r="A1139" s="325"/>
      <c r="B1139" s="326"/>
      <c r="J1139" s="73"/>
      <c r="K1139" s="327"/>
    </row>
    <row r="1140" customFormat="false" ht="12.75" hidden="false" customHeight="false" outlineLevel="0" collapsed="false">
      <c r="A1140" s="325"/>
      <c r="B1140" s="326"/>
      <c r="J1140" s="73"/>
      <c r="K1140" s="327"/>
    </row>
    <row r="1141" customFormat="false" ht="12.75" hidden="false" customHeight="false" outlineLevel="0" collapsed="false">
      <c r="A1141" s="325"/>
      <c r="B1141" s="326"/>
      <c r="J1141" s="73"/>
      <c r="K1141" s="327"/>
    </row>
    <row r="1142" customFormat="false" ht="12.75" hidden="false" customHeight="false" outlineLevel="0" collapsed="false">
      <c r="A1142" s="325"/>
      <c r="B1142" s="326"/>
      <c r="J1142" s="73"/>
      <c r="K1142" s="327"/>
    </row>
    <row r="1143" customFormat="false" ht="12.75" hidden="false" customHeight="false" outlineLevel="0" collapsed="false">
      <c r="A1143" s="325"/>
      <c r="B1143" s="326"/>
      <c r="J1143" s="73"/>
      <c r="K1143" s="327"/>
    </row>
    <row r="1144" customFormat="false" ht="12.75" hidden="false" customHeight="false" outlineLevel="0" collapsed="false">
      <c r="A1144" s="325"/>
      <c r="B1144" s="326"/>
      <c r="J1144" s="73"/>
      <c r="K1144" s="327"/>
    </row>
    <row r="1145" customFormat="false" ht="12.75" hidden="false" customHeight="false" outlineLevel="0" collapsed="false">
      <c r="A1145" s="325"/>
      <c r="B1145" s="326"/>
      <c r="J1145" s="73"/>
      <c r="K1145" s="327"/>
    </row>
    <row r="1146" customFormat="false" ht="12.75" hidden="false" customHeight="false" outlineLevel="0" collapsed="false">
      <c r="A1146" s="325"/>
      <c r="B1146" s="326"/>
      <c r="J1146" s="73"/>
      <c r="K1146" s="327"/>
    </row>
    <row r="1147" customFormat="false" ht="12.75" hidden="false" customHeight="false" outlineLevel="0" collapsed="false">
      <c r="A1147" s="325"/>
      <c r="B1147" s="326"/>
      <c r="J1147" s="73"/>
      <c r="K1147" s="327"/>
    </row>
    <row r="1148" customFormat="false" ht="12.75" hidden="false" customHeight="false" outlineLevel="0" collapsed="false">
      <c r="A1148" s="325"/>
      <c r="B1148" s="326"/>
      <c r="J1148" s="73"/>
      <c r="K1148" s="327"/>
    </row>
    <row r="1149" customFormat="false" ht="12.75" hidden="false" customHeight="false" outlineLevel="0" collapsed="false">
      <c r="A1149" s="325"/>
      <c r="B1149" s="326"/>
      <c r="J1149" s="73"/>
      <c r="K1149" s="327"/>
    </row>
    <row r="1150" customFormat="false" ht="12.75" hidden="false" customHeight="false" outlineLevel="0" collapsed="false">
      <c r="A1150" s="325"/>
      <c r="B1150" s="326"/>
      <c r="J1150" s="73"/>
      <c r="K1150" s="327"/>
    </row>
    <row r="1151" customFormat="false" ht="12.75" hidden="false" customHeight="false" outlineLevel="0" collapsed="false">
      <c r="A1151" s="325"/>
      <c r="B1151" s="326"/>
      <c r="J1151" s="73"/>
      <c r="K1151" s="327"/>
    </row>
    <row r="1152" customFormat="false" ht="12.75" hidden="false" customHeight="false" outlineLevel="0" collapsed="false">
      <c r="A1152" s="325"/>
      <c r="B1152" s="326"/>
      <c r="J1152" s="73"/>
      <c r="K1152" s="327"/>
    </row>
    <row r="1153" customFormat="false" ht="12.75" hidden="false" customHeight="false" outlineLevel="0" collapsed="false">
      <c r="A1153" s="325"/>
      <c r="B1153" s="326"/>
      <c r="J1153" s="73"/>
      <c r="K1153" s="327"/>
    </row>
    <row r="1154" customFormat="false" ht="12.75" hidden="false" customHeight="false" outlineLevel="0" collapsed="false">
      <c r="A1154" s="325"/>
      <c r="B1154" s="326"/>
      <c r="J1154" s="73"/>
      <c r="K1154" s="327"/>
    </row>
    <row r="1155" customFormat="false" ht="12.75" hidden="false" customHeight="false" outlineLevel="0" collapsed="false">
      <c r="A1155" s="325"/>
      <c r="B1155" s="326"/>
      <c r="J1155" s="73"/>
      <c r="K1155" s="327"/>
    </row>
    <row r="1156" customFormat="false" ht="12.75" hidden="false" customHeight="false" outlineLevel="0" collapsed="false">
      <c r="A1156" s="325"/>
      <c r="B1156" s="326"/>
      <c r="J1156" s="73"/>
      <c r="K1156" s="327"/>
    </row>
    <row r="1157" customFormat="false" ht="12.75" hidden="false" customHeight="false" outlineLevel="0" collapsed="false">
      <c r="A1157" s="325"/>
      <c r="B1157" s="326"/>
      <c r="J1157" s="73"/>
      <c r="K1157" s="327"/>
    </row>
    <row r="1158" customFormat="false" ht="12.75" hidden="false" customHeight="false" outlineLevel="0" collapsed="false">
      <c r="A1158" s="325"/>
      <c r="B1158" s="326"/>
      <c r="J1158" s="73"/>
      <c r="K1158" s="327"/>
    </row>
    <row r="1159" customFormat="false" ht="12.75" hidden="false" customHeight="false" outlineLevel="0" collapsed="false">
      <c r="A1159" s="325"/>
      <c r="B1159" s="326"/>
      <c r="J1159" s="73"/>
      <c r="K1159" s="327"/>
    </row>
    <row r="1160" customFormat="false" ht="12.75" hidden="false" customHeight="false" outlineLevel="0" collapsed="false">
      <c r="A1160" s="325"/>
      <c r="B1160" s="326"/>
      <c r="J1160" s="73"/>
      <c r="K1160" s="327"/>
    </row>
    <row r="1161" customFormat="false" ht="12.75" hidden="false" customHeight="false" outlineLevel="0" collapsed="false">
      <c r="A1161" s="325"/>
      <c r="B1161" s="326"/>
      <c r="J1161" s="73"/>
      <c r="K1161" s="327"/>
    </row>
    <row r="1162" customFormat="false" ht="12.75" hidden="false" customHeight="false" outlineLevel="0" collapsed="false">
      <c r="A1162" s="325"/>
      <c r="B1162" s="326"/>
      <c r="J1162" s="73"/>
      <c r="K1162" s="327"/>
    </row>
    <row r="1163" customFormat="false" ht="12.75" hidden="false" customHeight="false" outlineLevel="0" collapsed="false">
      <c r="A1163" s="325"/>
      <c r="B1163" s="326"/>
      <c r="J1163" s="73"/>
      <c r="K1163" s="327"/>
    </row>
    <row r="1164" customFormat="false" ht="12.75" hidden="false" customHeight="false" outlineLevel="0" collapsed="false">
      <c r="A1164" s="325"/>
      <c r="B1164" s="326"/>
      <c r="J1164" s="73"/>
      <c r="K1164" s="327"/>
    </row>
    <row r="1165" customFormat="false" ht="12.75" hidden="false" customHeight="false" outlineLevel="0" collapsed="false">
      <c r="A1165" s="325"/>
      <c r="B1165" s="326"/>
      <c r="J1165" s="73"/>
      <c r="K1165" s="327"/>
    </row>
    <row r="1166" customFormat="false" ht="12.75" hidden="false" customHeight="false" outlineLevel="0" collapsed="false">
      <c r="A1166" s="325"/>
      <c r="B1166" s="326"/>
      <c r="J1166" s="73"/>
      <c r="K1166" s="327"/>
    </row>
    <row r="1167" customFormat="false" ht="12.75" hidden="false" customHeight="false" outlineLevel="0" collapsed="false">
      <c r="A1167" s="325"/>
      <c r="B1167" s="326"/>
      <c r="J1167" s="73"/>
      <c r="K1167" s="327"/>
    </row>
    <row r="1168" customFormat="false" ht="12.75" hidden="false" customHeight="false" outlineLevel="0" collapsed="false">
      <c r="A1168" s="325"/>
      <c r="B1168" s="326"/>
      <c r="J1168" s="73"/>
      <c r="K1168" s="327"/>
    </row>
    <row r="1169" customFormat="false" ht="12.75" hidden="false" customHeight="false" outlineLevel="0" collapsed="false">
      <c r="A1169" s="325"/>
      <c r="B1169" s="326"/>
      <c r="J1169" s="73"/>
      <c r="K1169" s="327"/>
    </row>
    <row r="1170" customFormat="false" ht="12.75" hidden="false" customHeight="false" outlineLevel="0" collapsed="false">
      <c r="A1170" s="325"/>
      <c r="B1170" s="326"/>
      <c r="J1170" s="73"/>
      <c r="K1170" s="327"/>
    </row>
    <row r="1171" customFormat="false" ht="12.75" hidden="false" customHeight="false" outlineLevel="0" collapsed="false">
      <c r="A1171" s="325"/>
      <c r="B1171" s="326"/>
      <c r="J1171" s="73"/>
      <c r="K1171" s="327"/>
    </row>
    <row r="1172" customFormat="false" ht="12.75" hidden="false" customHeight="false" outlineLevel="0" collapsed="false">
      <c r="A1172" s="325"/>
      <c r="B1172" s="326"/>
      <c r="J1172" s="73"/>
      <c r="K1172" s="327"/>
    </row>
    <row r="1173" customFormat="false" ht="12.75" hidden="false" customHeight="false" outlineLevel="0" collapsed="false">
      <c r="A1173" s="325"/>
      <c r="B1173" s="326"/>
      <c r="J1173" s="73"/>
      <c r="K1173" s="327"/>
    </row>
    <row r="1174" customFormat="false" ht="12.75" hidden="false" customHeight="false" outlineLevel="0" collapsed="false">
      <c r="A1174" s="325"/>
      <c r="B1174" s="326"/>
      <c r="J1174" s="73"/>
      <c r="K1174" s="327"/>
    </row>
    <row r="1175" customFormat="false" ht="12.75" hidden="false" customHeight="false" outlineLevel="0" collapsed="false">
      <c r="A1175" s="325"/>
      <c r="B1175" s="326"/>
      <c r="J1175" s="73"/>
      <c r="K1175" s="327"/>
    </row>
    <row r="1176" customFormat="false" ht="12.75" hidden="false" customHeight="false" outlineLevel="0" collapsed="false">
      <c r="A1176" s="325"/>
      <c r="B1176" s="326"/>
      <c r="J1176" s="73"/>
      <c r="K1176" s="327"/>
    </row>
    <row r="1177" customFormat="false" ht="12.75" hidden="false" customHeight="false" outlineLevel="0" collapsed="false">
      <c r="A1177" s="325"/>
      <c r="B1177" s="326"/>
      <c r="J1177" s="73"/>
      <c r="K1177" s="327"/>
    </row>
    <row r="1178" customFormat="false" ht="12.75" hidden="false" customHeight="false" outlineLevel="0" collapsed="false">
      <c r="A1178" s="325"/>
      <c r="B1178" s="326"/>
      <c r="J1178" s="73"/>
      <c r="K1178" s="327"/>
    </row>
    <row r="1179" customFormat="false" ht="12.75" hidden="false" customHeight="false" outlineLevel="0" collapsed="false">
      <c r="A1179" s="325"/>
      <c r="B1179" s="326"/>
      <c r="J1179" s="73"/>
      <c r="K1179" s="327"/>
    </row>
    <row r="1180" customFormat="false" ht="12.75" hidden="false" customHeight="false" outlineLevel="0" collapsed="false">
      <c r="A1180" s="325"/>
      <c r="B1180" s="326"/>
      <c r="J1180" s="73"/>
      <c r="K1180" s="327"/>
    </row>
    <row r="1181" customFormat="false" ht="12.75" hidden="false" customHeight="false" outlineLevel="0" collapsed="false">
      <c r="A1181" s="325"/>
      <c r="B1181" s="326"/>
      <c r="J1181" s="73"/>
      <c r="K1181" s="327"/>
    </row>
    <row r="1182" customFormat="false" ht="12.75" hidden="false" customHeight="false" outlineLevel="0" collapsed="false">
      <c r="A1182" s="325"/>
      <c r="B1182" s="326"/>
      <c r="J1182" s="73"/>
      <c r="K1182" s="327"/>
    </row>
    <row r="1183" customFormat="false" ht="12.75" hidden="false" customHeight="false" outlineLevel="0" collapsed="false">
      <c r="A1183" s="325"/>
      <c r="B1183" s="326"/>
      <c r="J1183" s="73"/>
      <c r="K1183" s="327"/>
    </row>
    <row r="1184" customFormat="false" ht="12.75" hidden="false" customHeight="false" outlineLevel="0" collapsed="false">
      <c r="A1184" s="325"/>
      <c r="B1184" s="326"/>
      <c r="J1184" s="73"/>
      <c r="K1184" s="327"/>
    </row>
    <row r="1185" customFormat="false" ht="12.75" hidden="false" customHeight="false" outlineLevel="0" collapsed="false">
      <c r="A1185" s="325"/>
      <c r="B1185" s="326"/>
      <c r="J1185" s="73"/>
      <c r="K1185" s="327"/>
    </row>
    <row r="1186" customFormat="false" ht="12.75" hidden="false" customHeight="false" outlineLevel="0" collapsed="false">
      <c r="A1186" s="325"/>
      <c r="B1186" s="326"/>
      <c r="J1186" s="73"/>
      <c r="K1186" s="327"/>
    </row>
    <row r="1187" customFormat="false" ht="12.75" hidden="false" customHeight="false" outlineLevel="0" collapsed="false">
      <c r="A1187" s="325"/>
      <c r="B1187" s="326"/>
      <c r="J1187" s="73"/>
      <c r="K1187" s="327"/>
    </row>
    <row r="1188" customFormat="false" ht="12.75" hidden="false" customHeight="false" outlineLevel="0" collapsed="false">
      <c r="A1188" s="325"/>
      <c r="B1188" s="326"/>
      <c r="J1188" s="73"/>
      <c r="K1188" s="327"/>
    </row>
    <row r="1189" customFormat="false" ht="12.75" hidden="false" customHeight="false" outlineLevel="0" collapsed="false">
      <c r="A1189" s="325"/>
      <c r="B1189" s="326"/>
      <c r="J1189" s="73"/>
      <c r="K1189" s="327"/>
    </row>
    <row r="1190" customFormat="false" ht="12.75" hidden="false" customHeight="false" outlineLevel="0" collapsed="false">
      <c r="A1190" s="325"/>
      <c r="B1190" s="326"/>
      <c r="J1190" s="73"/>
      <c r="K1190" s="327"/>
    </row>
    <row r="1191" customFormat="false" ht="12.75" hidden="false" customHeight="false" outlineLevel="0" collapsed="false">
      <c r="A1191" s="325"/>
      <c r="B1191" s="326"/>
      <c r="J1191" s="73"/>
      <c r="K1191" s="327"/>
    </row>
    <row r="1192" customFormat="false" ht="12.75" hidden="false" customHeight="false" outlineLevel="0" collapsed="false">
      <c r="A1192" s="325"/>
      <c r="B1192" s="326"/>
      <c r="J1192" s="73"/>
      <c r="K1192" s="327"/>
    </row>
    <row r="1193" customFormat="false" ht="12.75" hidden="false" customHeight="false" outlineLevel="0" collapsed="false">
      <c r="A1193" s="325"/>
      <c r="B1193" s="326"/>
      <c r="J1193" s="73"/>
      <c r="K1193" s="327"/>
    </row>
    <row r="1194" customFormat="false" ht="12.75" hidden="false" customHeight="false" outlineLevel="0" collapsed="false">
      <c r="A1194" s="325"/>
      <c r="B1194" s="326"/>
      <c r="J1194" s="73"/>
      <c r="K1194" s="327"/>
    </row>
    <row r="1195" customFormat="false" ht="12.75" hidden="false" customHeight="false" outlineLevel="0" collapsed="false">
      <c r="A1195" s="325"/>
      <c r="B1195" s="326"/>
      <c r="J1195" s="73"/>
      <c r="K1195" s="327"/>
    </row>
    <row r="1196" customFormat="false" ht="12.75" hidden="false" customHeight="false" outlineLevel="0" collapsed="false">
      <c r="A1196" s="325"/>
      <c r="B1196" s="326"/>
      <c r="J1196" s="73"/>
      <c r="K1196" s="327"/>
    </row>
    <row r="1197" customFormat="false" ht="12.75" hidden="false" customHeight="false" outlineLevel="0" collapsed="false">
      <c r="A1197" s="325"/>
      <c r="B1197" s="326"/>
      <c r="J1197" s="73"/>
      <c r="K1197" s="327"/>
    </row>
    <row r="1198" customFormat="false" ht="12.75" hidden="false" customHeight="false" outlineLevel="0" collapsed="false">
      <c r="A1198" s="325"/>
      <c r="B1198" s="326"/>
      <c r="J1198" s="73"/>
      <c r="K1198" s="327"/>
    </row>
    <row r="1199" customFormat="false" ht="12.75" hidden="false" customHeight="false" outlineLevel="0" collapsed="false">
      <c r="A1199" s="325"/>
      <c r="B1199" s="326"/>
      <c r="J1199" s="73"/>
      <c r="K1199" s="327"/>
    </row>
    <row r="1200" customFormat="false" ht="12.75" hidden="false" customHeight="false" outlineLevel="0" collapsed="false">
      <c r="A1200" s="325"/>
      <c r="B1200" s="326"/>
      <c r="J1200" s="73"/>
      <c r="K1200" s="327"/>
    </row>
    <row r="1201" customFormat="false" ht="12.75" hidden="false" customHeight="false" outlineLevel="0" collapsed="false">
      <c r="A1201" s="325"/>
      <c r="B1201" s="326"/>
      <c r="J1201" s="73"/>
      <c r="K1201" s="327"/>
    </row>
    <row r="1202" customFormat="false" ht="12.75" hidden="false" customHeight="false" outlineLevel="0" collapsed="false">
      <c r="A1202" s="325"/>
      <c r="B1202" s="326"/>
      <c r="J1202" s="73"/>
      <c r="K1202" s="327"/>
    </row>
    <row r="1203" customFormat="false" ht="12.75" hidden="false" customHeight="false" outlineLevel="0" collapsed="false">
      <c r="A1203" s="325"/>
      <c r="B1203" s="326"/>
      <c r="J1203" s="73"/>
      <c r="K1203" s="327"/>
    </row>
    <row r="1204" customFormat="false" ht="12.75" hidden="false" customHeight="false" outlineLevel="0" collapsed="false">
      <c r="A1204" s="325"/>
      <c r="B1204" s="326"/>
      <c r="J1204" s="73"/>
      <c r="K1204" s="327"/>
    </row>
    <row r="1205" customFormat="false" ht="12.75" hidden="false" customHeight="false" outlineLevel="0" collapsed="false">
      <c r="A1205" s="325"/>
      <c r="B1205" s="326"/>
      <c r="J1205" s="73"/>
      <c r="K1205" s="327"/>
    </row>
    <row r="1206" customFormat="false" ht="12.75" hidden="false" customHeight="false" outlineLevel="0" collapsed="false">
      <c r="A1206" s="325"/>
      <c r="B1206" s="326"/>
      <c r="J1206" s="73"/>
      <c r="K1206" s="327"/>
    </row>
    <row r="1207" customFormat="false" ht="12.75" hidden="false" customHeight="false" outlineLevel="0" collapsed="false">
      <c r="A1207" s="325"/>
      <c r="B1207" s="326"/>
      <c r="J1207" s="73"/>
      <c r="K1207" s="327"/>
    </row>
    <row r="1208" customFormat="false" ht="12.75" hidden="false" customHeight="false" outlineLevel="0" collapsed="false">
      <c r="A1208" s="325"/>
      <c r="B1208" s="326"/>
      <c r="J1208" s="73"/>
      <c r="K1208" s="327"/>
    </row>
    <row r="1209" customFormat="false" ht="12.75" hidden="false" customHeight="false" outlineLevel="0" collapsed="false">
      <c r="A1209" s="325"/>
      <c r="B1209" s="326"/>
      <c r="J1209" s="73"/>
      <c r="K1209" s="327"/>
    </row>
    <row r="1210" customFormat="false" ht="12.75" hidden="false" customHeight="false" outlineLevel="0" collapsed="false">
      <c r="A1210" s="325"/>
      <c r="B1210" s="326"/>
      <c r="J1210" s="73"/>
      <c r="K1210" s="327"/>
    </row>
    <row r="1211" customFormat="false" ht="12.75" hidden="false" customHeight="false" outlineLevel="0" collapsed="false">
      <c r="A1211" s="325"/>
      <c r="B1211" s="326"/>
      <c r="J1211" s="73"/>
      <c r="K1211" s="327"/>
    </row>
    <row r="1212" customFormat="false" ht="12.75" hidden="false" customHeight="false" outlineLevel="0" collapsed="false">
      <c r="A1212" s="325"/>
      <c r="B1212" s="326"/>
      <c r="J1212" s="73"/>
      <c r="K1212" s="327"/>
    </row>
    <row r="1213" customFormat="false" ht="12.75" hidden="false" customHeight="false" outlineLevel="0" collapsed="false">
      <c r="A1213" s="325"/>
      <c r="B1213" s="326"/>
      <c r="J1213" s="73"/>
      <c r="K1213" s="327"/>
    </row>
    <row r="1214" customFormat="false" ht="12.75" hidden="false" customHeight="false" outlineLevel="0" collapsed="false">
      <c r="A1214" s="325"/>
      <c r="B1214" s="326"/>
      <c r="J1214" s="73"/>
      <c r="K1214" s="327"/>
    </row>
    <row r="1215" customFormat="false" ht="12.75" hidden="false" customHeight="false" outlineLevel="0" collapsed="false">
      <c r="A1215" s="325"/>
      <c r="B1215" s="326"/>
      <c r="J1215" s="73"/>
      <c r="K1215" s="327"/>
    </row>
    <row r="1216" customFormat="false" ht="12.75" hidden="false" customHeight="false" outlineLevel="0" collapsed="false">
      <c r="A1216" s="325"/>
      <c r="B1216" s="326"/>
      <c r="J1216" s="73"/>
      <c r="K1216" s="327"/>
    </row>
    <row r="1217" customFormat="false" ht="12.75" hidden="false" customHeight="false" outlineLevel="0" collapsed="false">
      <c r="A1217" s="325"/>
      <c r="B1217" s="326"/>
      <c r="J1217" s="73"/>
      <c r="K1217" s="327"/>
    </row>
    <row r="1218" customFormat="false" ht="12.75" hidden="false" customHeight="false" outlineLevel="0" collapsed="false">
      <c r="A1218" s="325"/>
      <c r="B1218" s="326"/>
      <c r="J1218" s="73"/>
      <c r="K1218" s="327"/>
    </row>
    <row r="1219" customFormat="false" ht="12.75" hidden="false" customHeight="false" outlineLevel="0" collapsed="false">
      <c r="A1219" s="325"/>
      <c r="B1219" s="326"/>
      <c r="J1219" s="73"/>
      <c r="K1219" s="327"/>
    </row>
    <row r="1220" customFormat="false" ht="12.75" hidden="false" customHeight="false" outlineLevel="0" collapsed="false">
      <c r="A1220" s="325"/>
      <c r="B1220" s="326"/>
      <c r="J1220" s="73"/>
      <c r="K1220" s="327"/>
    </row>
    <row r="1221" customFormat="false" ht="12.75" hidden="false" customHeight="false" outlineLevel="0" collapsed="false">
      <c r="A1221" s="325"/>
      <c r="B1221" s="326"/>
      <c r="J1221" s="73"/>
      <c r="K1221" s="327"/>
    </row>
    <row r="1222" customFormat="false" ht="12.75" hidden="false" customHeight="false" outlineLevel="0" collapsed="false">
      <c r="A1222" s="325"/>
      <c r="B1222" s="326"/>
      <c r="J1222" s="73"/>
      <c r="K1222" s="327"/>
    </row>
    <row r="1223" customFormat="false" ht="12.75" hidden="false" customHeight="false" outlineLevel="0" collapsed="false">
      <c r="A1223" s="325"/>
      <c r="B1223" s="326"/>
      <c r="J1223" s="73"/>
      <c r="K1223" s="327"/>
    </row>
    <row r="1224" customFormat="false" ht="12.75" hidden="false" customHeight="false" outlineLevel="0" collapsed="false">
      <c r="A1224" s="325"/>
      <c r="B1224" s="326"/>
      <c r="J1224" s="73"/>
      <c r="K1224" s="327"/>
    </row>
    <row r="1225" customFormat="false" ht="12.75" hidden="false" customHeight="false" outlineLevel="0" collapsed="false">
      <c r="A1225" s="325"/>
      <c r="B1225" s="326"/>
      <c r="J1225" s="73"/>
      <c r="K1225" s="327"/>
    </row>
    <row r="1226" customFormat="false" ht="12.75" hidden="false" customHeight="false" outlineLevel="0" collapsed="false">
      <c r="A1226" s="325"/>
      <c r="B1226" s="326"/>
      <c r="J1226" s="73"/>
      <c r="K1226" s="327"/>
    </row>
    <row r="1227" customFormat="false" ht="12.75" hidden="false" customHeight="false" outlineLevel="0" collapsed="false">
      <c r="A1227" s="325"/>
      <c r="B1227" s="326"/>
      <c r="J1227" s="73"/>
      <c r="K1227" s="327"/>
    </row>
    <row r="1228" customFormat="false" ht="12.75" hidden="false" customHeight="false" outlineLevel="0" collapsed="false">
      <c r="A1228" s="325"/>
      <c r="B1228" s="326"/>
      <c r="J1228" s="73"/>
      <c r="K1228" s="327"/>
    </row>
    <row r="1229" customFormat="false" ht="12.75" hidden="false" customHeight="false" outlineLevel="0" collapsed="false">
      <c r="A1229" s="325"/>
      <c r="B1229" s="326"/>
      <c r="J1229" s="73"/>
      <c r="K1229" s="327"/>
    </row>
    <row r="1230" customFormat="false" ht="12.75" hidden="false" customHeight="false" outlineLevel="0" collapsed="false">
      <c r="A1230" s="325"/>
      <c r="B1230" s="326"/>
      <c r="J1230" s="73"/>
      <c r="K1230" s="327"/>
    </row>
    <row r="1231" customFormat="false" ht="12.75" hidden="false" customHeight="false" outlineLevel="0" collapsed="false">
      <c r="A1231" s="325"/>
      <c r="B1231" s="326"/>
      <c r="J1231" s="73"/>
      <c r="K1231" s="327"/>
    </row>
    <row r="1232" customFormat="false" ht="12.75" hidden="false" customHeight="false" outlineLevel="0" collapsed="false">
      <c r="A1232" s="325"/>
      <c r="B1232" s="326"/>
      <c r="J1232" s="73"/>
      <c r="K1232" s="327"/>
    </row>
    <row r="1233" customFormat="false" ht="12.75" hidden="false" customHeight="false" outlineLevel="0" collapsed="false">
      <c r="A1233" s="325"/>
      <c r="B1233" s="326"/>
      <c r="J1233" s="73"/>
      <c r="K1233" s="327"/>
    </row>
    <row r="1234" customFormat="false" ht="12.75" hidden="false" customHeight="false" outlineLevel="0" collapsed="false">
      <c r="A1234" s="325"/>
      <c r="B1234" s="326"/>
      <c r="J1234" s="73"/>
      <c r="K1234" s="327"/>
    </row>
    <row r="1235" customFormat="false" ht="12.75" hidden="false" customHeight="false" outlineLevel="0" collapsed="false">
      <c r="A1235" s="325"/>
      <c r="B1235" s="326"/>
      <c r="J1235" s="73"/>
      <c r="K1235" s="327"/>
    </row>
    <row r="1236" customFormat="false" ht="12.75" hidden="false" customHeight="false" outlineLevel="0" collapsed="false">
      <c r="A1236" s="325"/>
      <c r="B1236" s="326"/>
      <c r="J1236" s="73"/>
      <c r="K1236" s="327"/>
    </row>
    <row r="1237" customFormat="false" ht="12.75" hidden="false" customHeight="false" outlineLevel="0" collapsed="false">
      <c r="A1237" s="325"/>
      <c r="B1237" s="326"/>
      <c r="J1237" s="73"/>
      <c r="K1237" s="327"/>
    </row>
    <row r="1238" customFormat="false" ht="12.75" hidden="false" customHeight="false" outlineLevel="0" collapsed="false">
      <c r="A1238" s="325"/>
      <c r="B1238" s="326"/>
      <c r="J1238" s="73"/>
      <c r="K1238" s="327"/>
    </row>
    <row r="1239" customFormat="false" ht="12.75" hidden="false" customHeight="false" outlineLevel="0" collapsed="false">
      <c r="A1239" s="325"/>
      <c r="B1239" s="326"/>
      <c r="J1239" s="73"/>
      <c r="K1239" s="327"/>
    </row>
    <row r="1240" customFormat="false" ht="12.75" hidden="false" customHeight="false" outlineLevel="0" collapsed="false">
      <c r="A1240" s="325"/>
      <c r="B1240" s="326"/>
      <c r="J1240" s="73"/>
      <c r="K1240" s="327"/>
    </row>
    <row r="1241" customFormat="false" ht="12.75" hidden="false" customHeight="false" outlineLevel="0" collapsed="false">
      <c r="A1241" s="325"/>
      <c r="B1241" s="326"/>
      <c r="J1241" s="73"/>
      <c r="K1241" s="327"/>
    </row>
    <row r="1242" customFormat="false" ht="12.75" hidden="false" customHeight="false" outlineLevel="0" collapsed="false">
      <c r="A1242" s="325"/>
      <c r="B1242" s="326"/>
      <c r="J1242" s="73"/>
      <c r="K1242" s="327"/>
    </row>
    <row r="1243" customFormat="false" ht="12.75" hidden="false" customHeight="false" outlineLevel="0" collapsed="false">
      <c r="A1243" s="325"/>
      <c r="B1243" s="326"/>
      <c r="J1243" s="73"/>
      <c r="K1243" s="327"/>
    </row>
    <row r="1244" customFormat="false" ht="12.75" hidden="false" customHeight="false" outlineLevel="0" collapsed="false">
      <c r="A1244" s="325"/>
      <c r="B1244" s="326"/>
      <c r="J1244" s="73"/>
      <c r="K1244" s="327"/>
    </row>
    <row r="1245" customFormat="false" ht="12.75" hidden="false" customHeight="false" outlineLevel="0" collapsed="false">
      <c r="A1245" s="325"/>
      <c r="B1245" s="326"/>
      <c r="J1245" s="73"/>
      <c r="K1245" s="327"/>
    </row>
    <row r="1246" customFormat="false" ht="12.75" hidden="false" customHeight="false" outlineLevel="0" collapsed="false">
      <c r="A1246" s="325"/>
      <c r="B1246" s="326"/>
      <c r="J1246" s="73"/>
      <c r="K1246" s="327"/>
    </row>
    <row r="1247" customFormat="false" ht="12.75" hidden="false" customHeight="false" outlineLevel="0" collapsed="false">
      <c r="A1247" s="325"/>
      <c r="B1247" s="326"/>
      <c r="J1247" s="73"/>
      <c r="K1247" s="327"/>
    </row>
    <row r="1248" customFormat="false" ht="12.75" hidden="false" customHeight="false" outlineLevel="0" collapsed="false">
      <c r="A1248" s="325"/>
      <c r="B1248" s="326"/>
      <c r="J1248" s="73"/>
      <c r="K1248" s="327"/>
    </row>
    <row r="1249" customFormat="false" ht="12.75" hidden="false" customHeight="false" outlineLevel="0" collapsed="false">
      <c r="A1249" s="325"/>
      <c r="B1249" s="326"/>
      <c r="J1249" s="73"/>
      <c r="K1249" s="327"/>
    </row>
    <row r="1250" customFormat="false" ht="12.75" hidden="false" customHeight="false" outlineLevel="0" collapsed="false">
      <c r="A1250" s="325"/>
      <c r="B1250" s="326"/>
      <c r="J1250" s="73"/>
      <c r="K1250" s="327"/>
    </row>
    <row r="1251" customFormat="false" ht="12.75" hidden="false" customHeight="false" outlineLevel="0" collapsed="false">
      <c r="A1251" s="325"/>
      <c r="B1251" s="326"/>
      <c r="J1251" s="73"/>
      <c r="K1251" s="327"/>
    </row>
    <row r="1252" customFormat="false" ht="12.75" hidden="false" customHeight="false" outlineLevel="0" collapsed="false">
      <c r="A1252" s="325"/>
      <c r="B1252" s="326"/>
      <c r="J1252" s="73"/>
      <c r="K1252" s="327"/>
    </row>
    <row r="1253" customFormat="false" ht="12.75" hidden="false" customHeight="false" outlineLevel="0" collapsed="false">
      <c r="A1253" s="325"/>
      <c r="B1253" s="326"/>
      <c r="J1253" s="73"/>
      <c r="K1253" s="327"/>
    </row>
    <row r="1254" customFormat="false" ht="12.75" hidden="false" customHeight="false" outlineLevel="0" collapsed="false">
      <c r="A1254" s="325"/>
      <c r="B1254" s="326"/>
      <c r="J1254" s="73"/>
      <c r="K1254" s="327"/>
    </row>
    <row r="1255" customFormat="false" ht="12.75" hidden="false" customHeight="false" outlineLevel="0" collapsed="false">
      <c r="A1255" s="325"/>
      <c r="B1255" s="326"/>
      <c r="J1255" s="73"/>
      <c r="K1255" s="327"/>
    </row>
  </sheetData>
  <mergeCells count="5">
    <mergeCell ref="A1:B1"/>
    <mergeCell ref="C1:K1"/>
    <mergeCell ref="L1:T1"/>
    <mergeCell ref="U1:AE1"/>
    <mergeCell ref="AF1:AM1"/>
  </mergeCells>
  <printOptions headings="false" gridLines="false" gridLinesSet="true" horizontalCentered="false" verticalCentered="false"/>
  <pageMargins left="0.25" right="0.25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1446"/>
  <sheetViews>
    <sheetView showFormulas="false" showGridLines="true" showRowColHeaders="true" showZeros="true" rightToLeft="false" tabSelected="false" showOutlineSymbols="true" defaultGridColor="true" view="normal" topLeftCell="AK1" colorId="64" zoomScale="75" zoomScaleNormal="75" zoomScalePageLayoutView="100" workbookViewId="0">
      <selection pane="topLeft" activeCell="AO17" activeCellId="0" sqref="AO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  <col collapsed="false" customWidth="true" hidden="false" outlineLevel="0" max="2" min="2" style="0" width="9.56"/>
    <col collapsed="false" customWidth="true" hidden="false" outlineLevel="0" max="4" min="4" style="0" width="10.13"/>
    <col collapsed="false" customWidth="true" hidden="false" outlineLevel="0" max="11" min="11" style="0" width="9.85"/>
    <col collapsed="false" customWidth="true" hidden="false" outlineLevel="0" max="33" min="33" style="0" width="5.41"/>
    <col collapsed="false" customWidth="true" hidden="false" outlineLevel="0" max="34" min="34" style="0" width="4.28"/>
    <col collapsed="false" customWidth="true" hidden="false" outlineLevel="0" max="35" min="35" style="0" width="5.85"/>
    <col collapsed="false" customWidth="true" hidden="false" outlineLevel="0" max="36" min="36" style="0" width="3.7"/>
    <col collapsed="false" customWidth="true" hidden="false" outlineLevel="0" max="37" min="37" style="0" width="4.85"/>
    <col collapsed="false" customWidth="true" hidden="false" outlineLevel="0" max="38" min="38" style="0" width="7.56"/>
    <col collapsed="false" customWidth="true" hidden="false" outlineLevel="0" max="39" min="39" style="328" width="10.13"/>
    <col collapsed="false" customWidth="true" hidden="false" outlineLevel="0" max="40" min="40" style="0" width="2.56"/>
    <col collapsed="false" customWidth="true" hidden="false" outlineLevel="0" max="41" min="41" style="0" width="17.7"/>
    <col collapsed="false" customWidth="true" hidden="false" outlineLevel="0" max="42" min="42" style="0" width="3.28"/>
    <col collapsed="false" customWidth="true" hidden="false" outlineLevel="0" max="43" min="43" style="329" width="9.14"/>
    <col collapsed="false" customWidth="true" hidden="false" outlineLevel="0" max="44" min="44" style="0" width="3.14"/>
    <col collapsed="false" customWidth="true" hidden="false" outlineLevel="0" max="45" min="45" style="0" width="21.28"/>
    <col collapsed="false" customWidth="true" hidden="false" outlineLevel="0" max="46" min="46" style="0" width="3.99"/>
    <col collapsed="false" customWidth="true" hidden="false" outlineLevel="0" max="47" min="47" style="328" width="7.42"/>
    <col collapsed="false" customWidth="true" hidden="false" outlineLevel="0" max="48" min="48" style="0" width="3.56"/>
    <col collapsed="false" customWidth="true" hidden="false" outlineLevel="0" max="49" min="49" style="0" width="14.7"/>
    <col collapsed="false" customWidth="true" hidden="false" outlineLevel="0" max="50" min="50" style="0" width="3.14"/>
    <col collapsed="false" customWidth="true" hidden="false" outlineLevel="0" max="51" min="51" style="62" width="10.56"/>
    <col collapsed="false" customWidth="true" hidden="false" outlineLevel="0" max="52" min="52" style="0" width="3.56"/>
    <col collapsed="false" customWidth="true" hidden="false" outlineLevel="0" max="53" min="53" style="0" width="21.42"/>
    <col collapsed="false" customWidth="true" hidden="false" outlineLevel="0" max="54" min="54" style="0" width="2.7"/>
    <col collapsed="false" customWidth="true" hidden="false" outlineLevel="0" max="55" min="55" style="328" width="9.28"/>
    <col collapsed="false" customWidth="true" hidden="false" outlineLevel="0" max="56" min="56" style="0" width="2.84"/>
    <col collapsed="false" customWidth="true" hidden="false" outlineLevel="0" max="57" min="57" style="0" width="21.42"/>
    <col collapsed="false" customWidth="true" hidden="false" outlineLevel="0" max="58" min="58" style="0" width="2.99"/>
    <col collapsed="false" customWidth="true" hidden="false" outlineLevel="0" max="59" min="59" style="0" width="4.99"/>
    <col collapsed="false" customWidth="true" hidden="false" outlineLevel="0" max="60" min="60" style="0" width="1.99"/>
    <col collapsed="false" customWidth="true" hidden="false" outlineLevel="0" max="61" min="61" style="0" width="18.41"/>
  </cols>
  <sheetData>
    <row r="1" customFormat="false" ht="12.75" hidden="false" customHeight="false" outlineLevel="0" collapsed="false">
      <c r="A1" s="330" t="s">
        <v>1302</v>
      </c>
      <c r="G1" s="331" t="s">
        <v>1303</v>
      </c>
      <c r="H1" s="331" t="s">
        <v>1304</v>
      </c>
      <c r="AI1" s="161" t="s">
        <v>1278</v>
      </c>
    </row>
    <row r="2" customFormat="false" ht="12.75" hidden="false" customHeight="false" outlineLevel="0" collapsed="false">
      <c r="A2" s="332"/>
      <c r="B2" s="333" t="s">
        <v>66</v>
      </c>
      <c r="C2" s="333" t="s">
        <v>67</v>
      </c>
      <c r="D2" s="332"/>
      <c r="E2" s="332"/>
      <c r="G2" s="334" t="s">
        <v>1305</v>
      </c>
      <c r="H2" s="335" t="n">
        <f aca="false">IF(N13=2,AVERAGE(B14:M29),AVERAGE(B13:M28))</f>
        <v>1.00001500065403</v>
      </c>
      <c r="I2" s="332"/>
      <c r="J2" s="332"/>
      <c r="K2" s="332"/>
      <c r="L2" s="332"/>
      <c r="M2" s="332"/>
      <c r="N2" s="332"/>
      <c r="O2" s="311"/>
      <c r="P2" s="311"/>
      <c r="AG2" s="311" t="s">
        <v>1287</v>
      </c>
      <c r="AH2" s="311" t="s">
        <v>1280</v>
      </c>
      <c r="AI2" s="312" t="s">
        <v>1281</v>
      </c>
      <c r="AJ2" s="311" t="s">
        <v>1306</v>
      </c>
      <c r="AK2" s="311" t="s">
        <v>1283</v>
      </c>
      <c r="AL2" s="311"/>
      <c r="AM2" s="336"/>
      <c r="AO2" s="240"/>
      <c r="AP2" s="240"/>
      <c r="AQ2" s="337"/>
    </row>
    <row r="3" customFormat="false" ht="12.75" hidden="false" customHeight="false" outlineLevel="0" collapsed="false">
      <c r="A3" s="333" t="s">
        <v>47</v>
      </c>
      <c r="B3" s="338" t="n">
        <f aca="false">IF(N13=2,A14,A13)</f>
        <v>700</v>
      </c>
      <c r="C3" s="338" t="n">
        <f aca="false">IF(N29=1,A29,A28)</f>
        <v>2200</v>
      </c>
      <c r="D3" s="332"/>
      <c r="E3" s="332"/>
      <c r="G3" s="334" t="s">
        <v>1307</v>
      </c>
      <c r="H3" s="335" t="n">
        <f aca="false">AVERAGE(B7:M30)</f>
        <v>1.00000856196963</v>
      </c>
      <c r="I3" s="332"/>
      <c r="J3" s="332"/>
      <c r="K3" s="332"/>
      <c r="L3" s="332"/>
      <c r="M3" s="332"/>
      <c r="N3" s="332"/>
      <c r="O3" s="311"/>
      <c r="P3" s="311"/>
      <c r="AG3" s="311" t="s">
        <v>1300</v>
      </c>
      <c r="AH3" s="311" t="s">
        <v>1300</v>
      </c>
      <c r="AI3" s="312" t="s">
        <v>1301</v>
      </c>
      <c r="AJ3" s="311"/>
      <c r="AK3" s="311"/>
      <c r="AL3" s="311"/>
      <c r="AM3" s="336" t="s">
        <v>1308</v>
      </c>
      <c r="AN3" s="339" t="n">
        <v>2</v>
      </c>
      <c r="AO3" s="340" t="s">
        <v>1309</v>
      </c>
      <c r="AP3" s="341"/>
      <c r="AQ3" s="337" t="s">
        <v>1310</v>
      </c>
      <c r="AR3" s="342" t="n">
        <v>3</v>
      </c>
      <c r="AS3" s="343" t="s">
        <v>1311</v>
      </c>
      <c r="AT3" s="343"/>
      <c r="AU3" s="328" t="s">
        <v>1312</v>
      </c>
      <c r="AV3" s="344" t="n">
        <v>2</v>
      </c>
      <c r="AW3" s="345" t="s">
        <v>1309</v>
      </c>
      <c r="AX3" s="345"/>
      <c r="AY3" s="328" t="s">
        <v>1313</v>
      </c>
      <c r="AZ3" s="342" t="n">
        <v>2</v>
      </c>
      <c r="BA3" s="345" t="s">
        <v>1309</v>
      </c>
      <c r="BB3" s="345"/>
      <c r="BC3" s="328" t="s">
        <v>1314</v>
      </c>
      <c r="BD3" s="344" t="n">
        <v>2</v>
      </c>
      <c r="BE3" s="345" t="s">
        <v>1309</v>
      </c>
      <c r="BF3" s="345"/>
      <c r="BG3" s="328" t="s">
        <v>1315</v>
      </c>
      <c r="BH3" s="342" t="n">
        <v>2</v>
      </c>
      <c r="BI3" s="346" t="s">
        <v>1309</v>
      </c>
      <c r="BJ3" s="347"/>
    </row>
    <row r="4" customFormat="false" ht="12.75" hidden="false" customHeight="false" outlineLevel="0" collapsed="false">
      <c r="A4" s="348"/>
      <c r="B4" s="349" t="s">
        <v>1316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50"/>
      <c r="O4" s="351" t="s">
        <v>1317</v>
      </c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F4" s="352" t="n">
        <v>36557</v>
      </c>
      <c r="AG4" s="311" t="n">
        <v>21</v>
      </c>
      <c r="AH4" s="311" t="n">
        <v>4</v>
      </c>
      <c r="AI4" s="311" t="n">
        <v>4</v>
      </c>
      <c r="AJ4" s="311" t="n">
        <v>0</v>
      </c>
      <c r="AK4" s="311" t="n">
        <v>29</v>
      </c>
      <c r="AL4" s="311"/>
      <c r="AM4" s="336"/>
      <c r="AN4" s="353" t="n">
        <v>1</v>
      </c>
      <c r="AO4" s="354" t="s">
        <v>1318</v>
      </c>
      <c r="AP4" s="355"/>
      <c r="AQ4" s="356"/>
      <c r="AR4" s="357" t="n">
        <v>1</v>
      </c>
      <c r="AS4" s="358" t="s">
        <v>1319</v>
      </c>
      <c r="AT4" s="359"/>
      <c r="AV4" s="360" t="n">
        <v>1</v>
      </c>
      <c r="AW4" s="361" t="s">
        <v>1320</v>
      </c>
      <c r="AX4" s="362"/>
      <c r="AY4" s="362"/>
      <c r="AZ4" s="360" t="n">
        <v>1</v>
      </c>
      <c r="BA4" s="361" t="s">
        <v>1321</v>
      </c>
      <c r="BB4" s="362"/>
      <c r="BD4" s="360" t="n">
        <v>1</v>
      </c>
      <c r="BE4" s="363" t="s">
        <v>1322</v>
      </c>
      <c r="BF4" s="362"/>
      <c r="BH4" s="364" t="n">
        <v>1</v>
      </c>
      <c r="BI4" s="357" t="s">
        <v>1323</v>
      </c>
      <c r="BJ4" s="347"/>
    </row>
    <row r="5" customFormat="false" ht="12.75" hidden="false" customHeight="false" outlineLevel="0" collapsed="false">
      <c r="A5" s="365"/>
      <c r="B5" s="366" t="n">
        <v>1</v>
      </c>
      <c r="C5" s="366" t="n">
        <v>2</v>
      </c>
      <c r="D5" s="366" t="n">
        <v>3</v>
      </c>
      <c r="E5" s="366" t="n">
        <v>4</v>
      </c>
      <c r="F5" s="366" t="n">
        <v>5</v>
      </c>
      <c r="G5" s="366" t="n">
        <v>6</v>
      </c>
      <c r="H5" s="366" t="n">
        <v>7</v>
      </c>
      <c r="I5" s="366" t="n">
        <v>8</v>
      </c>
      <c r="J5" s="366" t="n">
        <v>9</v>
      </c>
      <c r="K5" s="366" t="n">
        <v>10</v>
      </c>
      <c r="L5" s="366" t="n">
        <v>11</v>
      </c>
      <c r="M5" s="366" t="n">
        <v>12</v>
      </c>
      <c r="N5" s="365"/>
      <c r="O5" s="367" t="n">
        <v>1</v>
      </c>
      <c r="P5" s="366" t="n">
        <v>2</v>
      </c>
      <c r="Q5" s="366" t="n">
        <v>3</v>
      </c>
      <c r="R5" s="366" t="n">
        <v>4</v>
      </c>
      <c r="S5" s="366" t="n">
        <v>5</v>
      </c>
      <c r="T5" s="366" t="n">
        <v>6</v>
      </c>
      <c r="U5" s="366" t="n">
        <v>7</v>
      </c>
      <c r="V5" s="366" t="n">
        <v>8</v>
      </c>
      <c r="W5" s="366" t="n">
        <v>9</v>
      </c>
      <c r="X5" s="366" t="n">
        <v>10</v>
      </c>
      <c r="Y5" s="366" t="n">
        <v>11</v>
      </c>
      <c r="Z5" s="368" t="n">
        <v>12</v>
      </c>
      <c r="AF5" s="352" t="n">
        <v>36586</v>
      </c>
      <c r="AG5" s="311" t="n">
        <v>23</v>
      </c>
      <c r="AH5" s="311" t="n">
        <v>4</v>
      </c>
      <c r="AI5" s="311" t="n">
        <v>4</v>
      </c>
      <c r="AJ5" s="311" t="n">
        <v>0</v>
      </c>
      <c r="AK5" s="311" t="n">
        <v>31</v>
      </c>
      <c r="AL5" s="311"/>
      <c r="AM5" s="336"/>
      <c r="AN5" s="353" t="n">
        <v>2</v>
      </c>
      <c r="AO5" s="354" t="s">
        <v>1324</v>
      </c>
      <c r="AP5" s="355"/>
      <c r="AQ5" s="337"/>
      <c r="AR5" s="357" t="n">
        <v>2</v>
      </c>
      <c r="AS5" s="358" t="s">
        <v>1325</v>
      </c>
      <c r="AT5" s="359"/>
      <c r="AV5" s="360" t="n">
        <v>2</v>
      </c>
      <c r="AW5" s="361" t="s">
        <v>1326</v>
      </c>
      <c r="AX5" s="362"/>
      <c r="AY5" s="362"/>
      <c r="AZ5" s="360" t="n">
        <v>2</v>
      </c>
      <c r="BA5" s="361" t="s">
        <v>1298</v>
      </c>
      <c r="BB5" s="362"/>
      <c r="BD5" s="360" t="n">
        <v>2</v>
      </c>
      <c r="BE5" s="363" t="s">
        <v>1327</v>
      </c>
      <c r="BF5" s="362"/>
      <c r="BH5" s="364" t="n">
        <v>2</v>
      </c>
      <c r="BI5" s="369" t="s">
        <v>1328</v>
      </c>
      <c r="BJ5" s="347"/>
    </row>
    <row r="6" customFormat="false" ht="12.75" hidden="false" customHeight="false" outlineLevel="0" collapsed="false">
      <c r="A6" s="333" t="s">
        <v>95</v>
      </c>
      <c r="B6" s="370" t="s">
        <v>1329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 t="s">
        <v>96</v>
      </c>
      <c r="O6" s="371"/>
      <c r="P6" s="372"/>
      <c r="Q6" s="116"/>
      <c r="R6" s="116"/>
      <c r="S6" s="116"/>
      <c r="T6" s="116"/>
      <c r="U6" s="116"/>
      <c r="V6" s="116"/>
      <c r="W6" s="116"/>
      <c r="X6" s="116"/>
      <c r="Y6" s="116"/>
      <c r="Z6" s="295"/>
      <c r="AF6" s="352" t="n">
        <v>36617</v>
      </c>
      <c r="AG6" s="311" t="n">
        <v>20</v>
      </c>
      <c r="AH6" s="311" t="n">
        <v>5</v>
      </c>
      <c r="AI6" s="311" t="n">
        <v>5</v>
      </c>
      <c r="AJ6" s="311" t="n">
        <v>0</v>
      </c>
      <c r="AK6" s="311" t="n">
        <v>30</v>
      </c>
      <c r="AL6" s="311"/>
      <c r="AM6" s="336"/>
      <c r="AN6" s="353" t="n">
        <v>3</v>
      </c>
      <c r="AO6" s="354" t="s">
        <v>1330</v>
      </c>
      <c r="AP6" s="355"/>
      <c r="AQ6" s="337"/>
      <c r="AR6" s="357" t="n">
        <v>3</v>
      </c>
      <c r="AS6" s="358" t="s">
        <v>1331</v>
      </c>
      <c r="AT6" s="359"/>
      <c r="AV6" s="360" t="n">
        <v>3</v>
      </c>
      <c r="AW6" s="361" t="s">
        <v>1332</v>
      </c>
      <c r="AX6" s="362"/>
      <c r="AY6" s="362"/>
      <c r="AZ6" s="345"/>
      <c r="BA6" s="362"/>
      <c r="BB6" s="362"/>
      <c r="BD6" s="360" t="n">
        <v>3</v>
      </c>
      <c r="BE6" s="363" t="s">
        <v>1333</v>
      </c>
      <c r="BF6" s="362"/>
    </row>
    <row r="7" customFormat="false" ht="12.75" hidden="false" customHeight="false" outlineLevel="0" collapsed="false">
      <c r="A7" s="332" t="n">
        <v>100</v>
      </c>
      <c r="B7" s="373" t="n">
        <f aca="false">'Power Curves'!AT21</f>
        <v>0.95</v>
      </c>
      <c r="C7" s="373" t="n">
        <f aca="false">'Power Curves'!AU21</f>
        <v>0.95</v>
      </c>
      <c r="D7" s="373" t="n">
        <f aca="false">'Power Curves'!AV21</f>
        <v>0.970407745105669</v>
      </c>
      <c r="E7" s="373" t="n">
        <f aca="false">'Power Curves'!AW21</f>
        <v>0.995812581084143</v>
      </c>
      <c r="F7" s="373" t="n">
        <f aca="false">'Power Curves'!AX21</f>
        <v>0.934833865798727</v>
      </c>
      <c r="G7" s="373" t="n">
        <f aca="false">'Power Curves'!AY21</f>
        <v>1.02</v>
      </c>
      <c r="H7" s="373" t="n">
        <f aca="false">'Power Curves'!AZ21</f>
        <v>1.10934059893359</v>
      </c>
      <c r="I7" s="373" t="n">
        <f aca="false">'Power Curves'!BA21</f>
        <v>1.10934059893359</v>
      </c>
      <c r="J7" s="373" t="n">
        <f aca="false">'Power Curves'!BB21</f>
        <v>1.02</v>
      </c>
      <c r="K7" s="373" t="n">
        <f aca="false">'Power Curves'!BC21</f>
        <v>0.995812581084143</v>
      </c>
      <c r="L7" s="373" t="n">
        <f aca="false">'Power Curves'!BD21</f>
        <v>0.976</v>
      </c>
      <c r="M7" s="373" t="n">
        <f aca="false">'Power Curves'!BE21</f>
        <v>0.976</v>
      </c>
      <c r="N7" s="374" t="n">
        <f aca="false">VALUE('Power Curves'!BF21)</f>
        <v>2</v>
      </c>
      <c r="O7" s="371" t="n">
        <f aca="false">IF(AND($N7=1,$N14=1),AVERAGE(B7:B14),0)</f>
        <v>0</v>
      </c>
      <c r="P7" s="372" t="n">
        <f aca="false">IF(AND($N7=1,$N14=1),AVERAGE(C7:C14),0)</f>
        <v>0</v>
      </c>
      <c r="Q7" s="372" t="n">
        <f aca="false">IF(AND($N7=1,$N14=1),AVERAGE(D7:D14),0)</f>
        <v>0</v>
      </c>
      <c r="R7" s="372" t="n">
        <f aca="false">IF(AND($N7=1,$N14=1),AVERAGE(E7:E14),0)</f>
        <v>0</v>
      </c>
      <c r="S7" s="372" t="n">
        <f aca="false">IF(AND($N7=1,$N14=1),AVERAGE(F7:F14),0)</f>
        <v>0</v>
      </c>
      <c r="T7" s="372" t="n">
        <f aca="false">IF(AND($N7=1,$N14=1),AVERAGE(G7:G14),0)</f>
        <v>0</v>
      </c>
      <c r="U7" s="372" t="n">
        <f aca="false">IF(AND($N7=1,$N14=1),AVERAGE(H7:H14),0)</f>
        <v>0</v>
      </c>
      <c r="V7" s="372" t="n">
        <f aca="false">IF(AND($N7=1,$N14=1),AVERAGE(I7:I14),0)</f>
        <v>0</v>
      </c>
      <c r="W7" s="372" t="n">
        <f aca="false">IF(AND($N7=1,$N14=1),AVERAGE(J7:J14),0)</f>
        <v>0</v>
      </c>
      <c r="X7" s="372" t="n">
        <f aca="false">IF(AND($N7=1,$N14=1),AVERAGE(K7:K14),0)</f>
        <v>0</v>
      </c>
      <c r="Y7" s="372" t="n">
        <f aca="false">IF(AND($N7=1,$N14=1),AVERAGE(L7:L14),0)</f>
        <v>0</v>
      </c>
      <c r="Z7" s="375" t="n">
        <f aca="false">IF(AND($N7=1,$N14=1),AVERAGE(M7:M14),0)</f>
        <v>0</v>
      </c>
      <c r="AF7" s="352" t="n">
        <v>36647</v>
      </c>
      <c r="AG7" s="311" t="n">
        <v>22</v>
      </c>
      <c r="AH7" s="311" t="n">
        <v>4</v>
      </c>
      <c r="AI7" s="311" t="n">
        <v>5</v>
      </c>
      <c r="AJ7" s="311" t="n">
        <v>1</v>
      </c>
      <c r="AK7" s="311" t="n">
        <v>31</v>
      </c>
      <c r="AL7" s="311"/>
      <c r="AM7" s="336"/>
      <c r="AN7" s="353" t="n">
        <v>4</v>
      </c>
      <c r="AO7" s="354" t="s">
        <v>1334</v>
      </c>
      <c r="AP7" s="355"/>
      <c r="AQ7" s="337"/>
      <c r="AR7" s="357" t="n">
        <v>4</v>
      </c>
      <c r="AS7" s="358" t="s">
        <v>1335</v>
      </c>
      <c r="AT7" s="359"/>
      <c r="AY7" s="362"/>
      <c r="AZ7" s="342" t="n">
        <v>2</v>
      </c>
      <c r="BA7" s="345" t="s">
        <v>1309</v>
      </c>
      <c r="BB7" s="117"/>
      <c r="BD7" s="117"/>
      <c r="BE7" s="117"/>
      <c r="BF7" s="117"/>
      <c r="BI7" s="376" t="b">
        <f aca="false">TRUE()</f>
        <v>1</v>
      </c>
      <c r="BJ7" s="310" t="s">
        <v>1336</v>
      </c>
    </row>
    <row r="8" customFormat="false" ht="12.75" hidden="false" customHeight="false" outlineLevel="0" collapsed="false">
      <c r="A8" s="332" t="n">
        <v>200</v>
      </c>
      <c r="B8" s="373" t="n">
        <f aca="false">'Power Curves'!AT22</f>
        <v>0.9</v>
      </c>
      <c r="C8" s="373" t="n">
        <f aca="false">'Power Curves'!AU22</f>
        <v>0.9</v>
      </c>
      <c r="D8" s="373" t="n">
        <f aca="false">'Power Curves'!AV22</f>
        <v>0.934329009710238</v>
      </c>
      <c r="E8" s="373" t="n">
        <f aca="false">'Power Curves'!AW22</f>
        <v>0.867490109934275</v>
      </c>
      <c r="F8" s="373" t="n">
        <f aca="false">'Power Curves'!AX22</f>
        <v>0.93</v>
      </c>
      <c r="G8" s="373" t="n">
        <f aca="false">'Power Curves'!AY22</f>
        <v>0.95</v>
      </c>
      <c r="H8" s="373" t="n">
        <f aca="false">'Power Curves'!AZ22</f>
        <v>0.940393910647401</v>
      </c>
      <c r="I8" s="373" t="n">
        <f aca="false">'Power Curves'!BA22</f>
        <v>0.940393910647401</v>
      </c>
      <c r="J8" s="373" t="n">
        <f aca="false">'Power Curves'!BB22</f>
        <v>0.95</v>
      </c>
      <c r="K8" s="373" t="n">
        <f aca="false">'Power Curves'!BC22</f>
        <v>0.867490109934275</v>
      </c>
      <c r="L8" s="373" t="n">
        <f aca="false">'Power Curves'!BD22</f>
        <v>0.9</v>
      </c>
      <c r="M8" s="373" t="n">
        <f aca="false">'Power Curves'!BE22</f>
        <v>0.9</v>
      </c>
      <c r="N8" s="374" t="n">
        <f aca="false">VALUE('Power Curves'!BF22)</f>
        <v>2</v>
      </c>
      <c r="O8" s="371" t="n">
        <f aca="false">IF(AND($N8=1,$N15=1),AVERAGE(B8:B15),0)</f>
        <v>0</v>
      </c>
      <c r="P8" s="372" t="n">
        <f aca="false">IF(AND($N8=1,$N15=1),AVERAGE(C8:C15),0)</f>
        <v>0</v>
      </c>
      <c r="Q8" s="372" t="n">
        <f aca="false">IF(AND($N8=1,$N15=1),AVERAGE(D8:D15),0)</f>
        <v>0</v>
      </c>
      <c r="R8" s="372" t="n">
        <f aca="false">IF(AND($N8=1,$N15=1),AVERAGE(E8:E15),0)</f>
        <v>0</v>
      </c>
      <c r="S8" s="372" t="n">
        <f aca="false">IF(AND($N8=1,$N15=1),AVERAGE(F8:F15),0)</f>
        <v>0</v>
      </c>
      <c r="T8" s="372" t="n">
        <f aca="false">IF(AND($N8=1,$N15=1),AVERAGE(G8:G15),0)</f>
        <v>0</v>
      </c>
      <c r="U8" s="372" t="n">
        <f aca="false">IF(AND($N8=1,$N15=1),AVERAGE(H8:H15),0)</f>
        <v>0</v>
      </c>
      <c r="V8" s="372" t="n">
        <f aca="false">IF(AND($N8=1,$N15=1),AVERAGE(I8:I15),0)</f>
        <v>0</v>
      </c>
      <c r="W8" s="372" t="n">
        <f aca="false">IF(AND($N8=1,$N15=1),AVERAGE(J8:J15),0)</f>
        <v>0</v>
      </c>
      <c r="X8" s="372" t="n">
        <f aca="false">IF(AND($N8=1,$N15=1),AVERAGE(K8:K15),0)</f>
        <v>0</v>
      </c>
      <c r="Y8" s="372" t="n">
        <f aca="false">IF(AND($N8=1,$N15=1),AVERAGE(L8:L15),0)</f>
        <v>0</v>
      </c>
      <c r="Z8" s="375" t="n">
        <f aca="false">IF(AND($N8=1,$N15=1),AVERAGE(M8:M15),0)</f>
        <v>0</v>
      </c>
      <c r="AF8" s="352" t="n">
        <v>36678</v>
      </c>
      <c r="AG8" s="311" t="n">
        <v>22</v>
      </c>
      <c r="AH8" s="311" t="n">
        <v>4</v>
      </c>
      <c r="AI8" s="311" t="n">
        <v>4</v>
      </c>
      <c r="AJ8" s="311" t="n">
        <v>0</v>
      </c>
      <c r="AK8" s="311" t="n">
        <v>30</v>
      </c>
      <c r="AL8" s="311"/>
      <c r="AM8" s="336"/>
      <c r="AO8" s="240"/>
      <c r="AP8" s="377"/>
      <c r="AQ8" s="337"/>
      <c r="AR8" s="357" t="n">
        <v>5</v>
      </c>
      <c r="AS8" s="358" t="s">
        <v>1337</v>
      </c>
      <c r="AT8" s="359"/>
      <c r="AU8" s="328" t="s">
        <v>1338</v>
      </c>
      <c r="AV8" s="344" t="n">
        <v>2</v>
      </c>
      <c r="AW8" s="345" t="s">
        <v>1309</v>
      </c>
      <c r="AX8" s="345"/>
      <c r="AY8" s="362"/>
      <c r="AZ8" s="360" t="n">
        <v>1</v>
      </c>
      <c r="BA8" s="361" t="s">
        <v>1321</v>
      </c>
      <c r="BC8" s="328" t="s">
        <v>1339</v>
      </c>
      <c r="BD8" s="344" t="n">
        <v>1</v>
      </c>
      <c r="BE8" s="345" t="s">
        <v>1309</v>
      </c>
      <c r="BF8" s="345"/>
    </row>
    <row r="9" customFormat="false" ht="13.5" hidden="false" customHeight="false" outlineLevel="0" collapsed="false">
      <c r="A9" s="332" t="n">
        <v>300</v>
      </c>
      <c r="B9" s="373" t="n">
        <f aca="false">'Power Curves'!AT23</f>
        <v>0.9</v>
      </c>
      <c r="C9" s="373" t="n">
        <f aca="false">'Power Curves'!AU23</f>
        <v>0.9</v>
      </c>
      <c r="D9" s="373" t="n">
        <f aca="false">'Power Curves'!AV23</f>
        <v>0.931716331023903</v>
      </c>
      <c r="E9" s="373" t="n">
        <f aca="false">'Power Curves'!AW23</f>
        <v>0.829968217715179</v>
      </c>
      <c r="F9" s="373" t="n">
        <f aca="false">'Power Curves'!AX23</f>
        <v>0.93</v>
      </c>
      <c r="G9" s="373" t="n">
        <f aca="false">'Power Curves'!AY23</f>
        <v>0.9</v>
      </c>
      <c r="H9" s="373" t="n">
        <f aca="false">'Power Curves'!AZ23</f>
        <v>0.833717786208317</v>
      </c>
      <c r="I9" s="373" t="n">
        <f aca="false">'Power Curves'!BA23</f>
        <v>0.833717786208317</v>
      </c>
      <c r="J9" s="373" t="n">
        <f aca="false">'Power Curves'!BB23</f>
        <v>0.9</v>
      </c>
      <c r="K9" s="373" t="n">
        <f aca="false">'Power Curves'!BC23</f>
        <v>0.829968217715179</v>
      </c>
      <c r="L9" s="373" t="n">
        <f aca="false">'Power Curves'!BD23</f>
        <v>0.9</v>
      </c>
      <c r="M9" s="373" t="n">
        <f aca="false">'Power Curves'!BE23</f>
        <v>0.9</v>
      </c>
      <c r="N9" s="374" t="n">
        <f aca="false">VALUE('Power Curves'!BF23)</f>
        <v>2</v>
      </c>
      <c r="O9" s="371" t="n">
        <f aca="false">IF(AND($N9=1,$N16=1),AVERAGE(B9:B16),0)</f>
        <v>0</v>
      </c>
      <c r="P9" s="372" t="n">
        <f aca="false">IF(AND($N9=1,$N16=1),AVERAGE(C9:C16),0)</f>
        <v>0</v>
      </c>
      <c r="Q9" s="372" t="n">
        <f aca="false">IF(AND($N9=1,$N16=1),AVERAGE(D9:D16),0)</f>
        <v>0</v>
      </c>
      <c r="R9" s="372" t="n">
        <f aca="false">IF(AND($N9=1,$N16=1),AVERAGE(E9:E16),0)</f>
        <v>0</v>
      </c>
      <c r="S9" s="372" t="n">
        <f aca="false">IF(AND($N9=1,$N16=1),AVERAGE(F9:F16),0)</f>
        <v>0</v>
      </c>
      <c r="T9" s="372" t="n">
        <f aca="false">IF(AND($N9=1,$N16=1),AVERAGE(G9:G16),0)</f>
        <v>0</v>
      </c>
      <c r="U9" s="372" t="n">
        <f aca="false">IF(AND($N9=1,$N16=1),AVERAGE(H9:H16),0)</f>
        <v>0</v>
      </c>
      <c r="V9" s="372" t="n">
        <f aca="false">IF(AND($N9=1,$N16=1),AVERAGE(I9:I16),0)</f>
        <v>0</v>
      </c>
      <c r="W9" s="372" t="n">
        <f aca="false">IF(AND($N9=1,$N16=1),AVERAGE(J9:J16),0)</f>
        <v>0</v>
      </c>
      <c r="X9" s="372" t="n">
        <f aca="false">IF(AND($N9=1,$N16=1),AVERAGE(K9:K16),0)</f>
        <v>0</v>
      </c>
      <c r="Y9" s="372" t="n">
        <f aca="false">IF(AND($N9=1,$N16=1),AVERAGE(L9:L16),0)</f>
        <v>0</v>
      </c>
      <c r="Z9" s="375" t="n">
        <f aca="false">IF(AND($N9=1,$N16=1),AVERAGE(M9:M16),0)</f>
        <v>0</v>
      </c>
      <c r="AF9" s="352" t="n">
        <v>36708</v>
      </c>
      <c r="AG9" s="311" t="n">
        <v>20</v>
      </c>
      <c r="AH9" s="311" t="n">
        <v>5</v>
      </c>
      <c r="AI9" s="311" t="n">
        <v>6</v>
      </c>
      <c r="AJ9" s="311" t="n">
        <v>1</v>
      </c>
      <c r="AK9" s="311" t="n">
        <v>31</v>
      </c>
      <c r="AL9" s="311"/>
      <c r="AM9" s="336" t="s">
        <v>1340</v>
      </c>
      <c r="AN9" s="339" t="n">
        <v>4</v>
      </c>
      <c r="AO9" s="340" t="s">
        <v>1309</v>
      </c>
      <c r="AP9" s="341"/>
      <c r="AR9" s="357" t="n">
        <v>6</v>
      </c>
      <c r="AS9" s="358" t="s">
        <v>1341</v>
      </c>
      <c r="AT9" s="359"/>
      <c r="AV9" s="360" t="n">
        <v>1</v>
      </c>
      <c r="AW9" s="361" t="s">
        <v>1320</v>
      </c>
      <c r="AX9" s="362"/>
      <c r="AY9" s="362"/>
      <c r="AZ9" s="360" t="n">
        <v>2</v>
      </c>
      <c r="BA9" s="361" t="s">
        <v>1298</v>
      </c>
      <c r="BD9" s="360" t="n">
        <v>1</v>
      </c>
      <c r="BE9" s="363" t="s">
        <v>1322</v>
      </c>
      <c r="BF9" s="362"/>
    </row>
    <row r="10" customFormat="false" ht="13.5" hidden="false" customHeight="false" outlineLevel="0" collapsed="false">
      <c r="A10" s="332" t="n">
        <v>400</v>
      </c>
      <c r="B10" s="373" t="n">
        <f aca="false">'Power Curves'!AT24</f>
        <v>0.9</v>
      </c>
      <c r="C10" s="373" t="n">
        <f aca="false">'Power Curves'!AU24</f>
        <v>0.9</v>
      </c>
      <c r="D10" s="373" t="n">
        <f aca="false">'Power Curves'!AV24</f>
        <v>0.931716331023903</v>
      </c>
      <c r="E10" s="373" t="n">
        <f aca="false">'Power Curves'!AW24</f>
        <v>0.829968217715179</v>
      </c>
      <c r="F10" s="373" t="n">
        <f aca="false">'Power Curves'!AX24</f>
        <v>0.936</v>
      </c>
      <c r="G10" s="373" t="n">
        <f aca="false">'Power Curves'!AY24</f>
        <v>0.85</v>
      </c>
      <c r="H10" s="373" t="n">
        <f aca="false">'Power Curves'!AZ24</f>
        <v>0.795557301903125</v>
      </c>
      <c r="I10" s="373" t="n">
        <f aca="false">'Power Curves'!BA24</f>
        <v>0.795557301903125</v>
      </c>
      <c r="J10" s="373" t="n">
        <f aca="false">'Power Curves'!BB24</f>
        <v>0.85</v>
      </c>
      <c r="K10" s="373" t="n">
        <f aca="false">'Power Curves'!BC24</f>
        <v>0.829968217715179</v>
      </c>
      <c r="L10" s="373" t="n">
        <f aca="false">'Power Curves'!BD24</f>
        <v>0.9</v>
      </c>
      <c r="M10" s="373" t="n">
        <f aca="false">'Power Curves'!BE24</f>
        <v>0.9</v>
      </c>
      <c r="N10" s="374" t="n">
        <f aca="false">VALUE('Power Curves'!BF24)</f>
        <v>2</v>
      </c>
      <c r="O10" s="371" t="n">
        <f aca="false">IF(AND($N10=1,$N17=1),AVERAGE(B10:B17),0)</f>
        <v>0</v>
      </c>
      <c r="P10" s="372" t="n">
        <f aca="false">IF(AND($N10=1,$N17=1),AVERAGE(C10:C17),0)</f>
        <v>0</v>
      </c>
      <c r="Q10" s="372" t="n">
        <f aca="false">IF(AND($N10=1,$N17=1),AVERAGE(D10:D17),0)</f>
        <v>0</v>
      </c>
      <c r="R10" s="372" t="n">
        <f aca="false">IF(AND($N10=1,$N17=1),AVERAGE(E10:E17),0)</f>
        <v>0</v>
      </c>
      <c r="S10" s="372" t="n">
        <f aca="false">IF(AND($N10=1,$N17=1),AVERAGE(F10:F17),0)</f>
        <v>0</v>
      </c>
      <c r="T10" s="372" t="n">
        <f aca="false">IF(AND($N10=1,$N17=1),AVERAGE(G10:G17),0)</f>
        <v>0</v>
      </c>
      <c r="U10" s="372" t="n">
        <f aca="false">IF(AND($N10=1,$N17=1),AVERAGE(H10:H17),0)</f>
        <v>0</v>
      </c>
      <c r="V10" s="372" t="n">
        <f aca="false">IF(AND($N10=1,$N17=1),AVERAGE(I10:I17),0)</f>
        <v>0</v>
      </c>
      <c r="W10" s="372" t="n">
        <f aca="false">IF(AND($N10=1,$N17=1),AVERAGE(J10:J17),0)</f>
        <v>0</v>
      </c>
      <c r="X10" s="372" t="n">
        <f aca="false">IF(AND($N10=1,$N17=1),AVERAGE(K10:K17),0)</f>
        <v>0</v>
      </c>
      <c r="Y10" s="372" t="n">
        <f aca="false">IF(AND($N10=1,$N17=1),AVERAGE(L10:L17),0)</f>
        <v>0</v>
      </c>
      <c r="Z10" s="375" t="n">
        <f aca="false">IF(AND($N10=1,$N17=1),AVERAGE(M10:M17),0)</f>
        <v>0</v>
      </c>
      <c r="AF10" s="352" t="n">
        <v>36739</v>
      </c>
      <c r="AG10" s="311" t="n">
        <v>23</v>
      </c>
      <c r="AH10" s="311" t="n">
        <v>4</v>
      </c>
      <c r="AI10" s="311" t="n">
        <v>4</v>
      </c>
      <c r="AJ10" s="311" t="n">
        <v>0</v>
      </c>
      <c r="AK10" s="311" t="n">
        <v>31</v>
      </c>
      <c r="AL10" s="311"/>
      <c r="AM10" s="336"/>
      <c r="AN10" s="353" t="n">
        <v>1</v>
      </c>
      <c r="AO10" s="354" t="s">
        <v>1318</v>
      </c>
      <c r="AP10" s="341"/>
      <c r="AR10" s="357" t="n">
        <v>7</v>
      </c>
      <c r="AS10" s="359" t="s">
        <v>1342</v>
      </c>
      <c r="AT10" s="359"/>
      <c r="AV10" s="360" t="n">
        <v>2</v>
      </c>
      <c r="AW10" s="361" t="s">
        <v>1326</v>
      </c>
      <c r="AX10" s="362"/>
      <c r="AY10" s="362"/>
      <c r="AZ10" s="345"/>
      <c r="BA10" s="362"/>
      <c r="BB10" s="345"/>
      <c r="BD10" s="360" t="n">
        <v>2</v>
      </c>
      <c r="BE10" s="363" t="s">
        <v>1327</v>
      </c>
      <c r="BF10" s="362"/>
      <c r="BI10" s="378" t="b">
        <f aca="false">TRUE()</f>
        <v>1</v>
      </c>
      <c r="BJ10" s="379" t="s">
        <v>1343</v>
      </c>
    </row>
    <row r="11" customFormat="false" ht="12.75" hidden="false" customHeight="false" outlineLevel="0" collapsed="false">
      <c r="A11" s="332" t="n">
        <v>500</v>
      </c>
      <c r="B11" s="373" t="n">
        <f aca="false">'Power Curves'!AT25</f>
        <v>1</v>
      </c>
      <c r="C11" s="373" t="n">
        <f aca="false">'Power Curves'!AU25</f>
        <v>1</v>
      </c>
      <c r="D11" s="373" t="n">
        <f aca="false">'Power Curves'!AV25</f>
        <v>0.961008684423147</v>
      </c>
      <c r="E11" s="373" t="n">
        <f aca="false">'Power Curves'!AW25</f>
        <v>0.904126416732948</v>
      </c>
      <c r="F11" s="373" t="n">
        <f aca="false">'Power Curves'!AX25</f>
        <v>0.96</v>
      </c>
      <c r="G11" s="373" t="n">
        <f aca="false">'Power Curves'!AY25</f>
        <v>0.895</v>
      </c>
      <c r="H11" s="373" t="n">
        <f aca="false">'Power Curves'!AZ25</f>
        <v>0.813654783608707</v>
      </c>
      <c r="I11" s="373" t="n">
        <f aca="false">'Power Curves'!BA25</f>
        <v>0.813654783608707</v>
      </c>
      <c r="J11" s="373" t="n">
        <f aca="false">'Power Curves'!BB25</f>
        <v>0.895</v>
      </c>
      <c r="K11" s="373" t="n">
        <f aca="false">'Power Curves'!BC25</f>
        <v>0.904126416732948</v>
      </c>
      <c r="L11" s="373" t="n">
        <f aca="false">'Power Curves'!BD25</f>
        <v>0.95</v>
      </c>
      <c r="M11" s="373" t="n">
        <f aca="false">'Power Curves'!BE25</f>
        <v>0.95</v>
      </c>
      <c r="N11" s="374" t="n">
        <f aca="false">VALUE('Power Curves'!BF25)</f>
        <v>2</v>
      </c>
      <c r="O11" s="371" t="n">
        <f aca="false">IF(AND($N11=1,$N18=1),AVERAGE(B11:B18),0)</f>
        <v>0</v>
      </c>
      <c r="P11" s="372" t="n">
        <f aca="false">IF(AND($N11=1,$N18=1),AVERAGE(C11:C18),0)</f>
        <v>0</v>
      </c>
      <c r="Q11" s="372" t="n">
        <f aca="false">IF(AND($N11=1,$N18=1),AVERAGE(D11:D18),0)</f>
        <v>0</v>
      </c>
      <c r="R11" s="372" t="n">
        <f aca="false">IF(AND($N11=1,$N18=1),AVERAGE(E11:E18),0)</f>
        <v>0</v>
      </c>
      <c r="S11" s="372" t="n">
        <f aca="false">IF(AND($N11=1,$N18=1),AVERAGE(F11:F18),0)</f>
        <v>0</v>
      </c>
      <c r="T11" s="372" t="n">
        <f aca="false">IF(AND($N11=1,$N18=1),AVERAGE(G11:G18),0)</f>
        <v>0</v>
      </c>
      <c r="U11" s="372" t="n">
        <f aca="false">IF(AND($N11=1,$N18=1),AVERAGE(H11:H18),0)</f>
        <v>0</v>
      </c>
      <c r="V11" s="372" t="n">
        <f aca="false">IF(AND($N11=1,$N18=1),AVERAGE(I11:I18),0)</f>
        <v>0</v>
      </c>
      <c r="W11" s="372" t="n">
        <f aca="false">IF(AND($N11=1,$N18=1),AVERAGE(J11:J18),0)</f>
        <v>0</v>
      </c>
      <c r="X11" s="372" t="n">
        <f aca="false">IF(AND($N11=1,$N18=1),AVERAGE(K11:K18),0)</f>
        <v>0</v>
      </c>
      <c r="Y11" s="372" t="n">
        <f aca="false">IF(AND($N11=1,$N18=1),AVERAGE(L11:L18),0)</f>
        <v>0</v>
      </c>
      <c r="Z11" s="375" t="n">
        <f aca="false">IF(AND($N11=1,$N18=1),AVERAGE(M11:M18),0)</f>
        <v>0</v>
      </c>
      <c r="AF11" s="352" t="n">
        <v>36770</v>
      </c>
      <c r="AG11" s="311" t="n">
        <v>20</v>
      </c>
      <c r="AH11" s="311" t="n">
        <v>5</v>
      </c>
      <c r="AI11" s="311" t="n">
        <v>5</v>
      </c>
      <c r="AJ11" s="311" t="n">
        <v>1</v>
      </c>
      <c r="AK11" s="311" t="n">
        <v>30</v>
      </c>
      <c r="AL11" s="311"/>
      <c r="AM11" s="336"/>
      <c r="AN11" s="353" t="n">
        <v>2</v>
      </c>
      <c r="AO11" s="354" t="s">
        <v>1324</v>
      </c>
      <c r="AP11" s="341"/>
      <c r="AR11" s="357" t="n">
        <v>8</v>
      </c>
      <c r="AS11" s="358" t="s">
        <v>1344</v>
      </c>
      <c r="AT11" s="359"/>
      <c r="AV11" s="360" t="n">
        <v>3</v>
      </c>
      <c r="AW11" s="361" t="s">
        <v>1332</v>
      </c>
      <c r="AX11" s="362"/>
      <c r="AY11" s="362"/>
      <c r="AZ11" s="342" t="n">
        <v>2</v>
      </c>
      <c r="BA11" s="345" t="s">
        <v>1309</v>
      </c>
      <c r="BB11" s="362"/>
      <c r="BD11" s="360" t="n">
        <v>3</v>
      </c>
      <c r="BE11" s="363" t="s">
        <v>1333</v>
      </c>
      <c r="BF11" s="362"/>
      <c r="BG11" s="117"/>
    </row>
    <row r="12" customFormat="false" ht="13.5" hidden="false" customHeight="false" outlineLevel="0" collapsed="false">
      <c r="A12" s="332" t="n">
        <v>600</v>
      </c>
      <c r="B12" s="373" t="n">
        <f aca="false">'Power Curves'!AT26</f>
        <v>1.35</v>
      </c>
      <c r="C12" s="373" t="n">
        <f aca="false">'Power Curves'!AU26</f>
        <v>1.35</v>
      </c>
      <c r="D12" s="373" t="n">
        <f aca="false">'Power Curves'!AV26</f>
        <v>1.06600068971274</v>
      </c>
      <c r="E12" s="373" t="n">
        <f aca="false">'Power Curves'!AW26</f>
        <v>1.15346940651923</v>
      </c>
      <c r="F12" s="373" t="n">
        <f aca="false">'Power Curves'!AX26</f>
        <v>1.2</v>
      </c>
      <c r="G12" s="373" t="n">
        <f aca="false">'Power Curves'!AY26</f>
        <v>0.92</v>
      </c>
      <c r="H12" s="373" t="n">
        <f aca="false">'Power Curves'!AZ26</f>
        <v>1.021367977662</v>
      </c>
      <c r="I12" s="373" t="n">
        <f aca="false">'Power Curves'!BA26</f>
        <v>1.021367977662</v>
      </c>
      <c r="J12" s="373" t="n">
        <f aca="false">'Power Curves'!BB26</f>
        <v>0.92</v>
      </c>
      <c r="K12" s="373" t="n">
        <f aca="false">'Power Curves'!BC26</f>
        <v>1.15346940651923</v>
      </c>
      <c r="L12" s="373" t="n">
        <f aca="false">'Power Curves'!BD26</f>
        <v>1.2</v>
      </c>
      <c r="M12" s="373" t="n">
        <f aca="false">'Power Curves'!BE26</f>
        <v>1.15</v>
      </c>
      <c r="N12" s="374" t="n">
        <f aca="false">VALUE('Power Curves'!BF26)</f>
        <v>2</v>
      </c>
      <c r="O12" s="371" t="n">
        <f aca="false">IF(AND($N12=1,$N19=1),AVERAGE(B12:B19),0)</f>
        <v>0</v>
      </c>
      <c r="P12" s="372" t="n">
        <f aca="false">IF(AND($N12=1,$N19=1),AVERAGE(C12:C19),0)</f>
        <v>0</v>
      </c>
      <c r="Q12" s="372" t="n">
        <f aca="false">IF(AND($N12=1,$N19=1),AVERAGE(D12:D19),0)</f>
        <v>0</v>
      </c>
      <c r="R12" s="372" t="n">
        <f aca="false">IF(AND($N12=1,$N19=1),AVERAGE(E12:E19),0)</f>
        <v>0</v>
      </c>
      <c r="S12" s="372" t="n">
        <f aca="false">IF(AND($N12=1,$N19=1),AVERAGE(F12:F19),0)</f>
        <v>0</v>
      </c>
      <c r="T12" s="372" t="n">
        <f aca="false">IF(AND($N12=1,$N19=1),AVERAGE(G12:G19),0)</f>
        <v>0</v>
      </c>
      <c r="U12" s="372" t="n">
        <f aca="false">IF(AND($N12=1,$N19=1),AVERAGE(H12:H19),0)</f>
        <v>0</v>
      </c>
      <c r="V12" s="372" t="n">
        <f aca="false">IF(AND($N12=1,$N19=1),AVERAGE(I12:I19),0)</f>
        <v>0</v>
      </c>
      <c r="W12" s="372" t="n">
        <f aca="false">IF(AND($N12=1,$N19=1),AVERAGE(J12:J19),0)</f>
        <v>0</v>
      </c>
      <c r="X12" s="372" t="n">
        <f aca="false">IF(AND($N12=1,$N19=1),AVERAGE(K12:K19),0)</f>
        <v>0</v>
      </c>
      <c r="Y12" s="372" t="n">
        <f aca="false">IF(AND($N12=1,$N19=1),AVERAGE(L12:L19),0)</f>
        <v>0</v>
      </c>
      <c r="Z12" s="375" t="n">
        <f aca="false">IF(AND($N12=1,$N19=1),AVERAGE(M12:M19),0)</f>
        <v>0</v>
      </c>
      <c r="AF12" s="352" t="n">
        <v>36800</v>
      </c>
      <c r="AG12" s="311" t="n">
        <v>22</v>
      </c>
      <c r="AH12" s="311" t="n">
        <v>4</v>
      </c>
      <c r="AI12" s="311" t="n">
        <v>5</v>
      </c>
      <c r="AJ12" s="311" t="n">
        <v>0</v>
      </c>
      <c r="AK12" s="311" t="n">
        <v>31</v>
      </c>
      <c r="AL12" s="311"/>
      <c r="AM12" s="336"/>
      <c r="AN12" s="353" t="n">
        <v>3</v>
      </c>
      <c r="AO12" s="354" t="s">
        <v>1330</v>
      </c>
      <c r="AP12" s="62"/>
      <c r="AR12" s="357" t="n">
        <v>9</v>
      </c>
      <c r="AS12" s="358" t="s">
        <v>1345</v>
      </c>
      <c r="AT12" s="359"/>
      <c r="AY12" s="362"/>
      <c r="AZ12" s="360" t="n">
        <v>1</v>
      </c>
      <c r="BA12" s="361" t="s">
        <v>1321</v>
      </c>
      <c r="BB12" s="362"/>
      <c r="BD12" s="362"/>
      <c r="BE12" s="362"/>
      <c r="BF12" s="362"/>
      <c r="BG12" s="117"/>
    </row>
    <row r="13" customFormat="false" ht="13.5" hidden="false" customHeight="false" outlineLevel="0" collapsed="false">
      <c r="A13" s="332" t="n">
        <v>700</v>
      </c>
      <c r="B13" s="373" t="n">
        <f aca="false">'Power Curves'!AT27</f>
        <v>1.35</v>
      </c>
      <c r="C13" s="373" t="n">
        <f aca="false">'Power Curves'!AU27</f>
        <v>1.35</v>
      </c>
      <c r="D13" s="373" t="n">
        <f aca="false">'Power Curves'!AV27</f>
        <v>1.1561</v>
      </c>
      <c r="E13" s="373" t="n">
        <f aca="false">'Power Curves'!AW27</f>
        <v>1.22</v>
      </c>
      <c r="F13" s="373" t="n">
        <f aca="false">'Power Curves'!AX27</f>
        <v>0.85</v>
      </c>
      <c r="G13" s="373" t="n">
        <f aca="false">'Power Curves'!AY27</f>
        <v>0.47</v>
      </c>
      <c r="H13" s="373" t="n">
        <f aca="false">'Power Curves'!AZ27</f>
        <v>0.37</v>
      </c>
      <c r="I13" s="373" t="n">
        <f aca="false">'Power Curves'!BA27</f>
        <v>0.37</v>
      </c>
      <c r="J13" s="373" t="n">
        <f aca="false">'Power Curves'!BB27</f>
        <v>0.45</v>
      </c>
      <c r="K13" s="373" t="n">
        <f aca="false">'Power Curves'!BC27</f>
        <v>1.22</v>
      </c>
      <c r="L13" s="373" t="n">
        <f aca="false">'Power Curves'!BD27</f>
        <v>0.8</v>
      </c>
      <c r="M13" s="373" t="n">
        <f aca="false">'Power Curves'!BE27</f>
        <v>1</v>
      </c>
      <c r="N13" s="374" t="n">
        <f aca="false">VALUE('Power Curves'!BF27)</f>
        <v>1</v>
      </c>
      <c r="O13" s="371" t="n">
        <f aca="false">IF(AND($N13=1,$N20=1),AVERAGE(B13:B20),0)</f>
        <v>1.02007383501259</v>
      </c>
      <c r="P13" s="372" t="n">
        <f aca="false">IF(AND($N13=1,$N20=1),AVERAGE(C13:C20),0)</f>
        <v>1.02007383501259</v>
      </c>
      <c r="Q13" s="372" t="n">
        <f aca="false">IF(AND($N13=1,$N20=1),AVERAGE(D13:D20),0)</f>
        <v>1.0173448699422</v>
      </c>
      <c r="R13" s="372" t="n">
        <f aca="false">IF(AND($N13=1,$N20=1),AVERAGE(E13:E20),0)</f>
        <v>1.005</v>
      </c>
      <c r="S13" s="372" t="n">
        <f aca="false">IF(AND($N13=1,$N20=1),AVERAGE(F13:F20),0)</f>
        <v>0.9509375</v>
      </c>
      <c r="T13" s="372" t="n">
        <f aca="false">IF(AND($N13=1,$N20=1),AVERAGE(G13:G20),0)</f>
        <v>0.735</v>
      </c>
      <c r="U13" s="372" t="n">
        <f aca="false">IF(AND($N13=1,$N20=1),AVERAGE(H13:H20),0)</f>
        <v>0.685</v>
      </c>
      <c r="V13" s="372" t="n">
        <f aca="false">IF(AND($N13=1,$N20=1),AVERAGE(I13:I20),0)</f>
        <v>0.685</v>
      </c>
      <c r="W13" s="372" t="n">
        <f aca="false">IF(AND($N13=1,$N20=1),AVERAGE(J13:J20),0)</f>
        <v>0.706343865313653</v>
      </c>
      <c r="X13" s="372" t="n">
        <f aca="false">IF(AND($N13=1,$N20=1),AVERAGE(K13:K20),0)</f>
        <v>1.005</v>
      </c>
      <c r="Y13" s="372" t="n">
        <f aca="false">IF(AND($N13=1,$N20=1),AVERAGE(L13:L20),0)</f>
        <v>0.917568493150685</v>
      </c>
      <c r="Z13" s="375" t="n">
        <f aca="false">IF(AND($N13=1,$N20=1),AVERAGE(M13:M20),0)</f>
        <v>0.978755993150685</v>
      </c>
      <c r="AF13" s="352" t="n">
        <v>36831</v>
      </c>
      <c r="AG13" s="311" t="n">
        <v>21</v>
      </c>
      <c r="AH13" s="311" t="n">
        <v>4</v>
      </c>
      <c r="AI13" s="311" t="n">
        <v>5</v>
      </c>
      <c r="AJ13" s="311" t="n">
        <v>1</v>
      </c>
      <c r="AK13" s="311" t="n">
        <v>30</v>
      </c>
      <c r="AL13" s="311"/>
      <c r="AM13" s="336"/>
      <c r="AN13" s="353" t="n">
        <v>4</v>
      </c>
      <c r="AO13" s="354" t="s">
        <v>1334</v>
      </c>
      <c r="AP13" s="341"/>
      <c r="AR13" s="357" t="n">
        <v>10</v>
      </c>
      <c r="AS13" s="380" t="s">
        <v>1346</v>
      </c>
      <c r="AU13" s="328" t="s">
        <v>1347</v>
      </c>
      <c r="AV13" s="344" t="n">
        <v>2</v>
      </c>
      <c r="AW13" s="345" t="s">
        <v>1309</v>
      </c>
      <c r="AX13" s="345"/>
      <c r="AY13" s="362"/>
      <c r="AZ13" s="360" t="n">
        <v>2</v>
      </c>
      <c r="BA13" s="361" t="s">
        <v>1298</v>
      </c>
      <c r="BB13" s="362"/>
      <c r="BC13" s="328" t="s">
        <v>1348</v>
      </c>
      <c r="BD13" s="344" t="n">
        <v>1</v>
      </c>
      <c r="BE13" s="345" t="s">
        <v>1309</v>
      </c>
      <c r="BF13" s="345"/>
      <c r="BG13" s="117"/>
      <c r="BI13" s="378" t="b">
        <f aca="false">TRUE()</f>
        <v>1</v>
      </c>
      <c r="BJ13" s="379" t="s">
        <v>1349</v>
      </c>
    </row>
    <row r="14" customFormat="false" ht="13.5" hidden="false" customHeight="false" outlineLevel="0" collapsed="false">
      <c r="A14" s="332" t="n">
        <v>800</v>
      </c>
      <c r="B14" s="373" t="n">
        <f aca="false">'Power Curves'!AT28</f>
        <v>1.3485</v>
      </c>
      <c r="C14" s="373" t="n">
        <f aca="false">'Power Curves'!AU28</f>
        <v>1.3485</v>
      </c>
      <c r="D14" s="373" t="n">
        <f aca="false">'Power Curves'!AV28</f>
        <v>1.2485549132948</v>
      </c>
      <c r="E14" s="373" t="n">
        <f aca="false">'Power Curves'!AW28</f>
        <v>1.22</v>
      </c>
      <c r="F14" s="373" t="n">
        <f aca="false">'Power Curves'!AX28</f>
        <v>0.9175</v>
      </c>
      <c r="G14" s="373" t="n">
        <f aca="false">'Power Curves'!AY28</f>
        <v>0.47</v>
      </c>
      <c r="H14" s="373" t="n">
        <f aca="false">'Power Curves'!AZ28</f>
        <v>0.37</v>
      </c>
      <c r="I14" s="373" t="n">
        <f aca="false">'Power Curves'!BA28</f>
        <v>0.37</v>
      </c>
      <c r="J14" s="373" t="n">
        <f aca="false">'Power Curves'!BB28</f>
        <v>0.531365313653137</v>
      </c>
      <c r="K14" s="373" t="n">
        <f aca="false">'Power Curves'!BC28</f>
        <v>1.22</v>
      </c>
      <c r="L14" s="373" t="n">
        <f aca="false">'Power Curves'!BD28</f>
        <v>1.15</v>
      </c>
      <c r="M14" s="373" t="n">
        <f aca="false">'Power Curves'!BE28</f>
        <v>1.2545</v>
      </c>
      <c r="N14" s="374" t="n">
        <f aca="false">VALUE('Power Curves'!BF28)</f>
        <v>1</v>
      </c>
      <c r="O14" s="371" t="n">
        <f aca="false">IF(AND($N14=1,$N21=1),AVERAGE(B14:B21),0)</f>
        <v>0.938823835012595</v>
      </c>
      <c r="P14" s="372" t="n">
        <f aca="false">IF(AND($N14=1,$N21=1),AVERAGE(C14:C21),0)</f>
        <v>0.938823835012595</v>
      </c>
      <c r="Q14" s="372" t="n">
        <f aca="false">IF(AND($N14=1,$N21=1),AVERAGE(D14:D21),0)</f>
        <v>0.976878612716763</v>
      </c>
      <c r="R14" s="372" t="n">
        <f aca="false">IF(AND($N14=1,$N21=1),AVERAGE(E14:E21),0)</f>
        <v>0.9625</v>
      </c>
      <c r="S14" s="372" t="n">
        <f aca="false">IF(AND($N14=1,$N21=1),AVERAGE(F14:F21),0)</f>
        <v>0.9759375</v>
      </c>
      <c r="T14" s="372" t="n">
        <f aca="false">IF(AND($N14=1,$N21=1),AVERAGE(G14:G21),0)</f>
        <v>0.8675</v>
      </c>
      <c r="U14" s="372" t="n">
        <f aca="false">IF(AND($N14=1,$N21=1),AVERAGE(H14:H21),0)</f>
        <v>0.8425</v>
      </c>
      <c r="V14" s="372" t="n">
        <f aca="false">IF(AND($N14=1,$N21=1),AVERAGE(I14:I21),0)</f>
        <v>0.8425</v>
      </c>
      <c r="W14" s="372" t="n">
        <f aca="false">IF(AND($N14=1,$N21=1),AVERAGE(J14:J21),0)</f>
        <v>0.822593865313653</v>
      </c>
      <c r="X14" s="372" t="n">
        <f aca="false">IF(AND($N14=1,$N21=1),AVERAGE(K14:K21),0)</f>
        <v>0.9625</v>
      </c>
      <c r="Y14" s="372" t="n">
        <f aca="false">IF(AND($N14=1,$N21=1),AVERAGE(L14:L21),0)</f>
        <v>0.905068493150685</v>
      </c>
      <c r="Z14" s="375" t="n">
        <f aca="false">IF(AND($N14=1,$N21=1),AVERAGE(M14:M21),0)</f>
        <v>0.945005993150685</v>
      </c>
      <c r="AF14" s="352" t="n">
        <v>36861</v>
      </c>
      <c r="AG14" s="311" t="n">
        <v>20</v>
      </c>
      <c r="AH14" s="311" t="n">
        <v>5</v>
      </c>
      <c r="AI14" s="311" t="n">
        <v>6</v>
      </c>
      <c r="AJ14" s="311" t="n">
        <v>1</v>
      </c>
      <c r="AK14" s="311" t="n">
        <v>31</v>
      </c>
      <c r="AL14" s="311"/>
      <c r="AM14" s="336"/>
      <c r="AP14" s="355"/>
      <c r="AR14" s="357"/>
      <c r="AS14" s="380"/>
      <c r="AT14" s="343"/>
      <c r="AV14" s="360" t="n">
        <v>1</v>
      </c>
      <c r="AW14" s="361" t="s">
        <v>1320</v>
      </c>
      <c r="AX14" s="362"/>
      <c r="AY14" s="362"/>
      <c r="AZ14" s="345"/>
      <c r="BA14" s="362"/>
      <c r="BD14" s="360" t="n">
        <v>1</v>
      </c>
      <c r="BE14" s="363" t="s">
        <v>1322</v>
      </c>
      <c r="BF14" s="362"/>
    </row>
    <row r="15" customFormat="false" ht="13.5" hidden="false" customHeight="false" outlineLevel="0" collapsed="false">
      <c r="A15" s="332" t="n">
        <v>900</v>
      </c>
      <c r="B15" s="373" t="n">
        <f aca="false">'Power Curves'!AT29</f>
        <v>1.35</v>
      </c>
      <c r="C15" s="373" t="n">
        <f aca="false">'Power Curves'!AU29</f>
        <v>1.35</v>
      </c>
      <c r="D15" s="373" t="n">
        <f aca="false">'Power Curves'!AV29</f>
        <v>1.2485549132948</v>
      </c>
      <c r="E15" s="373" t="n">
        <f aca="false">'Power Curves'!AW29</f>
        <v>1.15</v>
      </c>
      <c r="F15" s="373" t="n">
        <f aca="false">'Power Curves'!AX29</f>
        <v>0.95</v>
      </c>
      <c r="G15" s="373" t="n">
        <f aca="false">'Power Curves'!AY29</f>
        <v>0.47</v>
      </c>
      <c r="H15" s="373" t="n">
        <f aca="false">'Power Curves'!AZ29</f>
        <v>0.37</v>
      </c>
      <c r="I15" s="373" t="n">
        <f aca="false">'Power Curves'!BA29</f>
        <v>0.37</v>
      </c>
      <c r="J15" s="373" t="n">
        <f aca="false">'Power Curves'!BB29</f>
        <v>0.560885608856089</v>
      </c>
      <c r="K15" s="373" t="n">
        <f aca="false">'Power Curves'!BC29</f>
        <v>1.15</v>
      </c>
      <c r="L15" s="373" t="n">
        <f aca="false">'Power Curves'!BD29</f>
        <v>1.15</v>
      </c>
      <c r="M15" s="373" t="n">
        <f aca="false">'Power Curves'!BE29</f>
        <v>1.26</v>
      </c>
      <c r="N15" s="374" t="n">
        <f aca="false">VALUE('Power Curves'!BF29)</f>
        <v>1</v>
      </c>
      <c r="O15" s="371" t="n">
        <f aca="false">IF(AND($N15=1,$N22=1),AVERAGE(B15:B22),0)</f>
        <v>0.870261335012595</v>
      </c>
      <c r="P15" s="372" t="n">
        <f aca="false">IF(AND($N15=1,$N22=1),AVERAGE(C15:C22),0)</f>
        <v>0.870261335012595</v>
      </c>
      <c r="Q15" s="372" t="n">
        <f aca="false">IF(AND($N15=1,$N22=1),AVERAGE(D15:D22),0)</f>
        <v>0.92485549132948</v>
      </c>
      <c r="R15" s="372" t="n">
        <f aca="false">IF(AND($N15=1,$N22=1),AVERAGE(E15:E22),0)</f>
        <v>0.92</v>
      </c>
      <c r="S15" s="372" t="n">
        <f aca="false">IF(AND($N15=1,$N22=1),AVERAGE(F15:F22),0)</f>
        <v>0.99875</v>
      </c>
      <c r="T15" s="372" t="n">
        <f aca="false">IF(AND($N15=1,$N22=1),AVERAGE(G15:G22),0)</f>
        <v>1</v>
      </c>
      <c r="U15" s="372" t="n">
        <f aca="false">IF(AND($N15=1,$N22=1),AVERAGE(H15:H22),0)</f>
        <v>1</v>
      </c>
      <c r="V15" s="372" t="n">
        <f aca="false">IF(AND($N15=1,$N22=1),AVERAGE(I15:I22),0)</f>
        <v>1</v>
      </c>
      <c r="W15" s="372" t="n">
        <f aca="false">IF(AND($N15=1,$N22=1),AVERAGE(J15:J22),0)</f>
        <v>0.934923201107011</v>
      </c>
      <c r="X15" s="372" t="n">
        <f aca="false">IF(AND($N15=1,$N22=1),AVERAGE(K15:K22),0)</f>
        <v>0.92</v>
      </c>
      <c r="Y15" s="372" t="n">
        <f aca="false">IF(AND($N15=1,$N22=1),AVERAGE(L15:L22),0)</f>
        <v>0.848818493150685</v>
      </c>
      <c r="Z15" s="375" t="n">
        <f aca="false">IF(AND($N15=1,$N22=1),AVERAGE(M15:M22),0)</f>
        <v>0.880693493150685</v>
      </c>
      <c r="AF15" s="352" t="n">
        <v>36892</v>
      </c>
      <c r="AG15" s="311" t="n">
        <v>22</v>
      </c>
      <c r="AH15" s="311" t="n">
        <v>4</v>
      </c>
      <c r="AI15" s="311" t="n">
        <v>5</v>
      </c>
      <c r="AJ15" s="311" t="n">
        <v>1</v>
      </c>
      <c r="AK15" s="311" t="n">
        <v>31</v>
      </c>
      <c r="AL15" s="311"/>
      <c r="AM15" s="336" t="s">
        <v>1350</v>
      </c>
      <c r="AN15" s="339" t="n">
        <v>3</v>
      </c>
      <c r="AO15" s="340" t="s">
        <v>1309</v>
      </c>
      <c r="AP15" s="355"/>
      <c r="AR15" s="346"/>
      <c r="AT15" s="359"/>
      <c r="AV15" s="360" t="n">
        <v>2</v>
      </c>
      <c r="AW15" s="361" t="s">
        <v>1326</v>
      </c>
      <c r="AX15" s="362"/>
      <c r="AY15" s="362"/>
      <c r="AZ15" s="345"/>
      <c r="BA15" s="362"/>
      <c r="BD15" s="360" t="n">
        <v>2</v>
      </c>
      <c r="BE15" s="363" t="s">
        <v>1327</v>
      </c>
      <c r="BF15" s="362"/>
      <c r="BI15" s="378" t="b">
        <f aca="false">FALSE()</f>
        <v>0</v>
      </c>
      <c r="BJ15" s="379" t="s">
        <v>1351</v>
      </c>
    </row>
    <row r="16" customFormat="false" ht="13.5" hidden="false" customHeight="false" outlineLevel="0" collapsed="false">
      <c r="A16" s="332" t="n">
        <v>1000</v>
      </c>
      <c r="B16" s="373" t="n">
        <f aca="false">'Power Curves'!AT30</f>
        <v>1.1</v>
      </c>
      <c r="C16" s="373" t="n">
        <f aca="false">'Power Curves'!AU30</f>
        <v>1.1</v>
      </c>
      <c r="D16" s="373" t="n">
        <f aca="false">'Power Curves'!AV30</f>
        <v>1.10982658959538</v>
      </c>
      <c r="E16" s="373" t="n">
        <f aca="false">'Power Curves'!AW30</f>
        <v>1</v>
      </c>
      <c r="F16" s="373" t="n">
        <f aca="false">'Power Curves'!AX30</f>
        <v>0.97</v>
      </c>
      <c r="G16" s="373" t="n">
        <f aca="false">'Power Curves'!AY30</f>
        <v>0.47</v>
      </c>
      <c r="H16" s="373" t="n">
        <f aca="false">'Power Curves'!AZ30</f>
        <v>0.37</v>
      </c>
      <c r="I16" s="373" t="n">
        <f aca="false">'Power Curves'!BA30</f>
        <v>0.37</v>
      </c>
      <c r="J16" s="373" t="n">
        <f aca="false">'Power Curves'!BB30</f>
        <v>0.6</v>
      </c>
      <c r="K16" s="373" t="n">
        <f aca="false">'Power Curves'!BC30</f>
        <v>1</v>
      </c>
      <c r="L16" s="373" t="n">
        <f aca="false">'Power Curves'!BD30</f>
        <v>1.15</v>
      </c>
      <c r="M16" s="373" t="n">
        <f aca="false">'Power Curves'!BE30</f>
        <v>1.205</v>
      </c>
      <c r="N16" s="374" t="n">
        <f aca="false">VALUE('Power Curves'!BF30)</f>
        <v>1</v>
      </c>
      <c r="O16" s="371" t="n">
        <f aca="false">IF(AND($N16=1,$N23=1),AVERAGE(B16:B23),0)</f>
        <v>0.826511335012594</v>
      </c>
      <c r="P16" s="372" t="n">
        <f aca="false">IF(AND($N16=1,$N23=1),AVERAGE(C16:C23),0)</f>
        <v>0.826511335012594</v>
      </c>
      <c r="Q16" s="372" t="n">
        <f aca="false">IF(AND($N16=1,$N23=1),AVERAGE(D16:D23),0)</f>
        <v>0.895953757225434</v>
      </c>
      <c r="R16" s="372" t="n">
        <f aca="false">IF(AND($N16=1,$N23=1),AVERAGE(E16:E23),0)</f>
        <v>0.9075</v>
      </c>
      <c r="S16" s="372" t="n">
        <f aca="false">IF(AND($N16=1,$N23=1),AVERAGE(F16:F23),0)</f>
        <v>1.0175</v>
      </c>
      <c r="T16" s="372" t="n">
        <f aca="false">IF(AND($N16=1,$N23=1),AVERAGE(G16:G23),0)</f>
        <v>1.1325</v>
      </c>
      <c r="U16" s="372" t="n">
        <f aca="false">IF(AND($N16=1,$N23=1),AVERAGE(H16:H23),0)</f>
        <v>1.1575</v>
      </c>
      <c r="V16" s="372" t="n">
        <f aca="false">IF(AND($N16=1,$N23=1),AVERAGE(I16:I23),0)</f>
        <v>1.1575</v>
      </c>
      <c r="W16" s="372" t="n">
        <f aca="false">IF(AND($N16=1,$N23=1),AVERAGE(J16:J23),0)</f>
        <v>1.0585625</v>
      </c>
      <c r="X16" s="372" t="n">
        <f aca="false">IF(AND($N16=1,$N23=1),AVERAGE(K16:K23),0)</f>
        <v>0.9075</v>
      </c>
      <c r="Y16" s="372" t="n">
        <f aca="false">IF(AND($N16=1,$N23=1),AVERAGE(L16:L23),0)</f>
        <v>0.830068493150685</v>
      </c>
      <c r="Z16" s="375" t="n">
        <f aca="false">IF(AND($N16=1,$N23=1),AVERAGE(M16:M23),0)</f>
        <v>0.863193493150685</v>
      </c>
      <c r="AF16" s="352" t="n">
        <v>36923</v>
      </c>
      <c r="AG16" s="311" t="n">
        <v>20</v>
      </c>
      <c r="AH16" s="311" t="n">
        <v>4</v>
      </c>
      <c r="AI16" s="311" t="n">
        <v>4</v>
      </c>
      <c r="AJ16" s="311" t="n">
        <v>0</v>
      </c>
      <c r="AK16" s="311" t="n">
        <v>28</v>
      </c>
      <c r="AL16" s="311"/>
      <c r="AM16" s="336"/>
      <c r="AN16" s="353" t="n">
        <v>1</v>
      </c>
      <c r="AO16" s="354" t="s">
        <v>1318</v>
      </c>
      <c r="AP16" s="355"/>
      <c r="AT16" s="359"/>
      <c r="AV16" s="360" t="n">
        <v>3</v>
      </c>
      <c r="AW16" s="361" t="s">
        <v>1332</v>
      </c>
      <c r="AX16" s="362"/>
      <c r="AY16" s="362"/>
      <c r="AZ16" s="342" t="n">
        <v>2</v>
      </c>
      <c r="BA16" s="345" t="s">
        <v>1309</v>
      </c>
      <c r="BD16" s="360" t="n">
        <v>3</v>
      </c>
      <c r="BE16" s="363" t="s">
        <v>1333</v>
      </c>
      <c r="BF16" s="362"/>
    </row>
    <row r="17" customFormat="false" ht="13.5" hidden="false" customHeight="false" outlineLevel="0" collapsed="false">
      <c r="A17" s="332" t="n">
        <v>1100</v>
      </c>
      <c r="B17" s="373" t="n">
        <f aca="false">'Power Curves'!AT31</f>
        <v>0.886649874055416</v>
      </c>
      <c r="C17" s="373" t="n">
        <f aca="false">'Power Curves'!AU31</f>
        <v>0.886649874055416</v>
      </c>
      <c r="D17" s="373" t="n">
        <f aca="false">'Power Curves'!AV31</f>
        <v>0.878612716763006</v>
      </c>
      <c r="E17" s="373" t="n">
        <f aca="false">'Power Curves'!AW31</f>
        <v>0.9</v>
      </c>
      <c r="F17" s="373" t="n">
        <f aca="false">'Power Curves'!AX31</f>
        <v>0.975</v>
      </c>
      <c r="G17" s="373" t="n">
        <f aca="false">'Power Curves'!AY31</f>
        <v>0.47</v>
      </c>
      <c r="H17" s="373" t="n">
        <f aca="false">'Power Curves'!AZ31</f>
        <v>0.37</v>
      </c>
      <c r="I17" s="373" t="n">
        <f aca="false">'Power Curves'!BA31</f>
        <v>0.37</v>
      </c>
      <c r="J17" s="373" t="n">
        <f aca="false">'Power Curves'!BB31</f>
        <v>0.6635</v>
      </c>
      <c r="K17" s="373" t="n">
        <f aca="false">'Power Curves'!BC31</f>
        <v>0.9</v>
      </c>
      <c r="L17" s="373" t="n">
        <f aca="false">'Power Curves'!BD31</f>
        <v>0.920547945205479</v>
      </c>
      <c r="M17" s="373" t="n">
        <f aca="false">'Power Curves'!BE31</f>
        <v>0.920547945205479</v>
      </c>
      <c r="N17" s="374" t="n">
        <f aca="false">VALUE('Power Curves'!BF31)</f>
        <v>1</v>
      </c>
      <c r="O17" s="371" t="n">
        <f aca="false">IF(AND($N17=1,$N24=1),AVERAGE(B17:B24),0)</f>
        <v>0.851511335012595</v>
      </c>
      <c r="P17" s="372" t="n">
        <f aca="false">IF(AND($N17=1,$N24=1),AVERAGE(C17:C24),0)</f>
        <v>0.851511335012595</v>
      </c>
      <c r="Q17" s="372" t="n">
        <f aca="false">IF(AND($N17=1,$N24=1),AVERAGE(D17:D24),0)</f>
        <v>0.907514450867052</v>
      </c>
      <c r="R17" s="372" t="n">
        <f aca="false">IF(AND($N17=1,$N24=1),AVERAGE(E17:E24),0)</f>
        <v>0.9325</v>
      </c>
      <c r="S17" s="372" t="n">
        <f aca="false">IF(AND($N17=1,$N24=1),AVERAGE(F17:F24),0)</f>
        <v>1.03625</v>
      </c>
      <c r="T17" s="372" t="n">
        <f aca="false">IF(AND($N17=1,$N24=1),AVERAGE(G17:G24),0)</f>
        <v>1.265</v>
      </c>
      <c r="U17" s="372" t="n">
        <f aca="false">IF(AND($N17=1,$N24=1),AVERAGE(H17:H24),0)</f>
        <v>1.315</v>
      </c>
      <c r="V17" s="372" t="n">
        <f aca="false">IF(AND($N17=1,$N24=1),AVERAGE(I17:I24),0)</f>
        <v>1.315</v>
      </c>
      <c r="W17" s="372" t="n">
        <f aca="false">IF(AND($N17=1,$N24=1),AVERAGE(J17:J24),0)</f>
        <v>1.1710625</v>
      </c>
      <c r="X17" s="372" t="n">
        <f aca="false">IF(AND($N17=1,$N24=1),AVERAGE(K17:K24),0)</f>
        <v>0.9325</v>
      </c>
      <c r="Y17" s="372" t="n">
        <f aca="false">IF(AND($N17=1,$N24=1),AVERAGE(L17:L24),0)</f>
        <v>0.843193493150685</v>
      </c>
      <c r="Z17" s="375" t="n">
        <f aca="false">IF(AND($N17=1,$N24=1),AVERAGE(M17:M24),0)</f>
        <v>0.881318493150685</v>
      </c>
      <c r="AF17" s="352" t="n">
        <v>36951</v>
      </c>
      <c r="AG17" s="311" t="n">
        <v>22</v>
      </c>
      <c r="AH17" s="311" t="n">
        <v>5</v>
      </c>
      <c r="AI17" s="311" t="n">
        <v>4</v>
      </c>
      <c r="AJ17" s="311" t="n">
        <v>0</v>
      </c>
      <c r="AK17" s="311" t="n">
        <v>31</v>
      </c>
      <c r="AL17" s="311"/>
      <c r="AM17" s="336"/>
      <c r="AN17" s="353" t="n">
        <v>2</v>
      </c>
      <c r="AO17" s="354" t="s">
        <v>1324</v>
      </c>
      <c r="AP17" s="62"/>
      <c r="AQ17" s="329" t="s">
        <v>1352</v>
      </c>
      <c r="AR17" s="342" t="n">
        <v>4</v>
      </c>
      <c r="AS17" s="343" t="s">
        <v>1311</v>
      </c>
      <c r="AT17" s="359"/>
      <c r="AY17" s="362"/>
      <c r="AZ17" s="360" t="n">
        <v>1</v>
      </c>
      <c r="BA17" s="361" t="s">
        <v>1321</v>
      </c>
      <c r="BD17" s="362"/>
      <c r="BE17" s="362"/>
      <c r="BF17" s="362"/>
      <c r="BI17" s="378" t="b">
        <f aca="false">FALSE()</f>
        <v>0</v>
      </c>
      <c r="BJ17" s="379" t="s">
        <v>1353</v>
      </c>
    </row>
    <row r="18" customFormat="false" ht="13.5" hidden="false" customHeight="false" outlineLevel="0" collapsed="false">
      <c r="A18" s="332" t="n">
        <v>1200</v>
      </c>
      <c r="B18" s="373" t="n">
        <f aca="false">'Power Curves'!AT32</f>
        <v>0.72544080604534</v>
      </c>
      <c r="C18" s="373" t="n">
        <f aca="false">'Power Curves'!AU32</f>
        <v>0.72544080604534</v>
      </c>
      <c r="D18" s="373" t="n">
        <f aca="false">'Power Curves'!AV32</f>
        <v>0.832369942196532</v>
      </c>
      <c r="E18" s="373" t="n">
        <f aca="false">'Power Curves'!AW32</f>
        <v>0.85</v>
      </c>
      <c r="F18" s="373" t="n">
        <f aca="false">'Power Curves'!AX32</f>
        <v>0.98</v>
      </c>
      <c r="G18" s="373" t="n">
        <f aca="false">'Power Curves'!AY32</f>
        <v>0.47</v>
      </c>
      <c r="H18" s="373" t="n">
        <f aca="false">'Power Curves'!AZ32</f>
        <v>0.37</v>
      </c>
      <c r="I18" s="373" t="n">
        <f aca="false">'Power Curves'!BA32</f>
        <v>0.37</v>
      </c>
      <c r="J18" s="373" t="n">
        <f aca="false">'Power Curves'!BB32</f>
        <v>0.76</v>
      </c>
      <c r="K18" s="373" t="n">
        <f aca="false">'Power Curves'!BC32</f>
        <v>0.85</v>
      </c>
      <c r="L18" s="373" t="n">
        <f aca="false">'Power Curves'!BD32</f>
        <v>0.77</v>
      </c>
      <c r="M18" s="373" t="n">
        <f aca="false">'Power Curves'!BE32</f>
        <v>0.74</v>
      </c>
      <c r="N18" s="374" t="n">
        <f aca="false">VALUE('Power Curves'!BF32)</f>
        <v>1</v>
      </c>
      <c r="O18" s="371" t="n">
        <f aca="false">IF(AND($N18=1,$N25=1),AVERAGE(B18:B25),0)</f>
        <v>0.903180100755668</v>
      </c>
      <c r="P18" s="372" t="n">
        <f aca="false">IF(AND($N18=1,$N25=1),AVERAGE(C18:C25),0)</f>
        <v>0.903180100755668</v>
      </c>
      <c r="Q18" s="372" t="n">
        <f aca="false">IF(AND($N18=1,$N25=1),AVERAGE(D18:D25),0)</f>
        <v>0.947976878612717</v>
      </c>
      <c r="R18" s="372" t="n">
        <f aca="false">IF(AND($N18=1,$N25=1),AVERAGE(E18:E25),0)</f>
        <v>0.96375</v>
      </c>
      <c r="S18" s="372" t="n">
        <f aca="false">IF(AND($N18=1,$N25=1),AVERAGE(F18:F25),0)</f>
        <v>1.058125</v>
      </c>
      <c r="T18" s="372" t="n">
        <f aca="false">IF(AND($N18=1,$N25=1),AVERAGE(G18:G25),0)</f>
        <v>1.3975</v>
      </c>
      <c r="U18" s="372" t="n">
        <f aca="false">IF(AND($N18=1,$N25=1),AVERAGE(H18:H25),0)</f>
        <v>1.4725</v>
      </c>
      <c r="V18" s="372" t="n">
        <f aca="false">IF(AND($N18=1,$N25=1),AVERAGE(I18:I25),0)</f>
        <v>1.4725</v>
      </c>
      <c r="W18" s="372" t="n">
        <f aca="false">IF(AND($N18=1,$N25=1),AVERAGE(J18:J25),0)</f>
        <v>1.269375</v>
      </c>
      <c r="X18" s="372" t="n">
        <f aca="false">IF(AND($N18=1,$N25=1),AVERAGE(K18:K25),0)</f>
        <v>0.96375</v>
      </c>
      <c r="Y18" s="372" t="n">
        <f aca="false">IF(AND($N18=1,$N25=1),AVERAGE(L18:L25),0)</f>
        <v>0.920625</v>
      </c>
      <c r="Z18" s="375" t="n">
        <f aca="false">IF(AND($N18=1,$N25=1),AVERAGE(M18:M25),0)</f>
        <v>0.935</v>
      </c>
      <c r="AF18" s="352" t="n">
        <v>36982</v>
      </c>
      <c r="AG18" s="311" t="n">
        <v>21</v>
      </c>
      <c r="AH18" s="311" t="n">
        <v>4</v>
      </c>
      <c r="AI18" s="311" t="n">
        <v>5</v>
      </c>
      <c r="AJ18" s="311" t="n">
        <v>0</v>
      </c>
      <c r="AK18" s="311" t="n">
        <v>30</v>
      </c>
      <c r="AL18" s="311"/>
      <c r="AM18" s="336"/>
      <c r="AN18" s="353" t="n">
        <v>3</v>
      </c>
      <c r="AO18" s="354" t="s">
        <v>1330</v>
      </c>
      <c r="AP18" s="62"/>
      <c r="AR18" s="357" t="n">
        <v>1</v>
      </c>
      <c r="AS18" s="358" t="s">
        <v>1319</v>
      </c>
      <c r="AT18" s="359"/>
      <c r="AU18" s="328" t="s">
        <v>1354</v>
      </c>
      <c r="AV18" s="344" t="n">
        <v>2</v>
      </c>
      <c r="AW18" s="345" t="s">
        <v>1309</v>
      </c>
      <c r="AX18" s="345"/>
      <c r="AY18" s="362"/>
      <c r="AZ18" s="360" t="n">
        <v>2</v>
      </c>
      <c r="BA18" s="361" t="s">
        <v>1298</v>
      </c>
      <c r="BC18" s="328" t="s">
        <v>1355</v>
      </c>
      <c r="BD18" s="344" t="n">
        <v>3</v>
      </c>
      <c r="BE18" s="345" t="s">
        <v>1309</v>
      </c>
      <c r="BF18" s="345"/>
    </row>
    <row r="19" customFormat="false" ht="13.5" hidden="false" customHeight="false" outlineLevel="0" collapsed="false">
      <c r="A19" s="332" t="n">
        <v>1300</v>
      </c>
      <c r="B19" s="373" t="n">
        <f aca="false">'Power Curves'!AT33</f>
        <v>0.7</v>
      </c>
      <c r="C19" s="373" t="n">
        <f aca="false">'Power Curves'!AU33</f>
        <v>0.7</v>
      </c>
      <c r="D19" s="373" t="n">
        <f aca="false">'Power Curves'!AV33</f>
        <v>0.832369942196532</v>
      </c>
      <c r="E19" s="373" t="n">
        <f aca="false">'Power Curves'!AW33</f>
        <v>0.85</v>
      </c>
      <c r="F19" s="373" t="n">
        <f aca="false">'Power Curves'!AX33</f>
        <v>0.975</v>
      </c>
      <c r="G19" s="373" t="n">
        <f aca="false">'Power Curves'!AY33</f>
        <v>1.53</v>
      </c>
      <c r="H19" s="373" t="n">
        <f aca="false">'Power Curves'!AZ33</f>
        <v>1.63</v>
      </c>
      <c r="I19" s="373" t="n">
        <f aca="false">'Power Curves'!BA33</f>
        <v>1.63</v>
      </c>
      <c r="J19" s="373" t="n">
        <f aca="false">'Power Curves'!BB33</f>
        <v>0.935</v>
      </c>
      <c r="K19" s="373" t="n">
        <f aca="false">'Power Curves'!BC33</f>
        <v>0.85</v>
      </c>
      <c r="L19" s="373" t="n">
        <f aca="false">'Power Curves'!BD33</f>
        <v>0.7</v>
      </c>
      <c r="M19" s="373" t="n">
        <f aca="false">'Power Curves'!BE33</f>
        <v>0.73</v>
      </c>
      <c r="N19" s="374" t="n">
        <f aca="false">VALUE('Power Curves'!BF33)</f>
        <v>1</v>
      </c>
      <c r="O19" s="371" t="n">
        <f aca="false">IF(AND($N19=1,$N26=1),AVERAGE(B19:B26),0)</f>
        <v>0.95625</v>
      </c>
      <c r="P19" s="372" t="n">
        <f aca="false">IF(AND($N19=1,$N26=1),AVERAGE(C19:C26),0)</f>
        <v>0.95625</v>
      </c>
      <c r="Q19" s="372" t="n">
        <f aca="false">IF(AND($N19=1,$N26=1),AVERAGE(D19:D26),0)</f>
        <v>0.971098265895954</v>
      </c>
      <c r="R19" s="372" t="n">
        <f aca="false">IF(AND($N19=1,$N26=1),AVERAGE(E19:E26),0)</f>
        <v>0.98875</v>
      </c>
      <c r="S19" s="372" t="n">
        <f aca="false">IF(AND($N19=1,$N26=1),AVERAGE(F19:F26),0)</f>
        <v>1.075625</v>
      </c>
      <c r="T19" s="372" t="n">
        <f aca="false">IF(AND($N19=1,$N26=1),AVERAGE(G19:G26),0)</f>
        <v>1.53</v>
      </c>
      <c r="U19" s="372" t="n">
        <f aca="false">IF(AND($N19=1,$N26=1),AVERAGE(H19:H26),0)</f>
        <v>1.63</v>
      </c>
      <c r="V19" s="372" t="n">
        <f aca="false">IF(AND($N19=1,$N26=1),AVERAGE(I19:I26),0)</f>
        <v>1.63</v>
      </c>
      <c r="W19" s="372" t="n">
        <f aca="false">IF(AND($N19=1,$N26=1),AVERAGE(J19:J26),0)</f>
        <v>1.343125</v>
      </c>
      <c r="X19" s="372" t="n">
        <f aca="false">IF(AND($N19=1,$N26=1),AVERAGE(K19:K26),0)</f>
        <v>0.98875</v>
      </c>
      <c r="Y19" s="372" t="n">
        <f aca="false">IF(AND($N19=1,$N26=1),AVERAGE(L19:L26),0)</f>
        <v>1.016875</v>
      </c>
      <c r="Z19" s="375" t="n">
        <f aca="false">IF(AND($N19=1,$N26=1),AVERAGE(M19:M26),0)</f>
        <v>0.99375</v>
      </c>
      <c r="AF19" s="352" t="n">
        <v>37012</v>
      </c>
      <c r="AG19" s="311" t="n">
        <v>22</v>
      </c>
      <c r="AH19" s="311" t="n">
        <v>4</v>
      </c>
      <c r="AI19" s="311" t="n">
        <v>5</v>
      </c>
      <c r="AJ19" s="311" t="n">
        <v>1</v>
      </c>
      <c r="AK19" s="311" t="n">
        <v>31</v>
      </c>
      <c r="AL19" s="311"/>
      <c r="AM19" s="336"/>
      <c r="AN19" s="353" t="n">
        <v>4</v>
      </c>
      <c r="AO19" s="354" t="s">
        <v>1334</v>
      </c>
      <c r="AP19" s="73"/>
      <c r="AR19" s="357" t="n">
        <v>2</v>
      </c>
      <c r="AS19" s="358" t="s">
        <v>1325</v>
      </c>
      <c r="AT19" s="359"/>
      <c r="AV19" s="360" t="n">
        <v>1</v>
      </c>
      <c r="AW19" s="361" t="s">
        <v>1320</v>
      </c>
      <c r="AX19" s="362"/>
      <c r="AY19" s="362"/>
      <c r="AZ19" s="345"/>
      <c r="BA19" s="362"/>
      <c r="BD19" s="360" t="n">
        <v>1</v>
      </c>
      <c r="BE19" s="363" t="s">
        <v>1322</v>
      </c>
      <c r="BF19" s="362"/>
      <c r="BI19" s="378" t="b">
        <f aca="false">FALSE()</f>
        <v>0</v>
      </c>
      <c r="BJ19" s="379" t="s">
        <v>1356</v>
      </c>
    </row>
    <row r="20" customFormat="false" ht="12.75" hidden="false" customHeight="false" outlineLevel="0" collapsed="false">
      <c r="A20" s="332" t="n">
        <v>1400</v>
      </c>
      <c r="B20" s="373" t="n">
        <f aca="false">'Power Curves'!AT34</f>
        <v>0.7</v>
      </c>
      <c r="C20" s="373" t="n">
        <f aca="false">'Power Curves'!AU34</f>
        <v>0.7</v>
      </c>
      <c r="D20" s="373" t="n">
        <f aca="false">'Power Curves'!AV34</f>
        <v>0.832369942196532</v>
      </c>
      <c r="E20" s="373" t="n">
        <f aca="false">'Power Curves'!AW34</f>
        <v>0.85</v>
      </c>
      <c r="F20" s="373" t="n">
        <f aca="false">'Power Curves'!AX34</f>
        <v>0.99</v>
      </c>
      <c r="G20" s="373" t="n">
        <f aca="false">'Power Curves'!AY34</f>
        <v>1.53</v>
      </c>
      <c r="H20" s="373" t="n">
        <f aca="false">'Power Curves'!AZ34</f>
        <v>1.63</v>
      </c>
      <c r="I20" s="373" t="n">
        <f aca="false">'Power Curves'!BA34</f>
        <v>1.63</v>
      </c>
      <c r="J20" s="373" t="n">
        <f aca="false">'Power Curves'!BB34</f>
        <v>1.15</v>
      </c>
      <c r="K20" s="373" t="n">
        <f aca="false">'Power Curves'!BC34</f>
        <v>0.85</v>
      </c>
      <c r="L20" s="373" t="n">
        <f aca="false">'Power Curves'!BD34</f>
        <v>0.7</v>
      </c>
      <c r="M20" s="373" t="n">
        <f aca="false">'Power Curves'!BE34</f>
        <v>0.72</v>
      </c>
      <c r="N20" s="374" t="n">
        <f aca="false">VALUE('Power Curves'!BF34)</f>
        <v>1</v>
      </c>
      <c r="O20" s="371" t="n">
        <f aca="false">IF(AND($N20=1,$N27=1),AVERAGE(B20:B27),0)</f>
        <v>0.96875</v>
      </c>
      <c r="P20" s="372" t="n">
        <f aca="false">IF(AND($N20=1,$N27=1),AVERAGE(C20:C27),0)</f>
        <v>0.96875</v>
      </c>
      <c r="Q20" s="372" t="n">
        <f aca="false">IF(AND($N20=1,$N27=1),AVERAGE(D20:D27),0)</f>
        <v>0.982658959537572</v>
      </c>
      <c r="R20" s="372" t="n">
        <f aca="false">IF(AND($N20=1,$N27=1),AVERAGE(E20:E27),0)</f>
        <v>0.995</v>
      </c>
      <c r="S20" s="372" t="n">
        <f aca="false">IF(AND($N20=1,$N27=1),AVERAGE(F20:F27),0)</f>
        <v>1.0666026645768</v>
      </c>
      <c r="T20" s="372" t="n">
        <f aca="false">IF(AND($N20=1,$N27=1),AVERAGE(G20:G27),0)</f>
        <v>1.3975</v>
      </c>
      <c r="U20" s="372" t="n">
        <f aca="false">IF(AND($N20=1,$N27=1),AVERAGE(H20:H27),0)</f>
        <v>1.4725</v>
      </c>
      <c r="V20" s="372" t="n">
        <f aca="false">IF(AND($N20=1,$N27=1),AVERAGE(I20:I27),0)</f>
        <v>1.4725</v>
      </c>
      <c r="W20" s="372" t="n">
        <f aca="false">IF(AND($N20=1,$N27=1),AVERAGE(J20:J27),0)</f>
        <v>1.35125</v>
      </c>
      <c r="X20" s="372" t="n">
        <f aca="false">IF(AND($N20=1,$N27=1),AVERAGE(K20:K27),0)</f>
        <v>0.995</v>
      </c>
      <c r="Y20" s="372" t="n">
        <f aca="false">IF(AND($N20=1,$N27=1),AVERAGE(L20:L27),0)</f>
        <v>1.08</v>
      </c>
      <c r="Z20" s="375" t="n">
        <f aca="false">IF(AND($N20=1,$N27=1),AVERAGE(M20:M27),0)</f>
        <v>1.02125</v>
      </c>
      <c r="AF20" s="352" t="n">
        <v>37043</v>
      </c>
      <c r="AG20" s="311" t="n">
        <v>21</v>
      </c>
      <c r="AH20" s="311" t="n">
        <v>5</v>
      </c>
      <c r="AI20" s="311" t="n">
        <v>4</v>
      </c>
      <c r="AJ20" s="311" t="n">
        <v>0</v>
      </c>
      <c r="AK20" s="311" t="n">
        <v>30</v>
      </c>
      <c r="AL20" s="311"/>
      <c r="AM20" s="336"/>
      <c r="AP20" s="73"/>
      <c r="AR20" s="357" t="n">
        <v>3</v>
      </c>
      <c r="AS20" s="358" t="s">
        <v>1331</v>
      </c>
      <c r="AT20" s="359"/>
      <c r="AV20" s="360" t="n">
        <v>2</v>
      </c>
      <c r="AW20" s="361" t="s">
        <v>1326</v>
      </c>
      <c r="AX20" s="362"/>
      <c r="AY20" s="362"/>
      <c r="AZ20" s="345"/>
      <c r="BA20" s="362"/>
      <c r="BD20" s="360" t="n">
        <v>2</v>
      </c>
      <c r="BE20" s="363" t="s">
        <v>1327</v>
      </c>
      <c r="BF20" s="362"/>
    </row>
    <row r="21" customFormat="false" ht="12.75" hidden="false" customHeight="false" outlineLevel="0" collapsed="false">
      <c r="A21" s="332" t="n">
        <v>1500</v>
      </c>
      <c r="B21" s="373" t="n">
        <f aca="false">'Power Curves'!AT35</f>
        <v>0.7</v>
      </c>
      <c r="C21" s="373" t="n">
        <f aca="false">'Power Curves'!AU35</f>
        <v>0.7</v>
      </c>
      <c r="D21" s="373" t="n">
        <f aca="false">'Power Curves'!AV35</f>
        <v>0.832369942196532</v>
      </c>
      <c r="E21" s="373" t="n">
        <f aca="false">'Power Curves'!AW35</f>
        <v>0.88</v>
      </c>
      <c r="F21" s="373" t="n">
        <f aca="false">'Power Curves'!AX35</f>
        <v>1.05</v>
      </c>
      <c r="G21" s="373" t="n">
        <f aca="false">'Power Curves'!AY35</f>
        <v>1.53</v>
      </c>
      <c r="H21" s="373" t="n">
        <f aca="false">'Power Curves'!AZ35</f>
        <v>1.63</v>
      </c>
      <c r="I21" s="373" t="n">
        <f aca="false">'Power Curves'!BA35</f>
        <v>1.63</v>
      </c>
      <c r="J21" s="373" t="n">
        <f aca="false">'Power Curves'!BB35</f>
        <v>1.38</v>
      </c>
      <c r="K21" s="373" t="n">
        <f aca="false">'Power Curves'!BC35</f>
        <v>0.88</v>
      </c>
      <c r="L21" s="373" t="n">
        <f aca="false">'Power Curves'!BD35</f>
        <v>0.7</v>
      </c>
      <c r="M21" s="373" t="n">
        <f aca="false">'Power Curves'!BE35</f>
        <v>0.73</v>
      </c>
      <c r="N21" s="374" t="n">
        <f aca="false">VALUE('Power Curves'!BF35)</f>
        <v>1</v>
      </c>
      <c r="O21" s="371" t="n">
        <f aca="false">IF(AND($N21=1,$N28=1),AVERAGE(B21:B28),0)</f>
        <v>0.98</v>
      </c>
      <c r="P21" s="372" t="n">
        <f aca="false">IF(AND($N21=1,$N28=1),AVERAGE(C21:C28),0)</f>
        <v>0.98</v>
      </c>
      <c r="Q21" s="372" t="n">
        <f aca="false">IF(AND($N21=1,$N28=1),AVERAGE(D21:D28),0)</f>
        <v>0.982658959537572</v>
      </c>
      <c r="R21" s="372" t="n">
        <f aca="false">IF(AND($N21=1,$N28=1),AVERAGE(E21:E28),0)</f>
        <v>0.995</v>
      </c>
      <c r="S21" s="372" t="n">
        <f aca="false">IF(AND($N21=1,$N28=1),AVERAGE(F21:F28),0)</f>
        <v>1.0491026645768</v>
      </c>
      <c r="T21" s="372" t="n">
        <f aca="false">IF(AND($N21=1,$N28=1),AVERAGE(G21:G28),0)</f>
        <v>1.265</v>
      </c>
      <c r="U21" s="372" t="n">
        <f aca="false">IF(AND($N21=1,$N28=1),AVERAGE(H21:H28),0)</f>
        <v>1.315</v>
      </c>
      <c r="V21" s="372" t="n">
        <f aca="false">IF(AND($N21=1,$N28=1),AVERAGE(I21:I28),0)</f>
        <v>1.315</v>
      </c>
      <c r="W21" s="372" t="n">
        <f aca="false">IF(AND($N21=1,$N28=1),AVERAGE(J21:J28),0)</f>
        <v>1.29375</v>
      </c>
      <c r="X21" s="372" t="n">
        <f aca="false">IF(AND($N21=1,$N28=1),AVERAGE(K21:K28),0)</f>
        <v>0.995</v>
      </c>
      <c r="Y21" s="372" t="n">
        <f aca="false">IF(AND($N21=1,$N28=1),AVERAGE(L21:L28),0)</f>
        <v>1.0825</v>
      </c>
      <c r="Z21" s="375" t="n">
        <f aca="false">IF(AND($N21=1,$N28=1),AVERAGE(M21:M28),0)</f>
        <v>1.02125</v>
      </c>
      <c r="AF21" s="352" t="n">
        <v>37073</v>
      </c>
      <c r="AG21" s="311" t="n">
        <v>21</v>
      </c>
      <c r="AH21" s="311" t="n">
        <v>4</v>
      </c>
      <c r="AI21" s="311" t="n">
        <v>6</v>
      </c>
      <c r="AJ21" s="311" t="n">
        <v>1</v>
      </c>
      <c r="AK21" s="311" t="n">
        <v>31</v>
      </c>
      <c r="AL21" s="311"/>
      <c r="AM21" s="336" t="s">
        <v>1357</v>
      </c>
      <c r="AN21" s="339" t="n">
        <v>4</v>
      </c>
      <c r="AO21" s="340" t="s">
        <v>1309</v>
      </c>
      <c r="AR21" s="357" t="n">
        <v>4</v>
      </c>
      <c r="AS21" s="358" t="s">
        <v>1335</v>
      </c>
      <c r="AT21" s="359"/>
      <c r="AV21" s="360" t="n">
        <v>3</v>
      </c>
      <c r="AW21" s="361" t="s">
        <v>1332</v>
      </c>
      <c r="AX21" s="362"/>
      <c r="AY21" s="362"/>
      <c r="AZ21" s="345"/>
      <c r="BA21" s="362"/>
      <c r="BD21" s="360" t="n">
        <v>3</v>
      </c>
      <c r="BE21" s="363" t="s">
        <v>1333</v>
      </c>
      <c r="BF21" s="362"/>
    </row>
    <row r="22" customFormat="false" ht="12.75" hidden="false" customHeight="false" outlineLevel="0" collapsed="false">
      <c r="A22" s="332" t="n">
        <v>1600</v>
      </c>
      <c r="B22" s="373" t="n">
        <f aca="false">'Power Curves'!AT36</f>
        <v>0.8</v>
      </c>
      <c r="C22" s="373" t="n">
        <f aca="false">'Power Curves'!AU36</f>
        <v>0.8</v>
      </c>
      <c r="D22" s="373" t="n">
        <f aca="false">'Power Curves'!AV36</f>
        <v>0.832369942196532</v>
      </c>
      <c r="E22" s="373" t="n">
        <f aca="false">'Power Curves'!AW36</f>
        <v>0.88</v>
      </c>
      <c r="F22" s="373" t="n">
        <f aca="false">'Power Curves'!AX36</f>
        <v>1.1</v>
      </c>
      <c r="G22" s="373" t="n">
        <f aca="false">'Power Curves'!AY36</f>
        <v>1.53</v>
      </c>
      <c r="H22" s="373" t="n">
        <f aca="false">'Power Curves'!AZ36</f>
        <v>1.63</v>
      </c>
      <c r="I22" s="373" t="n">
        <f aca="false">'Power Curves'!BA36</f>
        <v>1.63</v>
      </c>
      <c r="J22" s="373" t="n">
        <f aca="false">'Power Curves'!BB36</f>
        <v>1.43</v>
      </c>
      <c r="K22" s="373" t="n">
        <f aca="false">'Power Curves'!BC36</f>
        <v>0.88</v>
      </c>
      <c r="L22" s="373" t="n">
        <f aca="false">'Power Curves'!BD36</f>
        <v>0.7</v>
      </c>
      <c r="M22" s="373" t="n">
        <f aca="false">'Power Curves'!BE36</f>
        <v>0.74</v>
      </c>
      <c r="N22" s="374" t="n">
        <f aca="false">VALUE('Power Curves'!BF36)</f>
        <v>1</v>
      </c>
      <c r="O22" s="371" t="n">
        <f aca="false">IF(AND($N22=1,$N29=1),AVERAGE(B22:B29),0)</f>
        <v>0</v>
      </c>
      <c r="P22" s="372" t="n">
        <f aca="false">IF(AND($N22=1,$N29=1),AVERAGE(C22:C29),0)</f>
        <v>0</v>
      </c>
      <c r="Q22" s="372" t="n">
        <f aca="false">IF(AND($N22=1,$N29=1),AVERAGE(D22:D29),0)</f>
        <v>0</v>
      </c>
      <c r="R22" s="372" t="n">
        <f aca="false">IF(AND($N22=1,$N29=1),AVERAGE(E22:E29),0)</f>
        <v>0</v>
      </c>
      <c r="S22" s="372" t="n">
        <f aca="false">IF(AND($N22=1,$N29=1),AVERAGE(F22:F29),0)</f>
        <v>0</v>
      </c>
      <c r="T22" s="372" t="n">
        <f aca="false">IF(AND($N22=1,$N29=1),AVERAGE(G22:G29),0)</f>
        <v>0</v>
      </c>
      <c r="U22" s="372" t="n">
        <f aca="false">IF(AND($N22=1,$N29=1),AVERAGE(H22:H29),0)</f>
        <v>0</v>
      </c>
      <c r="V22" s="372" t="n">
        <f aca="false">IF(AND($N22=1,$N29=1),AVERAGE(I22:I29),0)</f>
        <v>0</v>
      </c>
      <c r="W22" s="372" t="n">
        <f aca="false">IF(AND($N22=1,$N29=1),AVERAGE(J22:J29),0)</f>
        <v>0</v>
      </c>
      <c r="X22" s="372" t="n">
        <f aca="false">IF(AND($N22=1,$N29=1),AVERAGE(K22:K29),0)</f>
        <v>0</v>
      </c>
      <c r="Y22" s="372" t="n">
        <f aca="false">IF(AND($N22=1,$N29=1),AVERAGE(L22:L29),0)</f>
        <v>0</v>
      </c>
      <c r="Z22" s="375" t="n">
        <f aca="false">IF(AND($N22=1,$N29=1),AVERAGE(M22:M29),0)</f>
        <v>0</v>
      </c>
      <c r="AF22" s="352" t="n">
        <v>37104</v>
      </c>
      <c r="AG22" s="311" t="n">
        <v>23</v>
      </c>
      <c r="AH22" s="311" t="n">
        <v>4</v>
      </c>
      <c r="AI22" s="311" t="n">
        <v>4</v>
      </c>
      <c r="AJ22" s="311" t="n">
        <v>0</v>
      </c>
      <c r="AK22" s="311" t="n">
        <v>31</v>
      </c>
      <c r="AL22" s="311"/>
      <c r="AM22" s="336"/>
      <c r="AN22" s="353" t="n">
        <v>1</v>
      </c>
      <c r="AO22" s="354" t="s">
        <v>1318</v>
      </c>
      <c r="AR22" s="357" t="n">
        <v>5</v>
      </c>
      <c r="AS22" s="358" t="s">
        <v>1337</v>
      </c>
      <c r="AT22" s="359"/>
      <c r="AY22" s="362"/>
      <c r="AZ22" s="345"/>
      <c r="BA22" s="362"/>
    </row>
    <row r="23" customFormat="false" ht="12.75" hidden="false" customHeight="false" outlineLevel="0" collapsed="false">
      <c r="A23" s="332" t="n">
        <v>1700</v>
      </c>
      <c r="B23" s="373" t="n">
        <f aca="false">'Power Curves'!AT37</f>
        <v>1</v>
      </c>
      <c r="C23" s="373" t="n">
        <f aca="false">'Power Curves'!AU37</f>
        <v>1</v>
      </c>
      <c r="D23" s="373" t="n">
        <f aca="false">'Power Curves'!AV37</f>
        <v>1.01734104046243</v>
      </c>
      <c r="E23" s="373" t="n">
        <f aca="false">'Power Curves'!AW37</f>
        <v>1.05</v>
      </c>
      <c r="F23" s="373" t="n">
        <f aca="false">'Power Curves'!AX37</f>
        <v>1.1</v>
      </c>
      <c r="G23" s="373" t="n">
        <f aca="false">'Power Curves'!AY37</f>
        <v>1.53</v>
      </c>
      <c r="H23" s="373" t="n">
        <f aca="false">'Power Curves'!AZ37</f>
        <v>1.63</v>
      </c>
      <c r="I23" s="373" t="n">
        <f aca="false">'Power Curves'!BA37</f>
        <v>1.63</v>
      </c>
      <c r="J23" s="373" t="n">
        <f aca="false">'Power Curves'!BB37</f>
        <v>1.55</v>
      </c>
      <c r="K23" s="373" t="n">
        <f aca="false">'Power Curves'!BC37</f>
        <v>1.05</v>
      </c>
      <c r="L23" s="373" t="n">
        <f aca="false">'Power Curves'!BD37</f>
        <v>1</v>
      </c>
      <c r="M23" s="373" t="n">
        <f aca="false">'Power Curves'!BE37</f>
        <v>1.12</v>
      </c>
      <c r="N23" s="374" t="n">
        <f aca="false">VALUE('Power Curves'!BF37)</f>
        <v>1</v>
      </c>
      <c r="O23" s="371" t="n">
        <f aca="false">IF(AND($N23=1,$N30=1),AVERAGE(B23:B30),0)</f>
        <v>0</v>
      </c>
      <c r="P23" s="372" t="n">
        <f aca="false">IF(AND($N23=1,$N30=1),AVERAGE(C23:C30),0)</f>
        <v>0</v>
      </c>
      <c r="Q23" s="372" t="n">
        <f aca="false">IF(AND($N23=1,$N30=1),AVERAGE(D23:D30),0)</f>
        <v>0</v>
      </c>
      <c r="R23" s="372" t="n">
        <f aca="false">IF(AND($N23=1,$N30=1),AVERAGE(E23:E30),0)</f>
        <v>0</v>
      </c>
      <c r="S23" s="372" t="n">
        <f aca="false">IF(AND($N23=1,$N30=1),AVERAGE(F23:F30),0)</f>
        <v>0</v>
      </c>
      <c r="T23" s="372" t="n">
        <f aca="false">IF(AND($N23=1,$N30=1),AVERAGE(G23:G30),0)</f>
        <v>0</v>
      </c>
      <c r="U23" s="372" t="n">
        <f aca="false">IF(AND($N23=1,$N30=1),AVERAGE(H23:H30),0)</f>
        <v>0</v>
      </c>
      <c r="V23" s="372" t="n">
        <f aca="false">IF(AND($N23=1,$N30=1),AVERAGE(I23:I30),0)</f>
        <v>0</v>
      </c>
      <c r="W23" s="372" t="n">
        <f aca="false">IF(AND($N23=1,$N30=1),AVERAGE(J23:J30),0)</f>
        <v>0</v>
      </c>
      <c r="X23" s="372" t="n">
        <f aca="false">IF(AND($N23=1,$N30=1),AVERAGE(K23:K30),0)</f>
        <v>0</v>
      </c>
      <c r="Y23" s="372" t="n">
        <f aca="false">IF(AND($N23=1,$N30=1),AVERAGE(L23:L30),0)</f>
        <v>0</v>
      </c>
      <c r="Z23" s="375" t="n">
        <f aca="false">IF(AND($N23=1,$N30=1),AVERAGE(M23:M30),0)</f>
        <v>0</v>
      </c>
      <c r="AF23" s="352" t="n">
        <v>37135</v>
      </c>
      <c r="AG23" s="311" t="n">
        <v>19</v>
      </c>
      <c r="AH23" s="311" t="n">
        <v>5</v>
      </c>
      <c r="AI23" s="311" t="n">
        <v>6</v>
      </c>
      <c r="AJ23" s="311" t="n">
        <v>1</v>
      </c>
      <c r="AK23" s="311" t="n">
        <v>30</v>
      </c>
      <c r="AL23" s="311"/>
      <c r="AM23" s="336"/>
      <c r="AN23" s="353" t="n">
        <v>2</v>
      </c>
      <c r="AO23" s="354" t="s">
        <v>1324</v>
      </c>
      <c r="AR23" s="357" t="n">
        <v>6</v>
      </c>
      <c r="AS23" s="358" t="s">
        <v>1341</v>
      </c>
      <c r="AT23" s="359"/>
      <c r="AY23" s="362"/>
      <c r="AZ23" s="345"/>
      <c r="BA23" s="362"/>
    </row>
    <row r="24" customFormat="false" ht="12.75" hidden="false" customHeight="false" outlineLevel="0" collapsed="false">
      <c r="A24" s="332" t="n">
        <v>1800</v>
      </c>
      <c r="B24" s="373" t="n">
        <f aca="false">'Power Curves'!AT38</f>
        <v>1.3</v>
      </c>
      <c r="C24" s="373" t="n">
        <f aca="false">'Power Curves'!AU38</f>
        <v>1.3</v>
      </c>
      <c r="D24" s="373" t="n">
        <f aca="false">'Power Curves'!AV38</f>
        <v>1.20231213872832</v>
      </c>
      <c r="E24" s="373" t="n">
        <f aca="false">'Power Curves'!AW38</f>
        <v>1.2</v>
      </c>
      <c r="F24" s="373" t="n">
        <f aca="false">'Power Curves'!AX38</f>
        <v>1.12</v>
      </c>
      <c r="G24" s="373" t="n">
        <f aca="false">'Power Curves'!AY38</f>
        <v>1.53</v>
      </c>
      <c r="H24" s="373" t="n">
        <f aca="false">'Power Curves'!AZ38</f>
        <v>1.63</v>
      </c>
      <c r="I24" s="373" t="n">
        <f aca="false">'Power Curves'!BA38</f>
        <v>1.63</v>
      </c>
      <c r="J24" s="373" t="n">
        <f aca="false">'Power Curves'!BB38</f>
        <v>1.5</v>
      </c>
      <c r="K24" s="373" t="n">
        <f aca="false">'Power Curves'!BC38</f>
        <v>1.2</v>
      </c>
      <c r="L24" s="373" t="n">
        <f aca="false">'Power Curves'!BD38</f>
        <v>1.255</v>
      </c>
      <c r="M24" s="373" t="n">
        <f aca="false">'Power Curves'!BE38</f>
        <v>1.35</v>
      </c>
      <c r="N24" s="374" t="n">
        <f aca="false">VALUE('Power Curves'!BF38)</f>
        <v>1</v>
      </c>
      <c r="O24" s="371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Z24" s="375"/>
      <c r="AF24" s="352" t="n">
        <v>37165</v>
      </c>
      <c r="AG24" s="311" t="n">
        <v>23</v>
      </c>
      <c r="AH24" s="311" t="n">
        <v>4</v>
      </c>
      <c r="AI24" s="311" t="n">
        <v>4</v>
      </c>
      <c r="AJ24" s="311" t="n">
        <v>0</v>
      </c>
      <c r="AK24" s="311" t="n">
        <v>31</v>
      </c>
      <c r="AL24" s="311"/>
      <c r="AM24" s="336"/>
      <c r="AN24" s="353" t="n">
        <v>3</v>
      </c>
      <c r="AO24" s="354" t="s">
        <v>1330</v>
      </c>
      <c r="AR24" s="357" t="n">
        <v>7</v>
      </c>
      <c r="AS24" s="359" t="s">
        <v>1342</v>
      </c>
      <c r="AY24" s="362"/>
      <c r="AZ24" s="345"/>
      <c r="BA24" s="362"/>
    </row>
    <row r="25" customFormat="false" ht="12.75" hidden="false" customHeight="false" outlineLevel="0" collapsed="false">
      <c r="A25" s="332" t="n">
        <v>1900</v>
      </c>
      <c r="B25" s="373" t="n">
        <f aca="false">'Power Curves'!AT39</f>
        <v>1.3</v>
      </c>
      <c r="C25" s="373" t="n">
        <f aca="false">'Power Curves'!AU39</f>
        <v>1.3</v>
      </c>
      <c r="D25" s="373" t="n">
        <f aca="false">'Power Curves'!AV39</f>
        <v>1.20231213872832</v>
      </c>
      <c r="E25" s="373" t="n">
        <f aca="false">'Power Curves'!AW39</f>
        <v>1.15</v>
      </c>
      <c r="F25" s="373" t="n">
        <f aca="false">'Power Curves'!AX39</f>
        <v>1.15</v>
      </c>
      <c r="G25" s="373" t="n">
        <f aca="false">'Power Curves'!AY39</f>
        <v>1.53</v>
      </c>
      <c r="H25" s="373" t="n">
        <f aca="false">'Power Curves'!AZ39</f>
        <v>1.63</v>
      </c>
      <c r="I25" s="373" t="n">
        <f aca="false">'Power Curves'!BA39</f>
        <v>1.63</v>
      </c>
      <c r="J25" s="373" t="n">
        <f aca="false">'Power Curves'!BB39</f>
        <v>1.45</v>
      </c>
      <c r="K25" s="373" t="n">
        <f aca="false">'Power Curves'!BC39</f>
        <v>1.15</v>
      </c>
      <c r="L25" s="373" t="n">
        <f aca="false">'Power Curves'!BD39</f>
        <v>1.54</v>
      </c>
      <c r="M25" s="373" t="n">
        <f aca="false">'Power Curves'!BE39</f>
        <v>1.35</v>
      </c>
      <c r="N25" s="374" t="n">
        <f aca="false">VALUE('Power Curves'!BF39)</f>
        <v>1</v>
      </c>
      <c r="O25" s="371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5"/>
      <c r="AF25" s="352" t="n">
        <v>37196</v>
      </c>
      <c r="AG25" s="311" t="n">
        <v>21</v>
      </c>
      <c r="AH25" s="311" t="n">
        <v>4</v>
      </c>
      <c r="AI25" s="311" t="n">
        <v>5</v>
      </c>
      <c r="AJ25" s="311" t="n">
        <v>1</v>
      </c>
      <c r="AK25" s="311" t="n">
        <v>30</v>
      </c>
      <c r="AL25" s="311"/>
      <c r="AM25" s="336"/>
      <c r="AN25" s="353" t="n">
        <v>4</v>
      </c>
      <c r="AO25" s="354" t="s">
        <v>1334</v>
      </c>
      <c r="AR25" s="357" t="n">
        <v>8</v>
      </c>
      <c r="AS25" s="358" t="s">
        <v>1344</v>
      </c>
      <c r="AT25" s="343"/>
      <c r="AY25" s="362"/>
      <c r="AZ25" s="345"/>
      <c r="BA25" s="362"/>
      <c r="BC25" s="328" t="s">
        <v>1358</v>
      </c>
      <c r="BD25" s="342" t="n">
        <v>1</v>
      </c>
      <c r="BE25" s="345" t="s">
        <v>1309</v>
      </c>
    </row>
    <row r="26" customFormat="false" ht="12.75" hidden="false" customHeight="false" outlineLevel="0" collapsed="false">
      <c r="A26" s="332" t="n">
        <v>2000</v>
      </c>
      <c r="B26" s="373" t="n">
        <f aca="false">'Power Curves'!AT40</f>
        <v>1.15</v>
      </c>
      <c r="C26" s="373" t="n">
        <f aca="false">'Power Curves'!AU40</f>
        <v>1.15</v>
      </c>
      <c r="D26" s="373" t="n">
        <f aca="false">'Power Curves'!AV40</f>
        <v>1.01734104046243</v>
      </c>
      <c r="E26" s="373" t="n">
        <f aca="false">'Power Curves'!AW40</f>
        <v>1.05</v>
      </c>
      <c r="F26" s="373" t="n">
        <f aca="false">'Power Curves'!AX40</f>
        <v>1.12</v>
      </c>
      <c r="G26" s="373" t="n">
        <f aca="false">'Power Curves'!AY40</f>
        <v>1.53</v>
      </c>
      <c r="H26" s="373" t="n">
        <f aca="false">'Power Curves'!AZ40</f>
        <v>1.63</v>
      </c>
      <c r="I26" s="373" t="n">
        <f aca="false">'Power Curves'!BA40</f>
        <v>1.63</v>
      </c>
      <c r="J26" s="373" t="n">
        <f aca="false">'Power Curves'!BB40</f>
        <v>1.35</v>
      </c>
      <c r="K26" s="373" t="n">
        <f aca="false">'Power Curves'!BC40</f>
        <v>1.05</v>
      </c>
      <c r="L26" s="373" t="n">
        <f aca="false">'Power Curves'!BD40</f>
        <v>1.54</v>
      </c>
      <c r="M26" s="373" t="n">
        <f aca="false">'Power Curves'!BE40</f>
        <v>1.21</v>
      </c>
      <c r="N26" s="374" t="n">
        <f aca="false">VALUE('Power Curves'!BF40)</f>
        <v>1</v>
      </c>
      <c r="O26" s="371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Z26" s="375"/>
      <c r="AF26" s="352" t="n">
        <v>37226</v>
      </c>
      <c r="AG26" s="311" t="n">
        <v>20</v>
      </c>
      <c r="AH26" s="311" t="n">
        <v>5</v>
      </c>
      <c r="AI26" s="311" t="n">
        <v>6</v>
      </c>
      <c r="AJ26" s="311" t="n">
        <v>1</v>
      </c>
      <c r="AK26" s="311" t="n">
        <v>31</v>
      </c>
      <c r="AL26" s="311"/>
      <c r="AM26" s="336"/>
      <c r="AR26" s="357" t="n">
        <v>9</v>
      </c>
      <c r="AS26" s="358" t="s">
        <v>1345</v>
      </c>
      <c r="AT26" s="359"/>
      <c r="AY26" s="362"/>
      <c r="AZ26" s="345"/>
      <c r="BA26" s="362"/>
      <c r="BD26" s="360" t="n">
        <v>1</v>
      </c>
      <c r="BE26" s="361" t="s">
        <v>1298</v>
      </c>
    </row>
    <row r="27" customFormat="false" ht="12.75" hidden="false" customHeight="false" outlineLevel="0" collapsed="false">
      <c r="A27" s="332" t="n">
        <v>2100</v>
      </c>
      <c r="B27" s="373" t="n">
        <f aca="false">'Power Curves'!AT41</f>
        <v>0.8</v>
      </c>
      <c r="C27" s="373" t="n">
        <f aca="false">'Power Curves'!AU41</f>
        <v>0.8</v>
      </c>
      <c r="D27" s="373" t="n">
        <f aca="false">'Power Curves'!AV41</f>
        <v>0.92485549132948</v>
      </c>
      <c r="E27" s="373" t="n">
        <f aca="false">'Power Curves'!AW41</f>
        <v>0.9</v>
      </c>
      <c r="F27" s="373" t="n">
        <f aca="false">'Power Curves'!AX41</f>
        <v>0.90282131661442</v>
      </c>
      <c r="G27" s="373" t="n">
        <f aca="false">'Power Curves'!AY41</f>
        <v>0.47</v>
      </c>
      <c r="H27" s="373" t="n">
        <f aca="false">'Power Curves'!AZ41</f>
        <v>0.37</v>
      </c>
      <c r="I27" s="373" t="n">
        <f aca="false">'Power Curves'!BA41</f>
        <v>0.37</v>
      </c>
      <c r="J27" s="373" t="n">
        <f aca="false">'Power Curves'!BB41</f>
        <v>1</v>
      </c>
      <c r="K27" s="373" t="n">
        <f aca="false">'Power Curves'!BC41</f>
        <v>0.9</v>
      </c>
      <c r="L27" s="373" t="n">
        <f aca="false">'Power Curves'!BD41</f>
        <v>1.205</v>
      </c>
      <c r="M27" s="373" t="n">
        <f aca="false">'Power Curves'!BE41</f>
        <v>0.95</v>
      </c>
      <c r="N27" s="374" t="n">
        <f aca="false">VALUE('Power Curves'!BF41)</f>
        <v>1</v>
      </c>
      <c r="O27" s="371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Z27" s="375"/>
      <c r="AF27" s="352" t="n">
        <v>37257</v>
      </c>
      <c r="AG27" s="311" t="n">
        <v>22</v>
      </c>
      <c r="AH27" s="311" t="n">
        <v>4</v>
      </c>
      <c r="AI27" s="311" t="n">
        <v>5</v>
      </c>
      <c r="AJ27" s="311" t="n">
        <v>1</v>
      </c>
      <c r="AK27" s="311" t="n">
        <v>31</v>
      </c>
      <c r="AL27" s="311"/>
      <c r="AM27" s="336"/>
      <c r="AR27" s="357" t="n">
        <v>10</v>
      </c>
      <c r="AS27" s="359" t="s">
        <v>1359</v>
      </c>
      <c r="AT27" s="359"/>
      <c r="AY27" s="362"/>
      <c r="AZ27" s="345"/>
      <c r="BA27" s="362"/>
      <c r="BD27" s="360" t="n">
        <v>2</v>
      </c>
      <c r="BE27" s="361" t="s">
        <v>1295</v>
      </c>
    </row>
    <row r="28" customFormat="false" ht="12.75" hidden="false" customHeight="false" outlineLevel="0" collapsed="false">
      <c r="A28" s="332" t="n">
        <v>2200</v>
      </c>
      <c r="B28" s="373" t="n">
        <f aca="false">'Power Curves'!AT42</f>
        <v>0.79</v>
      </c>
      <c r="C28" s="373" t="n">
        <f aca="false">'Power Curves'!AU42</f>
        <v>0.79</v>
      </c>
      <c r="D28" s="373" t="n">
        <f aca="false">'Power Curves'!AV42</f>
        <v>0.832369942196532</v>
      </c>
      <c r="E28" s="373" t="n">
        <f aca="false">'Power Curves'!AW42</f>
        <v>0.85</v>
      </c>
      <c r="F28" s="373" t="n">
        <f aca="false">'Power Curves'!AX42</f>
        <v>0.85</v>
      </c>
      <c r="G28" s="373" t="n">
        <f aca="false">'Power Curves'!AY42</f>
        <v>0.47</v>
      </c>
      <c r="H28" s="373" t="n">
        <f aca="false">'Power Curves'!AZ42</f>
        <v>0.37</v>
      </c>
      <c r="I28" s="373" t="n">
        <f aca="false">'Power Curves'!BA42</f>
        <v>0.37</v>
      </c>
      <c r="J28" s="373" t="n">
        <f aca="false">'Power Curves'!BB42</f>
        <v>0.69</v>
      </c>
      <c r="K28" s="373" t="n">
        <f aca="false">'Power Curves'!BC42</f>
        <v>0.85</v>
      </c>
      <c r="L28" s="373" t="n">
        <f aca="false">'Power Curves'!BD42</f>
        <v>0.72</v>
      </c>
      <c r="M28" s="373" t="n">
        <f aca="false">'Power Curves'!BE42</f>
        <v>0.72</v>
      </c>
      <c r="N28" s="374" t="n">
        <f aca="false">VALUE('Power Curves'!BF42)</f>
        <v>1</v>
      </c>
      <c r="O28" s="371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Z28" s="375"/>
      <c r="AF28" s="352" t="n">
        <v>37288</v>
      </c>
      <c r="AG28" s="311" t="n">
        <v>20</v>
      </c>
      <c r="AH28" s="311" t="n">
        <v>4</v>
      </c>
      <c r="AI28" s="311" t="n">
        <v>4</v>
      </c>
      <c r="AJ28" s="311" t="n">
        <v>0</v>
      </c>
      <c r="AK28" s="311" t="n">
        <v>28</v>
      </c>
      <c r="AL28" s="311"/>
      <c r="AM28" s="336"/>
      <c r="AR28" s="357"/>
      <c r="AS28" s="380"/>
      <c r="AT28" s="359"/>
      <c r="AY28" s="362"/>
      <c r="AZ28" s="345"/>
      <c r="BA28" s="362"/>
      <c r="BD28" s="345"/>
      <c r="BE28" s="362"/>
    </row>
    <row r="29" customFormat="false" ht="12.75" hidden="false" customHeight="false" outlineLevel="0" collapsed="false">
      <c r="A29" s="332" t="n">
        <v>2300</v>
      </c>
      <c r="B29" s="373" t="n">
        <f aca="false">'Power Curves'!AT43</f>
        <v>1.05</v>
      </c>
      <c r="C29" s="373" t="n">
        <f aca="false">'Power Curves'!AU43</f>
        <v>1.05</v>
      </c>
      <c r="D29" s="373" t="n">
        <f aca="false">'Power Curves'!AV43</f>
        <v>1.13942581548393</v>
      </c>
      <c r="E29" s="373" t="n">
        <f aca="false">'Power Curves'!AW43</f>
        <v>1.26515386305201</v>
      </c>
      <c r="F29" s="373" t="n">
        <f aca="false">'Power Curves'!AX43</f>
        <v>1.15</v>
      </c>
      <c r="G29" s="373" t="n">
        <f aca="false">'Power Curves'!AY43</f>
        <v>1.25</v>
      </c>
      <c r="H29" s="373" t="n">
        <f aca="false">'Power Curves'!AZ43</f>
        <v>1.29465582024753</v>
      </c>
      <c r="I29" s="373" t="n">
        <f aca="false">'Power Curves'!BA43</f>
        <v>1.29465582024753</v>
      </c>
      <c r="J29" s="373" t="n">
        <f aca="false">'Power Curves'!BB43</f>
        <v>1.25</v>
      </c>
      <c r="K29" s="373" t="n">
        <f aca="false">'Power Curves'!BC43</f>
        <v>1.26515386305201</v>
      </c>
      <c r="L29" s="373" t="n">
        <f aca="false">'Power Curves'!BD43</f>
        <v>1.11998824052749</v>
      </c>
      <c r="M29" s="373" t="n">
        <f aca="false">'Power Curves'!BE43</f>
        <v>1.11998824052749</v>
      </c>
      <c r="N29" s="374" t="n">
        <f aca="false">VALUE('Power Curves'!BF43)</f>
        <v>2</v>
      </c>
      <c r="O29" s="371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Z29" s="375"/>
      <c r="AF29" s="352" t="n">
        <v>37316</v>
      </c>
      <c r="AG29" s="311" t="n">
        <v>21</v>
      </c>
      <c r="AH29" s="311" t="n">
        <v>5</v>
      </c>
      <c r="AI29" s="311" t="n">
        <v>5</v>
      </c>
      <c r="AJ29" s="311" t="n">
        <v>0</v>
      </c>
      <c r="AK29" s="311" t="n">
        <v>31</v>
      </c>
      <c r="AL29" s="311"/>
      <c r="AM29" s="336"/>
      <c r="AR29" s="346"/>
      <c r="AS29" s="359"/>
      <c r="AT29" s="359"/>
      <c r="AY29" s="362"/>
      <c r="AZ29" s="345"/>
      <c r="BA29" s="362"/>
      <c r="BD29" s="342" t="n">
        <v>2</v>
      </c>
      <c r="BE29" s="345" t="s">
        <v>1309</v>
      </c>
    </row>
    <row r="30" customFormat="false" ht="12.75" hidden="false" customHeight="false" outlineLevel="0" collapsed="false">
      <c r="A30" s="332" t="n">
        <v>2400</v>
      </c>
      <c r="B30" s="373" t="n">
        <f aca="false">'Power Curves'!AT44</f>
        <v>0.95</v>
      </c>
      <c r="C30" s="373" t="n">
        <f aca="false">'Power Curves'!AU44</f>
        <v>0.95</v>
      </c>
      <c r="D30" s="373" t="n">
        <f aca="false">'Power Curves'!AV44</f>
        <v>1.06539539351647</v>
      </c>
      <c r="E30" s="373" t="n">
        <f aca="false">'Power Curves'!AW44</f>
        <v>1.15401118724704</v>
      </c>
      <c r="F30" s="373" t="n">
        <f aca="false">'Power Curves'!AX44</f>
        <v>0.958807332906934</v>
      </c>
      <c r="G30" s="373" t="n">
        <f aca="false">'Power Curves'!AY44</f>
        <v>1.21505912963884</v>
      </c>
      <c r="H30" s="373" t="n">
        <f aca="false">'Power Curves'!AZ44</f>
        <v>1.19131182078933</v>
      </c>
      <c r="I30" s="373" t="n">
        <f aca="false">'Power Curves'!BA44</f>
        <v>1.19131182078933</v>
      </c>
      <c r="J30" s="373" t="n">
        <f aca="false">'Power Curves'!BB44</f>
        <v>1.21505912963884</v>
      </c>
      <c r="K30" s="373" t="n">
        <f aca="false">'Power Curves'!BC44</f>
        <v>1.15401118724704</v>
      </c>
      <c r="L30" s="373" t="n">
        <f aca="false">'Power Curves'!BD44</f>
        <v>1.05392489132036</v>
      </c>
      <c r="M30" s="373" t="n">
        <f aca="false">'Power Curves'!BE44</f>
        <v>1.10392489132036</v>
      </c>
      <c r="N30" s="374" t="n">
        <f aca="false">VALUE('Power Curves'!BF44)</f>
        <v>2</v>
      </c>
      <c r="O30" s="371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Z30" s="375"/>
      <c r="AF30" s="352" t="n">
        <v>37347</v>
      </c>
      <c r="AG30" s="311" t="n">
        <v>22</v>
      </c>
      <c r="AH30" s="311" t="n">
        <v>4</v>
      </c>
      <c r="AI30" s="311" t="n">
        <v>4</v>
      </c>
      <c r="AJ30" s="311" t="n">
        <v>0</v>
      </c>
      <c r="AK30" s="311" t="n">
        <v>30</v>
      </c>
      <c r="AL30" s="311"/>
      <c r="AM30" s="336"/>
      <c r="AT30" s="359"/>
      <c r="AY30" s="362"/>
      <c r="AZ30" s="345"/>
      <c r="BA30" s="362"/>
      <c r="BD30" s="360" t="n">
        <v>1</v>
      </c>
      <c r="BE30" s="361" t="s">
        <v>1298</v>
      </c>
    </row>
    <row r="31" customFormat="false" ht="12.75" hidden="false" customHeight="false" outlineLevel="0" collapsed="false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71"/>
      <c r="P31" s="372"/>
      <c r="Q31" s="116"/>
      <c r="R31" s="116"/>
      <c r="S31" s="116"/>
      <c r="T31" s="116"/>
      <c r="U31" s="116"/>
      <c r="V31" s="116"/>
      <c r="W31" s="116"/>
      <c r="X31" s="116"/>
      <c r="Y31" s="116"/>
      <c r="Z31" s="295"/>
      <c r="AF31" s="352" t="n">
        <v>37377</v>
      </c>
      <c r="AG31" s="311" t="n">
        <v>22</v>
      </c>
      <c r="AH31" s="311" t="n">
        <v>4</v>
      </c>
      <c r="AI31" s="311" t="n">
        <v>5</v>
      </c>
      <c r="AJ31" s="311" t="n">
        <v>1</v>
      </c>
      <c r="AK31" s="311" t="n">
        <v>31</v>
      </c>
      <c r="AL31" s="311"/>
      <c r="AM31" s="336"/>
      <c r="AQ31" s="329" t="s">
        <v>1360</v>
      </c>
      <c r="AR31" s="342" t="n">
        <v>6</v>
      </c>
      <c r="AS31" s="343" t="s">
        <v>1311</v>
      </c>
      <c r="AT31" s="359"/>
      <c r="AY31" s="328" t="s">
        <v>1361</v>
      </c>
      <c r="AZ31" s="342" t="n">
        <v>2</v>
      </c>
      <c r="BA31" s="345" t="s">
        <v>1309</v>
      </c>
      <c r="BD31" s="360" t="n">
        <v>2</v>
      </c>
      <c r="BE31" s="361" t="s">
        <v>1295</v>
      </c>
    </row>
    <row r="32" customFormat="false" ht="12.75" hidden="false" customHeight="false" outlineLevel="0" collapsed="false">
      <c r="A32" s="381" t="s">
        <v>1290</v>
      </c>
      <c r="B32" s="382" t="n">
        <f aca="false">O32</f>
        <v>1.02007383501259</v>
      </c>
      <c r="C32" s="382" t="n">
        <f aca="false">P32</f>
        <v>1.02007383501259</v>
      </c>
      <c r="D32" s="382" t="n">
        <f aca="false">Q32</f>
        <v>1.0173448699422</v>
      </c>
      <c r="E32" s="382" t="n">
        <f aca="false">R32</f>
        <v>1.005</v>
      </c>
      <c r="F32" s="382" t="n">
        <f aca="false">S32</f>
        <v>1.075625</v>
      </c>
      <c r="G32" s="382" t="n">
        <f aca="false">T32</f>
        <v>1.53</v>
      </c>
      <c r="H32" s="382" t="n">
        <f aca="false">U32</f>
        <v>1.63</v>
      </c>
      <c r="I32" s="382" t="n">
        <f aca="false">V32</f>
        <v>1.63</v>
      </c>
      <c r="J32" s="382" t="n">
        <f aca="false">W32</f>
        <v>1.35125</v>
      </c>
      <c r="K32" s="382" t="n">
        <f aca="false">X32</f>
        <v>1.005</v>
      </c>
      <c r="L32" s="382" t="n">
        <f aca="false">Y32</f>
        <v>1.0825</v>
      </c>
      <c r="M32" s="382" t="n">
        <f aca="false">Z32</f>
        <v>1.02125</v>
      </c>
      <c r="N32" s="311"/>
      <c r="O32" s="383" t="n">
        <f aca="false">MAX(O7:O30)</f>
        <v>1.02007383501259</v>
      </c>
      <c r="P32" s="384" t="n">
        <f aca="false">MAX(P7:P30)</f>
        <v>1.02007383501259</v>
      </c>
      <c r="Q32" s="384" t="n">
        <f aca="false">MAX(Q7:Q30)</f>
        <v>1.0173448699422</v>
      </c>
      <c r="R32" s="384" t="n">
        <f aca="false">MAX(R7:R30)</f>
        <v>1.005</v>
      </c>
      <c r="S32" s="384" t="n">
        <f aca="false">MAX(S7:S30)</f>
        <v>1.075625</v>
      </c>
      <c r="T32" s="384" t="n">
        <f aca="false">MAX(T7:T30)</f>
        <v>1.53</v>
      </c>
      <c r="U32" s="384" t="n">
        <f aca="false">MAX(U7:U30)</f>
        <v>1.63</v>
      </c>
      <c r="V32" s="384" t="n">
        <f aca="false">MAX(V7:V30)</f>
        <v>1.63</v>
      </c>
      <c r="W32" s="384" t="n">
        <f aca="false">MAX(W7:W30)</f>
        <v>1.35125</v>
      </c>
      <c r="X32" s="384" t="n">
        <f aca="false">MAX(X7:X30)</f>
        <v>1.005</v>
      </c>
      <c r="Y32" s="384" t="n">
        <f aca="false">MAX(Y7:Y30)</f>
        <v>1.0825</v>
      </c>
      <c r="Z32" s="385" t="n">
        <f aca="false">MAX(Z7:Z30)</f>
        <v>1.02125</v>
      </c>
      <c r="AF32" s="352" t="n">
        <v>37408</v>
      </c>
      <c r="AG32" s="311" t="n">
        <v>20</v>
      </c>
      <c r="AH32" s="311" t="n">
        <v>5</v>
      </c>
      <c r="AI32" s="311" t="n">
        <v>5</v>
      </c>
      <c r="AJ32" s="311" t="n">
        <v>0</v>
      </c>
      <c r="AK32" s="311" t="n">
        <v>30</v>
      </c>
      <c r="AL32" s="311"/>
      <c r="AM32" s="336"/>
      <c r="AR32" s="357" t="n">
        <v>1</v>
      </c>
      <c r="AS32" s="358" t="s">
        <v>1319</v>
      </c>
      <c r="AT32" s="359"/>
      <c r="AY32" s="362"/>
      <c r="AZ32" s="360" t="n">
        <v>1</v>
      </c>
      <c r="BA32" s="361" t="s">
        <v>1362</v>
      </c>
      <c r="BD32" s="345"/>
      <c r="BE32" s="362"/>
    </row>
    <row r="33" customFormat="false" ht="12.75" hidden="false" customHeight="false" outlineLevel="0" collapsed="false">
      <c r="A33" s="386" t="s">
        <v>1363</v>
      </c>
      <c r="B33" s="387"/>
      <c r="C33" s="387"/>
      <c r="D33" s="387"/>
      <c r="E33" s="387"/>
      <c r="F33" s="387"/>
      <c r="G33" s="387"/>
      <c r="H33" s="387"/>
      <c r="I33" s="387"/>
      <c r="J33" s="250"/>
      <c r="AF33" s="352" t="n">
        <v>37438</v>
      </c>
      <c r="AG33" s="311" t="n">
        <v>22</v>
      </c>
      <c r="AH33" s="311" t="n">
        <v>4</v>
      </c>
      <c r="AI33" s="311" t="n">
        <v>5</v>
      </c>
      <c r="AJ33" s="311" t="n">
        <v>1</v>
      </c>
      <c r="AK33" s="311" t="n">
        <v>31</v>
      </c>
      <c r="AL33" s="311"/>
      <c r="AM33" s="336"/>
      <c r="AR33" s="357" t="n">
        <v>2</v>
      </c>
      <c r="AS33" s="358" t="s">
        <v>1325</v>
      </c>
      <c r="AT33" s="359"/>
      <c r="AY33" s="362"/>
      <c r="AZ33" s="360" t="n">
        <v>2</v>
      </c>
      <c r="BA33" s="361" t="s">
        <v>1364</v>
      </c>
      <c r="BD33" s="342" t="n">
        <v>1</v>
      </c>
      <c r="BE33" s="345" t="s">
        <v>1309</v>
      </c>
    </row>
    <row r="34" customFormat="false" ht="12.75" hidden="false" customHeight="false" outlineLevel="0" collapsed="false">
      <c r="A34" s="388" t="s">
        <v>1365</v>
      </c>
      <c r="E34" s="389"/>
      <c r="F34" s="189"/>
      <c r="G34" s="161"/>
      <c r="N34" s="390" t="s">
        <v>1366</v>
      </c>
      <c r="O34" s="391"/>
      <c r="P34" s="391"/>
      <c r="Q34" s="391"/>
      <c r="R34" s="391"/>
      <c r="S34" s="392"/>
      <c r="T34" s="392"/>
      <c r="U34" s="393"/>
      <c r="AF34" s="352" t="n">
        <v>37469</v>
      </c>
      <c r="AG34" s="311" t="n">
        <v>22</v>
      </c>
      <c r="AH34" s="311" t="n">
        <v>5</v>
      </c>
      <c r="AI34" s="311" t="n">
        <v>4</v>
      </c>
      <c r="AJ34" s="311" t="n">
        <v>0</v>
      </c>
      <c r="AK34" s="311" t="n">
        <v>31</v>
      </c>
      <c r="AL34" s="311"/>
      <c r="AM34" s="336"/>
      <c r="AR34" s="357" t="n">
        <v>3</v>
      </c>
      <c r="AS34" s="358" t="s">
        <v>1331</v>
      </c>
      <c r="AT34" s="359"/>
      <c r="AY34" s="362"/>
      <c r="AZ34" s="345"/>
      <c r="BA34" s="345"/>
      <c r="BD34" s="360" t="n">
        <v>1</v>
      </c>
      <c r="BE34" s="361" t="s">
        <v>1298</v>
      </c>
    </row>
    <row r="35" customFormat="false" ht="12.75" hidden="false" customHeight="false" outlineLevel="0" collapsed="false">
      <c r="B35" s="394" t="s">
        <v>1367</v>
      </c>
      <c r="C35" s="310"/>
      <c r="D35" s="312" t="s">
        <v>1368</v>
      </c>
      <c r="E35" s="394" t="s">
        <v>1369</v>
      </c>
      <c r="F35" s="312" t="s">
        <v>1370</v>
      </c>
      <c r="G35" s="394" t="s">
        <v>1371</v>
      </c>
      <c r="H35" s="312" t="s">
        <v>1372</v>
      </c>
      <c r="I35" s="394" t="s">
        <v>1373</v>
      </c>
      <c r="J35" s="394"/>
      <c r="K35" s="394"/>
      <c r="L35" s="394"/>
      <c r="N35" s="395" t="s">
        <v>1374</v>
      </c>
      <c r="O35" s="395" t="s">
        <v>1375</v>
      </c>
      <c r="P35" s="395" t="s">
        <v>1376</v>
      </c>
      <c r="Q35" s="395" t="s">
        <v>1373</v>
      </c>
      <c r="R35" s="395" t="s">
        <v>1377</v>
      </c>
      <c r="AF35" s="352" t="n">
        <v>37500</v>
      </c>
      <c r="AG35" s="311" t="n">
        <v>20</v>
      </c>
      <c r="AH35" s="311" t="n">
        <v>4</v>
      </c>
      <c r="AI35" s="311" t="n">
        <v>6</v>
      </c>
      <c r="AJ35" s="311" t="n">
        <v>1</v>
      </c>
      <c r="AK35" s="311" t="n">
        <v>30</v>
      </c>
      <c r="AR35" s="357" t="n">
        <v>4</v>
      </c>
      <c r="AS35" s="358" t="s">
        <v>1335</v>
      </c>
      <c r="AY35" s="328" t="s">
        <v>1378</v>
      </c>
      <c r="AZ35" s="342" t="n">
        <v>2</v>
      </c>
      <c r="BA35" s="345" t="s">
        <v>1309</v>
      </c>
      <c r="BD35" s="360" t="n">
        <v>2</v>
      </c>
      <c r="BE35" s="361" t="s">
        <v>1295</v>
      </c>
    </row>
    <row r="36" customFormat="false" ht="12.75" hidden="false" customHeight="false" outlineLevel="0" collapsed="false">
      <c r="A36" s="331" t="s">
        <v>1288</v>
      </c>
      <c r="B36" s="394" t="s">
        <v>1379</v>
      </c>
      <c r="C36" s="394" t="s">
        <v>1380</v>
      </c>
      <c r="D36" s="312" t="s">
        <v>1381</v>
      </c>
      <c r="E36" s="394" t="s">
        <v>1382</v>
      </c>
      <c r="F36" s="312" t="s">
        <v>1381</v>
      </c>
      <c r="G36" s="394" t="s">
        <v>1383</v>
      </c>
      <c r="H36" s="312" t="s">
        <v>1381</v>
      </c>
      <c r="I36" s="394" t="s">
        <v>1384</v>
      </c>
      <c r="J36" s="394"/>
      <c r="K36" s="394"/>
      <c r="L36" s="394"/>
      <c r="N36" s="395" t="s">
        <v>1381</v>
      </c>
      <c r="O36" s="395" t="s">
        <v>1381</v>
      </c>
      <c r="P36" s="395" t="s">
        <v>1381</v>
      </c>
      <c r="Q36" s="395" t="s">
        <v>1384</v>
      </c>
      <c r="R36" s="395" t="s">
        <v>1299</v>
      </c>
      <c r="AF36" s="352" t="n">
        <v>37530</v>
      </c>
      <c r="AG36" s="311" t="n">
        <v>23</v>
      </c>
      <c r="AH36" s="311" t="n">
        <v>4</v>
      </c>
      <c r="AI36" s="311" t="n">
        <v>4</v>
      </c>
      <c r="AJ36" s="311" t="n">
        <v>0</v>
      </c>
      <c r="AK36" s="311" t="n">
        <v>31</v>
      </c>
      <c r="AR36" s="357" t="n">
        <v>5</v>
      </c>
      <c r="AS36" s="358" t="s">
        <v>1337</v>
      </c>
      <c r="AT36" s="343"/>
      <c r="AY36" s="362"/>
      <c r="AZ36" s="360" t="n">
        <v>1</v>
      </c>
      <c r="BA36" s="361" t="s">
        <v>1362</v>
      </c>
      <c r="BD36" s="345"/>
      <c r="BE36" s="362"/>
    </row>
    <row r="37" customFormat="false" ht="12.75" hidden="false" customHeight="false" outlineLevel="0" collapsed="false">
      <c r="A37" s="352" t="n">
        <f aca="false">Option1!A4</f>
        <v>37257</v>
      </c>
      <c r="B37" s="396" t="n">
        <f aca="false">IF(A37="N/A"," ",N37*VLOOKUP(MONTH(A37),Curveadj,3))</f>
        <v>32.4166677565802</v>
      </c>
      <c r="C37" s="397" t="n">
        <f aca="false">IF(A37="N/A"," ",(IF(AND(Scaler1=1,MONTH(A37)&gt;=6,MONTH(A37)&lt;=8,OR($M$37="REGION 2",$M$37="REGION 2A",$M$37="REGION 2B",$M$37="REGION 3",$M$37="REGION 3A",$M$37="REGION 3B",$M$37="REGION 3C",$M$37="REGION 4",$M$37="REGION 4B",$M$37="REGION 4C",$M$37="REGION 5",$M$37="REGION 5A")),((0.059228/(B37/100))-(0.4980013/(SQRT(B37/100)))+2.137988),HLOOKUP(MONTH(A37),ScalarTable,28))))</f>
        <v>1.02007383501259</v>
      </c>
      <c r="D37" s="398" t="n">
        <f aca="false">IF(A37="N/A"," ",C37*B37)</f>
        <v>33.0673945967839</v>
      </c>
      <c r="E37" s="396" t="n">
        <f aca="false">IF(A37="N/A"," ",O37*VLOOKUP(MONTH(A37),Curveadj,3))</f>
        <v>29.320001373291</v>
      </c>
      <c r="F37" s="398" t="n">
        <f aca="false">IF(A37="N/A"," ",E37*C37)</f>
        <v>29.9085662434275</v>
      </c>
      <c r="G37" s="396" t="n">
        <f aca="false">IF(A37="N/A"," ",P37*VLOOKUP(MONTH(A37),Curveadj,3))</f>
        <v>19.820001373291</v>
      </c>
      <c r="H37" s="398" t="n">
        <f aca="false">IF(A37="N/A"," ",G37*C37)</f>
        <v>20.2178648108079</v>
      </c>
      <c r="I37" s="398" t="n">
        <f aca="false">IF(A37="N/A"," ",Q37)</f>
        <v>18.25</v>
      </c>
      <c r="J37" s="398"/>
      <c r="K37" s="399"/>
      <c r="L37" s="399"/>
      <c r="M37" s="400" t="str">
        <f aca="false">PositionRegion</f>
        <v>REGION 4</v>
      </c>
      <c r="N37" s="401" t="n">
        <f aca="false">IF(A37="N/A"," ",VLOOKUP(A37,PeakPowerCurves,(IF(BMO1=2,3,IF(BMO1=1,2,4))),FALSE()))</f>
        <v>32.4166677565802</v>
      </c>
      <c r="O37" s="401" t="n">
        <f aca="false">IF(A37="N/A"," ",VLOOKUP(A37,SatSunPeakPwr,(IF(BMO1=2,3,IF(BMO1=1,2,4))),FALSE()))</f>
        <v>29.320001373291</v>
      </c>
      <c r="P37" s="401" t="n">
        <f aca="false">IF(A37="N/A"," ",VLOOKUP(A37,SatSunPeakPwr,(IF(BMO1=2,7,IF(BMO1=1,6,8))),FALSE()))</f>
        <v>19.820001373291</v>
      </c>
      <c r="Q37" s="402" t="n">
        <f aca="false">IF(A37="N/A"," ",(VLOOKUP(A37,OPPowerPrices,(IF(BMO1=2,7,IF(BMO1=1,6,8))),FALSE())))</f>
        <v>18.25</v>
      </c>
      <c r="R37" s="403" t="e">
        <f aca="false">IF(A37="N/A"," ",(VLOOKUP($A37,IRTable,2)))</f>
        <v>#N/A</v>
      </c>
      <c r="AF37" s="352" t="n">
        <v>37561</v>
      </c>
      <c r="AG37" s="311" t="n">
        <v>20</v>
      </c>
      <c r="AH37" s="311" t="n">
        <v>5</v>
      </c>
      <c r="AI37" s="311" t="n">
        <v>5</v>
      </c>
      <c r="AJ37" s="311" t="n">
        <v>1</v>
      </c>
      <c r="AK37" s="311" t="n">
        <v>30</v>
      </c>
      <c r="AR37" s="357" t="n">
        <v>6</v>
      </c>
      <c r="AS37" s="358" t="s">
        <v>1341</v>
      </c>
      <c r="AT37" s="359"/>
      <c r="AY37" s="362"/>
      <c r="AZ37" s="360" t="n">
        <v>2</v>
      </c>
      <c r="BA37" s="361" t="s">
        <v>1364</v>
      </c>
      <c r="BD37" s="345"/>
      <c r="BE37" s="362"/>
    </row>
    <row r="38" customFormat="false" ht="12.75" hidden="false" customHeight="false" outlineLevel="0" collapsed="false">
      <c r="A38" s="352" t="n">
        <f aca="false">Option1!A5</f>
        <v>37288</v>
      </c>
      <c r="B38" s="396" t="n">
        <f aca="false">IF(A38="N/A"," ",N38*VLOOKUP(MONTH(A38),Curveadj,3))</f>
        <v>32.0666654677618</v>
      </c>
      <c r="C38" s="397" t="n">
        <f aca="false">IF(A38="N/A"," ",(IF(AND(Scaler1=1,MONTH(A38)&gt;=6,MONTH(A38)&lt;=8,OR($M$37="REGION 2",$M$37="REGION 2A",$M$37="REGION 2B",$M$37="REGION 3",$M$37="REGION 3A",$M$37="REGION 3B",$M$37="REGION 3C",$M$37="REGION 4",$M$37="REGION 4B",$M$37="REGION 4C",$M$37="REGION 5",$M$37="REGION 5A")),((0.059228/(B38/100))-(0.4980013/(SQRT(B38/100)))+2.137988),HLOOKUP(MONTH(A38),ScalarTable,28))))</f>
        <v>1.02007383501259</v>
      </c>
      <c r="D38" s="398" t="n">
        <f aca="false">IF(A38="N/A"," ",C38*B38)</f>
        <v>32.7103664197657</v>
      </c>
      <c r="E38" s="396" t="n">
        <f aca="false">IF(A38="N/A"," ",O38*VLOOKUP(MONTH(A38),Curveadj,3))</f>
        <v>26.9160012817383</v>
      </c>
      <c r="F38" s="398" t="n">
        <f aca="false">IF(A38="N/A"," ",E38*C38)</f>
        <v>27.4563086506667</v>
      </c>
      <c r="G38" s="396" t="n">
        <f aca="false">IF(A38="N/A"," ",P38*VLOOKUP(MONTH(A38),Curveadj,3))</f>
        <v>18.4165010070801</v>
      </c>
      <c r="H38" s="398" t="n">
        <f aca="false">IF(A38="N/A"," ",G38*C38)</f>
        <v>18.7861908098055</v>
      </c>
      <c r="I38" s="398" t="n">
        <f aca="false">IF(A38="N/A"," ",Q38)</f>
        <v>16.75</v>
      </c>
      <c r="J38" s="398"/>
      <c r="K38" s="399"/>
      <c r="L38" s="399"/>
      <c r="M38" s="404"/>
      <c r="N38" s="401" t="n">
        <f aca="false">IF(A38="N/A"," ",VLOOKUP(A38,PeakPowerCurves,(IF(BMO1=2,3,IF(BMO1=1,2,4))),FALSE()))</f>
        <v>32.0666654677618</v>
      </c>
      <c r="O38" s="401" t="n">
        <f aca="false">IF(A38="N/A"," ",VLOOKUP(A38,SatSunPeakPwr,(IF(BMO1=2,3,IF(BMO1=1,2,4))),FALSE()))</f>
        <v>26.9160012817383</v>
      </c>
      <c r="P38" s="401" t="n">
        <f aca="false">IF(A38="N/A"," ",VLOOKUP(A38,SatSunPeakPwr,(IF(BMO1=2,7,IF(BMO1=1,6,8))),FALSE()))</f>
        <v>18.4165010070801</v>
      </c>
      <c r="Q38" s="402" t="n">
        <f aca="false">IF(A38="N/A"," ",(VLOOKUP(A38,OPPowerPrices,(IF(BMO1=2,7,IF(BMO1=1,6,8))),FALSE())))</f>
        <v>16.75</v>
      </c>
      <c r="R38" s="403" t="e">
        <f aca="false">IF(A38="N/A"," ",(VLOOKUP($A38,IRTable,2)))</f>
        <v>#N/A</v>
      </c>
      <c r="AF38" s="352" t="n">
        <v>37591</v>
      </c>
      <c r="AG38" s="311" t="n">
        <v>21</v>
      </c>
      <c r="AH38" s="311" t="n">
        <v>4</v>
      </c>
      <c r="AI38" s="311" t="n">
        <v>6</v>
      </c>
      <c r="AJ38" s="311" t="n">
        <v>1</v>
      </c>
      <c r="AK38" s="311" t="n">
        <v>31</v>
      </c>
      <c r="AR38" s="357" t="n">
        <v>7</v>
      </c>
      <c r="AS38" s="359" t="s">
        <v>1342</v>
      </c>
      <c r="AT38" s="359"/>
      <c r="AY38" s="362"/>
      <c r="BD38" s="342" t="n">
        <v>1</v>
      </c>
      <c r="BE38" s="345" t="s">
        <v>1309</v>
      </c>
    </row>
    <row r="39" customFormat="false" ht="12.75" hidden="false" customHeight="false" outlineLevel="0" collapsed="false">
      <c r="A39" s="352" t="n">
        <f aca="false">Option1!A6</f>
        <v>37316</v>
      </c>
      <c r="B39" s="396" t="n">
        <f aca="false">IF(A39="N/A"," ",N39*VLOOKUP(MONTH(A39),Curveadj,3))</f>
        <v>31.0197670515194</v>
      </c>
      <c r="C39" s="397" t="n">
        <f aca="false">IF(A39="N/A"," ",(IF(AND(Scaler1=1,MONTH(A39)&gt;=6,MONTH(A39)&lt;=8,OR($M$37="REGION 2",$M$37="REGION 2A",$M$37="REGION 2B",$M$37="REGION 3",$M$37="REGION 3A",$M$37="REGION 3B",$M$37="REGION 3C",$M$37="REGION 4",$M$37="REGION 4B",$M$37="REGION 4C",$M$37="REGION 5",$M$37="REGION 5A")),((0.059228/(B39/100))-(0.4980013/(SQRT(B39/100)))+2.137988),HLOOKUP(MONTH(A39),ScalarTable,28))))</f>
        <v>1.0173448699422</v>
      </c>
      <c r="D39" s="398" t="n">
        <f aca="false">IF(A39="N/A"," ",C39*B39)</f>
        <v>31.5578008766652</v>
      </c>
      <c r="E39" s="396" t="n">
        <f aca="false">IF(A39="N/A"," ",O39*VLOOKUP(MONTH(A39),Curveadj,3))</f>
        <v>21.9199990844727</v>
      </c>
      <c r="F39" s="398" t="n">
        <f aca="false">IF(A39="N/A"," ",E39*C39)</f>
        <v>22.3001986177259</v>
      </c>
      <c r="G39" s="396" t="n">
        <f aca="false">IF(A39="N/A"," ",P39*VLOOKUP(MONTH(A39),Curveadj,3))</f>
        <v>16.4200009918213</v>
      </c>
      <c r="H39" s="398" t="n">
        <f aca="false">IF(A39="N/A"," ",G39*C39)</f>
        <v>16.7048037734752</v>
      </c>
      <c r="I39" s="398" t="n">
        <f aca="false">IF(A39="N/A"," ",Q39)</f>
        <v>17.75</v>
      </c>
      <c r="J39" s="398"/>
      <c r="K39" s="399"/>
      <c r="L39" s="399"/>
      <c r="M39" s="404"/>
      <c r="N39" s="401" t="n">
        <f aca="false">IF(A39="N/A"," ",VLOOKUP(A39,PeakPowerCurves,(IF(BMO1=2,3,IF(BMO1=1,2,4))),FALSE()))</f>
        <v>31.0197670515194</v>
      </c>
      <c r="O39" s="401" t="n">
        <f aca="false">IF(A39="N/A"," ",VLOOKUP(A39,SatSunPeakPwr,(IF(BMO1=2,3,IF(BMO1=1,2,4))),FALSE()))</f>
        <v>21.9199990844727</v>
      </c>
      <c r="P39" s="401" t="n">
        <f aca="false">IF(A39="N/A"," ",VLOOKUP(A39,SatSunPeakPwr,(IF(BMO1=2,7,IF(BMO1=1,6,8))),FALSE()))</f>
        <v>16.4200009918213</v>
      </c>
      <c r="Q39" s="402" t="n">
        <f aca="false">IF(A39="N/A"," ",(VLOOKUP(A39,OPPowerPrices,(IF(BMO1=2,7,IF(BMO1=1,6,8))),FALSE())))</f>
        <v>17.75</v>
      </c>
      <c r="R39" s="403" t="e">
        <f aca="false">IF(A39="N/A"," ",(VLOOKUP($A39,IRTable,2)))</f>
        <v>#N/A</v>
      </c>
      <c r="AF39" s="352" t="n">
        <v>37622</v>
      </c>
      <c r="AG39" s="311" t="n">
        <v>22</v>
      </c>
      <c r="AH39" s="311" t="n">
        <v>4</v>
      </c>
      <c r="AI39" s="311" t="n">
        <v>5</v>
      </c>
      <c r="AJ39" s="311" t="n">
        <v>1</v>
      </c>
      <c r="AK39" s="311" t="n">
        <v>31</v>
      </c>
      <c r="AR39" s="357" t="n">
        <v>8</v>
      </c>
      <c r="AS39" s="358" t="s">
        <v>1344</v>
      </c>
      <c r="AT39" s="359"/>
      <c r="AY39" s="328" t="s">
        <v>1385</v>
      </c>
      <c r="AZ39" s="342" t="n">
        <v>2</v>
      </c>
      <c r="BA39" s="345" t="s">
        <v>1309</v>
      </c>
      <c r="BD39" s="360" t="n">
        <v>1</v>
      </c>
      <c r="BE39" s="361" t="s">
        <v>1298</v>
      </c>
    </row>
    <row r="40" customFormat="false" ht="12.75" hidden="false" customHeight="false" outlineLevel="0" collapsed="false">
      <c r="A40" s="352" t="n">
        <f aca="false">Option1!A7</f>
        <v>37347</v>
      </c>
      <c r="B40" s="396" t="n">
        <f aca="false">IF(A40="N/A"," ",N40*VLOOKUP(MONTH(A40),Curveadj,3))</f>
        <v>31.4697678144588</v>
      </c>
      <c r="C40" s="397" t="n">
        <f aca="false">IF(A40="N/A"," ",(IF(AND(Scaler1=1,MONTH(A40)&gt;=6,MONTH(A40)&lt;=8,OR($M$37="REGION 2",$M$37="REGION 2A",$M$37="REGION 2B",$M$37="REGION 3",$M$37="REGION 3A",$M$37="REGION 3B",$M$37="REGION 3C",$M$37="REGION 4",$M$37="REGION 4B",$M$37="REGION 4C",$M$37="REGION 5",$M$37="REGION 5A")),((0.059228/(B40/100))-(0.4980013/(SQRT(B40/100)))+2.137988),HLOOKUP(MONTH(A40),ScalarTable,28))))</f>
        <v>1.005</v>
      </c>
      <c r="D40" s="398" t="n">
        <f aca="false">IF(A40="N/A"," ",C40*B40)</f>
        <v>31.6271166535311</v>
      </c>
      <c r="E40" s="396" t="n">
        <f aca="false">IF(A40="N/A"," ",O40*VLOOKUP(MONTH(A40),Curveadj,3))</f>
        <v>21.9199990844727</v>
      </c>
      <c r="F40" s="398" t="n">
        <f aca="false">IF(A40="N/A"," ",E40*C40)</f>
        <v>22.029599079895</v>
      </c>
      <c r="G40" s="396" t="n">
        <f aca="false">IF(A40="N/A"," ",P40*VLOOKUP(MONTH(A40),Curveadj,3))</f>
        <v>16.4150018310547</v>
      </c>
      <c r="H40" s="398" t="n">
        <f aca="false">IF(A40="N/A"," ",G40*C40)</f>
        <v>16.49707684021</v>
      </c>
      <c r="I40" s="398" t="n">
        <f aca="false">IF(A40="N/A"," ",Q40)</f>
        <v>15.7500009536743</v>
      </c>
      <c r="J40" s="398"/>
      <c r="K40" s="399"/>
      <c r="L40" s="399"/>
      <c r="M40" s="404"/>
      <c r="N40" s="401" t="n">
        <f aca="false">IF(A40="N/A"," ",VLOOKUP(A40,PeakPowerCurves,(IF(BMO1=2,3,IF(BMO1=1,2,4))),FALSE()))</f>
        <v>31.4697678144588</v>
      </c>
      <c r="O40" s="401" t="n">
        <f aca="false">IF(A40="N/A"," ",VLOOKUP(A40,SatSunPeakPwr,(IF(BMO1=2,3,IF(BMO1=1,2,4))),FALSE()))</f>
        <v>21.9199990844727</v>
      </c>
      <c r="P40" s="401" t="n">
        <f aca="false">IF(A40="N/A"," ",VLOOKUP(A40,SatSunPeakPwr,(IF(BMO1=2,7,IF(BMO1=1,6,8))),FALSE()))</f>
        <v>16.4150018310547</v>
      </c>
      <c r="Q40" s="402" t="n">
        <f aca="false">IF(A40="N/A"," ",(VLOOKUP(A40,OPPowerPrices,(IF(BMO1=2,7,IF(BMO1=1,6,8))),FALSE())))</f>
        <v>15.7500009536743</v>
      </c>
      <c r="R40" s="403" t="e">
        <f aca="false">IF(A40="N/A"," ",(VLOOKUP($A40,IRTable,2)))</f>
        <v>#N/A</v>
      </c>
      <c r="AF40" s="352" t="n">
        <v>37653</v>
      </c>
      <c r="AG40" s="311" t="n">
        <v>20</v>
      </c>
      <c r="AH40" s="311" t="n">
        <v>4</v>
      </c>
      <c r="AI40" s="311" t="n">
        <v>4</v>
      </c>
      <c r="AJ40" s="311" t="n">
        <v>0</v>
      </c>
      <c r="AK40" s="311" t="n">
        <v>28</v>
      </c>
      <c r="AR40" s="357" t="n">
        <v>9</v>
      </c>
      <c r="AS40" s="358" t="s">
        <v>1345</v>
      </c>
      <c r="AT40" s="359"/>
      <c r="AY40" s="362"/>
      <c r="AZ40" s="360" t="n">
        <v>1</v>
      </c>
      <c r="BA40" s="361" t="s">
        <v>1362</v>
      </c>
      <c r="BD40" s="360" t="n">
        <v>2</v>
      </c>
      <c r="BE40" s="361" t="s">
        <v>1295</v>
      </c>
    </row>
    <row r="41" customFormat="false" ht="12.75" hidden="false" customHeight="false" outlineLevel="0" collapsed="false">
      <c r="A41" s="352" t="n">
        <f aca="false">Option1!A8</f>
        <v>37377</v>
      </c>
      <c r="B41" s="396" t="n">
        <f aca="false">IF(A41="N/A"," ",N41*VLOOKUP(MONTH(A41),Curveadj,3))</f>
        <v>34.625</v>
      </c>
      <c r="C41" s="397" t="n">
        <f aca="false">IF(A41="N/A"," ",(IF(AND(Scaler1=1,MONTH(A41)&gt;=6,MONTH(A41)&lt;=8,OR($M$37="REGION 2",$M$37="REGION 2A",$M$37="REGION 2B",$M$37="REGION 3",$M$37="REGION 3A",$M$37="REGION 3B",$M$37="REGION 3C",$M$37="REGION 4",$M$37="REGION 4B",$M$37="REGION 4C",$M$37="REGION 5",$M$37="REGION 5A")),((0.059228/(B41/100))-(0.4980013/(SQRT(B41/100)))+2.137988),HLOOKUP(MONTH(A41),ScalarTable,28))))</f>
        <v>1.075625</v>
      </c>
      <c r="D41" s="398" t="n">
        <f aca="false">IF(A41="N/A"," ",C41*B41)</f>
        <v>37.243515625</v>
      </c>
      <c r="E41" s="396" t="n">
        <f aca="false">IF(A41="N/A"," ",O41*VLOOKUP(MONTH(A41),Curveadj,3))</f>
        <v>23.9199990844727</v>
      </c>
      <c r="F41" s="398" t="n">
        <f aca="false">IF(A41="N/A"," ",E41*C41)</f>
        <v>25.7289490152359</v>
      </c>
      <c r="G41" s="396" t="n">
        <f aca="false">IF(A41="N/A"," ",P41*VLOOKUP(MONTH(A41),Curveadj,3))</f>
        <v>17.4249982452393</v>
      </c>
      <c r="H41" s="398" t="n">
        <f aca="false">IF(A41="N/A"," ",G41*C41)</f>
        <v>18.7427637375355</v>
      </c>
      <c r="I41" s="398" t="n">
        <f aca="false">IF(A41="N/A"," ",Q41)</f>
        <v>17.75</v>
      </c>
      <c r="J41" s="398"/>
      <c r="K41" s="399"/>
      <c r="L41" s="399"/>
      <c r="M41" s="404"/>
      <c r="N41" s="401" t="n">
        <f aca="false">IF(A41="N/A"," ",VLOOKUP(A41,PeakPowerCurves,(IF(BMO1=2,3,IF(BMO1=1,2,4))),FALSE()))</f>
        <v>34.625</v>
      </c>
      <c r="O41" s="401" t="n">
        <f aca="false">IF(A41="N/A"," ",VLOOKUP(A41,SatSunPeakPwr,(IF(BMO1=2,3,IF(BMO1=1,2,4))),FALSE()))</f>
        <v>23.9199990844727</v>
      </c>
      <c r="P41" s="401" t="n">
        <f aca="false">IF(A41="N/A"," ",VLOOKUP(A41,SatSunPeakPwr,(IF(BMO1=2,7,IF(BMO1=1,6,8))),FALSE()))</f>
        <v>17.4249982452393</v>
      </c>
      <c r="Q41" s="402" t="n">
        <f aca="false">IF(A41="N/A"," ",(VLOOKUP(A41,OPPowerPrices,(IF(BMO1=2,7,IF(BMO1=1,6,8))),FALSE())))</f>
        <v>17.75</v>
      </c>
      <c r="R41" s="403" t="e">
        <f aca="false">IF(A41="N/A"," ",(VLOOKUP($A41,IRTable,2)))</f>
        <v>#N/A</v>
      </c>
      <c r="AF41" s="352" t="n">
        <v>37681</v>
      </c>
      <c r="AG41" s="311" t="n">
        <v>21</v>
      </c>
      <c r="AH41" s="311" t="n">
        <v>5</v>
      </c>
      <c r="AI41" s="311" t="n">
        <v>5</v>
      </c>
      <c r="AJ41" s="311" t="n">
        <v>0</v>
      </c>
      <c r="AK41" s="311" t="n">
        <v>31</v>
      </c>
      <c r="AR41" s="357" t="n">
        <v>10</v>
      </c>
      <c r="AS41" s="359" t="s">
        <v>1359</v>
      </c>
      <c r="AT41" s="359"/>
      <c r="AY41" s="362"/>
      <c r="AZ41" s="360" t="n">
        <v>2</v>
      </c>
      <c r="BA41" s="361" t="s">
        <v>1364</v>
      </c>
    </row>
    <row r="42" customFormat="false" ht="12.75" hidden="false" customHeight="false" outlineLevel="0" collapsed="false">
      <c r="A42" s="352" t="n">
        <f aca="false">Option1!A9</f>
        <v>37408</v>
      </c>
      <c r="B42" s="396" t="n">
        <f aca="false">IF(A42="N/A"," ",N42*VLOOKUP(MONTH(A42),Curveadj,3))</f>
        <v>44.75</v>
      </c>
      <c r="C42" s="397" t="n">
        <f aca="false">IF(A42="N/A"," ",(IF(AND(Scaler1=1,MONTH(A42)&gt;=6,MONTH(A42)&lt;=8,OR($M$37="REGION 2",$M$37="REGION 2A",$M$37="REGION 2B",$M$37="REGION 3",$M$37="REGION 3A",$M$37="REGION 3B",$M$37="REGION 3C",$M$37="REGION 4",$M$37="REGION 4B",$M$37="REGION 4C",$M$37="REGION 5",$M$37="REGION 5A")),((0.059228/(B42/100))-(0.4980013/(SQRT(B42/100)))+2.137988),HLOOKUP(MONTH(A42),ScalarTable,28))))</f>
        <v>1.53</v>
      </c>
      <c r="D42" s="398" t="n">
        <f aca="false">IF(A42="N/A"," ",C42*B42)</f>
        <v>68.4675</v>
      </c>
      <c r="E42" s="396" t="n">
        <f aca="false">IF(A42="N/A"," ",O42*VLOOKUP(MONTH(A42),Curveadj,3))</f>
        <v>30.9199990844727</v>
      </c>
      <c r="F42" s="398" t="n">
        <f aca="false">IF(A42="N/A"," ",E42*C42)</f>
        <v>47.3075985992432</v>
      </c>
      <c r="G42" s="396" t="n">
        <f aca="false">IF(A42="N/A"," ",P42*VLOOKUP(MONTH(A42),Curveadj,3))</f>
        <v>21.4199990844727</v>
      </c>
      <c r="H42" s="398" t="n">
        <f aca="false">IF(A42="N/A"," ",G42*C42)</f>
        <v>32.7725985992432</v>
      </c>
      <c r="I42" s="398" t="n">
        <f aca="false">IF(A42="N/A"," ",Q42)</f>
        <v>20.75</v>
      </c>
      <c r="J42" s="398"/>
      <c r="K42" s="399"/>
      <c r="L42" s="399"/>
      <c r="M42" s="404"/>
      <c r="N42" s="401" t="n">
        <f aca="false">IF(A42="N/A"," ",VLOOKUP(A42,PeakPowerCurves,(IF(BMO1=2,3,IF(BMO1=1,2,4))),FALSE()))</f>
        <v>44.75</v>
      </c>
      <c r="O42" s="401" t="n">
        <f aca="false">IF(A42="N/A"," ",VLOOKUP(A42,SatSunPeakPwr,(IF(BMO1=2,3,IF(BMO1=1,2,4))),FALSE()))</f>
        <v>30.9199990844727</v>
      </c>
      <c r="P42" s="401" t="n">
        <f aca="false">IF(A42="N/A"," ",VLOOKUP(A42,SatSunPeakPwr,(IF(BMO1=2,7,IF(BMO1=1,6,8))),FALSE()))</f>
        <v>21.4199990844727</v>
      </c>
      <c r="Q42" s="402" t="n">
        <f aca="false">IF(A42="N/A"," ",(VLOOKUP(A42,OPPowerPrices,(IF(BMO1=2,7,IF(BMO1=1,6,8))),FALSE())))</f>
        <v>20.75</v>
      </c>
      <c r="R42" s="403" t="e">
        <f aca="false">IF(A42="N/A"," ",(VLOOKUP($A42,IRTable,2)))</f>
        <v>#N/A</v>
      </c>
      <c r="AF42" s="352" t="n">
        <v>37712</v>
      </c>
      <c r="AG42" s="311" t="n">
        <v>22</v>
      </c>
      <c r="AH42" s="311" t="n">
        <v>4</v>
      </c>
      <c r="AI42" s="311" t="n">
        <v>4</v>
      </c>
      <c r="AJ42" s="311" t="n">
        <v>0</v>
      </c>
      <c r="AK42" s="311" t="n">
        <v>30</v>
      </c>
      <c r="AR42" s="357"/>
      <c r="AS42" s="380"/>
      <c r="AT42" s="359"/>
      <c r="AY42" s="345"/>
    </row>
    <row r="43" customFormat="false" ht="12.75" hidden="false" customHeight="false" outlineLevel="0" collapsed="false">
      <c r="A43" s="352" t="n">
        <f aca="false">Option1!A10</f>
        <v>37438</v>
      </c>
      <c r="B43" s="396" t="n">
        <f aca="false">IF(A43="N/A"," ",N43*VLOOKUP(MONTH(A43),Curveadj,3))</f>
        <v>62.25</v>
      </c>
      <c r="C43" s="397" t="n">
        <f aca="false">IF(A43="N/A"," ",(IF(AND(Scaler1=1,MONTH(A43)&gt;=6,MONTH(A43)&lt;=8,OR($M$37="REGION 2",$M$37="REGION 2A",$M$37="REGION 2B",$M$37="REGION 3",$M$37="REGION 3A",$M$37="REGION 3B",$M$37="REGION 3C",$M$37="REGION 4",$M$37="REGION 4B",$M$37="REGION 4C",$M$37="REGION 5",$M$37="REGION 5A")),((0.059228/(B43/100))-(0.4980013/(SQRT(B43/100)))+2.137988),HLOOKUP(MONTH(A43),ScalarTable,28))))</f>
        <v>1.63</v>
      </c>
      <c r="D43" s="398" t="n">
        <f aca="false">IF(A43="N/A"," ",C43*B43)</f>
        <v>101.4675</v>
      </c>
      <c r="E43" s="396" t="n">
        <f aca="false">IF(A43="N/A"," ",O43*VLOOKUP(MONTH(A43),Curveadj,3))</f>
        <v>36.9199990844727</v>
      </c>
      <c r="F43" s="398" t="n">
        <f aca="false">IF(A43="N/A"," ",E43*C43)</f>
        <v>60.1795985076904</v>
      </c>
      <c r="G43" s="396" t="n">
        <f aca="false">IF(A43="N/A"," ",P43*VLOOKUP(MONTH(A43),Curveadj,3))</f>
        <v>27.4199990844727</v>
      </c>
      <c r="H43" s="398" t="n">
        <f aca="false">IF(A43="N/A"," ",G43*C43)</f>
        <v>44.6945985076904</v>
      </c>
      <c r="I43" s="398" t="n">
        <f aca="false">IF(A43="N/A"," ",Q43)</f>
        <v>21.25</v>
      </c>
      <c r="J43" s="398"/>
      <c r="K43" s="399"/>
      <c r="L43" s="399"/>
      <c r="M43" s="404"/>
      <c r="N43" s="401" t="n">
        <f aca="false">IF(A43="N/A"," ",VLOOKUP(A43,PeakPowerCurves,(IF(BMO1=2,3,IF(BMO1=1,2,4))),FALSE()))</f>
        <v>62.25</v>
      </c>
      <c r="O43" s="401" t="n">
        <f aca="false">IF(A43="N/A"," ",VLOOKUP(A43,SatSunPeakPwr,(IF(BMO1=2,3,IF(BMO1=1,2,4))),FALSE()))</f>
        <v>36.9199990844727</v>
      </c>
      <c r="P43" s="401" t="n">
        <f aca="false">IF(A43="N/A"," ",VLOOKUP(A43,SatSunPeakPwr,(IF(BMO1=2,7,IF(BMO1=1,6,8))),FALSE()))</f>
        <v>27.4199990844727</v>
      </c>
      <c r="Q43" s="402" t="n">
        <f aca="false">IF(A43="N/A"," ",(VLOOKUP(A43,OPPowerPrices,(IF(BMO1=2,7,IF(BMO1=1,6,8))),FALSE())))</f>
        <v>21.25</v>
      </c>
      <c r="R43" s="403" t="e">
        <f aca="false">IF(A43="N/A"," ",(VLOOKUP($A43,IRTable,2)))</f>
        <v>#N/A</v>
      </c>
      <c r="AF43" s="352" t="n">
        <v>37742</v>
      </c>
      <c r="AG43" s="311" t="n">
        <v>21</v>
      </c>
      <c r="AH43" s="311" t="n">
        <v>5</v>
      </c>
      <c r="AI43" s="311" t="n">
        <v>5</v>
      </c>
      <c r="AJ43" s="311" t="n">
        <v>1</v>
      </c>
      <c r="AK43" s="311" t="n">
        <v>31</v>
      </c>
      <c r="AR43" s="346"/>
      <c r="AS43" s="359"/>
      <c r="AT43" s="359"/>
      <c r="AY43" s="328" t="s">
        <v>1386</v>
      </c>
      <c r="AZ43" s="342" t="n">
        <v>2</v>
      </c>
      <c r="BA43" s="345" t="s">
        <v>1309</v>
      </c>
    </row>
    <row r="44" customFormat="false" ht="12.75" hidden="false" customHeight="false" outlineLevel="0" collapsed="false">
      <c r="A44" s="352" t="n">
        <f aca="false">Option1!A11</f>
        <v>37469</v>
      </c>
      <c r="B44" s="396" t="n">
        <f aca="false">IF(A44="N/A"," ",N44*VLOOKUP(MONTH(A44),Curveadj,3))</f>
        <v>62.25</v>
      </c>
      <c r="C44" s="397" t="n">
        <f aca="false">IF(A44="N/A"," ",(IF(AND(Scaler1=1,MONTH(A44)&gt;=6,MONTH(A44)&lt;=8,OR($M$37="REGION 2",$M$37="REGION 2A",$M$37="REGION 2B",$M$37="REGION 3",$M$37="REGION 3A",$M$37="REGION 3B",$M$37="REGION 3C",$M$37="REGION 4",$M$37="REGION 4B",$M$37="REGION 4C",$M$37="REGION 5",$M$37="REGION 5A")),((0.059228/(B44/100))-(0.4980013/(SQRT(B44/100)))+2.137988),HLOOKUP(MONTH(A44),ScalarTable,28))))</f>
        <v>1.63</v>
      </c>
      <c r="D44" s="398" t="n">
        <f aca="false">IF(A44="N/A"," ",C44*B44)</f>
        <v>101.4675</v>
      </c>
      <c r="E44" s="396" t="n">
        <f aca="false">IF(A44="N/A"," ",O44*VLOOKUP(MONTH(A44),Curveadj,3))</f>
        <v>34.9200028991699</v>
      </c>
      <c r="F44" s="398" t="n">
        <f aca="false">IF(A44="N/A"," ",E44*C44)</f>
        <v>56.919604725647</v>
      </c>
      <c r="G44" s="396" t="n">
        <f aca="false">IF(A44="N/A"," ",P44*VLOOKUP(MONTH(A44),Curveadj,3))</f>
        <v>27.4199990844727</v>
      </c>
      <c r="H44" s="398" t="n">
        <f aca="false">IF(A44="N/A"," ",G44*C44)</f>
        <v>44.6945985076904</v>
      </c>
      <c r="I44" s="398" t="n">
        <f aca="false">IF(A44="N/A"," ",Q44)</f>
        <v>22.25</v>
      </c>
      <c r="J44" s="398"/>
      <c r="K44" s="399"/>
      <c r="L44" s="399"/>
      <c r="M44" s="404"/>
      <c r="N44" s="401" t="n">
        <f aca="false">IF(A44="N/A"," ",VLOOKUP(A44,PeakPowerCurves,(IF(BMO1=2,3,IF(BMO1=1,2,4))),FALSE()))</f>
        <v>62.25</v>
      </c>
      <c r="O44" s="401" t="n">
        <f aca="false">IF(A44="N/A"," ",VLOOKUP(A44,SatSunPeakPwr,(IF(BMO1=2,3,IF(BMO1=1,2,4))),FALSE()))</f>
        <v>34.9200028991699</v>
      </c>
      <c r="P44" s="401" t="n">
        <f aca="false">IF(A44="N/A"," ",VLOOKUP(A44,SatSunPeakPwr,(IF(BMO1=2,7,IF(BMO1=1,6,8))),FALSE()))</f>
        <v>27.4199990844727</v>
      </c>
      <c r="Q44" s="402" t="n">
        <f aca="false">IF(A44="N/A"," ",(VLOOKUP(A44,OPPowerPrices,(IF(BMO1=2,7,IF(BMO1=1,6,8))),FALSE())))</f>
        <v>22.25</v>
      </c>
      <c r="R44" s="403" t="e">
        <f aca="false">IF(A44="N/A"," ",(VLOOKUP($A44,IRTable,2)))</f>
        <v>#N/A</v>
      </c>
      <c r="AF44" s="352" t="n">
        <v>37773</v>
      </c>
      <c r="AG44" s="311" t="n">
        <v>21</v>
      </c>
      <c r="AH44" s="311" t="n">
        <v>4</v>
      </c>
      <c r="AI44" s="311" t="n">
        <v>5</v>
      </c>
      <c r="AJ44" s="311" t="n">
        <v>0</v>
      </c>
      <c r="AK44" s="311" t="n">
        <v>30</v>
      </c>
      <c r="AT44" s="359"/>
      <c r="AY44" s="362"/>
      <c r="AZ44" s="360" t="n">
        <v>1</v>
      </c>
      <c r="BA44" s="361" t="s">
        <v>1362</v>
      </c>
    </row>
    <row r="45" customFormat="false" ht="12.75" hidden="false" customHeight="false" outlineLevel="0" collapsed="false">
      <c r="A45" s="405" t="n">
        <f aca="false">Option1!A12</f>
        <v>37500</v>
      </c>
      <c r="B45" s="396" t="n">
        <f aca="false">IF(A45="N/A"," ",N45*VLOOKUP(MONTH(A45),Curveadj,3))</f>
        <v>29.25</v>
      </c>
      <c r="C45" s="397" t="n">
        <f aca="false">IF(A45="N/A"," ",(IF(AND(Scaler1=1,MONTH(A45)&gt;=6,MONTH(A45)&lt;=8,OR($M$37="REGION 2",$M$37="REGION 2A",$M$37="REGION 2B",$M$37="REGION 3",$M$37="REGION 3A",$M$37="REGION 3B",$M$37="REGION 3C",$M$37="REGION 4",$M$37="REGION 4B",$M$37="REGION 4C",$M$37="REGION 5",$M$37="REGION 5A")),((0.059228/(B45/100))-(0.4980013/(SQRT(B45/100)))+2.137988),HLOOKUP(MONTH(A45),ScalarTable,28))))</f>
        <v>1.35125</v>
      </c>
      <c r="D45" s="398" t="n">
        <f aca="false">IF(A45="N/A"," ",C45*B45)</f>
        <v>39.5240625</v>
      </c>
      <c r="E45" s="396" t="n">
        <f aca="false">IF(A45="N/A"," ",O45*VLOOKUP(MONTH(A45),Curveadj,3))</f>
        <v>26.9199990844727</v>
      </c>
      <c r="F45" s="398" t="n">
        <f aca="false">IF(A45="N/A"," ",E45*C45)</f>
        <v>36.3756487628937</v>
      </c>
      <c r="G45" s="396" t="n">
        <f aca="false">IF(A45="N/A"," ",P45*VLOOKUP(MONTH(A45),Curveadj,3))</f>
        <v>21.4199990844727</v>
      </c>
      <c r="H45" s="398" t="n">
        <f aca="false">IF(A45="N/A"," ",G45*C45)</f>
        <v>28.9437737628937</v>
      </c>
      <c r="I45" s="398" t="n">
        <f aca="false">IF(A45="N/A"," ",Q45)</f>
        <v>16.25</v>
      </c>
      <c r="J45" s="398"/>
      <c r="K45" s="399"/>
      <c r="L45" s="399"/>
      <c r="M45" s="404"/>
      <c r="N45" s="401" t="n">
        <f aca="false">IF(A45="N/A"," ",VLOOKUP(A45,PeakPowerCurves,(IF(BMO1=2,3,IF(BMO1=1,2,4))),FALSE()))</f>
        <v>29.25</v>
      </c>
      <c r="O45" s="401" t="n">
        <f aca="false">IF(A45="N/A"," ",VLOOKUP(A45,SatSunPeakPwr,(IF(BMO1=2,3,IF(BMO1=1,2,4))),FALSE()))</f>
        <v>26.9199990844727</v>
      </c>
      <c r="P45" s="401" t="n">
        <f aca="false">IF(A45="N/A"," ",VLOOKUP(A45,SatSunPeakPwr,(IF(BMO1=2,7,IF(BMO1=1,6,8))),FALSE()))</f>
        <v>21.4199990844727</v>
      </c>
      <c r="Q45" s="402" t="n">
        <f aca="false">IF(A45="N/A"," ",(VLOOKUP(A45,OPPowerPrices,(IF(BMO1=2,7,IF(BMO1=1,6,8))),FALSE())))</f>
        <v>16.25</v>
      </c>
      <c r="R45" s="403" t="e">
        <f aca="false">IF(A45="N/A"," ",(VLOOKUP($A45,IRTable,2)))</f>
        <v>#N/A</v>
      </c>
      <c r="AF45" s="352" t="n">
        <v>37803</v>
      </c>
      <c r="AG45" s="311" t="n">
        <v>22</v>
      </c>
      <c r="AH45" s="311" t="n">
        <v>4</v>
      </c>
      <c r="AI45" s="311" t="n">
        <v>5</v>
      </c>
      <c r="AJ45" s="311" t="n">
        <v>1</v>
      </c>
      <c r="AK45" s="311" t="n">
        <v>31</v>
      </c>
      <c r="AQ45" s="329" t="s">
        <v>1387</v>
      </c>
      <c r="AR45" s="342" t="n">
        <v>1</v>
      </c>
      <c r="AS45" s="343" t="s">
        <v>1311</v>
      </c>
      <c r="AT45" s="359"/>
      <c r="AY45" s="362"/>
      <c r="AZ45" s="360" t="n">
        <v>2</v>
      </c>
      <c r="BA45" s="361" t="s">
        <v>1364</v>
      </c>
    </row>
    <row r="46" customFormat="false" ht="12.75" hidden="false" customHeight="false" outlineLevel="0" collapsed="false">
      <c r="A46" s="405" t="n">
        <f aca="false">Option1!A13</f>
        <v>37530</v>
      </c>
      <c r="B46" s="396" t="n">
        <f aca="false">IF(A46="N/A"," ",N46*VLOOKUP(MONTH(A46),Curveadj,3))</f>
        <v>29.5562492907047</v>
      </c>
      <c r="C46" s="397" t="n">
        <f aca="false">IF(A46="N/A"," ",(IF(AND(Scaler1=1,MONTH(A46)&gt;=6,MONTH(A46)&lt;=8,OR($M$37="REGION 2",$M$37="REGION 2A",$M$37="REGION 2B",$M$37="REGION 3",$M$37="REGION 3A",$M$37="REGION 3B",$M$37="REGION 3C",$M$37="REGION 4",$M$37="REGION 4B",$M$37="REGION 4C",$M$37="REGION 5",$M$37="REGION 5A")),((0.059228/(B46/100))-(0.4980013/(SQRT(B46/100)))+2.137988),HLOOKUP(MONTH(A46),ScalarTable,28))))</f>
        <v>1.005</v>
      </c>
      <c r="D46" s="398" t="n">
        <f aca="false">IF(A46="N/A"," ",C46*B46)</f>
        <v>29.7040305371582</v>
      </c>
      <c r="E46" s="396" t="n">
        <f aca="false">IF(A46="N/A"," ",O46*VLOOKUP(MONTH(A46),Curveadj,3))</f>
        <v>21.9159993743897</v>
      </c>
      <c r="F46" s="398" t="n">
        <f aca="false">IF(A46="N/A"," ",E46*C46)</f>
        <v>22.0255793712616</v>
      </c>
      <c r="G46" s="396" t="n">
        <f aca="false">IF(A46="N/A"," ",P46*VLOOKUP(MONTH(A46),Curveadj,3))</f>
        <v>16.4165010070801</v>
      </c>
      <c r="H46" s="398" t="n">
        <f aca="false">IF(A46="N/A"," ",G46*C46)</f>
        <v>16.4985835121155</v>
      </c>
      <c r="I46" s="398" t="n">
        <f aca="false">IF(A46="N/A"," ",Q46)</f>
        <v>15.750002861023</v>
      </c>
      <c r="J46" s="398"/>
      <c r="K46" s="399"/>
      <c r="L46" s="399"/>
      <c r="M46" s="404"/>
      <c r="N46" s="401" t="n">
        <f aca="false">IF(A46="N/A"," ",VLOOKUP(A46,PeakPowerCurves,(IF(BMO1=2,3,IF(BMO1=1,2,4))),FALSE()))</f>
        <v>29.5562492907047</v>
      </c>
      <c r="O46" s="401" t="n">
        <f aca="false">IF(A46="N/A"," ",VLOOKUP(A46,SatSunPeakPwr,(IF(BMO1=2,3,IF(BMO1=1,2,4))),FALSE()))</f>
        <v>21.9159993743897</v>
      </c>
      <c r="P46" s="401" t="n">
        <f aca="false">IF(A46="N/A"," ",VLOOKUP(A46,SatSunPeakPwr,(IF(BMO1=2,7,IF(BMO1=1,6,8))),FALSE()))</f>
        <v>16.4165010070801</v>
      </c>
      <c r="Q46" s="402" t="n">
        <f aca="false">IF(A46="N/A"," ",(VLOOKUP(A46,OPPowerPrices,(IF(BMO1=2,7,IF(BMO1=1,6,8))),FALSE())))</f>
        <v>15.750002861023</v>
      </c>
      <c r="R46" s="403" t="e">
        <f aca="false">IF(A46="N/A"," ",(VLOOKUP($A46,IRTable,2)))</f>
        <v>#N/A</v>
      </c>
      <c r="AF46" s="352" t="n">
        <v>37834</v>
      </c>
      <c r="AG46" s="311" t="n">
        <v>21</v>
      </c>
      <c r="AH46" s="311" t="n">
        <v>5</v>
      </c>
      <c r="AI46" s="311" t="n">
        <v>5</v>
      </c>
      <c r="AJ46" s="311" t="n">
        <v>0</v>
      </c>
      <c r="AK46" s="311" t="n">
        <v>31</v>
      </c>
      <c r="AR46" s="357" t="n">
        <v>1</v>
      </c>
      <c r="AS46" s="358" t="s">
        <v>1319</v>
      </c>
      <c r="AU46" s="406"/>
    </row>
    <row r="47" customFormat="false" ht="12.75" hidden="false" customHeight="false" outlineLevel="0" collapsed="false">
      <c r="A47" s="405" t="n">
        <f aca="false">Option1!A14</f>
        <v>37561</v>
      </c>
      <c r="B47" s="396" t="n">
        <f aca="false">IF(A47="N/A"," ",N47*VLOOKUP(MONTH(A47),Curveadj,3))</f>
        <v>29.7562519609928</v>
      </c>
      <c r="C47" s="397" t="n">
        <f aca="false">IF(A47="N/A"," ",(IF(AND(Scaler1=1,MONTH(A47)&gt;=6,MONTH(A47)&lt;=8,OR($M$37="REGION 2",$M$37="REGION 2A",$M$37="REGION 2B",$M$37="REGION 3",$M$37="REGION 3A",$M$37="REGION 3B",$M$37="REGION 3C",$M$37="REGION 4",$M$37="REGION 4B",$M$37="REGION 4C",$M$37="REGION 5",$M$37="REGION 5A")),((0.059228/(B47/100))-(0.4980013/(SQRT(B47/100)))+2.137988),HLOOKUP(MONTH(A47),ScalarTable,28))))</f>
        <v>1.0825</v>
      </c>
      <c r="D47" s="398" t="n">
        <f aca="false">IF(A47="N/A"," ",C47*B47)</f>
        <v>32.2111427477747</v>
      </c>
      <c r="E47" s="396" t="n">
        <f aca="false">IF(A47="N/A"," ",O47*VLOOKUP(MONTH(A47),Curveadj,3))</f>
        <v>23.9199990844727</v>
      </c>
      <c r="F47" s="398" t="n">
        <f aca="false">IF(A47="N/A"," ",E47*C47)</f>
        <v>25.8933990089417</v>
      </c>
      <c r="G47" s="396" t="n">
        <f aca="false">IF(A47="N/A"," ",P47*VLOOKUP(MONTH(A47),Curveadj,3))</f>
        <v>16.4200009918213</v>
      </c>
      <c r="H47" s="398" t="n">
        <f aca="false">IF(A47="N/A"," ",G47*C47)</f>
        <v>17.7746510736465</v>
      </c>
      <c r="I47" s="398" t="n">
        <f aca="false">IF(A47="N/A"," ",Q47)</f>
        <v>16.75</v>
      </c>
      <c r="J47" s="398"/>
      <c r="K47" s="399"/>
      <c r="L47" s="399"/>
      <c r="M47" s="404"/>
      <c r="N47" s="401" t="n">
        <f aca="false">IF(A47="N/A"," ",VLOOKUP(A47,PeakPowerCurves,(IF(BMO1=2,3,IF(BMO1=1,2,4))),FALSE()))</f>
        <v>29.7562519609928</v>
      </c>
      <c r="O47" s="401" t="n">
        <f aca="false">IF(A47="N/A"," ",VLOOKUP(A47,SatSunPeakPwr,(IF(BMO1=2,3,IF(BMO1=1,2,4))),FALSE()))</f>
        <v>23.9199990844727</v>
      </c>
      <c r="P47" s="401" t="n">
        <f aca="false">IF(A47="N/A"," ",VLOOKUP(A47,SatSunPeakPwr,(IF(BMO1=2,7,IF(BMO1=1,6,8))),FALSE()))</f>
        <v>16.4200009918213</v>
      </c>
      <c r="Q47" s="402" t="n">
        <f aca="false">IF(A47="N/A"," ",(VLOOKUP(A47,OPPowerPrices,(IF(BMO1=2,7,IF(BMO1=1,6,8))),FALSE())))</f>
        <v>16.75</v>
      </c>
      <c r="R47" s="403" t="e">
        <f aca="false">IF(A47="N/A"," ",(VLOOKUP($A47,IRTable,2)))</f>
        <v>#N/A</v>
      </c>
      <c r="AF47" s="352" t="n">
        <v>37865</v>
      </c>
      <c r="AG47" s="311" t="n">
        <v>21</v>
      </c>
      <c r="AH47" s="311" t="n">
        <v>4</v>
      </c>
      <c r="AI47" s="311" t="n">
        <v>5</v>
      </c>
      <c r="AJ47" s="311" t="n">
        <v>1</v>
      </c>
      <c r="AK47" s="311" t="n">
        <v>30</v>
      </c>
      <c r="AR47" s="357" t="n">
        <v>2</v>
      </c>
      <c r="AS47" s="358" t="s">
        <v>1325</v>
      </c>
      <c r="AU47" s="406"/>
    </row>
    <row r="48" customFormat="false" ht="12.75" hidden="false" customHeight="false" outlineLevel="0" collapsed="false">
      <c r="A48" s="405" t="n">
        <f aca="false">Option1!A15</f>
        <v>37591</v>
      </c>
      <c r="B48" s="396" t="n">
        <f aca="false">IF(A48="N/A"," ",N48*VLOOKUP(MONTH(A48),Curveadj,3))</f>
        <v>29.956248909235</v>
      </c>
      <c r="C48" s="397" t="n">
        <f aca="false">IF(A48="N/A"," ",(IF(AND(Scaler1=1,MONTH(A48)&gt;=6,MONTH(A48)&lt;=8,OR($M$37="REGION 2",$M$37="REGION 2A",$M$37="REGION 2B",$M$37="REGION 3",$M$37="REGION 3A",$M$37="REGION 3B",$M$37="REGION 3C",$M$37="REGION 4",$M$37="REGION 4B",$M$37="REGION 4C",$M$37="REGION 5",$M$37="REGION 5A")),((0.059228/(B48/100))-(0.4980013/(SQRT(B48/100)))+2.137988),HLOOKUP(MONTH(A48),ScalarTable,28))))</f>
        <v>1.02125</v>
      </c>
      <c r="D48" s="398" t="n">
        <f aca="false">IF(A48="N/A"," ",C48*B48)</f>
        <v>30.5928191985562</v>
      </c>
      <c r="E48" s="396" t="n">
        <f aca="false">IF(A48="N/A"," ",O48*VLOOKUP(MONTH(A48),Curveadj,3))</f>
        <v>28.9199990844727</v>
      </c>
      <c r="F48" s="398" t="n">
        <f aca="false">IF(A48="N/A"," ",E48*C48)</f>
        <v>29.5345490650177</v>
      </c>
      <c r="G48" s="396" t="n">
        <f aca="false">IF(A48="N/A"," ",P48*VLOOKUP(MONTH(A48),Curveadj,3))</f>
        <v>23.4199990844727</v>
      </c>
      <c r="H48" s="398" t="n">
        <f aca="false">IF(A48="N/A"," ",G48*C48)</f>
        <v>23.9176740650177</v>
      </c>
      <c r="I48" s="398" t="n">
        <f aca="false">IF(A48="N/A"," ",Q48)</f>
        <v>19</v>
      </c>
      <c r="J48" s="398"/>
      <c r="K48" s="399"/>
      <c r="L48" s="399"/>
      <c r="M48" s="404"/>
      <c r="N48" s="401" t="n">
        <f aca="false">IF(A48="N/A"," ",VLOOKUP(A48,PeakPowerCurves,(IF(BMO1=2,3,IF(BMO1=1,2,4))),FALSE()))</f>
        <v>29.956248909235</v>
      </c>
      <c r="O48" s="401" t="n">
        <f aca="false">IF(A48="N/A"," ",VLOOKUP(A48,SatSunPeakPwr,(IF(BMO1=2,3,IF(BMO1=1,2,4))),FALSE()))</f>
        <v>28.9199990844727</v>
      </c>
      <c r="P48" s="401" t="n">
        <f aca="false">IF(A48="N/A"," ",VLOOKUP(A48,SatSunPeakPwr,(IF(BMO1=2,7,IF(BMO1=1,6,8))),FALSE()))</f>
        <v>23.4199990844727</v>
      </c>
      <c r="Q48" s="402" t="n">
        <f aca="false">IF(A48="N/A"," ",(VLOOKUP(A48,OPPowerPrices,(IF(BMO1=2,7,IF(BMO1=1,6,8))),FALSE())))</f>
        <v>19</v>
      </c>
      <c r="R48" s="403" t="e">
        <f aca="false">IF(A48="N/A"," ",(VLOOKUP($A48,IRTable,2)))</f>
        <v>#N/A</v>
      </c>
      <c r="AF48" s="352" t="n">
        <v>37895</v>
      </c>
      <c r="AG48" s="311" t="n">
        <v>23</v>
      </c>
      <c r="AH48" s="311" t="n">
        <v>4</v>
      </c>
      <c r="AI48" s="311" t="n">
        <v>4</v>
      </c>
      <c r="AJ48" s="311" t="n">
        <v>0</v>
      </c>
      <c r="AK48" s="311" t="n">
        <v>31</v>
      </c>
      <c r="AR48" s="357" t="n">
        <v>3</v>
      </c>
      <c r="AS48" s="358" t="s">
        <v>1331</v>
      </c>
      <c r="AU48" s="406"/>
    </row>
    <row r="49" customFormat="false" ht="12.75" hidden="false" customHeight="false" outlineLevel="0" collapsed="false">
      <c r="A49" s="405" t="n">
        <f aca="false">Option1!A16</f>
        <v>37622</v>
      </c>
      <c r="B49" s="396" t="n">
        <f aca="false">IF(A49="N/A"," ",IF(ISERROR(N49),B37*Pwresc,N49)*VLOOKUP(MONTH(A49),Curveadj,3))</f>
        <v>33.2857153756278</v>
      </c>
      <c r="C49" s="397" t="n">
        <f aca="false">IF(A49="N/A"," ",(IF(AND(Scaler1=1,MONTH(A49)&gt;=6,MONTH(A49)&lt;=8,OR($M$37="REGION 2",$M$37="REGION 2A",$M$37="REGION 2B",$M$37="REGION 3",$M$37="REGION 3A",$M$37="REGION 3B",$M$37="REGION 3C",$M$37="REGION 4",$M$37="REGION 4B",$M$37="REGION 4C",$M$37="REGION 5",$M$37="REGION 5A")),((0.059228/(B49/100))-(0.4980013/(SQRT(B49/100)))+2.137988),HLOOKUP(MONTH(A49),ScalarTable,28))))</f>
        <v>1.02007383501259</v>
      </c>
      <c r="D49" s="398" t="n">
        <f aca="false">IF(A49="N/A"," ",C49*B49)</f>
        <v>33.9538873343543</v>
      </c>
      <c r="E49" s="396" t="n">
        <f aca="false">IF(A49="N/A"," ",IF(ISERROR(O49),E37*Pwresc,O49)*VLOOKUP(MONTH(A49),Curveadj,3))</f>
        <v>35.2699966430664</v>
      </c>
      <c r="F49" s="398" t="n">
        <f aca="false">IF(A49="N/A"," ",E49*C49)</f>
        <v>35.9780007365741</v>
      </c>
      <c r="G49" s="396" t="n">
        <f aca="false">IF(A49="N/A"," ",IF(ISERROR(P49),G37*Pwresc,P49)*VLOOKUP(MONTH(A49),Curveadj,3))</f>
        <v>24.7699966430664</v>
      </c>
      <c r="H49" s="398" t="n">
        <f aca="false">IF(A49="N/A"," ",G49*C49)</f>
        <v>25.2672254689418</v>
      </c>
      <c r="I49" s="398" t="n">
        <f aca="false">IF(A49="N/A"," ",IF(ISERROR(Q49),I37*Pwresc,Q49))</f>
        <v>20.8899993896484</v>
      </c>
      <c r="J49" s="398"/>
      <c r="K49" s="399"/>
      <c r="L49" s="399"/>
      <c r="M49" s="404"/>
      <c r="N49" s="401" t="n">
        <f aca="false">IF(A49="N/A"," ",VLOOKUP(A49,PeakPowerCurves,(IF(BMO1=2,3,IF(BMO1=1,2,4))),FALSE()))</f>
        <v>33.2857153756278</v>
      </c>
      <c r="O49" s="401" t="n">
        <f aca="false">IF(A49="N/A"," ",VLOOKUP(A49,SatSunPeakPwr,(IF(BMO1=2,3,IF(BMO1=1,2,4))),FALSE()))</f>
        <v>35.2699966430664</v>
      </c>
      <c r="P49" s="401" t="n">
        <f aca="false">IF(A49="N/A"," ",VLOOKUP(A49,SatSunPeakPwr,(IF(BMO1=2,7,IF(BMO1=1,6,8))),FALSE()))</f>
        <v>24.7699966430664</v>
      </c>
      <c r="Q49" s="402" t="n">
        <f aca="false">IF(A49="N/A"," ",(VLOOKUP(A49,OPPowerPrices,(IF(BMO1=2,7,IF(BMO1=1,6,8))),FALSE())))</f>
        <v>20.8899993896484</v>
      </c>
      <c r="R49" s="403" t="e">
        <f aca="false">IF(A49="N/A"," ",(VLOOKUP($A49,IRTable,2)))</f>
        <v>#N/A</v>
      </c>
      <c r="AF49" s="352" t="n">
        <v>37926</v>
      </c>
      <c r="AG49" s="311" t="n">
        <v>19</v>
      </c>
      <c r="AH49" s="311" t="n">
        <v>5</v>
      </c>
      <c r="AI49" s="311" t="n">
        <v>6</v>
      </c>
      <c r="AJ49" s="311" t="n">
        <v>1</v>
      </c>
      <c r="AK49" s="311" t="n">
        <v>30</v>
      </c>
      <c r="AR49" s="357" t="n">
        <v>4</v>
      </c>
      <c r="AS49" s="358" t="s">
        <v>1335</v>
      </c>
      <c r="AU49" s="406"/>
    </row>
    <row r="50" customFormat="false" ht="12.75" hidden="false" customHeight="false" outlineLevel="0" collapsed="false">
      <c r="A50" s="405" t="n">
        <f aca="false">Option1!A17</f>
        <v>37653</v>
      </c>
      <c r="B50" s="396" t="n">
        <f aca="false">IF(A50="N/A"," ",IF(ISERROR(N50),B38*Pwresc,N50)*VLOOKUP(MONTH(A50),Curveadj,3))</f>
        <v>32.6857130868094</v>
      </c>
      <c r="C50" s="397" t="n">
        <f aca="false">IF(A50="N/A"," ",(IF(AND(Scaler1=1,MONTH(A50)&gt;=6,MONTH(A50)&lt;=8,OR($M$37="REGION 2",$M$37="REGION 2A",$M$37="REGION 2B",$M$37="REGION 3",$M$37="REGION 3A",$M$37="REGION 3B",$M$37="REGION 3C",$M$37="REGION 4",$M$37="REGION 4B",$M$37="REGION 4C",$M$37="REGION 5",$M$37="REGION 5A")),((0.059228/(B50/100))-(0.4980013/(SQRT(B50/100)))+2.137988),HLOOKUP(MONTH(A50),ScalarTable,28))))</f>
        <v>1.02007383501259</v>
      </c>
      <c r="D50" s="398" t="n">
        <f aca="false">IF(A50="N/A"," ",C50*B50)</f>
        <v>33.341840698583</v>
      </c>
      <c r="E50" s="396" t="n">
        <f aca="false">IF(A50="N/A"," ",IF(ISERROR(O50),E38*Pwresc,O50)*VLOOKUP(MONTH(A50),Curveadj,3))</f>
        <v>30.765998840332</v>
      </c>
      <c r="F50" s="398" t="n">
        <f aca="false">IF(A50="N/A"," ",E50*C50)</f>
        <v>31.3835904250505</v>
      </c>
      <c r="G50" s="396" t="n">
        <f aca="false">IF(A50="N/A"," ",IF(ISERROR(P50),G38*Pwresc,P50)*VLOOKUP(MONTH(A50),Curveadj,3))</f>
        <v>22.2664985656738</v>
      </c>
      <c r="H50" s="398" t="n">
        <f aca="false">IF(A50="N/A"," ",G50*C50)</f>
        <v>22.7134725841893</v>
      </c>
      <c r="I50" s="398" t="n">
        <f aca="false">IF(A50="N/A"," ",IF(ISERROR(Q50),I38*Pwresc,Q50))</f>
        <v>19.3899993896484</v>
      </c>
      <c r="J50" s="398"/>
      <c r="K50" s="399"/>
      <c r="L50" s="399"/>
      <c r="M50" s="404"/>
      <c r="N50" s="401" t="n">
        <f aca="false">IF(A50="N/A"," ",VLOOKUP(A50,PeakPowerCurves,(IF(BMO1=2,3,IF(BMO1=1,2,4))),FALSE()))</f>
        <v>32.6857130868094</v>
      </c>
      <c r="O50" s="401" t="n">
        <f aca="false">IF(A50="N/A"," ",VLOOKUP(A50,SatSunPeakPwr,(IF(BMO1=2,3,IF(BMO1=1,2,4))),FALSE()))</f>
        <v>30.765998840332</v>
      </c>
      <c r="P50" s="401" t="n">
        <f aca="false">IF(A50="N/A"," ",VLOOKUP(A50,SatSunPeakPwr,(IF(BMO1=2,7,IF(BMO1=1,6,8))),FALSE()))</f>
        <v>22.2664985656738</v>
      </c>
      <c r="Q50" s="402" t="n">
        <f aca="false">IF(A50="N/A"," ",(VLOOKUP(A50,OPPowerPrices,(IF(BMO1=2,7,IF(BMO1=1,6,8))),FALSE())))</f>
        <v>19.3899993896484</v>
      </c>
      <c r="R50" s="403" t="e">
        <f aca="false">IF(A50="N/A"," ",(VLOOKUP($A50,IRTable,2)))</f>
        <v>#N/A</v>
      </c>
      <c r="AF50" s="352" t="n">
        <v>37956</v>
      </c>
      <c r="AG50" s="311" t="n">
        <v>22</v>
      </c>
      <c r="AH50" s="311" t="n">
        <v>4</v>
      </c>
      <c r="AI50" s="311" t="n">
        <v>5</v>
      </c>
      <c r="AJ50" s="311" t="n">
        <v>1</v>
      </c>
      <c r="AK50" s="311" t="n">
        <v>31</v>
      </c>
      <c r="AR50" s="357" t="n">
        <v>5</v>
      </c>
      <c r="AS50" s="358" t="s">
        <v>1337</v>
      </c>
      <c r="AU50" s="406"/>
    </row>
    <row r="51" customFormat="false" ht="12.75" hidden="false" customHeight="false" outlineLevel="0" collapsed="false">
      <c r="A51" s="405" t="n">
        <f aca="false">Option1!A18</f>
        <v>37681</v>
      </c>
      <c r="B51" s="396" t="n">
        <f aca="false">IF(A51="N/A"," ",IF(ISERROR(N51),B39*Pwresc,N51)*VLOOKUP(MONTH(A51),Curveadj,3))</f>
        <v>31.6476779316747</v>
      </c>
      <c r="C51" s="397" t="n">
        <f aca="false">IF(A51="N/A"," ",(IF(AND(Scaler1=1,MONTH(A51)&gt;=6,MONTH(A51)&lt;=8,OR($M$37="REGION 2",$M$37="REGION 2A",$M$37="REGION 2B",$M$37="REGION 3",$M$37="REGION 3A",$M$37="REGION 3B",$M$37="REGION 3C",$M$37="REGION 4",$M$37="REGION 4B",$M$37="REGION 4C",$M$37="REGION 5",$M$37="REGION 5A")),((0.059228/(B51/100))-(0.4980013/(SQRT(B51/100)))+2.137988),HLOOKUP(MONTH(A51),ScalarTable,28))))</f>
        <v>1.0173448699422</v>
      </c>
      <c r="D51" s="398" t="n">
        <f aca="false">IF(A51="N/A"," ",C51*B51)</f>
        <v>32.1966027893721</v>
      </c>
      <c r="E51" s="396" t="n">
        <f aca="false">IF(A51="N/A"," ",IF(ISERROR(O51),E39*Pwresc,O51)*VLOOKUP(MONTH(A51),Curveadj,3))</f>
        <v>25.0199966430664</v>
      </c>
      <c r="F51" s="398" t="n">
        <f aca="false">IF(A51="N/A"," ",E51*C51)</f>
        <v>25.4539652307946</v>
      </c>
      <c r="G51" s="396" t="n">
        <f aca="false">IF(A51="N/A"," ",IF(ISERROR(P51),G39*Pwresc,P51)*VLOOKUP(MONTH(A51),Curveadj,3))</f>
        <v>19.5199966430664</v>
      </c>
      <c r="H51" s="398" t="n">
        <f aca="false">IF(A51="N/A"," ",G51*C51)</f>
        <v>19.8585684461125</v>
      </c>
      <c r="I51" s="398" t="n">
        <f aca="false">IF(A51="N/A"," ",IF(ISERROR(Q51),I39*Pwresc,Q51))</f>
        <v>20.3899993896484</v>
      </c>
      <c r="J51" s="398"/>
      <c r="K51" s="399"/>
      <c r="L51" s="399"/>
      <c r="M51" s="404"/>
      <c r="N51" s="401" t="n">
        <f aca="false">IF(A51="N/A"," ",VLOOKUP(A51,PeakPowerCurves,(IF(BMO1=2,3,IF(BMO1=1,2,4))),FALSE()))</f>
        <v>31.6476779316747</v>
      </c>
      <c r="O51" s="401" t="n">
        <f aca="false">IF(A51="N/A"," ",VLOOKUP(A51,SatSunPeakPwr,(IF(BMO1=2,3,IF(BMO1=1,2,4))),FALSE()))</f>
        <v>25.0199966430664</v>
      </c>
      <c r="P51" s="401" t="n">
        <f aca="false">IF(A51="N/A"," ",VLOOKUP(A51,SatSunPeakPwr,(IF(BMO1=2,7,IF(BMO1=1,6,8))),FALSE()))</f>
        <v>19.5199966430664</v>
      </c>
      <c r="Q51" s="402" t="n">
        <f aca="false">IF(A51="N/A"," ",(VLOOKUP(A51,OPPowerPrices,(IF(BMO1=2,7,IF(BMO1=1,6,8))),FALSE())))</f>
        <v>20.3899993896484</v>
      </c>
      <c r="R51" s="403" t="e">
        <f aca="false">IF(A51="N/A"," ",(VLOOKUP($A51,IRTable,2)))</f>
        <v>#N/A</v>
      </c>
      <c r="AF51" s="352" t="n">
        <v>37987</v>
      </c>
      <c r="AG51" s="311" t="n">
        <v>21</v>
      </c>
      <c r="AH51" s="311" t="n">
        <v>5</v>
      </c>
      <c r="AI51" s="311" t="n">
        <v>5</v>
      </c>
      <c r="AJ51" s="311" t="n">
        <v>1</v>
      </c>
      <c r="AK51" s="311" t="n">
        <v>31</v>
      </c>
      <c r="AR51" s="357" t="n">
        <v>6</v>
      </c>
      <c r="AS51" s="358" t="s">
        <v>1341</v>
      </c>
      <c r="AU51" s="406"/>
    </row>
    <row r="52" customFormat="false" ht="12.75" hidden="false" customHeight="false" outlineLevel="0" collapsed="false">
      <c r="A52" s="405" t="n">
        <f aca="false">Option1!A19</f>
        <v>37712</v>
      </c>
      <c r="B52" s="396" t="n">
        <f aca="false">IF(A52="N/A"," ",IF(ISERROR(N52),B40*Pwresc,N52)*VLOOKUP(MONTH(A52),Curveadj,3))</f>
        <v>31.8476710652196</v>
      </c>
      <c r="C52" s="397" t="n">
        <f aca="false">IF(A52="N/A"," ",(IF(AND(Scaler1=1,MONTH(A52)&gt;=6,MONTH(A52)&lt;=8,OR($M$37="REGION 2",$M$37="REGION 2A",$M$37="REGION 2B",$M$37="REGION 3",$M$37="REGION 3A",$M$37="REGION 3B",$M$37="REGION 3C",$M$37="REGION 4",$M$37="REGION 4B",$M$37="REGION 4C",$M$37="REGION 5",$M$37="REGION 5A")),((0.059228/(B52/100))-(0.4980013/(SQRT(B52/100)))+2.137988),HLOOKUP(MONTH(A52),ScalarTable,28))))</f>
        <v>1.005</v>
      </c>
      <c r="D52" s="398" t="n">
        <f aca="false">IF(A52="N/A"," ",C52*B52)</f>
        <v>32.0069094205457</v>
      </c>
      <c r="E52" s="396" t="n">
        <f aca="false">IF(A52="N/A"," ",IF(ISERROR(O52),E40*Pwresc,O52)*VLOOKUP(MONTH(A52),Curveadj,3))</f>
        <v>21.5199966430664</v>
      </c>
      <c r="F52" s="398" t="n">
        <f aca="false">IF(A52="N/A"," ",E52*C52)</f>
        <v>21.6275966262817</v>
      </c>
      <c r="G52" s="396" t="n">
        <f aca="false">IF(A52="N/A"," ",IF(ISERROR(P52),G40*Pwresc,P52)*VLOOKUP(MONTH(A52),Curveadj,3))</f>
        <v>16.0149993896484</v>
      </c>
      <c r="H52" s="398" t="n">
        <f aca="false">IF(A52="N/A"," ",G52*C52)</f>
        <v>16.0950743865967</v>
      </c>
      <c r="I52" s="398" t="n">
        <f aca="false">IF(A52="N/A"," ",IF(ISERROR(Q52),I40*Pwresc,Q52))</f>
        <v>17.3899993896484</v>
      </c>
      <c r="J52" s="398"/>
      <c r="K52" s="399"/>
      <c r="L52" s="399"/>
      <c r="M52" s="404"/>
      <c r="N52" s="401" t="n">
        <f aca="false">IF(A52="N/A"," ",VLOOKUP(A52,PeakPowerCurves,(IF(BMO1=2,3,IF(BMO1=1,2,4))),FALSE()))</f>
        <v>31.8476710652196</v>
      </c>
      <c r="O52" s="401" t="n">
        <f aca="false">IF(A52="N/A"," ",VLOOKUP(A52,SatSunPeakPwr,(IF(BMO1=2,3,IF(BMO1=1,2,4))),FALSE()))</f>
        <v>21.5199966430664</v>
      </c>
      <c r="P52" s="401" t="n">
        <f aca="false">IF(A52="N/A"," ",VLOOKUP(A52,SatSunPeakPwr,(IF(BMO1=2,7,IF(BMO1=1,6,8))),FALSE()))</f>
        <v>16.0149993896484</v>
      </c>
      <c r="Q52" s="402" t="n">
        <f aca="false">IF(A52="N/A"," ",(VLOOKUP(A52,OPPowerPrices,(IF(BMO1=2,7,IF(BMO1=1,6,8))),FALSE())))</f>
        <v>17.3899993896484</v>
      </c>
      <c r="R52" s="403" t="e">
        <f aca="false">IF(A52="N/A"," ",(VLOOKUP($A52,IRTable,2)))</f>
        <v>#N/A</v>
      </c>
      <c r="AF52" s="352" t="n">
        <v>38018</v>
      </c>
      <c r="AG52" s="311" t="n">
        <v>20</v>
      </c>
      <c r="AH52" s="311" t="n">
        <v>4</v>
      </c>
      <c r="AI52" s="311" t="n">
        <v>5</v>
      </c>
      <c r="AJ52" s="311" t="n">
        <v>0</v>
      </c>
      <c r="AK52" s="311" t="n">
        <v>29</v>
      </c>
      <c r="AR52" s="357" t="n">
        <v>7</v>
      </c>
      <c r="AS52" s="359" t="s">
        <v>1342</v>
      </c>
      <c r="AU52" s="406"/>
    </row>
    <row r="53" customFormat="false" ht="12.75" hidden="false" customHeight="false" outlineLevel="0" collapsed="false">
      <c r="A53" s="405" t="n">
        <f aca="false">Option1!A20</f>
        <v>37742</v>
      </c>
      <c r="B53" s="396" t="n">
        <f aca="false">IF(A53="N/A"," ",IF(ISERROR(N53),B41*Pwresc,N53)*VLOOKUP(MONTH(A53),Curveadj,3))</f>
        <v>35.125</v>
      </c>
      <c r="C53" s="397" t="n">
        <f aca="false">IF(A53="N/A"," ",(IF(AND(Scaler1=1,MONTH(A53)&gt;=6,MONTH(A53)&lt;=8,OR($M$37="REGION 2",$M$37="REGION 2A",$M$37="REGION 2B",$M$37="REGION 3",$M$37="REGION 3A",$M$37="REGION 3B",$M$37="REGION 3C",$M$37="REGION 4",$M$37="REGION 4B",$M$37="REGION 4C",$M$37="REGION 5",$M$37="REGION 5A")),((0.059228/(B53/100))-(0.4980013/(SQRT(B53/100)))+2.137988),HLOOKUP(MONTH(A53),ScalarTable,28))))</f>
        <v>1.075625</v>
      </c>
      <c r="D53" s="398" t="n">
        <f aca="false">IF(A53="N/A"," ",C53*B53)</f>
        <v>37.781328125</v>
      </c>
      <c r="E53" s="396" t="n">
        <f aca="false">IF(A53="N/A"," ",IF(ISERROR(O53),E41*Pwresc,O53)*VLOOKUP(MONTH(A53),Curveadj,3))</f>
        <v>21.8399982452393</v>
      </c>
      <c r="F53" s="398" t="n">
        <f aca="false">IF(A53="N/A"," ",E53*C53)</f>
        <v>23.4916481125355</v>
      </c>
      <c r="G53" s="396" t="n">
        <f aca="false">IF(A53="N/A"," ",IF(ISERROR(P53),G41*Pwresc,P53)*VLOOKUP(MONTH(A53),Curveadj,3))</f>
        <v>15.3450012207031</v>
      </c>
      <c r="H53" s="398" t="n">
        <f aca="false">IF(A53="N/A"," ",G53*C53)</f>
        <v>16.5054669380188</v>
      </c>
      <c r="I53" s="398" t="n">
        <f aca="false">IF(A53="N/A"," ",IF(ISERROR(Q53),I41*Pwresc,Q53))</f>
        <v>17.9300003051758</v>
      </c>
      <c r="J53" s="398"/>
      <c r="K53" s="399"/>
      <c r="L53" s="399"/>
      <c r="M53" s="404"/>
      <c r="N53" s="401" t="n">
        <f aca="false">IF(A53="N/A"," ",VLOOKUP(A53,PeakPowerCurves,(IF(BMO1=2,3,IF(BMO1=1,2,4))),FALSE()))</f>
        <v>35.125</v>
      </c>
      <c r="O53" s="401" t="n">
        <f aca="false">IF(A53="N/A"," ",VLOOKUP(A53,SatSunPeakPwr,(IF(BMO1=2,3,IF(BMO1=1,2,4))),FALSE()))</f>
        <v>21.8399982452393</v>
      </c>
      <c r="P53" s="401" t="n">
        <f aca="false">IF(A53="N/A"," ",VLOOKUP(A53,SatSunPeakPwr,(IF(BMO1=2,7,IF(BMO1=1,6,8))),FALSE()))</f>
        <v>15.3450012207031</v>
      </c>
      <c r="Q53" s="402" t="n">
        <f aca="false">IF(A53="N/A"," ",(VLOOKUP(A53,OPPowerPrices,(IF(BMO1=2,7,IF(BMO1=1,6,8))),FALSE())))</f>
        <v>17.9300003051758</v>
      </c>
      <c r="R53" s="403" t="e">
        <f aca="false">IF(A53="N/A"," ",(VLOOKUP($A53,IRTable,2)))</f>
        <v>#N/A</v>
      </c>
      <c r="AF53" s="352" t="n">
        <v>38047</v>
      </c>
      <c r="AG53" s="311" t="n">
        <v>23</v>
      </c>
      <c r="AH53" s="311" t="n">
        <v>4</v>
      </c>
      <c r="AI53" s="311" t="n">
        <v>4</v>
      </c>
      <c r="AJ53" s="311" t="n">
        <v>0</v>
      </c>
      <c r="AK53" s="311" t="n">
        <v>31</v>
      </c>
      <c r="AR53" s="357" t="n">
        <v>8</v>
      </c>
      <c r="AS53" s="358" t="s">
        <v>1344</v>
      </c>
      <c r="AU53" s="406"/>
    </row>
    <row r="54" customFormat="false" ht="12.75" hidden="false" customHeight="false" outlineLevel="0" collapsed="false">
      <c r="A54" s="405" t="n">
        <f aca="false">Option1!A21</f>
        <v>37773</v>
      </c>
      <c r="B54" s="396" t="n">
        <f aca="false">IF(A54="N/A"," ",IF(ISERROR(N54),B42*Pwresc,N54)*VLOOKUP(MONTH(A54),Curveadj,3))</f>
        <v>43.5</v>
      </c>
      <c r="C54" s="397" t="n">
        <f aca="false">IF(A54="N/A"," ",(IF(AND(Scaler1=1,MONTH(A54)&gt;=6,MONTH(A54)&lt;=8,OR($M$37="REGION 2",$M$37="REGION 2A",$M$37="REGION 2B",$M$37="REGION 3",$M$37="REGION 3A",$M$37="REGION 3B",$M$37="REGION 3C",$M$37="REGION 4",$M$37="REGION 4B",$M$37="REGION 4C",$M$37="REGION 5",$M$37="REGION 5A")),((0.059228/(B54/100))-(0.4980013/(SQRT(B54/100)))+2.137988),HLOOKUP(MONTH(A54),ScalarTable,28))))</f>
        <v>1.53</v>
      </c>
      <c r="D54" s="398" t="n">
        <f aca="false">IF(A54="N/A"," ",C54*B54)</f>
        <v>66.555</v>
      </c>
      <c r="E54" s="396" t="n">
        <f aca="false">IF(A54="N/A"," ",IF(ISERROR(O54),E42*Pwresc,O54)*VLOOKUP(MONTH(A54),Curveadj,3))</f>
        <v>28.8399982452393</v>
      </c>
      <c r="F54" s="398" t="n">
        <f aca="false">IF(A54="N/A"," ",E54*C54)</f>
        <v>44.1251973152161</v>
      </c>
      <c r="G54" s="396" t="n">
        <f aca="false">IF(A54="N/A"," ",IF(ISERROR(P54),G42*Pwresc,P54)*VLOOKUP(MONTH(A54),Curveadj,3))</f>
        <v>19.3399982452393</v>
      </c>
      <c r="H54" s="398" t="n">
        <f aca="false">IF(A54="N/A"," ",G54*C54)</f>
        <v>29.5901973152161</v>
      </c>
      <c r="I54" s="398" t="n">
        <f aca="false">IF(A54="N/A"," ",IF(ISERROR(Q54),I42*Pwresc,Q54))</f>
        <v>20.1800003051758</v>
      </c>
      <c r="J54" s="398"/>
      <c r="K54" s="399"/>
      <c r="L54" s="399"/>
      <c r="M54" s="404"/>
      <c r="N54" s="401" t="n">
        <f aca="false">IF(A54="N/A"," ",VLOOKUP(A54,PeakPowerCurves,(IF(BMO1=2,3,IF(BMO1=1,2,4))),FALSE()))</f>
        <v>43.5</v>
      </c>
      <c r="O54" s="401" t="n">
        <f aca="false">IF(A54="N/A"," ",VLOOKUP(A54,SatSunPeakPwr,(IF(BMO1=2,3,IF(BMO1=1,2,4))),FALSE()))</f>
        <v>28.8399982452393</v>
      </c>
      <c r="P54" s="401" t="n">
        <f aca="false">IF(A54="N/A"," ",VLOOKUP(A54,SatSunPeakPwr,(IF(BMO1=2,7,IF(BMO1=1,6,8))),FALSE()))</f>
        <v>19.3399982452393</v>
      </c>
      <c r="Q54" s="402" t="n">
        <f aca="false">IF(A54="N/A"," ",(VLOOKUP(A54,OPPowerPrices,(IF(BMO1=2,7,IF(BMO1=1,6,8))),FALSE())))</f>
        <v>20.1800003051758</v>
      </c>
      <c r="R54" s="403" t="e">
        <f aca="false">IF(A54="N/A"," ",(VLOOKUP($A54,IRTable,2)))</f>
        <v>#N/A</v>
      </c>
      <c r="AF54" s="352" t="n">
        <v>38078</v>
      </c>
      <c r="AG54" s="311" t="n">
        <v>22</v>
      </c>
      <c r="AH54" s="311" t="n">
        <v>4</v>
      </c>
      <c r="AI54" s="311" t="n">
        <v>4</v>
      </c>
      <c r="AJ54" s="311" t="n">
        <v>0</v>
      </c>
      <c r="AK54" s="311" t="n">
        <v>30</v>
      </c>
      <c r="AR54" s="357" t="n">
        <v>9</v>
      </c>
      <c r="AS54" s="358" t="s">
        <v>1345</v>
      </c>
      <c r="AU54" s="406"/>
    </row>
    <row r="55" customFormat="false" ht="12.75" hidden="false" customHeight="false" outlineLevel="0" collapsed="false">
      <c r="A55" s="405" t="n">
        <f aca="false">Option1!A22</f>
        <v>37803</v>
      </c>
      <c r="B55" s="396" t="n">
        <f aca="false">IF(A55="N/A"," ",IF(ISERROR(N55),B43*Pwresc,N55)*VLOOKUP(MONTH(A55),Curveadj,3))</f>
        <v>54.5</v>
      </c>
      <c r="C55" s="397" t="n">
        <f aca="false">IF(A55="N/A"," ",(IF(AND(Scaler1=1,MONTH(A55)&gt;=6,MONTH(A55)&lt;=8,OR($M$37="REGION 2",$M$37="REGION 2A",$M$37="REGION 2B",$M$37="REGION 3",$M$37="REGION 3A",$M$37="REGION 3B",$M$37="REGION 3C",$M$37="REGION 4",$M$37="REGION 4B",$M$37="REGION 4C",$M$37="REGION 5",$M$37="REGION 5A")),((0.059228/(B55/100))-(0.4980013/(SQRT(B55/100)))+2.137988),HLOOKUP(MONTH(A55),ScalarTable,28))))</f>
        <v>1.63</v>
      </c>
      <c r="D55" s="398" t="n">
        <f aca="false">IF(A55="N/A"," ",C55*B55)</f>
        <v>88.835</v>
      </c>
      <c r="E55" s="396" t="n">
        <f aca="false">IF(A55="N/A"," ",IF(ISERROR(O55),E43*Pwresc,O55)*VLOOKUP(MONTH(A55),Curveadj,3))</f>
        <v>34.8400039672852</v>
      </c>
      <c r="F55" s="398" t="n">
        <f aca="false">IF(A55="N/A"," ",E55*C55)</f>
        <v>56.7892064666748</v>
      </c>
      <c r="G55" s="396" t="n">
        <f aca="false">IF(A55="N/A"," ",IF(ISERROR(P55),G43*Pwresc,P55)*VLOOKUP(MONTH(A55),Curveadj,3))</f>
        <v>25.3399982452393</v>
      </c>
      <c r="H55" s="398" t="n">
        <f aca="false">IF(A55="N/A"," ",G55*C55)</f>
        <v>41.30419713974</v>
      </c>
      <c r="I55" s="398" t="n">
        <f aca="false">IF(A55="N/A"," ",IF(ISERROR(Q55),I43*Pwresc,Q55))</f>
        <v>20.6800003051758</v>
      </c>
      <c r="J55" s="398"/>
      <c r="K55" s="399"/>
      <c r="L55" s="399"/>
      <c r="M55" s="404"/>
      <c r="N55" s="401" t="n">
        <f aca="false">IF(A55="N/A"," ",VLOOKUP(A55,PeakPowerCurves,(IF(BMO1=2,3,IF(BMO1=1,2,4))),FALSE()))</f>
        <v>54.5</v>
      </c>
      <c r="O55" s="401" t="n">
        <f aca="false">IF(A55="N/A"," ",VLOOKUP(A55,SatSunPeakPwr,(IF(BMO1=2,3,IF(BMO1=1,2,4))),FALSE()))</f>
        <v>34.8400039672852</v>
      </c>
      <c r="P55" s="401" t="n">
        <f aca="false">IF(A55="N/A"," ",VLOOKUP(A55,SatSunPeakPwr,(IF(BMO1=2,7,IF(BMO1=1,6,8))),FALSE()))</f>
        <v>25.3399982452393</v>
      </c>
      <c r="Q55" s="402" t="n">
        <f aca="false">IF(A55="N/A"," ",(VLOOKUP(A55,OPPowerPrices,(IF(BMO1=2,7,IF(BMO1=1,6,8))),FALSE())))</f>
        <v>20.6800003051758</v>
      </c>
      <c r="R55" s="403" t="e">
        <f aca="false">IF(A55="N/A"," ",(VLOOKUP($A55,IRTable,2)))</f>
        <v>#N/A</v>
      </c>
      <c r="AF55" s="352" t="n">
        <v>38108</v>
      </c>
      <c r="AG55" s="311" t="n">
        <v>20</v>
      </c>
      <c r="AH55" s="311" t="n">
        <v>5</v>
      </c>
      <c r="AI55" s="311" t="n">
        <v>6</v>
      </c>
      <c r="AJ55" s="311" t="n">
        <v>1</v>
      </c>
      <c r="AK55" s="311" t="n">
        <v>31</v>
      </c>
      <c r="AR55" s="407" t="n">
        <v>10</v>
      </c>
      <c r="AS55" s="359" t="s">
        <v>1359</v>
      </c>
      <c r="AU55" s="406"/>
    </row>
    <row r="56" customFormat="false" ht="12.75" hidden="false" customHeight="false" outlineLevel="0" collapsed="false">
      <c r="A56" s="405" t="n">
        <f aca="false">Option1!A23</f>
        <v>37834</v>
      </c>
      <c r="B56" s="396" t="n">
        <f aca="false">IF(A56="N/A"," ",IF(ISERROR(N56),B44*Pwresc,N56)*VLOOKUP(MONTH(A56),Curveadj,3))</f>
        <v>54.5</v>
      </c>
      <c r="C56" s="397" t="n">
        <f aca="false">IF(A56="N/A"," ",(IF(AND(Scaler1=1,MONTH(A56)&gt;=6,MONTH(A56)&lt;=8,OR($M$37="REGION 2",$M$37="REGION 2A",$M$37="REGION 2B",$M$37="REGION 3",$M$37="REGION 3A",$M$37="REGION 3B",$M$37="REGION 3C",$M$37="REGION 4",$M$37="REGION 4B",$M$37="REGION 4C",$M$37="REGION 5",$M$37="REGION 5A")),((0.059228/(B56/100))-(0.4980013/(SQRT(B56/100)))+2.137988),HLOOKUP(MONTH(A56),ScalarTable,28))))</f>
        <v>1.63</v>
      </c>
      <c r="D56" s="398" t="n">
        <f aca="false">IF(A56="N/A"," ",C56*B56)</f>
        <v>88.835</v>
      </c>
      <c r="E56" s="396" t="n">
        <f aca="false">IF(A56="N/A"," ",IF(ISERROR(O56),E44*Pwresc,O56)*VLOOKUP(MONTH(A56),Curveadj,3))</f>
        <v>32.8400077819824</v>
      </c>
      <c r="F56" s="398" t="n">
        <f aca="false">IF(A56="N/A"," ",E56*C56)</f>
        <v>53.5292126846314</v>
      </c>
      <c r="G56" s="396" t="n">
        <f aca="false">IF(A56="N/A"," ",IF(ISERROR(P56),G44*Pwresc,P56)*VLOOKUP(MONTH(A56),Curveadj,3))</f>
        <v>25.3399982452393</v>
      </c>
      <c r="H56" s="398" t="n">
        <f aca="false">IF(A56="N/A"," ",G56*C56)</f>
        <v>41.30419713974</v>
      </c>
      <c r="I56" s="398" t="n">
        <f aca="false">IF(A56="N/A"," ",IF(ISERROR(Q56),I44*Pwresc,Q56))</f>
        <v>21.6800003051758</v>
      </c>
      <c r="J56" s="398"/>
      <c r="K56" s="399"/>
      <c r="L56" s="399"/>
      <c r="M56" s="404"/>
      <c r="N56" s="401" t="n">
        <f aca="false">IF(A56="N/A"," ",VLOOKUP(A56,PeakPowerCurves,(IF(BMO1=2,3,IF(BMO1=1,2,4))),FALSE()))</f>
        <v>54.5</v>
      </c>
      <c r="O56" s="401" t="n">
        <f aca="false">IF(A56="N/A"," ",VLOOKUP(A56,SatSunPeakPwr,(IF(BMO1=2,3,IF(BMO1=1,2,4))),FALSE()))</f>
        <v>32.8400077819824</v>
      </c>
      <c r="P56" s="401" t="n">
        <f aca="false">IF(A56="N/A"," ",VLOOKUP(A56,SatSunPeakPwr,(IF(BMO1=2,7,IF(BMO1=1,6,8))),FALSE()))</f>
        <v>25.3399982452393</v>
      </c>
      <c r="Q56" s="402" t="n">
        <f aca="false">IF(A56="N/A"," ",(VLOOKUP(A56,OPPowerPrices,(IF(BMO1=2,7,IF(BMO1=1,6,8))),FALSE())))</f>
        <v>21.6800003051758</v>
      </c>
      <c r="R56" s="403" t="e">
        <f aca="false">IF(A56="N/A"," ",(VLOOKUP($A56,IRTable,2)))</f>
        <v>#N/A</v>
      </c>
      <c r="AF56" s="352" t="n">
        <v>38139</v>
      </c>
      <c r="AG56" s="311" t="n">
        <v>22</v>
      </c>
      <c r="AH56" s="311" t="n">
        <v>4</v>
      </c>
      <c r="AI56" s="311" t="n">
        <v>4</v>
      </c>
      <c r="AJ56" s="311" t="n">
        <v>0</v>
      </c>
      <c r="AK56" s="311" t="n">
        <v>30</v>
      </c>
      <c r="AR56" s="407"/>
      <c r="AS56" s="380"/>
      <c r="AU56" s="406"/>
    </row>
    <row r="57" customFormat="false" ht="12.75" hidden="false" customHeight="false" outlineLevel="0" collapsed="false">
      <c r="A57" s="405" t="n">
        <f aca="false">Option1!A24</f>
        <v>37865</v>
      </c>
      <c r="B57" s="396" t="n">
        <f aca="false">IF(A57="N/A"," ",IF(ISERROR(N57),B45*Pwresc,N57)*VLOOKUP(MONTH(A57),Curveadj,3))</f>
        <v>30</v>
      </c>
      <c r="C57" s="397" t="n">
        <f aca="false">IF(A57="N/A"," ",(IF(AND(Scaler1=1,MONTH(A57)&gt;=6,MONTH(A57)&lt;=8,OR($M$37="REGION 2",$M$37="REGION 2A",$M$37="REGION 2B",$M$37="REGION 3",$M$37="REGION 3A",$M$37="REGION 3B",$M$37="REGION 3C",$M$37="REGION 4",$M$37="REGION 4B",$M$37="REGION 4C",$M$37="REGION 5",$M$37="REGION 5A")),((0.059228/(B57/100))-(0.4980013/(SQRT(B57/100)))+2.137988),HLOOKUP(MONTH(A57),ScalarTable,28))))</f>
        <v>1.35125</v>
      </c>
      <c r="D57" s="398" t="n">
        <f aca="false">IF(A57="N/A"," ",C57*B57)</f>
        <v>40.5375</v>
      </c>
      <c r="E57" s="396" t="n">
        <f aca="false">IF(A57="N/A"," ",IF(ISERROR(O57),E45*Pwresc,O57)*VLOOKUP(MONTH(A57),Curveadj,3))</f>
        <v>24.8399982452393</v>
      </c>
      <c r="F57" s="398" t="n">
        <f aca="false">IF(A57="N/A"," ",E57*C57)</f>
        <v>33.5650476288796</v>
      </c>
      <c r="G57" s="396" t="n">
        <f aca="false">IF(A57="N/A"," ",IF(ISERROR(P57),G45*Pwresc,P57)*VLOOKUP(MONTH(A57),Curveadj,3))</f>
        <v>19.3399982452393</v>
      </c>
      <c r="H57" s="398" t="n">
        <f aca="false">IF(A57="N/A"," ",G57*C57)</f>
        <v>26.1331726288796</v>
      </c>
      <c r="I57" s="398" t="n">
        <f aca="false">IF(A57="N/A"," ",IF(ISERROR(Q57),I45*Pwresc,Q57))</f>
        <v>15.6800003051758</v>
      </c>
      <c r="J57" s="398"/>
      <c r="K57" s="399"/>
      <c r="L57" s="399"/>
      <c r="M57" s="404"/>
      <c r="N57" s="401" t="n">
        <f aca="false">IF(A57="N/A"," ",VLOOKUP(A57,PeakPowerCurves,(IF(BMO1=2,3,IF(BMO1=1,2,4))),FALSE()))</f>
        <v>30</v>
      </c>
      <c r="O57" s="401" t="n">
        <f aca="false">IF(A57="N/A"," ",VLOOKUP(A57,SatSunPeakPwr,(IF(BMO1=2,3,IF(BMO1=1,2,4))),FALSE()))</f>
        <v>24.8399982452393</v>
      </c>
      <c r="P57" s="401" t="n">
        <f aca="false">IF(A57="N/A"," ",VLOOKUP(A57,SatSunPeakPwr,(IF(BMO1=2,7,IF(BMO1=1,6,8))),FALSE()))</f>
        <v>19.3399982452393</v>
      </c>
      <c r="Q57" s="402" t="n">
        <f aca="false">IF(A57="N/A"," ",(VLOOKUP(A57,OPPowerPrices,(IF(BMO1=2,7,IF(BMO1=1,6,8))),FALSE())))</f>
        <v>15.6800003051758</v>
      </c>
      <c r="R57" s="403" t="e">
        <f aca="false">IF(A57="N/A"," ",(VLOOKUP($A57,IRTable,2)))</f>
        <v>#N/A</v>
      </c>
      <c r="AF57" s="352" t="n">
        <v>38169</v>
      </c>
      <c r="AG57" s="311" t="n">
        <v>21</v>
      </c>
      <c r="AH57" s="311" t="n">
        <v>5</v>
      </c>
      <c r="AI57" s="311" t="n">
        <v>5</v>
      </c>
      <c r="AJ57" s="311" t="n">
        <v>1</v>
      </c>
      <c r="AK57" s="311" t="n">
        <v>31</v>
      </c>
      <c r="AU57" s="406"/>
    </row>
    <row r="58" customFormat="false" ht="12.75" hidden="false" customHeight="false" outlineLevel="0" collapsed="false">
      <c r="A58" s="405" t="n">
        <f aca="false">Option1!A25</f>
        <v>37895</v>
      </c>
      <c r="B58" s="396" t="n">
        <f aca="false">IF(A58="N/A"," ",IF(ISERROR(N58),B46*Pwresc,N58)*VLOOKUP(MONTH(A58),Curveadj,3))</f>
        <v>30.4015640020371</v>
      </c>
      <c r="C58" s="397" t="n">
        <f aca="false">IF(A58="N/A"," ",(IF(AND(Scaler1=1,MONTH(A58)&gt;=6,MONTH(A58)&lt;=8,OR($M$37="REGION 2",$M$37="REGION 2A",$M$37="REGION 2B",$M$37="REGION 3",$M$37="REGION 3A",$M$37="REGION 3B",$M$37="REGION 3C",$M$37="REGION 4",$M$37="REGION 4B",$M$37="REGION 4C",$M$37="REGION 5",$M$37="REGION 5A")),((0.059228/(B58/100))-(0.4980013/(SQRT(B58/100)))+2.137988),HLOOKUP(MONTH(A58),ScalarTable,28))))</f>
        <v>1.005</v>
      </c>
      <c r="D58" s="398" t="n">
        <f aca="false">IF(A58="N/A"," ",C58*B58)</f>
        <v>30.5535718220472</v>
      </c>
      <c r="E58" s="396" t="n">
        <f aca="false">IF(A58="N/A"," ",IF(ISERROR(O58),E46*Pwresc,O58)*VLOOKUP(MONTH(A58),Curveadj,3))</f>
        <v>19.8359985351563</v>
      </c>
      <c r="F58" s="398" t="n">
        <f aca="false">IF(A58="N/A"," ",E58*C58)</f>
        <v>19.935178527832</v>
      </c>
      <c r="G58" s="396" t="n">
        <f aca="false">IF(A58="N/A"," ",IF(ISERROR(P58),G46*Pwresc,P58)*VLOOKUP(MONTH(A58),Curveadj,3))</f>
        <v>14.3365020751953</v>
      </c>
      <c r="H58" s="398" t="n">
        <f aca="false">IF(A58="N/A"," ",G58*C58)</f>
        <v>14.4081845855713</v>
      </c>
      <c r="I58" s="398" t="n">
        <f aca="false">IF(A58="N/A"," ",IF(ISERROR(Q58),I46*Pwresc,Q58))</f>
        <v>15.1800022125244</v>
      </c>
      <c r="J58" s="398"/>
      <c r="K58" s="399"/>
      <c r="L58" s="399"/>
      <c r="M58" s="404"/>
      <c r="N58" s="401" t="n">
        <f aca="false">IF(A58="N/A"," ",VLOOKUP(A58,PeakPowerCurves,(IF(BMO1=2,3,IF(BMO1=1,2,4))),FALSE()))</f>
        <v>30.4015640020371</v>
      </c>
      <c r="O58" s="401" t="n">
        <f aca="false">IF(A58="N/A"," ",VLOOKUP(A58,SatSunPeakPwr,(IF(BMO1=2,3,IF(BMO1=1,2,4))),FALSE()))</f>
        <v>19.8359985351563</v>
      </c>
      <c r="P58" s="401" t="n">
        <f aca="false">IF(A58="N/A"," ",VLOOKUP(A58,SatSunPeakPwr,(IF(BMO1=2,7,IF(BMO1=1,6,8))),FALSE()))</f>
        <v>14.3365020751953</v>
      </c>
      <c r="Q58" s="402" t="n">
        <f aca="false">IF(A58="N/A"," ",(VLOOKUP(A58,OPPowerPrices,(IF(BMO1=2,7,IF(BMO1=1,6,8))),FALSE())))</f>
        <v>15.1800022125244</v>
      </c>
      <c r="R58" s="403" t="e">
        <f aca="false">IF(A58="N/A"," ",(VLOOKUP($A58,IRTable,2)))</f>
        <v>#N/A</v>
      </c>
      <c r="AF58" s="352" t="n">
        <v>38200</v>
      </c>
      <c r="AG58" s="311" t="n">
        <v>22</v>
      </c>
      <c r="AH58" s="311" t="n">
        <v>4</v>
      </c>
      <c r="AI58" s="311" t="n">
        <v>5</v>
      </c>
      <c r="AJ58" s="311" t="n">
        <v>0</v>
      </c>
      <c r="AK58" s="311" t="n">
        <v>31</v>
      </c>
      <c r="AU58" s="406"/>
    </row>
    <row r="59" customFormat="false" ht="12.75" hidden="false" customHeight="false" outlineLevel="0" collapsed="false">
      <c r="A59" s="405" t="n">
        <f aca="false">Option1!A26</f>
        <v>37926</v>
      </c>
      <c r="B59" s="396" t="n">
        <f aca="false">IF(A59="N/A"," ",IF(ISERROR(N59),B47*Pwresc,N59)*VLOOKUP(MONTH(A59),Curveadj,3))</f>
        <v>30.5015624761581</v>
      </c>
      <c r="C59" s="397" t="n">
        <f aca="false">IF(A59="N/A"," ",(IF(AND(Scaler1=1,MONTH(A59)&gt;=6,MONTH(A59)&lt;=8,OR($M$37="REGION 2",$M$37="REGION 2A",$M$37="REGION 2B",$M$37="REGION 3",$M$37="REGION 3A",$M$37="REGION 3B",$M$37="REGION 3C",$M$37="REGION 4",$M$37="REGION 4B",$M$37="REGION 4C",$M$37="REGION 5",$M$37="REGION 5A")),((0.059228/(B59/100))-(0.4980013/(SQRT(B59/100)))+2.137988),HLOOKUP(MONTH(A59),ScalarTable,28))))</f>
        <v>1.0825</v>
      </c>
      <c r="D59" s="398" t="n">
        <f aca="false">IF(A59="N/A"," ",C59*B59)</f>
        <v>33.0179413804412</v>
      </c>
      <c r="E59" s="396" t="n">
        <f aca="false">IF(A59="N/A"," ",IF(ISERROR(O59),E47*Pwresc,O59)*VLOOKUP(MONTH(A59),Curveadj,3))</f>
        <v>21.8399982452393</v>
      </c>
      <c r="F59" s="398" t="n">
        <f aca="false">IF(A59="N/A"," ",E59*C59)</f>
        <v>23.6417981004715</v>
      </c>
      <c r="G59" s="396" t="n">
        <f aca="false">IF(A59="N/A"," ",IF(ISERROR(P59),G47*Pwresc,P59)*VLOOKUP(MONTH(A59),Curveadj,3))</f>
        <v>14.3400020599365</v>
      </c>
      <c r="H59" s="398" t="n">
        <f aca="false">IF(A59="N/A"," ",G59*C59)</f>
        <v>15.5230522298813</v>
      </c>
      <c r="I59" s="398" t="n">
        <f aca="false">IF(A59="N/A"," ",IF(ISERROR(Q59),I47*Pwresc,Q59))</f>
        <v>16.1800003051758</v>
      </c>
      <c r="J59" s="398"/>
      <c r="K59" s="399"/>
      <c r="L59" s="399"/>
      <c r="M59" s="404"/>
      <c r="N59" s="401" t="n">
        <f aca="false">IF(A59="N/A"," ",VLOOKUP(A59,PeakPowerCurves,(IF(BMO1=2,3,IF(BMO1=1,2,4))),FALSE()))</f>
        <v>30.5015624761581</v>
      </c>
      <c r="O59" s="401" t="n">
        <f aca="false">IF(A59="N/A"," ",VLOOKUP(A59,SatSunPeakPwr,(IF(BMO1=2,3,IF(BMO1=1,2,4))),FALSE()))</f>
        <v>21.8399982452393</v>
      </c>
      <c r="P59" s="401" t="n">
        <f aca="false">IF(A59="N/A"," ",VLOOKUP(A59,SatSunPeakPwr,(IF(BMO1=2,7,IF(BMO1=1,6,8))),FALSE()))</f>
        <v>14.3400020599365</v>
      </c>
      <c r="Q59" s="402" t="n">
        <f aca="false">IF(A59="N/A"," ",(VLOOKUP(A59,OPPowerPrices,(IF(BMO1=2,7,IF(BMO1=1,6,8))),FALSE())))</f>
        <v>16.1800003051758</v>
      </c>
      <c r="R59" s="403" t="e">
        <f aca="false">IF(A59="N/A"," ",(VLOOKUP($A59,IRTable,2)))</f>
        <v>#N/A</v>
      </c>
      <c r="AF59" s="352" t="n">
        <v>38231</v>
      </c>
      <c r="AG59" s="311" t="n">
        <v>21</v>
      </c>
      <c r="AH59" s="311" t="n">
        <v>4</v>
      </c>
      <c r="AI59" s="311" t="n">
        <v>5</v>
      </c>
      <c r="AJ59" s="311" t="n">
        <v>1</v>
      </c>
      <c r="AK59" s="311" t="n">
        <v>30</v>
      </c>
      <c r="AU59" s="406"/>
    </row>
    <row r="60" customFormat="false" ht="12.75" hidden="false" customHeight="false" outlineLevel="0" collapsed="false">
      <c r="A60" s="405" t="n">
        <f aca="false">Option1!A27</f>
        <v>37956</v>
      </c>
      <c r="B60" s="396" t="n">
        <f aca="false">IF(A60="N/A"," ",IF(ISERROR(N60),B48*Pwresc,N60)*VLOOKUP(MONTH(A60),Curveadj,3))</f>
        <v>30.6015609502792</v>
      </c>
      <c r="C60" s="397" t="n">
        <f aca="false">IF(A60="N/A"," ",(IF(AND(Scaler1=1,MONTH(A60)&gt;=6,MONTH(A60)&lt;=8,OR($M$37="REGION 2",$M$37="REGION 2A",$M$37="REGION 2B",$M$37="REGION 3",$M$37="REGION 3A",$M$37="REGION 3B",$M$37="REGION 3C",$M$37="REGION 4",$M$37="REGION 4B",$M$37="REGION 4C",$M$37="REGION 5",$M$37="REGION 5A")),((0.059228/(B60/100))-(0.4980013/(SQRT(B60/100)))+2.137988),HLOOKUP(MONTH(A60),ScalarTable,28))))</f>
        <v>1.02125</v>
      </c>
      <c r="D60" s="398" t="n">
        <f aca="false">IF(A60="N/A"," ",C60*B60)</f>
        <v>31.2518441204727</v>
      </c>
      <c r="E60" s="396" t="n">
        <f aca="false">IF(A60="N/A"," ",IF(ISERROR(O60),E48*Pwresc,O60)*VLOOKUP(MONTH(A60),Curveadj,3))</f>
        <v>26.8399982452393</v>
      </c>
      <c r="F60" s="398" t="n">
        <f aca="false">IF(A60="N/A"," ",E60*C60)</f>
        <v>27.4103482079506</v>
      </c>
      <c r="G60" s="396" t="n">
        <f aca="false">IF(A60="N/A"," ",IF(ISERROR(P60),G48*Pwresc,P60)*VLOOKUP(MONTH(A60),Curveadj,3))</f>
        <v>21.3399982452393</v>
      </c>
      <c r="H60" s="398" t="n">
        <f aca="false">IF(A60="N/A"," ",G60*C60)</f>
        <v>21.7934732079506</v>
      </c>
      <c r="I60" s="398" t="n">
        <f aca="false">IF(A60="N/A"," ",IF(ISERROR(Q60),I48*Pwresc,Q60))</f>
        <v>18.4300003051758</v>
      </c>
      <c r="J60" s="398"/>
      <c r="K60" s="399"/>
      <c r="L60" s="399"/>
      <c r="M60" s="404"/>
      <c r="N60" s="401" t="n">
        <f aca="false">IF(A60="N/A"," ",VLOOKUP(A60,PeakPowerCurves,(IF(BMO1=2,3,IF(BMO1=1,2,4))),FALSE()))</f>
        <v>30.6015609502792</v>
      </c>
      <c r="O60" s="401" t="n">
        <f aca="false">IF(A60="N/A"," ",VLOOKUP(A60,SatSunPeakPwr,(IF(BMO1=2,3,IF(BMO1=1,2,4))),FALSE()))</f>
        <v>26.8399982452393</v>
      </c>
      <c r="P60" s="401" t="n">
        <f aca="false">IF(A60="N/A"," ",VLOOKUP(A60,SatSunPeakPwr,(IF(BMO1=2,7,IF(BMO1=1,6,8))),FALSE()))</f>
        <v>21.3399982452393</v>
      </c>
      <c r="Q60" s="402" t="n">
        <f aca="false">IF(A60="N/A"," ",(VLOOKUP(A60,OPPowerPrices,(IF(BMO1=2,7,IF(BMO1=1,6,8))),FALSE())))</f>
        <v>18.4300003051758</v>
      </c>
      <c r="R60" s="403" t="e">
        <f aca="false">IF(A60="N/A"," ",(VLOOKUP($A60,IRTable,2)))</f>
        <v>#N/A</v>
      </c>
      <c r="AF60" s="352" t="n">
        <v>38261</v>
      </c>
      <c r="AG60" s="311" t="n">
        <v>21</v>
      </c>
      <c r="AH60" s="311" t="n">
        <v>5</v>
      </c>
      <c r="AI60" s="311" t="n">
        <v>5</v>
      </c>
      <c r="AJ60" s="311" t="n">
        <v>0</v>
      </c>
      <c r="AK60" s="311" t="n">
        <v>31</v>
      </c>
      <c r="AU60" s="406"/>
    </row>
    <row r="61" customFormat="false" ht="12.75" hidden="false" customHeight="false" outlineLevel="0" collapsed="false">
      <c r="A61" s="405" t="n">
        <f aca="false">Option1!A28</f>
        <v>37987</v>
      </c>
      <c r="B61" s="396" t="n">
        <f aca="false">IF(A61="N/A"," ",IF(ISERROR(N61),B49*Pwresc,N61)*VLOOKUP(MONTH(A61),Curveadj,3))</f>
        <v>34.3357146126883</v>
      </c>
      <c r="C61" s="397" t="n">
        <f aca="false">IF(A61="N/A"," ",(IF(AND(Scaler1=1,MONTH(A61)&gt;=6,MONTH(A61)&lt;=8,OR($M$37="REGION 2",$M$37="REGION 2A",$M$37="REGION 2B",$M$37="REGION 3",$M$37="REGION 3A",$M$37="REGION 3B",$M$37="REGION 3C",$M$37="REGION 4",$M$37="REGION 4B",$M$37="REGION 4C",$M$37="REGION 5",$M$37="REGION 5A")),((0.059228/(B61/100))-(0.4980013/(SQRT(B61/100)))+2.137988),HLOOKUP(MONTH(A61),ScalarTable,28))))</f>
        <v>1.02007383501259</v>
      </c>
      <c r="D61" s="398" t="n">
        <f aca="false">IF(A61="N/A"," ",C61*B61)</f>
        <v>35.024964082863</v>
      </c>
      <c r="E61" s="396" t="n">
        <f aca="false">IF(A61="N/A"," ",IF(ISERROR(O61),E49*Pwresc,O61)*VLOOKUP(MONTH(A61),Curveadj,3))</f>
        <v>35.5</v>
      </c>
      <c r="F61" s="398" t="n">
        <f aca="false">IF(A61="N/A"," ",E61*C61)</f>
        <v>36.2126211429471</v>
      </c>
      <c r="G61" s="396" t="n">
        <f aca="false">IF(A61="N/A"," ",IF(ISERROR(P61),G49*Pwresc,P61)*VLOOKUP(MONTH(A61),Curveadj,3))</f>
        <v>25</v>
      </c>
      <c r="H61" s="398" t="n">
        <f aca="false">IF(A61="N/A"," ",G61*C61)</f>
        <v>25.5018458753149</v>
      </c>
      <c r="I61" s="398" t="n">
        <f aca="false">IF(A61="N/A"," ",IF(ISERROR(Q61),I49*Pwresc,Q61))</f>
        <v>20.75</v>
      </c>
      <c r="J61" s="398"/>
      <c r="K61" s="399"/>
      <c r="L61" s="399"/>
      <c r="M61" s="404"/>
      <c r="N61" s="401" t="n">
        <f aca="false">IF(A61="N/A"," ",VLOOKUP(A61,PeakPowerCurves,(IF(BMO1=2,3,IF(BMO1=1,2,4))),FALSE()))</f>
        <v>34.3357146126883</v>
      </c>
      <c r="O61" s="401" t="n">
        <f aca="false">IF(A61="N/A"," ",VLOOKUP(A61,SatSunPeakPwr,(IF(BMO1=2,3,IF(BMO1=1,2,4))),FALSE()))</f>
        <v>35.5</v>
      </c>
      <c r="P61" s="401" t="n">
        <f aca="false">IF(A61="N/A"," ",VLOOKUP(A61,SatSunPeakPwr,(IF(BMO1=2,7,IF(BMO1=1,6,8))),FALSE()))</f>
        <v>25</v>
      </c>
      <c r="Q61" s="402" t="n">
        <f aca="false">IF(A61="N/A"," ",(VLOOKUP(A61,OPPowerPrices,(IF(BMO1=2,7,IF(BMO1=1,6,8))),FALSE())))</f>
        <v>20.75</v>
      </c>
      <c r="R61" s="403" t="e">
        <f aca="false">IF(A61="N/A"," ",(VLOOKUP($A61,IRTable,2)))</f>
        <v>#N/A</v>
      </c>
      <c r="AF61" s="352" t="n">
        <v>38292</v>
      </c>
      <c r="AG61" s="311" t="n">
        <v>21</v>
      </c>
      <c r="AH61" s="311" t="n">
        <v>4</v>
      </c>
      <c r="AI61" s="311" t="n">
        <v>5</v>
      </c>
      <c r="AJ61" s="311" t="n">
        <v>1</v>
      </c>
      <c r="AK61" s="311" t="n">
        <v>30</v>
      </c>
      <c r="AU61" s="406"/>
    </row>
    <row r="62" customFormat="false" ht="12.75" hidden="false" customHeight="false" outlineLevel="0" collapsed="false">
      <c r="A62" s="405" t="n">
        <f aca="false">Option1!A29</f>
        <v>38018</v>
      </c>
      <c r="B62" s="396" t="n">
        <f aca="false">IF(A62="N/A"," ",IF(ISERROR(N62),B50*Pwresc,N62)*VLOOKUP(MONTH(A62),Curveadj,3))</f>
        <v>33.7357085091727</v>
      </c>
      <c r="C62" s="397" t="n">
        <f aca="false">IF(A62="N/A"," ",(IF(AND(Scaler1=1,MONTH(A62)&gt;=6,MONTH(A62)&lt;=8,OR($M$37="REGION 2",$M$37="REGION 2A",$M$37="REGION 2B",$M$37="REGION 3",$M$37="REGION 3A",$M$37="REGION 3B",$M$37="REGION 3C",$M$37="REGION 4",$M$37="REGION 4B",$M$37="REGION 4C",$M$37="REGION 5",$M$37="REGION 5A")),((0.059228/(B62/100))-(0.4980013/(SQRT(B62/100)))+2.137988),HLOOKUP(MONTH(A62),ScalarTable,28))))</f>
        <v>1.02007383501259</v>
      </c>
      <c r="D62" s="398" t="n">
        <f aca="false">IF(A62="N/A"," ",C62*B62)</f>
        <v>34.4129135558188</v>
      </c>
      <c r="E62" s="396" t="n">
        <f aca="false">IF(A62="N/A"," ",IF(ISERROR(O62),E50*Pwresc,O62)*VLOOKUP(MONTH(A62),Curveadj,3))</f>
        <v>31.2460021972656</v>
      </c>
      <c r="F62" s="398" t="n">
        <f aca="false">IF(A62="N/A"," ",E62*C62)</f>
        <v>31.8732292901767</v>
      </c>
      <c r="G62" s="396" t="n">
        <f aca="false">IF(A62="N/A"," ",IF(ISERROR(P62),G50*Pwresc,P62)*VLOOKUP(MONTH(A62),Curveadj,3))</f>
        <v>22.7465019226074</v>
      </c>
      <c r="H62" s="398" t="n">
        <f aca="false">IF(A62="N/A"," ",G62*C62)</f>
        <v>23.2031114493155</v>
      </c>
      <c r="I62" s="398" t="n">
        <f aca="false">IF(A62="N/A"," ",IF(ISERROR(Q62),I50*Pwresc,Q62))</f>
        <v>20</v>
      </c>
      <c r="J62" s="398" t="n">
        <f aca="false">IF(A62="N/A"," ",Inputs!$G$4)</f>
        <v>29</v>
      </c>
      <c r="K62" s="399"/>
      <c r="L62" s="399"/>
      <c r="M62" s="404"/>
      <c r="N62" s="401" t="n">
        <f aca="false">IF(A62="N/A"," ",VLOOKUP(A62,PeakPowerCurves,(IF(BMO1=2,3,IF(BMO1=1,2,4))),FALSE()))</f>
        <v>33.7357085091727</v>
      </c>
      <c r="O62" s="401" t="n">
        <f aca="false">IF(A62="N/A"," ",VLOOKUP(A62,SatSunPeakPwr,(IF(BMO1=2,3,IF(BMO1=1,2,4))),FALSE()))</f>
        <v>31.2460021972656</v>
      </c>
      <c r="P62" s="401" t="n">
        <f aca="false">IF(A62="N/A"," ",VLOOKUP(A62,SatSunPeakPwr,(IF(BMO1=2,7,IF(BMO1=1,6,8))),FALSE()))</f>
        <v>22.7465019226074</v>
      </c>
      <c r="Q62" s="402" t="n">
        <f aca="false">IF(A62="N/A"," ",(VLOOKUP(A62,OPPowerPrices,(IF(BMO1=2,7,IF(BMO1=1,6,8))),FALSE())))</f>
        <v>20</v>
      </c>
      <c r="R62" s="403" t="e">
        <f aca="false">IF(A62="N/A"," ",(VLOOKUP($A62,IRTable,2)))</f>
        <v>#N/A</v>
      </c>
      <c r="AF62" s="352" t="n">
        <v>38322</v>
      </c>
      <c r="AG62" s="311" t="n">
        <v>23</v>
      </c>
      <c r="AH62" s="311" t="n">
        <v>3</v>
      </c>
      <c r="AI62" s="311" t="n">
        <v>5</v>
      </c>
      <c r="AJ62" s="311" t="n">
        <v>1</v>
      </c>
      <c r="AK62" s="311" t="n">
        <v>31</v>
      </c>
      <c r="AU62" s="406"/>
    </row>
    <row r="63" customFormat="false" ht="12.75" hidden="false" customHeight="false" outlineLevel="0" collapsed="false">
      <c r="A63" s="405" t="n">
        <f aca="false">Option1!A30</f>
        <v>38047</v>
      </c>
      <c r="B63" s="396" t="n">
        <f aca="false">IF(A63="N/A"," ",IF(ISERROR(N63),B51*Pwresc,N63)*VLOOKUP(MONTH(A63),Curveadj,3))</f>
        <v>32.4476771687352</v>
      </c>
      <c r="C63" s="397" t="n">
        <f aca="false">IF(A63="N/A"," ",(IF(AND(Scaler1=1,MONTH(A63)&gt;=6,MONTH(A63)&lt;=8,OR($M$37="REGION 2",$M$37="REGION 2A",$M$37="REGION 2B",$M$37="REGION 3",$M$37="REGION 3A",$M$37="REGION 3B",$M$37="REGION 3C",$M$37="REGION 4",$M$37="REGION 4B",$M$37="REGION 4C",$M$37="REGION 5",$M$37="REGION 5A")),((0.059228/(B63/100))-(0.4980013/(SQRT(B63/100)))+2.137988),HLOOKUP(MONTH(A63),ScalarTable,28))))</f>
        <v>1.0173448699422</v>
      </c>
      <c r="D63" s="398" t="n">
        <f aca="false">IF(A63="N/A"," ",C63*B63)</f>
        <v>33.0104779091533</v>
      </c>
      <c r="E63" s="396" t="n">
        <f aca="false">IF(A63="N/A"," ",IF(ISERROR(O63),E51*Pwresc,O63)*VLOOKUP(MONTH(A63),Curveadj,3))</f>
        <v>25.5</v>
      </c>
      <c r="F63" s="398" t="n">
        <f aca="false">IF(A63="N/A"," ",E63*C63)</f>
        <v>25.942294183526</v>
      </c>
      <c r="G63" s="396" t="n">
        <f aca="false">IF(A63="N/A"," ",IF(ISERROR(P63),G51*Pwresc,P63)*VLOOKUP(MONTH(A63),Curveadj,3))</f>
        <v>20</v>
      </c>
      <c r="H63" s="398" t="n">
        <f aca="false">IF(A63="N/A"," ",G63*C63)</f>
        <v>20.3468973988439</v>
      </c>
      <c r="I63" s="398" t="n">
        <f aca="false">IF(A63="N/A"," ",IF(ISERROR(Q63),I51*Pwresc,Q63))</f>
        <v>21</v>
      </c>
      <c r="J63" s="398" t="n">
        <f aca="false">IF(A63="N/A"," ",Inputs!$G$4)</f>
        <v>29</v>
      </c>
      <c r="K63" s="399"/>
      <c r="L63" s="399"/>
      <c r="M63" s="404"/>
      <c r="N63" s="401" t="n">
        <f aca="false">IF(A63="N/A"," ",VLOOKUP(A63,PeakPowerCurves,(IF(BMO1=2,3,IF(BMO1=1,2,4))),FALSE()))</f>
        <v>32.4476771687352</v>
      </c>
      <c r="O63" s="401" t="n">
        <f aca="false">IF(A63="N/A"," ",VLOOKUP(A63,SatSunPeakPwr,(IF(BMO1=2,3,IF(BMO1=1,2,4))),FALSE()))</f>
        <v>25.5</v>
      </c>
      <c r="P63" s="401" t="n">
        <f aca="false">IF(A63="N/A"," ",VLOOKUP(A63,SatSunPeakPwr,(IF(BMO1=2,7,IF(BMO1=1,6,8))),FALSE()))</f>
        <v>20</v>
      </c>
      <c r="Q63" s="402" t="n">
        <f aca="false">IF(A63="N/A"," ",(VLOOKUP(A63,OPPowerPrices,(IF(BMO1=2,7,IF(BMO1=1,6,8))),FALSE())))</f>
        <v>21</v>
      </c>
      <c r="R63" s="403" t="e">
        <f aca="false">IF(A63="N/A"," ",(VLOOKUP($A63,IRTable,2)))</f>
        <v>#N/A</v>
      </c>
      <c r="AF63" s="352" t="n">
        <v>38353</v>
      </c>
      <c r="AG63" s="311" t="n">
        <v>21</v>
      </c>
      <c r="AH63" s="311" t="n">
        <v>4</v>
      </c>
      <c r="AI63" s="311" t="n">
        <v>6</v>
      </c>
      <c r="AJ63" s="311" t="n">
        <v>1</v>
      </c>
      <c r="AK63" s="311" t="n">
        <v>31</v>
      </c>
      <c r="AU63" s="406"/>
    </row>
    <row r="64" customFormat="false" ht="12.75" hidden="false" customHeight="false" outlineLevel="0" collapsed="false">
      <c r="A64" s="405" t="n">
        <f aca="false">Option1!A31</f>
        <v>38078</v>
      </c>
      <c r="B64" s="396" t="n">
        <f aca="false">IF(A64="N/A"," ",IF(ISERROR(N64),B52*Pwresc,N64)*VLOOKUP(MONTH(A64),Curveadj,3))</f>
        <v>32.6476779316747</v>
      </c>
      <c r="C64" s="397" t="n">
        <f aca="false">IF(A64="N/A"," ",(IF(AND(Scaler1=1,MONTH(A64)&gt;=6,MONTH(A64)&lt;=8,OR($M$37="REGION 2",$M$37="REGION 2A",$M$37="REGION 2B",$M$37="REGION 3",$M$37="REGION 3A",$M$37="REGION 3B",$M$37="REGION 3C",$M$37="REGION 4",$M$37="REGION 4B",$M$37="REGION 4C",$M$37="REGION 5",$M$37="REGION 5A")),((0.059228/(B64/100))-(0.4980013/(SQRT(B64/100)))+2.137988),HLOOKUP(MONTH(A64),ScalarTable,28))))</f>
        <v>1.005</v>
      </c>
      <c r="D64" s="398" t="n">
        <f aca="false">IF(A64="N/A"," ",C64*B64)</f>
        <v>32.8109163213331</v>
      </c>
      <c r="E64" s="396" t="n">
        <f aca="false">IF(A64="N/A"," ",IF(ISERROR(O64),E52*Pwresc,O64)*VLOOKUP(MONTH(A64),Curveadj,3))</f>
        <v>22</v>
      </c>
      <c r="F64" s="398" t="n">
        <f aca="false">IF(A64="N/A"," ",E64*C64)</f>
        <v>22.11</v>
      </c>
      <c r="G64" s="396" t="n">
        <f aca="false">IF(A64="N/A"," ",IF(ISERROR(P64),G52*Pwresc,P64)*VLOOKUP(MONTH(A64),Curveadj,3))</f>
        <v>16.4950008392334</v>
      </c>
      <c r="H64" s="398" t="n">
        <f aca="false">IF(A64="N/A"," ",G64*C64)</f>
        <v>16.5774758434296</v>
      </c>
      <c r="I64" s="398" t="n">
        <f aca="false">IF(A64="N/A"," ",IF(ISERROR(Q64),I52*Pwresc,Q64))</f>
        <v>18</v>
      </c>
      <c r="J64" s="398" t="n">
        <f aca="false">IF(A64="N/A"," ",Inputs!$G$4)</f>
        <v>29</v>
      </c>
      <c r="K64" s="399"/>
      <c r="L64" s="399"/>
      <c r="M64" s="404"/>
      <c r="N64" s="401" t="n">
        <f aca="false">IF(A64="N/A"," ",VLOOKUP(A64,PeakPowerCurves,(IF(BMO1=2,3,IF(BMO1=1,2,4))),FALSE()))</f>
        <v>32.6476779316747</v>
      </c>
      <c r="O64" s="401" t="n">
        <f aca="false">IF(A64="N/A"," ",VLOOKUP(A64,SatSunPeakPwr,(IF(BMO1=2,3,IF(BMO1=1,2,4))),FALSE()))</f>
        <v>22</v>
      </c>
      <c r="P64" s="401" t="n">
        <f aca="false">IF(A64="N/A"," ",VLOOKUP(A64,SatSunPeakPwr,(IF(BMO1=2,7,IF(BMO1=1,6,8))),FALSE()))</f>
        <v>16.4950008392334</v>
      </c>
      <c r="Q64" s="402" t="n">
        <f aca="false">IF(A64="N/A"," ",(VLOOKUP(A64,OPPowerPrices,(IF(BMO1=2,7,IF(BMO1=1,6,8))),FALSE())))</f>
        <v>18</v>
      </c>
      <c r="R64" s="403" t="e">
        <f aca="false">IF(A64="N/A"," ",(VLOOKUP($A64,IRTable,2)))</f>
        <v>#N/A</v>
      </c>
      <c r="AF64" s="352" t="n">
        <v>38384</v>
      </c>
      <c r="AG64" s="311" t="n">
        <v>20</v>
      </c>
      <c r="AH64" s="311" t="n">
        <v>4</v>
      </c>
      <c r="AI64" s="311" t="n">
        <v>4</v>
      </c>
      <c r="AJ64" s="311" t="n">
        <v>0</v>
      </c>
      <c r="AK64" s="311" t="n">
        <v>28</v>
      </c>
      <c r="AU64" s="406"/>
    </row>
    <row r="65" customFormat="false" ht="12.75" hidden="false" customHeight="false" outlineLevel="0" collapsed="false">
      <c r="A65" s="405" t="n">
        <f aca="false">Option1!A32</f>
        <v>38108</v>
      </c>
      <c r="B65" s="396" t="n">
        <f aca="false">IF(A65="N/A"," ",IF(ISERROR(N65),B53*Pwresc,N65)*VLOOKUP(MONTH(A65),Curveadj,3))</f>
        <v>35.4250030517578</v>
      </c>
      <c r="C65" s="397" t="n">
        <f aca="false">IF(A65="N/A"," ",(IF(AND(Scaler1=1,MONTH(A65)&gt;=6,MONTH(A65)&lt;=8,OR($M$37="REGION 2",$M$37="REGION 2A",$M$37="REGION 2B",$M$37="REGION 3",$M$37="REGION 3A",$M$37="REGION 3B",$M$37="REGION 3C",$M$37="REGION 4",$M$37="REGION 4B",$M$37="REGION 4C",$M$37="REGION 5",$M$37="REGION 5A")),((0.059228/(B65/100))-(0.4980013/(SQRT(B65/100)))+2.137988),HLOOKUP(MONTH(A65),ScalarTable,28))))</f>
        <v>1.075625</v>
      </c>
      <c r="D65" s="398" t="n">
        <f aca="false">IF(A65="N/A"," ",C65*B65)</f>
        <v>38.104018907547</v>
      </c>
      <c r="E65" s="396" t="n">
        <f aca="false">IF(A65="N/A"," ",IF(ISERROR(O65),E53*Pwresc,O65)*VLOOKUP(MONTH(A65),Curveadj,3))</f>
        <v>22.2900009155273</v>
      </c>
      <c r="F65" s="398" t="n">
        <f aca="false">IF(A65="N/A"," ",E65*C65)</f>
        <v>23.9756822347641</v>
      </c>
      <c r="G65" s="396" t="n">
        <f aca="false">IF(A65="N/A"," ",IF(ISERROR(P65),G53*Pwresc,P65)*VLOOKUP(MONTH(A65),Curveadj,3))</f>
        <v>15.7950000762939</v>
      </c>
      <c r="H65" s="398" t="n">
        <f aca="false">IF(A65="N/A"," ",G65*C65)</f>
        <v>16.9894969570637</v>
      </c>
      <c r="I65" s="398" t="n">
        <f aca="false">IF(A65="N/A"," ",IF(ISERROR(Q65),I53*Pwresc,Q65))</f>
        <v>18.5400009155273</v>
      </c>
      <c r="J65" s="398" t="n">
        <f aca="false">IF(A65="N/A"," ",Inputs!$G$4)</f>
        <v>29</v>
      </c>
      <c r="K65" s="399"/>
      <c r="L65" s="399"/>
      <c r="M65" s="404"/>
      <c r="N65" s="401" t="n">
        <f aca="false">IF(A65="N/A"," ",VLOOKUP(A65,PeakPowerCurves,(IF(BMO1=2,3,IF(BMO1=1,2,4))),FALSE()))</f>
        <v>35.4250030517578</v>
      </c>
      <c r="O65" s="401" t="n">
        <f aca="false">IF(A65="N/A"," ",VLOOKUP(A65,SatSunPeakPwr,(IF(BMO1=2,3,IF(BMO1=1,2,4))),FALSE()))</f>
        <v>22.2900009155273</v>
      </c>
      <c r="P65" s="401" t="n">
        <f aca="false">IF(A65="N/A"," ",VLOOKUP(A65,SatSunPeakPwr,(IF(BMO1=2,7,IF(BMO1=1,6,8))),FALSE()))</f>
        <v>15.7950000762939</v>
      </c>
      <c r="Q65" s="402" t="n">
        <f aca="false">IF(A65="N/A"," ",(VLOOKUP(A65,OPPowerPrices,(IF(BMO1=2,7,IF(BMO1=1,6,8))),FALSE())))</f>
        <v>18.5400009155273</v>
      </c>
      <c r="R65" s="403" t="e">
        <f aca="false">IF(A65="N/A"," ",(VLOOKUP($A65,IRTable,2)))</f>
        <v>#N/A</v>
      </c>
      <c r="AF65" s="352" t="n">
        <v>38412</v>
      </c>
      <c r="AG65" s="311" t="n">
        <v>23</v>
      </c>
      <c r="AH65" s="311" t="n">
        <v>4</v>
      </c>
      <c r="AI65" s="311" t="n">
        <v>4</v>
      </c>
      <c r="AJ65" s="311" t="n">
        <v>0</v>
      </c>
      <c r="AK65" s="311" t="n">
        <v>31</v>
      </c>
      <c r="AU65" s="406"/>
    </row>
    <row r="66" customFormat="false" ht="12.75" hidden="false" customHeight="false" outlineLevel="0" collapsed="false">
      <c r="A66" s="405" t="n">
        <f aca="false">Option1!A33</f>
        <v>38139</v>
      </c>
      <c r="B66" s="396" t="n">
        <f aca="false">IF(A66="N/A"," ",IF(ISERROR(N66),B54*Pwresc,N66)*VLOOKUP(MONTH(A66),Curveadj,3))</f>
        <v>42.6250038146973</v>
      </c>
      <c r="C66" s="397" t="n">
        <f aca="false">IF(A66="N/A"," ",(IF(AND(Scaler1=1,MONTH(A66)&gt;=6,MONTH(A66)&lt;=8,OR($M$37="REGION 2",$M$37="REGION 2A",$M$37="REGION 2B",$M$37="REGION 3",$M$37="REGION 3A",$M$37="REGION 3B",$M$37="REGION 3C",$M$37="REGION 4",$M$37="REGION 4B",$M$37="REGION 4C",$M$37="REGION 5",$M$37="REGION 5A")),((0.059228/(B66/100))-(0.4980013/(SQRT(B66/100)))+2.137988),HLOOKUP(MONTH(A66),ScalarTable,28))))</f>
        <v>1.53</v>
      </c>
      <c r="D66" s="398" t="n">
        <f aca="false">IF(A66="N/A"," ",C66*B66)</f>
        <v>65.2162558364868</v>
      </c>
      <c r="E66" s="396" t="n">
        <f aca="false">IF(A66="N/A"," ",IF(ISERROR(O66),E54*Pwresc,O66)*VLOOKUP(MONTH(A66),Curveadj,3))</f>
        <v>29.2900009155273</v>
      </c>
      <c r="F66" s="398" t="n">
        <f aca="false">IF(A66="N/A"," ",E66*C66)</f>
        <v>44.8137014007568</v>
      </c>
      <c r="G66" s="396" t="n">
        <f aca="false">IF(A66="N/A"," ",IF(ISERROR(P66),G54*Pwresc,P66)*VLOOKUP(MONTH(A66),Curveadj,3))</f>
        <v>19.7900009155273</v>
      </c>
      <c r="H66" s="398" t="n">
        <f aca="false">IF(A66="N/A"," ",G66*C66)</f>
        <v>30.2787014007568</v>
      </c>
      <c r="I66" s="398" t="n">
        <f aca="false">IF(A66="N/A"," ",IF(ISERROR(Q66),I54*Pwresc,Q66))</f>
        <v>21.5400009155273</v>
      </c>
      <c r="J66" s="398" t="n">
        <f aca="false">IF(A66="N/A"," ",Inputs!$G$4)</f>
        <v>29</v>
      </c>
      <c r="K66" s="399"/>
      <c r="L66" s="399"/>
      <c r="M66" s="404"/>
      <c r="N66" s="401" t="n">
        <f aca="false">IF(A66="N/A"," ",VLOOKUP(A66,PeakPowerCurves,(IF(BMO1=2,3,IF(BMO1=1,2,4))),FALSE()))</f>
        <v>42.6250038146973</v>
      </c>
      <c r="O66" s="401" t="n">
        <f aca="false">IF(A66="N/A"," ",VLOOKUP(A66,SatSunPeakPwr,(IF(BMO1=2,3,IF(BMO1=1,2,4))),FALSE()))</f>
        <v>29.2900009155273</v>
      </c>
      <c r="P66" s="401" t="n">
        <f aca="false">IF(A66="N/A"," ",VLOOKUP(A66,SatSunPeakPwr,(IF(BMO1=2,7,IF(BMO1=1,6,8))),FALSE()))</f>
        <v>19.7900009155273</v>
      </c>
      <c r="Q66" s="402" t="n">
        <f aca="false">IF(A66="N/A"," ",(VLOOKUP(A66,OPPowerPrices,(IF(BMO1=2,7,IF(BMO1=1,6,8))),FALSE())))</f>
        <v>21.5400009155273</v>
      </c>
      <c r="R66" s="403" t="e">
        <f aca="false">IF(A66="N/A"," ",(VLOOKUP($A66,IRTable,2)))</f>
        <v>#N/A</v>
      </c>
      <c r="AF66" s="352" t="n">
        <v>38443</v>
      </c>
      <c r="AG66" s="311" t="n">
        <v>21</v>
      </c>
      <c r="AH66" s="311" t="n">
        <v>5</v>
      </c>
      <c r="AI66" s="311" t="n">
        <v>4</v>
      </c>
      <c r="AJ66" s="311" t="n">
        <v>0</v>
      </c>
      <c r="AK66" s="311" t="n">
        <v>30</v>
      </c>
      <c r="AU66" s="406"/>
    </row>
    <row r="67" customFormat="false" ht="12.75" hidden="false" customHeight="false" outlineLevel="0" collapsed="false">
      <c r="A67" s="405" t="n">
        <f aca="false">Option1!A34</f>
        <v>38169</v>
      </c>
      <c r="B67" s="396" t="n">
        <f aca="false">IF(A67="N/A"," ",IF(ISERROR(N67),B55*Pwresc,N67)*VLOOKUP(MONTH(A67),Curveadj,3))</f>
        <v>52.5</v>
      </c>
      <c r="C67" s="397" t="n">
        <f aca="false">IF(A67="N/A"," ",(IF(AND(Scaler1=1,MONTH(A67)&gt;=6,MONTH(A67)&lt;=8,OR($M$37="REGION 2",$M$37="REGION 2A",$M$37="REGION 2B",$M$37="REGION 3",$M$37="REGION 3A",$M$37="REGION 3B",$M$37="REGION 3C",$M$37="REGION 4",$M$37="REGION 4B",$M$37="REGION 4C",$M$37="REGION 5",$M$37="REGION 5A")),((0.059228/(B67/100))-(0.4980013/(SQRT(B67/100)))+2.137988),HLOOKUP(MONTH(A67),ScalarTable,28))))</f>
        <v>1.63</v>
      </c>
      <c r="D67" s="398" t="n">
        <f aca="false">IF(A67="N/A"," ",C67*B67)</f>
        <v>85.575</v>
      </c>
      <c r="E67" s="396" t="n">
        <f aca="false">IF(A67="N/A"," ",IF(ISERROR(O67),E55*Pwresc,O67)*VLOOKUP(MONTH(A67),Curveadj,3))</f>
        <v>35.2900009155273</v>
      </c>
      <c r="F67" s="398" t="n">
        <f aca="false">IF(A67="N/A"," ",E67*C67)</f>
        <v>57.5227014923096</v>
      </c>
      <c r="G67" s="396" t="n">
        <f aca="false">IF(A67="N/A"," ",IF(ISERROR(P67),G55*Pwresc,P67)*VLOOKUP(MONTH(A67),Curveadj,3))</f>
        <v>25.7900009155273</v>
      </c>
      <c r="H67" s="398" t="n">
        <f aca="false">IF(A67="N/A"," ",G67*C67)</f>
        <v>42.0377014923096</v>
      </c>
      <c r="I67" s="398" t="n">
        <f aca="false">IF(A67="N/A"," ",IF(ISERROR(Q67),I55*Pwresc,Q67))</f>
        <v>22.0400009155273</v>
      </c>
      <c r="J67" s="398" t="n">
        <f aca="false">IF(A67="N/A"," ",Inputs!$G$4)</f>
        <v>29</v>
      </c>
      <c r="K67" s="399"/>
      <c r="L67" s="399"/>
      <c r="M67" s="404"/>
      <c r="N67" s="401" t="n">
        <f aca="false">IF(A67="N/A"," ",VLOOKUP(A67,PeakPowerCurves,(IF(BMO1=2,3,IF(BMO1=1,2,4))),FALSE()))</f>
        <v>52.5</v>
      </c>
      <c r="O67" s="401" t="n">
        <f aca="false">IF(A67="N/A"," ",VLOOKUP(A67,SatSunPeakPwr,(IF(BMO1=2,3,IF(BMO1=1,2,4))),FALSE()))</f>
        <v>35.2900009155273</v>
      </c>
      <c r="P67" s="401" t="n">
        <f aca="false">IF(A67="N/A"," ",VLOOKUP(A67,SatSunPeakPwr,(IF(BMO1=2,7,IF(BMO1=1,6,8))),FALSE()))</f>
        <v>25.7900009155273</v>
      </c>
      <c r="Q67" s="402" t="n">
        <f aca="false">IF(A67="N/A"," ",(VLOOKUP(A67,OPPowerPrices,(IF(BMO1=2,7,IF(BMO1=1,6,8))),FALSE())))</f>
        <v>22.0400009155273</v>
      </c>
      <c r="R67" s="403" t="e">
        <f aca="false">IF(A67="N/A"," ",(VLOOKUP($A67,IRTable,2)))</f>
        <v>#N/A</v>
      </c>
      <c r="AF67" s="352" t="n">
        <v>38473</v>
      </c>
      <c r="AG67" s="311" t="n">
        <v>21</v>
      </c>
      <c r="AH67" s="311" t="n">
        <v>4</v>
      </c>
      <c r="AI67" s="311" t="n">
        <v>6</v>
      </c>
      <c r="AJ67" s="311" t="n">
        <v>1</v>
      </c>
      <c r="AK67" s="311" t="n">
        <v>31</v>
      </c>
      <c r="AU67" s="406"/>
    </row>
    <row r="68" customFormat="false" ht="12.75" hidden="false" customHeight="false" outlineLevel="0" collapsed="false">
      <c r="A68" s="405" t="n">
        <f aca="false">Option1!A35</f>
        <v>38200</v>
      </c>
      <c r="B68" s="396" t="n">
        <f aca="false">IF(A68="N/A"," ",IF(ISERROR(N68),B56*Pwresc,N68)*VLOOKUP(MONTH(A68),Curveadj,3))</f>
        <v>52.5</v>
      </c>
      <c r="C68" s="397" t="n">
        <f aca="false">IF(A68="N/A"," ",(IF(AND(Scaler1=1,MONTH(A68)&gt;=6,MONTH(A68)&lt;=8,OR($M$37="REGION 2",$M$37="REGION 2A",$M$37="REGION 2B",$M$37="REGION 3",$M$37="REGION 3A",$M$37="REGION 3B",$M$37="REGION 3C",$M$37="REGION 4",$M$37="REGION 4B",$M$37="REGION 4C",$M$37="REGION 5",$M$37="REGION 5A")),((0.059228/(B68/100))-(0.4980013/(SQRT(B68/100)))+2.137988),HLOOKUP(MONTH(A68),ScalarTable,28))))</f>
        <v>1.63</v>
      </c>
      <c r="D68" s="398" t="n">
        <f aca="false">IF(A68="N/A"," ",C68*B68)</f>
        <v>85.575</v>
      </c>
      <c r="E68" s="396" t="n">
        <f aca="false">IF(A68="N/A"," ",IF(ISERROR(O68),E56*Pwresc,O68)*VLOOKUP(MONTH(A68),Curveadj,3))</f>
        <v>33.2900047302246</v>
      </c>
      <c r="F68" s="398" t="n">
        <f aca="false">IF(A68="N/A"," ",E68*C68)</f>
        <v>54.2627077102661</v>
      </c>
      <c r="G68" s="396" t="n">
        <f aca="false">IF(A68="N/A"," ",IF(ISERROR(P68),G56*Pwresc,P68)*VLOOKUP(MONTH(A68),Curveadj,3))</f>
        <v>25.7900009155273</v>
      </c>
      <c r="H68" s="398" t="n">
        <f aca="false">IF(A68="N/A"," ",G68*C68)</f>
        <v>42.0377014923096</v>
      </c>
      <c r="I68" s="398" t="n">
        <f aca="false">IF(A68="N/A"," ",IF(ISERROR(Q68),I56*Pwresc,Q68))</f>
        <v>23.0400009155273</v>
      </c>
      <c r="J68" s="398" t="n">
        <f aca="false">IF(A68="N/A"," ",Inputs!$G$4)</f>
        <v>29</v>
      </c>
      <c r="K68" s="399"/>
      <c r="L68" s="399"/>
      <c r="M68" s="404"/>
      <c r="N68" s="401" t="n">
        <f aca="false">IF(A68="N/A"," ",VLOOKUP(A68,PeakPowerCurves,(IF(BMO1=2,3,IF(BMO1=1,2,4))),FALSE()))</f>
        <v>52.5</v>
      </c>
      <c r="O68" s="401" t="n">
        <f aca="false">IF(A68="N/A"," ",VLOOKUP(A68,SatSunPeakPwr,(IF(BMO1=2,3,IF(BMO1=1,2,4))),FALSE()))</f>
        <v>33.2900047302246</v>
      </c>
      <c r="P68" s="401" t="n">
        <f aca="false">IF(A68="N/A"," ",VLOOKUP(A68,SatSunPeakPwr,(IF(BMO1=2,7,IF(BMO1=1,6,8))),FALSE()))</f>
        <v>25.7900009155273</v>
      </c>
      <c r="Q68" s="402" t="n">
        <f aca="false">IF(A68="N/A"," ",(VLOOKUP(A68,OPPowerPrices,(IF(BMO1=2,7,IF(BMO1=1,6,8))),FALSE())))</f>
        <v>23.0400009155273</v>
      </c>
      <c r="R68" s="403" t="e">
        <f aca="false">IF(A68="N/A"," ",(VLOOKUP($A68,IRTable,2)))</f>
        <v>#N/A</v>
      </c>
      <c r="AF68" s="352" t="n">
        <v>38504</v>
      </c>
      <c r="AG68" s="311" t="n">
        <v>22</v>
      </c>
      <c r="AH68" s="311" t="n">
        <v>4</v>
      </c>
      <c r="AI68" s="311" t="n">
        <v>4</v>
      </c>
      <c r="AJ68" s="311" t="n">
        <v>0</v>
      </c>
      <c r="AK68" s="311" t="n">
        <v>30</v>
      </c>
      <c r="AU68" s="406"/>
    </row>
    <row r="69" customFormat="false" ht="12.75" hidden="false" customHeight="false" outlineLevel="0" collapsed="false">
      <c r="A69" s="405" t="n">
        <f aca="false">Option1!A36</f>
        <v>38231</v>
      </c>
      <c r="B69" s="396" t="n">
        <f aca="false">IF(A69="N/A"," ",IF(ISERROR(N69),B57*Pwresc,N69)*VLOOKUP(MONTH(A69),Curveadj,3))</f>
        <v>30.3000011444092</v>
      </c>
      <c r="C69" s="397" t="n">
        <f aca="false">IF(A69="N/A"," ",(IF(AND(Scaler1=1,MONTH(A69)&gt;=6,MONTH(A69)&lt;=8,OR($M$37="REGION 2",$M$37="REGION 2A",$M$37="REGION 2B",$M$37="REGION 3",$M$37="REGION 3A",$M$37="REGION 3B",$M$37="REGION 3C",$M$37="REGION 4",$M$37="REGION 4B",$M$37="REGION 4C",$M$37="REGION 5",$M$37="REGION 5A")),((0.059228/(B69/100))-(0.4980013/(SQRT(B69/100)))+2.137988),HLOOKUP(MONTH(A69),ScalarTable,28))))</f>
        <v>1.35125</v>
      </c>
      <c r="D69" s="398" t="n">
        <f aca="false">IF(A69="N/A"," ",C69*B69)</f>
        <v>40.9428765463829</v>
      </c>
      <c r="E69" s="396" t="n">
        <f aca="false">IF(A69="N/A"," ",IF(ISERROR(O69),E57*Pwresc,O69)*VLOOKUP(MONTH(A69),Curveadj,3))</f>
        <v>25.2900009155273</v>
      </c>
      <c r="F69" s="398" t="n">
        <f aca="false">IF(A69="N/A"," ",E69*C69)</f>
        <v>34.1731137371063</v>
      </c>
      <c r="G69" s="396" t="n">
        <f aca="false">IF(A69="N/A"," ",IF(ISERROR(P69),G57*Pwresc,P69)*VLOOKUP(MONTH(A69),Curveadj,3))</f>
        <v>19.7900009155273</v>
      </c>
      <c r="H69" s="398" t="n">
        <f aca="false">IF(A69="N/A"," ",G69*C69)</f>
        <v>26.7412387371063</v>
      </c>
      <c r="I69" s="398" t="n">
        <f aca="false">IF(A69="N/A"," ",IF(ISERROR(Q69),I57*Pwresc,Q69))</f>
        <v>17.0400009155273</v>
      </c>
      <c r="J69" s="398" t="n">
        <f aca="false">IF(A69="N/A"," ",Inputs!$G$4)</f>
        <v>29</v>
      </c>
      <c r="K69" s="399"/>
      <c r="L69" s="399"/>
      <c r="M69" s="404"/>
      <c r="N69" s="401" t="n">
        <f aca="false">IF(A69="N/A"," ",VLOOKUP(A69,PeakPowerCurves,(IF(BMO1=2,3,IF(BMO1=1,2,4))),FALSE()))</f>
        <v>30.3000011444092</v>
      </c>
      <c r="O69" s="401" t="n">
        <f aca="false">IF(A69="N/A"," ",VLOOKUP(A69,SatSunPeakPwr,(IF(BMO1=2,3,IF(BMO1=1,2,4))),FALSE()))</f>
        <v>25.2900009155273</v>
      </c>
      <c r="P69" s="401" t="n">
        <f aca="false">IF(A69="N/A"," ",VLOOKUP(A69,SatSunPeakPwr,(IF(BMO1=2,7,IF(BMO1=1,6,8))),FALSE()))</f>
        <v>19.7900009155273</v>
      </c>
      <c r="Q69" s="402" t="n">
        <f aca="false">IF(A69="N/A"," ",(VLOOKUP(A69,OPPowerPrices,(IF(BMO1=2,7,IF(BMO1=1,6,8))),FALSE())))</f>
        <v>17.0400009155273</v>
      </c>
      <c r="R69" s="403" t="e">
        <f aca="false">IF(A69="N/A"," ",(VLOOKUP($A69,IRTable,2)))</f>
        <v>#N/A</v>
      </c>
      <c r="AF69" s="352" t="n">
        <v>38534</v>
      </c>
      <c r="AG69" s="311" t="n">
        <v>20</v>
      </c>
      <c r="AH69" s="311" t="n">
        <v>5</v>
      </c>
      <c r="AI69" s="311" t="n">
        <v>6</v>
      </c>
      <c r="AJ69" s="311" t="n">
        <v>1</v>
      </c>
      <c r="AK69" s="311" t="n">
        <v>31</v>
      </c>
      <c r="AU69" s="406"/>
    </row>
    <row r="70" customFormat="false" ht="12.75" hidden="false" customHeight="false" outlineLevel="0" collapsed="false">
      <c r="A70" s="405" t="n">
        <f aca="false">Option1!A37</f>
        <v>38261</v>
      </c>
      <c r="B70" s="396" t="n">
        <f aca="false">IF(A70="N/A"," ",IF(ISERROR(N70),B58*Pwresc,N70)*VLOOKUP(MONTH(A70),Curveadj,3))</f>
        <v>30.9515632390976</v>
      </c>
      <c r="C70" s="397" t="n">
        <f aca="false">IF(A70="N/A"," ",(IF(AND(Scaler1=1,MONTH(A70)&gt;=6,MONTH(A70)&lt;=8,OR($M$37="REGION 2",$M$37="REGION 2A",$M$37="REGION 2B",$M$37="REGION 3",$M$37="REGION 3A",$M$37="REGION 3B",$M$37="REGION 3C",$M$37="REGION 4",$M$37="REGION 4B",$M$37="REGION 4C",$M$37="REGION 5",$M$37="REGION 5A")),((0.059228/(B70/100))-(0.4980013/(SQRT(B70/100)))+2.137988),HLOOKUP(MONTH(A70),ScalarTable,28))))</f>
        <v>1.005</v>
      </c>
      <c r="D70" s="398" t="n">
        <f aca="false">IF(A70="N/A"," ",C70*B70)</f>
        <v>31.1063210552931</v>
      </c>
      <c r="E70" s="396" t="n">
        <f aca="false">IF(A70="N/A"," ",IF(ISERROR(O70),E58*Pwresc,O70)*VLOOKUP(MONTH(A70),Curveadj,3))</f>
        <v>20.2860012054443</v>
      </c>
      <c r="F70" s="398" t="n">
        <f aca="false">IF(A70="N/A"," ",E70*C70)</f>
        <v>20.3874312114716</v>
      </c>
      <c r="G70" s="396" t="n">
        <f aca="false">IF(A70="N/A"," ",IF(ISERROR(P70),G58*Pwresc,P70)*VLOOKUP(MONTH(A70),Curveadj,3))</f>
        <v>14.7865009307861</v>
      </c>
      <c r="H70" s="398" t="n">
        <f aca="false">IF(A70="N/A"," ",G70*C70)</f>
        <v>14.8604334354401</v>
      </c>
      <c r="I70" s="398" t="n">
        <f aca="false">IF(A70="N/A"," ",IF(ISERROR(Q70),I58*Pwresc,Q70))</f>
        <v>16.540002822876</v>
      </c>
      <c r="J70" s="398" t="n">
        <f aca="false">IF(A70="N/A"," ",Inputs!$G$4)</f>
        <v>29</v>
      </c>
      <c r="K70" s="399"/>
      <c r="L70" s="399"/>
      <c r="M70" s="404"/>
      <c r="N70" s="401" t="n">
        <f aca="false">IF(A70="N/A"," ",VLOOKUP(A70,PeakPowerCurves,(IF(BMO1=2,3,IF(BMO1=1,2,4))),FALSE()))</f>
        <v>30.9515632390976</v>
      </c>
      <c r="O70" s="401" t="n">
        <f aca="false">IF(A70="N/A"," ",VLOOKUP(A70,SatSunPeakPwr,(IF(BMO1=2,3,IF(BMO1=1,2,4))),FALSE()))</f>
        <v>20.2860012054443</v>
      </c>
      <c r="P70" s="401" t="n">
        <f aca="false">IF(A70="N/A"," ",VLOOKUP(A70,SatSunPeakPwr,(IF(BMO1=2,7,IF(BMO1=1,6,8))),FALSE()))</f>
        <v>14.7865009307861</v>
      </c>
      <c r="Q70" s="402" t="n">
        <f aca="false">IF(A70="N/A"," ",(VLOOKUP(A70,OPPowerPrices,(IF(BMO1=2,7,IF(BMO1=1,6,8))),FALSE())))</f>
        <v>16.540002822876</v>
      </c>
      <c r="R70" s="403" t="e">
        <f aca="false">IF(A70="N/A"," ",(VLOOKUP($A70,IRTable,2)))</f>
        <v>#N/A</v>
      </c>
      <c r="AF70" s="352" t="n">
        <v>38565</v>
      </c>
      <c r="AG70" s="311" t="n">
        <v>23</v>
      </c>
      <c r="AH70" s="311" t="n">
        <v>4</v>
      </c>
      <c r="AI70" s="311" t="n">
        <v>4</v>
      </c>
      <c r="AJ70" s="311" t="n">
        <v>0</v>
      </c>
      <c r="AK70" s="311" t="n">
        <v>31</v>
      </c>
      <c r="AU70" s="406"/>
    </row>
    <row r="71" customFormat="false" ht="12.75" hidden="false" customHeight="false" outlineLevel="0" collapsed="false">
      <c r="A71" s="405" t="n">
        <f aca="false">Option1!A38</f>
        <v>38292</v>
      </c>
      <c r="B71" s="396" t="n">
        <f aca="false">IF(A71="N/A"," ",IF(ISERROR(N71),B59*Pwresc,N71)*VLOOKUP(MONTH(A71),Curveadj,3))</f>
        <v>31.0515617132187</v>
      </c>
      <c r="C71" s="397" t="n">
        <f aca="false">IF(A71="N/A"," ",(IF(AND(Scaler1=1,MONTH(A71)&gt;=6,MONTH(A71)&lt;=8,OR($M$37="REGION 2",$M$37="REGION 2A",$M$37="REGION 2B",$M$37="REGION 3",$M$37="REGION 3A",$M$37="REGION 3B",$M$37="REGION 3C",$M$37="REGION 4",$M$37="REGION 4B",$M$37="REGION 4C",$M$37="REGION 5",$M$37="REGION 5A")),((0.059228/(B71/100))-(0.4980013/(SQRT(B71/100)))+2.137988),HLOOKUP(MONTH(A71),ScalarTable,28))))</f>
        <v>1.0825</v>
      </c>
      <c r="D71" s="398" t="n">
        <f aca="false">IF(A71="N/A"," ",C71*B71)</f>
        <v>33.6133155545592</v>
      </c>
      <c r="E71" s="396" t="n">
        <f aca="false">IF(A71="N/A"," ",IF(ISERROR(O71),E59*Pwresc,O71)*VLOOKUP(MONTH(A71),Curveadj,3))</f>
        <v>22.2900009155273</v>
      </c>
      <c r="F71" s="398" t="n">
        <f aca="false">IF(A71="N/A"," ",E71*C71)</f>
        <v>24.1289259910584</v>
      </c>
      <c r="G71" s="396" t="n">
        <f aca="false">IF(A71="N/A"," ",IF(ISERROR(P71),G59*Pwresc,P71)*VLOOKUP(MONTH(A71),Curveadj,3))</f>
        <v>14.7900009155273</v>
      </c>
      <c r="H71" s="398" t="n">
        <f aca="false">IF(A71="N/A"," ",G71*C71)</f>
        <v>16.0101759910584</v>
      </c>
      <c r="I71" s="398" t="n">
        <f aca="false">IF(A71="N/A"," ",IF(ISERROR(Q71),I59*Pwresc,Q71))</f>
        <v>17.5400009155273</v>
      </c>
      <c r="J71" s="398" t="n">
        <f aca="false">IF(A71="N/A"," ",Inputs!$G$4)</f>
        <v>29</v>
      </c>
      <c r="K71" s="399" t="e">
        <f aca="false">IF(A71="N/A"," ",IF(ISERROR(#REF!),K59*Gasesc,#REF!))</f>
        <v>#REF!</v>
      </c>
      <c r="L71" s="399" t="e">
        <f aca="false">IF(A71="N/A"," ",IF(ISERROR(#REF!),L59*Gasesc,IF(#REF!=0,L59*Gasesc,#REF!)))</f>
        <v>#REF!</v>
      </c>
      <c r="M71" s="404"/>
      <c r="N71" s="401" t="n">
        <f aca="false">IF(A71="N/A"," ",VLOOKUP(A71,PeakPowerCurves,(IF(BMO1=2,3,IF(BMO1=1,2,4))),FALSE()))</f>
        <v>31.0515617132187</v>
      </c>
      <c r="O71" s="401" t="n">
        <f aca="false">IF(A71="N/A"," ",VLOOKUP(A71,SatSunPeakPwr,(IF(BMO1=2,3,IF(BMO1=1,2,4))),FALSE()))</f>
        <v>22.2900009155273</v>
      </c>
      <c r="P71" s="401" t="n">
        <f aca="false">IF(A71="N/A"," ",VLOOKUP(A71,SatSunPeakPwr,(IF(BMO1=2,7,IF(BMO1=1,6,8))),FALSE()))</f>
        <v>14.7900009155273</v>
      </c>
      <c r="Q71" s="402" t="n">
        <f aca="false">IF(A71="N/A"," ",(VLOOKUP(A71,OPPowerPrices,(IF(BMO1=2,7,IF(BMO1=1,6,8))),FALSE())))</f>
        <v>17.5400009155273</v>
      </c>
      <c r="R71" s="403" t="e">
        <f aca="false">IF(A71="N/A"," ",(VLOOKUP($A71,IRTable,2)))</f>
        <v>#N/A</v>
      </c>
      <c r="AF71" s="352" t="n">
        <v>38596</v>
      </c>
      <c r="AG71" s="311" t="n">
        <v>21</v>
      </c>
      <c r="AH71" s="311" t="n">
        <v>4</v>
      </c>
      <c r="AI71" s="311" t="n">
        <v>5</v>
      </c>
      <c r="AJ71" s="311" t="n">
        <v>1</v>
      </c>
      <c r="AK71" s="311" t="n">
        <v>30</v>
      </c>
      <c r="AU71" s="406"/>
    </row>
    <row r="72" customFormat="false" ht="12.75" hidden="false" customHeight="false" outlineLevel="0" collapsed="false">
      <c r="A72" s="405" t="n">
        <f aca="false">Option1!A39</f>
        <v>38322</v>
      </c>
      <c r="B72" s="396" t="n">
        <f aca="false">IF(A72="N/A"," ",IF(ISERROR(N72),B60*Pwresc,N72)*VLOOKUP(MONTH(A72),Curveadj,3))</f>
        <v>31.1515601873398</v>
      </c>
      <c r="C72" s="397" t="n">
        <f aca="false">IF(A72="N/A"," ",(IF(AND(Scaler1=1,MONTH(A72)&gt;=6,MONTH(A72)&lt;=8,OR($M$37="REGION 2",$M$37="REGION 2A",$M$37="REGION 2B",$M$37="REGION 3",$M$37="REGION 3A",$M$37="REGION 3B",$M$37="REGION 3C",$M$37="REGION 4",$M$37="REGION 4B",$M$37="REGION 4C",$M$37="REGION 5",$M$37="REGION 5A")),((0.059228/(B72/100))-(0.4980013/(SQRT(B72/100)))+2.137988),HLOOKUP(MONTH(A72),ScalarTable,28))))</f>
        <v>1.02125</v>
      </c>
      <c r="D72" s="398" t="n">
        <f aca="false">IF(A72="N/A"," ",C72*B72)</f>
        <v>31.8135308413208</v>
      </c>
      <c r="E72" s="396" t="n">
        <f aca="false">IF(A72="N/A"," ",IF(ISERROR(O72),E60*Pwresc,O72)*VLOOKUP(MONTH(A72),Curveadj,3))</f>
        <v>27.2900009155273</v>
      </c>
      <c r="F72" s="398" t="n">
        <f aca="false">IF(A72="N/A"," ",E72*C72)</f>
        <v>27.8699134349823</v>
      </c>
      <c r="G72" s="396" t="n">
        <f aca="false">IF(A72="N/A"," ",IF(ISERROR(P72),G60*Pwresc,P72)*VLOOKUP(MONTH(A72),Curveadj,3))</f>
        <v>21.7900009155273</v>
      </c>
      <c r="H72" s="398" t="n">
        <f aca="false">IF(A72="N/A"," ",G72*C72)</f>
        <v>22.2530384349823</v>
      </c>
      <c r="I72" s="398" t="n">
        <f aca="false">IF(A72="N/A"," ",IF(ISERROR(Q72),I60*Pwresc,Q72))</f>
        <v>19.7900009155273</v>
      </c>
      <c r="J72" s="398" t="n">
        <f aca="false">IF(A72="N/A"," ",Inputs!$G$4)</f>
        <v>29</v>
      </c>
      <c r="K72" s="399" t="e">
        <f aca="false">IF(A72="N/A"," ",IF(ISERROR(#REF!),K60*Gasesc,#REF!))</f>
        <v>#REF!</v>
      </c>
      <c r="L72" s="399" t="e">
        <f aca="false">IF(A72="N/A"," ",IF(ISERROR(#REF!),L60*Gasesc,IF(#REF!=0,L60*Gasesc,#REF!)))</f>
        <v>#REF!</v>
      </c>
      <c r="M72" s="404"/>
      <c r="N72" s="401" t="n">
        <f aca="false">IF(A72="N/A"," ",VLOOKUP(A72,PeakPowerCurves,(IF(BMO1=2,3,IF(BMO1=1,2,4))),FALSE()))</f>
        <v>31.1515601873398</v>
      </c>
      <c r="O72" s="401" t="n">
        <f aca="false">IF(A72="N/A"," ",VLOOKUP(A72,SatSunPeakPwr,(IF(BMO1=2,3,IF(BMO1=1,2,4))),FALSE()))</f>
        <v>27.2900009155273</v>
      </c>
      <c r="P72" s="401" t="n">
        <f aca="false">IF(A72="N/A"," ",VLOOKUP(A72,SatSunPeakPwr,(IF(BMO1=2,7,IF(BMO1=1,6,8))),FALSE()))</f>
        <v>21.7900009155273</v>
      </c>
      <c r="Q72" s="402" t="n">
        <f aca="false">IF(A72="N/A"," ",(VLOOKUP(A72,OPPowerPrices,(IF(BMO1=2,7,IF(BMO1=1,6,8))),FALSE())))</f>
        <v>19.7900009155273</v>
      </c>
      <c r="R72" s="403" t="e">
        <f aca="false">IF(A72="N/A"," ",(VLOOKUP($A72,IRTable,2)))</f>
        <v>#N/A</v>
      </c>
      <c r="AF72" s="352" t="n">
        <v>38626</v>
      </c>
      <c r="AG72" s="311" t="n">
        <v>21</v>
      </c>
      <c r="AH72" s="311" t="n">
        <v>5</v>
      </c>
      <c r="AI72" s="311" t="n">
        <v>5</v>
      </c>
      <c r="AJ72" s="311" t="n">
        <v>0</v>
      </c>
      <c r="AK72" s="311" t="n">
        <v>31</v>
      </c>
      <c r="AU72" s="406"/>
    </row>
    <row r="73" customFormat="false" ht="12.75" hidden="false" customHeight="false" outlineLevel="0" collapsed="false">
      <c r="A73" s="405" t="n">
        <f aca="false">Option1!A40</f>
        <v>38353</v>
      </c>
      <c r="B73" s="396" t="n">
        <f aca="false">IF(A73="N/A"," ",IF(ISERROR(N73),B61*Pwresc,N73)*VLOOKUP(MONTH(A73),Curveadj,3))</f>
        <v>35.1757147652762</v>
      </c>
      <c r="C73" s="397" t="n">
        <f aca="false">IF(A73="N/A"," ",(IF(AND(Scaler1=1,MONTH(A73)&gt;=6,MONTH(A73)&lt;=8,OR($M$37="REGION 2",$M$37="REGION 2A",$M$37="REGION 2B",$M$37="REGION 3",$M$37="REGION 3A",$M$37="REGION 3B",$M$37="REGION 3C",$M$37="REGION 4",$M$37="REGION 4B",$M$37="REGION 4C",$M$37="REGION 5",$M$37="REGION 5A")),((0.059228/(B73/100))-(0.4980013/(SQRT(B73/100)))+2.137988),HLOOKUP(MONTH(A73),ScalarTable,28))))</f>
        <v>1.02007383501259</v>
      </c>
      <c r="D73" s="398" t="n">
        <f aca="false">IF(A73="N/A"," ",C73*B73)</f>
        <v>35.8818262599245</v>
      </c>
      <c r="E73" s="396" t="n">
        <f aca="false">IF(A73="N/A"," ",IF(ISERROR(O73),E61*Pwresc,O73)*VLOOKUP(MONTH(A73),Curveadj,3))</f>
        <v>35.75</v>
      </c>
      <c r="F73" s="398" t="n">
        <f aca="false">IF(A73="N/A"," ",E73*C73)</f>
        <v>36.4676396017003</v>
      </c>
      <c r="G73" s="396" t="n">
        <f aca="false">IF(A73="N/A"," ",IF(ISERROR(P73),G61*Pwresc,P73)*VLOOKUP(MONTH(A73),Curveadj,3))</f>
        <v>25.25</v>
      </c>
      <c r="H73" s="398" t="n">
        <f aca="false">IF(A73="N/A"," ",G73*C73)</f>
        <v>25.756864334068</v>
      </c>
      <c r="I73" s="398" t="n">
        <f aca="false">IF(A73="N/A"," ",IF(ISERROR(Q73),I61*Pwresc,Q73))</f>
        <v>22</v>
      </c>
      <c r="J73" s="398" t="n">
        <f aca="false">IF(A73="N/A"," ",Inputs!$G$4)</f>
        <v>29</v>
      </c>
      <c r="K73" s="399" t="e">
        <f aca="false">IF(A73="N/A"," ",IF(ISERROR(#REF!),K61*Gasesc,#REF!))</f>
        <v>#REF!</v>
      </c>
      <c r="L73" s="399" t="e">
        <f aca="false">IF(A73="N/A"," ",IF(ISERROR(#REF!),L61*Gasesc,IF(#REF!=0,L61*Gasesc,#REF!)))</f>
        <v>#REF!</v>
      </c>
      <c r="M73" s="404"/>
      <c r="N73" s="401" t="n">
        <f aca="false">IF(A73="N/A"," ",VLOOKUP(A73,PeakPowerCurves,(IF(BMO1=2,3,IF(BMO1=1,2,4))),FALSE()))</f>
        <v>35.1757147652762</v>
      </c>
      <c r="O73" s="401" t="n">
        <f aca="false">IF(A73="N/A"," ",VLOOKUP(A73,SatSunPeakPwr,(IF(BMO1=2,3,IF(BMO1=1,2,4))),FALSE()))</f>
        <v>35.75</v>
      </c>
      <c r="P73" s="401" t="n">
        <f aca="false">IF(A73="N/A"," ",VLOOKUP(A73,SatSunPeakPwr,(IF(BMO1=2,7,IF(BMO1=1,6,8))),FALSE()))</f>
        <v>25.25</v>
      </c>
      <c r="Q73" s="402" t="n">
        <f aca="false">IF(A73="N/A"," ",(VLOOKUP(A73,OPPowerPrices,(IF(BMO1=2,7,IF(BMO1=1,6,8))),FALSE())))</f>
        <v>22</v>
      </c>
      <c r="R73" s="403" t="e">
        <f aca="false">IF(A73="N/A"," ",(VLOOKUP($A73,IRTable,2)))</f>
        <v>#N/A</v>
      </c>
      <c r="AF73" s="352" t="n">
        <v>38657</v>
      </c>
      <c r="AG73" s="311" t="n">
        <v>21</v>
      </c>
      <c r="AH73" s="311" t="n">
        <v>4</v>
      </c>
      <c r="AI73" s="311" t="n">
        <v>5</v>
      </c>
      <c r="AJ73" s="311" t="n">
        <v>1</v>
      </c>
      <c r="AK73" s="311" t="n">
        <v>30</v>
      </c>
      <c r="AU73" s="406"/>
    </row>
    <row r="74" customFormat="false" ht="12.75" hidden="false" customHeight="false" outlineLevel="0" collapsed="false">
      <c r="A74" s="405" t="n">
        <f aca="false">Option1!A41</f>
        <v>38384</v>
      </c>
      <c r="B74" s="396" t="n">
        <f aca="false">IF(A74="N/A"," ",IF(ISERROR(N74),B62*Pwresc,N74)*VLOOKUP(MONTH(A74),Curveadj,3))</f>
        <v>34.5757124764579</v>
      </c>
      <c r="C74" s="397" t="n">
        <f aca="false">IF(A74="N/A"," ",(IF(AND(Scaler1=1,MONTH(A74)&gt;=6,MONTH(A74)&lt;=8,OR($M$37="REGION 2",$M$37="REGION 2A",$M$37="REGION 2B",$M$37="REGION 3",$M$37="REGION 3A",$M$37="REGION 3B",$M$37="REGION 3C",$M$37="REGION 4",$M$37="REGION 4B",$M$37="REGION 4C",$M$37="REGION 5",$M$37="REGION 5A")),((0.059228/(B74/100))-(0.4980013/(SQRT(B74/100)))+2.137988),HLOOKUP(MONTH(A74),ScalarTable,28))))</f>
        <v>1.02007383501259</v>
      </c>
      <c r="D74" s="398" t="n">
        <f aca="false">IF(A74="N/A"," ",C74*B74)</f>
        <v>35.2697796241532</v>
      </c>
      <c r="E74" s="396" t="n">
        <f aca="false">IF(A74="N/A"," ",IF(ISERROR(O74),E62*Pwresc,O74)*VLOOKUP(MONTH(A74),Curveadj,3))</f>
        <v>31.2460021972656</v>
      </c>
      <c r="F74" s="398" t="n">
        <f aca="false">IF(A74="N/A"," ",E74*C74)</f>
        <v>31.8732292901767</v>
      </c>
      <c r="G74" s="396" t="n">
        <f aca="false">IF(A74="N/A"," ",IF(ISERROR(P74),G62*Pwresc,P74)*VLOOKUP(MONTH(A74),Curveadj,3))</f>
        <v>22.7465019226074</v>
      </c>
      <c r="H74" s="398" t="n">
        <f aca="false">IF(A74="N/A"," ",G74*C74)</f>
        <v>23.2031114493155</v>
      </c>
      <c r="I74" s="398" t="n">
        <f aca="false">IF(A74="N/A"," ",IF(ISERROR(Q74),I62*Pwresc,Q74))</f>
        <v>20.5</v>
      </c>
      <c r="J74" s="398" t="n">
        <f aca="false">IF(A74="N/A"," ",Inputs!$G$4)</f>
        <v>29</v>
      </c>
      <c r="K74" s="399" t="e">
        <f aca="false">IF(A74="N/A"," ",IF(ISERROR(#REF!),K62*Gasesc,#REF!))</f>
        <v>#REF!</v>
      </c>
      <c r="L74" s="399" t="e">
        <f aca="false">IF(A74="N/A"," ",IF(ISERROR(#REF!),L62*Gasesc,IF(#REF!=0,L62*Gasesc,#REF!)))</f>
        <v>#REF!</v>
      </c>
      <c r="M74" s="404"/>
      <c r="N74" s="401" t="n">
        <f aca="false">IF(A74="N/A"," ",VLOOKUP(A74,PeakPowerCurves,(IF(BMO1=2,3,IF(BMO1=1,2,4))),FALSE()))</f>
        <v>34.5757124764579</v>
      </c>
      <c r="O74" s="401" t="n">
        <f aca="false">IF(A74="N/A"," ",VLOOKUP(A74,SatSunPeakPwr,(IF(BMO1=2,3,IF(BMO1=1,2,4))),FALSE()))</f>
        <v>31.2460021972656</v>
      </c>
      <c r="P74" s="401" t="n">
        <f aca="false">IF(A74="N/A"," ",VLOOKUP(A74,SatSunPeakPwr,(IF(BMO1=2,7,IF(BMO1=1,6,8))),FALSE()))</f>
        <v>22.7465019226074</v>
      </c>
      <c r="Q74" s="402" t="n">
        <f aca="false">IF(A74="N/A"," ",(VLOOKUP(A74,OPPowerPrices,(IF(BMO1=2,7,IF(BMO1=1,6,8))),FALSE())))</f>
        <v>20.5</v>
      </c>
      <c r="R74" s="403" t="e">
        <f aca="false">IF(A74="N/A"," ",(VLOOKUP($A74,IRTable,2)))</f>
        <v>#N/A</v>
      </c>
      <c r="AF74" s="352" t="n">
        <v>38687</v>
      </c>
      <c r="AG74" s="311" t="n">
        <v>21</v>
      </c>
      <c r="AH74" s="311" t="n">
        <v>5</v>
      </c>
      <c r="AI74" s="311" t="n">
        <v>5</v>
      </c>
      <c r="AJ74" s="311" t="n">
        <v>1</v>
      </c>
      <c r="AK74" s="311" t="n">
        <v>31</v>
      </c>
      <c r="AU74" s="406"/>
    </row>
    <row r="75" customFormat="false" ht="12.75" hidden="false" customHeight="false" outlineLevel="0" collapsed="false">
      <c r="A75" s="405" t="n">
        <f aca="false">Option1!A42</f>
        <v>38412</v>
      </c>
      <c r="B75" s="396" t="n">
        <f aca="false">IF(A75="N/A"," ",IF(ISERROR(N75),B63*Pwresc,N75)*VLOOKUP(MONTH(A75),Curveadj,3))</f>
        <v>33.2876773213231</v>
      </c>
      <c r="C75" s="397" t="n">
        <f aca="false">IF(A75="N/A"," ",(IF(AND(Scaler1=1,MONTH(A75)&gt;=6,MONTH(A75)&lt;=8,OR($M$37="REGION 2",$M$37="REGION 2A",$M$37="REGION 2B",$M$37="REGION 3",$M$37="REGION 3A",$M$37="REGION 3B",$M$37="REGION 3C",$M$37="REGION 4",$M$37="REGION 4B",$M$37="REGION 4C",$M$37="REGION 5",$M$37="REGION 5A")),((0.059228/(B75/100))-(0.4980013/(SQRT(B75/100)))+2.137988),HLOOKUP(MONTH(A75),ScalarTable,28))))</f>
        <v>1.0173448699422</v>
      </c>
      <c r="D75" s="398" t="n">
        <f aca="false">IF(A75="N/A"," ",C75*B75)</f>
        <v>33.8650477551393</v>
      </c>
      <c r="E75" s="396" t="n">
        <f aca="false">IF(A75="N/A"," ",IF(ISERROR(O75),E63*Pwresc,O75)*VLOOKUP(MONTH(A75),Curveadj,3))</f>
        <v>25.5</v>
      </c>
      <c r="F75" s="398" t="n">
        <f aca="false">IF(A75="N/A"," ",E75*C75)</f>
        <v>25.942294183526</v>
      </c>
      <c r="G75" s="396" t="n">
        <f aca="false">IF(A75="N/A"," ",IF(ISERROR(P75),G63*Pwresc,P75)*VLOOKUP(MONTH(A75),Curveadj,3))</f>
        <v>20</v>
      </c>
      <c r="H75" s="398" t="n">
        <f aca="false">IF(A75="N/A"," ",G75*C75)</f>
        <v>20.3468973988439</v>
      </c>
      <c r="I75" s="398" t="n">
        <f aca="false">IF(A75="N/A"," ",IF(ISERROR(Q75),I63*Pwresc,Q75))</f>
        <v>21.5</v>
      </c>
      <c r="J75" s="398" t="n">
        <f aca="false">IF(A75="N/A"," ",Inputs!$G$4)</f>
        <v>29</v>
      </c>
      <c r="K75" s="399" t="e">
        <f aca="false">IF(A75="N/A"," ",IF(ISERROR(#REF!),K63*Gasesc,#REF!))</f>
        <v>#REF!</v>
      </c>
      <c r="L75" s="399" t="e">
        <f aca="false">IF(A75="N/A"," ",IF(ISERROR(#REF!),L63*Gasesc,IF(#REF!=0,L63*Gasesc,#REF!)))</f>
        <v>#REF!</v>
      </c>
      <c r="M75" s="404"/>
      <c r="N75" s="401" t="n">
        <f aca="false">IF(A75="N/A"," ",VLOOKUP(A75,PeakPowerCurves,(IF(BMO1=2,3,IF(BMO1=1,2,4))),FALSE()))</f>
        <v>33.2876773213231</v>
      </c>
      <c r="O75" s="401" t="n">
        <f aca="false">IF(A75="N/A"," ",VLOOKUP(A75,SatSunPeakPwr,(IF(BMO1=2,3,IF(BMO1=1,2,4))),FALSE()))</f>
        <v>25.5</v>
      </c>
      <c r="P75" s="401" t="n">
        <f aca="false">IF(A75="N/A"," ",VLOOKUP(A75,SatSunPeakPwr,(IF(BMO1=2,7,IF(BMO1=1,6,8))),FALSE()))</f>
        <v>20</v>
      </c>
      <c r="Q75" s="402" t="n">
        <f aca="false">IF(A75="N/A"," ",(VLOOKUP(A75,OPPowerPrices,(IF(BMO1=2,7,IF(BMO1=1,6,8))),FALSE())))</f>
        <v>21.5</v>
      </c>
      <c r="R75" s="403" t="e">
        <f aca="false">IF(A75="N/A"," ",(VLOOKUP($A75,IRTable,2)))</f>
        <v>#N/A</v>
      </c>
      <c r="AF75" s="352" t="n">
        <v>38718</v>
      </c>
      <c r="AG75" s="311" t="n">
        <v>21</v>
      </c>
      <c r="AH75" s="311" t="n">
        <v>4</v>
      </c>
      <c r="AI75" s="311" t="n">
        <v>6</v>
      </c>
      <c r="AJ75" s="311" t="n">
        <v>1</v>
      </c>
      <c r="AK75" s="311" t="n">
        <v>31</v>
      </c>
      <c r="AU75" s="406"/>
    </row>
    <row r="76" customFormat="false" ht="12.75" hidden="false" customHeight="false" outlineLevel="0" collapsed="false">
      <c r="A76" s="405" t="n">
        <f aca="false">Option1!A43</f>
        <v>38443</v>
      </c>
      <c r="B76" s="396" t="n">
        <f aca="false">IF(A76="N/A"," ",IF(ISERROR(N76),B64*Pwresc,N76)*VLOOKUP(MONTH(A76),Curveadj,3))</f>
        <v>33.4876780842626</v>
      </c>
      <c r="C76" s="397" t="n">
        <f aca="false">IF(A76="N/A"," ",(IF(AND(Scaler1=1,MONTH(A76)&gt;=6,MONTH(A76)&lt;=8,OR($M$37="REGION 2",$M$37="REGION 2A",$M$37="REGION 2B",$M$37="REGION 3",$M$37="REGION 3A",$M$37="REGION 3B",$M$37="REGION 3C",$M$37="REGION 4",$M$37="REGION 4B",$M$37="REGION 4C",$M$37="REGION 5",$M$37="REGION 5A")),((0.059228/(B76/100))-(0.4980013/(SQRT(B76/100)))+2.137988),HLOOKUP(MONTH(A76),ScalarTable,28))))</f>
        <v>1.005</v>
      </c>
      <c r="D76" s="398" t="n">
        <f aca="false">IF(A76="N/A"," ",C76*B76)</f>
        <v>33.6551164746839</v>
      </c>
      <c r="E76" s="396" t="n">
        <f aca="false">IF(A76="N/A"," ",IF(ISERROR(O76),E64*Pwresc,O76)*VLOOKUP(MONTH(A76),Curveadj,3))</f>
        <v>22</v>
      </c>
      <c r="F76" s="398" t="n">
        <f aca="false">IF(A76="N/A"," ",E76*C76)</f>
        <v>22.11</v>
      </c>
      <c r="G76" s="396" t="n">
        <f aca="false">IF(A76="N/A"," ",IF(ISERROR(P76),G64*Pwresc,P76)*VLOOKUP(MONTH(A76),Curveadj,3))</f>
        <v>16.4950008392334</v>
      </c>
      <c r="H76" s="398" t="n">
        <f aca="false">IF(A76="N/A"," ",G76*C76)</f>
        <v>16.5774758434296</v>
      </c>
      <c r="I76" s="398" t="n">
        <f aca="false">IF(A76="N/A"," ",IF(ISERROR(Q76),I64*Pwresc,Q76))</f>
        <v>18.5</v>
      </c>
      <c r="J76" s="398" t="n">
        <f aca="false">IF(A76="N/A"," ",Inputs!$G$4)</f>
        <v>29</v>
      </c>
      <c r="K76" s="399" t="e">
        <f aca="false">IF(A76="N/A"," ",IF(ISERROR(#REF!),K64*Gasesc,#REF!))</f>
        <v>#REF!</v>
      </c>
      <c r="L76" s="399" t="e">
        <f aca="false">IF(A76="N/A"," ",IF(ISERROR(#REF!),L64*Gasesc,IF(#REF!=0,L64*Gasesc,#REF!)))</f>
        <v>#REF!</v>
      </c>
      <c r="M76" s="404"/>
      <c r="N76" s="401" t="n">
        <f aca="false">IF(A76="N/A"," ",VLOOKUP(A76,PeakPowerCurves,(IF(BMO1=2,3,IF(BMO1=1,2,4))),FALSE()))</f>
        <v>33.4876780842626</v>
      </c>
      <c r="O76" s="401" t="n">
        <f aca="false">IF(A76="N/A"," ",VLOOKUP(A76,SatSunPeakPwr,(IF(BMO1=2,3,IF(BMO1=1,2,4))),FALSE()))</f>
        <v>22</v>
      </c>
      <c r="P76" s="401" t="n">
        <f aca="false">IF(A76="N/A"," ",VLOOKUP(A76,SatSunPeakPwr,(IF(BMO1=2,7,IF(BMO1=1,6,8))),FALSE()))</f>
        <v>16.4950008392334</v>
      </c>
      <c r="Q76" s="402" t="n">
        <f aca="false">IF(A76="N/A"," ",(VLOOKUP(A76,OPPowerPrices,(IF(BMO1=2,7,IF(BMO1=1,6,8))),FALSE())))</f>
        <v>18.5</v>
      </c>
      <c r="R76" s="403" t="e">
        <f aca="false">IF(A76="N/A"," ",(VLOOKUP($A76,IRTable,2)))</f>
        <v>#N/A</v>
      </c>
      <c r="AF76" s="352" t="n">
        <v>38749</v>
      </c>
      <c r="AG76" s="311" t="n">
        <v>20</v>
      </c>
      <c r="AH76" s="311" t="n">
        <v>4</v>
      </c>
      <c r="AI76" s="311" t="n">
        <v>4</v>
      </c>
      <c r="AJ76" s="311" t="n">
        <v>0</v>
      </c>
      <c r="AK76" s="311" t="n">
        <v>28</v>
      </c>
      <c r="AU76" s="406"/>
    </row>
    <row r="77" customFormat="false" ht="12.75" hidden="false" customHeight="false" outlineLevel="0" collapsed="false">
      <c r="A77" s="405" t="n">
        <f aca="false">Option1!A44</f>
        <v>38473</v>
      </c>
      <c r="B77" s="396" t="n">
        <f aca="false">IF(A77="N/A"," ",IF(ISERROR(N77),B65*Pwresc,N77)*VLOOKUP(MONTH(A77),Curveadj,3))</f>
        <v>36.2650032043457</v>
      </c>
      <c r="C77" s="397" t="n">
        <f aca="false">IF(A77="N/A"," ",(IF(AND(Scaler1=1,MONTH(A77)&gt;=6,MONTH(A77)&lt;=8,OR($M$37="REGION 2",$M$37="REGION 2A",$M$37="REGION 2B",$M$37="REGION 3",$M$37="REGION 3A",$M$37="REGION 3B",$M$37="REGION 3C",$M$37="REGION 4",$M$37="REGION 4B",$M$37="REGION 4C",$M$37="REGION 5",$M$37="REGION 5A")),((0.059228/(B77/100))-(0.4980013/(SQRT(B77/100)))+2.137988),HLOOKUP(MONTH(A77),ScalarTable,28))))</f>
        <v>1.075625</v>
      </c>
      <c r="D77" s="398" t="n">
        <f aca="false">IF(A77="N/A"," ",C77*B77)</f>
        <v>39.0075440716743</v>
      </c>
      <c r="E77" s="396" t="n">
        <f aca="false">IF(A77="N/A"," ",IF(ISERROR(O77),E65*Pwresc,O77)*VLOOKUP(MONTH(A77),Curveadj,3))</f>
        <v>22.2900009155273</v>
      </c>
      <c r="F77" s="398" t="n">
        <f aca="false">IF(A77="N/A"," ",E77*C77)</f>
        <v>23.9756822347641</v>
      </c>
      <c r="G77" s="396" t="n">
        <f aca="false">IF(A77="N/A"," ",IF(ISERROR(P77),G65*Pwresc,P77)*VLOOKUP(MONTH(A77),Curveadj,3))</f>
        <v>15.7950000762939</v>
      </c>
      <c r="H77" s="398" t="n">
        <f aca="false">IF(A77="N/A"," ",G77*C77)</f>
        <v>16.9894969570637</v>
      </c>
      <c r="I77" s="398" t="n">
        <f aca="false">IF(A77="N/A"," ",IF(ISERROR(Q77),I65*Pwresc,Q77))</f>
        <v>19.0400009155273</v>
      </c>
      <c r="J77" s="398" t="n">
        <f aca="false">IF(A77="N/A"," ",Inputs!$G$4)</f>
        <v>29</v>
      </c>
      <c r="K77" s="399" t="e">
        <f aca="false">IF(A77="N/A"," ",IF(ISERROR(#REF!),K65*Gasesc,#REF!))</f>
        <v>#REF!</v>
      </c>
      <c r="L77" s="399" t="e">
        <f aca="false">IF(A77="N/A"," ",IF(ISERROR(#REF!),L65*Gasesc,IF(#REF!=0,L65*Gasesc,#REF!)))</f>
        <v>#REF!</v>
      </c>
      <c r="M77" s="404"/>
      <c r="N77" s="401" t="n">
        <f aca="false">IF(A77="N/A"," ",VLOOKUP(A77,PeakPowerCurves,(IF(BMO1=2,3,IF(BMO1=1,2,4))),FALSE()))</f>
        <v>36.2650032043457</v>
      </c>
      <c r="O77" s="401" t="n">
        <f aca="false">IF(A77="N/A"," ",VLOOKUP(A77,SatSunPeakPwr,(IF(BMO1=2,3,IF(BMO1=1,2,4))),FALSE()))</f>
        <v>22.2900009155273</v>
      </c>
      <c r="P77" s="401" t="n">
        <f aca="false">IF(A77="N/A"," ",VLOOKUP(A77,SatSunPeakPwr,(IF(BMO1=2,7,IF(BMO1=1,6,8))),FALSE()))</f>
        <v>15.7950000762939</v>
      </c>
      <c r="Q77" s="402" t="n">
        <f aca="false">IF(A77="N/A"," ",(VLOOKUP(A77,OPPowerPrices,(IF(BMO1=2,7,IF(BMO1=1,6,8))),FALSE())))</f>
        <v>19.0400009155273</v>
      </c>
      <c r="R77" s="403" t="e">
        <f aca="false">IF(A77="N/A"," ",(VLOOKUP($A77,IRTable,2)))</f>
        <v>#N/A</v>
      </c>
      <c r="AF77" s="352" t="n">
        <v>38777</v>
      </c>
      <c r="AG77" s="311" t="n">
        <v>23</v>
      </c>
      <c r="AH77" s="311" t="n">
        <v>4</v>
      </c>
      <c r="AI77" s="311" t="n">
        <v>4</v>
      </c>
      <c r="AJ77" s="311" t="n">
        <v>0</v>
      </c>
      <c r="AK77" s="311" t="n">
        <v>31</v>
      </c>
      <c r="AU77" s="406"/>
    </row>
    <row r="78" customFormat="false" ht="12.75" hidden="false" customHeight="false" outlineLevel="0" collapsed="false">
      <c r="A78" s="405" t="n">
        <f aca="false">Option1!A45</f>
        <v>38504</v>
      </c>
      <c r="B78" s="396" t="n">
        <f aca="false">IF(A78="N/A"," ",IF(ISERROR(N78),B66*Pwresc,N78)*VLOOKUP(MONTH(A78),Curveadj,3))</f>
        <v>42.3750038146973</v>
      </c>
      <c r="C78" s="397" t="n">
        <f aca="false">IF(A78="N/A"," ",(IF(AND(Scaler1=1,MONTH(A78)&gt;=6,MONTH(A78)&lt;=8,OR($M$37="REGION 2",$M$37="REGION 2A",$M$37="REGION 2B",$M$37="REGION 3",$M$37="REGION 3A",$M$37="REGION 3B",$M$37="REGION 3C",$M$37="REGION 4",$M$37="REGION 4B",$M$37="REGION 4C",$M$37="REGION 5",$M$37="REGION 5A")),((0.059228/(B78/100))-(0.4980013/(SQRT(B78/100)))+2.137988),HLOOKUP(MONTH(A78),ScalarTable,28))))</f>
        <v>1.53</v>
      </c>
      <c r="D78" s="398" t="n">
        <f aca="false">IF(A78="N/A"," ",C78*B78)</f>
        <v>64.8337558364868</v>
      </c>
      <c r="E78" s="396" t="n">
        <f aca="false">IF(A78="N/A"," ",IF(ISERROR(O78),E66*Pwresc,O78)*VLOOKUP(MONTH(A78),Curveadj,3))</f>
        <v>29.2900009155273</v>
      </c>
      <c r="F78" s="398" t="n">
        <f aca="false">IF(A78="N/A"," ",E78*C78)</f>
        <v>44.8137014007568</v>
      </c>
      <c r="G78" s="396" t="n">
        <f aca="false">IF(A78="N/A"," ",IF(ISERROR(P78),G66*Pwresc,P78)*VLOOKUP(MONTH(A78),Curveadj,3))</f>
        <v>19.7900009155273</v>
      </c>
      <c r="H78" s="398" t="n">
        <f aca="false">IF(A78="N/A"," ",G78*C78)</f>
        <v>30.2787014007568</v>
      </c>
      <c r="I78" s="398" t="n">
        <f aca="false">IF(A78="N/A"," ",IF(ISERROR(Q78),I66*Pwresc,Q78))</f>
        <v>22.0400009155273</v>
      </c>
      <c r="J78" s="398" t="n">
        <f aca="false">IF(A78="N/A"," ",Inputs!$G$4)</f>
        <v>29</v>
      </c>
      <c r="K78" s="399" t="e">
        <f aca="false">IF(A78="N/A"," ",IF(ISERROR(#REF!),K66*Gasesc,#REF!))</f>
        <v>#REF!</v>
      </c>
      <c r="L78" s="399" t="e">
        <f aca="false">IF(A78="N/A"," ",IF(ISERROR(#REF!),L66*Gasesc,IF(#REF!=0,L66*Gasesc,#REF!)))</f>
        <v>#REF!</v>
      </c>
      <c r="M78" s="404"/>
      <c r="N78" s="401" t="n">
        <f aca="false">IF(A78="N/A"," ",VLOOKUP(A78,PeakPowerCurves,(IF(BMO1=2,3,IF(BMO1=1,2,4))),FALSE()))</f>
        <v>42.3750038146973</v>
      </c>
      <c r="O78" s="401" t="n">
        <f aca="false">IF(A78="N/A"," ",VLOOKUP(A78,SatSunPeakPwr,(IF(BMO1=2,3,IF(BMO1=1,2,4))),FALSE()))</f>
        <v>29.2900009155273</v>
      </c>
      <c r="P78" s="401" t="n">
        <f aca="false">IF(A78="N/A"," ",VLOOKUP(A78,SatSunPeakPwr,(IF(BMO1=2,7,IF(BMO1=1,6,8))),FALSE()))</f>
        <v>19.7900009155273</v>
      </c>
      <c r="Q78" s="402" t="n">
        <f aca="false">IF(A78="N/A"," ",(VLOOKUP(A78,OPPowerPrices,(IF(BMO1=2,7,IF(BMO1=1,6,8))),FALSE())))</f>
        <v>22.0400009155273</v>
      </c>
      <c r="R78" s="403" t="e">
        <f aca="false">IF(A78="N/A"," ",(VLOOKUP($A78,IRTable,2)))</f>
        <v>#N/A</v>
      </c>
      <c r="AF78" s="352" t="n">
        <v>38808</v>
      </c>
      <c r="AG78" s="311" t="n">
        <v>20</v>
      </c>
      <c r="AH78" s="311" t="n">
        <v>5</v>
      </c>
      <c r="AI78" s="311" t="n">
        <v>5</v>
      </c>
      <c r="AJ78" s="311" t="n">
        <v>0</v>
      </c>
      <c r="AK78" s="311" t="n">
        <v>30</v>
      </c>
      <c r="AU78" s="406"/>
    </row>
    <row r="79" customFormat="false" ht="12.75" hidden="false" customHeight="false" outlineLevel="0" collapsed="false">
      <c r="A79" s="405" t="n">
        <f aca="false">Option1!A46</f>
        <v>38534</v>
      </c>
      <c r="B79" s="396" t="n">
        <f aca="false">IF(A79="N/A"," ",IF(ISERROR(N79),B67*Pwresc,N79)*VLOOKUP(MONTH(A79),Curveadj,3))</f>
        <v>50.5</v>
      </c>
      <c r="C79" s="397" t="n">
        <f aca="false">IF(A79="N/A"," ",(IF(AND(Scaler1=1,MONTH(A79)&gt;=6,MONTH(A79)&lt;=8,OR($M$37="REGION 2",$M$37="REGION 2A",$M$37="REGION 2B",$M$37="REGION 3",$M$37="REGION 3A",$M$37="REGION 3B",$M$37="REGION 3C",$M$37="REGION 4",$M$37="REGION 4B",$M$37="REGION 4C",$M$37="REGION 5",$M$37="REGION 5A")),((0.059228/(B79/100))-(0.4980013/(SQRT(B79/100)))+2.137988),HLOOKUP(MONTH(A79),ScalarTable,28))))</f>
        <v>1.63</v>
      </c>
      <c r="D79" s="398" t="n">
        <f aca="false">IF(A79="N/A"," ",C79*B79)</f>
        <v>82.315</v>
      </c>
      <c r="E79" s="396" t="n">
        <f aca="false">IF(A79="N/A"," ",IF(ISERROR(O79),E67*Pwresc,O79)*VLOOKUP(MONTH(A79),Curveadj,3))</f>
        <v>35.2900009155273</v>
      </c>
      <c r="F79" s="398" t="n">
        <f aca="false">IF(A79="N/A"," ",E79*C79)</f>
        <v>57.5227014923096</v>
      </c>
      <c r="G79" s="396" t="n">
        <f aca="false">IF(A79="N/A"," ",IF(ISERROR(P79),G67*Pwresc,P79)*VLOOKUP(MONTH(A79),Curveadj,3))</f>
        <v>25.7900009155273</v>
      </c>
      <c r="H79" s="398" t="n">
        <f aca="false">IF(A79="N/A"," ",G79*C79)</f>
        <v>42.0377014923096</v>
      </c>
      <c r="I79" s="398" t="n">
        <f aca="false">IF(A79="N/A"," ",IF(ISERROR(Q79),I67*Pwresc,Q79))</f>
        <v>22.5400009155273</v>
      </c>
      <c r="J79" s="398" t="n">
        <f aca="false">IF(A79="N/A"," ",Inputs!$G$4)</f>
        <v>29</v>
      </c>
      <c r="K79" s="399" t="e">
        <f aca="false">IF(A79="N/A"," ",IF(ISERROR(#REF!),K67*Gasesc,#REF!))</f>
        <v>#REF!</v>
      </c>
      <c r="L79" s="399" t="e">
        <f aca="false">IF(A79="N/A"," ",IF(ISERROR(#REF!),L67*Gasesc,IF(#REF!=0,L67*Gasesc,#REF!)))</f>
        <v>#REF!</v>
      </c>
      <c r="M79" s="404"/>
      <c r="N79" s="401" t="n">
        <f aca="false">IF(A79="N/A"," ",VLOOKUP(A79,PeakPowerCurves,(IF(BMO1=2,3,IF(BMO1=1,2,4))),FALSE()))</f>
        <v>50.5</v>
      </c>
      <c r="O79" s="401" t="n">
        <f aca="false">IF(A79="N/A"," ",VLOOKUP(A79,SatSunPeakPwr,(IF(BMO1=2,3,IF(BMO1=1,2,4))),FALSE()))</f>
        <v>35.2900009155273</v>
      </c>
      <c r="P79" s="401" t="n">
        <f aca="false">IF(A79="N/A"," ",VLOOKUP(A79,SatSunPeakPwr,(IF(BMO1=2,7,IF(BMO1=1,6,8))),FALSE()))</f>
        <v>25.7900009155273</v>
      </c>
      <c r="Q79" s="402" t="n">
        <f aca="false">IF(A79="N/A"," ",(VLOOKUP(A79,OPPowerPrices,(IF(BMO1=2,7,IF(BMO1=1,6,8))),FALSE())))</f>
        <v>22.5400009155273</v>
      </c>
      <c r="R79" s="403" t="e">
        <f aca="false">IF(A79="N/A"," ",(VLOOKUP($A79,IRTable,2)))</f>
        <v>#N/A</v>
      </c>
      <c r="AF79" s="352" t="n">
        <v>38838</v>
      </c>
      <c r="AG79" s="311" t="n">
        <v>22</v>
      </c>
      <c r="AH79" s="311" t="n">
        <v>4</v>
      </c>
      <c r="AI79" s="311" t="n">
        <v>5</v>
      </c>
      <c r="AJ79" s="311" t="n">
        <v>1</v>
      </c>
      <c r="AK79" s="311" t="n">
        <v>31</v>
      </c>
      <c r="AU79" s="406"/>
    </row>
    <row r="80" customFormat="false" ht="12.75" hidden="false" customHeight="false" outlineLevel="0" collapsed="false">
      <c r="A80" s="405" t="n">
        <f aca="false">Option1!A47</f>
        <v>38565</v>
      </c>
      <c r="B80" s="396" t="n">
        <f aca="false">IF(A80="N/A"," ",IF(ISERROR(N80),B68*Pwresc,N80)*VLOOKUP(MONTH(A80),Curveadj,3))</f>
        <v>50.5</v>
      </c>
      <c r="C80" s="397" t="n">
        <f aca="false">IF(A80="N/A"," ",(IF(AND(Scaler1=1,MONTH(A80)&gt;=6,MONTH(A80)&lt;=8,OR($M$37="REGION 2",$M$37="REGION 2A",$M$37="REGION 2B",$M$37="REGION 3",$M$37="REGION 3A",$M$37="REGION 3B",$M$37="REGION 3C",$M$37="REGION 4",$M$37="REGION 4B",$M$37="REGION 4C",$M$37="REGION 5",$M$37="REGION 5A")),((0.059228/(B80/100))-(0.4980013/(SQRT(B80/100)))+2.137988),HLOOKUP(MONTH(A80),ScalarTable,28))))</f>
        <v>1.63</v>
      </c>
      <c r="D80" s="398" t="n">
        <f aca="false">IF(A80="N/A"," ",C80*B80)</f>
        <v>82.315</v>
      </c>
      <c r="E80" s="396" t="n">
        <f aca="false">IF(A80="N/A"," ",IF(ISERROR(O80),E68*Pwresc,O80)*VLOOKUP(MONTH(A80),Curveadj,3))</f>
        <v>33.2900047302246</v>
      </c>
      <c r="F80" s="398" t="n">
        <f aca="false">IF(A80="N/A"," ",E80*C80)</f>
        <v>54.2627077102661</v>
      </c>
      <c r="G80" s="396" t="n">
        <f aca="false">IF(A80="N/A"," ",IF(ISERROR(P80),G68*Pwresc,P80)*VLOOKUP(MONTH(A80),Curveadj,3))</f>
        <v>25.7900009155273</v>
      </c>
      <c r="H80" s="398" t="n">
        <f aca="false">IF(A80="N/A"," ",G80*C80)</f>
        <v>42.0377014923096</v>
      </c>
      <c r="I80" s="398" t="n">
        <f aca="false">IF(A80="N/A"," ",IF(ISERROR(Q80),I68*Pwresc,Q80))</f>
        <v>23.5400009155273</v>
      </c>
      <c r="J80" s="398" t="n">
        <f aca="false">IF(A80="N/A"," ",Inputs!$G$4)</f>
        <v>29</v>
      </c>
      <c r="K80" s="399" t="e">
        <f aca="false">IF(A80="N/A"," ",IF(ISERROR(#REF!),K68*Gasesc,#REF!))</f>
        <v>#REF!</v>
      </c>
      <c r="L80" s="399" t="e">
        <f aca="false">IF(A80="N/A"," ",IF(ISERROR(#REF!),L68*Gasesc,IF(#REF!=0,L68*Gasesc,#REF!)))</f>
        <v>#REF!</v>
      </c>
      <c r="M80" s="404"/>
      <c r="N80" s="401" t="n">
        <f aca="false">IF(A80="N/A"," ",VLOOKUP(A80,PeakPowerCurves,(IF(BMO1=2,3,IF(BMO1=1,2,4))),FALSE()))</f>
        <v>50.5</v>
      </c>
      <c r="O80" s="401" t="n">
        <f aca="false">IF(A80="N/A"," ",VLOOKUP(A80,SatSunPeakPwr,(IF(BMO1=2,3,IF(BMO1=1,2,4))),FALSE()))</f>
        <v>33.2900047302246</v>
      </c>
      <c r="P80" s="401" t="n">
        <f aca="false">IF(A80="N/A"," ",VLOOKUP(A80,SatSunPeakPwr,(IF(BMO1=2,7,IF(BMO1=1,6,8))),FALSE()))</f>
        <v>25.7900009155273</v>
      </c>
      <c r="Q80" s="402" t="n">
        <f aca="false">IF(A80="N/A"," ",(VLOOKUP(A80,OPPowerPrices,(IF(BMO1=2,7,IF(BMO1=1,6,8))),FALSE())))</f>
        <v>23.5400009155273</v>
      </c>
      <c r="R80" s="403" t="e">
        <f aca="false">IF(A80="N/A"," ",(VLOOKUP($A80,IRTable,2)))</f>
        <v>#N/A</v>
      </c>
      <c r="AF80" s="352" t="n">
        <v>38869</v>
      </c>
      <c r="AG80" s="311" t="n">
        <v>22</v>
      </c>
      <c r="AH80" s="311" t="n">
        <v>4</v>
      </c>
      <c r="AI80" s="311" t="n">
        <v>4</v>
      </c>
      <c r="AJ80" s="311" t="n">
        <v>0</v>
      </c>
      <c r="AK80" s="311" t="n">
        <v>30</v>
      </c>
      <c r="AU80" s="406"/>
    </row>
    <row r="81" customFormat="false" ht="12.75" hidden="false" customHeight="false" outlineLevel="0" collapsed="false">
      <c r="A81" s="405" t="n">
        <f aca="false">Option1!A48</f>
        <v>38596</v>
      </c>
      <c r="B81" s="396" t="n">
        <f aca="false">IF(A81="N/A"," ",IF(ISERROR(N81),B69*Pwresc,N81)*VLOOKUP(MONTH(A81),Curveadj,3))</f>
        <v>31.1399993896484</v>
      </c>
      <c r="C81" s="397" t="n">
        <f aca="false">IF(A81="N/A"," ",(IF(AND(Scaler1=1,MONTH(A81)&gt;=6,MONTH(A81)&lt;=8,OR($M$37="REGION 2",$M$37="REGION 2A",$M$37="REGION 2B",$M$37="REGION 3",$M$37="REGION 3A",$M$37="REGION 3B",$M$37="REGION 3C",$M$37="REGION 4",$M$37="REGION 4B",$M$37="REGION 4C",$M$37="REGION 5",$M$37="REGION 5A")),((0.059228/(B81/100))-(0.4980013/(SQRT(B81/100)))+2.137988),HLOOKUP(MONTH(A81),ScalarTable,28))))</f>
        <v>1.35125</v>
      </c>
      <c r="D81" s="398" t="n">
        <f aca="false">IF(A81="N/A"," ",C81*B81)</f>
        <v>42.0779241752625</v>
      </c>
      <c r="E81" s="396" t="n">
        <f aca="false">IF(A81="N/A"," ",IF(ISERROR(O81),E69*Pwresc,O81)*VLOOKUP(MONTH(A81),Curveadj,3))</f>
        <v>25.2900009155273</v>
      </c>
      <c r="F81" s="398" t="n">
        <f aca="false">IF(A81="N/A"," ",E81*C81)</f>
        <v>34.1731137371063</v>
      </c>
      <c r="G81" s="396" t="n">
        <f aca="false">IF(A81="N/A"," ",IF(ISERROR(P81),G69*Pwresc,P81)*VLOOKUP(MONTH(A81),Curveadj,3))</f>
        <v>19.7900009155273</v>
      </c>
      <c r="H81" s="398" t="n">
        <f aca="false">IF(A81="N/A"," ",G81*C81)</f>
        <v>26.7412387371063</v>
      </c>
      <c r="I81" s="398" t="n">
        <f aca="false">IF(A81="N/A"," ",IF(ISERROR(Q81),I69*Pwresc,Q81))</f>
        <v>17.5400009155273</v>
      </c>
      <c r="J81" s="398" t="n">
        <f aca="false">IF(A81="N/A"," ",Inputs!$G$4)</f>
        <v>29</v>
      </c>
      <c r="K81" s="399" t="e">
        <f aca="false">IF(A81="N/A"," ",IF(ISERROR(#REF!),K69*Gasesc,#REF!))</f>
        <v>#REF!</v>
      </c>
      <c r="L81" s="399" t="e">
        <f aca="false">IF(A81="N/A"," ",IF(ISERROR(#REF!),L69*Gasesc,IF(#REF!=0,L69*Gasesc,#REF!)))</f>
        <v>#REF!</v>
      </c>
      <c r="M81" s="404"/>
      <c r="N81" s="401" t="n">
        <f aca="false">IF(A81="N/A"," ",VLOOKUP(A81,PeakPowerCurves,(IF(BMO1=2,3,IF(BMO1=1,2,4))),FALSE()))</f>
        <v>31.1399993896484</v>
      </c>
      <c r="O81" s="401" t="n">
        <f aca="false">IF(A81="N/A"," ",VLOOKUP(A81,SatSunPeakPwr,(IF(BMO1=2,3,IF(BMO1=1,2,4))),FALSE()))</f>
        <v>25.2900009155273</v>
      </c>
      <c r="P81" s="401" t="n">
        <f aca="false">IF(A81="N/A"," ",VLOOKUP(A81,SatSunPeakPwr,(IF(BMO1=2,7,IF(BMO1=1,6,8))),FALSE()))</f>
        <v>19.7900009155273</v>
      </c>
      <c r="Q81" s="402" t="n">
        <f aca="false">IF(A81="N/A"," ",(VLOOKUP(A81,OPPowerPrices,(IF(BMO1=2,7,IF(BMO1=1,6,8))),FALSE())))</f>
        <v>17.5400009155273</v>
      </c>
      <c r="R81" s="403" t="e">
        <f aca="false">IF(A81="N/A"," ",(VLOOKUP($A81,IRTable,2)))</f>
        <v>#N/A</v>
      </c>
      <c r="AF81" s="352" t="n">
        <v>38899</v>
      </c>
      <c r="AG81" s="311" t="n">
        <v>20</v>
      </c>
      <c r="AH81" s="311" t="n">
        <v>5</v>
      </c>
      <c r="AI81" s="311" t="n">
        <v>6</v>
      </c>
      <c r="AJ81" s="311" t="n">
        <v>1</v>
      </c>
      <c r="AK81" s="311" t="n">
        <v>31</v>
      </c>
      <c r="AU81" s="406"/>
    </row>
    <row r="82" customFormat="false" ht="12.75" hidden="false" customHeight="false" outlineLevel="0" collapsed="false">
      <c r="A82" s="405" t="n">
        <f aca="false">Option1!A49</f>
        <v>38626</v>
      </c>
      <c r="B82" s="396" t="n">
        <f aca="false">IF(A82="N/A"," ",IF(ISERROR(N82),B70*Pwresc,N82)*VLOOKUP(MONTH(A82),Curveadj,3))</f>
        <v>32.0415614843369</v>
      </c>
      <c r="C82" s="397" t="n">
        <f aca="false">IF(A82="N/A"," ",(IF(AND(Scaler1=1,MONTH(A82)&gt;=6,MONTH(A82)&lt;=8,OR($M$37="REGION 2",$M$37="REGION 2A",$M$37="REGION 2B",$M$37="REGION 3",$M$37="REGION 3A",$M$37="REGION 3B",$M$37="REGION 3C",$M$37="REGION 4",$M$37="REGION 4B",$M$37="REGION 4C",$M$37="REGION 5",$M$37="REGION 5A")),((0.059228/(B82/100))-(0.4980013/(SQRT(B82/100)))+2.137988),HLOOKUP(MONTH(A82),ScalarTable,28))))</f>
        <v>1.005</v>
      </c>
      <c r="D82" s="398" t="n">
        <f aca="false">IF(A82="N/A"," ",C82*B82)</f>
        <v>32.2017692917585</v>
      </c>
      <c r="E82" s="396" t="n">
        <f aca="false">IF(A82="N/A"," ",IF(ISERROR(O82),E70*Pwresc,O82)*VLOOKUP(MONTH(A82),Curveadj,3))</f>
        <v>20.2860012054443</v>
      </c>
      <c r="F82" s="398" t="n">
        <f aca="false">IF(A82="N/A"," ",E82*C82)</f>
        <v>20.3874312114716</v>
      </c>
      <c r="G82" s="396" t="n">
        <f aca="false">IF(A82="N/A"," ",IF(ISERROR(P82),G70*Pwresc,P82)*VLOOKUP(MONTH(A82),Curveadj,3))</f>
        <v>14.7865009307861</v>
      </c>
      <c r="H82" s="398" t="n">
        <f aca="false">IF(A82="N/A"," ",G82*C82)</f>
        <v>14.8604334354401</v>
      </c>
      <c r="I82" s="398" t="n">
        <f aca="false">IF(A82="N/A"," ",IF(ISERROR(Q82),I70*Pwresc,Q82))</f>
        <v>17.040002822876</v>
      </c>
      <c r="J82" s="398" t="n">
        <f aca="false">IF(A82="N/A"," ",Inputs!$G$4)</f>
        <v>29</v>
      </c>
      <c r="K82" s="399" t="e">
        <f aca="false">IF(A82="N/A"," ",IF(ISERROR(#REF!),K70*Gasesc,#REF!))</f>
        <v>#REF!</v>
      </c>
      <c r="L82" s="399" t="e">
        <f aca="false">IF(A82="N/A"," ",IF(ISERROR(#REF!),L70*Gasesc,IF(#REF!=0,L70*Gasesc,#REF!)))</f>
        <v>#REF!</v>
      </c>
      <c r="M82" s="404"/>
      <c r="N82" s="401" t="n">
        <f aca="false">IF(A82="N/A"," ",VLOOKUP(A82,PeakPowerCurves,(IF(BMO1=2,3,IF(BMO1=1,2,4))),FALSE()))</f>
        <v>32.0415614843369</v>
      </c>
      <c r="O82" s="401" t="n">
        <f aca="false">IF(A82="N/A"," ",VLOOKUP(A82,SatSunPeakPwr,(IF(BMO1=2,3,IF(BMO1=1,2,4))),FALSE()))</f>
        <v>20.2860012054443</v>
      </c>
      <c r="P82" s="401" t="n">
        <f aca="false">IF(A82="N/A"," ",VLOOKUP(A82,SatSunPeakPwr,(IF(BMO1=2,7,IF(BMO1=1,6,8))),FALSE()))</f>
        <v>14.7865009307861</v>
      </c>
      <c r="Q82" s="402" t="n">
        <f aca="false">IF(A82="N/A"," ",(VLOOKUP(A82,OPPowerPrices,(IF(BMO1=2,7,IF(BMO1=1,6,8))),FALSE())))</f>
        <v>17.040002822876</v>
      </c>
      <c r="R82" s="403" t="e">
        <f aca="false">IF(A82="N/A"," ",(VLOOKUP($A82,IRTable,2)))</f>
        <v>#N/A</v>
      </c>
      <c r="AF82" s="352" t="n">
        <v>38930</v>
      </c>
      <c r="AG82" s="311" t="n">
        <v>23</v>
      </c>
      <c r="AH82" s="311" t="n">
        <v>4</v>
      </c>
      <c r="AI82" s="311" t="n">
        <v>4</v>
      </c>
      <c r="AJ82" s="311" t="n">
        <v>0</v>
      </c>
      <c r="AK82" s="311" t="n">
        <v>31</v>
      </c>
      <c r="AU82" s="406"/>
    </row>
    <row r="83" customFormat="false" ht="12.75" hidden="false" customHeight="false" outlineLevel="0" collapsed="false">
      <c r="A83" s="405" t="n">
        <f aca="false">Option1!A50</f>
        <v>38657</v>
      </c>
      <c r="B83" s="396" t="n">
        <f aca="false">IF(A83="N/A"," ",IF(ISERROR(N83),B71*Pwresc,N83)*VLOOKUP(MONTH(A83),Curveadj,3))</f>
        <v>32.1415637731552</v>
      </c>
      <c r="C83" s="397" t="n">
        <f aca="false">IF(A83="N/A"," ",(IF(AND(Scaler1=1,MONTH(A83)&gt;=6,MONTH(A83)&lt;=8,OR($M$37="REGION 2",$M$37="REGION 2A",$M$37="REGION 2B",$M$37="REGION 3",$M$37="REGION 3A",$M$37="REGION 3B",$M$37="REGION 3C",$M$37="REGION 4",$M$37="REGION 4B",$M$37="REGION 4C",$M$37="REGION 5",$M$37="REGION 5A")),((0.059228/(B83/100))-(0.4980013/(SQRT(B83/100)))+2.137988),HLOOKUP(MONTH(A83),ScalarTable,28))))</f>
        <v>1.0825</v>
      </c>
      <c r="D83" s="398" t="n">
        <f aca="false">IF(A83="N/A"," ",C83*B83)</f>
        <v>34.7932427844405</v>
      </c>
      <c r="E83" s="396" t="n">
        <f aca="false">IF(A83="N/A"," ",IF(ISERROR(O83),E71*Pwresc,O83)*VLOOKUP(MONTH(A83),Curveadj,3))</f>
        <v>22.2900009155273</v>
      </c>
      <c r="F83" s="398" t="n">
        <f aca="false">IF(A83="N/A"," ",E83*C83)</f>
        <v>24.1289259910584</v>
      </c>
      <c r="G83" s="396" t="n">
        <f aca="false">IF(A83="N/A"," ",IF(ISERROR(P83),G71*Pwresc,P83)*VLOOKUP(MONTH(A83),Curveadj,3))</f>
        <v>14.7900009155273</v>
      </c>
      <c r="H83" s="398" t="n">
        <f aca="false">IF(A83="N/A"," ",G83*C83)</f>
        <v>16.0101759910584</v>
      </c>
      <c r="I83" s="398" t="n">
        <f aca="false">IF(A83="N/A"," ",IF(ISERROR(Q83),I71*Pwresc,Q83))</f>
        <v>18.0400009155273</v>
      </c>
      <c r="J83" s="398" t="n">
        <f aca="false">IF(A83="N/A"," ",Inputs!$G$4)</f>
        <v>29</v>
      </c>
      <c r="K83" s="399" t="e">
        <f aca="false">IF(A83="N/A"," ",IF(ISERROR(#REF!),K71*Gasesc,#REF!))</f>
        <v>#REF!</v>
      </c>
      <c r="L83" s="399" t="e">
        <f aca="false">IF(A83="N/A"," ",IF(ISERROR(#REF!),L71*Gasesc,IF(#REF!=0,L71*Gasesc,#REF!)))</f>
        <v>#REF!</v>
      </c>
      <c r="M83" s="404"/>
      <c r="N83" s="401" t="n">
        <f aca="false">IF(A83="N/A"," ",VLOOKUP(A83,PeakPowerCurves,(IF(BMO1=2,3,IF(BMO1=1,2,4))),FALSE()))</f>
        <v>32.1415637731552</v>
      </c>
      <c r="O83" s="401" t="n">
        <f aca="false">IF(A83="N/A"," ",VLOOKUP(A83,SatSunPeakPwr,(IF(BMO1=2,3,IF(BMO1=1,2,4))),FALSE()))</f>
        <v>22.2900009155273</v>
      </c>
      <c r="P83" s="401" t="n">
        <f aca="false">IF(A83="N/A"," ",VLOOKUP(A83,SatSunPeakPwr,(IF(BMO1=2,7,IF(BMO1=1,6,8))),FALSE()))</f>
        <v>14.7900009155273</v>
      </c>
      <c r="Q83" s="402" t="n">
        <f aca="false">IF(A83="N/A"," ",(VLOOKUP(A83,OPPowerPrices,(IF(BMO1=2,7,IF(BMO1=1,6,8))),FALSE())))</f>
        <v>18.0400009155273</v>
      </c>
      <c r="R83" s="403" t="e">
        <f aca="false">IF(A83="N/A"," ",(VLOOKUP($A83,IRTable,2)))</f>
        <v>#N/A</v>
      </c>
      <c r="AF83" s="352" t="n">
        <v>38961</v>
      </c>
      <c r="AG83" s="311" t="n">
        <v>20</v>
      </c>
      <c r="AH83" s="311" t="n">
        <v>5</v>
      </c>
      <c r="AI83" s="311" t="n">
        <v>5</v>
      </c>
      <c r="AJ83" s="311" t="n">
        <v>1</v>
      </c>
      <c r="AK83" s="311" t="n">
        <v>30</v>
      </c>
      <c r="AU83" s="406"/>
    </row>
    <row r="84" customFormat="false" ht="12.75" hidden="false" customHeight="false" outlineLevel="0" collapsed="false">
      <c r="A84" s="405" t="n">
        <f aca="false">Option1!A51</f>
        <v>38687</v>
      </c>
      <c r="B84" s="396" t="n">
        <f aca="false">IF(A84="N/A"," ",IF(ISERROR(N84),B72*Pwresc,N84)*VLOOKUP(MONTH(A84),Curveadj,3))</f>
        <v>32.2415622472763</v>
      </c>
      <c r="C84" s="397" t="n">
        <f aca="false">IF(A84="N/A"," ",(IF(AND(Scaler1=1,MONTH(A84)&gt;=6,MONTH(A84)&lt;=8,OR($M$37="REGION 2",$M$37="REGION 2A",$M$37="REGION 2B",$M$37="REGION 3",$M$37="REGION 3A",$M$37="REGION 3B",$M$37="REGION 3C",$M$37="REGION 4",$M$37="REGION 4B",$M$37="REGION 4C",$M$37="REGION 5",$M$37="REGION 5A")),((0.059228/(B84/100))-(0.4980013/(SQRT(B84/100)))+2.137988),HLOOKUP(MONTH(A84),ScalarTable,28))))</f>
        <v>1.02125</v>
      </c>
      <c r="D84" s="398" t="n">
        <f aca="false">IF(A84="N/A"," ",C84*B84)</f>
        <v>32.9266954450309</v>
      </c>
      <c r="E84" s="396" t="n">
        <f aca="false">IF(A84="N/A"," ",IF(ISERROR(O84),E72*Pwresc,O84)*VLOOKUP(MONTH(A84),Curveadj,3))</f>
        <v>27.2900009155273</v>
      </c>
      <c r="F84" s="398" t="n">
        <f aca="false">IF(A84="N/A"," ",E84*C84)</f>
        <v>27.8699134349823</v>
      </c>
      <c r="G84" s="396" t="n">
        <f aca="false">IF(A84="N/A"," ",IF(ISERROR(P84),G72*Pwresc,P84)*VLOOKUP(MONTH(A84),Curveadj,3))</f>
        <v>21.7900009155273</v>
      </c>
      <c r="H84" s="398" t="n">
        <f aca="false">IF(A84="N/A"," ",G84*C84)</f>
        <v>22.2530384349823</v>
      </c>
      <c r="I84" s="398" t="n">
        <f aca="false">IF(A84="N/A"," ",IF(ISERROR(Q84),I72*Pwresc,Q84))</f>
        <v>20.2900009155273</v>
      </c>
      <c r="J84" s="398" t="n">
        <f aca="false">IF(A84="N/A"," ",Inputs!$G$4)</f>
        <v>29</v>
      </c>
      <c r="K84" s="399" t="e">
        <f aca="false">IF(A84="N/A"," ",IF(ISERROR(#REF!),K72*Gasesc,#REF!))</f>
        <v>#REF!</v>
      </c>
      <c r="L84" s="399" t="e">
        <f aca="false">IF(A84="N/A"," ",IF(ISERROR(#REF!),L72*Gasesc,IF(#REF!=0,L72*Gasesc,#REF!)))</f>
        <v>#REF!</v>
      </c>
      <c r="M84" s="404"/>
      <c r="N84" s="401" t="n">
        <f aca="false">IF(A84="N/A"," ",VLOOKUP(A84,PeakPowerCurves,(IF(BMO1=2,3,IF(BMO1=1,2,4))),FALSE()))</f>
        <v>32.2415622472763</v>
      </c>
      <c r="O84" s="401" t="n">
        <f aca="false">IF(A84="N/A"," ",VLOOKUP(A84,SatSunPeakPwr,(IF(BMO1=2,3,IF(BMO1=1,2,4))),FALSE()))</f>
        <v>27.2900009155273</v>
      </c>
      <c r="P84" s="401" t="n">
        <f aca="false">IF(A84="N/A"," ",VLOOKUP(A84,SatSunPeakPwr,(IF(BMO1=2,7,IF(BMO1=1,6,8))),FALSE()))</f>
        <v>21.7900009155273</v>
      </c>
      <c r="Q84" s="402" t="n">
        <f aca="false">IF(A84="N/A"," ",(VLOOKUP(A84,OPPowerPrices,(IF(BMO1=2,7,IF(BMO1=1,6,8))),FALSE())))</f>
        <v>20.2900009155273</v>
      </c>
      <c r="R84" s="403" t="e">
        <f aca="false">IF(A84="N/A"," ",(VLOOKUP($A84,IRTable,2)))</f>
        <v>#N/A</v>
      </c>
      <c r="AF84" s="352" t="n">
        <v>38991</v>
      </c>
      <c r="AG84" s="311" t="n">
        <v>22</v>
      </c>
      <c r="AH84" s="311" t="n">
        <v>4</v>
      </c>
      <c r="AI84" s="311" t="n">
        <v>5</v>
      </c>
      <c r="AJ84" s="311" t="n">
        <v>0</v>
      </c>
      <c r="AK84" s="311" t="n">
        <v>31</v>
      </c>
      <c r="AU84" s="406"/>
    </row>
    <row r="85" customFormat="false" ht="12.75" hidden="false" customHeight="false" outlineLevel="0" collapsed="false">
      <c r="A85" s="405" t="n">
        <f aca="false">Option1!A52</f>
        <v>38718</v>
      </c>
      <c r="B85" s="396" t="n">
        <f aca="false">IF(A85="N/A"," ",IF(ISERROR(N85),B73*Pwresc,N85)*VLOOKUP(MONTH(A85),Curveadj,3))</f>
        <v>35.1157172066825</v>
      </c>
      <c r="C85" s="397" t="n">
        <f aca="false">IF(A85="N/A"," ",(IF(AND(Scaler1=1,MONTH(A85)&gt;=6,MONTH(A85)&lt;=8,OR($M$37="REGION 2",$M$37="REGION 2A",$M$37="REGION 2B",$M$37="REGION 3",$M$37="REGION 3A",$M$37="REGION 3B",$M$37="REGION 3C",$M$37="REGION 4",$M$37="REGION 4B",$M$37="REGION 4C",$M$37="REGION 5",$M$37="REGION 5A")),((0.059228/(B85/100))-(0.4980013/(SQRT(B85/100)))+2.137988),HLOOKUP(MONTH(A85),ScalarTable,28))))</f>
        <v>1.02007383501259</v>
      </c>
      <c r="D85" s="398" t="n">
        <f aca="false">IF(A85="N/A"," ",C85*B85)</f>
        <v>35.8206243202383</v>
      </c>
      <c r="E85" s="396" t="n">
        <f aca="false">IF(A85="N/A"," ",IF(ISERROR(O85),E73*Pwresc,O85)*VLOOKUP(MONTH(A85),Curveadj,3))</f>
        <v>35.75</v>
      </c>
      <c r="F85" s="398" t="n">
        <f aca="false">IF(A85="N/A"," ",E85*C85)</f>
        <v>36.4676396017003</v>
      </c>
      <c r="G85" s="396" t="n">
        <f aca="false">IF(A85="N/A"," ",IF(ISERROR(P85),G73*Pwresc,P85)*VLOOKUP(MONTH(A85),Curveadj,3))</f>
        <v>25.25</v>
      </c>
      <c r="H85" s="398" t="n">
        <f aca="false">IF(A85="N/A"," ",G85*C85)</f>
        <v>25.756864334068</v>
      </c>
      <c r="I85" s="398" t="n">
        <f aca="false">IF(A85="N/A"," ",IF(ISERROR(Q85),I73*Pwresc,Q85))</f>
        <v>22.5</v>
      </c>
      <c r="J85" s="398" t="n">
        <f aca="false">IF(A85="N/A"," ",Inputs!$G$4)</f>
        <v>29</v>
      </c>
      <c r="K85" s="399" t="e">
        <f aca="false">IF(A85="N/A"," ",IF(ISERROR(#REF!),K73*Gasesc,#REF!))</f>
        <v>#REF!</v>
      </c>
      <c r="L85" s="399" t="e">
        <f aca="false">IF(A85="N/A"," ",IF(ISERROR(#REF!),L73*Gasesc,IF(#REF!=0,L73*Gasesc,#REF!)))</f>
        <v>#REF!</v>
      </c>
      <c r="M85" s="404"/>
      <c r="N85" s="401" t="n">
        <f aca="false">IF(A85="N/A"," ",VLOOKUP(A85,PeakPowerCurves,(IF(BMO1=2,3,IF(BMO1=1,2,4))),FALSE()))</f>
        <v>35.1157172066825</v>
      </c>
      <c r="O85" s="401" t="n">
        <f aca="false">IF(A85="N/A"," ",VLOOKUP(A85,SatSunPeakPwr,(IF(BMO1=2,3,IF(BMO1=1,2,4))),FALSE()))</f>
        <v>35.75</v>
      </c>
      <c r="P85" s="401" t="n">
        <f aca="false">IF(A85="N/A"," ",VLOOKUP(A85,SatSunPeakPwr,(IF(BMO1=2,7,IF(BMO1=1,6,8))),FALSE()))</f>
        <v>25.25</v>
      </c>
      <c r="Q85" s="402" t="n">
        <f aca="false">IF(A85="N/A"," ",(VLOOKUP(A85,OPPowerPrices,(IF(BMO1=2,7,IF(BMO1=1,6,8))),FALSE())))</f>
        <v>22.5</v>
      </c>
      <c r="R85" s="403" t="e">
        <f aca="false">IF(A85="N/A"," ",(VLOOKUP($A85,IRTable,2)))</f>
        <v>#N/A</v>
      </c>
      <c r="AF85" s="352" t="n">
        <v>39022</v>
      </c>
      <c r="AG85" s="311" t="n">
        <v>21</v>
      </c>
      <c r="AH85" s="311" t="n">
        <v>4</v>
      </c>
      <c r="AI85" s="311" t="n">
        <v>5</v>
      </c>
      <c r="AJ85" s="311" t="n">
        <v>1</v>
      </c>
      <c r="AK85" s="311" t="n">
        <v>30</v>
      </c>
      <c r="AU85" s="406"/>
    </row>
    <row r="86" customFormat="false" ht="12.75" hidden="false" customHeight="false" outlineLevel="0" collapsed="false">
      <c r="A86" s="405" t="n">
        <f aca="false">Option1!A53</f>
        <v>38749</v>
      </c>
      <c r="B86" s="396" t="n">
        <f aca="false">IF(A86="N/A"," ",IF(ISERROR(N86),B74*Pwresc,N86)*VLOOKUP(MONTH(A86),Curveadj,3))</f>
        <v>34.5157149178641</v>
      </c>
      <c r="C86" s="397" t="n">
        <f aca="false">IF(A86="N/A"," ",(IF(AND(Scaler1=1,MONTH(A86)&gt;=6,MONTH(A86)&lt;=8,OR($M$37="REGION 2",$M$37="REGION 2A",$M$37="REGION 2B",$M$37="REGION 3",$M$37="REGION 3A",$M$37="REGION 3B",$M$37="REGION 3C",$M$37="REGION 4",$M$37="REGION 4B",$M$37="REGION 4C",$M$37="REGION 5",$M$37="REGION 5A")),((0.059228/(B86/100))-(0.4980013/(SQRT(B86/100)))+2.137988),HLOOKUP(MONTH(A86),ScalarTable,28))))</f>
        <v>1.02007383501259</v>
      </c>
      <c r="D86" s="398" t="n">
        <f aca="false">IF(A86="N/A"," ",C86*B86)</f>
        <v>35.2085776844671</v>
      </c>
      <c r="E86" s="396" t="n">
        <f aca="false">IF(A86="N/A"," ",IF(ISERROR(O86),E74*Pwresc,O86)*VLOOKUP(MONTH(A86),Curveadj,3))</f>
        <v>31.2460021972656</v>
      </c>
      <c r="F86" s="398" t="n">
        <f aca="false">IF(A86="N/A"," ",E86*C86)</f>
        <v>31.8732292901767</v>
      </c>
      <c r="G86" s="396" t="n">
        <f aca="false">IF(A86="N/A"," ",IF(ISERROR(P86),G74*Pwresc,P86)*VLOOKUP(MONTH(A86),Curveadj,3))</f>
        <v>22.7465019226074</v>
      </c>
      <c r="H86" s="398" t="n">
        <f aca="false">IF(A86="N/A"," ",G86*C86)</f>
        <v>23.2031114493155</v>
      </c>
      <c r="I86" s="398" t="n">
        <f aca="false">IF(A86="N/A"," ",IF(ISERROR(Q86),I74*Pwresc,Q86))</f>
        <v>21</v>
      </c>
      <c r="J86" s="398" t="n">
        <f aca="false">IF(A86="N/A"," ",Inputs!$G$4)</f>
        <v>29</v>
      </c>
      <c r="K86" s="399" t="e">
        <f aca="false">IF(A86="N/A"," ",IF(ISERROR(#REF!),K74*Gasesc,#REF!))</f>
        <v>#REF!</v>
      </c>
      <c r="L86" s="399" t="e">
        <f aca="false">IF(A86="N/A"," ",IF(ISERROR(#REF!),L74*Gasesc,IF(#REF!=0,L74*Gasesc,#REF!)))</f>
        <v>#REF!</v>
      </c>
      <c r="M86" s="404"/>
      <c r="N86" s="401" t="n">
        <f aca="false">IF(A86="N/A"," ",VLOOKUP(A86,PeakPowerCurves,(IF(BMO1=2,3,IF(BMO1=1,2,4))),FALSE()))</f>
        <v>34.5157149178641</v>
      </c>
      <c r="O86" s="401" t="n">
        <f aca="false">IF(A86="N/A"," ",VLOOKUP(A86,SatSunPeakPwr,(IF(BMO1=2,3,IF(BMO1=1,2,4))),FALSE()))</f>
        <v>31.2460021972656</v>
      </c>
      <c r="P86" s="401" t="n">
        <f aca="false">IF(A86="N/A"," ",VLOOKUP(A86,SatSunPeakPwr,(IF(BMO1=2,7,IF(BMO1=1,6,8))),FALSE()))</f>
        <v>22.7465019226074</v>
      </c>
      <c r="Q86" s="402" t="n">
        <f aca="false">IF(A86="N/A"," ",(VLOOKUP(A86,OPPowerPrices,(IF(BMO1=2,7,IF(BMO1=1,6,8))),FALSE())))</f>
        <v>21</v>
      </c>
      <c r="R86" s="403" t="e">
        <f aca="false">IF(A86="N/A"," ",(VLOOKUP($A86,IRTable,2)))</f>
        <v>#N/A</v>
      </c>
      <c r="AF86" s="352" t="n">
        <v>39052</v>
      </c>
      <c r="AG86" s="311" t="n">
        <v>20</v>
      </c>
      <c r="AH86" s="311" t="n">
        <v>5</v>
      </c>
      <c r="AI86" s="311" t="n">
        <v>6</v>
      </c>
      <c r="AJ86" s="311" t="n">
        <v>1</v>
      </c>
      <c r="AK86" s="311" t="n">
        <v>31</v>
      </c>
      <c r="AU86" s="406"/>
    </row>
    <row r="87" customFormat="false" ht="12.75" hidden="false" customHeight="false" outlineLevel="0" collapsed="false">
      <c r="A87" s="405" t="n">
        <f aca="false">Option1!A54</f>
        <v>38777</v>
      </c>
      <c r="B87" s="396" t="n">
        <f aca="false">IF(A87="N/A"," ",IF(ISERROR(N87),B75*Pwresc,N87)*VLOOKUP(MONTH(A87),Curveadj,3))</f>
        <v>33.2276797627294</v>
      </c>
      <c r="C87" s="397" t="n">
        <f aca="false">IF(A87="N/A"," ",(IF(AND(Scaler1=1,MONTH(A87)&gt;=6,MONTH(A87)&lt;=8,OR($M$37="REGION 2",$M$37="REGION 2A",$M$37="REGION 2B",$M$37="REGION 3",$M$37="REGION 3A",$M$37="REGION 3B",$M$37="REGION 3C",$M$37="REGION 4",$M$37="REGION 4B",$M$37="REGION 4C",$M$37="REGION 5",$M$37="REGION 5A")),((0.059228/(B87/100))-(0.4980013/(SQRT(B87/100)))+2.137988),HLOOKUP(MONTH(A87),ScalarTable,28))))</f>
        <v>1.0173448699422</v>
      </c>
      <c r="D87" s="398" t="n">
        <f aca="false">IF(A87="N/A"," ",C87*B87)</f>
        <v>33.8040095466949</v>
      </c>
      <c r="E87" s="396" t="n">
        <f aca="false">IF(A87="N/A"," ",IF(ISERROR(O87),E75*Pwresc,O87)*VLOOKUP(MONTH(A87),Curveadj,3))</f>
        <v>25.5</v>
      </c>
      <c r="F87" s="398" t="n">
        <f aca="false">IF(A87="N/A"," ",E87*C87)</f>
        <v>25.942294183526</v>
      </c>
      <c r="G87" s="396" t="n">
        <f aca="false">IF(A87="N/A"," ",IF(ISERROR(P87),G75*Pwresc,P87)*VLOOKUP(MONTH(A87),Curveadj,3))</f>
        <v>20</v>
      </c>
      <c r="H87" s="398" t="n">
        <f aca="false">IF(A87="N/A"," ",G87*C87)</f>
        <v>20.3468973988439</v>
      </c>
      <c r="I87" s="398" t="n">
        <f aca="false">IF(A87="N/A"," ",IF(ISERROR(Q87),I75*Pwresc,Q87))</f>
        <v>22</v>
      </c>
      <c r="J87" s="398" t="n">
        <f aca="false">IF(A87="N/A"," ",Inputs!$G$4)</f>
        <v>29</v>
      </c>
      <c r="K87" s="399" t="e">
        <f aca="false">IF(A87="N/A"," ",IF(ISERROR(#REF!),K75*Gasesc,#REF!))</f>
        <v>#REF!</v>
      </c>
      <c r="L87" s="399" t="e">
        <f aca="false">IF(A87="N/A"," ",IF(ISERROR(#REF!),L75*Gasesc,IF(#REF!=0,L75*Gasesc,#REF!)))</f>
        <v>#REF!</v>
      </c>
      <c r="M87" s="404"/>
      <c r="N87" s="401" t="n">
        <f aca="false">IF(A87="N/A"," ",VLOOKUP(A87,PeakPowerCurves,(IF(BMO1=2,3,IF(BMO1=1,2,4))),FALSE()))</f>
        <v>33.2276797627294</v>
      </c>
      <c r="O87" s="401" t="n">
        <f aca="false">IF(A87="N/A"," ",VLOOKUP(A87,SatSunPeakPwr,(IF(BMO1=2,3,IF(BMO1=1,2,4))),FALSE()))</f>
        <v>25.5</v>
      </c>
      <c r="P87" s="401" t="n">
        <f aca="false">IF(A87="N/A"," ",VLOOKUP(A87,SatSunPeakPwr,(IF(BMO1=2,7,IF(BMO1=1,6,8))),FALSE()))</f>
        <v>20</v>
      </c>
      <c r="Q87" s="402" t="n">
        <f aca="false">IF(A87="N/A"," ",(VLOOKUP(A87,OPPowerPrices,(IF(BMO1=2,7,IF(BMO1=1,6,8))),FALSE())))</f>
        <v>22</v>
      </c>
      <c r="R87" s="403" t="e">
        <f aca="false">IF(A87="N/A"," ",(VLOOKUP($A87,IRTable,2)))</f>
        <v>#N/A</v>
      </c>
      <c r="AF87" s="352" t="n">
        <v>39083</v>
      </c>
      <c r="AG87" s="311" t="n">
        <v>22</v>
      </c>
      <c r="AH87" s="311" t="n">
        <v>4</v>
      </c>
      <c r="AI87" s="311" t="n">
        <v>5</v>
      </c>
      <c r="AJ87" s="311" t="n">
        <v>1</v>
      </c>
      <c r="AK87" s="311" t="n">
        <v>31</v>
      </c>
      <c r="AU87" s="406"/>
    </row>
    <row r="88" customFormat="false" ht="12.75" hidden="false" customHeight="false" outlineLevel="0" collapsed="false">
      <c r="A88" s="405" t="n">
        <f aca="false">Option1!A55</f>
        <v>38808</v>
      </c>
      <c r="B88" s="396" t="n">
        <f aca="false">IF(A88="N/A"," ",IF(ISERROR(N88),B76*Pwresc,N88)*VLOOKUP(MONTH(A88),Curveadj,3))</f>
        <v>33.4276805256688</v>
      </c>
      <c r="C88" s="397" t="n">
        <f aca="false">IF(A88="N/A"," ",(IF(AND(Scaler1=1,MONTH(A88)&gt;=6,MONTH(A88)&lt;=8,OR($M$37="REGION 2",$M$37="REGION 2A",$M$37="REGION 2B",$M$37="REGION 3",$M$37="REGION 3A",$M$37="REGION 3B",$M$37="REGION 3C",$M$37="REGION 4",$M$37="REGION 4B",$M$37="REGION 4C",$M$37="REGION 5",$M$37="REGION 5A")),((0.059228/(B88/100))-(0.4980013/(SQRT(B88/100)))+2.137988),HLOOKUP(MONTH(A88),ScalarTable,28))))</f>
        <v>1.005</v>
      </c>
      <c r="D88" s="398" t="n">
        <f aca="false">IF(A88="N/A"," ",C88*B88)</f>
        <v>33.5948189282972</v>
      </c>
      <c r="E88" s="396" t="n">
        <f aca="false">IF(A88="N/A"," ",IF(ISERROR(O88),E76*Pwresc,O88)*VLOOKUP(MONTH(A88),Curveadj,3))</f>
        <v>22</v>
      </c>
      <c r="F88" s="398" t="n">
        <f aca="false">IF(A88="N/A"," ",E88*C88)</f>
        <v>22.11</v>
      </c>
      <c r="G88" s="396" t="n">
        <f aca="false">IF(A88="N/A"," ",IF(ISERROR(P88),G76*Pwresc,P88)*VLOOKUP(MONTH(A88),Curveadj,3))</f>
        <v>16.4950008392334</v>
      </c>
      <c r="H88" s="398" t="n">
        <f aca="false">IF(A88="N/A"," ",G88*C88)</f>
        <v>16.5774758434296</v>
      </c>
      <c r="I88" s="398" t="n">
        <f aca="false">IF(A88="N/A"," ",IF(ISERROR(Q88),I76*Pwresc,Q88))</f>
        <v>19</v>
      </c>
      <c r="J88" s="398" t="n">
        <f aca="false">IF(A88="N/A"," ",Inputs!$G$4)</f>
        <v>29</v>
      </c>
      <c r="K88" s="399" t="e">
        <f aca="false">IF(A88="N/A"," ",IF(ISERROR(#REF!),K76*Gasesc,#REF!))</f>
        <v>#REF!</v>
      </c>
      <c r="L88" s="399" t="e">
        <f aca="false">IF(A88="N/A"," ",IF(ISERROR(#REF!),L76*Gasesc,IF(#REF!=0,L76*Gasesc,#REF!)))</f>
        <v>#REF!</v>
      </c>
      <c r="M88" s="404"/>
      <c r="N88" s="401" t="n">
        <f aca="false">IF(A88="N/A"," ",VLOOKUP(A88,PeakPowerCurves,(IF(BMO1=2,3,IF(BMO1=1,2,4))),FALSE()))</f>
        <v>33.4276805256688</v>
      </c>
      <c r="O88" s="401" t="n">
        <f aca="false">IF(A88="N/A"," ",VLOOKUP(A88,SatSunPeakPwr,(IF(BMO1=2,3,IF(BMO1=1,2,4))),FALSE()))</f>
        <v>22</v>
      </c>
      <c r="P88" s="401" t="n">
        <f aca="false">IF(A88="N/A"," ",VLOOKUP(A88,SatSunPeakPwr,(IF(BMO1=2,7,IF(BMO1=1,6,8))),FALSE()))</f>
        <v>16.4950008392334</v>
      </c>
      <c r="Q88" s="402" t="n">
        <f aca="false">IF(A88="N/A"," ",(VLOOKUP(A88,OPPowerPrices,(IF(BMO1=2,7,IF(BMO1=1,6,8))),FALSE())))</f>
        <v>19</v>
      </c>
      <c r="R88" s="403" t="e">
        <f aca="false">IF(A88="N/A"," ",(VLOOKUP($A88,IRTable,2)))</f>
        <v>#N/A</v>
      </c>
      <c r="AF88" s="352" t="n">
        <v>39114</v>
      </c>
      <c r="AG88" s="311" t="n">
        <v>20</v>
      </c>
      <c r="AH88" s="311" t="n">
        <v>4</v>
      </c>
      <c r="AI88" s="311" t="n">
        <v>4</v>
      </c>
      <c r="AJ88" s="311" t="n">
        <v>0</v>
      </c>
      <c r="AK88" s="311" t="n">
        <v>28</v>
      </c>
      <c r="AU88" s="406"/>
    </row>
    <row r="89" customFormat="false" ht="12.75" hidden="false" customHeight="false" outlineLevel="0" collapsed="false">
      <c r="A89" s="405" t="n">
        <f aca="false">Option1!A56</f>
        <v>38838</v>
      </c>
      <c r="B89" s="396" t="n">
        <f aca="false">IF(A89="N/A"," ",IF(ISERROR(N89),B77*Pwresc,N89)*VLOOKUP(MONTH(A89),Curveadj,3))</f>
        <v>36.7050018310547</v>
      </c>
      <c r="C89" s="397" t="n">
        <f aca="false">IF(A89="N/A"," ",(IF(AND(Scaler1=1,MONTH(A89)&gt;=6,MONTH(A89)&lt;=8,OR($M$37="REGION 2",$M$37="REGION 2A",$M$37="REGION 2B",$M$37="REGION 3",$M$37="REGION 3A",$M$37="REGION 3B",$M$37="REGION 3C",$M$37="REGION 4",$M$37="REGION 4B",$M$37="REGION 4C",$M$37="REGION 5",$M$37="REGION 5A")),((0.059228/(B89/100))-(0.4980013/(SQRT(B89/100)))+2.137988),HLOOKUP(MONTH(A89),ScalarTable,28))))</f>
        <v>1.075625</v>
      </c>
      <c r="D89" s="398" t="n">
        <f aca="false">IF(A89="N/A"," ",C89*B89)</f>
        <v>39.4808175945282</v>
      </c>
      <c r="E89" s="396" t="n">
        <f aca="false">IF(A89="N/A"," ",IF(ISERROR(O89),E77*Pwresc,O89)*VLOOKUP(MONTH(A89),Curveadj,3))</f>
        <v>22.2900009155273</v>
      </c>
      <c r="F89" s="398" t="n">
        <f aca="false">IF(A89="N/A"," ",E89*C89)</f>
        <v>23.9756822347641</v>
      </c>
      <c r="G89" s="396" t="n">
        <f aca="false">IF(A89="N/A"," ",IF(ISERROR(P89),G77*Pwresc,P89)*VLOOKUP(MONTH(A89),Curveadj,3))</f>
        <v>15.7950000762939</v>
      </c>
      <c r="H89" s="398" t="n">
        <f aca="false">IF(A89="N/A"," ",G89*C89)</f>
        <v>16.9894969570637</v>
      </c>
      <c r="I89" s="398" t="n">
        <f aca="false">IF(A89="N/A"," ",IF(ISERROR(Q89),I77*Pwresc,Q89))</f>
        <v>19.5400009155273</v>
      </c>
      <c r="J89" s="398" t="n">
        <f aca="false">IF(A89="N/A"," ",Inputs!$G$4)</f>
        <v>29</v>
      </c>
      <c r="K89" s="399" t="e">
        <f aca="false">IF(A89="N/A"," ",IF(ISERROR(#REF!),K77*Gasesc,#REF!))</f>
        <v>#REF!</v>
      </c>
      <c r="L89" s="399" t="e">
        <f aca="false">IF(A89="N/A"," ",IF(ISERROR(#REF!),L77*Gasesc,IF(#REF!=0,L77*Gasesc,#REF!)))</f>
        <v>#REF!</v>
      </c>
      <c r="M89" s="404"/>
      <c r="N89" s="401" t="n">
        <f aca="false">IF(A89="N/A"," ",VLOOKUP(A89,PeakPowerCurves,(IF(BMO1=2,3,IF(BMO1=1,2,4))),FALSE()))</f>
        <v>36.7050018310547</v>
      </c>
      <c r="O89" s="401" t="n">
        <f aca="false">IF(A89="N/A"," ",VLOOKUP(A89,SatSunPeakPwr,(IF(BMO1=2,3,IF(BMO1=1,2,4))),FALSE()))</f>
        <v>22.2900009155273</v>
      </c>
      <c r="P89" s="401" t="n">
        <f aca="false">IF(A89="N/A"," ",VLOOKUP(A89,SatSunPeakPwr,(IF(BMO1=2,7,IF(BMO1=1,6,8))),FALSE()))</f>
        <v>15.7950000762939</v>
      </c>
      <c r="Q89" s="402" t="n">
        <f aca="false">IF(A89="N/A"," ",(VLOOKUP(A89,OPPowerPrices,(IF(BMO1=2,7,IF(BMO1=1,6,8))),FALSE())))</f>
        <v>19.5400009155273</v>
      </c>
      <c r="R89" s="403" t="e">
        <f aca="false">IF(A89="N/A"," ",(VLOOKUP($A89,IRTable,2)))</f>
        <v>#N/A</v>
      </c>
      <c r="AF89" s="352" t="n">
        <v>39142</v>
      </c>
      <c r="AG89" s="311" t="n">
        <v>22</v>
      </c>
      <c r="AH89" s="311" t="n">
        <v>5</v>
      </c>
      <c r="AI89" s="311" t="n">
        <v>4</v>
      </c>
      <c r="AJ89" s="311" t="n">
        <v>0</v>
      </c>
      <c r="AK89" s="311" t="n">
        <v>31</v>
      </c>
      <c r="AU89" s="406"/>
    </row>
    <row r="90" customFormat="false" ht="12.75" hidden="false" customHeight="false" outlineLevel="0" collapsed="false">
      <c r="A90" s="405" t="n">
        <f aca="false">Option1!A57</f>
        <v>38869</v>
      </c>
      <c r="B90" s="396" t="n">
        <f aca="false">IF(A90="N/A"," ",IF(ISERROR(N90),B78*Pwresc,N90)*VLOOKUP(MONTH(A90),Curveadj,3))</f>
        <v>42.6250038146973</v>
      </c>
      <c r="C90" s="397" t="n">
        <f aca="false">IF(A90="N/A"," ",(IF(AND(Scaler1=1,MONTH(A90)&gt;=6,MONTH(A90)&lt;=8,OR($M$37="REGION 2",$M$37="REGION 2A",$M$37="REGION 2B",$M$37="REGION 3",$M$37="REGION 3A",$M$37="REGION 3B",$M$37="REGION 3C",$M$37="REGION 4",$M$37="REGION 4B",$M$37="REGION 4C",$M$37="REGION 5",$M$37="REGION 5A")),((0.059228/(B90/100))-(0.4980013/(SQRT(B90/100)))+2.137988),HLOOKUP(MONTH(A90),ScalarTable,28))))</f>
        <v>1.53</v>
      </c>
      <c r="D90" s="398" t="n">
        <f aca="false">IF(A90="N/A"," ",C90*B90)</f>
        <v>65.2162558364868</v>
      </c>
      <c r="E90" s="396" t="n">
        <f aca="false">IF(A90="N/A"," ",IF(ISERROR(O90),E78*Pwresc,O90)*VLOOKUP(MONTH(A90),Curveadj,3))</f>
        <v>29.2900009155273</v>
      </c>
      <c r="F90" s="398" t="n">
        <f aca="false">IF(A90="N/A"," ",E90*C90)</f>
        <v>44.8137014007568</v>
      </c>
      <c r="G90" s="396" t="n">
        <f aca="false">IF(A90="N/A"," ",IF(ISERROR(P90),G78*Pwresc,P90)*VLOOKUP(MONTH(A90),Curveadj,3))</f>
        <v>19.7900009155273</v>
      </c>
      <c r="H90" s="398" t="n">
        <f aca="false">IF(A90="N/A"," ",G90*C90)</f>
        <v>30.2787014007568</v>
      </c>
      <c r="I90" s="398" t="n">
        <f aca="false">IF(A90="N/A"," ",IF(ISERROR(Q90),I78*Pwresc,Q90))</f>
        <v>22.5400009155273</v>
      </c>
      <c r="J90" s="398" t="n">
        <f aca="false">IF(A90="N/A"," ",Inputs!$G$4)</f>
        <v>29</v>
      </c>
      <c r="K90" s="399" t="e">
        <f aca="false">IF(A90="N/A"," ",IF(ISERROR(#REF!),K78*Gasesc,#REF!))</f>
        <v>#REF!</v>
      </c>
      <c r="L90" s="399" t="e">
        <f aca="false">IF(A90="N/A"," ",IF(ISERROR(#REF!),L78*Gasesc,IF(#REF!=0,L78*Gasesc,#REF!)))</f>
        <v>#REF!</v>
      </c>
      <c r="M90" s="404"/>
      <c r="N90" s="401" t="n">
        <f aca="false">IF(A90="N/A"," ",VLOOKUP(A90,PeakPowerCurves,(IF(BMO1=2,3,IF(BMO1=1,2,4))),FALSE()))</f>
        <v>42.6250038146973</v>
      </c>
      <c r="O90" s="401" t="n">
        <f aca="false">IF(A90="N/A"," ",VLOOKUP(A90,SatSunPeakPwr,(IF(BMO1=2,3,IF(BMO1=1,2,4))),FALSE()))</f>
        <v>29.2900009155273</v>
      </c>
      <c r="P90" s="401" t="n">
        <f aca="false">IF(A90="N/A"," ",VLOOKUP(A90,SatSunPeakPwr,(IF(BMO1=2,7,IF(BMO1=1,6,8))),FALSE()))</f>
        <v>19.7900009155273</v>
      </c>
      <c r="Q90" s="402" t="n">
        <f aca="false">IF(A90="N/A"," ",(VLOOKUP(A90,OPPowerPrices,(IF(BMO1=2,7,IF(BMO1=1,6,8))),FALSE())))</f>
        <v>22.5400009155273</v>
      </c>
      <c r="R90" s="403" t="e">
        <f aca="false">IF(A90="N/A"," ",(VLOOKUP($A90,IRTable,2)))</f>
        <v>#N/A</v>
      </c>
      <c r="AF90" s="352" t="n">
        <v>39173</v>
      </c>
      <c r="AG90" s="311" t="n">
        <v>21</v>
      </c>
      <c r="AH90" s="311" t="n">
        <v>4</v>
      </c>
      <c r="AI90" s="311" t="n">
        <v>5</v>
      </c>
      <c r="AJ90" s="311" t="n">
        <v>0</v>
      </c>
      <c r="AK90" s="311" t="n">
        <v>30</v>
      </c>
      <c r="AU90" s="406"/>
    </row>
    <row r="91" customFormat="false" ht="12.75" hidden="false" customHeight="false" outlineLevel="0" collapsed="false">
      <c r="A91" s="405" t="n">
        <f aca="false">Option1!A58</f>
        <v>38899</v>
      </c>
      <c r="B91" s="396" t="n">
        <f aca="false">IF(A91="N/A"," ",IF(ISERROR(N91),B79*Pwresc,N91)*VLOOKUP(MONTH(A91),Curveadj,3))</f>
        <v>51.75</v>
      </c>
      <c r="C91" s="397" t="n">
        <f aca="false">IF(A91="N/A"," ",(IF(AND(Scaler1=1,MONTH(A91)&gt;=6,MONTH(A91)&lt;=8,OR($M$37="REGION 2",$M$37="REGION 2A",$M$37="REGION 2B",$M$37="REGION 3",$M$37="REGION 3A",$M$37="REGION 3B",$M$37="REGION 3C",$M$37="REGION 4",$M$37="REGION 4B",$M$37="REGION 4C",$M$37="REGION 5",$M$37="REGION 5A")),((0.059228/(B91/100))-(0.4980013/(SQRT(B91/100)))+2.137988),HLOOKUP(MONTH(A91),ScalarTable,28))))</f>
        <v>1.63</v>
      </c>
      <c r="D91" s="398" t="n">
        <f aca="false">IF(A91="N/A"," ",C91*B91)</f>
        <v>84.3525</v>
      </c>
      <c r="E91" s="396" t="n">
        <f aca="false">IF(A91="N/A"," ",IF(ISERROR(O91),E79*Pwresc,O91)*VLOOKUP(MONTH(A91),Curveadj,3))</f>
        <v>35.2900009155273</v>
      </c>
      <c r="F91" s="398" t="n">
        <f aca="false">IF(A91="N/A"," ",E91*C91)</f>
        <v>57.5227014923096</v>
      </c>
      <c r="G91" s="396" t="n">
        <f aca="false">IF(A91="N/A"," ",IF(ISERROR(P91),G79*Pwresc,P91)*VLOOKUP(MONTH(A91),Curveadj,3))</f>
        <v>25.7900009155273</v>
      </c>
      <c r="H91" s="398" t="n">
        <f aca="false">IF(A91="N/A"," ",G91*C91)</f>
        <v>42.0377014923096</v>
      </c>
      <c r="I91" s="398" t="n">
        <f aca="false">IF(A91="N/A"," ",IF(ISERROR(Q91),I79*Pwresc,Q91))</f>
        <v>23.0400009155273</v>
      </c>
      <c r="J91" s="398" t="n">
        <f aca="false">IF(A91="N/A"," ",Inputs!$G$4)</f>
        <v>29</v>
      </c>
      <c r="K91" s="399" t="e">
        <f aca="false">IF(A91="N/A"," ",IF(ISERROR(#REF!),K79*Gasesc,#REF!))</f>
        <v>#REF!</v>
      </c>
      <c r="L91" s="399" t="e">
        <f aca="false">IF(A91="N/A"," ",IF(ISERROR(#REF!),L79*Gasesc,IF(#REF!=0,L79*Gasesc,#REF!)))</f>
        <v>#REF!</v>
      </c>
      <c r="M91" s="404"/>
      <c r="N91" s="401" t="n">
        <f aca="false">IF(A91="N/A"," ",VLOOKUP(A91,PeakPowerCurves,(IF(BMO1=2,3,IF(BMO1=1,2,4))),FALSE()))</f>
        <v>51.75</v>
      </c>
      <c r="O91" s="401" t="n">
        <f aca="false">IF(A91="N/A"," ",VLOOKUP(A91,SatSunPeakPwr,(IF(BMO1=2,3,IF(BMO1=1,2,4))),FALSE()))</f>
        <v>35.2900009155273</v>
      </c>
      <c r="P91" s="401" t="n">
        <f aca="false">IF(A91="N/A"," ",VLOOKUP(A91,SatSunPeakPwr,(IF(BMO1=2,7,IF(BMO1=1,6,8))),FALSE()))</f>
        <v>25.7900009155273</v>
      </c>
      <c r="Q91" s="402" t="n">
        <f aca="false">IF(A91="N/A"," ",(VLOOKUP(A91,OPPowerPrices,(IF(BMO1=2,7,IF(BMO1=1,6,8))),FALSE())))</f>
        <v>23.0400009155273</v>
      </c>
      <c r="R91" s="403" t="e">
        <f aca="false">IF(A91="N/A"," ",(VLOOKUP($A91,IRTable,2)))</f>
        <v>#N/A</v>
      </c>
      <c r="AF91" s="352" t="n">
        <v>39203</v>
      </c>
      <c r="AG91" s="311" t="n">
        <v>22</v>
      </c>
      <c r="AH91" s="311" t="n">
        <v>4</v>
      </c>
      <c r="AI91" s="311" t="n">
        <v>5</v>
      </c>
      <c r="AJ91" s="311" t="n">
        <v>1</v>
      </c>
      <c r="AK91" s="311" t="n">
        <v>31</v>
      </c>
      <c r="AU91" s="406"/>
    </row>
    <row r="92" customFormat="false" ht="12.75" hidden="false" customHeight="false" outlineLevel="0" collapsed="false">
      <c r="A92" s="405" t="n">
        <f aca="false">Option1!A59</f>
        <v>38930</v>
      </c>
      <c r="B92" s="396" t="n">
        <f aca="false">IF(A92="N/A"," ",IF(ISERROR(N92),B80*Pwresc,N92)*VLOOKUP(MONTH(A92),Curveadj,3))</f>
        <v>51.75</v>
      </c>
      <c r="C92" s="397" t="n">
        <f aca="false">IF(A92="N/A"," ",(IF(AND(Scaler1=1,MONTH(A92)&gt;=6,MONTH(A92)&lt;=8,OR($M$37="REGION 2",$M$37="REGION 2A",$M$37="REGION 2B",$M$37="REGION 3",$M$37="REGION 3A",$M$37="REGION 3B",$M$37="REGION 3C",$M$37="REGION 4",$M$37="REGION 4B",$M$37="REGION 4C",$M$37="REGION 5",$M$37="REGION 5A")),((0.059228/(B92/100))-(0.4980013/(SQRT(B92/100)))+2.137988),HLOOKUP(MONTH(A92),ScalarTable,28))))</f>
        <v>1.63</v>
      </c>
      <c r="D92" s="398" t="n">
        <f aca="false">IF(A92="N/A"," ",C92*B92)</f>
        <v>84.3525</v>
      </c>
      <c r="E92" s="396" t="n">
        <f aca="false">IF(A92="N/A"," ",IF(ISERROR(O92),E80*Pwresc,O92)*VLOOKUP(MONTH(A92),Curveadj,3))</f>
        <v>33.2900047302246</v>
      </c>
      <c r="F92" s="398" t="n">
        <f aca="false">IF(A92="N/A"," ",E92*C92)</f>
        <v>54.2627077102661</v>
      </c>
      <c r="G92" s="396" t="n">
        <f aca="false">IF(A92="N/A"," ",IF(ISERROR(P92),G80*Pwresc,P92)*VLOOKUP(MONTH(A92),Curveadj,3))</f>
        <v>25.7900009155273</v>
      </c>
      <c r="H92" s="398" t="n">
        <f aca="false">IF(A92="N/A"," ",G92*C92)</f>
        <v>42.0377014923096</v>
      </c>
      <c r="I92" s="398" t="n">
        <f aca="false">IF(A92="N/A"," ",IF(ISERROR(Q92),I80*Pwresc,Q92))</f>
        <v>24.0400009155273</v>
      </c>
      <c r="J92" s="398" t="n">
        <f aca="false">IF(A92="N/A"," ",Inputs!$G$4)</f>
        <v>29</v>
      </c>
      <c r="K92" s="399" t="e">
        <f aca="false">IF(A92="N/A"," ",IF(ISERROR(#REF!),K80*Gasesc,#REF!))</f>
        <v>#REF!</v>
      </c>
      <c r="L92" s="399" t="e">
        <f aca="false">IF(A92="N/A"," ",IF(ISERROR(#REF!),L80*Gasesc,IF(#REF!=0,L80*Gasesc,#REF!)))</f>
        <v>#REF!</v>
      </c>
      <c r="M92" s="404"/>
      <c r="N92" s="401" t="n">
        <f aca="false">IF(A92="N/A"," ",VLOOKUP(A92,PeakPowerCurves,(IF(BMO1=2,3,IF(BMO1=1,2,4))),FALSE()))</f>
        <v>51.75</v>
      </c>
      <c r="O92" s="401" t="n">
        <f aca="false">IF(A92="N/A"," ",VLOOKUP(A92,SatSunPeakPwr,(IF(BMO1=2,3,IF(BMO1=1,2,4))),FALSE()))</f>
        <v>33.2900047302246</v>
      </c>
      <c r="P92" s="401" t="n">
        <f aca="false">IF(A92="N/A"," ",VLOOKUP(A92,SatSunPeakPwr,(IF(BMO1=2,7,IF(BMO1=1,6,8))),FALSE()))</f>
        <v>25.7900009155273</v>
      </c>
      <c r="Q92" s="402" t="n">
        <f aca="false">IF(A92="N/A"," ",(VLOOKUP(A92,OPPowerPrices,(IF(BMO1=2,7,IF(BMO1=1,6,8))),FALSE())))</f>
        <v>24.0400009155273</v>
      </c>
      <c r="R92" s="403" t="e">
        <f aca="false">IF(A92="N/A"," ",(VLOOKUP($A92,IRTable,2)))</f>
        <v>#N/A</v>
      </c>
      <c r="AF92" s="352" t="n">
        <v>39234</v>
      </c>
      <c r="AG92" s="311" t="n">
        <v>21</v>
      </c>
      <c r="AH92" s="311" t="n">
        <v>5</v>
      </c>
      <c r="AI92" s="311" t="n">
        <v>4</v>
      </c>
      <c r="AJ92" s="311" t="n">
        <v>0</v>
      </c>
      <c r="AK92" s="311" t="n">
        <v>30</v>
      </c>
      <c r="AU92" s="406"/>
    </row>
    <row r="93" customFormat="false" ht="12.75" hidden="false" customHeight="false" outlineLevel="0" collapsed="false">
      <c r="A93" s="405" t="n">
        <f aca="false">Option1!A60</f>
        <v>38961</v>
      </c>
      <c r="B93" s="396" t="n">
        <f aca="false">IF(A93="N/A"," ",IF(ISERROR(N93),B81*Pwresc,N93)*VLOOKUP(MONTH(A93),Curveadj,3))</f>
        <v>30.8299999237061</v>
      </c>
      <c r="C93" s="397" t="n">
        <f aca="false">IF(A93="N/A"," ",(IF(AND(Scaler1=1,MONTH(A93)&gt;=6,MONTH(A93)&lt;=8,OR($M$37="REGION 2",$M$37="REGION 2A",$M$37="REGION 2B",$M$37="REGION 3",$M$37="REGION 3A",$M$37="REGION 3B",$M$37="REGION 3C",$M$37="REGION 4",$M$37="REGION 4B",$M$37="REGION 4C",$M$37="REGION 5",$M$37="REGION 5A")),((0.059228/(B93/100))-(0.4980013/(SQRT(B93/100)))+2.137988),HLOOKUP(MONTH(A93),ScalarTable,28))))</f>
        <v>1.35125</v>
      </c>
      <c r="D93" s="398" t="n">
        <f aca="false">IF(A93="N/A"," ",C93*B93)</f>
        <v>41.6590373969078</v>
      </c>
      <c r="E93" s="396" t="n">
        <f aca="false">IF(A93="N/A"," ",IF(ISERROR(O93),E81*Pwresc,O93)*VLOOKUP(MONTH(A93),Curveadj,3))</f>
        <v>25.2900009155273</v>
      </c>
      <c r="F93" s="398" t="n">
        <f aca="false">IF(A93="N/A"," ",E93*C93)</f>
        <v>34.1731137371063</v>
      </c>
      <c r="G93" s="396" t="n">
        <f aca="false">IF(A93="N/A"," ",IF(ISERROR(P93),G81*Pwresc,P93)*VLOOKUP(MONTH(A93),Curveadj,3))</f>
        <v>19.7900009155273</v>
      </c>
      <c r="H93" s="398" t="n">
        <f aca="false">IF(A93="N/A"," ",G93*C93)</f>
        <v>26.7412387371063</v>
      </c>
      <c r="I93" s="398" t="n">
        <f aca="false">IF(A93="N/A"," ",IF(ISERROR(Q93),I81*Pwresc,Q93))</f>
        <v>18.0400009155273</v>
      </c>
      <c r="J93" s="398" t="n">
        <f aca="false">IF(A93="N/A"," ",Inputs!$G$4)</f>
        <v>29</v>
      </c>
      <c r="K93" s="399" t="e">
        <f aca="false">IF(A93="N/A"," ",IF(ISERROR(#REF!),K81*Gasesc,#REF!))</f>
        <v>#REF!</v>
      </c>
      <c r="L93" s="399" t="e">
        <f aca="false">IF(A93="N/A"," ",IF(ISERROR(#REF!),L81*Gasesc,IF(#REF!=0,L81*Gasesc,#REF!)))</f>
        <v>#REF!</v>
      </c>
      <c r="M93" s="404"/>
      <c r="N93" s="401" t="n">
        <f aca="false">IF(A93="N/A"," ",VLOOKUP(A93,PeakPowerCurves,(IF(BMO1=2,3,IF(BMO1=1,2,4))),FALSE()))</f>
        <v>30.8299999237061</v>
      </c>
      <c r="O93" s="401" t="n">
        <f aca="false">IF(A93="N/A"," ",VLOOKUP(A93,SatSunPeakPwr,(IF(BMO1=2,3,IF(BMO1=1,2,4))),FALSE()))</f>
        <v>25.2900009155273</v>
      </c>
      <c r="P93" s="401" t="n">
        <f aca="false">IF(A93="N/A"," ",VLOOKUP(A93,SatSunPeakPwr,(IF(BMO1=2,7,IF(BMO1=1,6,8))),FALSE()))</f>
        <v>19.7900009155273</v>
      </c>
      <c r="Q93" s="402" t="n">
        <f aca="false">IF(A93="N/A"," ",(VLOOKUP(A93,OPPowerPrices,(IF(BMO1=2,7,IF(BMO1=1,6,8))),FALSE())))</f>
        <v>18.0400009155273</v>
      </c>
      <c r="R93" s="403" t="e">
        <f aca="false">IF(A93="N/A"," ",(VLOOKUP($A93,IRTable,2)))</f>
        <v>#N/A</v>
      </c>
      <c r="AF93" s="352" t="n">
        <v>39264</v>
      </c>
      <c r="AG93" s="311" t="n">
        <v>21</v>
      </c>
      <c r="AH93" s="311" t="n">
        <v>4</v>
      </c>
      <c r="AI93" s="311" t="n">
        <v>6</v>
      </c>
      <c r="AJ93" s="311" t="n">
        <v>1</v>
      </c>
      <c r="AK93" s="311" t="n">
        <v>31</v>
      </c>
      <c r="AU93" s="406"/>
    </row>
    <row r="94" customFormat="false" ht="12.75" hidden="false" customHeight="false" outlineLevel="0" collapsed="false">
      <c r="A94" s="405" t="n">
        <f aca="false">Option1!A61</f>
        <v>38991</v>
      </c>
      <c r="B94" s="396" t="n">
        <f aca="false">IF(A94="N/A"," ",IF(ISERROR(N94),B82*Pwresc,N94)*VLOOKUP(MONTH(A94),Curveadj,3))</f>
        <v>31.9815639257431</v>
      </c>
      <c r="C94" s="397" t="n">
        <f aca="false">IF(A94="N/A"," ",(IF(AND(Scaler1=1,MONTH(A94)&gt;=6,MONTH(A94)&lt;=8,OR($M$37="REGION 2",$M$37="REGION 2A",$M$37="REGION 2B",$M$37="REGION 3",$M$37="REGION 3A",$M$37="REGION 3B",$M$37="REGION 3C",$M$37="REGION 4",$M$37="REGION 4B",$M$37="REGION 4C",$M$37="REGION 5",$M$37="REGION 5A")),((0.059228/(B94/100))-(0.4980013/(SQRT(B94/100)))+2.137988),HLOOKUP(MONTH(A94),ScalarTable,28))))</f>
        <v>1.005</v>
      </c>
      <c r="D94" s="398" t="n">
        <f aca="false">IF(A94="N/A"," ",C94*B94)</f>
        <v>32.1414717453718</v>
      </c>
      <c r="E94" s="396" t="n">
        <f aca="false">IF(A94="N/A"," ",IF(ISERROR(O94),E82*Pwresc,O94)*VLOOKUP(MONTH(A94),Curveadj,3))</f>
        <v>20.2860012054443</v>
      </c>
      <c r="F94" s="398" t="n">
        <f aca="false">IF(A94="N/A"," ",E94*C94)</f>
        <v>20.3874312114716</v>
      </c>
      <c r="G94" s="396" t="n">
        <f aca="false">IF(A94="N/A"," ",IF(ISERROR(P94),G82*Pwresc,P94)*VLOOKUP(MONTH(A94),Curveadj,3))</f>
        <v>14.7865009307861</v>
      </c>
      <c r="H94" s="398" t="n">
        <f aca="false">IF(A94="N/A"," ",G94*C94)</f>
        <v>14.8604334354401</v>
      </c>
      <c r="I94" s="398" t="n">
        <f aca="false">IF(A94="N/A"," ",IF(ISERROR(Q94),I82*Pwresc,Q94))</f>
        <v>17.540002822876</v>
      </c>
      <c r="J94" s="398" t="n">
        <f aca="false">IF(A94="N/A"," ",Inputs!$G$4)</f>
        <v>29</v>
      </c>
      <c r="K94" s="399" t="e">
        <f aca="false">IF(A94="N/A"," ",IF(ISERROR(#REF!),K82*Gasesc,#REF!))</f>
        <v>#REF!</v>
      </c>
      <c r="L94" s="399" t="e">
        <f aca="false">IF(A94="N/A"," ",IF(ISERROR(#REF!),L82*Gasesc,IF(#REF!=0,L82*Gasesc,#REF!)))</f>
        <v>#REF!</v>
      </c>
      <c r="M94" s="404"/>
      <c r="N94" s="401" t="n">
        <f aca="false">IF(A94="N/A"," ",VLOOKUP(A94,PeakPowerCurves,(IF(BMO1=2,3,IF(BMO1=1,2,4))),FALSE()))</f>
        <v>31.9815639257431</v>
      </c>
      <c r="O94" s="401" t="n">
        <f aca="false">IF(A94="N/A"," ",VLOOKUP(A94,SatSunPeakPwr,(IF(BMO1=2,3,IF(BMO1=1,2,4))),FALSE()))</f>
        <v>20.2860012054443</v>
      </c>
      <c r="P94" s="401" t="n">
        <f aca="false">IF(A94="N/A"," ",VLOOKUP(A94,SatSunPeakPwr,(IF(BMO1=2,7,IF(BMO1=1,6,8))),FALSE()))</f>
        <v>14.7865009307861</v>
      </c>
      <c r="Q94" s="402" t="n">
        <f aca="false">IF(A94="N/A"," ",(VLOOKUP(A94,OPPowerPrices,(IF(BMO1=2,7,IF(BMO1=1,6,8))),FALSE())))</f>
        <v>17.540002822876</v>
      </c>
      <c r="R94" s="403" t="e">
        <f aca="false">IF(A94="N/A"," ",(VLOOKUP($A94,IRTable,2)))</f>
        <v>#N/A</v>
      </c>
      <c r="AF94" s="352" t="n">
        <v>39295</v>
      </c>
      <c r="AG94" s="311" t="n">
        <v>23</v>
      </c>
      <c r="AH94" s="311" t="n">
        <v>4</v>
      </c>
      <c r="AI94" s="311" t="n">
        <v>4</v>
      </c>
      <c r="AJ94" s="311" t="n">
        <v>0</v>
      </c>
      <c r="AK94" s="311" t="n">
        <v>31</v>
      </c>
      <c r="AU94" s="406"/>
    </row>
    <row r="95" customFormat="false" ht="12.75" hidden="false" customHeight="false" outlineLevel="0" collapsed="false">
      <c r="A95" s="405" t="n">
        <f aca="false">Option1!A62</f>
        <v>39022</v>
      </c>
      <c r="B95" s="396" t="n">
        <f aca="false">IF(A95="N/A"," ",IF(ISERROR(N95),B83*Pwresc,N95)*VLOOKUP(MONTH(A95),Curveadj,3))</f>
        <v>32.0815623998642</v>
      </c>
      <c r="C95" s="397" t="n">
        <f aca="false">IF(A95="N/A"," ",(IF(AND(Scaler1=1,MONTH(A95)&gt;=6,MONTH(A95)&lt;=8,OR($M$37="REGION 2",$M$37="REGION 2A",$M$37="REGION 2B",$M$37="REGION 3",$M$37="REGION 3A",$M$37="REGION 3B",$M$37="REGION 3C",$M$37="REGION 4",$M$37="REGION 4B",$M$37="REGION 4C",$M$37="REGION 5",$M$37="REGION 5A")),((0.059228/(B95/100))-(0.4980013/(SQRT(B95/100)))+2.137988),HLOOKUP(MONTH(A95),ScalarTable,28))))</f>
        <v>1.0825</v>
      </c>
      <c r="D95" s="398" t="n">
        <f aca="false">IF(A95="N/A"," ",C95*B95)</f>
        <v>34.728291297853</v>
      </c>
      <c r="E95" s="396" t="n">
        <f aca="false">IF(A95="N/A"," ",IF(ISERROR(O95),E83*Pwresc,O95)*VLOOKUP(MONTH(A95),Curveadj,3))</f>
        <v>22.2900009155273</v>
      </c>
      <c r="F95" s="398" t="n">
        <f aca="false">IF(A95="N/A"," ",E95*C95)</f>
        <v>24.1289259910584</v>
      </c>
      <c r="G95" s="396" t="n">
        <f aca="false">IF(A95="N/A"," ",IF(ISERROR(P95),G83*Pwresc,P95)*VLOOKUP(MONTH(A95),Curveadj,3))</f>
        <v>14.7900009155273</v>
      </c>
      <c r="H95" s="398" t="n">
        <f aca="false">IF(A95="N/A"," ",G95*C95)</f>
        <v>16.0101759910584</v>
      </c>
      <c r="I95" s="398" t="n">
        <f aca="false">IF(A95="N/A"," ",IF(ISERROR(Q95),I83*Pwresc,Q95))</f>
        <v>18.5400009155273</v>
      </c>
      <c r="J95" s="398" t="n">
        <f aca="false">IF(A95="N/A"," ",Inputs!$G$4)</f>
        <v>29</v>
      </c>
      <c r="K95" s="399" t="e">
        <f aca="false">IF(A95="N/A"," ",IF(ISERROR(#REF!),K83*Gasesc,#REF!))</f>
        <v>#REF!</v>
      </c>
      <c r="L95" s="399" t="e">
        <f aca="false">IF(A95="N/A"," ",IF(ISERROR(#REF!),L83*Gasesc,IF(#REF!=0,L83*Gasesc,#REF!)))</f>
        <v>#REF!</v>
      </c>
      <c r="M95" s="404"/>
      <c r="N95" s="401" t="n">
        <f aca="false">IF(A95="N/A"," ",VLOOKUP(A95,PeakPowerCurves,(IF(BMO1=2,3,IF(BMO1=1,2,4))),FALSE()))</f>
        <v>32.0815623998642</v>
      </c>
      <c r="O95" s="401" t="n">
        <f aca="false">IF(A95="N/A"," ",VLOOKUP(A95,SatSunPeakPwr,(IF(BMO1=2,3,IF(BMO1=1,2,4))),FALSE()))</f>
        <v>22.2900009155273</v>
      </c>
      <c r="P95" s="401" t="n">
        <f aca="false">IF(A95="N/A"," ",VLOOKUP(A95,SatSunPeakPwr,(IF(BMO1=2,7,IF(BMO1=1,6,8))),FALSE()))</f>
        <v>14.7900009155273</v>
      </c>
      <c r="Q95" s="402" t="n">
        <f aca="false">IF(A95="N/A"," ",(VLOOKUP(A95,OPPowerPrices,(IF(BMO1=2,7,IF(BMO1=1,6,8))),FALSE())))</f>
        <v>18.5400009155273</v>
      </c>
      <c r="R95" s="403" t="e">
        <f aca="false">IF(A95="N/A"," ",(VLOOKUP($A95,IRTable,2)))</f>
        <v>#N/A</v>
      </c>
      <c r="AF95" s="352" t="n">
        <v>39326</v>
      </c>
      <c r="AG95" s="311" t="n">
        <v>19</v>
      </c>
      <c r="AH95" s="311" t="n">
        <v>5</v>
      </c>
      <c r="AI95" s="311" t="n">
        <v>6</v>
      </c>
      <c r="AJ95" s="311" t="n">
        <v>1</v>
      </c>
      <c r="AK95" s="311" t="n">
        <v>30</v>
      </c>
      <c r="AU95" s="406"/>
    </row>
    <row r="96" customFormat="false" ht="12.75" hidden="false" customHeight="false" outlineLevel="0" collapsed="false">
      <c r="A96" s="405" t="n">
        <f aca="false">Option1!A63</f>
        <v>39052</v>
      </c>
      <c r="B96" s="396" t="n">
        <f aca="false">IF(A96="N/A"," ",IF(ISERROR(N96),B84*Pwresc,N96)*VLOOKUP(MONTH(A96),Curveadj,3))</f>
        <v>32.1815608739853</v>
      </c>
      <c r="C96" s="397" t="n">
        <f aca="false">IF(A96="N/A"," ",(IF(AND(Scaler1=1,MONTH(A96)&gt;=6,MONTH(A96)&lt;=8,OR($M$37="REGION 2",$M$37="REGION 2A",$M$37="REGION 2B",$M$37="REGION 3",$M$37="REGION 3A",$M$37="REGION 3B",$M$37="REGION 3C",$M$37="REGION 4",$M$37="REGION 4B",$M$37="REGION 4C",$M$37="REGION 5",$M$37="REGION 5A")),((0.059228/(B96/100))-(0.4980013/(SQRT(B96/100)))+2.137988),HLOOKUP(MONTH(A96),ScalarTable,28))))</f>
        <v>1.02125</v>
      </c>
      <c r="D96" s="398" t="n">
        <f aca="false">IF(A96="N/A"," ",C96*B96)</f>
        <v>32.8654190425575</v>
      </c>
      <c r="E96" s="396" t="n">
        <f aca="false">IF(A96="N/A"," ",IF(ISERROR(O96),E84*Pwresc,O96)*VLOOKUP(MONTH(A96),Curveadj,3))</f>
        <v>27.2900009155273</v>
      </c>
      <c r="F96" s="398" t="n">
        <f aca="false">IF(A96="N/A"," ",E96*C96)</f>
        <v>27.8699134349823</v>
      </c>
      <c r="G96" s="396" t="n">
        <f aca="false">IF(A96="N/A"," ",IF(ISERROR(P96),G84*Pwresc,P96)*VLOOKUP(MONTH(A96),Curveadj,3))</f>
        <v>21.7900009155273</v>
      </c>
      <c r="H96" s="398" t="n">
        <f aca="false">IF(A96="N/A"," ",G96*C96)</f>
        <v>22.2530384349823</v>
      </c>
      <c r="I96" s="398" t="n">
        <f aca="false">IF(A96="N/A"," ",IF(ISERROR(Q96),I84*Pwresc,Q96))</f>
        <v>20.7900009155273</v>
      </c>
      <c r="J96" s="398" t="n">
        <f aca="false">IF(A96="N/A"," ",Inputs!$G$4)</f>
        <v>29</v>
      </c>
      <c r="K96" s="399" t="e">
        <f aca="false">IF(A96="N/A"," ",IF(ISERROR(#REF!),K84*Gasesc,#REF!))</f>
        <v>#REF!</v>
      </c>
      <c r="L96" s="399" t="e">
        <f aca="false">IF(A96="N/A"," ",IF(ISERROR(#REF!),L84*Gasesc,IF(#REF!=0,L84*Gasesc,#REF!)))</f>
        <v>#REF!</v>
      </c>
      <c r="M96" s="404"/>
      <c r="N96" s="401" t="n">
        <f aca="false">IF(A96="N/A"," ",VLOOKUP(A96,PeakPowerCurves,(IF(BMO1=2,3,IF(BMO1=1,2,4))),FALSE()))</f>
        <v>32.1815608739853</v>
      </c>
      <c r="O96" s="401" t="n">
        <f aca="false">IF(A96="N/A"," ",VLOOKUP(A96,SatSunPeakPwr,(IF(BMO1=2,3,IF(BMO1=1,2,4))),FALSE()))</f>
        <v>27.2900009155273</v>
      </c>
      <c r="P96" s="401" t="n">
        <f aca="false">IF(A96="N/A"," ",VLOOKUP(A96,SatSunPeakPwr,(IF(BMO1=2,7,IF(BMO1=1,6,8))),FALSE()))</f>
        <v>21.7900009155273</v>
      </c>
      <c r="Q96" s="402" t="n">
        <f aca="false">IF(A96="N/A"," ",(VLOOKUP(A96,OPPowerPrices,(IF(BMO1=2,7,IF(BMO1=1,6,8))),FALSE())))</f>
        <v>20.7900009155273</v>
      </c>
      <c r="R96" s="403" t="e">
        <f aca="false">IF(A96="N/A"," ",(VLOOKUP($A96,IRTable,2)))</f>
        <v>#N/A</v>
      </c>
      <c r="AF96" s="352" t="n">
        <v>39356</v>
      </c>
      <c r="AG96" s="311" t="n">
        <v>23</v>
      </c>
      <c r="AH96" s="311" t="n">
        <v>4</v>
      </c>
      <c r="AI96" s="311" t="n">
        <v>4</v>
      </c>
      <c r="AJ96" s="311" t="n">
        <v>0</v>
      </c>
      <c r="AK96" s="311" t="n">
        <v>31</v>
      </c>
      <c r="AU96" s="406"/>
    </row>
    <row r="97" customFormat="false" ht="12.75" hidden="false" customHeight="false" outlineLevel="0" collapsed="false">
      <c r="A97" s="405" t="str">
        <f aca="false">Option1!A64</f>
        <v>N/A</v>
      </c>
      <c r="B97" s="396" t="str">
        <f aca="false">IF(A97="N/A"," ",IF(ISERROR(N97),B85*Pwresc,N97)*VLOOKUP(MONTH(A97),Curveadj,3))</f>
        <v> </v>
      </c>
      <c r="C97" s="397" t="str">
        <f aca="false">IF(A97="N/A"," ",(IF(AND(Scaler1=1,MONTH(A97)&gt;=6,MONTH(A97)&lt;=8,OR($M$37="REGION 2",$M$37="REGION 2A",$M$37="REGION 2B",$M$37="REGION 3",$M$37="REGION 3A",$M$37="REGION 3B",$M$37="REGION 3C",$M$37="REGION 4",$M$37="REGION 4B",$M$37="REGION 4C",$M$37="REGION 5",$M$37="REGION 5A")),((0.059228/(B97/100))-(0.4980013/(SQRT(B97/100)))+2.137988),HLOOKUP(MONTH(A97),ScalarTable,28))))</f>
        <v> </v>
      </c>
      <c r="D97" s="398" t="str">
        <f aca="false">IF(A97="N/A"," ",C97*B97)</f>
        <v> </v>
      </c>
      <c r="E97" s="396" t="str">
        <f aca="false">IF(A97="N/A"," ",IF(ISERROR(O97),E85*Pwresc,O97)*VLOOKUP(MONTH(A97),Curveadj,3))</f>
        <v> </v>
      </c>
      <c r="F97" s="398" t="str">
        <f aca="false">IF(A97="N/A"," ",E97*C97)</f>
        <v> </v>
      </c>
      <c r="G97" s="396" t="str">
        <f aca="false">IF(A97="N/A"," ",IF(ISERROR(P97),G85*Pwresc,P97)*VLOOKUP(MONTH(A97),Curveadj,3))</f>
        <v> </v>
      </c>
      <c r="H97" s="398" t="str">
        <f aca="false">IF(A97="N/A"," ",G97*C97)</f>
        <v> </v>
      </c>
      <c r="I97" s="398" t="str">
        <f aca="false">IF(A97="N/A"," ",IF(ISERROR(Q97),I85*Pwresc,Q97))</f>
        <v> </v>
      </c>
      <c r="J97" s="398" t="str">
        <f aca="false">IF(A97="N/A"," ",Inputs!$G$4)</f>
        <v> </v>
      </c>
      <c r="K97" s="399" t="str">
        <f aca="false">IF(A97="N/A"," ",IF(ISERROR(#REF!),K85*Gasesc,#REF!))</f>
        <v> </v>
      </c>
      <c r="L97" s="399" t="str">
        <f aca="false">IF(A97="N/A"," ",IF(ISERROR(#REF!),L85*Gasesc,IF(#REF!=0,L85*Gasesc,#REF!)))</f>
        <v> </v>
      </c>
      <c r="M97" s="404"/>
      <c r="N97" s="401" t="str">
        <f aca="false">IF(A97="N/A"," ",VLOOKUP(A97,PeakPowerCurves,(IF(BMO1=2,3,IF(BMO1=1,2,4))),FALSE()))</f>
        <v> </v>
      </c>
      <c r="O97" s="401" t="str">
        <f aca="false">IF(A97="N/A"," ",VLOOKUP(A97,SatSunPeakPwr,(IF(BMO1=2,3,IF(BMO1=1,2,4))),FALSE()))</f>
        <v> </v>
      </c>
      <c r="P97" s="401" t="str">
        <f aca="false">IF(A97="N/A"," ",VLOOKUP(A97,SatSunPeakPwr,(IF(BMO1=2,7,IF(BMO1=1,6,8))),FALSE()))</f>
        <v> </v>
      </c>
      <c r="Q97" s="402" t="str">
        <f aca="false">IF(A97="N/A"," ",(VLOOKUP(A97,OPPowerPrices,(IF(BMO1=2,7,IF(BMO1=1,6,8))),FALSE())))</f>
        <v> </v>
      </c>
      <c r="R97" s="403" t="str">
        <f aca="false">IF(A97="N/A"," ",(VLOOKUP($A97,IRTable,2)))</f>
        <v> </v>
      </c>
      <c r="AF97" s="352" t="n">
        <v>39387</v>
      </c>
      <c r="AG97" s="311" t="n">
        <v>21</v>
      </c>
      <c r="AH97" s="311" t="n">
        <v>4</v>
      </c>
      <c r="AI97" s="311" t="n">
        <v>5</v>
      </c>
      <c r="AJ97" s="311" t="n">
        <v>1</v>
      </c>
      <c r="AK97" s="311" t="n">
        <v>30</v>
      </c>
      <c r="AU97" s="406"/>
    </row>
    <row r="98" customFormat="false" ht="12.75" hidden="false" customHeight="false" outlineLevel="0" collapsed="false">
      <c r="A98" s="405" t="str">
        <f aca="false">Option1!A65</f>
        <v>N/A</v>
      </c>
      <c r="B98" s="396" t="str">
        <f aca="false">IF(A98="N/A"," ",IF(ISERROR(N98),B86*Pwresc,N98)*VLOOKUP(MONTH(A98),Curveadj,3))</f>
        <v> </v>
      </c>
      <c r="C98" s="397" t="str">
        <f aca="false">IF(A98="N/A"," ",(IF(AND(Scaler1=1,MONTH(A98)&gt;=6,MONTH(A98)&lt;=8,OR($M$37="REGION 2",$M$37="REGION 2A",$M$37="REGION 2B",$M$37="REGION 3",$M$37="REGION 3A",$M$37="REGION 3B",$M$37="REGION 3C",$M$37="REGION 4",$M$37="REGION 4B",$M$37="REGION 4C",$M$37="REGION 5",$M$37="REGION 5A")),((0.059228/(B98/100))-(0.4980013/(SQRT(B98/100)))+2.137988),HLOOKUP(MONTH(A98),ScalarTable,28))))</f>
        <v> </v>
      </c>
      <c r="D98" s="398" t="str">
        <f aca="false">IF(A98="N/A"," ",C98*B98)</f>
        <v> </v>
      </c>
      <c r="E98" s="396" t="str">
        <f aca="false">IF(A98="N/A"," ",IF(ISERROR(O98),E86*Pwresc,O98)*VLOOKUP(MONTH(A98),Curveadj,3))</f>
        <v> </v>
      </c>
      <c r="F98" s="398" t="str">
        <f aca="false">IF(A98="N/A"," ",E98*C98)</f>
        <v> </v>
      </c>
      <c r="G98" s="396" t="str">
        <f aca="false">IF(A98="N/A"," ",IF(ISERROR(P98),G86*Pwresc,P98)*VLOOKUP(MONTH(A98),Curveadj,3))</f>
        <v> </v>
      </c>
      <c r="H98" s="398" t="str">
        <f aca="false">IF(A98="N/A"," ",G98*C98)</f>
        <v> </v>
      </c>
      <c r="I98" s="398" t="str">
        <f aca="false">IF(A98="N/A"," ",IF(ISERROR(Q98),I86*Pwresc,Q98))</f>
        <v> </v>
      </c>
      <c r="J98" s="398" t="str">
        <f aca="false">IF(A98="N/A"," ",Inputs!$G$4)</f>
        <v> </v>
      </c>
      <c r="K98" s="399" t="str">
        <f aca="false">IF(A98="N/A"," ",IF(ISERROR(#REF!),K86*Gasesc,#REF!))</f>
        <v> </v>
      </c>
      <c r="L98" s="399" t="str">
        <f aca="false">IF(A98="N/A"," ",IF(ISERROR(#REF!),L86*Gasesc,IF(#REF!=0,L86*Gasesc,#REF!)))</f>
        <v> </v>
      </c>
      <c r="M98" s="404"/>
      <c r="N98" s="401" t="str">
        <f aca="false">IF(A98="N/A"," ",VLOOKUP(A98,PeakPowerCurves,(IF(BMO1=2,3,IF(BMO1=1,2,4))),FALSE()))</f>
        <v> </v>
      </c>
      <c r="O98" s="401" t="str">
        <f aca="false">IF(A98="N/A"," ",VLOOKUP(A98,SatSunPeakPwr,(IF(BMO1=2,3,IF(BMO1=1,2,4))),FALSE()))</f>
        <v> </v>
      </c>
      <c r="P98" s="401" t="str">
        <f aca="false">IF(A98="N/A"," ",VLOOKUP(A98,SatSunPeakPwr,(IF(BMO1=2,7,IF(BMO1=1,6,8))),FALSE()))</f>
        <v> </v>
      </c>
      <c r="Q98" s="402" t="str">
        <f aca="false">IF(A98="N/A"," ",(VLOOKUP(A98,OPPowerPrices,(IF(BMO1=2,7,IF(BMO1=1,6,8))),FALSE())))</f>
        <v> </v>
      </c>
      <c r="R98" s="403" t="str">
        <f aca="false">IF(A98="N/A"," ",(VLOOKUP($A98,IRTable,2)))</f>
        <v> </v>
      </c>
      <c r="AF98" s="352" t="n">
        <v>39417</v>
      </c>
      <c r="AG98" s="311" t="n">
        <v>20</v>
      </c>
      <c r="AH98" s="311" t="n">
        <v>5</v>
      </c>
      <c r="AI98" s="311" t="n">
        <v>6</v>
      </c>
      <c r="AJ98" s="311" t="n">
        <v>1</v>
      </c>
      <c r="AK98" s="311" t="n">
        <v>31</v>
      </c>
      <c r="AU98" s="406"/>
    </row>
    <row r="99" customFormat="false" ht="12.75" hidden="false" customHeight="false" outlineLevel="0" collapsed="false">
      <c r="A99" s="405" t="str">
        <f aca="false">Option1!A66</f>
        <v>N/A</v>
      </c>
      <c r="B99" s="396" t="str">
        <f aca="false">IF(A99="N/A"," ",IF(ISERROR(N99),B87*Pwresc,N99)*VLOOKUP(MONTH(A99),Curveadj,3))</f>
        <v> </v>
      </c>
      <c r="C99" s="397" t="str">
        <f aca="false">IF(A99="N/A"," ",(IF(AND(Scaler1=1,MONTH(A99)&gt;=6,MONTH(A99)&lt;=8,OR($M$37="REGION 2",$M$37="REGION 2A",$M$37="REGION 2B",$M$37="REGION 3",$M$37="REGION 3A",$M$37="REGION 3B",$M$37="REGION 3C",$M$37="REGION 4",$M$37="REGION 4B",$M$37="REGION 4C",$M$37="REGION 5",$M$37="REGION 5A")),((0.059228/(B99/100))-(0.4980013/(SQRT(B99/100)))+2.137988),HLOOKUP(MONTH(A99),ScalarTable,28))))</f>
        <v> </v>
      </c>
      <c r="D99" s="398" t="str">
        <f aca="false">IF(A99="N/A"," ",C99*B99)</f>
        <v> </v>
      </c>
      <c r="E99" s="396" t="str">
        <f aca="false">IF(A99="N/A"," ",IF(ISERROR(O99),E87*Pwresc,O99)*VLOOKUP(MONTH(A99),Curveadj,3))</f>
        <v> </v>
      </c>
      <c r="F99" s="398" t="str">
        <f aca="false">IF(A99="N/A"," ",E99*C99)</f>
        <v> </v>
      </c>
      <c r="G99" s="396" t="str">
        <f aca="false">IF(A99="N/A"," ",IF(ISERROR(P99),G87*Pwresc,P99)*VLOOKUP(MONTH(A99),Curveadj,3))</f>
        <v> </v>
      </c>
      <c r="H99" s="398" t="str">
        <f aca="false">IF(A99="N/A"," ",G99*C99)</f>
        <v> </v>
      </c>
      <c r="I99" s="398" t="str">
        <f aca="false">IF(A99="N/A"," ",IF(ISERROR(Q99),I87*Pwresc,Q99))</f>
        <v> </v>
      </c>
      <c r="J99" s="398" t="str">
        <f aca="false">IF(A99="N/A"," ",Inputs!$G$4)</f>
        <v> </v>
      </c>
      <c r="K99" s="399" t="str">
        <f aca="false">IF(A99="N/A"," ",IF(ISERROR(#REF!),K87*Gasesc,#REF!))</f>
        <v> </v>
      </c>
      <c r="L99" s="399" t="str">
        <f aca="false">IF(A99="N/A"," ",IF(ISERROR(#REF!),L87*Gasesc,IF(#REF!=0,L87*Gasesc,#REF!)))</f>
        <v> </v>
      </c>
      <c r="M99" s="404"/>
      <c r="N99" s="401" t="str">
        <f aca="false">IF(A99="N/A"," ",VLOOKUP(A99,PeakPowerCurves,(IF(BMO1=2,3,IF(BMO1=1,2,4))),FALSE()))</f>
        <v> </v>
      </c>
      <c r="O99" s="401" t="str">
        <f aca="false">IF(A99="N/A"," ",VLOOKUP(A99,SatSunPeakPwr,(IF(BMO1=2,3,IF(BMO1=1,2,4))),FALSE()))</f>
        <v> </v>
      </c>
      <c r="P99" s="401" t="str">
        <f aca="false">IF(A99="N/A"," ",VLOOKUP(A99,SatSunPeakPwr,(IF(BMO1=2,7,IF(BMO1=1,6,8))),FALSE()))</f>
        <v> </v>
      </c>
      <c r="Q99" s="402" t="str">
        <f aca="false">IF(A99="N/A"," ",(VLOOKUP(A99,OPPowerPrices,(IF(BMO1=2,7,IF(BMO1=1,6,8))),FALSE())))</f>
        <v> </v>
      </c>
      <c r="R99" s="403" t="str">
        <f aca="false">IF(A99="N/A"," ",(VLOOKUP($A99,IRTable,2)))</f>
        <v> </v>
      </c>
      <c r="AF99" s="352" t="n">
        <v>39448</v>
      </c>
      <c r="AG99" s="311" t="n">
        <v>22</v>
      </c>
      <c r="AH99" s="311" t="n">
        <v>4</v>
      </c>
      <c r="AI99" s="311" t="n">
        <v>5</v>
      </c>
      <c r="AJ99" s="311" t="n">
        <v>1</v>
      </c>
      <c r="AK99" s="311" t="n">
        <v>31</v>
      </c>
      <c r="AU99" s="406"/>
    </row>
    <row r="100" customFormat="false" ht="12.75" hidden="false" customHeight="false" outlineLevel="0" collapsed="false">
      <c r="A100" s="405" t="str">
        <f aca="false">Option1!A67</f>
        <v>N/A</v>
      </c>
      <c r="B100" s="396" t="str">
        <f aca="false">IF(A100="N/A"," ",IF(ISERROR(N100),B88*Pwresc,N100)*VLOOKUP(MONTH(A100),Curveadj,3))</f>
        <v> </v>
      </c>
      <c r="C100" s="397" t="str">
        <f aca="false">IF(A100="N/A"," ",(IF(AND(Scaler1=1,MONTH(A100)&gt;=6,MONTH(A100)&lt;=8,OR($M$37="REGION 2",$M$37="REGION 2A",$M$37="REGION 2B",$M$37="REGION 3",$M$37="REGION 3A",$M$37="REGION 3B",$M$37="REGION 3C",$M$37="REGION 4",$M$37="REGION 4B",$M$37="REGION 4C",$M$37="REGION 5",$M$37="REGION 5A")),((0.059228/(B100/100))-(0.4980013/(SQRT(B100/100)))+2.137988),HLOOKUP(MONTH(A100),ScalarTable,28))))</f>
        <v> </v>
      </c>
      <c r="D100" s="398" t="str">
        <f aca="false">IF(A100="N/A"," ",C100*B100)</f>
        <v> </v>
      </c>
      <c r="E100" s="396" t="str">
        <f aca="false">IF(A100="N/A"," ",IF(ISERROR(O100),E88*Pwresc,O100)*VLOOKUP(MONTH(A100),Curveadj,3))</f>
        <v> </v>
      </c>
      <c r="F100" s="398" t="str">
        <f aca="false">IF(A100="N/A"," ",E100*C100)</f>
        <v> </v>
      </c>
      <c r="G100" s="396" t="str">
        <f aca="false">IF(A100="N/A"," ",IF(ISERROR(P100),G88*Pwresc,P100)*VLOOKUP(MONTH(A100),Curveadj,3))</f>
        <v> </v>
      </c>
      <c r="H100" s="398" t="str">
        <f aca="false">IF(A100="N/A"," ",G100*C100)</f>
        <v> </v>
      </c>
      <c r="I100" s="398" t="str">
        <f aca="false">IF(A100="N/A"," ",IF(ISERROR(Q100),I88*Pwresc,Q100))</f>
        <v> </v>
      </c>
      <c r="J100" s="398" t="str">
        <f aca="false">IF(A100="N/A"," ",Inputs!$G$4)</f>
        <v> </v>
      </c>
      <c r="K100" s="399" t="str">
        <f aca="false">IF(A100="N/A"," ",IF(ISERROR(#REF!),K88*Gasesc,#REF!))</f>
        <v> </v>
      </c>
      <c r="L100" s="399" t="str">
        <f aca="false">IF(A100="N/A"," ",IF(ISERROR(#REF!),L88*Gasesc,IF(#REF!=0,L88*Gasesc,#REF!)))</f>
        <v> </v>
      </c>
      <c r="M100" s="404"/>
      <c r="N100" s="401" t="str">
        <f aca="false">IF(A100="N/A"," ",VLOOKUP(A100,PeakPowerCurves,(IF(BMO1=2,3,IF(BMO1=1,2,4))),FALSE()))</f>
        <v> </v>
      </c>
      <c r="O100" s="401" t="str">
        <f aca="false">IF(A100="N/A"," ",VLOOKUP(A100,SatSunPeakPwr,(IF(BMO1=2,3,IF(BMO1=1,2,4))),FALSE()))</f>
        <v> </v>
      </c>
      <c r="P100" s="401" t="str">
        <f aca="false">IF(A100="N/A"," ",VLOOKUP(A100,SatSunPeakPwr,(IF(BMO1=2,7,IF(BMO1=1,6,8))),FALSE()))</f>
        <v> </v>
      </c>
      <c r="Q100" s="402" t="str">
        <f aca="false">IF(A100="N/A"," ",(VLOOKUP(A100,OPPowerPrices,(IF(BMO1=2,7,IF(BMO1=1,6,8))),FALSE())))</f>
        <v> </v>
      </c>
      <c r="R100" s="403" t="str">
        <f aca="false">IF(A100="N/A"," ",(VLOOKUP($A100,IRTable,2)))</f>
        <v> </v>
      </c>
      <c r="AF100" s="352" t="n">
        <v>39479</v>
      </c>
      <c r="AG100" s="311" t="n">
        <v>21</v>
      </c>
      <c r="AH100" s="311" t="n">
        <v>4</v>
      </c>
      <c r="AI100" s="311" t="n">
        <v>4</v>
      </c>
      <c r="AJ100" s="311" t="n">
        <v>0</v>
      </c>
      <c r="AK100" s="311" t="n">
        <v>29</v>
      </c>
      <c r="AU100" s="406"/>
    </row>
    <row r="101" customFormat="false" ht="12.75" hidden="false" customHeight="false" outlineLevel="0" collapsed="false">
      <c r="A101" s="405" t="str">
        <f aca="false">Option1!A68</f>
        <v>N/A</v>
      </c>
      <c r="B101" s="396" t="str">
        <f aca="false">IF(A101="N/A"," ",IF(ISERROR(N101),B89*Pwresc,N101)*VLOOKUP(MONTH(A101),Curveadj,3))</f>
        <v> </v>
      </c>
      <c r="C101" s="397" t="str">
        <f aca="false">IF(A101="N/A"," ",(IF(AND(Scaler1=1,MONTH(A101)&gt;=6,MONTH(A101)&lt;=8,OR($M$37="REGION 2",$M$37="REGION 2A",$M$37="REGION 2B",$M$37="REGION 3",$M$37="REGION 3A",$M$37="REGION 3B",$M$37="REGION 3C",$M$37="REGION 4",$M$37="REGION 4B",$M$37="REGION 4C",$M$37="REGION 5",$M$37="REGION 5A")),((0.059228/(B101/100))-(0.4980013/(SQRT(B101/100)))+2.137988),HLOOKUP(MONTH(A101),ScalarTable,28))))</f>
        <v> </v>
      </c>
      <c r="D101" s="398" t="str">
        <f aca="false">IF(A101="N/A"," ",C101*B101)</f>
        <v> </v>
      </c>
      <c r="E101" s="396" t="str">
        <f aca="false">IF(A101="N/A"," ",IF(ISERROR(O101),E89*Pwresc,O101)*VLOOKUP(MONTH(A101),Curveadj,3))</f>
        <v> </v>
      </c>
      <c r="F101" s="398" t="str">
        <f aca="false">IF(A101="N/A"," ",E101*C101)</f>
        <v> </v>
      </c>
      <c r="G101" s="396" t="str">
        <f aca="false">IF(A101="N/A"," ",IF(ISERROR(P101),G89*Pwresc,P101)*VLOOKUP(MONTH(A101),Curveadj,3))</f>
        <v> </v>
      </c>
      <c r="H101" s="398" t="str">
        <f aca="false">IF(A101="N/A"," ",G101*C101)</f>
        <v> </v>
      </c>
      <c r="I101" s="398" t="str">
        <f aca="false">IF(A101="N/A"," ",IF(ISERROR(Q101),I89*Pwresc,Q101))</f>
        <v> </v>
      </c>
      <c r="J101" s="398" t="str">
        <f aca="false">IF(A101="N/A"," ",Inputs!$G$4)</f>
        <v> </v>
      </c>
      <c r="K101" s="399" t="str">
        <f aca="false">IF(A101="N/A"," ",IF(ISERROR(#REF!),K89*Gasesc,#REF!))</f>
        <v> </v>
      </c>
      <c r="L101" s="399" t="str">
        <f aca="false">IF(A101="N/A"," ",IF(ISERROR(#REF!),L89*Gasesc,IF(#REF!=0,L89*Gasesc,#REF!)))</f>
        <v> </v>
      </c>
      <c r="M101" s="404"/>
      <c r="N101" s="401" t="str">
        <f aca="false">IF(A101="N/A"," ",VLOOKUP(A101,PeakPowerCurves,(IF(BMO1=2,3,IF(BMO1=1,2,4))),FALSE()))</f>
        <v> </v>
      </c>
      <c r="O101" s="401" t="str">
        <f aca="false">IF(A101="N/A"," ",VLOOKUP(A101,SatSunPeakPwr,(IF(BMO1=2,3,IF(BMO1=1,2,4))),FALSE()))</f>
        <v> </v>
      </c>
      <c r="P101" s="401" t="str">
        <f aca="false">IF(A101="N/A"," ",VLOOKUP(A101,SatSunPeakPwr,(IF(BMO1=2,7,IF(BMO1=1,6,8))),FALSE()))</f>
        <v> </v>
      </c>
      <c r="Q101" s="402" t="str">
        <f aca="false">IF(A101="N/A"," ",(VLOOKUP(A101,OPPowerPrices,(IF(BMO1=2,7,IF(BMO1=1,6,8))),FALSE())))</f>
        <v> </v>
      </c>
      <c r="R101" s="403" t="str">
        <f aca="false">IF(A101="N/A"," ",(VLOOKUP($A101,IRTable,2)))</f>
        <v> </v>
      </c>
      <c r="AF101" s="352" t="n">
        <v>39508</v>
      </c>
      <c r="AG101" s="311" t="n">
        <v>21</v>
      </c>
      <c r="AH101" s="311" t="n">
        <v>5</v>
      </c>
      <c r="AI101" s="311" t="n">
        <v>5</v>
      </c>
      <c r="AJ101" s="311" t="n">
        <v>0</v>
      </c>
      <c r="AK101" s="311" t="n">
        <v>31</v>
      </c>
      <c r="AU101" s="406"/>
    </row>
    <row r="102" customFormat="false" ht="12.75" hidden="false" customHeight="false" outlineLevel="0" collapsed="false">
      <c r="A102" s="405" t="str">
        <f aca="false">Option1!A69</f>
        <v>N/A</v>
      </c>
      <c r="B102" s="396" t="str">
        <f aca="false">IF(A102="N/A"," ",IF(ISERROR(N102),B90*Pwresc,N102)*VLOOKUP(MONTH(A102),Curveadj,3))</f>
        <v> </v>
      </c>
      <c r="C102" s="397" t="str">
        <f aca="false">IF(A102="N/A"," ",(IF(AND(Scaler1=1,MONTH(A102)&gt;=6,MONTH(A102)&lt;=8,OR($M$37="REGION 2",$M$37="REGION 2A",$M$37="REGION 2B",$M$37="REGION 3",$M$37="REGION 3A",$M$37="REGION 3B",$M$37="REGION 3C",$M$37="REGION 4",$M$37="REGION 4B",$M$37="REGION 4C",$M$37="REGION 5",$M$37="REGION 5A")),((0.059228/(B102/100))-(0.4980013/(SQRT(B102/100)))+2.137988),HLOOKUP(MONTH(A102),ScalarTable,28))))</f>
        <v> </v>
      </c>
      <c r="D102" s="398" t="str">
        <f aca="false">IF(A102="N/A"," ",C102*B102)</f>
        <v> </v>
      </c>
      <c r="E102" s="396" t="str">
        <f aca="false">IF(A102="N/A"," ",IF(ISERROR(O102),E90*Pwresc,O102)*VLOOKUP(MONTH(A102),Curveadj,3))</f>
        <v> </v>
      </c>
      <c r="F102" s="398" t="str">
        <f aca="false">IF(A102="N/A"," ",E102*C102)</f>
        <v> </v>
      </c>
      <c r="G102" s="396" t="str">
        <f aca="false">IF(A102="N/A"," ",IF(ISERROR(P102),G90*Pwresc,P102)*VLOOKUP(MONTH(A102),Curveadj,3))</f>
        <v> </v>
      </c>
      <c r="H102" s="398" t="str">
        <f aca="false">IF(A102="N/A"," ",G102*C102)</f>
        <v> </v>
      </c>
      <c r="I102" s="398" t="str">
        <f aca="false">IF(A102="N/A"," ",IF(ISERROR(Q102),I90*Pwresc,Q102))</f>
        <v> </v>
      </c>
      <c r="J102" s="398" t="str">
        <f aca="false">IF(A102="N/A"," ",Inputs!$G$4)</f>
        <v> </v>
      </c>
      <c r="K102" s="399" t="str">
        <f aca="false">IF(A102="N/A"," ",IF(ISERROR(#REF!),K90*Gasesc,#REF!))</f>
        <v> </v>
      </c>
      <c r="L102" s="399" t="str">
        <f aca="false">IF(A102="N/A"," ",IF(ISERROR(#REF!),L90*Gasesc,IF(#REF!=0,L90*Gasesc,#REF!)))</f>
        <v> </v>
      </c>
      <c r="M102" s="404"/>
      <c r="N102" s="401" t="str">
        <f aca="false">IF(A102="N/A"," ",VLOOKUP(A102,PeakPowerCurves,(IF(BMO1=2,3,IF(BMO1=1,2,4))),FALSE()))</f>
        <v> </v>
      </c>
      <c r="O102" s="401" t="str">
        <f aca="false">IF(A102="N/A"," ",VLOOKUP(A102,SatSunPeakPwr,(IF(BMO1=2,3,IF(BMO1=1,2,4))),FALSE()))</f>
        <v> </v>
      </c>
      <c r="P102" s="401" t="str">
        <f aca="false">IF(A102="N/A"," ",VLOOKUP(A102,SatSunPeakPwr,(IF(BMO1=2,7,IF(BMO1=1,6,8))),FALSE()))</f>
        <v> </v>
      </c>
      <c r="Q102" s="402" t="str">
        <f aca="false">IF(A102="N/A"," ",(VLOOKUP(A102,OPPowerPrices,(IF(BMO1=2,7,IF(BMO1=1,6,8))),FALSE())))</f>
        <v> </v>
      </c>
      <c r="R102" s="403" t="str">
        <f aca="false">IF(A102="N/A"," ",(VLOOKUP($A102,IRTable,2)))</f>
        <v> </v>
      </c>
      <c r="AF102" s="352" t="n">
        <v>39539</v>
      </c>
      <c r="AG102" s="311" t="n">
        <v>22</v>
      </c>
      <c r="AH102" s="311" t="n">
        <v>4</v>
      </c>
      <c r="AI102" s="311" t="n">
        <v>4</v>
      </c>
      <c r="AJ102" s="311" t="n">
        <v>0</v>
      </c>
      <c r="AK102" s="311" t="n">
        <v>30</v>
      </c>
      <c r="AU102" s="406"/>
    </row>
    <row r="103" customFormat="false" ht="12.75" hidden="false" customHeight="false" outlineLevel="0" collapsed="false">
      <c r="A103" s="405" t="str">
        <f aca="false">Option1!A70</f>
        <v>N/A</v>
      </c>
      <c r="B103" s="396" t="str">
        <f aca="false">IF(A103="N/A"," ",IF(ISERROR(N103),B91*Pwresc,N103)*VLOOKUP(MONTH(A103),Curveadj,3))</f>
        <v> </v>
      </c>
      <c r="C103" s="397" t="str">
        <f aca="false">IF(A103="N/A"," ",(IF(AND(Scaler1=1,MONTH(A103)&gt;=6,MONTH(A103)&lt;=8,OR($M$37="REGION 2",$M$37="REGION 2A",$M$37="REGION 2B",$M$37="REGION 3",$M$37="REGION 3A",$M$37="REGION 3B",$M$37="REGION 3C",$M$37="REGION 4",$M$37="REGION 4B",$M$37="REGION 4C",$M$37="REGION 5",$M$37="REGION 5A")),((0.059228/(B103/100))-(0.4980013/(SQRT(B103/100)))+2.137988),HLOOKUP(MONTH(A103),ScalarTable,28))))</f>
        <v> </v>
      </c>
      <c r="D103" s="398" t="str">
        <f aca="false">IF(A103="N/A"," ",C103*B103)</f>
        <v> </v>
      </c>
      <c r="E103" s="396" t="str">
        <f aca="false">IF(A103="N/A"," ",IF(ISERROR(O103),E91*Pwresc,O103)*VLOOKUP(MONTH(A103),Curveadj,3))</f>
        <v> </v>
      </c>
      <c r="F103" s="398" t="str">
        <f aca="false">IF(A103="N/A"," ",E103*C103)</f>
        <v> </v>
      </c>
      <c r="G103" s="396" t="str">
        <f aca="false">IF(A103="N/A"," ",IF(ISERROR(P103),G91*Pwresc,P103)*VLOOKUP(MONTH(A103),Curveadj,3))</f>
        <v> </v>
      </c>
      <c r="H103" s="398" t="str">
        <f aca="false">IF(A103="N/A"," ",G103*C103)</f>
        <v> </v>
      </c>
      <c r="I103" s="398" t="str">
        <f aca="false">IF(A103="N/A"," ",IF(ISERROR(Q103),I91*Pwresc,Q103))</f>
        <v> </v>
      </c>
      <c r="J103" s="398" t="str">
        <f aca="false">IF(A103="N/A"," ",Inputs!$G$4)</f>
        <v> </v>
      </c>
      <c r="K103" s="399" t="str">
        <f aca="false">IF(A103="N/A"," ",IF(ISERROR(#REF!),K91*Gasesc,#REF!))</f>
        <v> </v>
      </c>
      <c r="L103" s="399" t="str">
        <f aca="false">IF(A103="N/A"," ",IF(ISERROR(#REF!),L91*Gasesc,IF(#REF!=0,L91*Gasesc,#REF!)))</f>
        <v> </v>
      </c>
      <c r="M103" s="404"/>
      <c r="N103" s="401" t="str">
        <f aca="false">IF(A103="N/A"," ",VLOOKUP(A103,PeakPowerCurves,(IF(BMO1=2,3,IF(BMO1=1,2,4))),FALSE()))</f>
        <v> </v>
      </c>
      <c r="O103" s="401" t="str">
        <f aca="false">IF(A103="N/A"," ",VLOOKUP(A103,SatSunPeakPwr,(IF(BMO1=2,3,IF(BMO1=1,2,4))),FALSE()))</f>
        <v> </v>
      </c>
      <c r="P103" s="401" t="str">
        <f aca="false">IF(A103="N/A"," ",VLOOKUP(A103,SatSunPeakPwr,(IF(BMO1=2,7,IF(BMO1=1,6,8))),FALSE()))</f>
        <v> </v>
      </c>
      <c r="Q103" s="402" t="str">
        <f aca="false">IF(A103="N/A"," ",(VLOOKUP(A103,OPPowerPrices,(IF(BMO1=2,7,IF(BMO1=1,6,8))),FALSE())))</f>
        <v> </v>
      </c>
      <c r="R103" s="403" t="str">
        <f aca="false">IF(A103="N/A"," ",(VLOOKUP($A103,IRTable,2)))</f>
        <v> </v>
      </c>
      <c r="AF103" s="352" t="n">
        <v>39569</v>
      </c>
      <c r="AG103" s="311" t="n">
        <v>21</v>
      </c>
      <c r="AH103" s="311" t="n">
        <v>5</v>
      </c>
      <c r="AI103" s="311" t="n">
        <v>5</v>
      </c>
      <c r="AJ103" s="311" t="n">
        <v>1</v>
      </c>
      <c r="AK103" s="311" t="n">
        <v>31</v>
      </c>
      <c r="AU103" s="406"/>
    </row>
    <row r="104" customFormat="false" ht="12.75" hidden="false" customHeight="false" outlineLevel="0" collapsed="false">
      <c r="A104" s="405" t="str">
        <f aca="false">Option1!A71</f>
        <v>N/A</v>
      </c>
      <c r="B104" s="396" t="str">
        <f aca="false">IF(A104="N/A"," ",IF(ISERROR(N104),B92*Pwresc,N104)*VLOOKUP(MONTH(A104),Curveadj,3))</f>
        <v> </v>
      </c>
      <c r="C104" s="397" t="str">
        <f aca="false">IF(A104="N/A"," ",(IF(AND(Scaler1=1,MONTH(A104)&gt;=6,MONTH(A104)&lt;=8,OR($M$37="REGION 2",$M$37="REGION 2A",$M$37="REGION 2B",$M$37="REGION 3",$M$37="REGION 3A",$M$37="REGION 3B",$M$37="REGION 3C",$M$37="REGION 4",$M$37="REGION 4B",$M$37="REGION 4C",$M$37="REGION 5",$M$37="REGION 5A")),((0.059228/(B104/100))-(0.4980013/(SQRT(B104/100)))+2.137988),HLOOKUP(MONTH(A104),ScalarTable,28))))</f>
        <v> </v>
      </c>
      <c r="D104" s="398" t="str">
        <f aca="false">IF(A104="N/A"," ",C104*B104)</f>
        <v> </v>
      </c>
      <c r="E104" s="396" t="str">
        <f aca="false">IF(A104="N/A"," ",IF(ISERROR(O104),E92*Pwresc,O104)*VLOOKUP(MONTH(A104),Curveadj,3))</f>
        <v> </v>
      </c>
      <c r="F104" s="398" t="str">
        <f aca="false">IF(A104="N/A"," ",E104*C104)</f>
        <v> </v>
      </c>
      <c r="G104" s="396" t="str">
        <f aca="false">IF(A104="N/A"," ",IF(ISERROR(P104),G92*Pwresc,P104)*VLOOKUP(MONTH(A104),Curveadj,3))</f>
        <v> </v>
      </c>
      <c r="H104" s="398" t="str">
        <f aca="false">IF(A104="N/A"," ",G104*C104)</f>
        <v> </v>
      </c>
      <c r="I104" s="398" t="str">
        <f aca="false">IF(A104="N/A"," ",IF(ISERROR(Q104),I92*Pwresc,Q104))</f>
        <v> </v>
      </c>
      <c r="J104" s="398" t="str">
        <f aca="false">IF(A104="N/A"," ",Inputs!$G$4)</f>
        <v> </v>
      </c>
      <c r="K104" s="399" t="str">
        <f aca="false">IF(A104="N/A"," ",IF(ISERROR(#REF!),K92*Gasesc,#REF!))</f>
        <v> </v>
      </c>
      <c r="L104" s="399" t="str">
        <f aca="false">IF(A104="N/A"," ",IF(ISERROR(#REF!),L92*Gasesc,IF(#REF!=0,L92*Gasesc,#REF!)))</f>
        <v> </v>
      </c>
      <c r="M104" s="404"/>
      <c r="N104" s="401" t="str">
        <f aca="false">IF(A104="N/A"," ",VLOOKUP(A104,PeakPowerCurves,(IF(BMO1=2,3,IF(BMO1=1,2,4))),FALSE()))</f>
        <v> </v>
      </c>
      <c r="O104" s="401" t="str">
        <f aca="false">IF(A104="N/A"," ",VLOOKUP(A104,SatSunPeakPwr,(IF(BMO1=2,3,IF(BMO1=1,2,4))),FALSE()))</f>
        <v> </v>
      </c>
      <c r="P104" s="401" t="str">
        <f aca="false">IF(A104="N/A"," ",VLOOKUP(A104,SatSunPeakPwr,(IF(BMO1=2,7,IF(BMO1=1,6,8))),FALSE()))</f>
        <v> </v>
      </c>
      <c r="Q104" s="402" t="str">
        <f aca="false">IF(A104="N/A"," ",(VLOOKUP(A104,OPPowerPrices,(IF(BMO1=2,7,IF(BMO1=1,6,8))),FALSE())))</f>
        <v> </v>
      </c>
      <c r="R104" s="403" t="str">
        <f aca="false">IF(A104="N/A"," ",(VLOOKUP($A104,IRTable,2)))</f>
        <v> </v>
      </c>
      <c r="AF104" s="352" t="n">
        <v>39600</v>
      </c>
      <c r="AG104" s="311" t="n">
        <v>21</v>
      </c>
      <c r="AH104" s="311" t="n">
        <v>4</v>
      </c>
      <c r="AI104" s="311" t="n">
        <v>5</v>
      </c>
      <c r="AJ104" s="311" t="n">
        <v>0</v>
      </c>
      <c r="AK104" s="311" t="n">
        <v>30</v>
      </c>
      <c r="AU104" s="406"/>
    </row>
    <row r="105" customFormat="false" ht="12.75" hidden="false" customHeight="false" outlineLevel="0" collapsed="false">
      <c r="A105" s="405" t="str">
        <f aca="false">Option1!A72</f>
        <v>N/A</v>
      </c>
      <c r="B105" s="396" t="str">
        <f aca="false">IF(A105="N/A"," ",IF(ISERROR(N105),B93*Pwresc,N105)*VLOOKUP(MONTH(A105),Curveadj,3))</f>
        <v> </v>
      </c>
      <c r="C105" s="397" t="str">
        <f aca="false">IF(A105="N/A"," ",(IF(AND(Scaler1=1,MONTH(A105)&gt;=6,MONTH(A105)&lt;=8,OR($M$37="REGION 2",$M$37="REGION 2A",$M$37="REGION 2B",$M$37="REGION 3",$M$37="REGION 3A",$M$37="REGION 3B",$M$37="REGION 3C",$M$37="REGION 4",$M$37="REGION 4B",$M$37="REGION 4C",$M$37="REGION 5",$M$37="REGION 5A")),((0.059228/(B105/100))-(0.4980013/(SQRT(B105/100)))+2.137988),HLOOKUP(MONTH(A105),ScalarTable,28))))</f>
        <v> </v>
      </c>
      <c r="D105" s="398" t="str">
        <f aca="false">IF(A105="N/A"," ",C105*B105)</f>
        <v> </v>
      </c>
      <c r="E105" s="396" t="str">
        <f aca="false">IF(A105="N/A"," ",IF(ISERROR(O105),E93*Pwresc,O105)*VLOOKUP(MONTH(A105),Curveadj,3))</f>
        <v> </v>
      </c>
      <c r="F105" s="398" t="str">
        <f aca="false">IF(A105="N/A"," ",E105*C105)</f>
        <v> </v>
      </c>
      <c r="G105" s="396" t="str">
        <f aca="false">IF(A105="N/A"," ",IF(ISERROR(P105),G93*Pwresc,P105)*VLOOKUP(MONTH(A105),Curveadj,3))</f>
        <v> </v>
      </c>
      <c r="H105" s="398" t="str">
        <f aca="false">IF(A105="N/A"," ",G105*C105)</f>
        <v> </v>
      </c>
      <c r="I105" s="398" t="str">
        <f aca="false">IF(A105="N/A"," ",IF(ISERROR(Q105),I93*Pwresc,Q105))</f>
        <v> </v>
      </c>
      <c r="J105" s="398" t="str">
        <f aca="false">IF(A105="N/A"," ",Inputs!$G$4)</f>
        <v> </v>
      </c>
      <c r="K105" s="399" t="str">
        <f aca="false">IF(A105="N/A"," ",IF(ISERROR(#REF!),K93*Gasesc,#REF!))</f>
        <v> </v>
      </c>
      <c r="L105" s="399" t="str">
        <f aca="false">IF(A105="N/A"," ",IF(ISERROR(#REF!),L93*Gasesc,IF(#REF!=0,L93*Gasesc,#REF!)))</f>
        <v> </v>
      </c>
      <c r="M105" s="404"/>
      <c r="N105" s="401" t="str">
        <f aca="false">IF(A105="N/A"," ",VLOOKUP(A105,PeakPowerCurves,(IF(BMO1=2,3,IF(BMO1=1,2,4))),FALSE()))</f>
        <v> </v>
      </c>
      <c r="O105" s="401" t="str">
        <f aca="false">IF(A105="N/A"," ",VLOOKUP(A105,SatSunPeakPwr,(IF(BMO1=2,3,IF(BMO1=1,2,4))),FALSE()))</f>
        <v> </v>
      </c>
      <c r="P105" s="401" t="str">
        <f aca="false">IF(A105="N/A"," ",VLOOKUP(A105,SatSunPeakPwr,(IF(BMO1=2,7,IF(BMO1=1,6,8))),FALSE()))</f>
        <v> </v>
      </c>
      <c r="Q105" s="402" t="str">
        <f aca="false">IF(A105="N/A"," ",(VLOOKUP(A105,OPPowerPrices,(IF(BMO1=2,7,IF(BMO1=1,6,8))),FALSE())))</f>
        <v> </v>
      </c>
      <c r="R105" s="403" t="str">
        <f aca="false">IF(A105="N/A"," ",(VLOOKUP($A105,IRTable,2)))</f>
        <v> </v>
      </c>
      <c r="AF105" s="352" t="n">
        <v>39630</v>
      </c>
      <c r="AG105" s="311" t="n">
        <v>22</v>
      </c>
      <c r="AH105" s="311" t="n">
        <v>4</v>
      </c>
      <c r="AI105" s="311" t="n">
        <v>5</v>
      </c>
      <c r="AJ105" s="311" t="n">
        <v>1</v>
      </c>
      <c r="AK105" s="311" t="n">
        <v>31</v>
      </c>
      <c r="AU105" s="406"/>
    </row>
    <row r="106" customFormat="false" ht="12.75" hidden="false" customHeight="false" outlineLevel="0" collapsed="false">
      <c r="A106" s="405" t="str">
        <f aca="false">Option1!A73</f>
        <v>N/A</v>
      </c>
      <c r="B106" s="396" t="str">
        <f aca="false">IF(A106="N/A"," ",IF(ISERROR(N106),B94*Pwresc,N106)*VLOOKUP(MONTH(A106),Curveadj,3))</f>
        <v> </v>
      </c>
      <c r="C106" s="397" t="str">
        <f aca="false">IF(A106="N/A"," ",(IF(AND(Scaler1=1,MONTH(A106)&gt;=6,MONTH(A106)&lt;=8,OR($M$37="REGION 2",$M$37="REGION 2A",$M$37="REGION 2B",$M$37="REGION 3",$M$37="REGION 3A",$M$37="REGION 3B",$M$37="REGION 3C",$M$37="REGION 4",$M$37="REGION 4B",$M$37="REGION 4C",$M$37="REGION 5",$M$37="REGION 5A")),((0.059228/(B106/100))-(0.4980013/(SQRT(B106/100)))+2.137988),HLOOKUP(MONTH(A106),ScalarTable,28))))</f>
        <v> </v>
      </c>
      <c r="D106" s="398" t="str">
        <f aca="false">IF(A106="N/A"," ",C106*B106)</f>
        <v> </v>
      </c>
      <c r="E106" s="396" t="str">
        <f aca="false">IF(A106="N/A"," ",IF(ISERROR(O106),E94*Pwresc,O106)*VLOOKUP(MONTH(A106),Curveadj,3))</f>
        <v> </v>
      </c>
      <c r="F106" s="398" t="str">
        <f aca="false">IF(A106="N/A"," ",E106*C106)</f>
        <v> </v>
      </c>
      <c r="G106" s="396" t="str">
        <f aca="false">IF(A106="N/A"," ",IF(ISERROR(P106),G94*Pwresc,P106)*VLOOKUP(MONTH(A106),Curveadj,3))</f>
        <v> </v>
      </c>
      <c r="H106" s="398" t="str">
        <f aca="false">IF(A106="N/A"," ",G106*C106)</f>
        <v> </v>
      </c>
      <c r="I106" s="398" t="str">
        <f aca="false">IF(A106="N/A"," ",IF(ISERROR(Q106),I94*Pwresc,Q106))</f>
        <v> </v>
      </c>
      <c r="J106" s="398" t="str">
        <f aca="false">IF(A106="N/A"," ",Inputs!$G$4)</f>
        <v> </v>
      </c>
      <c r="K106" s="399" t="str">
        <f aca="false">IF(A106="N/A"," ",IF(ISERROR(#REF!),K94*Gasesc,#REF!))</f>
        <v> </v>
      </c>
      <c r="L106" s="399" t="str">
        <f aca="false">IF(A106="N/A"," ",IF(ISERROR(#REF!),L94*Gasesc,IF(#REF!=0,L94*Gasesc,#REF!)))</f>
        <v> </v>
      </c>
      <c r="M106" s="404"/>
      <c r="N106" s="401" t="str">
        <f aca="false">IF(A106="N/A"," ",VLOOKUP(A106,PeakPowerCurves,(IF(BMO1=2,3,IF(BMO1=1,2,4))),FALSE()))</f>
        <v> </v>
      </c>
      <c r="O106" s="401" t="str">
        <f aca="false">IF(A106="N/A"," ",VLOOKUP(A106,SatSunPeakPwr,(IF(BMO1=2,3,IF(BMO1=1,2,4))),FALSE()))</f>
        <v> </v>
      </c>
      <c r="P106" s="401" t="str">
        <f aca="false">IF(A106="N/A"," ",VLOOKUP(A106,SatSunPeakPwr,(IF(BMO1=2,7,IF(BMO1=1,6,8))),FALSE()))</f>
        <v> </v>
      </c>
      <c r="Q106" s="402" t="str">
        <f aca="false">IF(A106="N/A"," ",(VLOOKUP(A106,OPPowerPrices,(IF(BMO1=2,7,IF(BMO1=1,6,8))),FALSE())))</f>
        <v> </v>
      </c>
      <c r="R106" s="403" t="str">
        <f aca="false">IF(A106="N/A"," ",(VLOOKUP($A106,IRTable,2)))</f>
        <v> </v>
      </c>
      <c r="AF106" s="352" t="n">
        <v>39661</v>
      </c>
      <c r="AG106" s="311" t="n">
        <v>21</v>
      </c>
      <c r="AH106" s="311" t="n">
        <v>5</v>
      </c>
      <c r="AI106" s="311" t="n">
        <v>5</v>
      </c>
      <c r="AJ106" s="311" t="n">
        <v>0</v>
      </c>
      <c r="AK106" s="311" t="n">
        <v>31</v>
      </c>
      <c r="AU106" s="406"/>
    </row>
    <row r="107" customFormat="false" ht="12.75" hidden="false" customHeight="false" outlineLevel="0" collapsed="false">
      <c r="A107" s="405" t="str">
        <f aca="false">Option1!A74</f>
        <v>N/A</v>
      </c>
      <c r="B107" s="396" t="str">
        <f aca="false">IF(A107="N/A"," ",IF(ISERROR(N107),B95*Pwresc,N107)*VLOOKUP(MONTH(A107),Curveadj,3))</f>
        <v> </v>
      </c>
      <c r="C107" s="397" t="str">
        <f aca="false">IF(A107="N/A"," ",(IF(AND(Scaler1=1,MONTH(A107)&gt;=6,MONTH(A107)&lt;=8,OR($M$37="REGION 2",$M$37="REGION 2A",$M$37="REGION 2B",$M$37="REGION 3",$M$37="REGION 3A",$M$37="REGION 3B",$M$37="REGION 3C",$M$37="REGION 4",$M$37="REGION 4B",$M$37="REGION 4C",$M$37="REGION 5",$M$37="REGION 5A")),((0.059228/(B107/100))-(0.4980013/(SQRT(B107/100)))+2.137988),HLOOKUP(MONTH(A107),ScalarTable,28))))</f>
        <v> </v>
      </c>
      <c r="D107" s="398" t="str">
        <f aca="false">IF(A107="N/A"," ",C107*B107)</f>
        <v> </v>
      </c>
      <c r="E107" s="396" t="str">
        <f aca="false">IF(A107="N/A"," ",IF(ISERROR(O107),E95*Pwresc,O107)*VLOOKUP(MONTH(A107),Curveadj,3))</f>
        <v> </v>
      </c>
      <c r="F107" s="398" t="str">
        <f aca="false">IF(A107="N/A"," ",E107*C107)</f>
        <v> </v>
      </c>
      <c r="G107" s="396" t="str">
        <f aca="false">IF(A107="N/A"," ",IF(ISERROR(P107),G95*Pwresc,P107)*VLOOKUP(MONTH(A107),Curveadj,3))</f>
        <v> </v>
      </c>
      <c r="H107" s="398" t="str">
        <f aca="false">IF(A107="N/A"," ",G107*C107)</f>
        <v> </v>
      </c>
      <c r="I107" s="398" t="str">
        <f aca="false">IF(A107="N/A"," ",IF(ISERROR(Q107),I95*Pwresc,Q107))</f>
        <v> </v>
      </c>
      <c r="J107" s="398" t="str">
        <f aca="false">IF(A107="N/A"," ",Inputs!$G$4)</f>
        <v> </v>
      </c>
      <c r="K107" s="399" t="str">
        <f aca="false">IF(A107="N/A"," ",IF(ISERROR(#REF!),K95*Gasesc,#REF!))</f>
        <v> </v>
      </c>
      <c r="L107" s="399" t="str">
        <f aca="false">IF(A107="N/A"," ",IF(ISERROR(#REF!),L95*Gasesc,IF(#REF!=0,L95*Gasesc,#REF!)))</f>
        <v> </v>
      </c>
      <c r="M107" s="404"/>
      <c r="N107" s="401" t="str">
        <f aca="false">IF(A107="N/A"," ",VLOOKUP(A107,PeakPowerCurves,(IF(BMO1=2,3,IF(BMO1=1,2,4))),FALSE()))</f>
        <v> </v>
      </c>
      <c r="O107" s="401" t="str">
        <f aca="false">IF(A107="N/A"," ",VLOOKUP(A107,SatSunPeakPwr,(IF(BMO1=2,3,IF(BMO1=1,2,4))),FALSE()))</f>
        <v> </v>
      </c>
      <c r="P107" s="401" t="str">
        <f aca="false">IF(A107="N/A"," ",VLOOKUP(A107,SatSunPeakPwr,(IF(BMO1=2,7,IF(BMO1=1,6,8))),FALSE()))</f>
        <v> </v>
      </c>
      <c r="Q107" s="402" t="str">
        <f aca="false">IF(A107="N/A"," ",(VLOOKUP(A107,OPPowerPrices,(IF(BMO1=2,7,IF(BMO1=1,6,8))),FALSE())))</f>
        <v> </v>
      </c>
      <c r="R107" s="403" t="str">
        <f aca="false">IF(A107="N/A"," ",(VLOOKUP($A107,IRTable,2)))</f>
        <v> </v>
      </c>
      <c r="AF107" s="352" t="n">
        <v>39692</v>
      </c>
      <c r="AG107" s="311" t="n">
        <v>21</v>
      </c>
      <c r="AH107" s="311" t="n">
        <v>4</v>
      </c>
      <c r="AI107" s="311" t="n">
        <v>5</v>
      </c>
      <c r="AJ107" s="311" t="n">
        <v>1</v>
      </c>
      <c r="AK107" s="311" t="n">
        <v>30</v>
      </c>
      <c r="AU107" s="406"/>
    </row>
    <row r="108" customFormat="false" ht="12.75" hidden="false" customHeight="false" outlineLevel="0" collapsed="false">
      <c r="A108" s="405" t="str">
        <f aca="false">Option1!A75</f>
        <v>N/A</v>
      </c>
      <c r="B108" s="396" t="str">
        <f aca="false">IF(A108="N/A"," ",IF(ISERROR(N108),B96*Pwresc,N108)*VLOOKUP(MONTH(A108),Curveadj,3))</f>
        <v> </v>
      </c>
      <c r="C108" s="397" t="str">
        <f aca="false">IF(A108="N/A"," ",(IF(AND(Scaler1=1,MONTH(A108)&gt;=6,MONTH(A108)&lt;=8,OR($M$37="REGION 2",$M$37="REGION 2A",$M$37="REGION 2B",$M$37="REGION 3",$M$37="REGION 3A",$M$37="REGION 3B",$M$37="REGION 3C",$M$37="REGION 4",$M$37="REGION 4B",$M$37="REGION 4C",$M$37="REGION 5",$M$37="REGION 5A")),((0.059228/(B108/100))-(0.4980013/(SQRT(B108/100)))+2.137988),HLOOKUP(MONTH(A108),ScalarTable,28))))</f>
        <v> </v>
      </c>
      <c r="D108" s="398" t="str">
        <f aca="false">IF(A108="N/A"," ",C108*B108)</f>
        <v> </v>
      </c>
      <c r="E108" s="396" t="str">
        <f aca="false">IF(A108="N/A"," ",IF(ISERROR(O108),E96*Pwresc,O108)*VLOOKUP(MONTH(A108),Curveadj,3))</f>
        <v> </v>
      </c>
      <c r="F108" s="398" t="str">
        <f aca="false">IF(A108="N/A"," ",E108*C108)</f>
        <v> </v>
      </c>
      <c r="G108" s="396" t="str">
        <f aca="false">IF(A108="N/A"," ",IF(ISERROR(P108),G96*Pwresc,P108)*VLOOKUP(MONTH(A108),Curveadj,3))</f>
        <v> </v>
      </c>
      <c r="H108" s="398" t="str">
        <f aca="false">IF(A108="N/A"," ",G108*C108)</f>
        <v> </v>
      </c>
      <c r="I108" s="398" t="str">
        <f aca="false">IF(A108="N/A"," ",IF(ISERROR(Q108),I96*Pwresc,Q108))</f>
        <v> </v>
      </c>
      <c r="J108" s="398" t="str">
        <f aca="false">IF(A108="N/A"," ",Inputs!$G$4)</f>
        <v> </v>
      </c>
      <c r="K108" s="399" t="str">
        <f aca="false">IF(A108="N/A"," ",IF(ISERROR(#REF!),K96*Gasesc,#REF!))</f>
        <v> </v>
      </c>
      <c r="L108" s="399" t="str">
        <f aca="false">IF(A108="N/A"," ",IF(ISERROR(#REF!),L96*Gasesc,IF(#REF!=0,L96*Gasesc,#REF!)))</f>
        <v> </v>
      </c>
      <c r="M108" s="404"/>
      <c r="N108" s="401" t="str">
        <f aca="false">IF(A108="N/A"," ",VLOOKUP(A108,PeakPowerCurves,(IF(BMO1=2,3,IF(BMO1=1,2,4))),FALSE()))</f>
        <v> </v>
      </c>
      <c r="O108" s="401" t="str">
        <f aca="false">IF(A108="N/A"," ",VLOOKUP(A108,SatSunPeakPwr,(IF(BMO1=2,3,IF(BMO1=1,2,4))),FALSE()))</f>
        <v> </v>
      </c>
      <c r="P108" s="401" t="str">
        <f aca="false">IF(A108="N/A"," ",VLOOKUP(A108,SatSunPeakPwr,(IF(BMO1=2,7,IF(BMO1=1,6,8))),FALSE()))</f>
        <v> </v>
      </c>
      <c r="Q108" s="402" t="str">
        <f aca="false">IF(A108="N/A"," ",(VLOOKUP(A108,OPPowerPrices,(IF(BMO1=2,7,IF(BMO1=1,6,8))),FALSE())))</f>
        <v> </v>
      </c>
      <c r="R108" s="403" t="str">
        <f aca="false">IF(A108="N/A"," ",(VLOOKUP($A108,IRTable,2)))</f>
        <v> </v>
      </c>
      <c r="AF108" s="352" t="n">
        <v>39722</v>
      </c>
      <c r="AG108" s="311" t="n">
        <v>23</v>
      </c>
      <c r="AH108" s="311" t="n">
        <v>4</v>
      </c>
      <c r="AI108" s="311" t="n">
        <v>4</v>
      </c>
      <c r="AJ108" s="311" t="n">
        <v>0</v>
      </c>
      <c r="AK108" s="311" t="n">
        <v>31</v>
      </c>
      <c r="AU108" s="406"/>
    </row>
    <row r="109" customFormat="false" ht="12.75" hidden="false" customHeight="false" outlineLevel="0" collapsed="false">
      <c r="A109" s="405" t="str">
        <f aca="false">Option1!A76</f>
        <v>N/A</v>
      </c>
      <c r="B109" s="396" t="str">
        <f aca="false">IF(A109="N/A"," ",IF(ISERROR(N109),B97*Pwresc,N109)*VLOOKUP(MONTH(A109),Curveadj,3))</f>
        <v> </v>
      </c>
      <c r="C109" s="397" t="str">
        <f aca="false">IF(A109="N/A"," ",(IF(AND(Scaler1=1,MONTH(A109)&gt;=6,MONTH(A109)&lt;=8,OR($M$37="REGION 2",$M$37="REGION 2A",$M$37="REGION 2B",$M$37="REGION 3",$M$37="REGION 3A",$M$37="REGION 3B",$M$37="REGION 3C",$M$37="REGION 4",$M$37="REGION 4B",$M$37="REGION 4C",$M$37="REGION 5",$M$37="REGION 5A")),((0.059228/(B109/100))-(0.4980013/(SQRT(B109/100)))+2.137988),HLOOKUP(MONTH(A109),ScalarTable,28))))</f>
        <v> </v>
      </c>
      <c r="D109" s="398" t="str">
        <f aca="false">IF(A109="N/A"," ",C109*B109)</f>
        <v> </v>
      </c>
      <c r="E109" s="396" t="str">
        <f aca="false">IF(A109="N/A"," ",IF(ISERROR(O109),E97*Pwresc,O109)*VLOOKUP(MONTH(A109),Curveadj,3))</f>
        <v> </v>
      </c>
      <c r="F109" s="398" t="str">
        <f aca="false">IF(A109="N/A"," ",E109*C109)</f>
        <v> </v>
      </c>
      <c r="G109" s="396" t="str">
        <f aca="false">IF(A109="N/A"," ",IF(ISERROR(P109),G97*Pwresc,P109)*VLOOKUP(MONTH(A109),Curveadj,3))</f>
        <v> </v>
      </c>
      <c r="H109" s="398" t="str">
        <f aca="false">IF(A109="N/A"," ",G109*C109)</f>
        <v> </v>
      </c>
      <c r="I109" s="398" t="str">
        <f aca="false">IF(A109="N/A"," ",IF(ISERROR(Q109),I97*Pwresc,Q109))</f>
        <v> </v>
      </c>
      <c r="J109" s="398" t="str">
        <f aca="false">IF(A109="N/A"," ",Inputs!$G$4)</f>
        <v> </v>
      </c>
      <c r="K109" s="399" t="str">
        <f aca="false">IF(A109="N/A"," ",IF(ISERROR(#REF!),K97*Gasesc,#REF!))</f>
        <v> </v>
      </c>
      <c r="L109" s="399" t="str">
        <f aca="false">IF(A109="N/A"," ",IF(ISERROR(#REF!),L97*Gasesc,IF(#REF!=0,L97*Gasesc,#REF!)))</f>
        <v> </v>
      </c>
      <c r="M109" s="404"/>
      <c r="N109" s="401" t="str">
        <f aca="false">IF(A109="N/A"," ",VLOOKUP(A109,PeakPowerCurves,(IF(BMO1=2,3,IF(BMO1=1,2,4))),FALSE()))</f>
        <v> </v>
      </c>
      <c r="O109" s="401" t="str">
        <f aca="false">IF(A109="N/A"," ",VLOOKUP(A109,SatSunPeakPwr,(IF(BMO1=2,3,IF(BMO1=1,2,4))),FALSE()))</f>
        <v> </v>
      </c>
      <c r="P109" s="401" t="str">
        <f aca="false">IF(A109="N/A"," ",VLOOKUP(A109,SatSunPeakPwr,(IF(BMO1=2,7,IF(BMO1=1,6,8))),FALSE()))</f>
        <v> </v>
      </c>
      <c r="Q109" s="402" t="str">
        <f aca="false">IF(A109="N/A"," ",(VLOOKUP(A109,OPPowerPrices,(IF(BMO1=2,7,IF(BMO1=1,6,8))),FALSE())))</f>
        <v> </v>
      </c>
      <c r="R109" s="403" t="str">
        <f aca="false">IF(A109="N/A"," ",(VLOOKUP($A109,IRTable,2)))</f>
        <v> </v>
      </c>
      <c r="AF109" s="352" t="n">
        <v>39753</v>
      </c>
      <c r="AG109" s="311" t="n">
        <v>19</v>
      </c>
      <c r="AH109" s="311" t="n">
        <v>5</v>
      </c>
      <c r="AI109" s="311" t="n">
        <v>6</v>
      </c>
      <c r="AJ109" s="311" t="n">
        <v>1</v>
      </c>
      <c r="AK109" s="311" t="n">
        <v>30</v>
      </c>
      <c r="AU109" s="406"/>
    </row>
    <row r="110" customFormat="false" ht="12.75" hidden="false" customHeight="false" outlineLevel="0" collapsed="false">
      <c r="A110" s="405" t="str">
        <f aca="false">Option1!A77</f>
        <v>N/A</v>
      </c>
      <c r="B110" s="396" t="str">
        <f aca="false">IF(A110="N/A"," ",IF(ISERROR(N110),B98*Pwresc,N110)*VLOOKUP(MONTH(A110),Curveadj,3))</f>
        <v> </v>
      </c>
      <c r="C110" s="397" t="str">
        <f aca="false">IF(A110="N/A"," ",(IF(AND(Scaler1=1,MONTH(A110)&gt;=6,MONTH(A110)&lt;=8,OR($M$37="REGION 2",$M$37="REGION 2A",$M$37="REGION 2B",$M$37="REGION 3",$M$37="REGION 3A",$M$37="REGION 3B",$M$37="REGION 3C",$M$37="REGION 4",$M$37="REGION 4B",$M$37="REGION 4C",$M$37="REGION 5",$M$37="REGION 5A")),((0.059228/(B110/100))-(0.4980013/(SQRT(B110/100)))+2.137988),HLOOKUP(MONTH(A110),ScalarTable,28))))</f>
        <v> </v>
      </c>
      <c r="D110" s="398" t="str">
        <f aca="false">IF(A110="N/A"," ",C110*B110)</f>
        <v> </v>
      </c>
      <c r="E110" s="396" t="str">
        <f aca="false">IF(A110="N/A"," ",IF(ISERROR(O110),E98*Pwresc,O110)*VLOOKUP(MONTH(A110),Curveadj,3))</f>
        <v> </v>
      </c>
      <c r="F110" s="398" t="str">
        <f aca="false">IF(A110="N/A"," ",E110*C110)</f>
        <v> </v>
      </c>
      <c r="G110" s="396" t="str">
        <f aca="false">IF(A110="N/A"," ",IF(ISERROR(P110),G98*Pwresc,P110)*VLOOKUP(MONTH(A110),Curveadj,3))</f>
        <v> </v>
      </c>
      <c r="H110" s="398" t="str">
        <f aca="false">IF(A110="N/A"," ",G110*C110)</f>
        <v> </v>
      </c>
      <c r="I110" s="398" t="str">
        <f aca="false">IF(A110="N/A"," ",IF(ISERROR(Q110),I98*Pwresc,Q110))</f>
        <v> </v>
      </c>
      <c r="J110" s="398" t="str">
        <f aca="false">IF(A110="N/A"," ",Inputs!$G$4)</f>
        <v> </v>
      </c>
      <c r="K110" s="399" t="str">
        <f aca="false">IF(A110="N/A"," ",IF(ISERROR(#REF!),K98*Gasesc,#REF!))</f>
        <v> </v>
      </c>
      <c r="L110" s="399" t="str">
        <f aca="false">IF(A110="N/A"," ",IF(ISERROR(#REF!),L98*Gasesc,IF(#REF!=0,L98*Gasesc,#REF!)))</f>
        <v> </v>
      </c>
      <c r="M110" s="404"/>
      <c r="N110" s="401" t="str">
        <f aca="false">IF(A110="N/A"," ",VLOOKUP(A110,PeakPowerCurves,(IF(BMO1=2,3,IF(BMO1=1,2,4))),FALSE()))</f>
        <v> </v>
      </c>
      <c r="O110" s="401" t="str">
        <f aca="false">IF(A110="N/A"," ",VLOOKUP(A110,SatSunPeakPwr,(IF(BMO1=2,3,IF(BMO1=1,2,4))),FALSE()))</f>
        <v> </v>
      </c>
      <c r="P110" s="401" t="str">
        <f aca="false">IF(A110="N/A"," ",VLOOKUP(A110,SatSunPeakPwr,(IF(BMO1=2,7,IF(BMO1=1,6,8))),FALSE()))</f>
        <v> </v>
      </c>
      <c r="Q110" s="402" t="str">
        <f aca="false">IF(A110="N/A"," ",(VLOOKUP(A110,OPPowerPrices,(IF(BMO1=2,7,IF(BMO1=1,6,8))),FALSE())))</f>
        <v> </v>
      </c>
      <c r="R110" s="403" t="str">
        <f aca="false">IF(A110="N/A"," ",(VLOOKUP($A110,IRTable,2)))</f>
        <v> </v>
      </c>
      <c r="AF110" s="352" t="n">
        <v>39783</v>
      </c>
      <c r="AG110" s="311" t="n">
        <v>22</v>
      </c>
      <c r="AH110" s="311" t="n">
        <v>4</v>
      </c>
      <c r="AI110" s="311" t="n">
        <v>5</v>
      </c>
      <c r="AJ110" s="311" t="n">
        <v>1</v>
      </c>
      <c r="AK110" s="311" t="n">
        <v>31</v>
      </c>
      <c r="AU110" s="406"/>
    </row>
    <row r="111" customFormat="false" ht="12.75" hidden="false" customHeight="false" outlineLevel="0" collapsed="false">
      <c r="A111" s="405" t="str">
        <f aca="false">Option1!A78</f>
        <v>N/A</v>
      </c>
      <c r="B111" s="396" t="str">
        <f aca="false">IF(A111="N/A"," ",IF(ISERROR(N111),B99*Pwresc,N111)*VLOOKUP(MONTH(A111),Curveadj,3))</f>
        <v> </v>
      </c>
      <c r="C111" s="397" t="str">
        <f aca="false">IF(A111="N/A"," ",(IF(AND(Scaler1=1,MONTH(A111)&gt;=6,MONTH(A111)&lt;=8,OR($M$37="REGION 2",$M$37="REGION 2A",$M$37="REGION 2B",$M$37="REGION 3",$M$37="REGION 3A",$M$37="REGION 3B",$M$37="REGION 3C",$M$37="REGION 4",$M$37="REGION 4B",$M$37="REGION 4C",$M$37="REGION 5",$M$37="REGION 5A")),((0.059228/(B111/100))-(0.4980013/(SQRT(B111/100)))+2.137988),HLOOKUP(MONTH(A111),ScalarTable,28))))</f>
        <v> </v>
      </c>
      <c r="D111" s="398" t="str">
        <f aca="false">IF(A111="N/A"," ",C111*B111)</f>
        <v> </v>
      </c>
      <c r="E111" s="396" t="str">
        <f aca="false">IF(A111="N/A"," ",IF(ISERROR(O111),E99*Pwresc,O111)*VLOOKUP(MONTH(A111),Curveadj,3))</f>
        <v> </v>
      </c>
      <c r="F111" s="398" t="str">
        <f aca="false">IF(A111="N/A"," ",E111*C111)</f>
        <v> </v>
      </c>
      <c r="G111" s="396" t="str">
        <f aca="false">IF(A111="N/A"," ",IF(ISERROR(P111),G99*Pwresc,P111)*VLOOKUP(MONTH(A111),Curveadj,3))</f>
        <v> </v>
      </c>
      <c r="H111" s="398" t="str">
        <f aca="false">IF(A111="N/A"," ",G111*C111)</f>
        <v> </v>
      </c>
      <c r="I111" s="398" t="str">
        <f aca="false">IF(A111="N/A"," ",IF(ISERROR(Q111),I99*Pwresc,Q111))</f>
        <v> </v>
      </c>
      <c r="J111" s="398" t="str">
        <f aca="false">IF(A111="N/A"," ",Inputs!$G$4)</f>
        <v> </v>
      </c>
      <c r="K111" s="399" t="str">
        <f aca="false">IF(A111="N/A"," ",IF(ISERROR(#REF!),K99*Gasesc,#REF!))</f>
        <v> </v>
      </c>
      <c r="L111" s="399" t="str">
        <f aca="false">IF(A111="N/A"," ",IF(ISERROR(#REF!),L99*Gasesc,IF(#REF!=0,L99*Gasesc,#REF!)))</f>
        <v> </v>
      </c>
      <c r="M111" s="404"/>
      <c r="N111" s="401" t="str">
        <f aca="false">IF(A111="N/A"," ",VLOOKUP(A111,PeakPowerCurves,(IF(BMO1=2,3,IF(BMO1=1,2,4))),FALSE()))</f>
        <v> </v>
      </c>
      <c r="O111" s="401" t="str">
        <f aca="false">IF(A111="N/A"," ",VLOOKUP(A111,SatSunPeakPwr,(IF(BMO1=2,3,IF(BMO1=1,2,4))),FALSE()))</f>
        <v> </v>
      </c>
      <c r="P111" s="401" t="str">
        <f aca="false">IF(A111="N/A"," ",VLOOKUP(A111,SatSunPeakPwr,(IF(BMO1=2,7,IF(BMO1=1,6,8))),FALSE()))</f>
        <v> </v>
      </c>
      <c r="Q111" s="402" t="str">
        <f aca="false">IF(A111="N/A"," ",(VLOOKUP(A111,OPPowerPrices,(IF(BMO1=2,7,IF(BMO1=1,6,8))),FALSE())))</f>
        <v> </v>
      </c>
      <c r="R111" s="403" t="str">
        <f aca="false">IF(A111="N/A"," ",(VLOOKUP($A111,IRTable,2)))</f>
        <v> </v>
      </c>
      <c r="AF111" s="352" t="n">
        <v>39814</v>
      </c>
      <c r="AG111" s="311" t="n">
        <v>21</v>
      </c>
      <c r="AH111" s="311" t="n">
        <v>5</v>
      </c>
      <c r="AI111" s="311" t="n">
        <v>5</v>
      </c>
      <c r="AJ111" s="311" t="n">
        <v>1</v>
      </c>
      <c r="AK111" s="311" t="n">
        <v>31</v>
      </c>
      <c r="AU111" s="406"/>
    </row>
    <row r="112" customFormat="false" ht="12.75" hidden="false" customHeight="false" outlineLevel="0" collapsed="false">
      <c r="A112" s="405" t="str">
        <f aca="false">Option1!A79</f>
        <v>N/A</v>
      </c>
      <c r="B112" s="396" t="str">
        <f aca="false">IF(A112="N/A"," ",IF(ISERROR(N112),B100*Pwresc,N112)*VLOOKUP(MONTH(A112),Curveadj,3))</f>
        <v> </v>
      </c>
      <c r="C112" s="397" t="str">
        <f aca="false">IF(A112="N/A"," ",(IF(AND(Scaler1=1,MONTH(A112)&gt;=6,MONTH(A112)&lt;=8,OR($M$37="REGION 2",$M$37="REGION 2A",$M$37="REGION 2B",$M$37="REGION 3",$M$37="REGION 3A",$M$37="REGION 3B",$M$37="REGION 3C",$M$37="REGION 4",$M$37="REGION 4B",$M$37="REGION 4C",$M$37="REGION 5",$M$37="REGION 5A")),((0.059228/(B112/100))-(0.4980013/(SQRT(B112/100)))+2.137988),HLOOKUP(MONTH(A112),ScalarTable,28))))</f>
        <v> </v>
      </c>
      <c r="D112" s="398" t="str">
        <f aca="false">IF(A112="N/A"," ",C112*B112)</f>
        <v> </v>
      </c>
      <c r="E112" s="396" t="str">
        <f aca="false">IF(A112="N/A"," ",IF(ISERROR(O112),E100*Pwresc,O112)*VLOOKUP(MONTH(A112),Curveadj,3))</f>
        <v> </v>
      </c>
      <c r="F112" s="398" t="str">
        <f aca="false">IF(A112="N/A"," ",E112*C112)</f>
        <v> </v>
      </c>
      <c r="G112" s="396" t="str">
        <f aca="false">IF(A112="N/A"," ",IF(ISERROR(P112),G100*Pwresc,P112)*VLOOKUP(MONTH(A112),Curveadj,3))</f>
        <v> </v>
      </c>
      <c r="H112" s="398" t="str">
        <f aca="false">IF(A112="N/A"," ",G112*C112)</f>
        <v> </v>
      </c>
      <c r="I112" s="398" t="str">
        <f aca="false">IF(A112="N/A"," ",IF(ISERROR(Q112),I100*Pwresc,Q112))</f>
        <v> </v>
      </c>
      <c r="J112" s="398" t="str">
        <f aca="false">IF(A112="N/A"," ",Inputs!$G$4)</f>
        <v> </v>
      </c>
      <c r="K112" s="399" t="str">
        <f aca="false">IF(A112="N/A"," ",IF(ISERROR(#REF!),K100*Gasesc,#REF!))</f>
        <v> </v>
      </c>
      <c r="L112" s="399" t="str">
        <f aca="false">IF(A112="N/A"," ",IF(ISERROR(#REF!),L100*Gasesc,IF(#REF!=0,L100*Gasesc,#REF!)))</f>
        <v> </v>
      </c>
      <c r="M112" s="404"/>
      <c r="N112" s="401" t="str">
        <f aca="false">IF(A112="N/A"," ",VLOOKUP(A112,PeakPowerCurves,(IF(BMO1=2,3,IF(BMO1=1,2,4))),FALSE()))</f>
        <v> </v>
      </c>
      <c r="O112" s="401" t="str">
        <f aca="false">IF(A112="N/A"," ",VLOOKUP(A112,SatSunPeakPwr,(IF(BMO1=2,3,IF(BMO1=1,2,4))),FALSE()))</f>
        <v> </v>
      </c>
      <c r="P112" s="401" t="str">
        <f aca="false">IF(A112="N/A"," ",VLOOKUP(A112,SatSunPeakPwr,(IF(BMO1=2,7,IF(BMO1=1,6,8))),FALSE()))</f>
        <v> </v>
      </c>
      <c r="Q112" s="402" t="str">
        <f aca="false">IF(A112="N/A"," ",(VLOOKUP(A112,OPPowerPrices,(IF(BMO1=2,7,IF(BMO1=1,6,8))),FALSE())))</f>
        <v> </v>
      </c>
      <c r="R112" s="403" t="str">
        <f aca="false">IF(A112="N/A"," ",(VLOOKUP($A112,IRTable,2)))</f>
        <v> </v>
      </c>
      <c r="AF112" s="352" t="n">
        <v>39845</v>
      </c>
      <c r="AG112" s="311" t="n">
        <v>20</v>
      </c>
      <c r="AH112" s="311" t="n">
        <v>4</v>
      </c>
      <c r="AI112" s="311" t="n">
        <v>4</v>
      </c>
      <c r="AJ112" s="311" t="n">
        <v>0</v>
      </c>
      <c r="AK112" s="311" t="n">
        <v>28</v>
      </c>
      <c r="AU112" s="406"/>
    </row>
    <row r="113" customFormat="false" ht="12.75" hidden="false" customHeight="false" outlineLevel="0" collapsed="false">
      <c r="A113" s="405" t="str">
        <f aca="false">Option1!A80</f>
        <v>N/A</v>
      </c>
      <c r="B113" s="396" t="str">
        <f aca="false">IF(A113="N/A"," ",IF(ISERROR(N113),B101*Pwresc,N113)*VLOOKUP(MONTH(A113),Curveadj,3))</f>
        <v> </v>
      </c>
      <c r="C113" s="397" t="str">
        <f aca="false">IF(A113="N/A"," ",(IF(AND(Scaler1=1,MONTH(A113)&gt;=6,MONTH(A113)&lt;=8,OR($M$37="REGION 2",$M$37="REGION 2A",$M$37="REGION 2B",$M$37="REGION 3",$M$37="REGION 3A",$M$37="REGION 3B",$M$37="REGION 3C",$M$37="REGION 4",$M$37="REGION 4B",$M$37="REGION 4C",$M$37="REGION 5",$M$37="REGION 5A")),((0.059228/(B113/100))-(0.4980013/(SQRT(B113/100)))+2.137988),HLOOKUP(MONTH(A113),ScalarTable,28))))</f>
        <v> </v>
      </c>
      <c r="D113" s="398" t="str">
        <f aca="false">IF(A113="N/A"," ",C113*B113)</f>
        <v> </v>
      </c>
      <c r="E113" s="396" t="str">
        <f aca="false">IF(A113="N/A"," ",IF(ISERROR(O113),E101*Pwresc,O113)*VLOOKUP(MONTH(A113),Curveadj,3))</f>
        <v> </v>
      </c>
      <c r="F113" s="398" t="str">
        <f aca="false">IF(A113="N/A"," ",E113*C113)</f>
        <v> </v>
      </c>
      <c r="G113" s="396" t="str">
        <f aca="false">IF(A113="N/A"," ",IF(ISERROR(P113),G101*Pwresc,P113)*VLOOKUP(MONTH(A113),Curveadj,3))</f>
        <v> </v>
      </c>
      <c r="H113" s="398" t="str">
        <f aca="false">IF(A113="N/A"," ",G113*C113)</f>
        <v> </v>
      </c>
      <c r="I113" s="398" t="str">
        <f aca="false">IF(A113="N/A"," ",IF(ISERROR(Q113),I101*Pwresc,Q113))</f>
        <v> </v>
      </c>
      <c r="J113" s="398" t="str">
        <f aca="false">IF(A113="N/A"," ",Inputs!$G$4)</f>
        <v> </v>
      </c>
      <c r="K113" s="399" t="str">
        <f aca="false">IF(A113="N/A"," ",IF(ISERROR(#REF!),K101*Gasesc,#REF!))</f>
        <v> </v>
      </c>
      <c r="L113" s="399" t="str">
        <f aca="false">IF(A113="N/A"," ",IF(ISERROR(#REF!),L101*Gasesc,IF(#REF!=0,L101*Gasesc,#REF!)))</f>
        <v> </v>
      </c>
      <c r="M113" s="404"/>
      <c r="N113" s="401" t="str">
        <f aca="false">IF(A113="N/A"," ",VLOOKUP(A113,PeakPowerCurves,(IF(BMO1=2,3,IF(BMO1=1,2,4))),FALSE()))</f>
        <v> </v>
      </c>
      <c r="O113" s="401" t="str">
        <f aca="false">IF(A113="N/A"," ",VLOOKUP(A113,SatSunPeakPwr,(IF(BMO1=2,3,IF(BMO1=1,2,4))),FALSE()))</f>
        <v> </v>
      </c>
      <c r="P113" s="401" t="str">
        <f aca="false">IF(A113="N/A"," ",VLOOKUP(A113,SatSunPeakPwr,(IF(BMO1=2,7,IF(BMO1=1,6,8))),FALSE()))</f>
        <v> </v>
      </c>
      <c r="Q113" s="402" t="str">
        <f aca="false">IF(A113="N/A"," ",(VLOOKUP(A113,OPPowerPrices,(IF(BMO1=2,7,IF(BMO1=1,6,8))),FALSE())))</f>
        <v> </v>
      </c>
      <c r="R113" s="403" t="str">
        <f aca="false">IF(A113="N/A"," ",(VLOOKUP($A113,IRTable,2)))</f>
        <v> </v>
      </c>
      <c r="AF113" s="352" t="n">
        <v>39873</v>
      </c>
      <c r="AG113" s="311" t="n">
        <v>22</v>
      </c>
      <c r="AH113" s="311" t="n">
        <v>4</v>
      </c>
      <c r="AI113" s="311" t="n">
        <v>5</v>
      </c>
      <c r="AJ113" s="311" t="n">
        <v>0</v>
      </c>
      <c r="AK113" s="311" t="n">
        <v>31</v>
      </c>
      <c r="AU113" s="406"/>
    </row>
    <row r="114" customFormat="false" ht="12.75" hidden="false" customHeight="false" outlineLevel="0" collapsed="false">
      <c r="A114" s="405" t="str">
        <f aca="false">Option1!A81</f>
        <v>N/A</v>
      </c>
      <c r="B114" s="396" t="str">
        <f aca="false">IF(A114="N/A"," ",IF(ISERROR(N114),B102*Pwresc,N114)*VLOOKUP(MONTH(A114),Curveadj,3))</f>
        <v> </v>
      </c>
      <c r="C114" s="397" t="str">
        <f aca="false">IF(A114="N/A"," ",(IF(AND(Scaler1=1,MONTH(A114)&gt;=6,MONTH(A114)&lt;=8,OR($M$37="REGION 2",$M$37="REGION 2A",$M$37="REGION 2B",$M$37="REGION 3",$M$37="REGION 3A",$M$37="REGION 3B",$M$37="REGION 3C",$M$37="REGION 4",$M$37="REGION 4B",$M$37="REGION 4C",$M$37="REGION 5",$M$37="REGION 5A")),((0.059228/(B114/100))-(0.4980013/(SQRT(B114/100)))+2.137988),HLOOKUP(MONTH(A114),ScalarTable,28))))</f>
        <v> </v>
      </c>
      <c r="D114" s="398" t="str">
        <f aca="false">IF(A114="N/A"," ",C114*B114)</f>
        <v> </v>
      </c>
      <c r="E114" s="396" t="str">
        <f aca="false">IF(A114="N/A"," ",IF(ISERROR(O114),E102*Pwresc,O114)*VLOOKUP(MONTH(A114),Curveadj,3))</f>
        <v> </v>
      </c>
      <c r="F114" s="398" t="str">
        <f aca="false">IF(A114="N/A"," ",E114*C114)</f>
        <v> </v>
      </c>
      <c r="G114" s="396" t="str">
        <f aca="false">IF(A114="N/A"," ",IF(ISERROR(P114),G102*Pwresc,P114)*VLOOKUP(MONTH(A114),Curveadj,3))</f>
        <v> </v>
      </c>
      <c r="H114" s="398" t="str">
        <f aca="false">IF(A114="N/A"," ",G114*C114)</f>
        <v> </v>
      </c>
      <c r="I114" s="398" t="str">
        <f aca="false">IF(A114="N/A"," ",IF(ISERROR(Q114),I102*Pwresc,Q114))</f>
        <v> </v>
      </c>
      <c r="J114" s="398" t="str">
        <f aca="false">IF(A114="N/A"," ",Inputs!$G$4)</f>
        <v> </v>
      </c>
      <c r="K114" s="399" t="str">
        <f aca="false">IF(A114="N/A"," ",IF(ISERROR(#REF!),K102*Gasesc,#REF!))</f>
        <v> </v>
      </c>
      <c r="L114" s="399" t="str">
        <f aca="false">IF(A114="N/A"," ",IF(ISERROR(#REF!),L102*Gasesc,IF(#REF!=0,L102*Gasesc,#REF!)))</f>
        <v> </v>
      </c>
      <c r="M114" s="404"/>
      <c r="N114" s="401" t="str">
        <f aca="false">IF(A114="N/A"," ",VLOOKUP(A114,PeakPowerCurves,(IF(BMO1=2,3,IF(BMO1=1,2,4))),FALSE()))</f>
        <v> </v>
      </c>
      <c r="O114" s="401" t="str">
        <f aca="false">IF(A114="N/A"," ",VLOOKUP(A114,SatSunPeakPwr,(IF(BMO1=2,3,IF(BMO1=1,2,4))),FALSE()))</f>
        <v> </v>
      </c>
      <c r="P114" s="401" t="str">
        <f aca="false">IF(A114="N/A"," ",VLOOKUP(A114,SatSunPeakPwr,(IF(BMO1=2,7,IF(BMO1=1,6,8))),FALSE()))</f>
        <v> </v>
      </c>
      <c r="Q114" s="402" t="str">
        <f aca="false">IF(A114="N/A"," ",(VLOOKUP(A114,OPPowerPrices,(IF(BMO1=2,7,IF(BMO1=1,6,8))),FALSE())))</f>
        <v> </v>
      </c>
      <c r="R114" s="403" t="str">
        <f aca="false">IF(A114="N/A"," ",(VLOOKUP($A114,IRTable,2)))</f>
        <v> </v>
      </c>
      <c r="AF114" s="352" t="n">
        <v>39904</v>
      </c>
      <c r="AG114" s="311" t="n">
        <v>22</v>
      </c>
      <c r="AH114" s="311" t="n">
        <v>4</v>
      </c>
      <c r="AI114" s="311" t="n">
        <v>4</v>
      </c>
      <c r="AJ114" s="311" t="n">
        <v>0</v>
      </c>
      <c r="AK114" s="311" t="n">
        <v>30</v>
      </c>
      <c r="AU114" s="406"/>
    </row>
    <row r="115" customFormat="false" ht="12.75" hidden="false" customHeight="false" outlineLevel="0" collapsed="false">
      <c r="A115" s="405" t="str">
        <f aca="false">Option1!A82</f>
        <v>N/A</v>
      </c>
      <c r="B115" s="396" t="str">
        <f aca="false">IF(A115="N/A"," ",IF(ISERROR(N115),B103*Pwresc,N115)*VLOOKUP(MONTH(A115),Curveadj,3))</f>
        <v> </v>
      </c>
      <c r="C115" s="397" t="str">
        <f aca="false">IF(A115="N/A"," ",(IF(AND(Scaler1=1,MONTH(A115)&gt;=6,MONTH(A115)&lt;=8,OR($M$37="REGION 2",$M$37="REGION 2A",$M$37="REGION 2B",$M$37="REGION 3",$M$37="REGION 3A",$M$37="REGION 3B",$M$37="REGION 3C",$M$37="REGION 4",$M$37="REGION 4B",$M$37="REGION 4C",$M$37="REGION 5",$M$37="REGION 5A")),((0.059228/(B115/100))-(0.4980013/(SQRT(B115/100)))+2.137988),HLOOKUP(MONTH(A115),ScalarTable,28))))</f>
        <v> </v>
      </c>
      <c r="D115" s="398" t="str">
        <f aca="false">IF(A115="N/A"," ",C115*B115)</f>
        <v> </v>
      </c>
      <c r="E115" s="396" t="str">
        <f aca="false">IF(A115="N/A"," ",IF(ISERROR(O115),E103*Pwresc,O115)*VLOOKUP(MONTH(A115),Curveadj,3))</f>
        <v> </v>
      </c>
      <c r="F115" s="398" t="str">
        <f aca="false">IF(A115="N/A"," ",E115*C115)</f>
        <v> </v>
      </c>
      <c r="G115" s="396" t="str">
        <f aca="false">IF(A115="N/A"," ",IF(ISERROR(P115),G103*Pwresc,P115)*VLOOKUP(MONTH(A115),Curveadj,3))</f>
        <v> </v>
      </c>
      <c r="H115" s="398" t="str">
        <f aca="false">IF(A115="N/A"," ",G115*C115)</f>
        <v> </v>
      </c>
      <c r="I115" s="398" t="str">
        <f aca="false">IF(A115="N/A"," ",IF(ISERROR(Q115),I103*Pwresc,Q115))</f>
        <v> </v>
      </c>
      <c r="J115" s="398" t="str">
        <f aca="false">IF(A115="N/A"," ",Inputs!$G$4)</f>
        <v> </v>
      </c>
      <c r="K115" s="399" t="str">
        <f aca="false">IF(A115="N/A"," ",IF(ISERROR(#REF!),K103*Gasesc,#REF!))</f>
        <v> </v>
      </c>
      <c r="L115" s="399" t="str">
        <f aca="false">IF(A115="N/A"," ",IF(ISERROR(#REF!),L103*Gasesc,IF(#REF!=0,L103*Gasesc,#REF!)))</f>
        <v> </v>
      </c>
      <c r="M115" s="404"/>
      <c r="N115" s="401" t="str">
        <f aca="false">IF(A115="N/A"," ",VLOOKUP(A115,PeakPowerCurves,(IF(BMO1=2,3,IF(BMO1=1,2,4))),FALSE()))</f>
        <v> </v>
      </c>
      <c r="O115" s="401" t="str">
        <f aca="false">IF(A115="N/A"," ",VLOOKUP(A115,SatSunPeakPwr,(IF(BMO1=2,3,IF(BMO1=1,2,4))),FALSE()))</f>
        <v> </v>
      </c>
      <c r="P115" s="401" t="str">
        <f aca="false">IF(A115="N/A"," ",VLOOKUP(A115,SatSunPeakPwr,(IF(BMO1=2,7,IF(BMO1=1,6,8))),FALSE()))</f>
        <v> </v>
      </c>
      <c r="Q115" s="402" t="str">
        <f aca="false">IF(A115="N/A"," ",(VLOOKUP(A115,OPPowerPrices,(IF(BMO1=2,7,IF(BMO1=1,6,8))),FALSE())))</f>
        <v> </v>
      </c>
      <c r="R115" s="403" t="str">
        <f aca="false">IF(A115="N/A"," ",(VLOOKUP($A115,IRTable,2)))</f>
        <v> </v>
      </c>
      <c r="AF115" s="352" t="n">
        <v>39934</v>
      </c>
      <c r="AG115" s="311" t="n">
        <v>20</v>
      </c>
      <c r="AH115" s="311" t="n">
        <v>5</v>
      </c>
      <c r="AI115" s="311" t="n">
        <v>6</v>
      </c>
      <c r="AJ115" s="311" t="n">
        <v>1</v>
      </c>
      <c r="AK115" s="311" t="n">
        <v>31</v>
      </c>
      <c r="AU115" s="406"/>
    </row>
    <row r="116" customFormat="false" ht="12.75" hidden="false" customHeight="false" outlineLevel="0" collapsed="false">
      <c r="A116" s="405" t="str">
        <f aca="false">Option1!A83</f>
        <v>N/A</v>
      </c>
      <c r="B116" s="396" t="str">
        <f aca="false">IF(A116="N/A"," ",IF(ISERROR(N116),B104*Pwresc,N116)*VLOOKUP(MONTH(A116),Curveadj,3))</f>
        <v> </v>
      </c>
      <c r="C116" s="397" t="str">
        <f aca="false">IF(A116="N/A"," ",(IF(AND(Scaler1=1,MONTH(A116)&gt;=6,MONTH(A116)&lt;=8,OR($M$37="REGION 2",$M$37="REGION 2A",$M$37="REGION 2B",$M$37="REGION 3",$M$37="REGION 3A",$M$37="REGION 3B",$M$37="REGION 3C",$M$37="REGION 4",$M$37="REGION 4B",$M$37="REGION 4C",$M$37="REGION 5",$M$37="REGION 5A")),((0.059228/(B116/100))-(0.4980013/(SQRT(B116/100)))+2.137988),HLOOKUP(MONTH(A116),ScalarTable,28))))</f>
        <v> </v>
      </c>
      <c r="D116" s="398" t="str">
        <f aca="false">IF(A116="N/A"," ",C116*B116)</f>
        <v> </v>
      </c>
      <c r="E116" s="396" t="str">
        <f aca="false">IF(A116="N/A"," ",IF(ISERROR(O116),E104*Pwresc,O116)*VLOOKUP(MONTH(A116),Curveadj,3))</f>
        <v> </v>
      </c>
      <c r="F116" s="398" t="str">
        <f aca="false">IF(A116="N/A"," ",E116*C116)</f>
        <v> </v>
      </c>
      <c r="G116" s="396" t="str">
        <f aca="false">IF(A116="N/A"," ",IF(ISERROR(P116),G104*Pwresc,P116)*VLOOKUP(MONTH(A116),Curveadj,3))</f>
        <v> </v>
      </c>
      <c r="H116" s="398" t="str">
        <f aca="false">IF(A116="N/A"," ",G116*C116)</f>
        <v> </v>
      </c>
      <c r="I116" s="398" t="str">
        <f aca="false">IF(A116="N/A"," ",IF(ISERROR(Q116),I104*Pwresc,Q116))</f>
        <v> </v>
      </c>
      <c r="J116" s="398" t="str">
        <f aca="false">IF(A116="N/A"," ",Inputs!$G$4)</f>
        <v> </v>
      </c>
      <c r="K116" s="399" t="str">
        <f aca="false">IF(A116="N/A"," ",IF(ISERROR(#REF!),K104*Gasesc,#REF!))</f>
        <v> </v>
      </c>
      <c r="L116" s="399" t="str">
        <f aca="false">IF(A116="N/A"," ",IF(ISERROR(#REF!),L104*Gasesc,IF(#REF!=0,L104*Gasesc,#REF!)))</f>
        <v> </v>
      </c>
      <c r="M116" s="404"/>
      <c r="N116" s="401" t="str">
        <f aca="false">IF(A116="N/A"," ",VLOOKUP(A116,PeakPowerCurves,(IF(BMO1=2,3,IF(BMO1=1,2,4))),FALSE()))</f>
        <v> </v>
      </c>
      <c r="O116" s="401" t="str">
        <f aca="false">IF(A116="N/A"," ",VLOOKUP(A116,SatSunPeakPwr,(IF(BMO1=2,3,IF(BMO1=1,2,4))),FALSE()))</f>
        <v> </v>
      </c>
      <c r="P116" s="401" t="str">
        <f aca="false">IF(A116="N/A"," ",VLOOKUP(A116,SatSunPeakPwr,(IF(BMO1=2,7,IF(BMO1=1,6,8))),FALSE()))</f>
        <v> </v>
      </c>
      <c r="Q116" s="402" t="str">
        <f aca="false">IF(A116="N/A"," ",(VLOOKUP(A116,OPPowerPrices,(IF(BMO1=2,7,IF(BMO1=1,6,8))),FALSE())))</f>
        <v> </v>
      </c>
      <c r="R116" s="403" t="str">
        <f aca="false">IF(A116="N/A"," ",(VLOOKUP($A116,IRTable,2)))</f>
        <v> </v>
      </c>
      <c r="AF116" s="352" t="n">
        <v>39965</v>
      </c>
      <c r="AG116" s="311" t="n">
        <v>22</v>
      </c>
      <c r="AH116" s="311" t="n">
        <v>4</v>
      </c>
      <c r="AI116" s="311" t="n">
        <v>4</v>
      </c>
      <c r="AJ116" s="311" t="n">
        <v>0</v>
      </c>
      <c r="AK116" s="311" t="n">
        <v>30</v>
      </c>
      <c r="AU116" s="406"/>
    </row>
    <row r="117" customFormat="false" ht="12.75" hidden="false" customHeight="false" outlineLevel="0" collapsed="false">
      <c r="A117" s="405" t="str">
        <f aca="false">Option1!A84</f>
        <v>N/A</v>
      </c>
      <c r="B117" s="396" t="str">
        <f aca="false">IF(A117="N/A"," ",IF(ISERROR(N117),B105*Pwresc,N117)*VLOOKUP(MONTH(A117),Curveadj,3))</f>
        <v> </v>
      </c>
      <c r="C117" s="397" t="str">
        <f aca="false">IF(A117="N/A"," ",(IF(AND(Scaler1=1,MONTH(A117)&gt;=6,MONTH(A117)&lt;=8,OR($M$37="REGION 2",$M$37="REGION 2A",$M$37="REGION 2B",$M$37="REGION 3",$M$37="REGION 3A",$M$37="REGION 3B",$M$37="REGION 3C",$M$37="REGION 4",$M$37="REGION 4B",$M$37="REGION 4C",$M$37="REGION 5",$M$37="REGION 5A")),((0.059228/(B117/100))-(0.4980013/(SQRT(B117/100)))+2.137988),HLOOKUP(MONTH(A117),ScalarTable,28))))</f>
        <v> </v>
      </c>
      <c r="D117" s="398" t="str">
        <f aca="false">IF(A117="N/A"," ",C117*B117)</f>
        <v> </v>
      </c>
      <c r="E117" s="396" t="str">
        <f aca="false">IF(A117="N/A"," ",IF(ISERROR(O117),E105*Pwresc,O117)*VLOOKUP(MONTH(A117),Curveadj,3))</f>
        <v> </v>
      </c>
      <c r="F117" s="398" t="str">
        <f aca="false">IF(A117="N/A"," ",E117*C117)</f>
        <v> </v>
      </c>
      <c r="G117" s="396" t="str">
        <f aca="false">IF(A117="N/A"," ",IF(ISERROR(P117),G105*Pwresc,P117)*VLOOKUP(MONTH(A117),Curveadj,3))</f>
        <v> </v>
      </c>
      <c r="H117" s="398" t="str">
        <f aca="false">IF(A117="N/A"," ",G117*C117)</f>
        <v> </v>
      </c>
      <c r="I117" s="398" t="str">
        <f aca="false">IF(A117="N/A"," ",IF(ISERROR(Q117),I105*Pwresc,Q117))</f>
        <v> </v>
      </c>
      <c r="J117" s="398" t="str">
        <f aca="false">IF(A117="N/A"," ",Inputs!$G$4)</f>
        <v> </v>
      </c>
      <c r="K117" s="399" t="str">
        <f aca="false">IF(A117="N/A"," ",IF(ISERROR(#REF!),K105*Gasesc,#REF!))</f>
        <v> </v>
      </c>
      <c r="L117" s="399" t="str">
        <f aca="false">IF(A117="N/A"," ",IF(ISERROR(#REF!),L105*Gasesc,IF(#REF!=0,L105*Gasesc,#REF!)))</f>
        <v> </v>
      </c>
      <c r="M117" s="404"/>
      <c r="N117" s="401" t="str">
        <f aca="false">IF(A117="N/A"," ",VLOOKUP(A117,PeakPowerCurves,(IF(BMO1=2,3,IF(BMO1=1,2,4))),FALSE()))</f>
        <v> </v>
      </c>
      <c r="O117" s="401" t="str">
        <f aca="false">IF(A117="N/A"," ",VLOOKUP(A117,SatSunPeakPwr,(IF(BMO1=2,3,IF(BMO1=1,2,4))),FALSE()))</f>
        <v> </v>
      </c>
      <c r="P117" s="401" t="str">
        <f aca="false">IF(A117="N/A"," ",VLOOKUP(A117,SatSunPeakPwr,(IF(BMO1=2,7,IF(BMO1=1,6,8))),FALSE()))</f>
        <v> </v>
      </c>
      <c r="Q117" s="402" t="str">
        <f aca="false">IF(A117="N/A"," ",(VLOOKUP(A117,OPPowerPrices,(IF(BMO1=2,7,IF(BMO1=1,6,8))),FALSE())))</f>
        <v> </v>
      </c>
      <c r="R117" s="403" t="str">
        <f aca="false">IF(A117="N/A"," ",(VLOOKUP($A117,IRTable,2)))</f>
        <v> </v>
      </c>
      <c r="AF117" s="352" t="n">
        <v>39995</v>
      </c>
      <c r="AG117" s="311" t="n">
        <v>23</v>
      </c>
      <c r="AH117" s="311" t="n">
        <v>3</v>
      </c>
      <c r="AI117" s="311" t="n">
        <v>5</v>
      </c>
      <c r="AJ117" s="311" t="n">
        <v>1</v>
      </c>
      <c r="AK117" s="311" t="n">
        <v>31</v>
      </c>
      <c r="AU117" s="406"/>
    </row>
    <row r="118" customFormat="false" ht="12.75" hidden="false" customHeight="false" outlineLevel="0" collapsed="false">
      <c r="A118" s="405" t="str">
        <f aca="false">Option1!A85</f>
        <v>N/A</v>
      </c>
      <c r="B118" s="396" t="str">
        <f aca="false">IF(A118="N/A"," ",IF(ISERROR(N118),B106*Pwresc,N118)*VLOOKUP(MONTH(A118),Curveadj,3))</f>
        <v> </v>
      </c>
      <c r="C118" s="397" t="str">
        <f aca="false">IF(A118="N/A"," ",(IF(AND(Scaler1=1,MONTH(A118)&gt;=6,MONTH(A118)&lt;=8,OR($M$37="REGION 2",$M$37="REGION 2A",$M$37="REGION 2B",$M$37="REGION 3",$M$37="REGION 3A",$M$37="REGION 3B",$M$37="REGION 3C",$M$37="REGION 4",$M$37="REGION 4B",$M$37="REGION 4C",$M$37="REGION 5",$M$37="REGION 5A")),((0.059228/(B118/100))-(0.4980013/(SQRT(B118/100)))+2.137988),HLOOKUP(MONTH(A118),ScalarTable,28))))</f>
        <v> </v>
      </c>
      <c r="D118" s="398" t="str">
        <f aca="false">IF(A118="N/A"," ",C118*B118)</f>
        <v> </v>
      </c>
      <c r="E118" s="396" t="str">
        <f aca="false">IF(A118="N/A"," ",IF(ISERROR(O118),E106*Pwresc,O118)*VLOOKUP(MONTH(A118),Curveadj,3))</f>
        <v> </v>
      </c>
      <c r="F118" s="398" t="str">
        <f aca="false">IF(A118="N/A"," ",E118*C118)</f>
        <v> </v>
      </c>
      <c r="G118" s="396" t="str">
        <f aca="false">IF(A118="N/A"," ",IF(ISERROR(P118),G106*Pwresc,P118)*VLOOKUP(MONTH(A118),Curveadj,3))</f>
        <v> </v>
      </c>
      <c r="H118" s="398" t="str">
        <f aca="false">IF(A118="N/A"," ",G118*C118)</f>
        <v> </v>
      </c>
      <c r="I118" s="398" t="str">
        <f aca="false">IF(A118="N/A"," ",IF(ISERROR(Q118),I106*Pwresc,Q118))</f>
        <v> </v>
      </c>
      <c r="J118" s="398" t="str">
        <f aca="false">IF(A118="N/A"," ",Inputs!$G$4)</f>
        <v> </v>
      </c>
      <c r="K118" s="399" t="str">
        <f aca="false">IF(A118="N/A"," ",IF(ISERROR(#REF!),K106*Gasesc,#REF!))</f>
        <v> </v>
      </c>
      <c r="L118" s="399" t="str">
        <f aca="false">IF(A118="N/A"," ",IF(ISERROR(#REF!),L106*Gasesc,IF(#REF!=0,L106*Gasesc,#REF!)))</f>
        <v> </v>
      </c>
      <c r="M118" s="404"/>
      <c r="N118" s="401" t="str">
        <f aca="false">IF(A118="N/A"," ",VLOOKUP(A118,PeakPowerCurves,(IF(BMO1=2,3,IF(BMO1=1,2,4))),FALSE()))</f>
        <v> </v>
      </c>
      <c r="O118" s="401" t="str">
        <f aca="false">IF(A118="N/A"," ",VLOOKUP(A118,SatSunPeakPwr,(IF(BMO1=2,3,IF(BMO1=1,2,4))),FALSE()))</f>
        <v> </v>
      </c>
      <c r="P118" s="401" t="str">
        <f aca="false">IF(A118="N/A"," ",VLOOKUP(A118,SatSunPeakPwr,(IF(BMO1=2,7,IF(BMO1=1,6,8))),FALSE()))</f>
        <v> </v>
      </c>
      <c r="Q118" s="402" t="str">
        <f aca="false">IF(A118="N/A"," ",(VLOOKUP(A118,OPPowerPrices,(IF(BMO1=2,7,IF(BMO1=1,6,8))),FALSE())))</f>
        <v> </v>
      </c>
      <c r="R118" s="403" t="str">
        <f aca="false">IF(A118="N/A"," ",(VLOOKUP($A118,IRTable,2)))</f>
        <v> </v>
      </c>
      <c r="AF118" s="352" t="n">
        <v>40026</v>
      </c>
      <c r="AG118" s="311" t="n">
        <v>21</v>
      </c>
      <c r="AH118" s="311" t="n">
        <v>5</v>
      </c>
      <c r="AI118" s="311" t="n">
        <v>5</v>
      </c>
      <c r="AJ118" s="311" t="n">
        <v>0</v>
      </c>
      <c r="AK118" s="311" t="n">
        <v>31</v>
      </c>
      <c r="AU118" s="406"/>
    </row>
    <row r="119" customFormat="false" ht="12.75" hidden="false" customHeight="false" outlineLevel="0" collapsed="false">
      <c r="A119" s="405" t="str">
        <f aca="false">Option1!A86</f>
        <v>N/A</v>
      </c>
      <c r="B119" s="396" t="str">
        <f aca="false">IF(A119="N/A"," ",IF(ISERROR(N119),B107*Pwresc,N119)*VLOOKUP(MONTH(A119),Curveadj,3))</f>
        <v> </v>
      </c>
      <c r="C119" s="397" t="str">
        <f aca="false">IF(A119="N/A"," ",(IF(AND(Scaler1=1,MONTH(A119)&gt;=6,MONTH(A119)&lt;=8,OR($M$37="REGION 2",$M$37="REGION 2A",$M$37="REGION 2B",$M$37="REGION 3",$M$37="REGION 3A",$M$37="REGION 3B",$M$37="REGION 3C",$M$37="REGION 4",$M$37="REGION 4B",$M$37="REGION 4C",$M$37="REGION 5",$M$37="REGION 5A")),((0.059228/(B119/100))-(0.4980013/(SQRT(B119/100)))+2.137988),HLOOKUP(MONTH(A119),ScalarTable,28))))</f>
        <v> </v>
      </c>
      <c r="D119" s="398" t="str">
        <f aca="false">IF(A119="N/A"," ",C119*B119)</f>
        <v> </v>
      </c>
      <c r="E119" s="396" t="str">
        <f aca="false">IF(A119="N/A"," ",IF(ISERROR(O119),E107*Pwresc,O119)*VLOOKUP(MONTH(A119),Curveadj,3))</f>
        <v> </v>
      </c>
      <c r="F119" s="398" t="str">
        <f aca="false">IF(A119="N/A"," ",E119*C119)</f>
        <v> </v>
      </c>
      <c r="G119" s="396" t="str">
        <f aca="false">IF(A119="N/A"," ",IF(ISERROR(P119),G107*Pwresc,P119)*VLOOKUP(MONTH(A119),Curveadj,3))</f>
        <v> </v>
      </c>
      <c r="H119" s="398" t="str">
        <f aca="false">IF(A119="N/A"," ",G119*C119)</f>
        <v> </v>
      </c>
      <c r="I119" s="398" t="str">
        <f aca="false">IF(A119="N/A"," ",IF(ISERROR(Q119),I107*Pwresc,Q119))</f>
        <v> </v>
      </c>
      <c r="J119" s="398" t="str">
        <f aca="false">IF(A119="N/A"," ",Inputs!$G$4)</f>
        <v> </v>
      </c>
      <c r="K119" s="399" t="str">
        <f aca="false">IF(A119="N/A"," ",IF(ISERROR(#REF!),K107*Gasesc,#REF!))</f>
        <v> </v>
      </c>
      <c r="L119" s="399" t="str">
        <f aca="false">IF(A119="N/A"," ",IF(ISERROR(#REF!),L107*Gasesc,IF(#REF!=0,L107*Gasesc,#REF!)))</f>
        <v> </v>
      </c>
      <c r="M119" s="404"/>
      <c r="N119" s="401" t="str">
        <f aca="false">IF(A119="N/A"," ",VLOOKUP(A119,PeakPowerCurves,(IF(BMO1=2,3,IF(BMO1=1,2,4))),FALSE()))</f>
        <v> </v>
      </c>
      <c r="O119" s="401" t="str">
        <f aca="false">IF(A119="N/A"," ",VLOOKUP(A119,SatSunPeakPwr,(IF(BMO1=2,3,IF(BMO1=1,2,4))),FALSE()))</f>
        <v> </v>
      </c>
      <c r="P119" s="401" t="str">
        <f aca="false">IF(A119="N/A"," ",VLOOKUP(A119,SatSunPeakPwr,(IF(BMO1=2,7,IF(BMO1=1,6,8))),FALSE()))</f>
        <v> </v>
      </c>
      <c r="Q119" s="402" t="str">
        <f aca="false">IF(A119="N/A"," ",(VLOOKUP(A119,OPPowerPrices,(IF(BMO1=2,7,IF(BMO1=1,6,8))),FALSE())))</f>
        <v> </v>
      </c>
      <c r="R119" s="403" t="str">
        <f aca="false">IF(A119="N/A"," ",(VLOOKUP($A119,IRTable,2)))</f>
        <v> </v>
      </c>
      <c r="AF119" s="352" t="n">
        <v>40057</v>
      </c>
      <c r="AG119" s="311" t="n">
        <v>21</v>
      </c>
      <c r="AH119" s="311" t="n">
        <v>4</v>
      </c>
      <c r="AI119" s="311" t="n">
        <v>5</v>
      </c>
      <c r="AJ119" s="311" t="n">
        <v>1</v>
      </c>
      <c r="AK119" s="311" t="n">
        <v>30</v>
      </c>
      <c r="AU119" s="406"/>
    </row>
    <row r="120" customFormat="false" ht="12.75" hidden="false" customHeight="false" outlineLevel="0" collapsed="false">
      <c r="A120" s="405" t="str">
        <f aca="false">Option1!A87</f>
        <v>N/A</v>
      </c>
      <c r="B120" s="396" t="str">
        <f aca="false">IF(A120="N/A"," ",IF(ISERROR(N120),B108*Pwresc,N120)*VLOOKUP(MONTH(A120),Curveadj,3))</f>
        <v> </v>
      </c>
      <c r="C120" s="397" t="str">
        <f aca="false">IF(A120="N/A"," ",(IF(AND(Scaler1=1,MONTH(A120)&gt;=6,MONTH(A120)&lt;=8,OR($M$37="REGION 2",$M$37="REGION 2A",$M$37="REGION 2B",$M$37="REGION 3",$M$37="REGION 3A",$M$37="REGION 3B",$M$37="REGION 3C",$M$37="REGION 4",$M$37="REGION 4B",$M$37="REGION 4C",$M$37="REGION 5",$M$37="REGION 5A")),((0.059228/(B120/100))-(0.4980013/(SQRT(B120/100)))+2.137988),HLOOKUP(MONTH(A120),ScalarTable,28))))</f>
        <v> </v>
      </c>
      <c r="D120" s="398" t="str">
        <f aca="false">IF(A120="N/A"," ",C120*B120)</f>
        <v> </v>
      </c>
      <c r="E120" s="396" t="str">
        <f aca="false">IF(A120="N/A"," ",IF(ISERROR(O120),E108*Pwresc,O120)*VLOOKUP(MONTH(A120),Curveadj,3))</f>
        <v> </v>
      </c>
      <c r="F120" s="398" t="str">
        <f aca="false">IF(A120="N/A"," ",E120*C120)</f>
        <v> </v>
      </c>
      <c r="G120" s="396" t="str">
        <f aca="false">IF(A120="N/A"," ",IF(ISERROR(P120),G108*Pwresc,P120)*VLOOKUP(MONTH(A120),Curveadj,3))</f>
        <v> </v>
      </c>
      <c r="H120" s="398" t="str">
        <f aca="false">IF(A120="N/A"," ",G120*C120)</f>
        <v> </v>
      </c>
      <c r="I120" s="398" t="str">
        <f aca="false">IF(A120="N/A"," ",IF(ISERROR(Q120),I108*Pwresc,Q120))</f>
        <v> </v>
      </c>
      <c r="J120" s="398" t="str">
        <f aca="false">IF(A120="N/A"," ",Inputs!$G$4)</f>
        <v> </v>
      </c>
      <c r="K120" s="399" t="str">
        <f aca="false">IF(A120="N/A"," ",IF(ISERROR(#REF!),K108*Gasesc,#REF!))</f>
        <v> </v>
      </c>
      <c r="L120" s="399" t="str">
        <f aca="false">IF(A120="N/A"," ",IF(ISERROR(#REF!),L108*Gasesc,IF(#REF!=0,L108*Gasesc,#REF!)))</f>
        <v> </v>
      </c>
      <c r="M120" s="404"/>
      <c r="N120" s="401" t="str">
        <f aca="false">IF(A120="N/A"," ",VLOOKUP(A120,PeakPowerCurves,(IF(BMO1=2,3,IF(BMO1=1,2,4))),FALSE()))</f>
        <v> </v>
      </c>
      <c r="O120" s="401" t="str">
        <f aca="false">IF(A120="N/A"," ",VLOOKUP(A120,SatSunPeakPwr,(IF(BMO1=2,3,IF(BMO1=1,2,4))),FALSE()))</f>
        <v> </v>
      </c>
      <c r="P120" s="401" t="str">
        <f aca="false">IF(A120="N/A"," ",VLOOKUP(A120,SatSunPeakPwr,(IF(BMO1=2,7,IF(BMO1=1,6,8))),FALSE()))</f>
        <v> </v>
      </c>
      <c r="Q120" s="402" t="str">
        <f aca="false">IF(A120="N/A"," ",(VLOOKUP(A120,OPPowerPrices,(IF(BMO1=2,7,IF(BMO1=1,6,8))),FALSE())))</f>
        <v> </v>
      </c>
      <c r="R120" s="403" t="str">
        <f aca="false">IF(A120="N/A"," ",(VLOOKUP($A120,IRTable,2)))</f>
        <v> </v>
      </c>
      <c r="AF120" s="352" t="n">
        <v>40087</v>
      </c>
      <c r="AG120" s="311" t="n">
        <v>22</v>
      </c>
      <c r="AH120" s="311" t="n">
        <v>5</v>
      </c>
      <c r="AI120" s="311" t="n">
        <v>4</v>
      </c>
      <c r="AJ120" s="311" t="n">
        <v>0</v>
      </c>
      <c r="AK120" s="311" t="n">
        <v>31</v>
      </c>
      <c r="AU120" s="406"/>
    </row>
    <row r="121" customFormat="false" ht="12.75" hidden="false" customHeight="false" outlineLevel="0" collapsed="false">
      <c r="A121" s="405" t="str">
        <f aca="false">Option1!A88</f>
        <v>N/A</v>
      </c>
      <c r="B121" s="396" t="str">
        <f aca="false">IF(A121="N/A"," ",IF(ISERROR(N121),B109*Pwresc,N121)*VLOOKUP(MONTH(A121),Curveadj,3))</f>
        <v> </v>
      </c>
      <c r="C121" s="397" t="str">
        <f aca="false">IF(A121="N/A"," ",(IF(AND(Scaler1=1,MONTH(A121)&gt;=6,MONTH(A121)&lt;=8,OR($M$37="REGION 2",$M$37="REGION 2A",$M$37="REGION 2B",$M$37="REGION 3",$M$37="REGION 3A",$M$37="REGION 3B",$M$37="REGION 3C",$M$37="REGION 4",$M$37="REGION 4B",$M$37="REGION 4C",$M$37="REGION 5",$M$37="REGION 5A")),((0.059228/(B121/100))-(0.4980013/(SQRT(B121/100)))+2.137988),HLOOKUP(MONTH(A121),ScalarTable,28))))</f>
        <v> </v>
      </c>
      <c r="D121" s="398" t="str">
        <f aca="false">IF(A121="N/A"," ",C121*B121)</f>
        <v> </v>
      </c>
      <c r="E121" s="396" t="str">
        <f aca="false">IF(A121="N/A"," ",IF(ISERROR(O121),E109*Pwresc,O121)*VLOOKUP(MONTH(A121),Curveadj,3))</f>
        <v> </v>
      </c>
      <c r="F121" s="398" t="str">
        <f aca="false">IF(A121="N/A"," ",E121*C121)</f>
        <v> </v>
      </c>
      <c r="G121" s="396" t="str">
        <f aca="false">IF(A121="N/A"," ",IF(ISERROR(P121),G109*Pwresc,P121)*VLOOKUP(MONTH(A121),Curveadj,3))</f>
        <v> </v>
      </c>
      <c r="H121" s="398" t="str">
        <f aca="false">IF(A121="N/A"," ",G121*C121)</f>
        <v> </v>
      </c>
      <c r="I121" s="398" t="str">
        <f aca="false">IF(A121="N/A"," ",IF(ISERROR(Q121),I109*Pwresc,Q121))</f>
        <v> </v>
      </c>
      <c r="J121" s="398" t="str">
        <f aca="false">IF(A121="N/A"," ",Inputs!$G$4)</f>
        <v> </v>
      </c>
      <c r="K121" s="399" t="str">
        <f aca="false">IF(A121="N/A"," ",IF(ISERROR(#REF!),K109*Gasesc,#REF!))</f>
        <v> </v>
      </c>
      <c r="L121" s="399" t="str">
        <f aca="false">IF(A121="N/A"," ",IF(ISERROR(#REF!),L109*Gasesc,IF(#REF!=0,L109*Gasesc,#REF!)))</f>
        <v> </v>
      </c>
      <c r="M121" s="404"/>
      <c r="N121" s="401" t="str">
        <f aca="false">IF(A121="N/A"," ",VLOOKUP(A121,PeakPowerCurves,(IF(BMO1=2,3,IF(BMO1=1,2,4))),FALSE()))</f>
        <v> </v>
      </c>
      <c r="O121" s="401" t="str">
        <f aca="false">IF(A121="N/A"," ",VLOOKUP(A121,SatSunPeakPwr,(IF(BMO1=2,3,IF(BMO1=1,2,4))),FALSE()))</f>
        <v> </v>
      </c>
      <c r="P121" s="401" t="str">
        <f aca="false">IF(A121="N/A"," ",VLOOKUP(A121,SatSunPeakPwr,(IF(BMO1=2,7,IF(BMO1=1,6,8))),FALSE()))</f>
        <v> </v>
      </c>
      <c r="Q121" s="402" t="str">
        <f aca="false">IF(A121="N/A"," ",(VLOOKUP(A121,OPPowerPrices,(IF(BMO1=2,7,IF(BMO1=1,6,8))),FALSE())))</f>
        <v> </v>
      </c>
      <c r="R121" s="403" t="str">
        <f aca="false">IF(A121="N/A"," ",(VLOOKUP($A121,IRTable,2)))</f>
        <v> </v>
      </c>
      <c r="AF121" s="352" t="n">
        <v>40118</v>
      </c>
      <c r="AG121" s="311" t="n">
        <v>20</v>
      </c>
      <c r="AH121" s="311" t="n">
        <v>4</v>
      </c>
      <c r="AI121" s="311" t="n">
        <v>6</v>
      </c>
      <c r="AJ121" s="311" t="n">
        <v>1</v>
      </c>
      <c r="AK121" s="311" t="n">
        <v>30</v>
      </c>
      <c r="AU121" s="406"/>
    </row>
    <row r="122" customFormat="false" ht="12.75" hidden="false" customHeight="false" outlineLevel="0" collapsed="false">
      <c r="A122" s="405" t="str">
        <f aca="false">Option1!A89</f>
        <v>N/A</v>
      </c>
      <c r="B122" s="396" t="str">
        <f aca="false">IF(A122="N/A"," ",IF(ISERROR(N122),B110*Pwresc,N122)*VLOOKUP(MONTH(A122),Curveadj,3))</f>
        <v> </v>
      </c>
      <c r="C122" s="397" t="str">
        <f aca="false">IF(A122="N/A"," ",(IF(AND(Scaler1=1,MONTH(A122)&gt;=6,MONTH(A122)&lt;=8,OR($M$37="REGION 2",$M$37="REGION 2A",$M$37="REGION 2B",$M$37="REGION 3",$M$37="REGION 3A",$M$37="REGION 3B",$M$37="REGION 3C",$M$37="REGION 4",$M$37="REGION 4B",$M$37="REGION 4C",$M$37="REGION 5",$M$37="REGION 5A")),((0.059228/(B122/100))-(0.4980013/(SQRT(B122/100)))+2.137988),HLOOKUP(MONTH(A122),ScalarTable,28))))</f>
        <v> </v>
      </c>
      <c r="D122" s="398" t="str">
        <f aca="false">IF(A122="N/A"," ",C122*B122)</f>
        <v> </v>
      </c>
      <c r="E122" s="396" t="str">
        <f aca="false">IF(A122="N/A"," ",IF(ISERROR(O122),E110*Pwresc,O122)*VLOOKUP(MONTH(A122),Curveadj,3))</f>
        <v> </v>
      </c>
      <c r="F122" s="398" t="str">
        <f aca="false">IF(A122="N/A"," ",E122*C122)</f>
        <v> </v>
      </c>
      <c r="G122" s="396" t="str">
        <f aca="false">IF(A122="N/A"," ",IF(ISERROR(P122),G110*Pwresc,P122)*VLOOKUP(MONTH(A122),Curveadj,3))</f>
        <v> </v>
      </c>
      <c r="H122" s="398" t="str">
        <f aca="false">IF(A122="N/A"," ",G122*C122)</f>
        <v> </v>
      </c>
      <c r="I122" s="398" t="str">
        <f aca="false">IF(A122="N/A"," ",IF(ISERROR(Q122),I110*Pwresc,Q122))</f>
        <v> </v>
      </c>
      <c r="J122" s="398" t="str">
        <f aca="false">IF(A122="N/A"," ",Inputs!$G$4)</f>
        <v> </v>
      </c>
      <c r="K122" s="399" t="str">
        <f aca="false">IF(A122="N/A"," ",IF(ISERROR(#REF!),K110*Gasesc,#REF!))</f>
        <v> </v>
      </c>
      <c r="L122" s="399" t="str">
        <f aca="false">IF(A122="N/A"," ",IF(ISERROR(#REF!),L110*Gasesc,IF(#REF!=0,L110*Gasesc,#REF!)))</f>
        <v> </v>
      </c>
      <c r="M122" s="404"/>
      <c r="N122" s="401" t="str">
        <f aca="false">IF(A122="N/A"," ",VLOOKUP(A122,PeakPowerCurves,(IF(BMO1=2,3,IF(BMO1=1,2,4))),FALSE()))</f>
        <v> </v>
      </c>
      <c r="O122" s="401" t="str">
        <f aca="false">IF(A122="N/A"," ",VLOOKUP(A122,SatSunPeakPwr,(IF(BMO1=2,3,IF(BMO1=1,2,4))),FALSE()))</f>
        <v> </v>
      </c>
      <c r="P122" s="401" t="str">
        <f aca="false">IF(A122="N/A"," ",VLOOKUP(A122,SatSunPeakPwr,(IF(BMO1=2,7,IF(BMO1=1,6,8))),FALSE()))</f>
        <v> </v>
      </c>
      <c r="Q122" s="402" t="str">
        <f aca="false">IF(A122="N/A"," ",(VLOOKUP(A122,OPPowerPrices,(IF(BMO1=2,7,IF(BMO1=1,6,8))),FALSE())))</f>
        <v> </v>
      </c>
      <c r="R122" s="403" t="str">
        <f aca="false">IF(A122="N/A"," ",(VLOOKUP($A122,IRTable,2)))</f>
        <v> </v>
      </c>
      <c r="AF122" s="352" t="n">
        <v>40148</v>
      </c>
      <c r="AG122" s="311" t="n">
        <v>22</v>
      </c>
      <c r="AH122" s="311" t="n">
        <v>4</v>
      </c>
      <c r="AI122" s="311" t="n">
        <v>5</v>
      </c>
      <c r="AJ122" s="311" t="n">
        <v>1</v>
      </c>
      <c r="AK122" s="311" t="n">
        <v>31</v>
      </c>
      <c r="AU122" s="406"/>
    </row>
    <row r="123" customFormat="false" ht="12.75" hidden="false" customHeight="false" outlineLevel="0" collapsed="false">
      <c r="A123" s="405" t="str">
        <f aca="false">Option1!A90</f>
        <v>N/A</v>
      </c>
      <c r="B123" s="396" t="str">
        <f aca="false">IF(A123="N/A"," ",IF(ISERROR(N123),B111*Pwresc,N123)*VLOOKUP(MONTH(A123),Curveadj,3))</f>
        <v> </v>
      </c>
      <c r="C123" s="397" t="str">
        <f aca="false">IF(A123="N/A"," ",(IF(AND(Scaler1=1,MONTH(A123)&gt;=6,MONTH(A123)&lt;=8,OR($M$37="REGION 2",$M$37="REGION 2A",$M$37="REGION 2B",$M$37="REGION 3",$M$37="REGION 3A",$M$37="REGION 3B",$M$37="REGION 3C",$M$37="REGION 4",$M$37="REGION 4B",$M$37="REGION 4C",$M$37="REGION 5",$M$37="REGION 5A")),((0.059228/(B123/100))-(0.4980013/(SQRT(B123/100)))+2.137988),HLOOKUP(MONTH(A123),ScalarTable,28))))</f>
        <v> </v>
      </c>
      <c r="D123" s="398" t="str">
        <f aca="false">IF(A123="N/A"," ",C123*B123)</f>
        <v> </v>
      </c>
      <c r="E123" s="396" t="str">
        <f aca="false">IF(A123="N/A"," ",IF(ISERROR(O123),E111*Pwresc,O123)*VLOOKUP(MONTH(A123),Curveadj,3))</f>
        <v> </v>
      </c>
      <c r="F123" s="398" t="str">
        <f aca="false">IF(A123="N/A"," ",E123*C123)</f>
        <v> </v>
      </c>
      <c r="G123" s="396" t="str">
        <f aca="false">IF(A123="N/A"," ",IF(ISERROR(P123),G111*Pwresc,P123)*VLOOKUP(MONTH(A123),Curveadj,3))</f>
        <v> </v>
      </c>
      <c r="H123" s="398" t="str">
        <f aca="false">IF(A123="N/A"," ",G123*C123)</f>
        <v> </v>
      </c>
      <c r="I123" s="398" t="str">
        <f aca="false">IF(A123="N/A"," ",IF(ISERROR(Q123),I111*Pwresc,Q123))</f>
        <v> </v>
      </c>
      <c r="J123" s="398" t="str">
        <f aca="false">IF(A123="N/A"," ",Inputs!$G$4)</f>
        <v> </v>
      </c>
      <c r="K123" s="399" t="str">
        <f aca="false">IF(A123="N/A"," ",IF(ISERROR(#REF!),K111*Gasesc,#REF!))</f>
        <v> </v>
      </c>
      <c r="L123" s="399" t="str">
        <f aca="false">IF(A123="N/A"," ",IF(ISERROR(#REF!),L111*Gasesc,IF(#REF!=0,L111*Gasesc,#REF!)))</f>
        <v> </v>
      </c>
      <c r="M123" s="404"/>
      <c r="N123" s="401" t="str">
        <f aca="false">IF(A123="N/A"," ",VLOOKUP(A123,PeakPowerCurves,(IF(BMO1=2,3,IF(BMO1=1,2,4))),FALSE()))</f>
        <v> </v>
      </c>
      <c r="O123" s="401" t="str">
        <f aca="false">IF(A123="N/A"," ",VLOOKUP(A123,SatSunPeakPwr,(IF(BMO1=2,3,IF(BMO1=1,2,4))),FALSE()))</f>
        <v> </v>
      </c>
      <c r="P123" s="401" t="str">
        <f aca="false">IF(A123="N/A"," ",VLOOKUP(A123,SatSunPeakPwr,(IF(BMO1=2,7,IF(BMO1=1,6,8))),FALSE()))</f>
        <v> </v>
      </c>
      <c r="Q123" s="402" t="str">
        <f aca="false">IF(A123="N/A"," ",(VLOOKUP(A123,OPPowerPrices,(IF(BMO1=2,7,IF(BMO1=1,6,8))),FALSE())))</f>
        <v> </v>
      </c>
      <c r="R123" s="403" t="str">
        <f aca="false">IF(A123="N/A"," ",(VLOOKUP($A123,IRTable,2)))</f>
        <v> </v>
      </c>
      <c r="AF123" s="352" t="n">
        <v>40179</v>
      </c>
      <c r="AG123" s="311" t="n">
        <v>20</v>
      </c>
      <c r="AH123" s="311" t="n">
        <v>5</v>
      </c>
      <c r="AI123" s="311" t="n">
        <v>6</v>
      </c>
      <c r="AJ123" s="311" t="n">
        <v>1</v>
      </c>
      <c r="AK123" s="311" t="n">
        <v>31</v>
      </c>
      <c r="AU123" s="406"/>
    </row>
    <row r="124" customFormat="false" ht="12.75" hidden="false" customHeight="false" outlineLevel="0" collapsed="false">
      <c r="A124" s="405" t="str">
        <f aca="false">Option1!A91</f>
        <v>N/A</v>
      </c>
      <c r="B124" s="396" t="str">
        <f aca="false">IF(A124="N/A"," ",IF(ISERROR(N124),B112*Pwresc,N124)*VLOOKUP(MONTH(A124),Curveadj,3))</f>
        <v> </v>
      </c>
      <c r="C124" s="397" t="str">
        <f aca="false">IF(A124="N/A"," ",(IF(AND(Scaler1=1,MONTH(A124)&gt;=6,MONTH(A124)&lt;=8,OR($M$37="REGION 2",$M$37="REGION 2A",$M$37="REGION 2B",$M$37="REGION 3",$M$37="REGION 3A",$M$37="REGION 3B",$M$37="REGION 3C",$M$37="REGION 4",$M$37="REGION 4B",$M$37="REGION 4C",$M$37="REGION 5",$M$37="REGION 5A")),((0.059228/(B124/100))-(0.4980013/(SQRT(B124/100)))+2.137988),HLOOKUP(MONTH(A124),ScalarTable,28))))</f>
        <v> </v>
      </c>
      <c r="D124" s="398" t="str">
        <f aca="false">IF(A124="N/A"," ",C124*B124)</f>
        <v> </v>
      </c>
      <c r="E124" s="396" t="str">
        <f aca="false">IF(A124="N/A"," ",IF(ISERROR(O124),E112*Pwresc,O124)*VLOOKUP(MONTH(A124),Curveadj,3))</f>
        <v> </v>
      </c>
      <c r="F124" s="398" t="str">
        <f aca="false">IF(A124="N/A"," ",E124*C124)</f>
        <v> </v>
      </c>
      <c r="G124" s="396" t="str">
        <f aca="false">IF(A124="N/A"," ",IF(ISERROR(P124),G112*Pwresc,P124)*VLOOKUP(MONTH(A124),Curveadj,3))</f>
        <v> </v>
      </c>
      <c r="H124" s="398" t="str">
        <f aca="false">IF(A124="N/A"," ",G124*C124)</f>
        <v> </v>
      </c>
      <c r="I124" s="398" t="str">
        <f aca="false">IF(A124="N/A"," ",IF(ISERROR(Q124),I112*Pwresc,Q124))</f>
        <v> </v>
      </c>
      <c r="J124" s="398" t="str">
        <f aca="false">IF(A124="N/A"," ",Inputs!$G$4)</f>
        <v> </v>
      </c>
      <c r="K124" s="399" t="str">
        <f aca="false">IF(A124="N/A"," ",IF(ISERROR(#REF!),K112*Gasesc,#REF!))</f>
        <v> </v>
      </c>
      <c r="L124" s="399" t="str">
        <f aca="false">IF(A124="N/A"," ",IF(ISERROR(#REF!),L112*Gasesc,IF(#REF!=0,L112*Gasesc,#REF!)))</f>
        <v> </v>
      </c>
      <c r="M124" s="404"/>
      <c r="N124" s="401" t="str">
        <f aca="false">IF(A124="N/A"," ",VLOOKUP(A124,PeakPowerCurves,(IF(BMO1=2,3,IF(BMO1=1,2,4))),FALSE()))</f>
        <v> </v>
      </c>
      <c r="O124" s="401" t="str">
        <f aca="false">IF(A124="N/A"," ",VLOOKUP(A124,SatSunPeakPwr,(IF(BMO1=2,3,IF(BMO1=1,2,4))),FALSE()))</f>
        <v> </v>
      </c>
      <c r="P124" s="401" t="str">
        <f aca="false">IF(A124="N/A"," ",VLOOKUP(A124,SatSunPeakPwr,(IF(BMO1=2,7,IF(BMO1=1,6,8))),FALSE()))</f>
        <v> </v>
      </c>
      <c r="Q124" s="402" t="str">
        <f aca="false">IF(A124="N/A"," ",(VLOOKUP(A124,OPPowerPrices,(IF(BMO1=2,7,IF(BMO1=1,6,8))),FALSE())))</f>
        <v> </v>
      </c>
      <c r="R124" s="403" t="str">
        <f aca="false">IF(A124="N/A"," ",(VLOOKUP($A124,IRTable,2)))</f>
        <v> </v>
      </c>
      <c r="AF124" s="352" t="n">
        <v>40210</v>
      </c>
      <c r="AG124" s="311" t="n">
        <v>20</v>
      </c>
      <c r="AH124" s="311" t="n">
        <v>4</v>
      </c>
      <c r="AI124" s="311" t="n">
        <v>4</v>
      </c>
      <c r="AJ124" s="311" t="n">
        <v>0</v>
      </c>
      <c r="AK124" s="311" t="n">
        <v>28</v>
      </c>
      <c r="AU124" s="406"/>
    </row>
    <row r="125" customFormat="false" ht="12.75" hidden="false" customHeight="false" outlineLevel="0" collapsed="false">
      <c r="A125" s="405" t="str">
        <f aca="false">Option1!A92</f>
        <v>N/A</v>
      </c>
      <c r="B125" s="396" t="str">
        <f aca="false">IF(A125="N/A"," ",IF(ISERROR(N125),B113*Pwresc,N125)*VLOOKUP(MONTH(A125),Curveadj,3))</f>
        <v> </v>
      </c>
      <c r="C125" s="397" t="str">
        <f aca="false">IF(A125="N/A"," ",(IF(AND(Scaler1=1,MONTH(A125)&gt;=6,MONTH(A125)&lt;=8,OR($M$37="REGION 2",$M$37="REGION 2A",$M$37="REGION 2B",$M$37="REGION 3",$M$37="REGION 3A",$M$37="REGION 3B",$M$37="REGION 3C",$M$37="REGION 4",$M$37="REGION 4B",$M$37="REGION 4C",$M$37="REGION 5",$M$37="REGION 5A")),((0.059228/(B125/100))-(0.4980013/(SQRT(B125/100)))+2.137988),HLOOKUP(MONTH(A125),ScalarTable,28))))</f>
        <v> </v>
      </c>
      <c r="D125" s="398" t="str">
        <f aca="false">IF(A125="N/A"," ",C125*B125)</f>
        <v> </v>
      </c>
      <c r="E125" s="396" t="str">
        <f aca="false">IF(A125="N/A"," ",IF(ISERROR(O125),E113*Pwresc,O125)*VLOOKUP(MONTH(A125),Curveadj,3))</f>
        <v> </v>
      </c>
      <c r="F125" s="398" t="str">
        <f aca="false">IF(A125="N/A"," ",E125*C125)</f>
        <v> </v>
      </c>
      <c r="G125" s="396" t="str">
        <f aca="false">IF(A125="N/A"," ",IF(ISERROR(P125),G113*Pwresc,P125)*VLOOKUP(MONTH(A125),Curveadj,3))</f>
        <v> </v>
      </c>
      <c r="H125" s="398" t="str">
        <f aca="false">IF(A125="N/A"," ",G125*C125)</f>
        <v> </v>
      </c>
      <c r="I125" s="398" t="str">
        <f aca="false">IF(A125="N/A"," ",IF(ISERROR(Q125),I113*Pwresc,Q125))</f>
        <v> </v>
      </c>
      <c r="J125" s="398" t="str">
        <f aca="false">IF(A125="N/A"," ",Inputs!$G$4)</f>
        <v> </v>
      </c>
      <c r="K125" s="399" t="str">
        <f aca="false">IF(A125="N/A"," ",IF(ISERROR(#REF!),K113*Gasesc,#REF!))</f>
        <v> </v>
      </c>
      <c r="L125" s="399" t="str">
        <f aca="false">IF(A125="N/A"," ",IF(ISERROR(#REF!),L113*Gasesc,IF(#REF!=0,L113*Gasesc,#REF!)))</f>
        <v> </v>
      </c>
      <c r="M125" s="404"/>
      <c r="N125" s="401" t="str">
        <f aca="false">IF(A125="N/A"," ",VLOOKUP(A125,PeakPowerCurves,(IF(BMO1=2,3,IF(BMO1=1,2,4))),FALSE()))</f>
        <v> </v>
      </c>
      <c r="O125" s="401" t="str">
        <f aca="false">IF(A125="N/A"," ",VLOOKUP(A125,SatSunPeakPwr,(IF(BMO1=2,3,IF(BMO1=1,2,4))),FALSE()))</f>
        <v> </v>
      </c>
      <c r="P125" s="401" t="str">
        <f aca="false">IF(A125="N/A"," ",VLOOKUP(A125,SatSunPeakPwr,(IF(BMO1=2,7,IF(BMO1=1,6,8))),FALSE()))</f>
        <v> </v>
      </c>
      <c r="Q125" s="402" t="str">
        <f aca="false">IF(A125="N/A"," ",(VLOOKUP(A125,OPPowerPrices,(IF(BMO1=2,7,IF(BMO1=1,6,8))),FALSE())))</f>
        <v> </v>
      </c>
      <c r="R125" s="403" t="str">
        <f aca="false">IF(A125="N/A"," ",(VLOOKUP($A125,IRTable,2)))</f>
        <v> </v>
      </c>
      <c r="AF125" s="352" t="n">
        <v>40238</v>
      </c>
      <c r="AG125" s="311" t="n">
        <v>23</v>
      </c>
      <c r="AH125" s="311" t="n">
        <v>4</v>
      </c>
      <c r="AI125" s="311" t="n">
        <v>4</v>
      </c>
      <c r="AJ125" s="311" t="n">
        <v>0</v>
      </c>
      <c r="AK125" s="311" t="n">
        <v>31</v>
      </c>
      <c r="AU125" s="406"/>
    </row>
    <row r="126" customFormat="false" ht="12.75" hidden="false" customHeight="false" outlineLevel="0" collapsed="false">
      <c r="A126" s="405" t="str">
        <f aca="false">Option1!A93</f>
        <v>N/A</v>
      </c>
      <c r="B126" s="396" t="str">
        <f aca="false">IF(A126="N/A"," ",IF(ISERROR(N126),B114*Pwresc,N126)*VLOOKUP(MONTH(A126),Curveadj,3))</f>
        <v> </v>
      </c>
      <c r="C126" s="397" t="str">
        <f aca="false">IF(A126="N/A"," ",(IF(AND(Scaler1=1,MONTH(A126)&gt;=6,MONTH(A126)&lt;=8,OR($M$37="REGION 2",$M$37="REGION 2A",$M$37="REGION 2B",$M$37="REGION 3",$M$37="REGION 3A",$M$37="REGION 3B",$M$37="REGION 3C",$M$37="REGION 4",$M$37="REGION 4B",$M$37="REGION 4C",$M$37="REGION 5",$M$37="REGION 5A")),((0.059228/(B126/100))-(0.4980013/(SQRT(B126/100)))+2.137988),HLOOKUP(MONTH(A126),ScalarTable,28))))</f>
        <v> </v>
      </c>
      <c r="D126" s="398" t="str">
        <f aca="false">IF(A126="N/A"," ",C126*B126)</f>
        <v> </v>
      </c>
      <c r="E126" s="396" t="str">
        <f aca="false">IF(A126="N/A"," ",IF(ISERROR(O126),E114*Pwresc,O126)*VLOOKUP(MONTH(A126),Curveadj,3))</f>
        <v> </v>
      </c>
      <c r="F126" s="398" t="str">
        <f aca="false">IF(A126="N/A"," ",E126*C126)</f>
        <v> </v>
      </c>
      <c r="G126" s="396" t="str">
        <f aca="false">IF(A126="N/A"," ",IF(ISERROR(P126),G114*Pwresc,P126)*VLOOKUP(MONTH(A126),Curveadj,3))</f>
        <v> </v>
      </c>
      <c r="H126" s="398" t="str">
        <f aca="false">IF(A126="N/A"," ",G126*C126)</f>
        <v> </v>
      </c>
      <c r="I126" s="398" t="str">
        <f aca="false">IF(A126="N/A"," ",IF(ISERROR(Q126),I114*Pwresc,Q126))</f>
        <v> </v>
      </c>
      <c r="J126" s="398" t="str">
        <f aca="false">IF(A126="N/A"," ",Inputs!$G$4)</f>
        <v> </v>
      </c>
      <c r="K126" s="399" t="str">
        <f aca="false">IF(A126="N/A"," ",IF(ISERROR(#REF!),K114*Gasesc,#REF!))</f>
        <v> </v>
      </c>
      <c r="L126" s="399" t="str">
        <f aca="false">IF(A126="N/A"," ",IF(ISERROR(#REF!),L114*Gasesc,IF(#REF!=0,L114*Gasesc,#REF!)))</f>
        <v> </v>
      </c>
      <c r="M126" s="404"/>
      <c r="N126" s="401" t="str">
        <f aca="false">IF(A126="N/A"," ",VLOOKUP(A126,PeakPowerCurves,(IF(BMO1=2,3,IF(BMO1=1,2,4))),FALSE()))</f>
        <v> </v>
      </c>
      <c r="O126" s="401" t="str">
        <f aca="false">IF(A126="N/A"," ",VLOOKUP(A126,SatSunPeakPwr,(IF(BMO1=2,3,IF(BMO1=1,2,4))),FALSE()))</f>
        <v> </v>
      </c>
      <c r="P126" s="401" t="str">
        <f aca="false">IF(A126="N/A"," ",VLOOKUP(A126,SatSunPeakPwr,(IF(BMO1=2,7,IF(BMO1=1,6,8))),FALSE()))</f>
        <v> </v>
      </c>
      <c r="Q126" s="402" t="str">
        <f aca="false">IF(A126="N/A"," ",(VLOOKUP(A126,OPPowerPrices,(IF(BMO1=2,7,IF(BMO1=1,6,8))),FALSE())))</f>
        <v> </v>
      </c>
      <c r="R126" s="403" t="str">
        <f aca="false">IF(A126="N/A"," ",(VLOOKUP($A126,IRTable,2)))</f>
        <v> </v>
      </c>
      <c r="AF126" s="352" t="n">
        <v>40269</v>
      </c>
      <c r="AG126" s="311" t="n">
        <v>22</v>
      </c>
      <c r="AH126" s="311" t="n">
        <v>4</v>
      </c>
      <c r="AI126" s="311" t="n">
        <v>4</v>
      </c>
      <c r="AJ126" s="311" t="n">
        <v>0</v>
      </c>
      <c r="AK126" s="311" t="n">
        <v>30</v>
      </c>
      <c r="AU126" s="406"/>
    </row>
    <row r="127" customFormat="false" ht="12.75" hidden="false" customHeight="false" outlineLevel="0" collapsed="false">
      <c r="A127" s="405" t="str">
        <f aca="false">Option1!A94</f>
        <v>N/A</v>
      </c>
      <c r="B127" s="396" t="str">
        <f aca="false">IF(A127="N/A"," ",IF(ISERROR(N127),B115*Pwresc,N127)*VLOOKUP(MONTH(A127),Curveadj,3))</f>
        <v> </v>
      </c>
      <c r="C127" s="397" t="str">
        <f aca="false">IF(A127="N/A"," ",(IF(AND(Scaler1=1,MONTH(A127)&gt;=6,MONTH(A127)&lt;=8,OR($M$37="REGION 2",$M$37="REGION 2A",$M$37="REGION 2B",$M$37="REGION 3",$M$37="REGION 3A",$M$37="REGION 3B",$M$37="REGION 3C",$M$37="REGION 4",$M$37="REGION 4B",$M$37="REGION 4C",$M$37="REGION 5",$M$37="REGION 5A")),((0.059228/(B127/100))-(0.4980013/(SQRT(B127/100)))+2.137988),HLOOKUP(MONTH(A127),ScalarTable,28))))</f>
        <v> </v>
      </c>
      <c r="D127" s="398" t="str">
        <f aca="false">IF(A127="N/A"," ",C127*B127)</f>
        <v> </v>
      </c>
      <c r="E127" s="396" t="str">
        <f aca="false">IF(A127="N/A"," ",IF(ISERROR(O127),E115*Pwresc,O127)*VLOOKUP(MONTH(A127),Curveadj,3))</f>
        <v> </v>
      </c>
      <c r="F127" s="398" t="str">
        <f aca="false">IF(A127="N/A"," ",E127*C127)</f>
        <v> </v>
      </c>
      <c r="G127" s="396" t="str">
        <f aca="false">IF(A127="N/A"," ",IF(ISERROR(P127),G115*Pwresc,P127)*VLOOKUP(MONTH(A127),Curveadj,3))</f>
        <v> </v>
      </c>
      <c r="H127" s="398" t="str">
        <f aca="false">IF(A127="N/A"," ",G127*C127)</f>
        <v> </v>
      </c>
      <c r="I127" s="398" t="str">
        <f aca="false">IF(A127="N/A"," ",IF(ISERROR(Q127),I115*Pwresc,Q127))</f>
        <v> </v>
      </c>
      <c r="J127" s="398" t="str">
        <f aca="false">IF(A127="N/A"," ",Inputs!$G$4)</f>
        <v> </v>
      </c>
      <c r="K127" s="399" t="str">
        <f aca="false">IF(A127="N/A"," ",IF(ISERROR(#REF!),K115*Gasesc,#REF!))</f>
        <v> </v>
      </c>
      <c r="L127" s="399" t="str">
        <f aca="false">IF(A127="N/A"," ",IF(ISERROR(#REF!),L115*Gasesc,IF(#REF!=0,L115*Gasesc,#REF!)))</f>
        <v> </v>
      </c>
      <c r="M127" s="404"/>
      <c r="N127" s="401" t="str">
        <f aca="false">IF(A127="N/A"," ",VLOOKUP(A127,PeakPowerCurves,(IF(BMO1=2,3,IF(BMO1=1,2,4))),FALSE()))</f>
        <v> </v>
      </c>
      <c r="O127" s="401" t="str">
        <f aca="false">IF(A127="N/A"," ",VLOOKUP(A127,SatSunPeakPwr,(IF(BMO1=2,3,IF(BMO1=1,2,4))),FALSE()))</f>
        <v> </v>
      </c>
      <c r="P127" s="401" t="str">
        <f aca="false">IF(A127="N/A"," ",VLOOKUP(A127,SatSunPeakPwr,(IF(BMO1=2,7,IF(BMO1=1,6,8))),FALSE()))</f>
        <v> </v>
      </c>
      <c r="Q127" s="402" t="str">
        <f aca="false">IF(A127="N/A"," ",(VLOOKUP(A127,OPPowerPrices,(IF(BMO1=2,7,IF(BMO1=1,6,8))),FALSE())))</f>
        <v> </v>
      </c>
      <c r="R127" s="403" t="str">
        <f aca="false">IF(A127="N/A"," ",(VLOOKUP($A127,IRTable,2)))</f>
        <v> </v>
      </c>
      <c r="AF127" s="352" t="n">
        <v>40299</v>
      </c>
      <c r="AG127" s="311" t="n">
        <v>20</v>
      </c>
      <c r="AH127" s="311" t="n">
        <v>5</v>
      </c>
      <c r="AI127" s="311" t="n">
        <v>6</v>
      </c>
      <c r="AJ127" s="311" t="n">
        <v>1</v>
      </c>
      <c r="AK127" s="311" t="n">
        <v>31</v>
      </c>
      <c r="AU127" s="406"/>
    </row>
    <row r="128" customFormat="false" ht="12.75" hidden="false" customHeight="false" outlineLevel="0" collapsed="false">
      <c r="A128" s="405" t="str">
        <f aca="false">Option1!A95</f>
        <v>N/A</v>
      </c>
      <c r="B128" s="396" t="str">
        <f aca="false">IF(A128="N/A"," ",IF(ISERROR(N128),B116*Pwresc,N128)*VLOOKUP(MONTH(A128),Curveadj,3))</f>
        <v> </v>
      </c>
      <c r="C128" s="397" t="str">
        <f aca="false">IF(A128="N/A"," ",(IF(AND(Scaler1=1,MONTH(A128)&gt;=6,MONTH(A128)&lt;=8,OR($M$37="REGION 2",$M$37="REGION 2A",$M$37="REGION 2B",$M$37="REGION 3",$M$37="REGION 3A",$M$37="REGION 3B",$M$37="REGION 3C",$M$37="REGION 4",$M$37="REGION 4B",$M$37="REGION 4C",$M$37="REGION 5",$M$37="REGION 5A")),((0.059228/(B128/100))-(0.4980013/(SQRT(B128/100)))+2.137988),HLOOKUP(MONTH(A128),ScalarTable,28))))</f>
        <v> </v>
      </c>
      <c r="D128" s="398" t="str">
        <f aca="false">IF(A128="N/A"," ",C128*B128)</f>
        <v> </v>
      </c>
      <c r="E128" s="396" t="str">
        <f aca="false">IF(A128="N/A"," ",IF(ISERROR(O128),E116*Pwresc,O128)*VLOOKUP(MONTH(A128),Curveadj,3))</f>
        <v> </v>
      </c>
      <c r="F128" s="398" t="str">
        <f aca="false">IF(A128="N/A"," ",E128*C128)</f>
        <v> </v>
      </c>
      <c r="G128" s="396" t="str">
        <f aca="false">IF(A128="N/A"," ",IF(ISERROR(P128),G116*Pwresc,P128)*VLOOKUP(MONTH(A128),Curveadj,3))</f>
        <v> </v>
      </c>
      <c r="H128" s="398" t="str">
        <f aca="false">IF(A128="N/A"," ",G128*C128)</f>
        <v> </v>
      </c>
      <c r="I128" s="398" t="str">
        <f aca="false">IF(A128="N/A"," ",IF(ISERROR(Q128),I116*Pwresc,Q128))</f>
        <v> </v>
      </c>
      <c r="J128" s="398" t="str">
        <f aca="false">IF(A128="N/A"," ",Inputs!$G$4)</f>
        <v> </v>
      </c>
      <c r="K128" s="399" t="str">
        <f aca="false">IF(A128="N/A"," ",IF(ISERROR(#REF!),K116*Gasesc,#REF!))</f>
        <v> </v>
      </c>
      <c r="L128" s="399" t="str">
        <f aca="false">IF(A128="N/A"," ",IF(ISERROR(#REF!),L116*Gasesc,IF(#REF!=0,L116*Gasesc,#REF!)))</f>
        <v> </v>
      </c>
      <c r="M128" s="404"/>
      <c r="N128" s="401" t="str">
        <f aca="false">IF(A128="N/A"," ",VLOOKUP(A128,PeakPowerCurves,(IF(BMO1=2,3,IF(BMO1=1,2,4))),FALSE()))</f>
        <v> </v>
      </c>
      <c r="O128" s="401" t="str">
        <f aca="false">IF(A128="N/A"," ",VLOOKUP(A128,SatSunPeakPwr,(IF(BMO1=2,3,IF(BMO1=1,2,4))),FALSE()))</f>
        <v> </v>
      </c>
      <c r="P128" s="401" t="str">
        <f aca="false">IF(A128="N/A"," ",VLOOKUP(A128,SatSunPeakPwr,(IF(BMO1=2,7,IF(BMO1=1,6,8))),FALSE()))</f>
        <v> </v>
      </c>
      <c r="Q128" s="402" t="str">
        <f aca="false">IF(A128="N/A"," ",(VLOOKUP(A128,OPPowerPrices,(IF(BMO1=2,7,IF(BMO1=1,6,8))),FALSE())))</f>
        <v> </v>
      </c>
      <c r="R128" s="403" t="str">
        <f aca="false">IF(A128="N/A"," ",(VLOOKUP($A128,IRTable,2)))</f>
        <v> </v>
      </c>
      <c r="AF128" s="352" t="n">
        <v>40330</v>
      </c>
      <c r="AG128" s="311" t="n">
        <v>22</v>
      </c>
      <c r="AH128" s="311" t="n">
        <v>4</v>
      </c>
      <c r="AI128" s="311" t="n">
        <v>4</v>
      </c>
      <c r="AJ128" s="311" t="n">
        <v>0</v>
      </c>
      <c r="AK128" s="311" t="n">
        <v>30</v>
      </c>
      <c r="AU128" s="406"/>
    </row>
    <row r="129" customFormat="false" ht="12.75" hidden="false" customHeight="false" outlineLevel="0" collapsed="false">
      <c r="A129" s="405" t="str">
        <f aca="false">Option1!A96</f>
        <v>N/A</v>
      </c>
      <c r="B129" s="396" t="str">
        <f aca="false">IF(A129="N/A"," ",IF(ISERROR(N129),B117*Pwresc,N129)*VLOOKUP(MONTH(A129),Curveadj,3))</f>
        <v> </v>
      </c>
      <c r="C129" s="397" t="str">
        <f aca="false">IF(A129="N/A"," ",(IF(AND(Scaler1=1,MONTH(A129)&gt;=6,MONTH(A129)&lt;=8,OR($M$37="REGION 2",$M$37="REGION 2A",$M$37="REGION 2B",$M$37="REGION 3",$M$37="REGION 3A",$M$37="REGION 3B",$M$37="REGION 3C",$M$37="REGION 4",$M$37="REGION 4B",$M$37="REGION 4C",$M$37="REGION 5",$M$37="REGION 5A")),((0.059228/(B129/100))-(0.4980013/(SQRT(B129/100)))+2.137988),HLOOKUP(MONTH(A129),ScalarTable,28))))</f>
        <v> </v>
      </c>
      <c r="D129" s="398" t="str">
        <f aca="false">IF(A129="N/A"," ",C129*B129)</f>
        <v> </v>
      </c>
      <c r="E129" s="396" t="str">
        <f aca="false">IF(A129="N/A"," ",IF(ISERROR(O129),E117*Pwresc,O129)*VLOOKUP(MONTH(A129),Curveadj,3))</f>
        <v> </v>
      </c>
      <c r="F129" s="398" t="str">
        <f aca="false">IF(A129="N/A"," ",E129*C129)</f>
        <v> </v>
      </c>
      <c r="G129" s="396" t="str">
        <f aca="false">IF(A129="N/A"," ",IF(ISERROR(P129),G117*Pwresc,P129)*VLOOKUP(MONTH(A129),Curveadj,3))</f>
        <v> </v>
      </c>
      <c r="H129" s="398" t="str">
        <f aca="false">IF(A129="N/A"," ",G129*C129)</f>
        <v> </v>
      </c>
      <c r="I129" s="398" t="str">
        <f aca="false">IF(A129="N/A"," ",IF(ISERROR(Q129),I117*Pwresc,Q129))</f>
        <v> </v>
      </c>
      <c r="J129" s="398" t="str">
        <f aca="false">IF(A129="N/A"," ",Inputs!$G$4)</f>
        <v> </v>
      </c>
      <c r="K129" s="399" t="str">
        <f aca="false">IF(A129="N/A"," ",IF(ISERROR(#REF!),K117*Gasesc,#REF!))</f>
        <v> </v>
      </c>
      <c r="L129" s="399" t="str">
        <f aca="false">IF(A129="N/A"," ",IF(ISERROR(#REF!),L117*Gasesc,IF(#REF!=0,L117*Gasesc,#REF!)))</f>
        <v> </v>
      </c>
      <c r="M129" s="404"/>
      <c r="N129" s="401" t="str">
        <f aca="false">IF(A129="N/A"," ",VLOOKUP(A129,PeakPowerCurves,(IF(BMO1=2,3,IF(BMO1=1,2,4))),FALSE()))</f>
        <v> </v>
      </c>
      <c r="O129" s="401" t="str">
        <f aca="false">IF(A129="N/A"," ",VLOOKUP(A129,SatSunPeakPwr,(IF(BMO1=2,3,IF(BMO1=1,2,4))),FALSE()))</f>
        <v> </v>
      </c>
      <c r="P129" s="401" t="str">
        <f aca="false">IF(A129="N/A"," ",VLOOKUP(A129,SatSunPeakPwr,(IF(BMO1=2,7,IF(BMO1=1,6,8))),FALSE()))</f>
        <v> </v>
      </c>
      <c r="Q129" s="402" t="str">
        <f aca="false">IF(A129="N/A"," ",(VLOOKUP(A129,OPPowerPrices,(IF(BMO1=2,7,IF(BMO1=1,6,8))),FALSE())))</f>
        <v> </v>
      </c>
      <c r="R129" s="403" t="str">
        <f aca="false">IF(A129="N/A"," ",(VLOOKUP($A129,IRTable,2)))</f>
        <v> </v>
      </c>
      <c r="AF129" s="352" t="n">
        <v>40360</v>
      </c>
      <c r="AG129" s="311" t="n">
        <v>21</v>
      </c>
      <c r="AH129" s="311" t="n">
        <v>5</v>
      </c>
      <c r="AI129" s="311" t="n">
        <v>5</v>
      </c>
      <c r="AJ129" s="311" t="n">
        <v>1</v>
      </c>
      <c r="AK129" s="311" t="n">
        <v>31</v>
      </c>
      <c r="AU129" s="406"/>
    </row>
    <row r="130" customFormat="false" ht="12.75" hidden="false" customHeight="false" outlineLevel="0" collapsed="false">
      <c r="A130" s="405" t="str">
        <f aca="false">Option1!A97</f>
        <v>N/A</v>
      </c>
      <c r="B130" s="396" t="str">
        <f aca="false">IF(A130="N/A"," ",IF(ISERROR(N130),B118*Pwresc,N130)*VLOOKUP(MONTH(A130),Curveadj,3))</f>
        <v> </v>
      </c>
      <c r="C130" s="397" t="str">
        <f aca="false">IF(A130="N/A"," ",(IF(AND(Scaler1=1,MONTH(A130)&gt;=6,MONTH(A130)&lt;=8,OR($M$37="REGION 2",$M$37="REGION 2A",$M$37="REGION 2B",$M$37="REGION 3",$M$37="REGION 3A",$M$37="REGION 3B",$M$37="REGION 3C",$M$37="REGION 4",$M$37="REGION 4B",$M$37="REGION 4C",$M$37="REGION 5",$M$37="REGION 5A")),((0.059228/(B130/100))-(0.4980013/(SQRT(B130/100)))+2.137988),HLOOKUP(MONTH(A130),ScalarTable,28))))</f>
        <v> </v>
      </c>
      <c r="D130" s="398" t="str">
        <f aca="false">IF(A130="N/A"," ",C130*B130)</f>
        <v> </v>
      </c>
      <c r="E130" s="396" t="str">
        <f aca="false">IF(A130="N/A"," ",IF(ISERROR(O130),E118*Pwresc,O130)*VLOOKUP(MONTH(A130),Curveadj,3))</f>
        <v> </v>
      </c>
      <c r="F130" s="398" t="str">
        <f aca="false">IF(A130="N/A"," ",E130*C130)</f>
        <v> </v>
      </c>
      <c r="G130" s="396" t="str">
        <f aca="false">IF(A130="N/A"," ",IF(ISERROR(P130),G118*Pwresc,P130)*VLOOKUP(MONTH(A130),Curveadj,3))</f>
        <v> </v>
      </c>
      <c r="H130" s="398" t="str">
        <f aca="false">IF(A130="N/A"," ",G130*C130)</f>
        <v> </v>
      </c>
      <c r="I130" s="398" t="str">
        <f aca="false">IF(A130="N/A"," ",IF(ISERROR(Q130),I118*Pwresc,Q130))</f>
        <v> </v>
      </c>
      <c r="J130" s="398" t="str">
        <f aca="false">IF(A130="N/A"," ",Inputs!$G$4)</f>
        <v> </v>
      </c>
      <c r="K130" s="399" t="str">
        <f aca="false">IF(A130="N/A"," ",IF(ISERROR(#REF!),K118*Gasesc,#REF!))</f>
        <v> </v>
      </c>
      <c r="L130" s="399" t="str">
        <f aca="false">IF(A130="N/A"," ",IF(ISERROR(#REF!),L118*Gasesc,IF(#REF!=0,L118*Gasesc,#REF!)))</f>
        <v> </v>
      </c>
      <c r="M130" s="404"/>
      <c r="N130" s="401" t="str">
        <f aca="false">IF(A130="N/A"," ",VLOOKUP(A130,PeakPowerCurves,(IF(BMO1=2,3,IF(BMO1=1,2,4))),FALSE()))</f>
        <v> </v>
      </c>
      <c r="O130" s="401" t="str">
        <f aca="false">IF(A130="N/A"," ",VLOOKUP(A130,SatSunPeakPwr,(IF(BMO1=2,3,IF(BMO1=1,2,4))),FALSE()))</f>
        <v> </v>
      </c>
      <c r="P130" s="401" t="str">
        <f aca="false">IF(A130="N/A"," ",VLOOKUP(A130,SatSunPeakPwr,(IF(BMO1=2,7,IF(BMO1=1,6,8))),FALSE()))</f>
        <v> </v>
      </c>
      <c r="Q130" s="402" t="str">
        <f aca="false">IF(A130="N/A"," ",(VLOOKUP(A130,OPPowerPrices,(IF(BMO1=2,7,IF(BMO1=1,6,8))),FALSE())))</f>
        <v> </v>
      </c>
      <c r="R130" s="403" t="str">
        <f aca="false">IF(A130="N/A"," ",(VLOOKUP($A130,IRTable,2)))</f>
        <v> </v>
      </c>
      <c r="AF130" s="352" t="n">
        <v>40391</v>
      </c>
      <c r="AG130" s="311" t="n">
        <v>22</v>
      </c>
      <c r="AH130" s="311" t="n">
        <v>4</v>
      </c>
      <c r="AI130" s="311" t="n">
        <v>5</v>
      </c>
      <c r="AJ130" s="311" t="n">
        <v>0</v>
      </c>
      <c r="AK130" s="311" t="n">
        <v>31</v>
      </c>
      <c r="AU130" s="406"/>
    </row>
    <row r="131" customFormat="false" ht="12.75" hidden="false" customHeight="false" outlineLevel="0" collapsed="false">
      <c r="A131" s="405" t="str">
        <f aca="false">Option1!A98</f>
        <v>N/A</v>
      </c>
      <c r="B131" s="396" t="str">
        <f aca="false">IF(A131="N/A"," ",IF(ISERROR(N131),B119*Pwresc,N131)*VLOOKUP(MONTH(A131),Curveadj,3))</f>
        <v> </v>
      </c>
      <c r="C131" s="397" t="str">
        <f aca="false">IF(A131="N/A"," ",(IF(AND(Scaler1=1,MONTH(A131)&gt;=6,MONTH(A131)&lt;=8,OR($M$37="REGION 2",$M$37="REGION 2A",$M$37="REGION 2B",$M$37="REGION 3",$M$37="REGION 3A",$M$37="REGION 3B",$M$37="REGION 3C",$M$37="REGION 4",$M$37="REGION 4B",$M$37="REGION 4C",$M$37="REGION 5",$M$37="REGION 5A")),((0.059228/(B131/100))-(0.4980013/(SQRT(B131/100)))+2.137988),HLOOKUP(MONTH(A131),ScalarTable,28))))</f>
        <v> </v>
      </c>
      <c r="D131" s="398" t="str">
        <f aca="false">IF(A131="N/A"," ",C131*B131)</f>
        <v> </v>
      </c>
      <c r="E131" s="396" t="str">
        <f aca="false">IF(A131="N/A"," ",IF(ISERROR(O131),E119*Pwresc,O131)*VLOOKUP(MONTH(A131),Curveadj,3))</f>
        <v> </v>
      </c>
      <c r="F131" s="398" t="str">
        <f aca="false">IF(A131="N/A"," ",E131*C131)</f>
        <v> </v>
      </c>
      <c r="G131" s="396" t="str">
        <f aca="false">IF(A131="N/A"," ",IF(ISERROR(P131),G119*Pwresc,P131)*VLOOKUP(MONTH(A131),Curveadj,3))</f>
        <v> </v>
      </c>
      <c r="H131" s="398" t="str">
        <f aca="false">IF(A131="N/A"," ",G131*C131)</f>
        <v> </v>
      </c>
      <c r="I131" s="398" t="str">
        <f aca="false">IF(A131="N/A"," ",IF(ISERROR(Q131),I119*Pwresc,Q131))</f>
        <v> </v>
      </c>
      <c r="J131" s="398" t="str">
        <f aca="false">IF(A131="N/A"," ",Inputs!$G$4)</f>
        <v> </v>
      </c>
      <c r="K131" s="399" t="str">
        <f aca="false">IF(A131="N/A"," ",IF(ISERROR(#REF!),K119*Gasesc,#REF!))</f>
        <v> </v>
      </c>
      <c r="L131" s="399" t="str">
        <f aca="false">IF(A131="N/A"," ",IF(ISERROR(#REF!),L119*Gasesc,IF(#REF!=0,L119*Gasesc,#REF!)))</f>
        <v> </v>
      </c>
      <c r="M131" s="404"/>
      <c r="N131" s="401" t="str">
        <f aca="false">IF(A131="N/A"," ",VLOOKUP(A131,PeakPowerCurves,(IF(BMO1=2,3,IF(BMO1=1,2,4))),FALSE()))</f>
        <v> </v>
      </c>
      <c r="O131" s="401" t="str">
        <f aca="false">IF(A131="N/A"," ",VLOOKUP(A131,SatSunPeakPwr,(IF(BMO1=2,3,IF(BMO1=1,2,4))),FALSE()))</f>
        <v> </v>
      </c>
      <c r="P131" s="401" t="str">
        <f aca="false">IF(A131="N/A"," ",VLOOKUP(A131,SatSunPeakPwr,(IF(BMO1=2,7,IF(BMO1=1,6,8))),FALSE()))</f>
        <v> </v>
      </c>
      <c r="Q131" s="402" t="str">
        <f aca="false">IF(A131="N/A"," ",(VLOOKUP(A131,OPPowerPrices,(IF(BMO1=2,7,IF(BMO1=1,6,8))),FALSE())))</f>
        <v> </v>
      </c>
      <c r="R131" s="403" t="str">
        <f aca="false">IF(A131="N/A"," ",(VLOOKUP($A131,IRTable,2)))</f>
        <v> </v>
      </c>
      <c r="AF131" s="352" t="n">
        <v>40422</v>
      </c>
      <c r="AG131" s="311" t="n">
        <v>21</v>
      </c>
      <c r="AH131" s="311" t="n">
        <v>4</v>
      </c>
      <c r="AI131" s="311" t="n">
        <v>5</v>
      </c>
      <c r="AJ131" s="311" t="n">
        <v>1</v>
      </c>
      <c r="AK131" s="311" t="n">
        <v>30</v>
      </c>
      <c r="AU131" s="406"/>
    </row>
    <row r="132" customFormat="false" ht="12.75" hidden="false" customHeight="false" outlineLevel="0" collapsed="false">
      <c r="A132" s="405" t="str">
        <f aca="false">Option1!A99</f>
        <v>N/A</v>
      </c>
      <c r="B132" s="396" t="str">
        <f aca="false">IF(A132="N/A"," ",IF(ISERROR(N132),B120*Pwresc,N132)*VLOOKUP(MONTH(A132),Curveadj,3))</f>
        <v> </v>
      </c>
      <c r="C132" s="397" t="str">
        <f aca="false">IF(A132="N/A"," ",(IF(AND(Scaler1=1,MONTH(A132)&gt;=6,MONTH(A132)&lt;=8,OR($M$37="REGION 2",$M$37="REGION 2A",$M$37="REGION 2B",$M$37="REGION 3",$M$37="REGION 3A",$M$37="REGION 3B",$M$37="REGION 3C",$M$37="REGION 4",$M$37="REGION 4B",$M$37="REGION 4C",$M$37="REGION 5",$M$37="REGION 5A")),((0.059228/(B132/100))-(0.4980013/(SQRT(B132/100)))+2.137988),HLOOKUP(MONTH(A132),ScalarTable,28))))</f>
        <v> </v>
      </c>
      <c r="D132" s="398" t="str">
        <f aca="false">IF(A132="N/A"," ",C132*B132)</f>
        <v> </v>
      </c>
      <c r="E132" s="396" t="str">
        <f aca="false">IF(A132="N/A"," ",IF(ISERROR(O132),E120*Pwresc,O132)*VLOOKUP(MONTH(A132),Curveadj,3))</f>
        <v> </v>
      </c>
      <c r="F132" s="398" t="str">
        <f aca="false">IF(A132="N/A"," ",E132*C132)</f>
        <v> </v>
      </c>
      <c r="G132" s="396" t="str">
        <f aca="false">IF(A132="N/A"," ",IF(ISERROR(P132),G120*Pwresc,P132)*VLOOKUP(MONTH(A132),Curveadj,3))</f>
        <v> </v>
      </c>
      <c r="H132" s="398" t="str">
        <f aca="false">IF(A132="N/A"," ",G132*C132)</f>
        <v> </v>
      </c>
      <c r="I132" s="398" t="str">
        <f aca="false">IF(A132="N/A"," ",IF(ISERROR(Q132),I120*Pwresc,Q132))</f>
        <v> </v>
      </c>
      <c r="J132" s="398" t="str">
        <f aca="false">IF(A132="N/A"," ",Inputs!$G$4)</f>
        <v> </v>
      </c>
      <c r="K132" s="399" t="str">
        <f aca="false">IF(A132="N/A"," ",IF(ISERROR(#REF!),K120*Gasesc,#REF!))</f>
        <v> </v>
      </c>
      <c r="L132" s="399" t="str">
        <f aca="false">IF(A132="N/A"," ",IF(ISERROR(#REF!),L120*Gasesc,IF(#REF!=0,L120*Gasesc,#REF!)))</f>
        <v> </v>
      </c>
      <c r="M132" s="404"/>
      <c r="N132" s="401" t="str">
        <f aca="false">IF(A132="N/A"," ",VLOOKUP(A132,PeakPowerCurves,(IF(BMO1=2,3,IF(BMO1=1,2,4))),FALSE()))</f>
        <v> </v>
      </c>
      <c r="O132" s="401" t="str">
        <f aca="false">IF(A132="N/A"," ",VLOOKUP(A132,SatSunPeakPwr,(IF(BMO1=2,3,IF(BMO1=1,2,4))),FALSE()))</f>
        <v> </v>
      </c>
      <c r="P132" s="401" t="str">
        <f aca="false">IF(A132="N/A"," ",VLOOKUP(A132,SatSunPeakPwr,(IF(BMO1=2,7,IF(BMO1=1,6,8))),FALSE()))</f>
        <v> </v>
      </c>
      <c r="Q132" s="402" t="str">
        <f aca="false">IF(A132="N/A"," ",(VLOOKUP(A132,OPPowerPrices,(IF(BMO1=2,7,IF(BMO1=1,6,8))),FALSE())))</f>
        <v> </v>
      </c>
      <c r="R132" s="403" t="str">
        <f aca="false">IF(A132="N/A"," ",(VLOOKUP($A132,IRTable,2)))</f>
        <v> </v>
      </c>
      <c r="AF132" s="352" t="n">
        <v>40452</v>
      </c>
      <c r="AG132" s="311" t="n">
        <v>21</v>
      </c>
      <c r="AH132" s="311" t="n">
        <v>5</v>
      </c>
      <c r="AI132" s="311" t="n">
        <v>5</v>
      </c>
      <c r="AJ132" s="311" t="n">
        <v>0</v>
      </c>
      <c r="AK132" s="311" t="n">
        <v>31</v>
      </c>
      <c r="AU132" s="406"/>
    </row>
    <row r="133" customFormat="false" ht="12.75" hidden="false" customHeight="false" outlineLevel="0" collapsed="false">
      <c r="A133" s="405" t="str">
        <f aca="false">Option1!A100</f>
        <v>N/A</v>
      </c>
      <c r="B133" s="396" t="str">
        <f aca="false">IF(A133="N/A"," ",IF(ISERROR(N133),B121*Pwresc,N133)*VLOOKUP(MONTH(A133),Curveadj,3))</f>
        <v> </v>
      </c>
      <c r="C133" s="397" t="str">
        <f aca="false">IF(A133="N/A"," ",(IF(AND(Scaler1=1,MONTH(A133)&gt;=6,MONTH(A133)&lt;=8,OR($M$37="REGION 2",$M$37="REGION 2A",$M$37="REGION 2B",$M$37="REGION 3",$M$37="REGION 3A",$M$37="REGION 3B",$M$37="REGION 3C",$M$37="REGION 4",$M$37="REGION 4B",$M$37="REGION 4C",$M$37="REGION 5",$M$37="REGION 5A")),((0.059228/(B133/100))-(0.4980013/(SQRT(B133/100)))+2.137988),HLOOKUP(MONTH(A133),ScalarTable,28))))</f>
        <v> </v>
      </c>
      <c r="D133" s="398" t="str">
        <f aca="false">IF(A133="N/A"," ",C133*B133)</f>
        <v> </v>
      </c>
      <c r="E133" s="396" t="str">
        <f aca="false">IF(A133="N/A"," ",IF(ISERROR(O133),E121*Pwresc,O133)*VLOOKUP(MONTH(A133),Curveadj,3))</f>
        <v> </v>
      </c>
      <c r="F133" s="398" t="str">
        <f aca="false">IF(A133="N/A"," ",E133*C133)</f>
        <v> </v>
      </c>
      <c r="G133" s="396" t="str">
        <f aca="false">IF(A133="N/A"," ",IF(ISERROR(P133),G121*Pwresc,P133)*VLOOKUP(MONTH(A133),Curveadj,3))</f>
        <v> </v>
      </c>
      <c r="H133" s="398" t="str">
        <f aca="false">IF(A133="N/A"," ",G133*C133)</f>
        <v> </v>
      </c>
      <c r="I133" s="398" t="str">
        <f aca="false">IF(A133="N/A"," ",IF(ISERROR(Q133),I121*Pwresc,Q133))</f>
        <v> </v>
      </c>
      <c r="J133" s="398" t="str">
        <f aca="false">IF(A133="N/A"," ",Inputs!$G$4)</f>
        <v> </v>
      </c>
      <c r="K133" s="399" t="str">
        <f aca="false">IF(A133="N/A"," ",IF(ISERROR(#REF!),K121*Gasesc,#REF!))</f>
        <v> </v>
      </c>
      <c r="L133" s="399" t="str">
        <f aca="false">IF(A133="N/A"," ",IF(ISERROR(#REF!),L121*Gasesc,IF(#REF!=0,L121*Gasesc,#REF!)))</f>
        <v> </v>
      </c>
      <c r="M133" s="404"/>
      <c r="N133" s="401" t="str">
        <f aca="false">IF(A133="N/A"," ",VLOOKUP(A133,PeakPowerCurves,(IF(BMO1=2,3,IF(BMO1=1,2,4))),FALSE()))</f>
        <v> </v>
      </c>
      <c r="O133" s="401" t="str">
        <f aca="false">IF(A133="N/A"," ",VLOOKUP(A133,SatSunPeakPwr,(IF(BMO1=2,3,IF(BMO1=1,2,4))),FALSE()))</f>
        <v> </v>
      </c>
      <c r="P133" s="401" t="str">
        <f aca="false">IF(A133="N/A"," ",VLOOKUP(A133,SatSunPeakPwr,(IF(BMO1=2,7,IF(BMO1=1,6,8))),FALSE()))</f>
        <v> </v>
      </c>
      <c r="Q133" s="402" t="str">
        <f aca="false">IF(A133="N/A"," ",(VLOOKUP(A133,OPPowerPrices,(IF(BMO1=2,7,IF(BMO1=1,6,8))),FALSE())))</f>
        <v> </v>
      </c>
      <c r="R133" s="403" t="str">
        <f aca="false">IF(A133="N/A"," ",(VLOOKUP($A133,IRTable,2)))</f>
        <v> </v>
      </c>
      <c r="AF133" s="352" t="n">
        <v>40483</v>
      </c>
      <c r="AG133" s="311" t="n">
        <v>21</v>
      </c>
      <c r="AH133" s="311" t="n">
        <v>4</v>
      </c>
      <c r="AI133" s="311" t="n">
        <v>5</v>
      </c>
      <c r="AJ133" s="311" t="n">
        <v>1</v>
      </c>
      <c r="AK133" s="311" t="n">
        <v>30</v>
      </c>
      <c r="AU133" s="406"/>
    </row>
    <row r="134" customFormat="false" ht="12.75" hidden="false" customHeight="false" outlineLevel="0" collapsed="false">
      <c r="A134" s="405" t="str">
        <f aca="false">Option1!A101</f>
        <v>N/A</v>
      </c>
      <c r="B134" s="396" t="str">
        <f aca="false">IF(A134="N/A"," ",IF(ISERROR(N134),B122*Pwresc,N134)*VLOOKUP(MONTH(A134),Curveadj,3))</f>
        <v> </v>
      </c>
      <c r="C134" s="397" t="str">
        <f aca="false">IF(A134="N/A"," ",(IF(AND(Scaler1=1,MONTH(A134)&gt;=6,MONTH(A134)&lt;=8,OR($M$37="REGION 2",$M$37="REGION 2A",$M$37="REGION 2B",$M$37="REGION 3",$M$37="REGION 3A",$M$37="REGION 3B",$M$37="REGION 3C",$M$37="REGION 4",$M$37="REGION 4B",$M$37="REGION 4C",$M$37="REGION 5",$M$37="REGION 5A")),((0.059228/(B134/100))-(0.4980013/(SQRT(B134/100)))+2.137988),HLOOKUP(MONTH(A134),ScalarTable,28))))</f>
        <v> </v>
      </c>
      <c r="D134" s="398" t="str">
        <f aca="false">IF(A134="N/A"," ",C134*B134)</f>
        <v> </v>
      </c>
      <c r="E134" s="396" t="str">
        <f aca="false">IF(A134="N/A"," ",IF(ISERROR(O134),E122*Pwresc,O134)*VLOOKUP(MONTH(A134),Curveadj,3))</f>
        <v> </v>
      </c>
      <c r="F134" s="398" t="str">
        <f aca="false">IF(A134="N/A"," ",E134*C134)</f>
        <v> </v>
      </c>
      <c r="G134" s="396" t="str">
        <f aca="false">IF(A134="N/A"," ",IF(ISERROR(P134),G122*Pwresc,P134)*VLOOKUP(MONTH(A134),Curveadj,3))</f>
        <v> </v>
      </c>
      <c r="H134" s="398" t="str">
        <f aca="false">IF(A134="N/A"," ",G134*C134)</f>
        <v> </v>
      </c>
      <c r="I134" s="398" t="str">
        <f aca="false">IF(A134="N/A"," ",IF(ISERROR(Q134),I122*Pwresc,Q134))</f>
        <v> </v>
      </c>
      <c r="J134" s="398" t="str">
        <f aca="false">IF(A134="N/A"," ",Inputs!$G$4)</f>
        <v> </v>
      </c>
      <c r="K134" s="399" t="str">
        <f aca="false">IF(A134="N/A"," ",IF(ISERROR(#REF!),K122*Gasesc,#REF!))</f>
        <v> </v>
      </c>
      <c r="L134" s="399" t="str">
        <f aca="false">IF(A134="N/A"," ",IF(ISERROR(#REF!),L122*Gasesc,IF(#REF!=0,L122*Gasesc,#REF!)))</f>
        <v> </v>
      </c>
      <c r="M134" s="404"/>
      <c r="N134" s="401" t="str">
        <f aca="false">IF(A134="N/A"," ",VLOOKUP(A134,PeakPowerCurves,(IF(BMO1=2,3,IF(BMO1=1,2,4))),FALSE()))</f>
        <v> </v>
      </c>
      <c r="O134" s="401" t="str">
        <f aca="false">IF(A134="N/A"," ",VLOOKUP(A134,SatSunPeakPwr,(IF(BMO1=2,3,IF(BMO1=1,2,4))),FALSE()))</f>
        <v> </v>
      </c>
      <c r="P134" s="401" t="str">
        <f aca="false">IF(A134="N/A"," ",VLOOKUP(A134,SatSunPeakPwr,(IF(BMO1=2,7,IF(BMO1=1,6,8))),FALSE()))</f>
        <v> </v>
      </c>
      <c r="Q134" s="402" t="str">
        <f aca="false">IF(A134="N/A"," ",(VLOOKUP(A134,OPPowerPrices,(IF(BMO1=2,7,IF(BMO1=1,6,8))),FALSE())))</f>
        <v> </v>
      </c>
      <c r="R134" s="403" t="str">
        <f aca="false">IF(A134="N/A"," ",(VLOOKUP($A134,IRTable,2)))</f>
        <v> </v>
      </c>
      <c r="AF134" s="352" t="n">
        <v>40513</v>
      </c>
      <c r="AG134" s="311" t="n">
        <v>23</v>
      </c>
      <c r="AH134" s="311" t="n">
        <v>3</v>
      </c>
      <c r="AI134" s="311" t="n">
        <v>5</v>
      </c>
      <c r="AJ134" s="311" t="n">
        <v>1</v>
      </c>
      <c r="AK134" s="311" t="n">
        <v>31</v>
      </c>
      <c r="AU134" s="406"/>
    </row>
    <row r="135" customFormat="false" ht="12.75" hidden="false" customHeight="false" outlineLevel="0" collapsed="false">
      <c r="A135" s="405" t="str">
        <f aca="false">Option1!A102</f>
        <v>N/A</v>
      </c>
      <c r="B135" s="396" t="str">
        <f aca="false">IF(A135="N/A"," ",IF(ISERROR(N135),B123*Pwresc,N135)*VLOOKUP(MONTH(A135),Curveadj,3))</f>
        <v> </v>
      </c>
      <c r="C135" s="397" t="str">
        <f aca="false">IF(A135="N/A"," ",(IF(AND(Scaler1=1,MONTH(A135)&gt;=6,MONTH(A135)&lt;=8,OR($M$37="REGION 2",$M$37="REGION 2A",$M$37="REGION 2B",$M$37="REGION 3",$M$37="REGION 3A",$M$37="REGION 3B",$M$37="REGION 3C",$M$37="REGION 4",$M$37="REGION 4B",$M$37="REGION 4C",$M$37="REGION 5",$M$37="REGION 5A")),((0.059228/(B135/100))-(0.4980013/(SQRT(B135/100)))+2.137988),HLOOKUP(MONTH(A135),ScalarTable,28))))</f>
        <v> </v>
      </c>
      <c r="D135" s="398" t="str">
        <f aca="false">IF(A135="N/A"," ",C135*B135)</f>
        <v> </v>
      </c>
      <c r="E135" s="396" t="str">
        <f aca="false">IF(A135="N/A"," ",IF(ISERROR(O135),E123*Pwresc,O135)*VLOOKUP(MONTH(A135),Curveadj,3))</f>
        <v> </v>
      </c>
      <c r="F135" s="398" t="str">
        <f aca="false">IF(A135="N/A"," ",E135*C135)</f>
        <v> </v>
      </c>
      <c r="G135" s="396" t="str">
        <f aca="false">IF(A135="N/A"," ",IF(ISERROR(P135),G123*Pwresc,P135)*VLOOKUP(MONTH(A135),Curveadj,3))</f>
        <v> </v>
      </c>
      <c r="H135" s="398" t="str">
        <f aca="false">IF(A135="N/A"," ",G135*C135)</f>
        <v> </v>
      </c>
      <c r="I135" s="398" t="str">
        <f aca="false">IF(A135="N/A"," ",IF(ISERROR(Q135),I123*Pwresc,Q135))</f>
        <v> </v>
      </c>
      <c r="J135" s="398" t="str">
        <f aca="false">IF(A135="N/A"," ",Inputs!$G$4)</f>
        <v> </v>
      </c>
      <c r="K135" s="399" t="str">
        <f aca="false">IF(A135="N/A"," ",IF(ISERROR(#REF!),K123*Gasesc,#REF!))</f>
        <v> </v>
      </c>
      <c r="L135" s="399" t="str">
        <f aca="false">IF(A135="N/A"," ",IF(ISERROR(#REF!),L123*Gasesc,IF(#REF!=0,L123*Gasesc,#REF!)))</f>
        <v> </v>
      </c>
      <c r="M135" s="404"/>
      <c r="N135" s="401" t="str">
        <f aca="false">IF(A135="N/A"," ",VLOOKUP(A135,PeakPowerCurves,(IF(BMO1=2,3,IF(BMO1=1,2,4))),FALSE()))</f>
        <v> </v>
      </c>
      <c r="O135" s="401" t="str">
        <f aca="false">IF(A135="N/A"," ",VLOOKUP(A135,SatSunPeakPwr,(IF(BMO1=2,3,IF(BMO1=1,2,4))),FALSE()))</f>
        <v> </v>
      </c>
      <c r="P135" s="401" t="str">
        <f aca="false">IF(A135="N/A"," ",VLOOKUP(A135,SatSunPeakPwr,(IF(BMO1=2,7,IF(BMO1=1,6,8))),FALSE()))</f>
        <v> </v>
      </c>
      <c r="Q135" s="402" t="str">
        <f aca="false">IF(A135="N/A"," ",(VLOOKUP(A135,OPPowerPrices,(IF(BMO1=2,7,IF(BMO1=1,6,8))),FALSE())))</f>
        <v> </v>
      </c>
      <c r="R135" s="403" t="str">
        <f aca="false">IF(A135="N/A"," ",(VLOOKUP($A135,IRTable,2)))</f>
        <v> </v>
      </c>
      <c r="AF135" s="352" t="n">
        <v>40544</v>
      </c>
      <c r="AG135" s="311" t="n">
        <v>21</v>
      </c>
      <c r="AH135" s="311" t="n">
        <v>4</v>
      </c>
      <c r="AI135" s="311" t="n">
        <v>6</v>
      </c>
      <c r="AJ135" s="311" t="n">
        <v>1</v>
      </c>
      <c r="AK135" s="311" t="n">
        <v>31</v>
      </c>
      <c r="AU135" s="406"/>
    </row>
    <row r="136" customFormat="false" ht="12.75" hidden="false" customHeight="false" outlineLevel="0" collapsed="false">
      <c r="A136" s="405" t="str">
        <f aca="false">Option1!A103</f>
        <v>N/A</v>
      </c>
      <c r="B136" s="396" t="str">
        <f aca="false">IF(A136="N/A"," ",IF(ISERROR(N136),B124*Pwresc,N136)*VLOOKUP(MONTH(A136),Curveadj,3))</f>
        <v> </v>
      </c>
      <c r="C136" s="397" t="str">
        <f aca="false">IF(A136="N/A"," ",(IF(AND(Scaler1=1,MONTH(A136)&gt;=6,MONTH(A136)&lt;=8,OR($M$37="REGION 2",$M$37="REGION 2A",$M$37="REGION 2B",$M$37="REGION 3",$M$37="REGION 3A",$M$37="REGION 3B",$M$37="REGION 3C",$M$37="REGION 4",$M$37="REGION 4B",$M$37="REGION 4C",$M$37="REGION 5",$M$37="REGION 5A")),((0.059228/(B136/100))-(0.4980013/(SQRT(B136/100)))+2.137988),HLOOKUP(MONTH(A136),ScalarTable,28))))</f>
        <v> </v>
      </c>
      <c r="D136" s="398" t="str">
        <f aca="false">IF(A136="N/A"," ",C136*B136)</f>
        <v> </v>
      </c>
      <c r="E136" s="396" t="str">
        <f aca="false">IF(A136="N/A"," ",IF(ISERROR(O136),E124*Pwresc,O136)*VLOOKUP(MONTH(A136),Curveadj,3))</f>
        <v> </v>
      </c>
      <c r="F136" s="398" t="str">
        <f aca="false">IF(A136="N/A"," ",E136*C136)</f>
        <v> </v>
      </c>
      <c r="G136" s="396" t="str">
        <f aca="false">IF(A136="N/A"," ",IF(ISERROR(P136),G124*Pwresc,P136)*VLOOKUP(MONTH(A136),Curveadj,3))</f>
        <v> </v>
      </c>
      <c r="H136" s="398" t="str">
        <f aca="false">IF(A136="N/A"," ",G136*C136)</f>
        <v> </v>
      </c>
      <c r="I136" s="398" t="str">
        <f aca="false">IF(A136="N/A"," ",IF(ISERROR(Q136),I124*Pwresc,Q136))</f>
        <v> </v>
      </c>
      <c r="J136" s="398" t="str">
        <f aca="false">IF(A136="N/A"," ",Inputs!$G$4)</f>
        <v> </v>
      </c>
      <c r="K136" s="399" t="str">
        <f aca="false">IF(A136="N/A"," ",IF(ISERROR(#REF!),K124*Gasesc,#REF!))</f>
        <v> </v>
      </c>
      <c r="L136" s="399" t="str">
        <f aca="false">IF(A136="N/A"," ",IF(ISERROR(#REF!),L124*Gasesc,IF(#REF!=0,L124*Gasesc,#REF!)))</f>
        <v> </v>
      </c>
      <c r="M136" s="404"/>
      <c r="N136" s="401" t="str">
        <f aca="false">IF(A136="N/A"," ",VLOOKUP(A136,PeakPowerCurves,(IF(BMO1=2,3,IF(BMO1=1,2,4))),FALSE()))</f>
        <v> </v>
      </c>
      <c r="O136" s="401" t="str">
        <f aca="false">IF(A136="N/A"," ",VLOOKUP(A136,SatSunPeakPwr,(IF(BMO1=2,3,IF(BMO1=1,2,4))),FALSE()))</f>
        <v> </v>
      </c>
      <c r="P136" s="401" t="str">
        <f aca="false">IF(A136="N/A"," ",VLOOKUP(A136,SatSunPeakPwr,(IF(BMO1=2,7,IF(BMO1=1,6,8))),FALSE()))</f>
        <v> </v>
      </c>
      <c r="Q136" s="402" t="str">
        <f aca="false">IF(A136="N/A"," ",(VLOOKUP(A136,OPPowerPrices,(IF(BMO1=2,7,IF(BMO1=1,6,8))),FALSE())))</f>
        <v> </v>
      </c>
      <c r="R136" s="403" t="str">
        <f aca="false">IF(A136="N/A"," ",(VLOOKUP($A136,IRTable,2)))</f>
        <v> </v>
      </c>
      <c r="AF136" s="352" t="n">
        <v>40575</v>
      </c>
      <c r="AG136" s="311" t="n">
        <v>20</v>
      </c>
      <c r="AH136" s="311" t="n">
        <v>4</v>
      </c>
      <c r="AI136" s="311" t="n">
        <v>4</v>
      </c>
      <c r="AJ136" s="311" t="n">
        <v>0</v>
      </c>
      <c r="AK136" s="311" t="n">
        <v>28</v>
      </c>
      <c r="AU136" s="406"/>
    </row>
    <row r="137" customFormat="false" ht="12.75" hidden="false" customHeight="false" outlineLevel="0" collapsed="false">
      <c r="A137" s="405" t="str">
        <f aca="false">Option1!A104</f>
        <v>N/A</v>
      </c>
      <c r="B137" s="396" t="str">
        <f aca="false">IF(A137="N/A"," ",IF(ISERROR(N137),B125*Pwresc,N137)*VLOOKUP(MONTH(A137),Curveadj,3))</f>
        <v> </v>
      </c>
      <c r="C137" s="397" t="str">
        <f aca="false">IF(A137="N/A"," ",(IF(AND(Scaler1=1,MONTH(A137)&gt;=6,MONTH(A137)&lt;=8,OR($M$37="REGION 2",$M$37="REGION 2A",$M$37="REGION 2B",$M$37="REGION 3",$M$37="REGION 3A",$M$37="REGION 3B",$M$37="REGION 3C",$M$37="REGION 4",$M$37="REGION 4B",$M$37="REGION 4C",$M$37="REGION 5",$M$37="REGION 5A")),((0.059228/(B137/100))-(0.4980013/(SQRT(B137/100)))+2.137988),HLOOKUP(MONTH(A137),ScalarTable,28))))</f>
        <v> </v>
      </c>
      <c r="D137" s="398" t="str">
        <f aca="false">IF(A137="N/A"," ",C137*B137)</f>
        <v> </v>
      </c>
      <c r="E137" s="396" t="str">
        <f aca="false">IF(A137="N/A"," ",IF(ISERROR(O137),E125*Pwresc,O137)*VLOOKUP(MONTH(A137),Curveadj,3))</f>
        <v> </v>
      </c>
      <c r="F137" s="398" t="str">
        <f aca="false">IF(A137="N/A"," ",E137*C137)</f>
        <v> </v>
      </c>
      <c r="G137" s="396" t="str">
        <f aca="false">IF(A137="N/A"," ",IF(ISERROR(P137),G125*Pwresc,P137)*VLOOKUP(MONTH(A137),Curveadj,3))</f>
        <v> </v>
      </c>
      <c r="H137" s="398" t="str">
        <f aca="false">IF(A137="N/A"," ",G137*C137)</f>
        <v> </v>
      </c>
      <c r="I137" s="398" t="str">
        <f aca="false">IF(A137="N/A"," ",IF(ISERROR(Q137),I125*Pwresc,Q137))</f>
        <v> </v>
      </c>
      <c r="J137" s="398" t="str">
        <f aca="false">IF(A137="N/A"," ",Inputs!$G$4)</f>
        <v> </v>
      </c>
      <c r="K137" s="399" t="str">
        <f aca="false">IF(A137="N/A"," ",IF(ISERROR(#REF!),K125*Gasesc,#REF!))</f>
        <v> </v>
      </c>
      <c r="L137" s="399" t="str">
        <f aca="false">IF(A137="N/A"," ",IF(ISERROR(#REF!),L125*Gasesc,IF(#REF!=0,L125*Gasesc,#REF!)))</f>
        <v> </v>
      </c>
      <c r="M137" s="404"/>
      <c r="N137" s="401" t="str">
        <f aca="false">IF(A137="N/A"," ",VLOOKUP(A137,PeakPowerCurves,(IF(BMO1=2,3,IF(BMO1=1,2,4))),FALSE()))</f>
        <v> </v>
      </c>
      <c r="O137" s="401" t="str">
        <f aca="false">IF(A137="N/A"," ",VLOOKUP(A137,SatSunPeakPwr,(IF(BMO1=2,3,IF(BMO1=1,2,4))),FALSE()))</f>
        <v> </v>
      </c>
      <c r="P137" s="401" t="str">
        <f aca="false">IF(A137="N/A"," ",VLOOKUP(A137,SatSunPeakPwr,(IF(BMO1=2,7,IF(BMO1=1,6,8))),FALSE()))</f>
        <v> </v>
      </c>
      <c r="Q137" s="402" t="str">
        <f aca="false">IF(A137="N/A"," ",(VLOOKUP(A137,OPPowerPrices,(IF(BMO1=2,7,IF(BMO1=1,6,8))),FALSE())))</f>
        <v> </v>
      </c>
      <c r="R137" s="403" t="str">
        <f aca="false">IF(A137="N/A"," ",(VLOOKUP($A137,IRTable,2)))</f>
        <v> </v>
      </c>
      <c r="AF137" s="352" t="n">
        <v>40603</v>
      </c>
      <c r="AG137" s="311" t="n">
        <v>23</v>
      </c>
      <c r="AH137" s="311" t="n">
        <v>4</v>
      </c>
      <c r="AI137" s="311" t="n">
        <v>4</v>
      </c>
      <c r="AJ137" s="311" t="n">
        <v>0</v>
      </c>
      <c r="AK137" s="311" t="n">
        <v>31</v>
      </c>
      <c r="AU137" s="406"/>
    </row>
    <row r="138" customFormat="false" ht="12.75" hidden="false" customHeight="false" outlineLevel="0" collapsed="false">
      <c r="A138" s="405" t="str">
        <f aca="false">Option1!A105</f>
        <v>N/A</v>
      </c>
      <c r="B138" s="396" t="str">
        <f aca="false">IF(A138="N/A"," ",IF(ISERROR(N138),B126*Pwresc,N138)*VLOOKUP(MONTH(A138),Curveadj,3))</f>
        <v> </v>
      </c>
      <c r="C138" s="397" t="str">
        <f aca="false">IF(A138="N/A"," ",(IF(AND(Scaler1=1,MONTH(A138)&gt;=6,MONTH(A138)&lt;=8,OR($M$37="REGION 2",$M$37="REGION 2A",$M$37="REGION 2B",$M$37="REGION 3",$M$37="REGION 3A",$M$37="REGION 3B",$M$37="REGION 3C",$M$37="REGION 4",$M$37="REGION 4B",$M$37="REGION 4C",$M$37="REGION 5",$M$37="REGION 5A")),((0.059228/(B138/100))-(0.4980013/(SQRT(B138/100)))+2.137988),HLOOKUP(MONTH(A138),ScalarTable,28))))</f>
        <v> </v>
      </c>
      <c r="D138" s="398" t="str">
        <f aca="false">IF(A138="N/A"," ",C138*B138)</f>
        <v> </v>
      </c>
      <c r="E138" s="396" t="str">
        <f aca="false">IF(A138="N/A"," ",IF(ISERROR(O138),E126*Pwresc,O138)*VLOOKUP(MONTH(A138),Curveadj,3))</f>
        <v> </v>
      </c>
      <c r="F138" s="398" t="str">
        <f aca="false">IF(A138="N/A"," ",E138*C138)</f>
        <v> </v>
      </c>
      <c r="G138" s="396" t="str">
        <f aca="false">IF(A138="N/A"," ",IF(ISERROR(P138),G126*Pwresc,P138)*VLOOKUP(MONTH(A138),Curveadj,3))</f>
        <v> </v>
      </c>
      <c r="H138" s="398" t="str">
        <f aca="false">IF(A138="N/A"," ",G138*C138)</f>
        <v> </v>
      </c>
      <c r="I138" s="398" t="str">
        <f aca="false">IF(A138="N/A"," ",IF(ISERROR(Q138),I126*Pwresc,Q138))</f>
        <v> </v>
      </c>
      <c r="J138" s="398" t="str">
        <f aca="false">IF(A138="N/A"," ",Inputs!$G$4)</f>
        <v> </v>
      </c>
      <c r="K138" s="399" t="str">
        <f aca="false">IF(A138="N/A"," ",IF(ISERROR(#REF!),K126*Gasesc,#REF!))</f>
        <v> </v>
      </c>
      <c r="L138" s="399" t="str">
        <f aca="false">IF(A138="N/A"," ",IF(ISERROR(#REF!),L126*Gasesc,IF(#REF!=0,L126*Gasesc,#REF!)))</f>
        <v> </v>
      </c>
      <c r="M138" s="404"/>
      <c r="N138" s="401" t="str">
        <f aca="false">IF(A138="N/A"," ",VLOOKUP(A138,PeakPowerCurves,(IF(BMO1=2,3,IF(BMO1=1,2,4))),FALSE()))</f>
        <v> </v>
      </c>
      <c r="O138" s="401" t="str">
        <f aca="false">IF(A138="N/A"," ",VLOOKUP(A138,SatSunPeakPwr,(IF(BMO1=2,3,IF(BMO1=1,2,4))),FALSE()))</f>
        <v> </v>
      </c>
      <c r="P138" s="401" t="str">
        <f aca="false">IF(A138="N/A"," ",VLOOKUP(A138,SatSunPeakPwr,(IF(BMO1=2,7,IF(BMO1=1,6,8))),FALSE()))</f>
        <v> </v>
      </c>
      <c r="Q138" s="402" t="str">
        <f aca="false">IF(A138="N/A"," ",(VLOOKUP(A138,OPPowerPrices,(IF(BMO1=2,7,IF(BMO1=1,6,8))),FALSE())))</f>
        <v> </v>
      </c>
      <c r="R138" s="403" t="str">
        <f aca="false">IF(A138="N/A"," ",(VLOOKUP($A138,IRTable,2)))</f>
        <v> </v>
      </c>
      <c r="AF138" s="352" t="n">
        <v>40634</v>
      </c>
      <c r="AG138" s="311" t="n">
        <v>21</v>
      </c>
      <c r="AH138" s="311" t="n">
        <v>5</v>
      </c>
      <c r="AI138" s="311" t="n">
        <v>4</v>
      </c>
      <c r="AJ138" s="311" t="n">
        <v>0</v>
      </c>
      <c r="AK138" s="311" t="n">
        <v>30</v>
      </c>
      <c r="AU138" s="406"/>
    </row>
    <row r="139" customFormat="false" ht="12.75" hidden="false" customHeight="false" outlineLevel="0" collapsed="false">
      <c r="A139" s="405" t="str">
        <f aca="false">Option1!A106</f>
        <v>N/A</v>
      </c>
      <c r="B139" s="396" t="str">
        <f aca="false">IF(A139="N/A"," ",IF(ISERROR(N139),B127*Pwresc,N139)*VLOOKUP(MONTH(A139),Curveadj,3))</f>
        <v> </v>
      </c>
      <c r="C139" s="397" t="str">
        <f aca="false">IF(A139="N/A"," ",(IF(AND(Scaler1=1,MONTH(A139)&gt;=6,MONTH(A139)&lt;=8,OR($M$37="REGION 2",$M$37="REGION 2A",$M$37="REGION 2B",$M$37="REGION 3",$M$37="REGION 3A",$M$37="REGION 3B",$M$37="REGION 3C",$M$37="REGION 4",$M$37="REGION 4B",$M$37="REGION 4C",$M$37="REGION 5",$M$37="REGION 5A")),((0.059228/(B139/100))-(0.4980013/(SQRT(B139/100)))+2.137988),HLOOKUP(MONTH(A139),ScalarTable,28))))</f>
        <v> </v>
      </c>
      <c r="D139" s="398" t="str">
        <f aca="false">IF(A139="N/A"," ",C139*B139)</f>
        <v> </v>
      </c>
      <c r="E139" s="396" t="str">
        <f aca="false">IF(A139="N/A"," ",IF(ISERROR(O139),E127*Pwresc,O139)*VLOOKUP(MONTH(A139),Curveadj,3))</f>
        <v> </v>
      </c>
      <c r="F139" s="398" t="str">
        <f aca="false">IF(A139="N/A"," ",E139*C139)</f>
        <v> </v>
      </c>
      <c r="G139" s="396" t="str">
        <f aca="false">IF(A139="N/A"," ",IF(ISERROR(P139),G127*Pwresc,P139)*VLOOKUP(MONTH(A139),Curveadj,3))</f>
        <v> </v>
      </c>
      <c r="H139" s="398" t="str">
        <f aca="false">IF(A139="N/A"," ",G139*C139)</f>
        <v> </v>
      </c>
      <c r="I139" s="398" t="str">
        <f aca="false">IF(A139="N/A"," ",IF(ISERROR(Q139),I127*Pwresc,Q139))</f>
        <v> </v>
      </c>
      <c r="J139" s="398" t="str">
        <f aca="false">IF(A139="N/A"," ",Inputs!$G$4)</f>
        <v> </v>
      </c>
      <c r="K139" s="399" t="str">
        <f aca="false">IF(A139="N/A"," ",IF(ISERROR(#REF!),K127*Gasesc,#REF!))</f>
        <v> </v>
      </c>
      <c r="L139" s="399" t="str">
        <f aca="false">IF(A139="N/A"," ",IF(ISERROR(#REF!),L127*Gasesc,IF(#REF!=0,L127*Gasesc,#REF!)))</f>
        <v> </v>
      </c>
      <c r="M139" s="404"/>
      <c r="N139" s="401" t="str">
        <f aca="false">IF(A139="N/A"," ",VLOOKUP(A139,PeakPowerCurves,(IF(BMO1=2,3,IF(BMO1=1,2,4))),FALSE()))</f>
        <v> </v>
      </c>
      <c r="O139" s="401" t="str">
        <f aca="false">IF(A139="N/A"," ",VLOOKUP(A139,SatSunPeakPwr,(IF(BMO1=2,3,IF(BMO1=1,2,4))),FALSE()))</f>
        <v> </v>
      </c>
      <c r="P139" s="401" t="str">
        <f aca="false">IF(A139="N/A"," ",VLOOKUP(A139,SatSunPeakPwr,(IF(BMO1=2,7,IF(BMO1=1,6,8))),FALSE()))</f>
        <v> </v>
      </c>
      <c r="Q139" s="402" t="str">
        <f aca="false">IF(A139="N/A"," ",(VLOOKUP(A139,OPPowerPrices,(IF(BMO1=2,7,IF(BMO1=1,6,8))),FALSE())))</f>
        <v> </v>
      </c>
      <c r="R139" s="403" t="str">
        <f aca="false">IF(A139="N/A"," ",(VLOOKUP($A139,IRTable,2)))</f>
        <v> </v>
      </c>
      <c r="AF139" s="352" t="n">
        <v>40664</v>
      </c>
      <c r="AG139" s="311" t="n">
        <v>21</v>
      </c>
      <c r="AH139" s="311" t="n">
        <v>4</v>
      </c>
      <c r="AI139" s="311" t="n">
        <v>6</v>
      </c>
      <c r="AJ139" s="311" t="n">
        <v>1</v>
      </c>
      <c r="AK139" s="311" t="n">
        <v>31</v>
      </c>
      <c r="AU139" s="406"/>
    </row>
    <row r="140" customFormat="false" ht="12.75" hidden="false" customHeight="false" outlineLevel="0" collapsed="false">
      <c r="A140" s="405" t="str">
        <f aca="false">Option1!A107</f>
        <v>N/A</v>
      </c>
      <c r="B140" s="396" t="str">
        <f aca="false">IF(A140="N/A"," ",IF(ISERROR(N140),B128*Pwresc,N140)*VLOOKUP(MONTH(A140),Curveadj,3))</f>
        <v> </v>
      </c>
      <c r="C140" s="397" t="str">
        <f aca="false">IF(A140="N/A"," ",(IF(AND(Scaler1=1,MONTH(A140)&gt;=6,MONTH(A140)&lt;=8,OR($M$37="REGION 2",$M$37="REGION 2A",$M$37="REGION 2B",$M$37="REGION 3",$M$37="REGION 3A",$M$37="REGION 3B",$M$37="REGION 3C",$M$37="REGION 4",$M$37="REGION 4B",$M$37="REGION 4C",$M$37="REGION 5",$M$37="REGION 5A")),((0.059228/(B140/100))-(0.4980013/(SQRT(B140/100)))+2.137988),HLOOKUP(MONTH(A140),ScalarTable,28))))</f>
        <v> </v>
      </c>
      <c r="D140" s="398" t="str">
        <f aca="false">IF(A140="N/A"," ",C140*B140)</f>
        <v> </v>
      </c>
      <c r="E140" s="396" t="str">
        <f aca="false">IF(A140="N/A"," ",IF(ISERROR(O140),E128*Pwresc,O140)*VLOOKUP(MONTH(A140),Curveadj,3))</f>
        <v> </v>
      </c>
      <c r="F140" s="398" t="str">
        <f aca="false">IF(A140="N/A"," ",E140*C140)</f>
        <v> </v>
      </c>
      <c r="G140" s="396" t="str">
        <f aca="false">IF(A140="N/A"," ",IF(ISERROR(P140),G128*Pwresc,P140)*VLOOKUP(MONTH(A140),Curveadj,3))</f>
        <v> </v>
      </c>
      <c r="H140" s="398" t="str">
        <f aca="false">IF(A140="N/A"," ",G140*C140)</f>
        <v> </v>
      </c>
      <c r="I140" s="398" t="str">
        <f aca="false">IF(A140="N/A"," ",IF(ISERROR(Q140),I128*Pwresc,Q140))</f>
        <v> </v>
      </c>
      <c r="J140" s="398" t="str">
        <f aca="false">IF(A140="N/A"," ",Inputs!$G$4)</f>
        <v> </v>
      </c>
      <c r="K140" s="399" t="str">
        <f aca="false">IF(A140="N/A"," ",IF(ISERROR(#REF!),K128*Gasesc,#REF!))</f>
        <v> </v>
      </c>
      <c r="L140" s="399" t="str">
        <f aca="false">IF(A140="N/A"," ",IF(ISERROR(#REF!),L128*Gasesc,IF(#REF!=0,L128*Gasesc,#REF!)))</f>
        <v> </v>
      </c>
      <c r="M140" s="404"/>
      <c r="N140" s="401" t="str">
        <f aca="false">IF(A140="N/A"," ",VLOOKUP(A140,PeakPowerCurves,(IF(BMO1=2,3,IF(BMO1=1,2,4))),FALSE()))</f>
        <v> </v>
      </c>
      <c r="O140" s="401" t="str">
        <f aca="false">IF(A140="N/A"," ",VLOOKUP(A140,SatSunPeakPwr,(IF(BMO1=2,3,IF(BMO1=1,2,4))),FALSE()))</f>
        <v> </v>
      </c>
      <c r="P140" s="401" t="str">
        <f aca="false">IF(A140="N/A"," ",VLOOKUP(A140,SatSunPeakPwr,(IF(BMO1=2,7,IF(BMO1=1,6,8))),FALSE()))</f>
        <v> </v>
      </c>
      <c r="Q140" s="402" t="str">
        <f aca="false">IF(A140="N/A"," ",(VLOOKUP(A140,OPPowerPrices,(IF(BMO1=2,7,IF(BMO1=1,6,8))),FALSE())))</f>
        <v> </v>
      </c>
      <c r="R140" s="403" t="str">
        <f aca="false">IF(A140="N/A"," ",(VLOOKUP($A140,IRTable,2)))</f>
        <v> </v>
      </c>
      <c r="AF140" s="352" t="n">
        <v>40695</v>
      </c>
      <c r="AG140" s="311" t="n">
        <v>22</v>
      </c>
      <c r="AH140" s="311" t="n">
        <v>4</v>
      </c>
      <c r="AI140" s="311" t="n">
        <v>4</v>
      </c>
      <c r="AJ140" s="311" t="n">
        <v>0</v>
      </c>
      <c r="AK140" s="311" t="n">
        <v>30</v>
      </c>
      <c r="AU140" s="406"/>
    </row>
    <row r="141" customFormat="false" ht="12.75" hidden="false" customHeight="false" outlineLevel="0" collapsed="false">
      <c r="A141" s="405" t="str">
        <f aca="false">Option1!A108</f>
        <v>N/A</v>
      </c>
      <c r="B141" s="396" t="str">
        <f aca="false">IF(A141="N/A"," ",IF(ISERROR(N141),B129*Pwresc,N141)*VLOOKUP(MONTH(A141),Curveadj,3))</f>
        <v> </v>
      </c>
      <c r="C141" s="397" t="str">
        <f aca="false">IF(A141="N/A"," ",(IF(AND(Scaler1=1,MONTH(A141)&gt;=6,MONTH(A141)&lt;=8,OR($M$37="REGION 2",$M$37="REGION 2A",$M$37="REGION 2B",$M$37="REGION 3",$M$37="REGION 3A",$M$37="REGION 3B",$M$37="REGION 3C",$M$37="REGION 4",$M$37="REGION 4B",$M$37="REGION 4C",$M$37="REGION 5",$M$37="REGION 5A")),((0.059228/(B141/100))-(0.4980013/(SQRT(B141/100)))+2.137988),HLOOKUP(MONTH(A141),ScalarTable,28))))</f>
        <v> </v>
      </c>
      <c r="D141" s="398" t="str">
        <f aca="false">IF(A141="N/A"," ",C141*B141)</f>
        <v> </v>
      </c>
      <c r="E141" s="396" t="str">
        <f aca="false">IF(A141="N/A"," ",IF(ISERROR(O141),E129*Pwresc,O141)*VLOOKUP(MONTH(A141),Curveadj,3))</f>
        <v> </v>
      </c>
      <c r="F141" s="398" t="str">
        <f aca="false">IF(A141="N/A"," ",E141*C141)</f>
        <v> </v>
      </c>
      <c r="G141" s="396" t="str">
        <f aca="false">IF(A141="N/A"," ",IF(ISERROR(P141),G129*Pwresc,P141)*VLOOKUP(MONTH(A141),Curveadj,3))</f>
        <v> </v>
      </c>
      <c r="H141" s="398" t="str">
        <f aca="false">IF(A141="N/A"," ",G141*C141)</f>
        <v> </v>
      </c>
      <c r="I141" s="398" t="str">
        <f aca="false">IF(A141="N/A"," ",IF(ISERROR(Q141),I129*Pwresc,Q141))</f>
        <v> </v>
      </c>
      <c r="J141" s="398" t="str">
        <f aca="false">IF(A141="N/A"," ",Inputs!$G$4)</f>
        <v> </v>
      </c>
      <c r="K141" s="399" t="str">
        <f aca="false">IF(A141="N/A"," ",IF(ISERROR(#REF!),K129*Gasesc,#REF!))</f>
        <v> </v>
      </c>
      <c r="L141" s="399" t="str">
        <f aca="false">IF(A141="N/A"," ",IF(ISERROR(#REF!),L129*Gasesc,IF(#REF!=0,L129*Gasesc,#REF!)))</f>
        <v> </v>
      </c>
      <c r="M141" s="404"/>
      <c r="N141" s="401" t="str">
        <f aca="false">IF(A141="N/A"," ",VLOOKUP(A141,PeakPowerCurves,(IF(BMO1=2,3,IF(BMO1=1,2,4))),FALSE()))</f>
        <v> </v>
      </c>
      <c r="O141" s="401" t="str">
        <f aca="false">IF(A141="N/A"," ",VLOOKUP(A141,SatSunPeakPwr,(IF(BMO1=2,3,IF(BMO1=1,2,4))),FALSE()))</f>
        <v> </v>
      </c>
      <c r="P141" s="401" t="str">
        <f aca="false">IF(A141="N/A"," ",VLOOKUP(A141,SatSunPeakPwr,(IF(BMO1=2,7,IF(BMO1=1,6,8))),FALSE()))</f>
        <v> </v>
      </c>
      <c r="Q141" s="402" t="str">
        <f aca="false">IF(A141="N/A"," ",(VLOOKUP(A141,OPPowerPrices,(IF(BMO1=2,7,IF(BMO1=1,6,8))),FALSE())))</f>
        <v> </v>
      </c>
      <c r="R141" s="403" t="str">
        <f aca="false">IF(A141="N/A"," ",(VLOOKUP($A141,IRTable,2)))</f>
        <v> </v>
      </c>
      <c r="AF141" s="352" t="n">
        <v>40725</v>
      </c>
      <c r="AG141" s="311" t="n">
        <v>20</v>
      </c>
      <c r="AH141" s="311" t="n">
        <v>5</v>
      </c>
      <c r="AI141" s="311" t="n">
        <v>6</v>
      </c>
      <c r="AJ141" s="311" t="n">
        <v>1</v>
      </c>
      <c r="AK141" s="311" t="n">
        <v>31</v>
      </c>
      <c r="AU141" s="406"/>
    </row>
    <row r="142" customFormat="false" ht="12.75" hidden="false" customHeight="false" outlineLevel="0" collapsed="false">
      <c r="A142" s="405" t="str">
        <f aca="false">Option1!A109</f>
        <v>N/A</v>
      </c>
      <c r="B142" s="396" t="str">
        <f aca="false">IF(A142="N/A"," ",IF(ISERROR(N142),B130*Pwresc,N142)*VLOOKUP(MONTH(A142),Curveadj,3))</f>
        <v> </v>
      </c>
      <c r="C142" s="397" t="str">
        <f aca="false">IF(A142="N/A"," ",(IF(AND(Scaler1=1,MONTH(A142)&gt;=6,MONTH(A142)&lt;=8,OR($M$37="REGION 2",$M$37="REGION 2A",$M$37="REGION 2B",$M$37="REGION 3",$M$37="REGION 3A",$M$37="REGION 3B",$M$37="REGION 3C",$M$37="REGION 4",$M$37="REGION 4B",$M$37="REGION 4C",$M$37="REGION 5",$M$37="REGION 5A")),((0.059228/(B142/100))-(0.4980013/(SQRT(B142/100)))+2.137988),HLOOKUP(MONTH(A142),ScalarTable,28))))</f>
        <v> </v>
      </c>
      <c r="D142" s="398" t="str">
        <f aca="false">IF(A142="N/A"," ",C142*B142)</f>
        <v> </v>
      </c>
      <c r="E142" s="396" t="str">
        <f aca="false">IF(A142="N/A"," ",IF(ISERROR(O142),E130*Pwresc,O142)*VLOOKUP(MONTH(A142),Curveadj,3))</f>
        <v> </v>
      </c>
      <c r="F142" s="398" t="str">
        <f aca="false">IF(A142="N/A"," ",E142*C142)</f>
        <v> </v>
      </c>
      <c r="G142" s="396" t="str">
        <f aca="false">IF(A142="N/A"," ",IF(ISERROR(P142),G130*Pwresc,P142)*VLOOKUP(MONTH(A142),Curveadj,3))</f>
        <v> </v>
      </c>
      <c r="H142" s="398" t="str">
        <f aca="false">IF(A142="N/A"," ",G142*C142)</f>
        <v> </v>
      </c>
      <c r="I142" s="398" t="str">
        <f aca="false">IF(A142="N/A"," ",IF(ISERROR(Q142),I130*Pwresc,Q142))</f>
        <v> </v>
      </c>
      <c r="J142" s="398" t="str">
        <f aca="false">IF(A142="N/A"," ",Inputs!$G$4)</f>
        <v> </v>
      </c>
      <c r="K142" s="399" t="str">
        <f aca="false">IF(A142="N/A"," ",IF(ISERROR(#REF!),K130*Gasesc,#REF!))</f>
        <v> </v>
      </c>
      <c r="L142" s="399" t="str">
        <f aca="false">IF(A142="N/A"," ",IF(ISERROR(#REF!),L130*Gasesc,IF(#REF!=0,L130*Gasesc,#REF!)))</f>
        <v> </v>
      </c>
      <c r="M142" s="404"/>
      <c r="N142" s="401" t="str">
        <f aca="false">IF(A142="N/A"," ",VLOOKUP(A142,PeakPowerCurves,(IF(BMO1=2,3,IF(BMO1=1,2,4))),FALSE()))</f>
        <v> </v>
      </c>
      <c r="O142" s="401" t="str">
        <f aca="false">IF(A142="N/A"," ",VLOOKUP(A142,SatSunPeakPwr,(IF(BMO1=2,3,IF(BMO1=1,2,4))),FALSE()))</f>
        <v> </v>
      </c>
      <c r="P142" s="401" t="str">
        <f aca="false">IF(A142="N/A"," ",VLOOKUP(A142,SatSunPeakPwr,(IF(BMO1=2,7,IF(BMO1=1,6,8))),FALSE()))</f>
        <v> </v>
      </c>
      <c r="Q142" s="402" t="str">
        <f aca="false">IF(A142="N/A"," ",(VLOOKUP(A142,OPPowerPrices,(IF(BMO1=2,7,IF(BMO1=1,6,8))),FALSE())))</f>
        <v> </v>
      </c>
      <c r="R142" s="403" t="str">
        <f aca="false">IF(A142="N/A"," ",(VLOOKUP($A142,IRTable,2)))</f>
        <v> </v>
      </c>
      <c r="AF142" s="352" t="n">
        <v>40756</v>
      </c>
      <c r="AG142" s="311" t="n">
        <v>23</v>
      </c>
      <c r="AH142" s="311" t="n">
        <v>4</v>
      </c>
      <c r="AI142" s="311" t="n">
        <v>4</v>
      </c>
      <c r="AJ142" s="311" t="n">
        <v>0</v>
      </c>
      <c r="AK142" s="311" t="n">
        <v>31</v>
      </c>
      <c r="AU142" s="406"/>
    </row>
    <row r="143" customFormat="false" ht="12.75" hidden="false" customHeight="false" outlineLevel="0" collapsed="false">
      <c r="A143" s="405" t="str">
        <f aca="false">Option1!A110</f>
        <v>N/A</v>
      </c>
      <c r="B143" s="396" t="str">
        <f aca="false">IF(A143="N/A"," ",IF(ISERROR(N143),B131*Pwresc,N143)*VLOOKUP(MONTH(A143),Curveadj,3))</f>
        <v> </v>
      </c>
      <c r="C143" s="397" t="str">
        <f aca="false">IF(A143="N/A"," ",(IF(AND(Scaler1=1,MONTH(A143)&gt;=6,MONTH(A143)&lt;=8,OR($M$37="REGION 2",$M$37="REGION 2A",$M$37="REGION 2B",$M$37="REGION 3",$M$37="REGION 3A",$M$37="REGION 3B",$M$37="REGION 3C",$M$37="REGION 4",$M$37="REGION 4B",$M$37="REGION 4C",$M$37="REGION 5",$M$37="REGION 5A")),((0.059228/(B143/100))-(0.4980013/(SQRT(B143/100)))+2.137988),HLOOKUP(MONTH(A143),ScalarTable,28))))</f>
        <v> </v>
      </c>
      <c r="D143" s="398" t="str">
        <f aca="false">IF(A143="N/A"," ",C143*B143)</f>
        <v> </v>
      </c>
      <c r="E143" s="396" t="str">
        <f aca="false">IF(A143="N/A"," ",IF(ISERROR(O143),E131*Pwresc,O143)*VLOOKUP(MONTH(A143),Curveadj,3))</f>
        <v> </v>
      </c>
      <c r="F143" s="398" t="str">
        <f aca="false">IF(A143="N/A"," ",E143*C143)</f>
        <v> </v>
      </c>
      <c r="G143" s="396" t="str">
        <f aca="false">IF(A143="N/A"," ",IF(ISERROR(P143),G131*Pwresc,P143)*VLOOKUP(MONTH(A143),Curveadj,3))</f>
        <v> </v>
      </c>
      <c r="H143" s="398" t="str">
        <f aca="false">IF(A143="N/A"," ",G143*C143)</f>
        <v> </v>
      </c>
      <c r="I143" s="398" t="str">
        <f aca="false">IF(A143="N/A"," ",IF(ISERROR(Q143),I131*Pwresc,Q143))</f>
        <v> </v>
      </c>
      <c r="J143" s="398" t="str">
        <f aca="false">IF(A143="N/A"," ",Inputs!$G$4)</f>
        <v> </v>
      </c>
      <c r="K143" s="399" t="str">
        <f aca="false">IF(A143="N/A"," ",IF(ISERROR(#REF!),K131*Gasesc,#REF!))</f>
        <v> </v>
      </c>
      <c r="L143" s="399" t="str">
        <f aca="false">IF(A143="N/A"," ",IF(ISERROR(#REF!),L131*Gasesc,IF(#REF!=0,L131*Gasesc,#REF!)))</f>
        <v> </v>
      </c>
      <c r="M143" s="404"/>
      <c r="N143" s="401" t="str">
        <f aca="false">IF(A143="N/A"," ",VLOOKUP(A143,PeakPowerCurves,(IF(BMO1=2,3,IF(BMO1=1,2,4))),FALSE()))</f>
        <v> </v>
      </c>
      <c r="O143" s="401" t="str">
        <f aca="false">IF(A143="N/A"," ",VLOOKUP(A143,SatSunPeakPwr,(IF(BMO1=2,3,IF(BMO1=1,2,4))),FALSE()))</f>
        <v> </v>
      </c>
      <c r="P143" s="401" t="str">
        <f aca="false">IF(A143="N/A"," ",VLOOKUP(A143,SatSunPeakPwr,(IF(BMO1=2,7,IF(BMO1=1,6,8))),FALSE()))</f>
        <v> </v>
      </c>
      <c r="Q143" s="402" t="str">
        <f aca="false">IF(A143="N/A"," ",(VLOOKUP(A143,OPPowerPrices,(IF(BMO1=2,7,IF(BMO1=1,6,8))),FALSE())))</f>
        <v> </v>
      </c>
      <c r="R143" s="403" t="str">
        <f aca="false">IF(A143="N/A"," ",(VLOOKUP($A143,IRTable,2)))</f>
        <v> </v>
      </c>
      <c r="AF143" s="352" t="n">
        <v>40787</v>
      </c>
      <c r="AG143" s="311" t="n">
        <v>21</v>
      </c>
      <c r="AH143" s="311" t="n">
        <v>4</v>
      </c>
      <c r="AI143" s="311" t="n">
        <v>5</v>
      </c>
      <c r="AJ143" s="311" t="n">
        <v>1</v>
      </c>
      <c r="AK143" s="311" t="n">
        <v>30</v>
      </c>
      <c r="AU143" s="406"/>
    </row>
    <row r="144" customFormat="false" ht="12.75" hidden="false" customHeight="false" outlineLevel="0" collapsed="false">
      <c r="A144" s="405" t="str">
        <f aca="false">Option1!A111</f>
        <v>N/A</v>
      </c>
      <c r="B144" s="396" t="str">
        <f aca="false">IF(A144="N/A"," ",IF(ISERROR(N144),B132*Pwresc,N144)*VLOOKUP(MONTH(A144),Curveadj,3))</f>
        <v> </v>
      </c>
      <c r="C144" s="397" t="str">
        <f aca="false">IF(A144="N/A"," ",(IF(AND(Scaler1=1,MONTH(A144)&gt;=6,MONTH(A144)&lt;=8,OR($M$37="REGION 2",$M$37="REGION 2A",$M$37="REGION 2B",$M$37="REGION 3",$M$37="REGION 3A",$M$37="REGION 3B",$M$37="REGION 3C",$M$37="REGION 4",$M$37="REGION 4B",$M$37="REGION 4C",$M$37="REGION 5",$M$37="REGION 5A")),((0.059228/(B144/100))-(0.4980013/(SQRT(B144/100)))+2.137988),HLOOKUP(MONTH(A144),ScalarTable,28))))</f>
        <v> </v>
      </c>
      <c r="D144" s="398" t="str">
        <f aca="false">IF(A144="N/A"," ",C144*B144)</f>
        <v> </v>
      </c>
      <c r="E144" s="396" t="str">
        <f aca="false">IF(A144="N/A"," ",IF(ISERROR(O144),E132*Pwresc,O144)*VLOOKUP(MONTH(A144),Curveadj,3))</f>
        <v> </v>
      </c>
      <c r="F144" s="398" t="str">
        <f aca="false">IF(A144="N/A"," ",E144*C144)</f>
        <v> </v>
      </c>
      <c r="G144" s="396" t="str">
        <f aca="false">IF(A144="N/A"," ",IF(ISERROR(P144),G132*Pwresc,P144)*VLOOKUP(MONTH(A144),Curveadj,3))</f>
        <v> </v>
      </c>
      <c r="H144" s="398" t="str">
        <f aca="false">IF(A144="N/A"," ",G144*C144)</f>
        <v> </v>
      </c>
      <c r="I144" s="398" t="str">
        <f aca="false">IF(A144="N/A"," ",IF(ISERROR(Q144),I132*Pwresc,Q144))</f>
        <v> </v>
      </c>
      <c r="J144" s="398" t="str">
        <f aca="false">IF(A144="N/A"," ",Inputs!$G$4)</f>
        <v> </v>
      </c>
      <c r="K144" s="399" t="str">
        <f aca="false">IF(A144="N/A"," ",IF(ISERROR(#REF!),K132*Gasesc,#REF!))</f>
        <v> </v>
      </c>
      <c r="L144" s="399" t="str">
        <f aca="false">IF(A144="N/A"," ",IF(ISERROR(#REF!),L132*Gasesc,IF(#REF!=0,L132*Gasesc,#REF!)))</f>
        <v> </v>
      </c>
      <c r="M144" s="404"/>
      <c r="N144" s="401" t="str">
        <f aca="false">IF(A144="N/A"," ",VLOOKUP(A144,PeakPowerCurves,(IF(BMO1=2,3,IF(BMO1=1,2,4))),FALSE()))</f>
        <v> </v>
      </c>
      <c r="O144" s="401" t="str">
        <f aca="false">IF(A144="N/A"," ",VLOOKUP(A144,SatSunPeakPwr,(IF(BMO1=2,3,IF(BMO1=1,2,4))),FALSE()))</f>
        <v> </v>
      </c>
      <c r="P144" s="401" t="str">
        <f aca="false">IF(A144="N/A"," ",VLOOKUP(A144,SatSunPeakPwr,(IF(BMO1=2,7,IF(BMO1=1,6,8))),FALSE()))</f>
        <v> </v>
      </c>
      <c r="Q144" s="402" t="str">
        <f aca="false">IF(A144="N/A"," ",(VLOOKUP(A144,OPPowerPrices,(IF(BMO1=2,7,IF(BMO1=1,6,8))),FALSE())))</f>
        <v> </v>
      </c>
      <c r="R144" s="403" t="str">
        <f aca="false">IF(A144="N/A"," ",(VLOOKUP($A144,IRTable,2)))</f>
        <v> </v>
      </c>
      <c r="AF144" s="352" t="n">
        <v>40817</v>
      </c>
      <c r="AG144" s="311" t="n">
        <v>21</v>
      </c>
      <c r="AH144" s="311" t="n">
        <v>5</v>
      </c>
      <c r="AI144" s="311" t="n">
        <v>5</v>
      </c>
      <c r="AJ144" s="311" t="n">
        <v>0</v>
      </c>
      <c r="AK144" s="311" t="n">
        <v>31</v>
      </c>
      <c r="AU144" s="406"/>
    </row>
    <row r="145" customFormat="false" ht="12.75" hidden="false" customHeight="false" outlineLevel="0" collapsed="false">
      <c r="A145" s="405" t="str">
        <f aca="false">Option1!A112</f>
        <v>N/A</v>
      </c>
      <c r="B145" s="396" t="str">
        <f aca="false">IF(A145="N/A"," ",IF(ISERROR(N145),B133*Pwresc,N145)*VLOOKUP(MONTH(A145),Curveadj,3))</f>
        <v> </v>
      </c>
      <c r="C145" s="397" t="str">
        <f aca="false">IF(A145="N/A"," ",(IF(AND(Scaler1=1,MONTH(A145)&gt;=6,MONTH(A145)&lt;=8,OR($M$37="REGION 2",$M$37="REGION 2A",$M$37="REGION 2B",$M$37="REGION 3",$M$37="REGION 3A",$M$37="REGION 3B",$M$37="REGION 3C",$M$37="REGION 4",$M$37="REGION 4B",$M$37="REGION 4C",$M$37="REGION 5",$M$37="REGION 5A")),((0.059228/(B145/100))-(0.4980013/(SQRT(B145/100)))+2.137988),HLOOKUP(MONTH(A145),ScalarTable,28))))</f>
        <v> </v>
      </c>
      <c r="D145" s="398" t="str">
        <f aca="false">IF(A145="N/A"," ",C145*B145)</f>
        <v> </v>
      </c>
      <c r="E145" s="396" t="str">
        <f aca="false">IF(A145="N/A"," ",IF(ISERROR(O145),E133*Pwresc,O145)*VLOOKUP(MONTH(A145),Curveadj,3))</f>
        <v> </v>
      </c>
      <c r="F145" s="398" t="str">
        <f aca="false">IF(A145="N/A"," ",E145*C145)</f>
        <v> </v>
      </c>
      <c r="G145" s="396" t="str">
        <f aca="false">IF(A145="N/A"," ",IF(ISERROR(P145),G133*Pwresc,P145)*VLOOKUP(MONTH(A145),Curveadj,3))</f>
        <v> </v>
      </c>
      <c r="H145" s="398" t="str">
        <f aca="false">IF(A145="N/A"," ",G145*C145)</f>
        <v> </v>
      </c>
      <c r="I145" s="398" t="str">
        <f aca="false">IF(A145="N/A"," ",IF(ISERROR(Q145),I133*Pwresc,Q145))</f>
        <v> </v>
      </c>
      <c r="J145" s="398" t="str">
        <f aca="false">IF(A145="N/A"," ",Inputs!$G$4)</f>
        <v> </v>
      </c>
      <c r="K145" s="399" t="str">
        <f aca="false">IF(A145="N/A"," ",IF(ISERROR(#REF!),K133*Gasesc,#REF!))</f>
        <v> </v>
      </c>
      <c r="L145" s="399" t="str">
        <f aca="false">IF(A145="N/A"," ",IF(ISERROR(#REF!),L133*Gasesc,IF(#REF!=0,L133*Gasesc,#REF!)))</f>
        <v> </v>
      </c>
      <c r="M145" s="404"/>
      <c r="N145" s="401" t="str">
        <f aca="false">IF(A145="N/A"," ",VLOOKUP(A145,PeakPowerCurves,(IF(BMO1=2,3,IF(BMO1=1,2,4))),FALSE()))</f>
        <v> </v>
      </c>
      <c r="O145" s="401" t="str">
        <f aca="false">IF(A145="N/A"," ",VLOOKUP(A145,SatSunPeakPwr,(IF(BMO1=2,3,IF(BMO1=1,2,4))),FALSE()))</f>
        <v> </v>
      </c>
      <c r="P145" s="401" t="str">
        <f aca="false">IF(A145="N/A"," ",VLOOKUP(A145,SatSunPeakPwr,(IF(BMO1=2,7,IF(BMO1=1,6,8))),FALSE()))</f>
        <v> </v>
      </c>
      <c r="Q145" s="402" t="str">
        <f aca="false">IF(A145="N/A"," ",(VLOOKUP(A145,OPPowerPrices,(IF(BMO1=2,7,IF(BMO1=1,6,8))),FALSE())))</f>
        <v> </v>
      </c>
      <c r="R145" s="403" t="str">
        <f aca="false">IF(A145="N/A"," ",(VLOOKUP($A145,IRTable,2)))</f>
        <v> </v>
      </c>
      <c r="AF145" s="352" t="n">
        <v>40848</v>
      </c>
      <c r="AG145" s="311" t="n">
        <v>21</v>
      </c>
      <c r="AH145" s="311" t="n">
        <v>4</v>
      </c>
      <c r="AI145" s="311" t="n">
        <v>5</v>
      </c>
      <c r="AJ145" s="311" t="n">
        <v>1</v>
      </c>
      <c r="AK145" s="311" t="n">
        <v>30</v>
      </c>
      <c r="AU145" s="406"/>
    </row>
    <row r="146" customFormat="false" ht="12.75" hidden="false" customHeight="false" outlineLevel="0" collapsed="false">
      <c r="A146" s="405" t="str">
        <f aca="false">Option1!A113</f>
        <v>N/A</v>
      </c>
      <c r="B146" s="396" t="str">
        <f aca="false">IF(A146="N/A"," ",IF(ISERROR(N146),B134*Pwresc,N146)*VLOOKUP(MONTH(A146),Curveadj,3))</f>
        <v> </v>
      </c>
      <c r="C146" s="397" t="str">
        <f aca="false">IF(A146="N/A"," ",(IF(AND(Scaler1=1,MONTH(A146)&gt;=6,MONTH(A146)&lt;=8,OR($M$37="REGION 2",$M$37="REGION 2A",$M$37="REGION 2B",$M$37="REGION 3",$M$37="REGION 3A",$M$37="REGION 3B",$M$37="REGION 3C",$M$37="REGION 4",$M$37="REGION 4B",$M$37="REGION 4C",$M$37="REGION 5",$M$37="REGION 5A")),((0.059228/(B146/100))-(0.4980013/(SQRT(B146/100)))+2.137988),HLOOKUP(MONTH(A146),ScalarTable,28))))</f>
        <v> </v>
      </c>
      <c r="D146" s="398" t="str">
        <f aca="false">IF(A146="N/A"," ",C146*B146)</f>
        <v> </v>
      </c>
      <c r="E146" s="396" t="str">
        <f aca="false">IF(A146="N/A"," ",IF(ISERROR(O146),E134*Pwresc,O146)*VLOOKUP(MONTH(A146),Curveadj,3))</f>
        <v> </v>
      </c>
      <c r="F146" s="398" t="str">
        <f aca="false">IF(A146="N/A"," ",E146*C146)</f>
        <v> </v>
      </c>
      <c r="G146" s="396" t="str">
        <f aca="false">IF(A146="N/A"," ",IF(ISERROR(P146),G134*Pwresc,P146)*VLOOKUP(MONTH(A146),Curveadj,3))</f>
        <v> </v>
      </c>
      <c r="H146" s="398" t="str">
        <f aca="false">IF(A146="N/A"," ",G146*C146)</f>
        <v> </v>
      </c>
      <c r="I146" s="398" t="str">
        <f aca="false">IF(A146="N/A"," ",IF(ISERROR(Q146),I134*Pwresc,Q146))</f>
        <v> </v>
      </c>
      <c r="J146" s="398" t="str">
        <f aca="false">IF(A146="N/A"," ",Inputs!$G$4)</f>
        <v> </v>
      </c>
      <c r="K146" s="399" t="str">
        <f aca="false">IF(A146="N/A"," ",IF(ISERROR(#REF!),K134*Gasesc,#REF!))</f>
        <v> </v>
      </c>
      <c r="L146" s="399" t="str">
        <f aca="false">IF(A146="N/A"," ",IF(ISERROR(#REF!),L134*Gasesc,IF(#REF!=0,L134*Gasesc,#REF!)))</f>
        <v> </v>
      </c>
      <c r="M146" s="404"/>
      <c r="N146" s="401" t="str">
        <f aca="false">IF(A146="N/A"," ",VLOOKUP(A146,PeakPowerCurves,(IF(BMO1=2,3,IF(BMO1=1,2,4))),FALSE()))</f>
        <v> </v>
      </c>
      <c r="O146" s="401" t="str">
        <f aca="false">IF(A146="N/A"," ",VLOOKUP(A146,SatSunPeakPwr,(IF(BMO1=2,3,IF(BMO1=1,2,4))),FALSE()))</f>
        <v> </v>
      </c>
      <c r="P146" s="401" t="str">
        <f aca="false">IF(A146="N/A"," ",VLOOKUP(A146,SatSunPeakPwr,(IF(BMO1=2,7,IF(BMO1=1,6,8))),FALSE()))</f>
        <v> </v>
      </c>
      <c r="Q146" s="402" t="str">
        <f aca="false">IF(A146="N/A"," ",(VLOOKUP(A146,OPPowerPrices,(IF(BMO1=2,7,IF(BMO1=1,6,8))),FALSE())))</f>
        <v> </v>
      </c>
      <c r="R146" s="403" t="str">
        <f aca="false">IF(A146="N/A"," ",(VLOOKUP($A146,IRTable,2)))</f>
        <v> </v>
      </c>
      <c r="AF146" s="352" t="n">
        <v>40878</v>
      </c>
      <c r="AG146" s="311" t="n">
        <v>21</v>
      </c>
      <c r="AH146" s="311" t="n">
        <v>5</v>
      </c>
      <c r="AI146" s="311" t="n">
        <v>5</v>
      </c>
      <c r="AJ146" s="311" t="n">
        <v>1</v>
      </c>
      <c r="AK146" s="311" t="n">
        <v>31</v>
      </c>
      <c r="AU146" s="406"/>
    </row>
    <row r="147" customFormat="false" ht="12.75" hidden="false" customHeight="false" outlineLevel="0" collapsed="false">
      <c r="A147" s="405" t="str">
        <f aca="false">Option1!A114</f>
        <v>N/A</v>
      </c>
      <c r="B147" s="396" t="str">
        <f aca="false">IF(A147="N/A"," ",IF(ISERROR(N147),B135*Pwresc,N147)*VLOOKUP(MONTH(A147),Curveadj,3))</f>
        <v> </v>
      </c>
      <c r="C147" s="397" t="str">
        <f aca="false">IF(A147="N/A"," ",(IF(AND(Scaler1=1,MONTH(A147)&gt;=6,MONTH(A147)&lt;=8,OR($M$37="REGION 2",$M$37="REGION 2A",$M$37="REGION 2B",$M$37="REGION 3",$M$37="REGION 3A",$M$37="REGION 3B",$M$37="REGION 3C",$M$37="REGION 4",$M$37="REGION 4B",$M$37="REGION 4C",$M$37="REGION 5",$M$37="REGION 5A")),((0.059228/(B147/100))-(0.4980013/(SQRT(B147/100)))+2.137988),HLOOKUP(MONTH(A147),ScalarTable,28))))</f>
        <v> </v>
      </c>
      <c r="D147" s="398" t="str">
        <f aca="false">IF(A147="N/A"," ",C147*B147)</f>
        <v> </v>
      </c>
      <c r="E147" s="396" t="str">
        <f aca="false">IF(A147="N/A"," ",IF(ISERROR(O147),E135*Pwresc,O147)*VLOOKUP(MONTH(A147),Curveadj,3))</f>
        <v> </v>
      </c>
      <c r="F147" s="398" t="str">
        <f aca="false">IF(A147="N/A"," ",E147*C147)</f>
        <v> </v>
      </c>
      <c r="G147" s="396" t="str">
        <f aca="false">IF(A147="N/A"," ",IF(ISERROR(P147),G135*Pwresc,P147)*VLOOKUP(MONTH(A147),Curveadj,3))</f>
        <v> </v>
      </c>
      <c r="H147" s="398" t="str">
        <f aca="false">IF(A147="N/A"," ",G147*C147)</f>
        <v> </v>
      </c>
      <c r="I147" s="398" t="str">
        <f aca="false">IF(A147="N/A"," ",IF(ISERROR(Q147),I135*Pwresc,Q147))</f>
        <v> </v>
      </c>
      <c r="J147" s="398" t="str">
        <f aca="false">IF(A147="N/A"," ",Inputs!$G$4)</f>
        <v> </v>
      </c>
      <c r="K147" s="399" t="str">
        <f aca="false">IF(A147="N/A"," ",IF(ISERROR(#REF!),K135*Gasesc,#REF!))</f>
        <v> </v>
      </c>
      <c r="L147" s="399" t="str">
        <f aca="false">IF(A147="N/A"," ",IF(ISERROR(#REF!),L135*Gasesc,IF(#REF!=0,L135*Gasesc,#REF!)))</f>
        <v> </v>
      </c>
      <c r="M147" s="404"/>
      <c r="N147" s="401" t="str">
        <f aca="false">IF(A147="N/A"," ",VLOOKUP(A147,PeakPowerCurves,(IF(BMO1=2,3,IF(BMO1=1,2,4))),FALSE()))</f>
        <v> </v>
      </c>
      <c r="O147" s="401" t="str">
        <f aca="false">IF(A147="N/A"," ",VLOOKUP(A147,SatSunPeakPwr,(IF(BMO1=2,3,IF(BMO1=1,2,4))),FALSE()))</f>
        <v> </v>
      </c>
      <c r="P147" s="401" t="str">
        <f aca="false">IF(A147="N/A"," ",VLOOKUP(A147,SatSunPeakPwr,(IF(BMO1=2,7,IF(BMO1=1,6,8))),FALSE()))</f>
        <v> </v>
      </c>
      <c r="Q147" s="402" t="str">
        <f aca="false">IF(A147="N/A"," ",(VLOOKUP(A147,OPPowerPrices,(IF(BMO1=2,7,IF(BMO1=1,6,8))),FALSE())))</f>
        <v> </v>
      </c>
      <c r="R147" s="403" t="str">
        <f aca="false">IF(A147="N/A"," ",(VLOOKUP($A147,IRTable,2)))</f>
        <v> </v>
      </c>
      <c r="AF147" s="352" t="n">
        <v>40909</v>
      </c>
      <c r="AG147" s="311" t="n">
        <v>21</v>
      </c>
      <c r="AH147" s="311" t="n">
        <v>4</v>
      </c>
      <c r="AI147" s="311" t="n">
        <v>6</v>
      </c>
      <c r="AJ147" s="311" t="n">
        <v>1</v>
      </c>
      <c r="AK147" s="311" t="n">
        <v>31</v>
      </c>
      <c r="AU147" s="406"/>
    </row>
    <row r="148" customFormat="false" ht="12.75" hidden="false" customHeight="false" outlineLevel="0" collapsed="false">
      <c r="A148" s="405" t="str">
        <f aca="false">Option1!A115</f>
        <v>N/A</v>
      </c>
      <c r="B148" s="396" t="str">
        <f aca="false">IF(A148="N/A"," ",IF(ISERROR(N148),B136*Pwresc,N148)*VLOOKUP(MONTH(A148),Curveadj,3))</f>
        <v> </v>
      </c>
      <c r="C148" s="397" t="str">
        <f aca="false">IF(A148="N/A"," ",(IF(AND(Scaler1=1,MONTH(A148)&gt;=6,MONTH(A148)&lt;=8,OR($M$37="REGION 2",$M$37="REGION 2A",$M$37="REGION 2B",$M$37="REGION 3",$M$37="REGION 3A",$M$37="REGION 3B",$M$37="REGION 3C",$M$37="REGION 4",$M$37="REGION 4B",$M$37="REGION 4C",$M$37="REGION 5",$M$37="REGION 5A")),((0.059228/(B148/100))-(0.4980013/(SQRT(B148/100)))+2.137988),HLOOKUP(MONTH(A148),ScalarTable,28))))</f>
        <v> </v>
      </c>
      <c r="D148" s="398" t="str">
        <f aca="false">IF(A148="N/A"," ",C148*B148)</f>
        <v> </v>
      </c>
      <c r="E148" s="396" t="str">
        <f aca="false">IF(A148="N/A"," ",IF(ISERROR(O148),E136*Pwresc,O148)*VLOOKUP(MONTH(A148),Curveadj,3))</f>
        <v> </v>
      </c>
      <c r="F148" s="398" t="str">
        <f aca="false">IF(A148="N/A"," ",E148*C148)</f>
        <v> </v>
      </c>
      <c r="G148" s="396" t="str">
        <f aca="false">IF(A148="N/A"," ",IF(ISERROR(P148),G136*Pwresc,P148)*VLOOKUP(MONTH(A148),Curveadj,3))</f>
        <v> </v>
      </c>
      <c r="H148" s="398" t="str">
        <f aca="false">IF(A148="N/A"," ",G148*C148)</f>
        <v> </v>
      </c>
      <c r="I148" s="398" t="str">
        <f aca="false">IF(A148="N/A"," ",IF(ISERROR(Q148),I136*Pwresc,Q148))</f>
        <v> </v>
      </c>
      <c r="J148" s="398" t="str">
        <f aca="false">IF(A148="N/A"," ",Inputs!$G$4)</f>
        <v> </v>
      </c>
      <c r="K148" s="399" t="str">
        <f aca="false">IF(A148="N/A"," ",IF(ISERROR(#REF!),K136*Gasesc,#REF!))</f>
        <v> </v>
      </c>
      <c r="L148" s="399" t="str">
        <f aca="false">IF(A148="N/A"," ",IF(ISERROR(#REF!),L136*Gasesc,IF(#REF!=0,L136*Gasesc,#REF!)))</f>
        <v> </v>
      </c>
      <c r="M148" s="404"/>
      <c r="N148" s="401" t="str">
        <f aca="false">IF(A148="N/A"," ",VLOOKUP(A148,PeakPowerCurves,(IF(BMO1=2,3,IF(BMO1=1,2,4))),FALSE()))</f>
        <v> </v>
      </c>
      <c r="O148" s="401" t="str">
        <f aca="false">IF(A148="N/A"," ",VLOOKUP(A148,SatSunPeakPwr,(IF(BMO1=2,3,IF(BMO1=1,2,4))),FALSE()))</f>
        <v> </v>
      </c>
      <c r="P148" s="401" t="str">
        <f aca="false">IF(A148="N/A"," ",VLOOKUP(A148,SatSunPeakPwr,(IF(BMO1=2,7,IF(BMO1=1,6,8))),FALSE()))</f>
        <v> </v>
      </c>
      <c r="Q148" s="402" t="str">
        <f aca="false">IF(A148="N/A"," ",(VLOOKUP(A148,OPPowerPrices,(IF(BMO1=2,7,IF(BMO1=1,6,8))),FALSE())))</f>
        <v> </v>
      </c>
      <c r="R148" s="403" t="str">
        <f aca="false">IF(A148="N/A"," ",(VLOOKUP($A148,IRTable,2)))</f>
        <v> </v>
      </c>
      <c r="AF148" s="352" t="n">
        <v>40940</v>
      </c>
      <c r="AG148" s="311" t="n">
        <v>21</v>
      </c>
      <c r="AH148" s="311" t="n">
        <v>4</v>
      </c>
      <c r="AI148" s="311" t="n">
        <v>4</v>
      </c>
      <c r="AJ148" s="311" t="n">
        <v>0</v>
      </c>
      <c r="AK148" s="311" t="n">
        <v>29</v>
      </c>
      <c r="AU148" s="406"/>
    </row>
    <row r="149" customFormat="false" ht="12.75" hidden="false" customHeight="false" outlineLevel="0" collapsed="false">
      <c r="A149" s="405" t="str">
        <f aca="false">Option1!A116</f>
        <v>N/A</v>
      </c>
      <c r="B149" s="396" t="str">
        <f aca="false">IF(A149="N/A"," ",IF(ISERROR(N149),B137*Pwresc,N149)*VLOOKUP(MONTH(A149),Curveadj,3))</f>
        <v> </v>
      </c>
      <c r="C149" s="397" t="str">
        <f aca="false">IF(A149="N/A"," ",(IF(AND(Scaler1=1,MONTH(A149)&gt;=6,MONTH(A149)&lt;=8,OR($M$37="REGION 2",$M$37="REGION 2A",$M$37="REGION 2B",$M$37="REGION 3",$M$37="REGION 3A",$M$37="REGION 3B",$M$37="REGION 3C",$M$37="REGION 4",$M$37="REGION 4B",$M$37="REGION 4C",$M$37="REGION 5",$M$37="REGION 5A")),((0.059228/(B149/100))-(0.4980013/(SQRT(B149/100)))+2.137988),HLOOKUP(MONTH(A149),ScalarTable,28))))</f>
        <v> </v>
      </c>
      <c r="D149" s="398" t="str">
        <f aca="false">IF(A149="N/A"," ",C149*B149)</f>
        <v> </v>
      </c>
      <c r="E149" s="396" t="str">
        <f aca="false">IF(A149="N/A"," ",IF(ISERROR(O149),E137*Pwresc,O149)*VLOOKUP(MONTH(A149),Curveadj,3))</f>
        <v> </v>
      </c>
      <c r="F149" s="398" t="str">
        <f aca="false">IF(A149="N/A"," ",E149*C149)</f>
        <v> </v>
      </c>
      <c r="G149" s="396" t="str">
        <f aca="false">IF(A149="N/A"," ",IF(ISERROR(P149),G137*Pwresc,P149)*VLOOKUP(MONTH(A149),Curveadj,3))</f>
        <v> </v>
      </c>
      <c r="H149" s="398" t="str">
        <f aca="false">IF(A149="N/A"," ",G149*C149)</f>
        <v> </v>
      </c>
      <c r="I149" s="398" t="str">
        <f aca="false">IF(A149="N/A"," ",IF(ISERROR(Q149),I137*Pwresc,Q149))</f>
        <v> </v>
      </c>
      <c r="J149" s="398" t="str">
        <f aca="false">IF(A149="N/A"," ",Inputs!$G$4)</f>
        <v> </v>
      </c>
      <c r="K149" s="399" t="str">
        <f aca="false">IF(A149="N/A"," ",IF(ISERROR(#REF!),K137*Gasesc,#REF!))</f>
        <v> </v>
      </c>
      <c r="L149" s="399" t="str">
        <f aca="false">IF(A149="N/A"," ",IF(ISERROR(#REF!),L137*Gasesc,IF(#REF!=0,L137*Gasesc,#REF!)))</f>
        <v> </v>
      </c>
      <c r="M149" s="404"/>
      <c r="N149" s="401" t="str">
        <f aca="false">IF(A149="N/A"," ",VLOOKUP(A149,PeakPowerCurves,(IF(BMO1=2,3,IF(BMO1=1,2,4))),FALSE()))</f>
        <v> </v>
      </c>
      <c r="O149" s="401" t="str">
        <f aca="false">IF(A149="N/A"," ",VLOOKUP(A149,SatSunPeakPwr,(IF(BMO1=2,3,IF(BMO1=1,2,4))),FALSE()))</f>
        <v> </v>
      </c>
      <c r="P149" s="401" t="str">
        <f aca="false">IF(A149="N/A"," ",VLOOKUP(A149,SatSunPeakPwr,(IF(BMO1=2,7,IF(BMO1=1,6,8))),FALSE()))</f>
        <v> </v>
      </c>
      <c r="Q149" s="402" t="str">
        <f aca="false">IF(A149="N/A"," ",(VLOOKUP(A149,OPPowerPrices,(IF(BMO1=2,7,IF(BMO1=1,6,8))),FALSE())))</f>
        <v> </v>
      </c>
      <c r="R149" s="403" t="str">
        <f aca="false">IF(A149="N/A"," ",(VLOOKUP($A149,IRTable,2)))</f>
        <v> </v>
      </c>
      <c r="AF149" s="352" t="n">
        <v>40969</v>
      </c>
      <c r="AG149" s="311" t="n">
        <v>22</v>
      </c>
      <c r="AH149" s="311" t="n">
        <v>5</v>
      </c>
      <c r="AI149" s="311" t="n">
        <v>4</v>
      </c>
      <c r="AJ149" s="311" t="n">
        <v>0</v>
      </c>
      <c r="AK149" s="311" t="n">
        <v>31</v>
      </c>
      <c r="AU149" s="406"/>
    </row>
    <row r="150" customFormat="false" ht="12.75" hidden="false" customHeight="false" outlineLevel="0" collapsed="false">
      <c r="A150" s="405" t="str">
        <f aca="false">Option1!A117</f>
        <v>N/A</v>
      </c>
      <c r="B150" s="396" t="str">
        <f aca="false">IF(A150="N/A"," ",IF(ISERROR(N150),B138*Pwresc,N150)*VLOOKUP(MONTH(A150),Curveadj,3))</f>
        <v> </v>
      </c>
      <c r="C150" s="397" t="str">
        <f aca="false">IF(A150="N/A"," ",(IF(AND(Scaler1=1,MONTH(A150)&gt;=6,MONTH(A150)&lt;=8,OR($M$37="REGION 2",$M$37="REGION 2A",$M$37="REGION 2B",$M$37="REGION 3",$M$37="REGION 3A",$M$37="REGION 3B",$M$37="REGION 3C",$M$37="REGION 4",$M$37="REGION 4B",$M$37="REGION 4C",$M$37="REGION 5",$M$37="REGION 5A")),((0.059228/(B150/100))-(0.4980013/(SQRT(B150/100)))+2.137988),HLOOKUP(MONTH(A150),ScalarTable,28))))</f>
        <v> </v>
      </c>
      <c r="D150" s="398" t="str">
        <f aca="false">IF(A150="N/A"," ",C150*B150)</f>
        <v> </v>
      </c>
      <c r="E150" s="396" t="str">
        <f aca="false">IF(A150="N/A"," ",IF(ISERROR(O150),E138*Pwresc,O150)*VLOOKUP(MONTH(A150),Curveadj,3))</f>
        <v> </v>
      </c>
      <c r="F150" s="398" t="str">
        <f aca="false">IF(A150="N/A"," ",E150*C150)</f>
        <v> </v>
      </c>
      <c r="G150" s="396" t="str">
        <f aca="false">IF(A150="N/A"," ",IF(ISERROR(P150),G138*Pwresc,P150)*VLOOKUP(MONTH(A150),Curveadj,3))</f>
        <v> </v>
      </c>
      <c r="H150" s="398" t="str">
        <f aca="false">IF(A150="N/A"," ",G150*C150)</f>
        <v> </v>
      </c>
      <c r="I150" s="398" t="str">
        <f aca="false">IF(A150="N/A"," ",IF(ISERROR(Q150),I138*Pwresc,Q150))</f>
        <v> </v>
      </c>
      <c r="J150" s="398" t="str">
        <f aca="false">IF(A150="N/A"," ",Inputs!$G$4)</f>
        <v> </v>
      </c>
      <c r="K150" s="399" t="str">
        <f aca="false">IF(A150="N/A"," ",IF(ISERROR(#REF!),K138*Gasesc,#REF!))</f>
        <v> </v>
      </c>
      <c r="L150" s="399" t="str">
        <f aca="false">IF(A150="N/A"," ",IF(ISERROR(#REF!),L138*Gasesc,IF(#REF!=0,L138*Gasesc,#REF!)))</f>
        <v> </v>
      </c>
      <c r="M150" s="404"/>
      <c r="N150" s="401" t="str">
        <f aca="false">IF(A150="N/A"," ",VLOOKUP(A150,PeakPowerCurves,(IF(BMO1=2,3,IF(BMO1=1,2,4))),FALSE()))</f>
        <v> </v>
      </c>
      <c r="O150" s="401" t="str">
        <f aca="false">IF(A150="N/A"," ",VLOOKUP(A150,SatSunPeakPwr,(IF(BMO1=2,3,IF(BMO1=1,2,4))),FALSE()))</f>
        <v> </v>
      </c>
      <c r="P150" s="401" t="str">
        <f aca="false">IF(A150="N/A"," ",VLOOKUP(A150,SatSunPeakPwr,(IF(BMO1=2,7,IF(BMO1=1,6,8))),FALSE()))</f>
        <v> </v>
      </c>
      <c r="Q150" s="402" t="str">
        <f aca="false">IF(A150="N/A"," ",(VLOOKUP(A150,OPPowerPrices,(IF(BMO1=2,7,IF(BMO1=1,6,8))),FALSE())))</f>
        <v> </v>
      </c>
      <c r="R150" s="403" t="str">
        <f aca="false">IF(A150="N/A"," ",(VLOOKUP($A150,IRTable,2)))</f>
        <v> </v>
      </c>
      <c r="AF150" s="352" t="n">
        <v>41000</v>
      </c>
      <c r="AG150" s="311" t="n">
        <v>21</v>
      </c>
      <c r="AH150" s="311" t="n">
        <v>4</v>
      </c>
      <c r="AI150" s="311" t="n">
        <v>5</v>
      </c>
      <c r="AJ150" s="311" t="n">
        <v>0</v>
      </c>
      <c r="AK150" s="311" t="n">
        <v>30</v>
      </c>
      <c r="AU150" s="406"/>
    </row>
    <row r="151" customFormat="false" ht="12.75" hidden="false" customHeight="false" outlineLevel="0" collapsed="false">
      <c r="A151" s="405" t="str">
        <f aca="false">Option1!A118</f>
        <v>N/A</v>
      </c>
      <c r="B151" s="396" t="str">
        <f aca="false">IF(A151="N/A"," ",IF(ISERROR(N151),B139*Pwresc,N151)*VLOOKUP(MONTH(A151),Curveadj,3))</f>
        <v> </v>
      </c>
      <c r="C151" s="397" t="str">
        <f aca="false">IF(A151="N/A"," ",(IF(AND(Scaler1=1,MONTH(A151)&gt;=6,MONTH(A151)&lt;=8,OR($M$37="REGION 2",$M$37="REGION 2A",$M$37="REGION 2B",$M$37="REGION 3",$M$37="REGION 3A",$M$37="REGION 3B",$M$37="REGION 3C",$M$37="REGION 4",$M$37="REGION 4B",$M$37="REGION 4C",$M$37="REGION 5",$M$37="REGION 5A")),((0.059228/(B151/100))-(0.4980013/(SQRT(B151/100)))+2.137988),HLOOKUP(MONTH(A151),ScalarTable,28))))</f>
        <v> </v>
      </c>
      <c r="D151" s="398" t="str">
        <f aca="false">IF(A151="N/A"," ",C151*B151)</f>
        <v> </v>
      </c>
      <c r="E151" s="396" t="str">
        <f aca="false">IF(A151="N/A"," ",IF(ISERROR(O151),E139*Pwresc,O151)*VLOOKUP(MONTH(A151),Curveadj,3))</f>
        <v> </v>
      </c>
      <c r="F151" s="398" t="str">
        <f aca="false">IF(A151="N/A"," ",E151*C151)</f>
        <v> </v>
      </c>
      <c r="G151" s="396" t="str">
        <f aca="false">IF(A151="N/A"," ",IF(ISERROR(P151),G139*Pwresc,P151)*VLOOKUP(MONTH(A151),Curveadj,3))</f>
        <v> </v>
      </c>
      <c r="H151" s="398" t="str">
        <f aca="false">IF(A151="N/A"," ",G151*C151)</f>
        <v> </v>
      </c>
      <c r="I151" s="398" t="str">
        <f aca="false">IF(A151="N/A"," ",IF(ISERROR(Q151),I139*Pwresc,Q151))</f>
        <v> </v>
      </c>
      <c r="J151" s="398" t="str">
        <f aca="false">IF(A151="N/A"," ",Inputs!$G$4)</f>
        <v> </v>
      </c>
      <c r="K151" s="399" t="str">
        <f aca="false">IF(A151="N/A"," ",IF(ISERROR(#REF!),K139*Gasesc,#REF!))</f>
        <v> </v>
      </c>
      <c r="L151" s="399" t="str">
        <f aca="false">IF(A151="N/A"," ",IF(ISERROR(#REF!),L139*Gasesc,IF(#REF!=0,L139*Gasesc,#REF!)))</f>
        <v> </v>
      </c>
      <c r="M151" s="404"/>
      <c r="N151" s="401" t="str">
        <f aca="false">IF(A151="N/A"," ",VLOOKUP(A151,PeakPowerCurves,(IF(BMO1=2,3,IF(BMO1=1,2,4))),FALSE()))</f>
        <v> </v>
      </c>
      <c r="O151" s="401" t="str">
        <f aca="false">IF(A151="N/A"," ",VLOOKUP(A151,SatSunPeakPwr,(IF(BMO1=2,3,IF(BMO1=1,2,4))),FALSE()))</f>
        <v> </v>
      </c>
      <c r="P151" s="401" t="str">
        <f aca="false">IF(A151="N/A"," ",VLOOKUP(A151,SatSunPeakPwr,(IF(BMO1=2,7,IF(BMO1=1,6,8))),FALSE()))</f>
        <v> </v>
      </c>
      <c r="Q151" s="402" t="str">
        <f aca="false">IF(A151="N/A"," ",(VLOOKUP(A151,OPPowerPrices,(IF(BMO1=2,7,IF(BMO1=1,6,8))),FALSE())))</f>
        <v> </v>
      </c>
      <c r="R151" s="403" t="str">
        <f aca="false">IF(A151="N/A"," ",(VLOOKUP($A151,IRTable,2)))</f>
        <v> </v>
      </c>
      <c r="AF151" s="352" t="n">
        <v>41030</v>
      </c>
      <c r="AG151" s="311" t="n">
        <v>22</v>
      </c>
      <c r="AH151" s="311" t="n">
        <v>4</v>
      </c>
      <c r="AI151" s="311" t="n">
        <v>5</v>
      </c>
      <c r="AJ151" s="311" t="n">
        <v>1</v>
      </c>
      <c r="AK151" s="311" t="n">
        <v>31</v>
      </c>
      <c r="AU151" s="406"/>
    </row>
    <row r="152" customFormat="false" ht="12.75" hidden="false" customHeight="false" outlineLevel="0" collapsed="false">
      <c r="A152" s="405" t="str">
        <f aca="false">Option1!A119</f>
        <v>N/A</v>
      </c>
      <c r="B152" s="396" t="str">
        <f aca="false">IF(A152="N/A"," ",IF(ISERROR(N152),B140*Pwresc,N152)*VLOOKUP(MONTH(A152),Curveadj,3))</f>
        <v> </v>
      </c>
      <c r="C152" s="397" t="str">
        <f aca="false">IF(A152="N/A"," ",(IF(AND(Scaler1=1,MONTH(A152)&gt;=6,MONTH(A152)&lt;=8,OR($M$37="REGION 2",$M$37="REGION 2A",$M$37="REGION 2B",$M$37="REGION 3",$M$37="REGION 3A",$M$37="REGION 3B",$M$37="REGION 3C",$M$37="REGION 4",$M$37="REGION 4B",$M$37="REGION 4C",$M$37="REGION 5",$M$37="REGION 5A")),((0.059228/(B152/100))-(0.4980013/(SQRT(B152/100)))+2.137988),HLOOKUP(MONTH(A152),ScalarTable,28))))</f>
        <v> </v>
      </c>
      <c r="D152" s="398" t="str">
        <f aca="false">IF(A152="N/A"," ",C152*B152)</f>
        <v> </v>
      </c>
      <c r="E152" s="396" t="str">
        <f aca="false">IF(A152="N/A"," ",IF(ISERROR(O152),E140*Pwresc,O152)*VLOOKUP(MONTH(A152),Curveadj,3))</f>
        <v> </v>
      </c>
      <c r="F152" s="398" t="str">
        <f aca="false">IF(A152="N/A"," ",E152*C152)</f>
        <v> </v>
      </c>
      <c r="G152" s="396" t="str">
        <f aca="false">IF(A152="N/A"," ",IF(ISERROR(P152),G140*Pwresc,P152)*VLOOKUP(MONTH(A152),Curveadj,3))</f>
        <v> </v>
      </c>
      <c r="H152" s="398" t="str">
        <f aca="false">IF(A152="N/A"," ",G152*C152)</f>
        <v> </v>
      </c>
      <c r="I152" s="398" t="str">
        <f aca="false">IF(A152="N/A"," ",IF(ISERROR(Q152),I140*Pwresc,Q152))</f>
        <v> </v>
      </c>
      <c r="J152" s="398" t="str">
        <f aca="false">IF(A152="N/A"," ",Inputs!$G$4)</f>
        <v> </v>
      </c>
      <c r="K152" s="399" t="str">
        <f aca="false">IF(A152="N/A"," ",IF(ISERROR(#REF!),K140*Gasesc,#REF!))</f>
        <v> </v>
      </c>
      <c r="L152" s="399" t="str">
        <f aca="false">IF(A152="N/A"," ",IF(ISERROR(#REF!),L140*Gasesc,IF(#REF!=0,L140*Gasesc,#REF!)))</f>
        <v> </v>
      </c>
      <c r="M152" s="404"/>
      <c r="N152" s="401" t="str">
        <f aca="false">IF(A152="N/A"," ",VLOOKUP(A152,PeakPowerCurves,(IF(BMO1=2,3,IF(BMO1=1,2,4))),FALSE()))</f>
        <v> </v>
      </c>
      <c r="O152" s="401" t="str">
        <f aca="false">IF(A152="N/A"," ",VLOOKUP(A152,SatSunPeakPwr,(IF(BMO1=2,3,IF(BMO1=1,2,4))),FALSE()))</f>
        <v> </v>
      </c>
      <c r="P152" s="401" t="str">
        <f aca="false">IF(A152="N/A"," ",VLOOKUP(A152,SatSunPeakPwr,(IF(BMO1=2,7,IF(BMO1=1,6,8))),FALSE()))</f>
        <v> </v>
      </c>
      <c r="Q152" s="402" t="str">
        <f aca="false">IF(A152="N/A"," ",(VLOOKUP(A152,OPPowerPrices,(IF(BMO1=2,7,IF(BMO1=1,6,8))),FALSE())))</f>
        <v> </v>
      </c>
      <c r="R152" s="403" t="str">
        <f aca="false">IF(A152="N/A"," ",(VLOOKUP($A152,IRTable,2)))</f>
        <v> </v>
      </c>
      <c r="AF152" s="352" t="n">
        <v>41061</v>
      </c>
      <c r="AG152" s="311" t="n">
        <v>21</v>
      </c>
      <c r="AH152" s="311" t="n">
        <v>5</v>
      </c>
      <c r="AI152" s="311" t="n">
        <v>4</v>
      </c>
      <c r="AJ152" s="311" t="n">
        <v>0</v>
      </c>
      <c r="AK152" s="311" t="n">
        <v>30</v>
      </c>
      <c r="AU152" s="406"/>
    </row>
    <row r="153" customFormat="false" ht="12.75" hidden="false" customHeight="false" outlineLevel="0" collapsed="false">
      <c r="A153" s="405" t="str">
        <f aca="false">Option1!A120</f>
        <v>N/A</v>
      </c>
      <c r="B153" s="396" t="str">
        <f aca="false">IF(A153="N/A"," ",IF(ISERROR(N153),B141*Pwresc,N153)*VLOOKUP(MONTH(A153),Curveadj,3))</f>
        <v> </v>
      </c>
      <c r="C153" s="397" t="str">
        <f aca="false">IF(A153="N/A"," ",(IF(AND(Scaler1=1,MONTH(A153)&gt;=6,MONTH(A153)&lt;=8,OR($M$37="REGION 2",$M$37="REGION 2A",$M$37="REGION 2B",$M$37="REGION 3",$M$37="REGION 3A",$M$37="REGION 3B",$M$37="REGION 3C",$M$37="REGION 4",$M$37="REGION 4B",$M$37="REGION 4C",$M$37="REGION 5",$M$37="REGION 5A")),((0.059228/(B153/100))-(0.4980013/(SQRT(B153/100)))+2.137988),HLOOKUP(MONTH(A153),ScalarTable,28))))</f>
        <v> </v>
      </c>
      <c r="D153" s="398" t="str">
        <f aca="false">IF(A153="N/A"," ",C153*B153)</f>
        <v> </v>
      </c>
      <c r="E153" s="396" t="str">
        <f aca="false">IF(A153="N/A"," ",IF(ISERROR(O153),E141*Pwresc,O153)*VLOOKUP(MONTH(A153),Curveadj,3))</f>
        <v> </v>
      </c>
      <c r="F153" s="398" t="str">
        <f aca="false">IF(A153="N/A"," ",E153*C153)</f>
        <v> </v>
      </c>
      <c r="G153" s="396" t="str">
        <f aca="false">IF(A153="N/A"," ",IF(ISERROR(P153),G141*Pwresc,P153)*VLOOKUP(MONTH(A153),Curveadj,3))</f>
        <v> </v>
      </c>
      <c r="H153" s="398" t="str">
        <f aca="false">IF(A153="N/A"," ",G153*C153)</f>
        <v> </v>
      </c>
      <c r="I153" s="398" t="str">
        <f aca="false">IF(A153="N/A"," ",IF(ISERROR(Q153),I141*Pwresc,Q153))</f>
        <v> </v>
      </c>
      <c r="J153" s="398" t="str">
        <f aca="false">IF(A153="N/A"," ",Inputs!$G$4)</f>
        <v> </v>
      </c>
      <c r="K153" s="399" t="str">
        <f aca="false">IF(A153="N/A"," ",IF(ISERROR(#REF!),K141*Gasesc,#REF!))</f>
        <v> </v>
      </c>
      <c r="L153" s="399" t="str">
        <f aca="false">IF(A153="N/A"," ",IF(ISERROR(#REF!),L141*Gasesc,IF(#REF!=0,L141*Gasesc,#REF!)))</f>
        <v> </v>
      </c>
      <c r="M153" s="404"/>
      <c r="N153" s="401" t="str">
        <f aca="false">IF(A153="N/A"," ",VLOOKUP(A153,PeakPowerCurves,(IF(BMO1=2,3,IF(BMO1=1,2,4))),FALSE()))</f>
        <v> </v>
      </c>
      <c r="O153" s="401" t="str">
        <f aca="false">IF(A153="N/A"," ",VLOOKUP(A153,SatSunPeakPwr,(IF(BMO1=2,3,IF(BMO1=1,2,4))),FALSE()))</f>
        <v> </v>
      </c>
      <c r="P153" s="401" t="str">
        <f aca="false">IF(A153="N/A"," ",VLOOKUP(A153,SatSunPeakPwr,(IF(BMO1=2,7,IF(BMO1=1,6,8))),FALSE()))</f>
        <v> </v>
      </c>
      <c r="Q153" s="402" t="str">
        <f aca="false">IF(A153="N/A"," ",(VLOOKUP(A153,OPPowerPrices,(IF(BMO1=2,7,IF(BMO1=1,6,8))),FALSE())))</f>
        <v> </v>
      </c>
      <c r="R153" s="403" t="str">
        <f aca="false">IF(A153="N/A"," ",(VLOOKUP($A153,IRTable,2)))</f>
        <v> </v>
      </c>
      <c r="AF153" s="352" t="n">
        <v>41091</v>
      </c>
      <c r="AG153" s="311" t="n">
        <v>21</v>
      </c>
      <c r="AH153" s="311" t="n">
        <v>4</v>
      </c>
      <c r="AI153" s="311" t="n">
        <v>6</v>
      </c>
      <c r="AJ153" s="311" t="n">
        <v>1</v>
      </c>
      <c r="AK153" s="311" t="n">
        <v>31</v>
      </c>
      <c r="AU153" s="406"/>
    </row>
    <row r="154" customFormat="false" ht="12.75" hidden="false" customHeight="false" outlineLevel="0" collapsed="false">
      <c r="A154" s="405" t="str">
        <f aca="false">Option1!A121</f>
        <v>N/A</v>
      </c>
      <c r="B154" s="396" t="str">
        <f aca="false">IF(A154="N/A"," ",IF(ISERROR(N154),B142*Pwresc,N154)*VLOOKUP(MONTH(A154),Curveadj,3))</f>
        <v> </v>
      </c>
      <c r="C154" s="397" t="str">
        <f aca="false">IF(A154="N/A"," ",(IF(AND(Scaler1=1,MONTH(A154)&gt;=6,MONTH(A154)&lt;=8,OR($M$37="REGION 2",$M$37="REGION 2A",$M$37="REGION 2B",$M$37="REGION 3",$M$37="REGION 3A",$M$37="REGION 3B",$M$37="REGION 3C",$M$37="REGION 4",$M$37="REGION 4B",$M$37="REGION 4C",$M$37="REGION 5",$M$37="REGION 5A")),((0.059228/(B154/100))-(0.4980013/(SQRT(B154/100)))+2.137988),HLOOKUP(MONTH(A154),ScalarTable,28))))</f>
        <v> </v>
      </c>
      <c r="D154" s="398" t="str">
        <f aca="false">IF(A154="N/A"," ",C154*B154)</f>
        <v> </v>
      </c>
      <c r="E154" s="396" t="str">
        <f aca="false">IF(A154="N/A"," ",IF(ISERROR(O154),E142*Pwresc,O154)*VLOOKUP(MONTH(A154),Curveadj,3))</f>
        <v> </v>
      </c>
      <c r="F154" s="398" t="str">
        <f aca="false">IF(A154="N/A"," ",E154*C154)</f>
        <v> </v>
      </c>
      <c r="G154" s="396" t="str">
        <f aca="false">IF(A154="N/A"," ",IF(ISERROR(P154),G142*Pwresc,P154)*VLOOKUP(MONTH(A154),Curveadj,3))</f>
        <v> </v>
      </c>
      <c r="H154" s="398" t="str">
        <f aca="false">IF(A154="N/A"," ",G154*C154)</f>
        <v> </v>
      </c>
      <c r="I154" s="398" t="str">
        <f aca="false">IF(A154="N/A"," ",IF(ISERROR(Q154),I142*Pwresc,Q154))</f>
        <v> </v>
      </c>
      <c r="J154" s="398" t="str">
        <f aca="false">IF(A154="N/A"," ",Inputs!$G$4)</f>
        <v> </v>
      </c>
      <c r="K154" s="399" t="str">
        <f aca="false">IF(A154="N/A"," ",IF(ISERROR(#REF!),K142*Gasesc,#REF!))</f>
        <v> </v>
      </c>
      <c r="L154" s="399" t="str">
        <f aca="false">IF(A154="N/A"," ",IF(ISERROR(#REF!),L142*Gasesc,IF(#REF!=0,L142*Gasesc,#REF!)))</f>
        <v> </v>
      </c>
      <c r="M154" s="404"/>
      <c r="N154" s="401" t="str">
        <f aca="false">IF(A154="N/A"," ",VLOOKUP(A154,PeakPowerCurves,(IF(BMO1=2,3,IF(BMO1=1,2,4))),FALSE()))</f>
        <v> </v>
      </c>
      <c r="O154" s="401" t="str">
        <f aca="false">IF(A154="N/A"," ",VLOOKUP(A154,SatSunPeakPwr,(IF(BMO1=2,3,IF(BMO1=1,2,4))),FALSE()))</f>
        <v> </v>
      </c>
      <c r="P154" s="401" t="str">
        <f aca="false">IF(A154="N/A"," ",VLOOKUP(A154,SatSunPeakPwr,(IF(BMO1=2,7,IF(BMO1=1,6,8))),FALSE()))</f>
        <v> </v>
      </c>
      <c r="Q154" s="402" t="str">
        <f aca="false">IF(A154="N/A"," ",(VLOOKUP(A154,OPPowerPrices,(IF(BMO1=2,7,IF(BMO1=1,6,8))),FALSE())))</f>
        <v> </v>
      </c>
      <c r="R154" s="403" t="str">
        <f aca="false">IF(A154="N/A"," ",(VLOOKUP($A154,IRTable,2)))</f>
        <v> </v>
      </c>
      <c r="AF154" s="352" t="n">
        <v>41122</v>
      </c>
      <c r="AG154" s="311" t="n">
        <v>23</v>
      </c>
      <c r="AH154" s="311" t="n">
        <v>4</v>
      </c>
      <c r="AI154" s="311" t="n">
        <v>4</v>
      </c>
      <c r="AJ154" s="311" t="n">
        <v>0</v>
      </c>
      <c r="AK154" s="311" t="n">
        <v>31</v>
      </c>
      <c r="AU154" s="406"/>
    </row>
    <row r="155" customFormat="false" ht="12.75" hidden="false" customHeight="false" outlineLevel="0" collapsed="false">
      <c r="A155" s="405" t="str">
        <f aca="false">Option1!A122</f>
        <v>N/A</v>
      </c>
      <c r="B155" s="396" t="str">
        <f aca="false">IF(A155="N/A"," ",IF(ISERROR(N155),B143*Pwresc,N155)*VLOOKUP(MONTH(A155),Curveadj,3))</f>
        <v> </v>
      </c>
      <c r="C155" s="397" t="str">
        <f aca="false">IF(A155="N/A"," ",(IF(AND(Scaler1=1,MONTH(A155)&gt;=6,MONTH(A155)&lt;=8,OR($M$37="REGION 2",$M$37="REGION 2A",$M$37="REGION 2B",$M$37="REGION 3",$M$37="REGION 3A",$M$37="REGION 3B",$M$37="REGION 3C",$M$37="REGION 4",$M$37="REGION 4B",$M$37="REGION 4C",$M$37="REGION 5",$M$37="REGION 5A")),((0.059228/(B155/100))-(0.4980013/(SQRT(B155/100)))+2.137988),HLOOKUP(MONTH(A155),ScalarTable,28))))</f>
        <v> </v>
      </c>
      <c r="D155" s="398" t="str">
        <f aca="false">IF(A155="N/A"," ",C155*B155)</f>
        <v> </v>
      </c>
      <c r="E155" s="396" t="str">
        <f aca="false">IF(A155="N/A"," ",IF(ISERROR(O155),E143*Pwresc,O155)*VLOOKUP(MONTH(A155),Curveadj,3))</f>
        <v> </v>
      </c>
      <c r="F155" s="398" t="str">
        <f aca="false">IF(A155="N/A"," ",E155*C155)</f>
        <v> </v>
      </c>
      <c r="G155" s="396" t="str">
        <f aca="false">IF(A155="N/A"," ",IF(ISERROR(P155),G143*Pwresc,P155)*VLOOKUP(MONTH(A155),Curveadj,3))</f>
        <v> </v>
      </c>
      <c r="H155" s="398" t="str">
        <f aca="false">IF(A155="N/A"," ",G155*C155)</f>
        <v> </v>
      </c>
      <c r="I155" s="398" t="str">
        <f aca="false">IF(A155="N/A"," ",IF(ISERROR(Q155),I143*Pwresc,Q155))</f>
        <v> </v>
      </c>
      <c r="J155" s="398" t="str">
        <f aca="false">IF(A155="N/A"," ",Inputs!$G$4)</f>
        <v> </v>
      </c>
      <c r="K155" s="399" t="str">
        <f aca="false">IF(A155="N/A"," ",IF(ISERROR(#REF!),K143*Gasesc,#REF!))</f>
        <v> </v>
      </c>
      <c r="L155" s="399" t="str">
        <f aca="false">IF(A155="N/A"," ",IF(ISERROR(#REF!),L143*Gasesc,IF(#REF!=0,L143*Gasesc,#REF!)))</f>
        <v> </v>
      </c>
      <c r="M155" s="404"/>
      <c r="N155" s="401" t="str">
        <f aca="false">IF(A155="N/A"," ",VLOOKUP(A155,PeakPowerCurves,(IF(BMO1=2,3,IF(BMO1=1,2,4))),FALSE()))</f>
        <v> </v>
      </c>
      <c r="O155" s="401" t="str">
        <f aca="false">IF(A155="N/A"," ",VLOOKUP(A155,SatSunPeakPwr,(IF(BMO1=2,3,IF(BMO1=1,2,4))),FALSE()))</f>
        <v> </v>
      </c>
      <c r="P155" s="401" t="str">
        <f aca="false">IF(A155="N/A"," ",VLOOKUP(A155,SatSunPeakPwr,(IF(BMO1=2,7,IF(BMO1=1,6,8))),FALSE()))</f>
        <v> </v>
      </c>
      <c r="Q155" s="402" t="str">
        <f aca="false">IF(A155="N/A"," ",(VLOOKUP(A155,OPPowerPrices,(IF(BMO1=2,7,IF(BMO1=1,6,8))),FALSE())))</f>
        <v> </v>
      </c>
      <c r="R155" s="403" t="str">
        <f aca="false">IF(A155="N/A"," ",(VLOOKUP($A155,IRTable,2)))</f>
        <v> </v>
      </c>
      <c r="AF155" s="352" t="n">
        <v>41153</v>
      </c>
      <c r="AG155" s="311" t="n">
        <v>19</v>
      </c>
      <c r="AH155" s="311" t="n">
        <v>5</v>
      </c>
      <c r="AI155" s="311" t="n">
        <v>6</v>
      </c>
      <c r="AJ155" s="311" t="n">
        <v>1</v>
      </c>
      <c r="AK155" s="311" t="n">
        <v>30</v>
      </c>
      <c r="AU155" s="406"/>
    </row>
    <row r="156" customFormat="false" ht="12.75" hidden="false" customHeight="false" outlineLevel="0" collapsed="false">
      <c r="A156" s="405" t="str">
        <f aca="false">Option1!A123</f>
        <v>N/A</v>
      </c>
      <c r="B156" s="396" t="str">
        <f aca="false">IF(A156="N/A"," ",IF(ISERROR(N156),B144*Pwresc,N156)*VLOOKUP(MONTH(A156),Curveadj,3))</f>
        <v> </v>
      </c>
      <c r="C156" s="397" t="str">
        <f aca="false">IF(A156="N/A"," ",(IF(AND(Scaler1=1,MONTH(A156)&gt;=6,MONTH(A156)&lt;=8,OR($M$37="REGION 2",$M$37="REGION 2A",$M$37="REGION 2B",$M$37="REGION 3",$M$37="REGION 3A",$M$37="REGION 3B",$M$37="REGION 3C",$M$37="REGION 4",$M$37="REGION 4B",$M$37="REGION 4C",$M$37="REGION 5",$M$37="REGION 5A")),((0.059228/(B156/100))-(0.4980013/(SQRT(B156/100)))+2.137988),HLOOKUP(MONTH(A156),ScalarTable,28))))</f>
        <v> </v>
      </c>
      <c r="D156" s="398" t="str">
        <f aca="false">IF(A156="N/A"," ",C156*B156)</f>
        <v> </v>
      </c>
      <c r="E156" s="396" t="str">
        <f aca="false">IF(A156="N/A"," ",IF(ISERROR(O156),E144*Pwresc,O156)*VLOOKUP(MONTH(A156),Curveadj,3))</f>
        <v> </v>
      </c>
      <c r="F156" s="398" t="str">
        <f aca="false">IF(A156="N/A"," ",E156*C156)</f>
        <v> </v>
      </c>
      <c r="G156" s="396" t="str">
        <f aca="false">IF(A156="N/A"," ",IF(ISERROR(P156),G144*Pwresc,P156)*VLOOKUP(MONTH(A156),Curveadj,3))</f>
        <v> </v>
      </c>
      <c r="H156" s="398" t="str">
        <f aca="false">IF(A156="N/A"," ",G156*C156)</f>
        <v> </v>
      </c>
      <c r="I156" s="398" t="str">
        <f aca="false">IF(A156="N/A"," ",IF(ISERROR(Q156),I144*Pwresc,Q156))</f>
        <v> </v>
      </c>
      <c r="J156" s="398" t="str">
        <f aca="false">IF(A156="N/A"," ",Inputs!$G$4)</f>
        <v> </v>
      </c>
      <c r="K156" s="399" t="str">
        <f aca="false">IF(A156="N/A"," ",IF(ISERROR(#REF!),K144*Gasesc,#REF!))</f>
        <v> </v>
      </c>
      <c r="L156" s="399" t="str">
        <f aca="false">IF(A156="N/A"," ",IF(ISERROR(#REF!),L144*Gasesc,IF(#REF!=0,L144*Gasesc,#REF!)))</f>
        <v> </v>
      </c>
      <c r="M156" s="404"/>
      <c r="N156" s="401" t="str">
        <f aca="false">IF(A156="N/A"," ",VLOOKUP(A156,PeakPowerCurves,(IF(BMO1=2,3,IF(BMO1=1,2,4))),FALSE()))</f>
        <v> </v>
      </c>
      <c r="O156" s="401" t="str">
        <f aca="false">IF(A156="N/A"," ",VLOOKUP(A156,SatSunPeakPwr,(IF(BMO1=2,3,IF(BMO1=1,2,4))),FALSE()))</f>
        <v> </v>
      </c>
      <c r="P156" s="401" t="str">
        <f aca="false">IF(A156="N/A"," ",VLOOKUP(A156,SatSunPeakPwr,(IF(BMO1=2,7,IF(BMO1=1,6,8))),FALSE()))</f>
        <v> </v>
      </c>
      <c r="Q156" s="402" t="str">
        <f aca="false">IF(A156="N/A"," ",(VLOOKUP(A156,OPPowerPrices,(IF(BMO1=2,7,IF(BMO1=1,6,8))),FALSE())))</f>
        <v> </v>
      </c>
      <c r="R156" s="403" t="str">
        <f aca="false">IF(A156="N/A"," ",(VLOOKUP($A156,IRTable,2)))</f>
        <v> </v>
      </c>
      <c r="AF156" s="352" t="n">
        <v>41183</v>
      </c>
      <c r="AG156" s="311" t="n">
        <v>23</v>
      </c>
      <c r="AH156" s="311" t="n">
        <v>4</v>
      </c>
      <c r="AI156" s="311" t="n">
        <v>4</v>
      </c>
      <c r="AJ156" s="311" t="n">
        <v>0</v>
      </c>
      <c r="AK156" s="311" t="n">
        <v>31</v>
      </c>
      <c r="AU156" s="406"/>
    </row>
    <row r="157" customFormat="false" ht="12.75" hidden="false" customHeight="false" outlineLevel="0" collapsed="false">
      <c r="A157" s="405" t="str">
        <f aca="false">Option1!A124</f>
        <v>N/A</v>
      </c>
      <c r="B157" s="396" t="str">
        <f aca="false">IF(A157="N/A"," ",IF(ISERROR(N157),B145*Pwresc,N157)*VLOOKUP(MONTH(A157),Curveadj,3))</f>
        <v> </v>
      </c>
      <c r="C157" s="397" t="str">
        <f aca="false">IF(A157="N/A"," ",(IF(AND(Scaler1=1,MONTH(A157)&gt;=6,MONTH(A157)&lt;=8,OR($M$37="REGION 2",$M$37="REGION 2A",$M$37="REGION 2B",$M$37="REGION 3",$M$37="REGION 3A",$M$37="REGION 3B",$M$37="REGION 3C",$M$37="REGION 4",$M$37="REGION 4B",$M$37="REGION 4C",$M$37="REGION 5",$M$37="REGION 5A")),((0.059228/(B157/100))-(0.4980013/(SQRT(B157/100)))+2.137988),HLOOKUP(MONTH(A157),ScalarTable,28))))</f>
        <v> </v>
      </c>
      <c r="D157" s="398" t="str">
        <f aca="false">IF(A157="N/A"," ",C157*B157)</f>
        <v> </v>
      </c>
      <c r="E157" s="396" t="str">
        <f aca="false">IF(A157="N/A"," ",IF(ISERROR(O157),E145*Pwresc,O157)*VLOOKUP(MONTH(A157),Curveadj,3))</f>
        <v> </v>
      </c>
      <c r="F157" s="398" t="str">
        <f aca="false">IF(A157="N/A"," ",E157*C157)</f>
        <v> </v>
      </c>
      <c r="G157" s="396" t="str">
        <f aca="false">IF(A157="N/A"," ",IF(ISERROR(P157),G145*Pwresc,P157)*VLOOKUP(MONTH(A157),Curveadj,3))</f>
        <v> </v>
      </c>
      <c r="H157" s="398" t="str">
        <f aca="false">IF(A157="N/A"," ",G157*C157)</f>
        <v> </v>
      </c>
      <c r="I157" s="398" t="str">
        <f aca="false">IF(A157="N/A"," ",IF(ISERROR(Q157),I145*Pwresc,Q157))</f>
        <v> </v>
      </c>
      <c r="J157" s="398" t="str">
        <f aca="false">IF(A157="N/A"," ",Inputs!$G$4)</f>
        <v> </v>
      </c>
      <c r="K157" s="399" t="str">
        <f aca="false">IF(A157="N/A"," ",IF(ISERROR(#REF!),K145*Gasesc,#REF!))</f>
        <v> </v>
      </c>
      <c r="L157" s="399" t="str">
        <f aca="false">IF(A157="N/A"," ",IF(ISERROR(#REF!),L145*Gasesc,IF(#REF!=0,L145*Gasesc,#REF!)))</f>
        <v> </v>
      </c>
      <c r="M157" s="404"/>
      <c r="N157" s="401" t="str">
        <f aca="false">IF(A157="N/A"," ",VLOOKUP(A157,PeakPowerCurves,(IF(BMO1=2,3,IF(BMO1=1,2,4))),FALSE()))</f>
        <v> </v>
      </c>
      <c r="O157" s="401" t="str">
        <f aca="false">IF(A157="N/A"," ",VLOOKUP(A157,SatSunPeakPwr,(IF(BMO1=2,3,IF(BMO1=1,2,4))),FALSE()))</f>
        <v> </v>
      </c>
      <c r="P157" s="401" t="str">
        <f aca="false">IF(A157="N/A"," ",VLOOKUP(A157,SatSunPeakPwr,(IF(BMO1=2,7,IF(BMO1=1,6,8))),FALSE()))</f>
        <v> </v>
      </c>
      <c r="Q157" s="402" t="str">
        <f aca="false">IF(A157="N/A"," ",(VLOOKUP(A157,OPPowerPrices,(IF(BMO1=2,7,IF(BMO1=1,6,8))),FALSE())))</f>
        <v> </v>
      </c>
      <c r="R157" s="403" t="str">
        <f aca="false">IF(A157="N/A"," ",(VLOOKUP($A157,IRTable,2)))</f>
        <v> </v>
      </c>
      <c r="AF157" s="352" t="n">
        <v>41214</v>
      </c>
      <c r="AG157" s="311" t="n">
        <v>21</v>
      </c>
      <c r="AH157" s="311" t="n">
        <v>4</v>
      </c>
      <c r="AI157" s="311" t="n">
        <v>5</v>
      </c>
      <c r="AJ157" s="311" t="n">
        <v>1</v>
      </c>
      <c r="AK157" s="311" t="n">
        <v>30</v>
      </c>
      <c r="AU157" s="406"/>
    </row>
    <row r="158" customFormat="false" ht="12.75" hidden="false" customHeight="false" outlineLevel="0" collapsed="false">
      <c r="A158" s="405" t="str">
        <f aca="false">Option1!A125</f>
        <v>N/A</v>
      </c>
      <c r="B158" s="396" t="str">
        <f aca="false">IF(A158="N/A"," ",IF(ISERROR(N158),B146*Pwresc,N158)*VLOOKUP(MONTH(A158),Curveadj,3))</f>
        <v> </v>
      </c>
      <c r="C158" s="397" t="str">
        <f aca="false">IF(A158="N/A"," ",(IF(AND(Scaler1=1,MONTH(A158)&gt;=6,MONTH(A158)&lt;=8,OR($M$37="REGION 2",$M$37="REGION 2A",$M$37="REGION 2B",$M$37="REGION 3",$M$37="REGION 3A",$M$37="REGION 3B",$M$37="REGION 3C",$M$37="REGION 4",$M$37="REGION 4B",$M$37="REGION 4C",$M$37="REGION 5",$M$37="REGION 5A")),((0.059228/(B158/100))-(0.4980013/(SQRT(B158/100)))+2.137988),HLOOKUP(MONTH(A158),ScalarTable,28))))</f>
        <v> </v>
      </c>
      <c r="D158" s="398" t="str">
        <f aca="false">IF(A158="N/A"," ",C158*B158)</f>
        <v> </v>
      </c>
      <c r="E158" s="396" t="str">
        <f aca="false">IF(A158="N/A"," ",IF(ISERROR(O158),E146*Pwresc,O158)*VLOOKUP(MONTH(A158),Curveadj,3))</f>
        <v> </v>
      </c>
      <c r="F158" s="398" t="str">
        <f aca="false">IF(A158="N/A"," ",E158*C158)</f>
        <v> </v>
      </c>
      <c r="G158" s="396" t="str">
        <f aca="false">IF(A158="N/A"," ",IF(ISERROR(P158),G146*Pwresc,P158)*VLOOKUP(MONTH(A158),Curveadj,3))</f>
        <v> </v>
      </c>
      <c r="H158" s="398" t="str">
        <f aca="false">IF(A158="N/A"," ",G158*C158)</f>
        <v> </v>
      </c>
      <c r="I158" s="398" t="str">
        <f aca="false">IF(A158="N/A"," ",IF(ISERROR(Q158),I146*Pwresc,Q158))</f>
        <v> </v>
      </c>
      <c r="J158" s="398" t="str">
        <f aca="false">IF(A158="N/A"," ",Inputs!$G$4)</f>
        <v> </v>
      </c>
      <c r="K158" s="399" t="str">
        <f aca="false">IF(A158="N/A"," ",IF(ISERROR(#REF!),K146*Gasesc,#REF!))</f>
        <v> </v>
      </c>
      <c r="L158" s="399" t="str">
        <f aca="false">IF(A158="N/A"," ",IF(ISERROR(#REF!),L146*Gasesc,IF(#REF!=0,L146*Gasesc,#REF!)))</f>
        <v> </v>
      </c>
      <c r="M158" s="404"/>
      <c r="N158" s="401" t="str">
        <f aca="false">IF(A158="N/A"," ",VLOOKUP(A158,PeakPowerCurves,(IF(BMO1=2,3,IF(BMO1=1,2,4))),FALSE()))</f>
        <v> </v>
      </c>
      <c r="O158" s="401" t="str">
        <f aca="false">IF(A158="N/A"," ",VLOOKUP(A158,SatSunPeakPwr,(IF(BMO1=2,3,IF(BMO1=1,2,4))),FALSE()))</f>
        <v> </v>
      </c>
      <c r="P158" s="401" t="str">
        <f aca="false">IF(A158="N/A"," ",VLOOKUP(A158,SatSunPeakPwr,(IF(BMO1=2,7,IF(BMO1=1,6,8))),FALSE()))</f>
        <v> </v>
      </c>
      <c r="Q158" s="402" t="str">
        <f aca="false">IF(A158="N/A"," ",(VLOOKUP(A158,OPPowerPrices,(IF(BMO1=2,7,IF(BMO1=1,6,8))),FALSE())))</f>
        <v> </v>
      </c>
      <c r="R158" s="403" t="str">
        <f aca="false">IF(A158="N/A"," ",(VLOOKUP($A158,IRTable,2)))</f>
        <v> </v>
      </c>
      <c r="AF158" s="352" t="n">
        <v>41244</v>
      </c>
      <c r="AG158" s="311" t="n">
        <v>20</v>
      </c>
      <c r="AH158" s="311" t="n">
        <v>5</v>
      </c>
      <c r="AI158" s="311" t="n">
        <v>6</v>
      </c>
      <c r="AJ158" s="311" t="n">
        <v>1</v>
      </c>
      <c r="AK158" s="311" t="n">
        <v>31</v>
      </c>
      <c r="AU158" s="406"/>
    </row>
    <row r="159" customFormat="false" ht="12.75" hidden="false" customHeight="false" outlineLevel="0" collapsed="false">
      <c r="A159" s="405" t="str">
        <f aca="false">Option1!A126</f>
        <v>N/A</v>
      </c>
      <c r="B159" s="396" t="str">
        <f aca="false">IF(A159="N/A"," ",IF(ISERROR(N159),B147*Pwresc,N159)*VLOOKUP(MONTH(A159),Curveadj,3))</f>
        <v> </v>
      </c>
      <c r="C159" s="397" t="str">
        <f aca="false">IF(A159="N/A"," ",(IF(AND(Scaler1=1,MONTH(A159)&gt;=6,MONTH(A159)&lt;=8,OR($M$37="REGION 2",$M$37="REGION 2A",$M$37="REGION 2B",$M$37="REGION 3",$M$37="REGION 3A",$M$37="REGION 3B",$M$37="REGION 3C",$M$37="REGION 4",$M$37="REGION 4B",$M$37="REGION 4C",$M$37="REGION 5",$M$37="REGION 5A")),((0.059228/(B159/100))-(0.4980013/(SQRT(B159/100)))+2.137988),HLOOKUP(MONTH(A159),ScalarTable,28))))</f>
        <v> </v>
      </c>
      <c r="D159" s="398" t="str">
        <f aca="false">IF(A159="N/A"," ",C159*B159)</f>
        <v> </v>
      </c>
      <c r="E159" s="396" t="str">
        <f aca="false">IF(A159="N/A"," ",IF(ISERROR(O159),E147*Pwresc,O159)*VLOOKUP(MONTH(A159),Curveadj,3))</f>
        <v> </v>
      </c>
      <c r="F159" s="398" t="str">
        <f aca="false">IF(A159="N/A"," ",E159*C159)</f>
        <v> </v>
      </c>
      <c r="G159" s="396" t="str">
        <f aca="false">IF(A159="N/A"," ",IF(ISERROR(P159),G147*Pwresc,P159)*VLOOKUP(MONTH(A159),Curveadj,3))</f>
        <v> </v>
      </c>
      <c r="H159" s="398" t="str">
        <f aca="false">IF(A159="N/A"," ",G159*C159)</f>
        <v> </v>
      </c>
      <c r="I159" s="398" t="str">
        <f aca="false">IF(A159="N/A"," ",IF(ISERROR(Q159),I147*Pwresc,Q159))</f>
        <v> </v>
      </c>
      <c r="J159" s="398" t="str">
        <f aca="false">IF(A159="N/A"," ",Inputs!$G$4)</f>
        <v> </v>
      </c>
      <c r="K159" s="399" t="str">
        <f aca="false">IF(A159="N/A"," ",IF(ISERROR(#REF!),K147*Gasesc,#REF!))</f>
        <v> </v>
      </c>
      <c r="L159" s="399" t="str">
        <f aca="false">IF(A159="N/A"," ",IF(ISERROR(#REF!),L147*Gasesc,IF(#REF!=0,L147*Gasesc,#REF!)))</f>
        <v> </v>
      </c>
      <c r="M159" s="404"/>
      <c r="N159" s="401" t="str">
        <f aca="false">IF(A159="N/A"," ",VLOOKUP(A159,PeakPowerCurves,(IF(BMO1=2,3,IF(BMO1=1,2,4))),FALSE()))</f>
        <v> </v>
      </c>
      <c r="O159" s="401" t="str">
        <f aca="false">IF(A159="N/A"," ",VLOOKUP(A159,SatSunPeakPwr,(IF(BMO1=2,3,IF(BMO1=1,2,4))),FALSE()))</f>
        <v> </v>
      </c>
      <c r="P159" s="401" t="str">
        <f aca="false">IF(A159="N/A"," ",VLOOKUP(A159,SatSunPeakPwr,(IF(BMO1=2,7,IF(BMO1=1,6,8))),FALSE()))</f>
        <v> </v>
      </c>
      <c r="Q159" s="402" t="str">
        <f aca="false">IF(A159="N/A"," ",(VLOOKUP(A159,OPPowerPrices,(IF(BMO1=2,7,IF(BMO1=1,6,8))),FALSE())))</f>
        <v> </v>
      </c>
      <c r="R159" s="403" t="str">
        <f aca="false">IF(A159="N/A"," ",(VLOOKUP($A159,IRTable,2)))</f>
        <v> </v>
      </c>
      <c r="AF159" s="352" t="n">
        <v>41275</v>
      </c>
      <c r="AG159" s="311" t="n">
        <v>22</v>
      </c>
      <c r="AH159" s="311" t="n">
        <v>4</v>
      </c>
      <c r="AI159" s="311" t="n">
        <v>5</v>
      </c>
      <c r="AJ159" s="311" t="n">
        <v>1</v>
      </c>
      <c r="AK159" s="311" t="n">
        <v>31</v>
      </c>
      <c r="AU159" s="406"/>
    </row>
    <row r="160" customFormat="false" ht="12.75" hidden="false" customHeight="false" outlineLevel="0" collapsed="false">
      <c r="A160" s="405" t="str">
        <f aca="false">Option1!A127</f>
        <v>N/A</v>
      </c>
      <c r="B160" s="396" t="str">
        <f aca="false">IF(A160="N/A"," ",IF(ISERROR(N160),B148*Pwresc,N160)*VLOOKUP(MONTH(A160),Curveadj,3))</f>
        <v> </v>
      </c>
      <c r="C160" s="397" t="str">
        <f aca="false">IF(A160="N/A"," ",(IF(AND(Scaler1=1,MONTH(A160)&gt;=6,MONTH(A160)&lt;=8,OR($M$37="REGION 2",$M$37="REGION 2A",$M$37="REGION 2B",$M$37="REGION 3",$M$37="REGION 3A",$M$37="REGION 3B",$M$37="REGION 3C",$M$37="REGION 4",$M$37="REGION 4B",$M$37="REGION 4C",$M$37="REGION 5",$M$37="REGION 5A")),((0.059228/(B160/100))-(0.4980013/(SQRT(B160/100)))+2.137988),HLOOKUP(MONTH(A160),ScalarTable,28))))</f>
        <v> </v>
      </c>
      <c r="D160" s="398" t="str">
        <f aca="false">IF(A160="N/A"," ",C160*B160)</f>
        <v> </v>
      </c>
      <c r="E160" s="396" t="str">
        <f aca="false">IF(A160="N/A"," ",IF(ISERROR(O160),E148*Pwresc,O160)*VLOOKUP(MONTH(A160),Curveadj,3))</f>
        <v> </v>
      </c>
      <c r="F160" s="398" t="str">
        <f aca="false">IF(A160="N/A"," ",E160*C160)</f>
        <v> </v>
      </c>
      <c r="G160" s="396" t="str">
        <f aca="false">IF(A160="N/A"," ",IF(ISERROR(P160),G148*Pwresc,P160)*VLOOKUP(MONTH(A160),Curveadj,3))</f>
        <v> </v>
      </c>
      <c r="H160" s="398" t="str">
        <f aca="false">IF(A160="N/A"," ",G160*C160)</f>
        <v> </v>
      </c>
      <c r="I160" s="398" t="str">
        <f aca="false">IF(A160="N/A"," ",IF(ISERROR(Q160),I148*Pwresc,Q160))</f>
        <v> </v>
      </c>
      <c r="J160" s="398" t="str">
        <f aca="false">IF(A160="N/A"," ",Inputs!$G$4)</f>
        <v> </v>
      </c>
      <c r="K160" s="399" t="str">
        <f aca="false">IF(A160="N/A"," ",IF(ISERROR(#REF!),K148*Gasesc,#REF!))</f>
        <v> </v>
      </c>
      <c r="L160" s="399" t="str">
        <f aca="false">IF(A160="N/A"," ",IF(ISERROR(#REF!),L148*Gasesc,IF(#REF!=0,L148*Gasesc,#REF!)))</f>
        <v> </v>
      </c>
      <c r="M160" s="404"/>
      <c r="N160" s="401" t="str">
        <f aca="false">IF(A160="N/A"," ",VLOOKUP(A160,PeakPowerCurves,(IF(BMO1=2,3,IF(BMO1=1,2,4))),FALSE()))</f>
        <v> </v>
      </c>
      <c r="O160" s="401" t="str">
        <f aca="false">IF(A160="N/A"," ",VLOOKUP(A160,SatSunPeakPwr,(IF(BMO1=2,3,IF(BMO1=1,2,4))),FALSE()))</f>
        <v> </v>
      </c>
      <c r="P160" s="401" t="str">
        <f aca="false">IF(A160="N/A"," ",VLOOKUP(A160,SatSunPeakPwr,(IF(BMO1=2,7,IF(BMO1=1,6,8))),FALSE()))</f>
        <v> </v>
      </c>
      <c r="Q160" s="402" t="str">
        <f aca="false">IF(A160="N/A"," ",(VLOOKUP(A160,OPPowerPrices,(IF(BMO1=2,7,IF(BMO1=1,6,8))),FALSE())))</f>
        <v> </v>
      </c>
      <c r="R160" s="403" t="str">
        <f aca="false">IF(A160="N/A"," ",(VLOOKUP($A160,IRTable,2)))</f>
        <v> </v>
      </c>
      <c r="AF160" s="352" t="n">
        <v>41306</v>
      </c>
      <c r="AG160" s="311" t="n">
        <v>20</v>
      </c>
      <c r="AH160" s="311" t="n">
        <v>4</v>
      </c>
      <c r="AI160" s="311" t="n">
        <v>4</v>
      </c>
      <c r="AJ160" s="311" t="n">
        <v>0</v>
      </c>
      <c r="AK160" s="311" t="n">
        <v>28</v>
      </c>
      <c r="AU160" s="406"/>
    </row>
    <row r="161" customFormat="false" ht="12.75" hidden="false" customHeight="false" outlineLevel="0" collapsed="false">
      <c r="A161" s="405" t="str">
        <f aca="false">Option1!A128</f>
        <v>N/A</v>
      </c>
      <c r="B161" s="396" t="str">
        <f aca="false">IF(A161="N/A"," ",IF(ISERROR(N161),B149*Pwresc,N161)*VLOOKUP(MONTH(A161),Curveadj,3))</f>
        <v> </v>
      </c>
      <c r="C161" s="397" t="str">
        <f aca="false">IF(A161="N/A"," ",(IF(AND(Scaler1=1,MONTH(A161)&gt;=6,MONTH(A161)&lt;=8,OR($M$37="REGION 2",$M$37="REGION 2A",$M$37="REGION 2B",$M$37="REGION 3",$M$37="REGION 3A",$M$37="REGION 3B",$M$37="REGION 3C",$M$37="REGION 4",$M$37="REGION 4B",$M$37="REGION 4C",$M$37="REGION 5",$M$37="REGION 5A")),((0.059228/(B161/100))-(0.4980013/(SQRT(B161/100)))+2.137988),HLOOKUP(MONTH(A161),ScalarTable,28))))</f>
        <v> </v>
      </c>
      <c r="D161" s="398" t="str">
        <f aca="false">IF(A161="N/A"," ",C161*B161)</f>
        <v> </v>
      </c>
      <c r="E161" s="396" t="str">
        <f aca="false">IF(A161="N/A"," ",IF(ISERROR(O161),E149*Pwresc,O161)*VLOOKUP(MONTH(A161),Curveadj,3))</f>
        <v> </v>
      </c>
      <c r="F161" s="398" t="str">
        <f aca="false">IF(A161="N/A"," ",E161*C161)</f>
        <v> </v>
      </c>
      <c r="G161" s="396" t="str">
        <f aca="false">IF(A161="N/A"," ",IF(ISERROR(P161),G149*Pwresc,P161)*VLOOKUP(MONTH(A161),Curveadj,3))</f>
        <v> </v>
      </c>
      <c r="H161" s="398" t="str">
        <f aca="false">IF(A161="N/A"," ",G161*C161)</f>
        <v> </v>
      </c>
      <c r="I161" s="398" t="str">
        <f aca="false">IF(A161="N/A"," ",IF(ISERROR(Q161),I149*Pwresc,Q161))</f>
        <v> </v>
      </c>
      <c r="J161" s="398" t="str">
        <f aca="false">IF(A161="N/A"," ",Inputs!$G$4)</f>
        <v> </v>
      </c>
      <c r="K161" s="399" t="str">
        <f aca="false">IF(A161="N/A"," ",IF(ISERROR(#REF!),K149*Gasesc,#REF!))</f>
        <v> </v>
      </c>
      <c r="L161" s="399" t="str">
        <f aca="false">IF(A161="N/A"," ",IF(ISERROR(#REF!),L149*Gasesc,IF(#REF!=0,L149*Gasesc,#REF!)))</f>
        <v> </v>
      </c>
      <c r="M161" s="404"/>
      <c r="N161" s="401" t="str">
        <f aca="false">IF(A161="N/A"," ",VLOOKUP(A161,PeakPowerCurves,(IF(BMO1=2,3,IF(BMO1=1,2,4))),FALSE()))</f>
        <v> </v>
      </c>
      <c r="O161" s="401" t="str">
        <f aca="false">IF(A161="N/A"," ",VLOOKUP(A161,SatSunPeakPwr,(IF(BMO1=2,3,IF(BMO1=1,2,4))),FALSE()))</f>
        <v> </v>
      </c>
      <c r="P161" s="401" t="str">
        <f aca="false">IF(A161="N/A"," ",VLOOKUP(A161,SatSunPeakPwr,(IF(BMO1=2,7,IF(BMO1=1,6,8))),FALSE()))</f>
        <v> </v>
      </c>
      <c r="Q161" s="402" t="str">
        <f aca="false">IF(A161="N/A"," ",(VLOOKUP(A161,OPPowerPrices,(IF(BMO1=2,7,IF(BMO1=1,6,8))),FALSE())))</f>
        <v> </v>
      </c>
      <c r="R161" s="403" t="str">
        <f aca="false">IF(A161="N/A"," ",(VLOOKUP($A161,IRTable,2)))</f>
        <v> </v>
      </c>
      <c r="AF161" s="352" t="n">
        <v>41334</v>
      </c>
      <c r="AG161" s="311" t="n">
        <v>21</v>
      </c>
      <c r="AH161" s="311" t="n">
        <v>5</v>
      </c>
      <c r="AI161" s="311" t="n">
        <v>5</v>
      </c>
      <c r="AJ161" s="311" t="n">
        <v>0</v>
      </c>
      <c r="AK161" s="311" t="n">
        <v>31</v>
      </c>
      <c r="AU161" s="406"/>
    </row>
    <row r="162" customFormat="false" ht="12.75" hidden="false" customHeight="false" outlineLevel="0" collapsed="false">
      <c r="A162" s="405" t="str">
        <f aca="false">Option1!A129</f>
        <v>N/A</v>
      </c>
      <c r="B162" s="396" t="str">
        <f aca="false">IF(A162="N/A"," ",IF(ISERROR(N162),B150*Pwresc,N162)*VLOOKUP(MONTH(A162),Curveadj,3))</f>
        <v> </v>
      </c>
      <c r="C162" s="397" t="str">
        <f aca="false">IF(A162="N/A"," ",(IF(AND(Scaler1=1,MONTH(A162)&gt;=6,MONTH(A162)&lt;=8,OR($M$37="REGION 2",$M$37="REGION 2A",$M$37="REGION 2B",$M$37="REGION 3",$M$37="REGION 3A",$M$37="REGION 3B",$M$37="REGION 3C",$M$37="REGION 4",$M$37="REGION 4B",$M$37="REGION 4C",$M$37="REGION 5",$M$37="REGION 5A")),((0.059228/(B162/100))-(0.4980013/(SQRT(B162/100)))+2.137988),HLOOKUP(MONTH(A162),ScalarTable,28))))</f>
        <v> </v>
      </c>
      <c r="D162" s="398" t="str">
        <f aca="false">IF(A162="N/A"," ",C162*B162)</f>
        <v> </v>
      </c>
      <c r="E162" s="396" t="str">
        <f aca="false">IF(A162="N/A"," ",IF(ISERROR(O162),E150*Pwresc,O162)*VLOOKUP(MONTH(A162),Curveadj,3))</f>
        <v> </v>
      </c>
      <c r="F162" s="398" t="str">
        <f aca="false">IF(A162="N/A"," ",E162*C162)</f>
        <v> </v>
      </c>
      <c r="G162" s="396" t="str">
        <f aca="false">IF(A162="N/A"," ",IF(ISERROR(P162),G150*Pwresc,P162)*VLOOKUP(MONTH(A162),Curveadj,3))</f>
        <v> </v>
      </c>
      <c r="H162" s="398" t="str">
        <f aca="false">IF(A162="N/A"," ",G162*C162)</f>
        <v> </v>
      </c>
      <c r="I162" s="398" t="str">
        <f aca="false">IF(A162="N/A"," ",IF(ISERROR(Q162),I150*Pwresc,Q162))</f>
        <v> </v>
      </c>
      <c r="J162" s="398" t="str">
        <f aca="false">IF(A162="N/A"," ",Inputs!$G$4)</f>
        <v> </v>
      </c>
      <c r="K162" s="399" t="str">
        <f aca="false">IF(A162="N/A"," ",IF(ISERROR(#REF!),K150*Gasesc,#REF!))</f>
        <v> </v>
      </c>
      <c r="L162" s="399" t="str">
        <f aca="false">IF(A162="N/A"," ",IF(ISERROR(#REF!),L150*Gasesc,IF(#REF!=0,L150*Gasesc,#REF!)))</f>
        <v> </v>
      </c>
      <c r="M162" s="404"/>
      <c r="N162" s="401" t="str">
        <f aca="false">IF(A162="N/A"," ",VLOOKUP(A162,PeakPowerCurves,(IF(BMO1=2,3,IF(BMO1=1,2,4))),FALSE()))</f>
        <v> </v>
      </c>
      <c r="O162" s="401" t="str">
        <f aca="false">IF(A162="N/A"," ",VLOOKUP(A162,SatSunPeakPwr,(IF(BMO1=2,3,IF(BMO1=1,2,4))),FALSE()))</f>
        <v> </v>
      </c>
      <c r="P162" s="401" t="str">
        <f aca="false">IF(A162="N/A"," ",VLOOKUP(A162,SatSunPeakPwr,(IF(BMO1=2,7,IF(BMO1=1,6,8))),FALSE()))</f>
        <v> </v>
      </c>
      <c r="Q162" s="402" t="str">
        <f aca="false">IF(A162="N/A"," ",(VLOOKUP(A162,OPPowerPrices,(IF(BMO1=2,7,IF(BMO1=1,6,8))),FALSE())))</f>
        <v> </v>
      </c>
      <c r="R162" s="403" t="str">
        <f aca="false">IF(A162="N/A"," ",(VLOOKUP($A162,IRTable,2)))</f>
        <v> </v>
      </c>
      <c r="AF162" s="352" t="n">
        <v>41365</v>
      </c>
      <c r="AG162" s="311" t="n">
        <v>22</v>
      </c>
      <c r="AH162" s="311" t="n">
        <v>4</v>
      </c>
      <c r="AI162" s="311" t="n">
        <v>4</v>
      </c>
      <c r="AJ162" s="311" t="n">
        <v>0</v>
      </c>
      <c r="AK162" s="311" t="n">
        <v>30</v>
      </c>
      <c r="AU162" s="406"/>
    </row>
    <row r="163" customFormat="false" ht="12.75" hidden="false" customHeight="false" outlineLevel="0" collapsed="false">
      <c r="A163" s="405" t="str">
        <f aca="false">Option1!A130</f>
        <v>N/A</v>
      </c>
      <c r="B163" s="396" t="str">
        <f aca="false">IF(A163="N/A"," ",IF(ISERROR(N163),B151*Pwresc,N163)*VLOOKUP(MONTH(A163),Curveadj,3))</f>
        <v> </v>
      </c>
      <c r="C163" s="397" t="str">
        <f aca="false">IF(A163="N/A"," ",(IF(AND(Scaler1=1,MONTH(A163)&gt;=6,MONTH(A163)&lt;=8,OR($M$37="REGION 2",$M$37="REGION 2A",$M$37="REGION 2B",$M$37="REGION 3",$M$37="REGION 3A",$M$37="REGION 3B",$M$37="REGION 3C",$M$37="REGION 4",$M$37="REGION 4B",$M$37="REGION 4C",$M$37="REGION 5",$M$37="REGION 5A")),((0.059228/(B163/100))-(0.4980013/(SQRT(B163/100)))+2.137988),HLOOKUP(MONTH(A163),ScalarTable,28))))</f>
        <v> </v>
      </c>
      <c r="D163" s="398" t="str">
        <f aca="false">IF(A163="N/A"," ",C163*B163)</f>
        <v> </v>
      </c>
      <c r="E163" s="396" t="str">
        <f aca="false">IF(A163="N/A"," ",IF(ISERROR(O163),E151*Pwresc,O163)*VLOOKUP(MONTH(A163),Curveadj,3))</f>
        <v> </v>
      </c>
      <c r="F163" s="398" t="str">
        <f aca="false">IF(A163="N/A"," ",E163*C163)</f>
        <v> </v>
      </c>
      <c r="G163" s="396" t="str">
        <f aca="false">IF(A163="N/A"," ",IF(ISERROR(P163),G151*Pwresc,P163)*VLOOKUP(MONTH(A163),Curveadj,3))</f>
        <v> </v>
      </c>
      <c r="H163" s="398" t="str">
        <f aca="false">IF(A163="N/A"," ",G163*C163)</f>
        <v> </v>
      </c>
      <c r="I163" s="398" t="str">
        <f aca="false">IF(A163="N/A"," ",IF(ISERROR(Q163),I151*Pwresc,Q163))</f>
        <v> </v>
      </c>
      <c r="J163" s="398" t="str">
        <f aca="false">IF(A163="N/A"," ",Inputs!$G$4)</f>
        <v> </v>
      </c>
      <c r="K163" s="399" t="str">
        <f aca="false">IF(A163="N/A"," ",IF(ISERROR(#REF!),K151*Gasesc,#REF!))</f>
        <v> </v>
      </c>
      <c r="L163" s="399" t="str">
        <f aca="false">IF(A163="N/A"," ",IF(ISERROR(#REF!),L151*Gasesc,IF(#REF!=0,L151*Gasesc,#REF!)))</f>
        <v> </v>
      </c>
      <c r="M163" s="404"/>
      <c r="N163" s="401" t="str">
        <f aca="false">IF(A163="N/A"," ",VLOOKUP(A163,PeakPowerCurves,(IF(BMO1=2,3,IF(BMO1=1,2,4))),FALSE()))</f>
        <v> </v>
      </c>
      <c r="O163" s="401" t="str">
        <f aca="false">IF(A163="N/A"," ",VLOOKUP(A163,SatSunPeakPwr,(IF(BMO1=2,3,IF(BMO1=1,2,4))),FALSE()))</f>
        <v> </v>
      </c>
      <c r="P163" s="401" t="str">
        <f aca="false">IF(A163="N/A"," ",VLOOKUP(A163,SatSunPeakPwr,(IF(BMO1=2,7,IF(BMO1=1,6,8))),FALSE()))</f>
        <v> </v>
      </c>
      <c r="Q163" s="402" t="str">
        <f aca="false">IF(A163="N/A"," ",(VLOOKUP(A163,OPPowerPrices,(IF(BMO1=2,7,IF(BMO1=1,6,8))),FALSE())))</f>
        <v> </v>
      </c>
      <c r="R163" s="403" t="str">
        <f aca="false">IF(A163="N/A"," ",(VLOOKUP($A163,IRTable,2)))</f>
        <v> </v>
      </c>
      <c r="AF163" s="352" t="n">
        <v>41395</v>
      </c>
      <c r="AG163" s="311" t="n">
        <v>22</v>
      </c>
      <c r="AH163" s="311" t="n">
        <v>4</v>
      </c>
      <c r="AI163" s="311" t="n">
        <v>5</v>
      </c>
      <c r="AJ163" s="311" t="n">
        <v>1</v>
      </c>
      <c r="AK163" s="311" t="n">
        <v>31</v>
      </c>
      <c r="AU163" s="406"/>
    </row>
    <row r="164" customFormat="false" ht="12.75" hidden="false" customHeight="false" outlineLevel="0" collapsed="false">
      <c r="A164" s="405" t="str">
        <f aca="false">Option1!A131</f>
        <v>N/A</v>
      </c>
      <c r="B164" s="396" t="str">
        <f aca="false">IF(A164="N/A"," ",IF(ISERROR(N164),B152*Pwresc,N164)*VLOOKUP(MONTH(A164),Curveadj,3))</f>
        <v> </v>
      </c>
      <c r="C164" s="397" t="str">
        <f aca="false">IF(A164="N/A"," ",(IF(AND(Scaler1=1,MONTH(A164)&gt;=6,MONTH(A164)&lt;=8,OR($M$37="REGION 2",$M$37="REGION 2A",$M$37="REGION 2B",$M$37="REGION 3",$M$37="REGION 3A",$M$37="REGION 3B",$M$37="REGION 3C",$M$37="REGION 4",$M$37="REGION 4B",$M$37="REGION 4C",$M$37="REGION 5",$M$37="REGION 5A")),((0.059228/(B164/100))-(0.4980013/(SQRT(B164/100)))+2.137988),HLOOKUP(MONTH(A164),ScalarTable,28))))</f>
        <v> </v>
      </c>
      <c r="D164" s="398" t="str">
        <f aca="false">IF(A164="N/A"," ",C164*B164)</f>
        <v> </v>
      </c>
      <c r="E164" s="396" t="str">
        <f aca="false">IF(A164="N/A"," ",IF(ISERROR(O164),E152*Pwresc,O164)*VLOOKUP(MONTH(A164),Curveadj,3))</f>
        <v> </v>
      </c>
      <c r="F164" s="398" t="str">
        <f aca="false">IF(A164="N/A"," ",E164*C164)</f>
        <v> </v>
      </c>
      <c r="G164" s="396" t="str">
        <f aca="false">IF(A164="N/A"," ",IF(ISERROR(P164),G152*Pwresc,P164)*VLOOKUP(MONTH(A164),Curveadj,3))</f>
        <v> </v>
      </c>
      <c r="H164" s="398" t="str">
        <f aca="false">IF(A164="N/A"," ",G164*C164)</f>
        <v> </v>
      </c>
      <c r="I164" s="398" t="str">
        <f aca="false">IF(A164="N/A"," ",IF(ISERROR(Q164),I152*Pwresc,Q164))</f>
        <v> </v>
      </c>
      <c r="J164" s="398" t="str">
        <f aca="false">IF(A164="N/A"," ",Inputs!$G$4)</f>
        <v> </v>
      </c>
      <c r="K164" s="399" t="str">
        <f aca="false">IF(A164="N/A"," ",IF(ISERROR(#REF!),K152*Gasesc,#REF!))</f>
        <v> </v>
      </c>
      <c r="L164" s="399" t="str">
        <f aca="false">IF(A164="N/A"," ",IF(ISERROR(#REF!),L152*Gasesc,IF(#REF!=0,L152*Gasesc,#REF!)))</f>
        <v> </v>
      </c>
      <c r="M164" s="404"/>
      <c r="N164" s="401" t="str">
        <f aca="false">IF(A164="N/A"," ",VLOOKUP(A164,PeakPowerCurves,(IF(BMO1=2,3,IF(BMO1=1,2,4))),FALSE()))</f>
        <v> </v>
      </c>
      <c r="O164" s="401" t="str">
        <f aca="false">IF(A164="N/A"," ",VLOOKUP(A164,SatSunPeakPwr,(IF(BMO1=2,3,IF(BMO1=1,2,4))),FALSE()))</f>
        <v> </v>
      </c>
      <c r="P164" s="401" t="str">
        <f aca="false">IF(A164="N/A"," ",VLOOKUP(A164,SatSunPeakPwr,(IF(BMO1=2,7,IF(BMO1=1,6,8))),FALSE()))</f>
        <v> </v>
      </c>
      <c r="Q164" s="402" t="str">
        <f aca="false">IF(A164="N/A"," ",(VLOOKUP(A164,OPPowerPrices,(IF(BMO1=2,7,IF(BMO1=1,6,8))),FALSE())))</f>
        <v> </v>
      </c>
      <c r="R164" s="403" t="str">
        <f aca="false">IF(A164="N/A"," ",(VLOOKUP($A164,IRTable,2)))</f>
        <v> </v>
      </c>
      <c r="AF164" s="352" t="n">
        <v>41426</v>
      </c>
      <c r="AG164" s="311" t="n">
        <v>20</v>
      </c>
      <c r="AH164" s="311" t="n">
        <v>5</v>
      </c>
      <c r="AI164" s="311" t="n">
        <v>5</v>
      </c>
      <c r="AJ164" s="311" t="n">
        <v>0</v>
      </c>
      <c r="AK164" s="311" t="n">
        <v>30</v>
      </c>
      <c r="AU164" s="406"/>
    </row>
    <row r="165" customFormat="false" ht="12.75" hidden="false" customHeight="false" outlineLevel="0" collapsed="false">
      <c r="A165" s="405" t="str">
        <f aca="false">Option1!A132</f>
        <v>N/A</v>
      </c>
      <c r="B165" s="396" t="str">
        <f aca="false">IF(A165="N/A"," ",IF(ISERROR(N165),B153*Pwresc,N165)*VLOOKUP(MONTH(A165),Curveadj,3))</f>
        <v> </v>
      </c>
      <c r="C165" s="397" t="str">
        <f aca="false">IF(A165="N/A"," ",(IF(AND(Scaler1=1,MONTH(A165)&gt;=6,MONTH(A165)&lt;=8,OR($M$37="REGION 2",$M$37="REGION 2A",$M$37="REGION 2B",$M$37="REGION 3",$M$37="REGION 3A",$M$37="REGION 3B",$M$37="REGION 3C",$M$37="REGION 4",$M$37="REGION 4B",$M$37="REGION 4C",$M$37="REGION 5",$M$37="REGION 5A")),((0.059228/(B165/100))-(0.4980013/(SQRT(B165/100)))+2.137988),HLOOKUP(MONTH(A165),ScalarTable,28))))</f>
        <v> </v>
      </c>
      <c r="D165" s="398" t="str">
        <f aca="false">IF(A165="N/A"," ",C165*B165)</f>
        <v> </v>
      </c>
      <c r="E165" s="396" t="str">
        <f aca="false">IF(A165="N/A"," ",IF(ISERROR(O165),E153*Pwresc,O165)*VLOOKUP(MONTH(A165),Curveadj,3))</f>
        <v> </v>
      </c>
      <c r="F165" s="398" t="str">
        <f aca="false">IF(A165="N/A"," ",E165*C165)</f>
        <v> </v>
      </c>
      <c r="G165" s="396" t="str">
        <f aca="false">IF(A165="N/A"," ",IF(ISERROR(P165),G153*Pwresc,P165)*VLOOKUP(MONTH(A165),Curveadj,3))</f>
        <v> </v>
      </c>
      <c r="H165" s="398" t="str">
        <f aca="false">IF(A165="N/A"," ",G165*C165)</f>
        <v> </v>
      </c>
      <c r="I165" s="398" t="str">
        <f aca="false">IF(A165="N/A"," ",IF(ISERROR(Q165),I153*Pwresc,Q165))</f>
        <v> </v>
      </c>
      <c r="J165" s="398" t="str">
        <f aca="false">IF(A165="N/A"," ",Inputs!$G$4)</f>
        <v> </v>
      </c>
      <c r="K165" s="399" t="str">
        <f aca="false">IF(A165="N/A"," ",IF(ISERROR(#REF!),K153*Gasesc,#REF!))</f>
        <v> </v>
      </c>
      <c r="L165" s="399" t="str">
        <f aca="false">IF(A165="N/A"," ",IF(ISERROR(#REF!),L153*Gasesc,IF(#REF!=0,L153*Gasesc,#REF!)))</f>
        <v> </v>
      </c>
      <c r="M165" s="404"/>
      <c r="N165" s="401" t="str">
        <f aca="false">IF(A165="N/A"," ",VLOOKUP(A165,PeakPowerCurves,(IF(BMO1=2,3,IF(BMO1=1,2,4))),FALSE()))</f>
        <v> </v>
      </c>
      <c r="O165" s="401" t="str">
        <f aca="false">IF(A165="N/A"," ",VLOOKUP(A165,SatSunPeakPwr,(IF(BMO1=2,3,IF(BMO1=1,2,4))),FALSE()))</f>
        <v> </v>
      </c>
      <c r="P165" s="401" t="str">
        <f aca="false">IF(A165="N/A"," ",VLOOKUP(A165,SatSunPeakPwr,(IF(BMO1=2,7,IF(BMO1=1,6,8))),FALSE()))</f>
        <v> </v>
      </c>
      <c r="Q165" s="402" t="str">
        <f aca="false">IF(A165="N/A"," ",(VLOOKUP(A165,OPPowerPrices,(IF(BMO1=2,7,IF(BMO1=1,6,8))),FALSE())))</f>
        <v> </v>
      </c>
      <c r="R165" s="403" t="str">
        <f aca="false">IF(A165="N/A"," ",(VLOOKUP($A165,IRTable,2)))</f>
        <v> </v>
      </c>
      <c r="AF165" s="352" t="n">
        <v>41456</v>
      </c>
      <c r="AG165" s="311" t="n">
        <v>22</v>
      </c>
      <c r="AH165" s="311" t="n">
        <v>4</v>
      </c>
      <c r="AI165" s="311" t="n">
        <v>5</v>
      </c>
      <c r="AJ165" s="311" t="n">
        <v>1</v>
      </c>
      <c r="AK165" s="311" t="n">
        <v>31</v>
      </c>
      <c r="AU165" s="406"/>
    </row>
    <row r="166" customFormat="false" ht="12.75" hidden="false" customHeight="false" outlineLevel="0" collapsed="false">
      <c r="A166" s="405" t="str">
        <f aca="false">Option1!A133</f>
        <v>N/A</v>
      </c>
      <c r="B166" s="396" t="str">
        <f aca="false">IF(A166="N/A"," ",IF(ISERROR(N166),B154*Pwresc,N166)*VLOOKUP(MONTH(A166),Curveadj,3))</f>
        <v> </v>
      </c>
      <c r="C166" s="397" t="str">
        <f aca="false">IF(A166="N/A"," ",(IF(AND(Scaler1=1,MONTH(A166)&gt;=6,MONTH(A166)&lt;=8,OR($M$37="REGION 2",$M$37="REGION 2A",$M$37="REGION 2B",$M$37="REGION 3",$M$37="REGION 3A",$M$37="REGION 3B",$M$37="REGION 3C",$M$37="REGION 4",$M$37="REGION 4B",$M$37="REGION 4C",$M$37="REGION 5",$M$37="REGION 5A")),((0.059228/(B166/100))-(0.4980013/(SQRT(B166/100)))+2.137988),HLOOKUP(MONTH(A166),ScalarTable,28))))</f>
        <v> </v>
      </c>
      <c r="D166" s="398" t="str">
        <f aca="false">IF(A166="N/A"," ",C166*B166)</f>
        <v> </v>
      </c>
      <c r="E166" s="396" t="str">
        <f aca="false">IF(A166="N/A"," ",IF(ISERROR(O166),E154*Pwresc,O166)*VLOOKUP(MONTH(A166),Curveadj,3))</f>
        <v> </v>
      </c>
      <c r="F166" s="398" t="str">
        <f aca="false">IF(A166="N/A"," ",E166*C166)</f>
        <v> </v>
      </c>
      <c r="G166" s="396" t="str">
        <f aca="false">IF(A166="N/A"," ",IF(ISERROR(P166),G154*Pwresc,P166)*VLOOKUP(MONTH(A166),Curveadj,3))</f>
        <v> </v>
      </c>
      <c r="H166" s="398" t="str">
        <f aca="false">IF(A166="N/A"," ",G166*C166)</f>
        <v> </v>
      </c>
      <c r="I166" s="398" t="str">
        <f aca="false">IF(A166="N/A"," ",IF(ISERROR(Q166),I154*Pwresc,Q166))</f>
        <v> </v>
      </c>
      <c r="J166" s="398" t="str">
        <f aca="false">IF(A166="N/A"," ",Inputs!$G$4)</f>
        <v> </v>
      </c>
      <c r="K166" s="399" t="str">
        <f aca="false">IF(A166="N/A"," ",IF(ISERROR(#REF!),K154*Gasesc,#REF!))</f>
        <v> </v>
      </c>
      <c r="L166" s="399" t="str">
        <f aca="false">IF(A166="N/A"," ",IF(ISERROR(#REF!),L154*Gasesc,IF(#REF!=0,L154*Gasesc,#REF!)))</f>
        <v> </v>
      </c>
      <c r="M166" s="404"/>
      <c r="N166" s="401" t="str">
        <f aca="false">IF(A166="N/A"," ",VLOOKUP(A166,PeakPowerCurves,(IF(BMO1=2,3,IF(BMO1=1,2,4))),FALSE()))</f>
        <v> </v>
      </c>
      <c r="O166" s="401" t="str">
        <f aca="false">IF(A166="N/A"," ",VLOOKUP(A166,SatSunPeakPwr,(IF(BMO1=2,3,IF(BMO1=1,2,4))),FALSE()))</f>
        <v> </v>
      </c>
      <c r="P166" s="401" t="str">
        <f aca="false">IF(A166="N/A"," ",VLOOKUP(A166,SatSunPeakPwr,(IF(BMO1=2,7,IF(BMO1=1,6,8))),FALSE()))</f>
        <v> </v>
      </c>
      <c r="Q166" s="402" t="str">
        <f aca="false">IF(A166="N/A"," ",(VLOOKUP(A166,OPPowerPrices,(IF(BMO1=2,7,IF(BMO1=1,6,8))),FALSE())))</f>
        <v> </v>
      </c>
      <c r="R166" s="403" t="str">
        <f aca="false">IF(A166="N/A"," ",(VLOOKUP($A166,IRTable,2)))</f>
        <v> </v>
      </c>
      <c r="AF166" s="352" t="n">
        <v>41487</v>
      </c>
      <c r="AG166" s="311" t="n">
        <v>22</v>
      </c>
      <c r="AH166" s="311" t="n">
        <v>5</v>
      </c>
      <c r="AI166" s="311" t="n">
        <v>4</v>
      </c>
      <c r="AJ166" s="311" t="n">
        <v>0</v>
      </c>
      <c r="AK166" s="311" t="n">
        <v>31</v>
      </c>
      <c r="AU166" s="406"/>
    </row>
    <row r="167" customFormat="false" ht="12.75" hidden="false" customHeight="false" outlineLevel="0" collapsed="false">
      <c r="A167" s="405" t="str">
        <f aca="false">Option1!A134</f>
        <v>N/A</v>
      </c>
      <c r="B167" s="396" t="str">
        <f aca="false">IF(A167="N/A"," ",IF(ISERROR(N167),B155*Pwresc,N167)*VLOOKUP(MONTH(A167),Curveadj,3))</f>
        <v> </v>
      </c>
      <c r="C167" s="397" t="str">
        <f aca="false">IF(A167="N/A"," ",(IF(AND(Scaler1=1,MONTH(A167)&gt;=6,MONTH(A167)&lt;=8,OR($M$37="REGION 2",$M$37="REGION 2A",$M$37="REGION 2B",$M$37="REGION 3",$M$37="REGION 3A",$M$37="REGION 3B",$M$37="REGION 3C",$M$37="REGION 4",$M$37="REGION 4B",$M$37="REGION 4C",$M$37="REGION 5",$M$37="REGION 5A")),((0.059228/(B167/100))-(0.4980013/(SQRT(B167/100)))+2.137988),HLOOKUP(MONTH(A167),ScalarTable,28))))</f>
        <v> </v>
      </c>
      <c r="D167" s="398" t="str">
        <f aca="false">IF(A167="N/A"," ",C167*B167)</f>
        <v> </v>
      </c>
      <c r="E167" s="396" t="str">
        <f aca="false">IF(A167="N/A"," ",IF(ISERROR(O167),E155*Pwresc,O167)*VLOOKUP(MONTH(A167),Curveadj,3))</f>
        <v> </v>
      </c>
      <c r="F167" s="398" t="str">
        <f aca="false">IF(A167="N/A"," ",E167*C167)</f>
        <v> </v>
      </c>
      <c r="G167" s="396" t="str">
        <f aca="false">IF(A167="N/A"," ",IF(ISERROR(P167),G155*Pwresc,P167)*VLOOKUP(MONTH(A167),Curveadj,3))</f>
        <v> </v>
      </c>
      <c r="H167" s="398" t="str">
        <f aca="false">IF(A167="N/A"," ",G167*C167)</f>
        <v> </v>
      </c>
      <c r="I167" s="398" t="str">
        <f aca="false">IF(A167="N/A"," ",IF(ISERROR(Q167),I155*Pwresc,Q167))</f>
        <v> </v>
      </c>
      <c r="J167" s="398" t="str">
        <f aca="false">IF(A167="N/A"," ",Inputs!$G$4)</f>
        <v> </v>
      </c>
      <c r="K167" s="399" t="str">
        <f aca="false">IF(A167="N/A"," ",IF(ISERROR(#REF!),K155*Gasesc,#REF!))</f>
        <v> </v>
      </c>
      <c r="L167" s="399" t="str">
        <f aca="false">IF(A167="N/A"," ",IF(ISERROR(#REF!),L155*Gasesc,IF(#REF!=0,L155*Gasesc,#REF!)))</f>
        <v> </v>
      </c>
      <c r="M167" s="404"/>
      <c r="N167" s="401" t="str">
        <f aca="false">IF(A167="N/A"," ",VLOOKUP(A167,PeakPowerCurves,(IF(BMO1=2,3,IF(BMO1=1,2,4))),FALSE()))</f>
        <v> </v>
      </c>
      <c r="O167" s="401" t="str">
        <f aca="false">IF(A167="N/A"," ",VLOOKUP(A167,SatSunPeakPwr,(IF(BMO1=2,3,IF(BMO1=1,2,4))),FALSE()))</f>
        <v> </v>
      </c>
      <c r="P167" s="401" t="str">
        <f aca="false">IF(A167="N/A"," ",VLOOKUP(A167,SatSunPeakPwr,(IF(BMO1=2,7,IF(BMO1=1,6,8))),FALSE()))</f>
        <v> </v>
      </c>
      <c r="Q167" s="402" t="str">
        <f aca="false">IF(A167="N/A"," ",(VLOOKUP(A167,OPPowerPrices,(IF(BMO1=2,7,IF(BMO1=1,6,8))),FALSE())))</f>
        <v> </v>
      </c>
      <c r="R167" s="403" t="str">
        <f aca="false">IF(A167="N/A"," ",(VLOOKUP($A167,IRTable,2)))</f>
        <v> </v>
      </c>
      <c r="AF167" s="352" t="n">
        <v>41518</v>
      </c>
      <c r="AG167" s="311" t="n">
        <v>20</v>
      </c>
      <c r="AH167" s="311" t="n">
        <v>4</v>
      </c>
      <c r="AI167" s="311" t="n">
        <v>6</v>
      </c>
      <c r="AJ167" s="311" t="n">
        <v>1</v>
      </c>
      <c r="AK167" s="311" t="n">
        <v>30</v>
      </c>
      <c r="AU167" s="406"/>
    </row>
    <row r="168" customFormat="false" ht="12.75" hidden="false" customHeight="false" outlineLevel="0" collapsed="false">
      <c r="A168" s="405" t="str">
        <f aca="false">Option1!A135</f>
        <v>N/A</v>
      </c>
      <c r="B168" s="396" t="str">
        <f aca="false">IF(A168="N/A"," ",IF(ISERROR(N168),B156*Pwresc,N168)*VLOOKUP(MONTH(A168),Curveadj,3))</f>
        <v> </v>
      </c>
      <c r="C168" s="397" t="str">
        <f aca="false">IF(A168="N/A"," ",(IF(AND(Scaler1=1,MONTH(A168)&gt;=6,MONTH(A168)&lt;=8,OR($M$37="REGION 2",$M$37="REGION 2A",$M$37="REGION 2B",$M$37="REGION 3",$M$37="REGION 3A",$M$37="REGION 3B",$M$37="REGION 3C",$M$37="REGION 4",$M$37="REGION 4B",$M$37="REGION 4C",$M$37="REGION 5",$M$37="REGION 5A")),((0.059228/(B168/100))-(0.4980013/(SQRT(B168/100)))+2.137988),HLOOKUP(MONTH(A168),ScalarTable,28))))</f>
        <v> </v>
      </c>
      <c r="D168" s="398" t="str">
        <f aca="false">IF(A168="N/A"," ",C168*B168)</f>
        <v> </v>
      </c>
      <c r="E168" s="396" t="str">
        <f aca="false">IF(A168="N/A"," ",IF(ISERROR(O168),E156*Pwresc,O168)*VLOOKUP(MONTH(A168),Curveadj,3))</f>
        <v> </v>
      </c>
      <c r="F168" s="398" t="str">
        <f aca="false">IF(A168="N/A"," ",E168*C168)</f>
        <v> </v>
      </c>
      <c r="G168" s="396" t="str">
        <f aca="false">IF(A168="N/A"," ",IF(ISERROR(P168),G156*Pwresc,P168)*VLOOKUP(MONTH(A168),Curveadj,3))</f>
        <v> </v>
      </c>
      <c r="H168" s="398" t="str">
        <f aca="false">IF(A168="N/A"," ",G168*C168)</f>
        <v> </v>
      </c>
      <c r="I168" s="398" t="str">
        <f aca="false">IF(A168="N/A"," ",IF(ISERROR(Q168),I156*Pwresc,Q168))</f>
        <v> </v>
      </c>
      <c r="J168" s="398" t="str">
        <f aca="false">IF(A168="N/A"," ",Inputs!$G$4)</f>
        <v> </v>
      </c>
      <c r="K168" s="399" t="str">
        <f aca="false">IF(A168="N/A"," ",IF(ISERROR(#REF!),K156*Gasesc,#REF!))</f>
        <v> </v>
      </c>
      <c r="L168" s="399" t="str">
        <f aca="false">IF(A168="N/A"," ",IF(ISERROR(#REF!),L156*Gasesc,IF(#REF!=0,L156*Gasesc,#REF!)))</f>
        <v> </v>
      </c>
      <c r="M168" s="404"/>
      <c r="N168" s="401" t="str">
        <f aca="false">IF(A168="N/A"," ",VLOOKUP(A168,PeakPowerCurves,(IF(BMO1=2,3,IF(BMO1=1,2,4))),FALSE()))</f>
        <v> </v>
      </c>
      <c r="O168" s="401" t="str">
        <f aca="false">IF(A168="N/A"," ",VLOOKUP(A168,SatSunPeakPwr,(IF(BMO1=2,3,IF(BMO1=1,2,4))),FALSE()))</f>
        <v> </v>
      </c>
      <c r="P168" s="401" t="str">
        <f aca="false">IF(A168="N/A"," ",VLOOKUP(A168,SatSunPeakPwr,(IF(BMO1=2,7,IF(BMO1=1,6,8))),FALSE()))</f>
        <v> </v>
      </c>
      <c r="Q168" s="402" t="str">
        <f aca="false">IF(A168="N/A"," ",(VLOOKUP(A168,OPPowerPrices,(IF(BMO1=2,7,IF(BMO1=1,6,8))),FALSE())))</f>
        <v> </v>
      </c>
      <c r="R168" s="403" t="str">
        <f aca="false">IF(A168="N/A"," ",(VLOOKUP($A168,IRTable,2)))</f>
        <v> </v>
      </c>
      <c r="AF168" s="352" t="n">
        <v>41548</v>
      </c>
      <c r="AG168" s="311" t="n">
        <v>23</v>
      </c>
      <c r="AH168" s="311" t="n">
        <v>4</v>
      </c>
      <c r="AI168" s="311" t="n">
        <v>4</v>
      </c>
      <c r="AJ168" s="311" t="n">
        <v>0</v>
      </c>
      <c r="AK168" s="311" t="n">
        <v>31</v>
      </c>
      <c r="AU168" s="406"/>
    </row>
    <row r="169" customFormat="false" ht="12.75" hidden="false" customHeight="false" outlineLevel="0" collapsed="false">
      <c r="A169" s="405" t="str">
        <f aca="false">Option1!A136</f>
        <v>N/A</v>
      </c>
      <c r="B169" s="396" t="str">
        <f aca="false">IF(A169="N/A"," ",IF(ISERROR(N169),B157*Pwresc,N169)*VLOOKUP(MONTH(A169),Curveadj,3))</f>
        <v> </v>
      </c>
      <c r="C169" s="397" t="str">
        <f aca="false">IF(A169="N/A"," ",(IF(AND(Scaler1=1,MONTH(A169)&gt;=6,MONTH(A169)&lt;=8,OR($M$37="REGION 2",$M$37="REGION 2A",$M$37="REGION 2B",$M$37="REGION 3",$M$37="REGION 3A",$M$37="REGION 3B",$M$37="REGION 3C",$M$37="REGION 4",$M$37="REGION 4B",$M$37="REGION 4C",$M$37="REGION 5",$M$37="REGION 5A")),((0.059228/(B169/100))-(0.4980013/(SQRT(B169/100)))+2.137988),HLOOKUP(MONTH(A169),ScalarTable,28))))</f>
        <v> </v>
      </c>
      <c r="D169" s="398" t="str">
        <f aca="false">IF(A169="N/A"," ",C169*B169)</f>
        <v> </v>
      </c>
      <c r="E169" s="396" t="str">
        <f aca="false">IF(A169="N/A"," ",IF(ISERROR(O169),E157*Pwresc,O169)*VLOOKUP(MONTH(A169),Curveadj,3))</f>
        <v> </v>
      </c>
      <c r="F169" s="398" t="str">
        <f aca="false">IF(A169="N/A"," ",E169*C169)</f>
        <v> </v>
      </c>
      <c r="G169" s="396" t="str">
        <f aca="false">IF(A169="N/A"," ",IF(ISERROR(P169),G157*Pwresc,P169)*VLOOKUP(MONTH(A169),Curveadj,3))</f>
        <v> </v>
      </c>
      <c r="H169" s="398" t="str">
        <f aca="false">IF(A169="N/A"," ",G169*C169)</f>
        <v> </v>
      </c>
      <c r="I169" s="398" t="str">
        <f aca="false">IF(A169="N/A"," ",IF(ISERROR(Q169),I157*Pwresc,Q169))</f>
        <v> </v>
      </c>
      <c r="J169" s="398" t="str">
        <f aca="false">IF(A169="N/A"," ",Inputs!$G$4)</f>
        <v> </v>
      </c>
      <c r="K169" s="399" t="str">
        <f aca="false">IF(A169="N/A"," ",IF(ISERROR(#REF!),K157*Gasesc,#REF!))</f>
        <v> </v>
      </c>
      <c r="L169" s="399" t="str">
        <f aca="false">IF(A169="N/A"," ",IF(ISERROR(#REF!),L157*Gasesc,IF(#REF!=0,L157*Gasesc,#REF!)))</f>
        <v> </v>
      </c>
      <c r="M169" s="404"/>
      <c r="N169" s="401" t="str">
        <f aca="false">IF(A169="N/A"," ",VLOOKUP(A169,PeakPowerCurves,(IF(BMO1=2,3,IF(BMO1=1,2,4))),FALSE()))</f>
        <v> </v>
      </c>
      <c r="O169" s="401" t="str">
        <f aca="false">IF(A169="N/A"," ",VLOOKUP(A169,SatSunPeakPwr,(IF(BMO1=2,3,IF(BMO1=1,2,4))),FALSE()))</f>
        <v> </v>
      </c>
      <c r="P169" s="401" t="str">
        <f aca="false">IF(A169="N/A"," ",VLOOKUP(A169,SatSunPeakPwr,(IF(BMO1=2,7,IF(BMO1=1,6,8))),FALSE()))</f>
        <v> </v>
      </c>
      <c r="Q169" s="402" t="str">
        <f aca="false">IF(A169="N/A"," ",(VLOOKUP(A169,OPPowerPrices,(IF(BMO1=2,7,IF(BMO1=1,6,8))),FALSE())))</f>
        <v> </v>
      </c>
      <c r="R169" s="403" t="str">
        <f aca="false">IF(A169="N/A"," ",(VLOOKUP($A169,IRTable,2)))</f>
        <v> </v>
      </c>
      <c r="AF169" s="352" t="n">
        <v>41579</v>
      </c>
      <c r="AG169" s="311" t="n">
        <v>20</v>
      </c>
      <c r="AH169" s="311" t="n">
        <v>5</v>
      </c>
      <c r="AI169" s="311" t="n">
        <v>5</v>
      </c>
      <c r="AJ169" s="311" t="n">
        <v>1</v>
      </c>
      <c r="AK169" s="311" t="n">
        <v>30</v>
      </c>
      <c r="AU169" s="406"/>
    </row>
    <row r="170" customFormat="false" ht="12.75" hidden="false" customHeight="false" outlineLevel="0" collapsed="false">
      <c r="A170" s="405" t="str">
        <f aca="false">Option1!A137</f>
        <v>N/A</v>
      </c>
      <c r="B170" s="396" t="str">
        <f aca="false">IF(A170="N/A"," ",IF(ISERROR(N170),B158*Pwresc,N170)*VLOOKUP(MONTH(A170),Curveadj,3))</f>
        <v> </v>
      </c>
      <c r="C170" s="397" t="str">
        <f aca="false">IF(A170="N/A"," ",(IF(AND(Scaler1=1,MONTH(A170)&gt;=6,MONTH(A170)&lt;=8,OR($M$37="REGION 2",$M$37="REGION 2A",$M$37="REGION 2B",$M$37="REGION 3",$M$37="REGION 3A",$M$37="REGION 3B",$M$37="REGION 3C",$M$37="REGION 4",$M$37="REGION 4B",$M$37="REGION 4C",$M$37="REGION 5",$M$37="REGION 5A")),((0.059228/(B170/100))-(0.4980013/(SQRT(B170/100)))+2.137988),HLOOKUP(MONTH(A170),ScalarTable,28))))</f>
        <v> </v>
      </c>
      <c r="D170" s="398" t="str">
        <f aca="false">IF(A170="N/A"," ",C170*B170)</f>
        <v> </v>
      </c>
      <c r="E170" s="396" t="str">
        <f aca="false">IF(A170="N/A"," ",IF(ISERROR(O170),E158*Pwresc,O170)*VLOOKUP(MONTH(A170),Curveadj,3))</f>
        <v> </v>
      </c>
      <c r="F170" s="398" t="str">
        <f aca="false">IF(A170="N/A"," ",E170*C170)</f>
        <v> </v>
      </c>
      <c r="G170" s="396" t="str">
        <f aca="false">IF(A170="N/A"," ",IF(ISERROR(P170),G158*Pwresc,P170)*VLOOKUP(MONTH(A170),Curveadj,3))</f>
        <v> </v>
      </c>
      <c r="H170" s="398" t="str">
        <f aca="false">IF(A170="N/A"," ",G170*C170)</f>
        <v> </v>
      </c>
      <c r="I170" s="398" t="str">
        <f aca="false">IF(A170="N/A"," ",IF(ISERROR(Q170),I158*Pwresc,Q170))</f>
        <v> </v>
      </c>
      <c r="J170" s="398" t="str">
        <f aca="false">IF(A170="N/A"," ",Inputs!$G$4)</f>
        <v> </v>
      </c>
      <c r="K170" s="399" t="str">
        <f aca="false">IF(A170="N/A"," ",IF(ISERROR(#REF!),K158*Gasesc,#REF!))</f>
        <v> </v>
      </c>
      <c r="L170" s="399" t="str">
        <f aca="false">IF(A170="N/A"," ",IF(ISERROR(#REF!),L158*Gasesc,IF(#REF!=0,L158*Gasesc,#REF!)))</f>
        <v> </v>
      </c>
      <c r="M170" s="404"/>
      <c r="N170" s="401" t="str">
        <f aca="false">IF(A170="N/A"," ",VLOOKUP(A170,PeakPowerCurves,(IF(BMO1=2,3,IF(BMO1=1,2,4))),FALSE()))</f>
        <v> </v>
      </c>
      <c r="O170" s="401" t="str">
        <f aca="false">IF(A170="N/A"," ",VLOOKUP(A170,SatSunPeakPwr,(IF(BMO1=2,3,IF(BMO1=1,2,4))),FALSE()))</f>
        <v> </v>
      </c>
      <c r="P170" s="401" t="str">
        <f aca="false">IF(A170="N/A"," ",VLOOKUP(A170,SatSunPeakPwr,(IF(BMO1=2,7,IF(BMO1=1,6,8))),FALSE()))</f>
        <v> </v>
      </c>
      <c r="Q170" s="402" t="str">
        <f aca="false">IF(A170="N/A"," ",(VLOOKUP(A170,OPPowerPrices,(IF(BMO1=2,7,IF(BMO1=1,6,8))),FALSE())))</f>
        <v> </v>
      </c>
      <c r="R170" s="403" t="str">
        <f aca="false">IF(A170="N/A"," ",(VLOOKUP($A170,IRTable,2)))</f>
        <v> </v>
      </c>
      <c r="AF170" s="352" t="n">
        <v>41609</v>
      </c>
      <c r="AG170" s="311" t="n">
        <v>21</v>
      </c>
      <c r="AH170" s="311" t="n">
        <v>4</v>
      </c>
      <c r="AI170" s="311" t="n">
        <v>6</v>
      </c>
      <c r="AJ170" s="311" t="n">
        <v>1</v>
      </c>
      <c r="AK170" s="311" t="n">
        <v>31</v>
      </c>
      <c r="AU170" s="406"/>
    </row>
    <row r="171" customFormat="false" ht="12.75" hidden="false" customHeight="false" outlineLevel="0" collapsed="false">
      <c r="A171" s="405" t="str">
        <f aca="false">Option1!A138</f>
        <v>N/A</v>
      </c>
      <c r="B171" s="396" t="str">
        <f aca="false">IF(A171="N/A"," ",IF(ISERROR(N171),B159*Pwresc,N171)*VLOOKUP(MONTH(A171),Curveadj,3))</f>
        <v> </v>
      </c>
      <c r="C171" s="397" t="str">
        <f aca="false">IF(A171="N/A"," ",(IF(AND(Scaler1=1,MONTH(A171)&gt;=6,MONTH(A171)&lt;=8,OR($M$37="REGION 2",$M$37="REGION 2A",$M$37="REGION 2B",$M$37="REGION 3",$M$37="REGION 3A",$M$37="REGION 3B",$M$37="REGION 3C",$M$37="REGION 4",$M$37="REGION 4B",$M$37="REGION 4C",$M$37="REGION 5",$M$37="REGION 5A")),((0.059228/(B171/100))-(0.4980013/(SQRT(B171/100)))+2.137988),HLOOKUP(MONTH(A171),ScalarTable,28))))</f>
        <v> </v>
      </c>
      <c r="D171" s="398" t="str">
        <f aca="false">IF(A171="N/A"," ",C171*B171)</f>
        <v> </v>
      </c>
      <c r="E171" s="396" t="str">
        <f aca="false">IF(A171="N/A"," ",IF(ISERROR(O171),E159*Pwresc,O171)*VLOOKUP(MONTH(A171),Curveadj,3))</f>
        <v> </v>
      </c>
      <c r="F171" s="398" t="str">
        <f aca="false">IF(A171="N/A"," ",E171*C171)</f>
        <v> </v>
      </c>
      <c r="G171" s="396" t="str">
        <f aca="false">IF(A171="N/A"," ",IF(ISERROR(P171),G159*Pwresc,P171)*VLOOKUP(MONTH(A171),Curveadj,3))</f>
        <v> </v>
      </c>
      <c r="H171" s="398" t="str">
        <f aca="false">IF(A171="N/A"," ",G171*C171)</f>
        <v> </v>
      </c>
      <c r="I171" s="398" t="str">
        <f aca="false">IF(A171="N/A"," ",IF(ISERROR(Q171),I159*Pwresc,Q171))</f>
        <v> </v>
      </c>
      <c r="J171" s="398" t="str">
        <f aca="false">IF(A171="N/A"," ",Inputs!$G$4)</f>
        <v> </v>
      </c>
      <c r="K171" s="399" t="str">
        <f aca="false">IF(A171="N/A"," ",IF(ISERROR(#REF!),K159*Gasesc,#REF!))</f>
        <v> </v>
      </c>
      <c r="L171" s="399" t="str">
        <f aca="false">IF(A171="N/A"," ",IF(ISERROR(#REF!),L159*Gasesc,IF(#REF!=0,L159*Gasesc,#REF!)))</f>
        <v> </v>
      </c>
      <c r="M171" s="404"/>
      <c r="N171" s="401" t="str">
        <f aca="false">IF(A171="N/A"," ",VLOOKUP(A171,PeakPowerCurves,(IF(BMO1=2,3,IF(BMO1=1,2,4))),FALSE()))</f>
        <v> </v>
      </c>
      <c r="O171" s="401" t="str">
        <f aca="false">IF(A171="N/A"," ",VLOOKUP(A171,SatSunPeakPwr,(IF(BMO1=2,3,IF(BMO1=1,2,4))),FALSE()))</f>
        <v> </v>
      </c>
      <c r="P171" s="401" t="str">
        <f aca="false">IF(A171="N/A"," ",VLOOKUP(A171,SatSunPeakPwr,(IF(BMO1=2,7,IF(BMO1=1,6,8))),FALSE()))</f>
        <v> </v>
      </c>
      <c r="Q171" s="402" t="str">
        <f aca="false">IF(A171="N/A"," ",(VLOOKUP(A171,OPPowerPrices,(IF(BMO1=2,7,IF(BMO1=1,6,8))),FALSE())))</f>
        <v> </v>
      </c>
      <c r="R171" s="403" t="str">
        <f aca="false">IF(A171="N/A"," ",(VLOOKUP($A171,IRTable,2)))</f>
        <v> </v>
      </c>
      <c r="AF171" s="352" t="n">
        <v>41640</v>
      </c>
      <c r="AG171" s="311" t="n">
        <v>22</v>
      </c>
      <c r="AH171" s="311" t="n">
        <v>4</v>
      </c>
      <c r="AI171" s="311" t="n">
        <v>5</v>
      </c>
      <c r="AJ171" s="311" t="n">
        <v>1</v>
      </c>
      <c r="AK171" s="311" t="n">
        <v>31</v>
      </c>
      <c r="AU171" s="406"/>
    </row>
    <row r="172" customFormat="false" ht="12.75" hidden="false" customHeight="false" outlineLevel="0" collapsed="false">
      <c r="A172" s="405" t="str">
        <f aca="false">Option1!A139</f>
        <v>N/A</v>
      </c>
      <c r="B172" s="396" t="str">
        <f aca="false">IF(A172="N/A"," ",IF(ISERROR(N172),B160*Pwresc,N172)*VLOOKUP(MONTH(A172),Curveadj,3))</f>
        <v> </v>
      </c>
      <c r="C172" s="397" t="str">
        <f aca="false">IF(A172="N/A"," ",(IF(AND(Scaler1=1,MONTH(A172)&gt;=6,MONTH(A172)&lt;=8,OR($M$37="REGION 2",$M$37="REGION 2A",$M$37="REGION 2B",$M$37="REGION 3",$M$37="REGION 3A",$M$37="REGION 3B",$M$37="REGION 3C",$M$37="REGION 4",$M$37="REGION 4B",$M$37="REGION 4C",$M$37="REGION 5",$M$37="REGION 5A")),((0.059228/(B172/100))-(0.4980013/(SQRT(B172/100)))+2.137988),HLOOKUP(MONTH(A172),ScalarTable,28))))</f>
        <v> </v>
      </c>
      <c r="D172" s="398" t="str">
        <f aca="false">IF(A172="N/A"," ",C172*B172)</f>
        <v> </v>
      </c>
      <c r="E172" s="396" t="str">
        <f aca="false">IF(A172="N/A"," ",IF(ISERROR(O172),E160*Pwresc,O172)*VLOOKUP(MONTH(A172),Curveadj,3))</f>
        <v> </v>
      </c>
      <c r="F172" s="398" t="str">
        <f aca="false">IF(A172="N/A"," ",E172*C172)</f>
        <v> </v>
      </c>
      <c r="G172" s="396" t="str">
        <f aca="false">IF(A172="N/A"," ",IF(ISERROR(P172),G160*Pwresc,P172)*VLOOKUP(MONTH(A172),Curveadj,3))</f>
        <v> </v>
      </c>
      <c r="H172" s="398" t="str">
        <f aca="false">IF(A172="N/A"," ",G172*C172)</f>
        <v> </v>
      </c>
      <c r="I172" s="398" t="str">
        <f aca="false">IF(A172="N/A"," ",IF(ISERROR(Q172),I160*Pwresc,Q172))</f>
        <v> </v>
      </c>
      <c r="J172" s="398" t="str">
        <f aca="false">IF(A172="N/A"," ",Inputs!$G$4)</f>
        <v> </v>
      </c>
      <c r="K172" s="399" t="str">
        <f aca="false">IF(A172="N/A"," ",IF(ISERROR(#REF!),K160*Gasesc,#REF!))</f>
        <v> </v>
      </c>
      <c r="L172" s="399" t="str">
        <f aca="false">IF(A172="N/A"," ",IF(ISERROR(#REF!),L160*Gasesc,IF(#REF!=0,L160*Gasesc,#REF!)))</f>
        <v> </v>
      </c>
      <c r="M172" s="404"/>
      <c r="N172" s="401" t="str">
        <f aca="false">IF(A172="N/A"," ",VLOOKUP(A172,PeakPowerCurves,(IF(BMO1=2,3,IF(BMO1=1,2,4))),FALSE()))</f>
        <v> </v>
      </c>
      <c r="O172" s="401" t="str">
        <f aca="false">IF(A172="N/A"," ",VLOOKUP(A172,SatSunPeakPwr,(IF(BMO1=2,3,IF(BMO1=1,2,4))),FALSE()))</f>
        <v> </v>
      </c>
      <c r="P172" s="401" t="str">
        <f aca="false">IF(A172="N/A"," ",VLOOKUP(A172,SatSunPeakPwr,(IF(BMO1=2,7,IF(BMO1=1,6,8))),FALSE()))</f>
        <v> </v>
      </c>
      <c r="Q172" s="402" t="str">
        <f aca="false">IF(A172="N/A"," ",(VLOOKUP(A172,OPPowerPrices,(IF(BMO1=2,7,IF(BMO1=1,6,8))),FALSE())))</f>
        <v> </v>
      </c>
      <c r="R172" s="403" t="str">
        <f aca="false">IF(A172="N/A"," ",(VLOOKUP($A172,IRTable,2)))</f>
        <v> </v>
      </c>
      <c r="AF172" s="352" t="n">
        <v>41671</v>
      </c>
      <c r="AG172" s="311" t="n">
        <v>20</v>
      </c>
      <c r="AH172" s="311" t="n">
        <v>4</v>
      </c>
      <c r="AI172" s="311" t="n">
        <v>4</v>
      </c>
      <c r="AJ172" s="311" t="n">
        <v>0</v>
      </c>
      <c r="AK172" s="311" t="n">
        <v>28</v>
      </c>
      <c r="AU172" s="406"/>
    </row>
    <row r="173" customFormat="false" ht="12.75" hidden="false" customHeight="false" outlineLevel="0" collapsed="false">
      <c r="A173" s="405" t="str">
        <f aca="false">Option1!A140</f>
        <v>N/A</v>
      </c>
      <c r="B173" s="396" t="str">
        <f aca="false">IF(A173="N/A"," ",IF(ISERROR(N173),B161*Pwresc,N173)*VLOOKUP(MONTH(A173),Curveadj,3))</f>
        <v> </v>
      </c>
      <c r="C173" s="397" t="str">
        <f aca="false">IF(A173="N/A"," ",(IF(AND(Scaler1=1,MONTH(A173)&gt;=6,MONTH(A173)&lt;=8,OR($M$37="REGION 2",$M$37="REGION 2A",$M$37="REGION 2B",$M$37="REGION 3",$M$37="REGION 3A",$M$37="REGION 3B",$M$37="REGION 3C",$M$37="REGION 4",$M$37="REGION 4B",$M$37="REGION 4C",$M$37="REGION 5",$M$37="REGION 5A")),((0.059228/(B173/100))-(0.4980013/(SQRT(B173/100)))+2.137988),HLOOKUP(MONTH(A173),ScalarTable,28))))</f>
        <v> </v>
      </c>
      <c r="D173" s="398" t="str">
        <f aca="false">IF(A173="N/A"," ",C173*B173)</f>
        <v> </v>
      </c>
      <c r="E173" s="396" t="str">
        <f aca="false">IF(A173="N/A"," ",IF(ISERROR(O173),E161*Pwresc,O173)*VLOOKUP(MONTH(A173),Curveadj,3))</f>
        <v> </v>
      </c>
      <c r="F173" s="398" t="str">
        <f aca="false">IF(A173="N/A"," ",E173*C173)</f>
        <v> </v>
      </c>
      <c r="G173" s="396" t="str">
        <f aca="false">IF(A173="N/A"," ",IF(ISERROR(P173),G161*Pwresc,P173)*VLOOKUP(MONTH(A173),Curveadj,3))</f>
        <v> </v>
      </c>
      <c r="H173" s="398" t="str">
        <f aca="false">IF(A173="N/A"," ",G173*C173)</f>
        <v> </v>
      </c>
      <c r="I173" s="398" t="str">
        <f aca="false">IF(A173="N/A"," ",IF(ISERROR(Q173),I161*Pwresc,Q173))</f>
        <v> </v>
      </c>
      <c r="J173" s="398" t="str">
        <f aca="false">IF(A173="N/A"," ",Inputs!$G$4)</f>
        <v> </v>
      </c>
      <c r="K173" s="399" t="str">
        <f aca="false">IF(A173="N/A"," ",IF(ISERROR(#REF!),K161*Gasesc,#REF!))</f>
        <v> </v>
      </c>
      <c r="L173" s="399" t="str">
        <f aca="false">IF(A173="N/A"," ",IF(ISERROR(#REF!),L161*Gasesc,IF(#REF!=0,L161*Gasesc,#REF!)))</f>
        <v> </v>
      </c>
      <c r="M173" s="404"/>
      <c r="N173" s="401" t="str">
        <f aca="false">IF(A173="N/A"," ",VLOOKUP(A173,PeakPowerCurves,(IF(BMO1=2,3,IF(BMO1=1,2,4))),FALSE()))</f>
        <v> </v>
      </c>
      <c r="O173" s="401" t="str">
        <f aca="false">IF(A173="N/A"," ",VLOOKUP(A173,SatSunPeakPwr,(IF(BMO1=2,3,IF(BMO1=1,2,4))),FALSE()))</f>
        <v> </v>
      </c>
      <c r="P173" s="401" t="str">
        <f aca="false">IF(A173="N/A"," ",VLOOKUP(A173,SatSunPeakPwr,(IF(BMO1=2,7,IF(BMO1=1,6,8))),FALSE()))</f>
        <v> </v>
      </c>
      <c r="Q173" s="402" t="str">
        <f aca="false">IF(A173="N/A"," ",(VLOOKUP(A173,OPPowerPrices,(IF(BMO1=2,7,IF(BMO1=1,6,8))),FALSE())))</f>
        <v> </v>
      </c>
      <c r="R173" s="403" t="str">
        <f aca="false">IF(A173="N/A"," ",(VLOOKUP($A173,IRTable,2)))</f>
        <v> </v>
      </c>
      <c r="AF173" s="352" t="n">
        <v>41699</v>
      </c>
      <c r="AG173" s="311" t="n">
        <v>21</v>
      </c>
      <c r="AH173" s="311" t="n">
        <v>5</v>
      </c>
      <c r="AI173" s="311" t="n">
        <v>5</v>
      </c>
      <c r="AJ173" s="311" t="n">
        <v>0</v>
      </c>
      <c r="AK173" s="311" t="n">
        <v>31</v>
      </c>
      <c r="AU173" s="406"/>
    </row>
    <row r="174" customFormat="false" ht="12.75" hidden="false" customHeight="false" outlineLevel="0" collapsed="false">
      <c r="A174" s="405" t="str">
        <f aca="false">Option1!A141</f>
        <v>N/A</v>
      </c>
      <c r="B174" s="396" t="str">
        <f aca="false">IF(A174="N/A"," ",IF(ISERROR(N174),B162*Pwresc,N174)*VLOOKUP(MONTH(A174),Curveadj,3))</f>
        <v> </v>
      </c>
      <c r="C174" s="397" t="str">
        <f aca="false">IF(A174="N/A"," ",(IF(AND(Scaler1=1,MONTH(A174)&gt;=6,MONTH(A174)&lt;=8,OR($M$37="REGION 2",$M$37="REGION 2A",$M$37="REGION 2B",$M$37="REGION 3",$M$37="REGION 3A",$M$37="REGION 3B",$M$37="REGION 3C",$M$37="REGION 4",$M$37="REGION 4B",$M$37="REGION 4C",$M$37="REGION 5",$M$37="REGION 5A")),((0.059228/(B174/100))-(0.4980013/(SQRT(B174/100)))+2.137988),HLOOKUP(MONTH(A174),ScalarTable,28))))</f>
        <v> </v>
      </c>
      <c r="D174" s="398" t="str">
        <f aca="false">IF(A174="N/A"," ",C174*B174)</f>
        <v> </v>
      </c>
      <c r="E174" s="396" t="str">
        <f aca="false">IF(A174="N/A"," ",IF(ISERROR(O174),E162*Pwresc,O174)*VLOOKUP(MONTH(A174),Curveadj,3))</f>
        <v> </v>
      </c>
      <c r="F174" s="398" t="str">
        <f aca="false">IF(A174="N/A"," ",E174*C174)</f>
        <v> </v>
      </c>
      <c r="G174" s="396" t="str">
        <f aca="false">IF(A174="N/A"," ",IF(ISERROR(P174),G162*Pwresc,P174)*VLOOKUP(MONTH(A174),Curveadj,3))</f>
        <v> </v>
      </c>
      <c r="H174" s="398" t="str">
        <f aca="false">IF(A174="N/A"," ",G174*C174)</f>
        <v> </v>
      </c>
      <c r="I174" s="398" t="str">
        <f aca="false">IF(A174="N/A"," ",IF(ISERROR(Q174),I162*Pwresc,Q174))</f>
        <v> </v>
      </c>
      <c r="J174" s="398" t="str">
        <f aca="false">IF(A174="N/A"," ",Inputs!$G$4)</f>
        <v> </v>
      </c>
      <c r="K174" s="399" t="str">
        <f aca="false">IF(A174="N/A"," ",IF(ISERROR(#REF!),K162*Gasesc,#REF!))</f>
        <v> </v>
      </c>
      <c r="L174" s="399" t="str">
        <f aca="false">IF(A174="N/A"," ",IF(ISERROR(#REF!),L162*Gasesc,IF(#REF!=0,L162*Gasesc,#REF!)))</f>
        <v> </v>
      </c>
      <c r="M174" s="404"/>
      <c r="N174" s="401" t="str">
        <f aca="false">IF(A174="N/A"," ",VLOOKUP(A174,PeakPowerCurves,(IF(BMO1=2,3,IF(BMO1=1,2,4))),FALSE()))</f>
        <v> </v>
      </c>
      <c r="O174" s="401" t="str">
        <f aca="false">IF(A174="N/A"," ",VLOOKUP(A174,SatSunPeakPwr,(IF(BMO1=2,3,IF(BMO1=1,2,4))),FALSE()))</f>
        <v> </v>
      </c>
      <c r="P174" s="401" t="str">
        <f aca="false">IF(A174="N/A"," ",VLOOKUP(A174,SatSunPeakPwr,(IF(BMO1=2,7,IF(BMO1=1,6,8))),FALSE()))</f>
        <v> </v>
      </c>
      <c r="Q174" s="402" t="str">
        <f aca="false">IF(A174="N/A"," ",(VLOOKUP(A174,OPPowerPrices,(IF(BMO1=2,7,IF(BMO1=1,6,8))),FALSE())))</f>
        <v> </v>
      </c>
      <c r="R174" s="403" t="str">
        <f aca="false">IF(A174="N/A"," ",(VLOOKUP($A174,IRTable,2)))</f>
        <v> </v>
      </c>
      <c r="AF174" s="352" t="n">
        <v>41730</v>
      </c>
      <c r="AG174" s="311" t="n">
        <v>22</v>
      </c>
      <c r="AH174" s="311" t="n">
        <v>4</v>
      </c>
      <c r="AI174" s="311" t="n">
        <v>4</v>
      </c>
      <c r="AJ174" s="311" t="n">
        <v>0</v>
      </c>
      <c r="AK174" s="311" t="n">
        <v>30</v>
      </c>
      <c r="AU174" s="406"/>
    </row>
    <row r="175" customFormat="false" ht="12.75" hidden="false" customHeight="false" outlineLevel="0" collapsed="false">
      <c r="A175" s="405" t="str">
        <f aca="false">Option1!A142</f>
        <v>N/A</v>
      </c>
      <c r="B175" s="396" t="str">
        <f aca="false">IF(A175="N/A"," ",IF(ISERROR(N175),B163*Pwresc,N175)*VLOOKUP(MONTH(A175),Curveadj,3))</f>
        <v> </v>
      </c>
      <c r="C175" s="397" t="str">
        <f aca="false">IF(A175="N/A"," ",(IF(AND(Scaler1=1,MONTH(A175)&gt;=6,MONTH(A175)&lt;=8,OR($M$37="REGION 2",$M$37="REGION 2A",$M$37="REGION 2B",$M$37="REGION 3",$M$37="REGION 3A",$M$37="REGION 3B",$M$37="REGION 3C",$M$37="REGION 4",$M$37="REGION 4B",$M$37="REGION 4C",$M$37="REGION 5",$M$37="REGION 5A")),((0.059228/(B175/100))-(0.4980013/(SQRT(B175/100)))+2.137988),HLOOKUP(MONTH(A175),ScalarTable,28))))</f>
        <v> </v>
      </c>
      <c r="D175" s="398" t="str">
        <f aca="false">IF(A175="N/A"," ",C175*B175)</f>
        <v> </v>
      </c>
      <c r="E175" s="396" t="str">
        <f aca="false">IF(A175="N/A"," ",IF(ISERROR(O175),E163*Pwresc,O175)*VLOOKUP(MONTH(A175),Curveadj,3))</f>
        <v> </v>
      </c>
      <c r="F175" s="398" t="str">
        <f aca="false">IF(A175="N/A"," ",E175*C175)</f>
        <v> </v>
      </c>
      <c r="G175" s="396" t="str">
        <f aca="false">IF(A175="N/A"," ",IF(ISERROR(P175),G163*Pwresc,P175)*VLOOKUP(MONTH(A175),Curveadj,3))</f>
        <v> </v>
      </c>
      <c r="H175" s="398" t="str">
        <f aca="false">IF(A175="N/A"," ",G175*C175)</f>
        <v> </v>
      </c>
      <c r="I175" s="398" t="str">
        <f aca="false">IF(A175="N/A"," ",IF(ISERROR(Q175),I163*Pwresc,Q175))</f>
        <v> </v>
      </c>
      <c r="J175" s="398" t="str">
        <f aca="false">IF(A175="N/A"," ",Inputs!$G$4)</f>
        <v> </v>
      </c>
      <c r="K175" s="399" t="str">
        <f aca="false">IF(A175="N/A"," ",IF(ISERROR(#REF!),K163*Gasesc,#REF!))</f>
        <v> </v>
      </c>
      <c r="L175" s="399" t="str">
        <f aca="false">IF(A175="N/A"," ",IF(ISERROR(#REF!),L163*Gasesc,IF(#REF!=0,L163*Gasesc,#REF!)))</f>
        <v> </v>
      </c>
      <c r="M175" s="404"/>
      <c r="N175" s="401" t="str">
        <f aca="false">IF(A175="N/A"," ",VLOOKUP(A175,PeakPowerCurves,(IF(BMO1=2,3,IF(BMO1=1,2,4))),FALSE()))</f>
        <v> </v>
      </c>
      <c r="O175" s="401" t="str">
        <f aca="false">IF(A175="N/A"," ",VLOOKUP(A175,SatSunPeakPwr,(IF(BMO1=2,3,IF(BMO1=1,2,4))),FALSE()))</f>
        <v> </v>
      </c>
      <c r="P175" s="401" t="str">
        <f aca="false">IF(A175="N/A"," ",VLOOKUP(A175,SatSunPeakPwr,(IF(BMO1=2,7,IF(BMO1=1,6,8))),FALSE()))</f>
        <v> </v>
      </c>
      <c r="Q175" s="402" t="str">
        <f aca="false">IF(A175="N/A"," ",(VLOOKUP(A175,OPPowerPrices,(IF(BMO1=2,7,IF(BMO1=1,6,8))),FALSE())))</f>
        <v> </v>
      </c>
      <c r="R175" s="403" t="str">
        <f aca="false">IF(A175="N/A"," ",(VLOOKUP($A175,IRTable,2)))</f>
        <v> </v>
      </c>
      <c r="AF175" s="352" t="n">
        <v>41760</v>
      </c>
      <c r="AG175" s="311" t="n">
        <v>21</v>
      </c>
      <c r="AH175" s="311" t="n">
        <v>5</v>
      </c>
      <c r="AI175" s="311" t="n">
        <v>5</v>
      </c>
      <c r="AJ175" s="311" t="n">
        <v>1</v>
      </c>
      <c r="AK175" s="311" t="n">
        <v>31</v>
      </c>
      <c r="AU175" s="406"/>
    </row>
    <row r="176" customFormat="false" ht="12.75" hidden="false" customHeight="false" outlineLevel="0" collapsed="false">
      <c r="A176" s="405" t="str">
        <f aca="false">Option1!A143</f>
        <v>N/A</v>
      </c>
      <c r="B176" s="396" t="str">
        <f aca="false">IF(A176="N/A"," ",IF(ISERROR(N176),B164*Pwresc,N176)*VLOOKUP(MONTH(A176),Curveadj,3))</f>
        <v> </v>
      </c>
      <c r="C176" s="397" t="str">
        <f aca="false">IF(A176="N/A"," ",(IF(AND(Scaler1=1,MONTH(A176)&gt;=6,MONTH(A176)&lt;=8,OR($M$37="REGION 2",$M$37="REGION 2A",$M$37="REGION 2B",$M$37="REGION 3",$M$37="REGION 3A",$M$37="REGION 3B",$M$37="REGION 3C",$M$37="REGION 4",$M$37="REGION 4B",$M$37="REGION 4C",$M$37="REGION 5",$M$37="REGION 5A")),((0.059228/(B176/100))-(0.4980013/(SQRT(B176/100)))+2.137988),HLOOKUP(MONTH(A176),ScalarTable,28))))</f>
        <v> </v>
      </c>
      <c r="D176" s="398" t="str">
        <f aca="false">IF(A176="N/A"," ",C176*B176)</f>
        <v> </v>
      </c>
      <c r="E176" s="396" t="str">
        <f aca="false">IF(A176="N/A"," ",IF(ISERROR(O176),E164*Pwresc,O176)*VLOOKUP(MONTH(A176),Curveadj,3))</f>
        <v> </v>
      </c>
      <c r="F176" s="398" t="str">
        <f aca="false">IF(A176="N/A"," ",E176*C176)</f>
        <v> </v>
      </c>
      <c r="G176" s="396" t="str">
        <f aca="false">IF(A176="N/A"," ",IF(ISERROR(P176),G164*Pwresc,P176)*VLOOKUP(MONTH(A176),Curveadj,3))</f>
        <v> </v>
      </c>
      <c r="H176" s="398" t="str">
        <f aca="false">IF(A176="N/A"," ",G176*C176)</f>
        <v> </v>
      </c>
      <c r="I176" s="398" t="str">
        <f aca="false">IF(A176="N/A"," ",IF(ISERROR(Q176),I164*Pwresc,Q176))</f>
        <v> </v>
      </c>
      <c r="J176" s="398" t="str">
        <f aca="false">IF(A176="N/A"," ",Inputs!$G$4)</f>
        <v> </v>
      </c>
      <c r="K176" s="399" t="str">
        <f aca="false">IF(A176="N/A"," ",IF(ISERROR(#REF!),K164*Gasesc,#REF!))</f>
        <v> </v>
      </c>
      <c r="L176" s="399" t="str">
        <f aca="false">IF(A176="N/A"," ",IF(ISERROR(#REF!),L164*Gasesc,IF(#REF!=0,L164*Gasesc,#REF!)))</f>
        <v> </v>
      </c>
      <c r="M176" s="404"/>
      <c r="N176" s="401" t="str">
        <f aca="false">IF(A176="N/A"," ",VLOOKUP(A176,PeakPowerCurves,(IF(BMO1=2,3,IF(BMO1=1,2,4))),FALSE()))</f>
        <v> </v>
      </c>
      <c r="O176" s="401" t="str">
        <f aca="false">IF(A176="N/A"," ",VLOOKUP(A176,SatSunPeakPwr,(IF(BMO1=2,3,IF(BMO1=1,2,4))),FALSE()))</f>
        <v> </v>
      </c>
      <c r="P176" s="401" t="str">
        <f aca="false">IF(A176="N/A"," ",VLOOKUP(A176,SatSunPeakPwr,(IF(BMO1=2,7,IF(BMO1=1,6,8))),FALSE()))</f>
        <v> </v>
      </c>
      <c r="Q176" s="402" t="str">
        <f aca="false">IF(A176="N/A"," ",(VLOOKUP(A176,OPPowerPrices,(IF(BMO1=2,7,IF(BMO1=1,6,8))),FALSE())))</f>
        <v> </v>
      </c>
      <c r="R176" s="403" t="str">
        <f aca="false">IF(A176="N/A"," ",(VLOOKUP($A176,IRTable,2)))</f>
        <v> </v>
      </c>
      <c r="AF176" s="352" t="n">
        <v>41791</v>
      </c>
      <c r="AG176" s="311" t="n">
        <v>21</v>
      </c>
      <c r="AH176" s="311" t="n">
        <v>4</v>
      </c>
      <c r="AI176" s="311" t="n">
        <v>5</v>
      </c>
      <c r="AJ176" s="311" t="n">
        <v>0</v>
      </c>
      <c r="AK176" s="311" t="n">
        <v>30</v>
      </c>
      <c r="AU176" s="406"/>
    </row>
    <row r="177" customFormat="false" ht="12.75" hidden="false" customHeight="false" outlineLevel="0" collapsed="false">
      <c r="A177" s="405" t="str">
        <f aca="false">Option1!A144</f>
        <v>N/A</v>
      </c>
      <c r="B177" s="396" t="str">
        <f aca="false">IF(A177="N/A"," ",IF(ISERROR(N177),B165*Pwresc,N177)*VLOOKUP(MONTH(A177),Curveadj,3))</f>
        <v> </v>
      </c>
      <c r="C177" s="397" t="str">
        <f aca="false">IF(A177="N/A"," ",(IF(AND(Scaler1=1,MONTH(A177)&gt;=6,MONTH(A177)&lt;=8,OR($M$37="REGION 2",$M$37="REGION 2A",$M$37="REGION 2B",$M$37="REGION 3",$M$37="REGION 3A",$M$37="REGION 3B",$M$37="REGION 3C",$M$37="REGION 4",$M$37="REGION 4B",$M$37="REGION 4C",$M$37="REGION 5",$M$37="REGION 5A")),((0.059228/(B177/100))-(0.4980013/(SQRT(B177/100)))+2.137988),HLOOKUP(MONTH(A177),ScalarTable,28))))</f>
        <v> </v>
      </c>
      <c r="D177" s="398" t="str">
        <f aca="false">IF(A177="N/A"," ",C177*B177)</f>
        <v> </v>
      </c>
      <c r="E177" s="396" t="str">
        <f aca="false">IF(A177="N/A"," ",IF(ISERROR(O177),E165*Pwresc,O177)*VLOOKUP(MONTH(A177),Curveadj,3))</f>
        <v> </v>
      </c>
      <c r="F177" s="398" t="str">
        <f aca="false">IF(A177="N/A"," ",E177*C177)</f>
        <v> </v>
      </c>
      <c r="G177" s="396" t="str">
        <f aca="false">IF(A177="N/A"," ",IF(ISERROR(P177),G165*Pwresc,P177)*VLOOKUP(MONTH(A177),Curveadj,3))</f>
        <v> </v>
      </c>
      <c r="H177" s="398" t="str">
        <f aca="false">IF(A177="N/A"," ",G177*C177)</f>
        <v> </v>
      </c>
      <c r="I177" s="398" t="str">
        <f aca="false">IF(A177="N/A"," ",IF(ISERROR(Q177),I165*Pwresc,Q177))</f>
        <v> </v>
      </c>
      <c r="J177" s="398" t="str">
        <f aca="false">IF(A177="N/A"," ",Inputs!$G$4)</f>
        <v> </v>
      </c>
      <c r="K177" s="399" t="str">
        <f aca="false">IF(A177="N/A"," ",IF(ISERROR(#REF!),K165*Gasesc,#REF!))</f>
        <v> </v>
      </c>
      <c r="L177" s="399" t="str">
        <f aca="false">IF(A177="N/A"," ",IF(ISERROR(#REF!),L165*Gasesc,IF(#REF!=0,L165*Gasesc,#REF!)))</f>
        <v> </v>
      </c>
      <c r="M177" s="404"/>
      <c r="N177" s="401" t="str">
        <f aca="false">IF(A177="N/A"," ",VLOOKUP(A177,PeakPowerCurves,(IF(BMO1=2,3,IF(BMO1=1,2,4))),FALSE()))</f>
        <v> </v>
      </c>
      <c r="O177" s="401" t="str">
        <f aca="false">IF(A177="N/A"," ",VLOOKUP(A177,SatSunPeakPwr,(IF(BMO1=2,3,IF(BMO1=1,2,4))),FALSE()))</f>
        <v> </v>
      </c>
      <c r="P177" s="401" t="str">
        <f aca="false">IF(A177="N/A"," ",VLOOKUP(A177,SatSunPeakPwr,(IF(BMO1=2,7,IF(BMO1=1,6,8))),FALSE()))</f>
        <v> </v>
      </c>
      <c r="Q177" s="402" t="str">
        <f aca="false">IF(A177="N/A"," ",(VLOOKUP(A177,OPPowerPrices,(IF(BMO1=2,7,IF(BMO1=1,6,8))),FALSE())))</f>
        <v> </v>
      </c>
      <c r="R177" s="403" t="str">
        <f aca="false">IF(A177="N/A"," ",(VLOOKUP($A177,IRTable,2)))</f>
        <v> </v>
      </c>
      <c r="AF177" s="352" t="n">
        <v>41821</v>
      </c>
      <c r="AG177" s="311" t="n">
        <v>22</v>
      </c>
      <c r="AH177" s="311" t="n">
        <v>4</v>
      </c>
      <c r="AI177" s="311" t="n">
        <v>5</v>
      </c>
      <c r="AJ177" s="311" t="n">
        <v>1</v>
      </c>
      <c r="AK177" s="311" t="n">
        <v>31</v>
      </c>
      <c r="AU177" s="406"/>
    </row>
    <row r="178" customFormat="false" ht="12.75" hidden="false" customHeight="false" outlineLevel="0" collapsed="false">
      <c r="A178" s="405" t="str">
        <f aca="false">Option1!A145</f>
        <v>N/A</v>
      </c>
      <c r="B178" s="396" t="str">
        <f aca="false">IF(A178="N/A"," ",IF(ISERROR(N178),B166*Pwresc,N178)*VLOOKUP(MONTH(A178),Curveadj,3))</f>
        <v> </v>
      </c>
      <c r="C178" s="397" t="str">
        <f aca="false">IF(A178="N/A"," ",(IF(AND(Scaler1=1,MONTH(A178)&gt;=6,MONTH(A178)&lt;=8,OR($M$37="REGION 2",$M$37="REGION 2A",$M$37="REGION 2B",$M$37="REGION 3",$M$37="REGION 3A",$M$37="REGION 3B",$M$37="REGION 3C",$M$37="REGION 4",$M$37="REGION 4B",$M$37="REGION 4C",$M$37="REGION 5",$M$37="REGION 5A")),((0.059228/(B178/100))-(0.4980013/(SQRT(B178/100)))+2.137988),HLOOKUP(MONTH(A178),ScalarTable,28))))</f>
        <v> </v>
      </c>
      <c r="D178" s="398" t="str">
        <f aca="false">IF(A178="N/A"," ",C178*B178)</f>
        <v> </v>
      </c>
      <c r="E178" s="396" t="str">
        <f aca="false">IF(A178="N/A"," ",IF(ISERROR(O178),E166*Pwresc,O178)*VLOOKUP(MONTH(A178),Curveadj,3))</f>
        <v> </v>
      </c>
      <c r="F178" s="398" t="str">
        <f aca="false">IF(A178="N/A"," ",E178*C178)</f>
        <v> </v>
      </c>
      <c r="G178" s="396" t="str">
        <f aca="false">IF(A178="N/A"," ",IF(ISERROR(P178),G166*Pwresc,P178)*VLOOKUP(MONTH(A178),Curveadj,3))</f>
        <v> </v>
      </c>
      <c r="H178" s="398" t="str">
        <f aca="false">IF(A178="N/A"," ",G178*C178)</f>
        <v> </v>
      </c>
      <c r="I178" s="398" t="str">
        <f aca="false">IF(A178="N/A"," ",IF(ISERROR(Q178),I166*Pwresc,Q178))</f>
        <v> </v>
      </c>
      <c r="J178" s="398" t="str">
        <f aca="false">IF(A178="N/A"," ",Inputs!$G$4)</f>
        <v> </v>
      </c>
      <c r="K178" s="399" t="str">
        <f aca="false">IF(A178="N/A"," ",IF(ISERROR(#REF!),K166*Gasesc,#REF!))</f>
        <v> </v>
      </c>
      <c r="L178" s="399" t="str">
        <f aca="false">IF(A178="N/A"," ",IF(ISERROR(#REF!),L166*Gasesc,IF(#REF!=0,L166*Gasesc,#REF!)))</f>
        <v> </v>
      </c>
      <c r="M178" s="404"/>
      <c r="N178" s="401" t="str">
        <f aca="false">IF(A178="N/A"," ",VLOOKUP(A178,PeakPowerCurves,(IF(BMO1=2,3,IF(BMO1=1,2,4))),FALSE()))</f>
        <v> </v>
      </c>
      <c r="O178" s="401" t="str">
        <f aca="false">IF(A178="N/A"," ",VLOOKUP(A178,SatSunPeakPwr,(IF(BMO1=2,3,IF(BMO1=1,2,4))),FALSE()))</f>
        <v> </v>
      </c>
      <c r="P178" s="401" t="str">
        <f aca="false">IF(A178="N/A"," ",VLOOKUP(A178,SatSunPeakPwr,(IF(BMO1=2,7,IF(BMO1=1,6,8))),FALSE()))</f>
        <v> </v>
      </c>
      <c r="Q178" s="402" t="str">
        <f aca="false">IF(A178="N/A"," ",(VLOOKUP(A178,OPPowerPrices,(IF(BMO1=2,7,IF(BMO1=1,6,8))),FALSE())))</f>
        <v> </v>
      </c>
      <c r="R178" s="403" t="str">
        <f aca="false">IF(A178="N/A"," ",(VLOOKUP($A178,IRTable,2)))</f>
        <v> </v>
      </c>
      <c r="AF178" s="352" t="n">
        <v>41852</v>
      </c>
      <c r="AG178" s="311" t="n">
        <v>21</v>
      </c>
      <c r="AH178" s="311" t="n">
        <v>5</v>
      </c>
      <c r="AI178" s="311" t="n">
        <v>5</v>
      </c>
      <c r="AJ178" s="311" t="n">
        <v>0</v>
      </c>
      <c r="AK178" s="311" t="n">
        <v>31</v>
      </c>
      <c r="AU178" s="406"/>
    </row>
    <row r="179" customFormat="false" ht="12.75" hidden="false" customHeight="false" outlineLevel="0" collapsed="false">
      <c r="A179" s="405" t="str">
        <f aca="false">Option1!A146</f>
        <v>N/A</v>
      </c>
      <c r="B179" s="396" t="str">
        <f aca="false">IF(A179="N/A"," ",IF(ISERROR(N179),B167*Pwresc,N179)*VLOOKUP(MONTH(A179),Curveadj,3))</f>
        <v> </v>
      </c>
      <c r="C179" s="397" t="str">
        <f aca="false">IF(A179="N/A"," ",(IF(AND(Scaler1=1,MONTH(A179)&gt;=6,MONTH(A179)&lt;=8,OR($M$37="REGION 2",$M$37="REGION 2A",$M$37="REGION 2B",$M$37="REGION 3",$M$37="REGION 3A",$M$37="REGION 3B",$M$37="REGION 3C",$M$37="REGION 4",$M$37="REGION 4B",$M$37="REGION 4C",$M$37="REGION 5",$M$37="REGION 5A")),((0.059228/(B179/100))-(0.4980013/(SQRT(B179/100)))+2.137988),HLOOKUP(MONTH(A179),ScalarTable,28))))</f>
        <v> </v>
      </c>
      <c r="D179" s="398" t="str">
        <f aca="false">IF(A179="N/A"," ",C179*B179)</f>
        <v> </v>
      </c>
      <c r="E179" s="396" t="str">
        <f aca="false">IF(A179="N/A"," ",IF(ISERROR(O179),E167*Pwresc,O179)*VLOOKUP(MONTH(A179),Curveadj,3))</f>
        <v> </v>
      </c>
      <c r="F179" s="398" t="str">
        <f aca="false">IF(A179="N/A"," ",E179*C179)</f>
        <v> </v>
      </c>
      <c r="G179" s="396" t="str">
        <f aca="false">IF(A179="N/A"," ",IF(ISERROR(P179),G167*Pwresc,P179)*VLOOKUP(MONTH(A179),Curveadj,3))</f>
        <v> </v>
      </c>
      <c r="H179" s="398" t="str">
        <f aca="false">IF(A179="N/A"," ",G179*C179)</f>
        <v> </v>
      </c>
      <c r="I179" s="398" t="str">
        <f aca="false">IF(A179="N/A"," ",IF(ISERROR(Q179),I167*Pwresc,Q179))</f>
        <v> </v>
      </c>
      <c r="J179" s="398" t="str">
        <f aca="false">IF(A179="N/A"," ",Inputs!$G$4)</f>
        <v> </v>
      </c>
      <c r="K179" s="399" t="str">
        <f aca="false">IF(A179="N/A"," ",IF(ISERROR(#REF!),K167*Gasesc,#REF!))</f>
        <v> </v>
      </c>
      <c r="L179" s="399" t="str">
        <f aca="false">IF(A179="N/A"," ",IF(ISERROR(#REF!),L167*Gasesc,IF(#REF!=0,L167*Gasesc,#REF!)))</f>
        <v> </v>
      </c>
      <c r="M179" s="404"/>
      <c r="N179" s="401" t="str">
        <f aca="false">IF(A179="N/A"," ",VLOOKUP(A179,PeakPowerCurves,(IF(BMO1=2,3,IF(BMO1=1,2,4))),FALSE()))</f>
        <v> </v>
      </c>
      <c r="O179" s="401" t="str">
        <f aca="false">IF(A179="N/A"," ",VLOOKUP(A179,SatSunPeakPwr,(IF(BMO1=2,3,IF(BMO1=1,2,4))),FALSE()))</f>
        <v> </v>
      </c>
      <c r="P179" s="401" t="str">
        <f aca="false">IF(A179="N/A"," ",VLOOKUP(A179,SatSunPeakPwr,(IF(BMO1=2,7,IF(BMO1=1,6,8))),FALSE()))</f>
        <v> </v>
      </c>
      <c r="Q179" s="402" t="str">
        <f aca="false">IF(A179="N/A"," ",(VLOOKUP(A179,OPPowerPrices,(IF(BMO1=2,7,IF(BMO1=1,6,8))),FALSE())))</f>
        <v> </v>
      </c>
      <c r="R179" s="403" t="str">
        <f aca="false">IF(A179="N/A"," ",(VLOOKUP($A179,IRTable,2)))</f>
        <v> </v>
      </c>
      <c r="AF179" s="352" t="n">
        <v>41883</v>
      </c>
      <c r="AG179" s="311" t="n">
        <v>21</v>
      </c>
      <c r="AH179" s="311" t="n">
        <v>4</v>
      </c>
      <c r="AI179" s="311" t="n">
        <v>5</v>
      </c>
      <c r="AJ179" s="311" t="n">
        <v>1</v>
      </c>
      <c r="AK179" s="311" t="n">
        <v>30</v>
      </c>
      <c r="AU179" s="406"/>
    </row>
    <row r="180" customFormat="false" ht="12.75" hidden="false" customHeight="false" outlineLevel="0" collapsed="false">
      <c r="A180" s="405" t="str">
        <f aca="false">Option1!A147</f>
        <v>N/A</v>
      </c>
      <c r="B180" s="396" t="str">
        <f aca="false">IF(A180="N/A"," ",IF(ISERROR(N180),B168*Pwresc,N180)*VLOOKUP(MONTH(A180),Curveadj,3))</f>
        <v> </v>
      </c>
      <c r="C180" s="397" t="str">
        <f aca="false">IF(A180="N/A"," ",(IF(AND(Scaler1=1,MONTH(A180)&gt;=6,MONTH(A180)&lt;=8,OR($M$37="REGION 2",$M$37="REGION 2A",$M$37="REGION 2B",$M$37="REGION 3",$M$37="REGION 3A",$M$37="REGION 3B",$M$37="REGION 3C",$M$37="REGION 4",$M$37="REGION 4B",$M$37="REGION 4C",$M$37="REGION 5",$M$37="REGION 5A")),((0.059228/(B180/100))-(0.4980013/(SQRT(B180/100)))+2.137988),HLOOKUP(MONTH(A180),ScalarTable,28))))</f>
        <v> </v>
      </c>
      <c r="D180" s="398" t="str">
        <f aca="false">IF(A180="N/A"," ",C180*B180)</f>
        <v> </v>
      </c>
      <c r="E180" s="396" t="str">
        <f aca="false">IF(A180="N/A"," ",IF(ISERROR(O180),E168*Pwresc,O180)*VLOOKUP(MONTH(A180),Curveadj,3))</f>
        <v> </v>
      </c>
      <c r="F180" s="398" t="str">
        <f aca="false">IF(A180="N/A"," ",E180*C180)</f>
        <v> </v>
      </c>
      <c r="G180" s="396" t="str">
        <f aca="false">IF(A180="N/A"," ",IF(ISERROR(P180),G168*Pwresc,P180)*VLOOKUP(MONTH(A180),Curveadj,3))</f>
        <v> </v>
      </c>
      <c r="H180" s="398" t="str">
        <f aca="false">IF(A180="N/A"," ",G180*C180)</f>
        <v> </v>
      </c>
      <c r="I180" s="398" t="str">
        <f aca="false">IF(A180="N/A"," ",IF(ISERROR(Q180),I168*Pwresc,Q180))</f>
        <v> </v>
      </c>
      <c r="J180" s="398" t="str">
        <f aca="false">IF(A180="N/A"," ",Inputs!$G$4)</f>
        <v> </v>
      </c>
      <c r="K180" s="399" t="str">
        <f aca="false">IF(A180="N/A"," ",IF(ISERROR(#REF!),K168*Gasesc,#REF!))</f>
        <v> </v>
      </c>
      <c r="L180" s="399" t="str">
        <f aca="false">IF(A180="N/A"," ",IF(ISERROR(#REF!),L168*Gasesc,IF(#REF!=0,L168*Gasesc,#REF!)))</f>
        <v> </v>
      </c>
      <c r="M180" s="404"/>
      <c r="N180" s="401" t="str">
        <f aca="false">IF(A180="N/A"," ",VLOOKUP(A180,PeakPowerCurves,(IF(BMO1=2,3,IF(BMO1=1,2,4))),FALSE()))</f>
        <v> </v>
      </c>
      <c r="O180" s="401" t="str">
        <f aca="false">IF(A180="N/A"," ",VLOOKUP(A180,SatSunPeakPwr,(IF(BMO1=2,3,IF(BMO1=1,2,4))),FALSE()))</f>
        <v> </v>
      </c>
      <c r="P180" s="401" t="str">
        <f aca="false">IF(A180="N/A"," ",VLOOKUP(A180,SatSunPeakPwr,(IF(BMO1=2,7,IF(BMO1=1,6,8))),FALSE()))</f>
        <v> </v>
      </c>
      <c r="Q180" s="402" t="str">
        <f aca="false">IF(A180="N/A"," ",(VLOOKUP(A180,OPPowerPrices,(IF(BMO1=2,7,IF(BMO1=1,6,8))),FALSE())))</f>
        <v> </v>
      </c>
      <c r="R180" s="403" t="str">
        <f aca="false">IF(A180="N/A"," ",(VLOOKUP($A180,IRTable,2)))</f>
        <v> </v>
      </c>
      <c r="AF180" s="352" t="n">
        <v>41913</v>
      </c>
      <c r="AG180" s="311" t="n">
        <v>23</v>
      </c>
      <c r="AH180" s="311" t="n">
        <v>4</v>
      </c>
      <c r="AI180" s="311" t="n">
        <v>4</v>
      </c>
      <c r="AJ180" s="311" t="n">
        <v>0</v>
      </c>
      <c r="AK180" s="311" t="n">
        <v>31</v>
      </c>
      <c r="AU180" s="406"/>
    </row>
    <row r="181" customFormat="false" ht="12.75" hidden="false" customHeight="false" outlineLevel="0" collapsed="false">
      <c r="A181" s="405" t="str">
        <f aca="false">Option1!A148</f>
        <v>N/A</v>
      </c>
      <c r="B181" s="396" t="str">
        <f aca="false">IF(A181="N/A"," ",IF(ISERROR(N181),B169*Pwresc,N181)*VLOOKUP(MONTH(A181),Curveadj,3))</f>
        <v> </v>
      </c>
      <c r="C181" s="397" t="str">
        <f aca="false">IF(A181="N/A"," ",(IF(AND(Scaler1=1,MONTH(A181)&gt;=6,MONTH(A181)&lt;=8,OR($M$37="REGION 2",$M$37="REGION 2A",$M$37="REGION 2B",$M$37="REGION 3",$M$37="REGION 3A",$M$37="REGION 3B",$M$37="REGION 3C",$M$37="REGION 4",$M$37="REGION 4B",$M$37="REGION 4C",$M$37="REGION 5",$M$37="REGION 5A")),((0.059228/(B181/100))-(0.4980013/(SQRT(B181/100)))+2.137988),HLOOKUP(MONTH(A181),ScalarTable,28))))</f>
        <v> </v>
      </c>
      <c r="D181" s="398" t="str">
        <f aca="false">IF(A181="N/A"," ",C181*B181)</f>
        <v> </v>
      </c>
      <c r="E181" s="396" t="str">
        <f aca="false">IF(A181="N/A"," ",IF(ISERROR(O181),E169*Pwresc,O181)*VLOOKUP(MONTH(A181),Curveadj,3))</f>
        <v> </v>
      </c>
      <c r="F181" s="398" t="str">
        <f aca="false">IF(A181="N/A"," ",E181*C181)</f>
        <v> </v>
      </c>
      <c r="G181" s="396" t="str">
        <f aca="false">IF(A181="N/A"," ",IF(ISERROR(P181),G169*Pwresc,P181)*VLOOKUP(MONTH(A181),Curveadj,3))</f>
        <v> </v>
      </c>
      <c r="H181" s="398" t="str">
        <f aca="false">IF(A181="N/A"," ",G181*C181)</f>
        <v> </v>
      </c>
      <c r="I181" s="398" t="str">
        <f aca="false">IF(A181="N/A"," ",IF(ISERROR(Q181),I169*Pwresc,Q181))</f>
        <v> </v>
      </c>
      <c r="J181" s="398" t="str">
        <f aca="false">IF(A181="N/A"," ",Inputs!$G$4)</f>
        <v> </v>
      </c>
      <c r="K181" s="399" t="str">
        <f aca="false">IF(A181="N/A"," ",IF(ISERROR(#REF!),K169*Gasesc,#REF!))</f>
        <v> </v>
      </c>
      <c r="L181" s="399" t="str">
        <f aca="false">IF(A181="N/A"," ",IF(ISERROR(#REF!),L169*Gasesc,IF(#REF!=0,L169*Gasesc,#REF!)))</f>
        <v> </v>
      </c>
      <c r="M181" s="404"/>
      <c r="N181" s="401" t="str">
        <f aca="false">IF(A181="N/A"," ",VLOOKUP(A181,PeakPowerCurves,(IF(BMO1=2,3,IF(BMO1=1,2,4))),FALSE()))</f>
        <v> </v>
      </c>
      <c r="O181" s="401" t="str">
        <f aca="false">IF(A181="N/A"," ",VLOOKUP(A181,SatSunPeakPwr,(IF(BMO1=2,3,IF(BMO1=1,2,4))),FALSE()))</f>
        <v> </v>
      </c>
      <c r="P181" s="401" t="str">
        <f aca="false">IF(A181="N/A"," ",VLOOKUP(A181,SatSunPeakPwr,(IF(BMO1=2,7,IF(BMO1=1,6,8))),FALSE()))</f>
        <v> </v>
      </c>
      <c r="Q181" s="402" t="str">
        <f aca="false">IF(A181="N/A"," ",(VLOOKUP(A181,OPPowerPrices,(IF(BMO1=2,7,IF(BMO1=1,6,8))),FALSE())))</f>
        <v> </v>
      </c>
      <c r="R181" s="403" t="str">
        <f aca="false">IF(A181="N/A"," ",(VLOOKUP($A181,IRTable,2)))</f>
        <v> </v>
      </c>
      <c r="AF181" s="352" t="n">
        <v>41944</v>
      </c>
      <c r="AG181" s="311" t="n">
        <v>19</v>
      </c>
      <c r="AH181" s="311" t="n">
        <v>5</v>
      </c>
      <c r="AI181" s="311" t="n">
        <v>6</v>
      </c>
      <c r="AJ181" s="311" t="n">
        <v>1</v>
      </c>
      <c r="AK181" s="311" t="n">
        <v>30</v>
      </c>
      <c r="AU181" s="406"/>
    </row>
    <row r="182" customFormat="false" ht="12.75" hidden="false" customHeight="false" outlineLevel="0" collapsed="false">
      <c r="A182" s="405" t="str">
        <f aca="false">Option1!A149</f>
        <v>N/A</v>
      </c>
      <c r="B182" s="396" t="str">
        <f aca="false">IF(A182="N/A"," ",IF(ISERROR(N182),B170*Pwresc,N182)*VLOOKUP(MONTH(A182),Curveadj,3))</f>
        <v> </v>
      </c>
      <c r="C182" s="397" t="str">
        <f aca="false">IF(A182="N/A"," ",(IF(AND(Scaler1=1,MONTH(A182)&gt;=6,MONTH(A182)&lt;=8,OR($M$37="REGION 2",$M$37="REGION 2A",$M$37="REGION 2B",$M$37="REGION 3",$M$37="REGION 3A",$M$37="REGION 3B",$M$37="REGION 3C",$M$37="REGION 4",$M$37="REGION 4B",$M$37="REGION 4C",$M$37="REGION 5",$M$37="REGION 5A")),((0.059228/(B182/100))-(0.4980013/(SQRT(B182/100)))+2.137988),HLOOKUP(MONTH(A182),ScalarTable,28))))</f>
        <v> </v>
      </c>
      <c r="D182" s="398" t="str">
        <f aca="false">IF(A182="N/A"," ",C182*B182)</f>
        <v> </v>
      </c>
      <c r="E182" s="396" t="str">
        <f aca="false">IF(A182="N/A"," ",IF(ISERROR(O182),E170*Pwresc,O182)*VLOOKUP(MONTH(A182),Curveadj,3))</f>
        <v> </v>
      </c>
      <c r="F182" s="398" t="str">
        <f aca="false">IF(A182="N/A"," ",E182*C182)</f>
        <v> </v>
      </c>
      <c r="G182" s="396" t="str">
        <f aca="false">IF(A182="N/A"," ",IF(ISERROR(P182),G170*Pwresc,P182)*VLOOKUP(MONTH(A182),Curveadj,3))</f>
        <v> </v>
      </c>
      <c r="H182" s="398" t="str">
        <f aca="false">IF(A182="N/A"," ",G182*C182)</f>
        <v> </v>
      </c>
      <c r="I182" s="398" t="str">
        <f aca="false">IF(A182="N/A"," ",IF(ISERROR(Q182),I170*Pwresc,Q182))</f>
        <v> </v>
      </c>
      <c r="J182" s="398" t="str">
        <f aca="false">IF(A182="N/A"," ",Inputs!$G$4)</f>
        <v> </v>
      </c>
      <c r="K182" s="399" t="str">
        <f aca="false">IF(A182="N/A"," ",IF(ISERROR(#REF!),K170*Gasesc,#REF!))</f>
        <v> </v>
      </c>
      <c r="L182" s="399" t="str">
        <f aca="false">IF(A182="N/A"," ",IF(ISERROR(#REF!),L170*Gasesc,IF(#REF!=0,L170*Gasesc,#REF!)))</f>
        <v> </v>
      </c>
      <c r="M182" s="404"/>
      <c r="N182" s="401" t="str">
        <f aca="false">IF(A182="N/A"," ",VLOOKUP(A182,PeakPowerCurves,(IF(BMO1=2,3,IF(BMO1=1,2,4))),FALSE()))</f>
        <v> </v>
      </c>
      <c r="O182" s="401" t="str">
        <f aca="false">IF(A182="N/A"," ",VLOOKUP(A182,SatSunPeakPwr,(IF(BMO1=2,3,IF(BMO1=1,2,4))),FALSE()))</f>
        <v> </v>
      </c>
      <c r="P182" s="401" t="str">
        <f aca="false">IF(A182="N/A"," ",VLOOKUP(A182,SatSunPeakPwr,(IF(BMO1=2,7,IF(BMO1=1,6,8))),FALSE()))</f>
        <v> </v>
      </c>
      <c r="Q182" s="402" t="str">
        <f aca="false">IF(A182="N/A"," ",(VLOOKUP(A182,OPPowerPrices,(IF(BMO1=2,7,IF(BMO1=1,6,8))),FALSE())))</f>
        <v> </v>
      </c>
      <c r="R182" s="403" t="str">
        <f aca="false">IF(A182="N/A"," ",(VLOOKUP($A182,IRTable,2)))</f>
        <v> </v>
      </c>
      <c r="AF182" s="352" t="n">
        <v>41974</v>
      </c>
      <c r="AG182" s="311" t="n">
        <v>22</v>
      </c>
      <c r="AH182" s="311" t="n">
        <v>4</v>
      </c>
      <c r="AI182" s="311" t="n">
        <v>5</v>
      </c>
      <c r="AJ182" s="311" t="n">
        <v>1</v>
      </c>
      <c r="AK182" s="311" t="n">
        <v>31</v>
      </c>
      <c r="AU182" s="406"/>
    </row>
    <row r="183" customFormat="false" ht="12.75" hidden="false" customHeight="false" outlineLevel="0" collapsed="false">
      <c r="A183" s="405" t="str">
        <f aca="false">Option1!A150</f>
        <v>N/A</v>
      </c>
      <c r="B183" s="396" t="str">
        <f aca="false">IF(A183="N/A"," ",IF(ISERROR(N183),B171*Pwresc,N183)*VLOOKUP(MONTH(A183),Curveadj,3))</f>
        <v> </v>
      </c>
      <c r="C183" s="397" t="str">
        <f aca="false">IF(A183="N/A"," ",(IF(AND(Scaler1=1,MONTH(A183)&gt;=6,MONTH(A183)&lt;=8,OR($M$37="REGION 2",$M$37="REGION 2A",$M$37="REGION 2B",$M$37="REGION 3",$M$37="REGION 3A",$M$37="REGION 3B",$M$37="REGION 3C",$M$37="REGION 4",$M$37="REGION 4B",$M$37="REGION 4C",$M$37="REGION 5",$M$37="REGION 5A")),((0.059228/(B183/100))-(0.4980013/(SQRT(B183/100)))+2.137988),HLOOKUP(MONTH(A183),ScalarTable,28))))</f>
        <v> </v>
      </c>
      <c r="D183" s="398" t="str">
        <f aca="false">IF(A183="N/A"," ",C183*B183)</f>
        <v> </v>
      </c>
      <c r="E183" s="396" t="str">
        <f aca="false">IF(A183="N/A"," ",IF(ISERROR(O183),E171*Pwresc,O183)*VLOOKUP(MONTH(A183),Curveadj,3))</f>
        <v> </v>
      </c>
      <c r="F183" s="398" t="str">
        <f aca="false">IF(A183="N/A"," ",E183*C183)</f>
        <v> </v>
      </c>
      <c r="G183" s="396" t="str">
        <f aca="false">IF(A183="N/A"," ",IF(ISERROR(P183),G171*Pwresc,P183)*VLOOKUP(MONTH(A183),Curveadj,3))</f>
        <v> </v>
      </c>
      <c r="H183" s="398" t="str">
        <f aca="false">IF(A183="N/A"," ",G183*C183)</f>
        <v> </v>
      </c>
      <c r="I183" s="398" t="str">
        <f aca="false">IF(A183="N/A"," ",IF(ISERROR(Q183),I171*Pwresc,Q183))</f>
        <v> </v>
      </c>
      <c r="J183" s="398" t="str">
        <f aca="false">IF(A183="N/A"," ",Inputs!$G$4)</f>
        <v> </v>
      </c>
      <c r="K183" s="399" t="str">
        <f aca="false">IF(A183="N/A"," ",IF(ISERROR(#REF!),K171*Gasesc,#REF!))</f>
        <v> </v>
      </c>
      <c r="L183" s="399" t="str">
        <f aca="false">IF(A183="N/A"," ",IF(ISERROR(#REF!),L171*Gasesc,IF(#REF!=0,L171*Gasesc,#REF!)))</f>
        <v> </v>
      </c>
      <c r="M183" s="404"/>
      <c r="N183" s="401" t="str">
        <f aca="false">IF(A183="N/A"," ",VLOOKUP(A183,PeakPowerCurves,(IF(BMO1=2,3,IF(BMO1=1,2,4))),FALSE()))</f>
        <v> </v>
      </c>
      <c r="O183" s="401" t="str">
        <f aca="false">IF(A183="N/A"," ",VLOOKUP(A183,SatSunPeakPwr,(IF(BMO1=2,3,IF(BMO1=1,2,4))),FALSE()))</f>
        <v> </v>
      </c>
      <c r="P183" s="401" t="str">
        <f aca="false">IF(A183="N/A"," ",VLOOKUP(A183,SatSunPeakPwr,(IF(BMO1=2,7,IF(BMO1=1,6,8))),FALSE()))</f>
        <v> </v>
      </c>
      <c r="Q183" s="402" t="str">
        <f aca="false">IF(A183="N/A"," ",(VLOOKUP(A183,OPPowerPrices,(IF(BMO1=2,7,IF(BMO1=1,6,8))),FALSE())))</f>
        <v> </v>
      </c>
      <c r="R183" s="403" t="str">
        <f aca="false">IF(A183="N/A"," ",(VLOOKUP($A183,IRTable,2)))</f>
        <v> </v>
      </c>
      <c r="AF183" s="352" t="n">
        <v>42005</v>
      </c>
      <c r="AG183" s="311" t="n">
        <v>21</v>
      </c>
      <c r="AH183" s="311" t="n">
        <v>5</v>
      </c>
      <c r="AI183" s="311" t="n">
        <v>5</v>
      </c>
      <c r="AJ183" s="311" t="n">
        <v>1</v>
      </c>
      <c r="AK183" s="311" t="n">
        <v>31</v>
      </c>
      <c r="AU183" s="406"/>
    </row>
    <row r="184" customFormat="false" ht="12.75" hidden="false" customHeight="false" outlineLevel="0" collapsed="false">
      <c r="A184" s="405" t="str">
        <f aca="false">Option1!A151</f>
        <v>N/A</v>
      </c>
      <c r="B184" s="396" t="str">
        <f aca="false">IF(A184="N/A"," ",IF(ISERROR(N184),B172*Pwresc,N184)*VLOOKUP(MONTH(A184),Curveadj,3))</f>
        <v> </v>
      </c>
      <c r="C184" s="397" t="str">
        <f aca="false">IF(A184="N/A"," ",(IF(AND(Scaler1=1,MONTH(A184)&gt;=6,MONTH(A184)&lt;=8,OR($M$37="REGION 2",$M$37="REGION 2A",$M$37="REGION 2B",$M$37="REGION 3",$M$37="REGION 3A",$M$37="REGION 3B",$M$37="REGION 3C",$M$37="REGION 4",$M$37="REGION 4B",$M$37="REGION 4C",$M$37="REGION 5",$M$37="REGION 5A")),((0.059228/(B184/100))-(0.4980013/(SQRT(B184/100)))+2.137988),HLOOKUP(MONTH(A184),ScalarTable,28))))</f>
        <v> </v>
      </c>
      <c r="D184" s="398" t="str">
        <f aca="false">IF(A184="N/A"," ",C184*B184)</f>
        <v> </v>
      </c>
      <c r="E184" s="396" t="str">
        <f aca="false">IF(A184="N/A"," ",IF(ISERROR(O184),E172*Pwresc,O184)*VLOOKUP(MONTH(A184),Curveadj,3))</f>
        <v> </v>
      </c>
      <c r="F184" s="398" t="str">
        <f aca="false">IF(A184="N/A"," ",E184*C184)</f>
        <v> </v>
      </c>
      <c r="G184" s="396" t="str">
        <f aca="false">IF(A184="N/A"," ",IF(ISERROR(P184),G172*Pwresc,P184)*VLOOKUP(MONTH(A184),Curveadj,3))</f>
        <v> </v>
      </c>
      <c r="H184" s="398" t="str">
        <f aca="false">IF(A184="N/A"," ",G184*C184)</f>
        <v> </v>
      </c>
      <c r="I184" s="398" t="str">
        <f aca="false">IF(A184="N/A"," ",IF(ISERROR(Q184),I172*Pwresc,Q184))</f>
        <v> </v>
      </c>
      <c r="J184" s="398" t="str">
        <f aca="false">IF(A184="N/A"," ",Inputs!$G$4)</f>
        <v> </v>
      </c>
      <c r="K184" s="399" t="str">
        <f aca="false">IF(A184="N/A"," ",IF(ISERROR(#REF!),K172*Gasesc,#REF!))</f>
        <v> </v>
      </c>
      <c r="L184" s="399" t="str">
        <f aca="false">IF(A184="N/A"," ",IF(ISERROR(#REF!),L172*Gasesc,IF(#REF!=0,L172*Gasesc,#REF!)))</f>
        <v> </v>
      </c>
      <c r="M184" s="404"/>
      <c r="N184" s="401" t="str">
        <f aca="false">IF(A184="N/A"," ",VLOOKUP(A184,PeakPowerCurves,(IF(BMO1=2,3,IF(BMO1=1,2,4))),FALSE()))</f>
        <v> </v>
      </c>
      <c r="O184" s="401" t="str">
        <f aca="false">IF(A184="N/A"," ",VLOOKUP(A184,SatSunPeakPwr,(IF(BMO1=2,3,IF(BMO1=1,2,4))),FALSE()))</f>
        <v> </v>
      </c>
      <c r="P184" s="401" t="str">
        <f aca="false">IF(A184="N/A"," ",VLOOKUP(A184,SatSunPeakPwr,(IF(BMO1=2,7,IF(BMO1=1,6,8))),FALSE()))</f>
        <v> </v>
      </c>
      <c r="Q184" s="402" t="str">
        <f aca="false">IF(A184="N/A"," ",(VLOOKUP(A184,OPPowerPrices,(IF(BMO1=2,7,IF(BMO1=1,6,8))),FALSE())))</f>
        <v> </v>
      </c>
      <c r="R184" s="403" t="str">
        <f aca="false">IF(A184="N/A"," ",(VLOOKUP($A184,IRTable,2)))</f>
        <v> </v>
      </c>
      <c r="AF184" s="352" t="n">
        <v>42036</v>
      </c>
      <c r="AG184" s="311" t="n">
        <v>20</v>
      </c>
      <c r="AH184" s="311" t="n">
        <v>4</v>
      </c>
      <c r="AI184" s="311" t="n">
        <v>4</v>
      </c>
      <c r="AJ184" s="311" t="n">
        <v>0</v>
      </c>
      <c r="AK184" s="311" t="n">
        <v>28</v>
      </c>
      <c r="AU184" s="406"/>
    </row>
    <row r="185" customFormat="false" ht="12.75" hidden="false" customHeight="false" outlineLevel="0" collapsed="false">
      <c r="A185" s="405" t="str">
        <f aca="false">Option1!A152</f>
        <v>N/A</v>
      </c>
      <c r="B185" s="396" t="str">
        <f aca="false">IF(A185="N/A"," ",IF(ISERROR(N185),B173*Pwresc,N185)*VLOOKUP(MONTH(A185),Curveadj,3))</f>
        <v> </v>
      </c>
      <c r="C185" s="397" t="str">
        <f aca="false">IF(A185="N/A"," ",(IF(AND(Scaler1=1,MONTH(A185)&gt;=6,MONTH(A185)&lt;=8,OR($M$37="REGION 2",$M$37="REGION 2A",$M$37="REGION 2B",$M$37="REGION 3",$M$37="REGION 3A",$M$37="REGION 3B",$M$37="REGION 3C",$M$37="REGION 4",$M$37="REGION 4B",$M$37="REGION 4C",$M$37="REGION 5",$M$37="REGION 5A")),((0.059228/(B185/100))-(0.4980013/(SQRT(B185/100)))+2.137988),HLOOKUP(MONTH(A185),ScalarTable,28))))</f>
        <v> </v>
      </c>
      <c r="D185" s="398" t="str">
        <f aca="false">IF(A185="N/A"," ",C185*B185)</f>
        <v> </v>
      </c>
      <c r="E185" s="396" t="str">
        <f aca="false">IF(A185="N/A"," ",IF(ISERROR(O185),E173*Pwresc,O185)*VLOOKUP(MONTH(A185),Curveadj,3))</f>
        <v> </v>
      </c>
      <c r="F185" s="398" t="str">
        <f aca="false">IF(A185="N/A"," ",E185*C185)</f>
        <v> </v>
      </c>
      <c r="G185" s="396" t="str">
        <f aca="false">IF(A185="N/A"," ",IF(ISERROR(P185),G173*Pwresc,P185)*VLOOKUP(MONTH(A185),Curveadj,3))</f>
        <v> </v>
      </c>
      <c r="H185" s="398" t="str">
        <f aca="false">IF(A185="N/A"," ",G185*C185)</f>
        <v> </v>
      </c>
      <c r="I185" s="398" t="str">
        <f aca="false">IF(A185="N/A"," ",IF(ISERROR(Q185),I173*Pwresc,Q185))</f>
        <v> </v>
      </c>
      <c r="J185" s="398" t="str">
        <f aca="false">IF(A185="N/A"," ",Inputs!$G$4)</f>
        <v> </v>
      </c>
      <c r="K185" s="399" t="str">
        <f aca="false">IF(A185="N/A"," ",IF(ISERROR(#REF!),K173*Gasesc,#REF!))</f>
        <v> </v>
      </c>
      <c r="L185" s="399" t="str">
        <f aca="false">IF(A185="N/A"," ",IF(ISERROR(#REF!),L173*Gasesc,IF(#REF!=0,L173*Gasesc,#REF!)))</f>
        <v> </v>
      </c>
      <c r="M185" s="404"/>
      <c r="N185" s="401" t="str">
        <f aca="false">IF(A185="N/A"," ",VLOOKUP(A185,PeakPowerCurves,(IF(BMO1=2,3,IF(BMO1=1,2,4))),FALSE()))</f>
        <v> </v>
      </c>
      <c r="O185" s="401" t="str">
        <f aca="false">IF(A185="N/A"," ",VLOOKUP(A185,SatSunPeakPwr,(IF(BMO1=2,3,IF(BMO1=1,2,4))),FALSE()))</f>
        <v> </v>
      </c>
      <c r="P185" s="401" t="str">
        <f aca="false">IF(A185="N/A"," ",VLOOKUP(A185,SatSunPeakPwr,(IF(BMO1=2,7,IF(BMO1=1,6,8))),FALSE()))</f>
        <v> </v>
      </c>
      <c r="Q185" s="402" t="str">
        <f aca="false">IF(A185="N/A"," ",(VLOOKUP(A185,OPPowerPrices,(IF(BMO1=2,7,IF(BMO1=1,6,8))),FALSE())))</f>
        <v> </v>
      </c>
      <c r="R185" s="403" t="str">
        <f aca="false">IF(A185="N/A"," ",(VLOOKUP($A185,IRTable,2)))</f>
        <v> </v>
      </c>
      <c r="AF185" s="352" t="n">
        <v>42064</v>
      </c>
      <c r="AG185" s="311" t="n">
        <v>22</v>
      </c>
      <c r="AH185" s="311" t="n">
        <v>4</v>
      </c>
      <c r="AI185" s="311" t="n">
        <v>5</v>
      </c>
      <c r="AJ185" s="311" t="n">
        <v>0</v>
      </c>
      <c r="AK185" s="311" t="n">
        <v>31</v>
      </c>
      <c r="AU185" s="406"/>
    </row>
    <row r="186" customFormat="false" ht="12.75" hidden="false" customHeight="false" outlineLevel="0" collapsed="false">
      <c r="A186" s="405" t="str">
        <f aca="false">Option1!A153</f>
        <v>N/A</v>
      </c>
      <c r="B186" s="396" t="str">
        <f aca="false">IF(A186="N/A"," ",IF(ISERROR(N186),B174*Pwresc,N186)*VLOOKUP(MONTH(A186),Curveadj,3))</f>
        <v> </v>
      </c>
      <c r="C186" s="397" t="str">
        <f aca="false">IF(A186="N/A"," ",(IF(AND(Scaler1=1,MONTH(A186)&gt;=6,MONTH(A186)&lt;=8,OR($M$37="REGION 2",$M$37="REGION 2A",$M$37="REGION 2B",$M$37="REGION 3",$M$37="REGION 3A",$M$37="REGION 3B",$M$37="REGION 3C",$M$37="REGION 4",$M$37="REGION 4B",$M$37="REGION 4C",$M$37="REGION 5",$M$37="REGION 5A")),((0.059228/(B186/100))-(0.4980013/(SQRT(B186/100)))+2.137988),HLOOKUP(MONTH(A186),ScalarTable,28))))</f>
        <v> </v>
      </c>
      <c r="D186" s="398" t="str">
        <f aca="false">IF(A186="N/A"," ",C186*B186)</f>
        <v> </v>
      </c>
      <c r="E186" s="396" t="str">
        <f aca="false">IF(A186="N/A"," ",IF(ISERROR(O186),E174*Pwresc,O186)*VLOOKUP(MONTH(A186),Curveadj,3))</f>
        <v> </v>
      </c>
      <c r="F186" s="398" t="str">
        <f aca="false">IF(A186="N/A"," ",E186*C186)</f>
        <v> </v>
      </c>
      <c r="G186" s="396" t="str">
        <f aca="false">IF(A186="N/A"," ",IF(ISERROR(P186),G174*Pwresc,P186)*VLOOKUP(MONTH(A186),Curveadj,3))</f>
        <v> </v>
      </c>
      <c r="H186" s="398" t="str">
        <f aca="false">IF(A186="N/A"," ",G186*C186)</f>
        <v> </v>
      </c>
      <c r="I186" s="398" t="str">
        <f aca="false">IF(A186="N/A"," ",IF(ISERROR(Q186),I174*Pwresc,Q186))</f>
        <v> </v>
      </c>
      <c r="J186" s="398" t="str">
        <f aca="false">IF(A186="N/A"," ",Inputs!$G$4)</f>
        <v> </v>
      </c>
      <c r="K186" s="399" t="str">
        <f aca="false">IF(A186="N/A"," ",IF(ISERROR(#REF!),K174*Gasesc,#REF!))</f>
        <v> </v>
      </c>
      <c r="L186" s="399" t="str">
        <f aca="false">IF(A186="N/A"," ",IF(ISERROR(#REF!),L174*Gasesc,IF(#REF!=0,L174*Gasesc,#REF!)))</f>
        <v> </v>
      </c>
      <c r="M186" s="404"/>
      <c r="N186" s="401" t="str">
        <f aca="false">IF(A186="N/A"," ",VLOOKUP(A186,PeakPowerCurves,(IF(BMO1=2,3,IF(BMO1=1,2,4))),FALSE()))</f>
        <v> </v>
      </c>
      <c r="O186" s="401" t="str">
        <f aca="false">IF(A186="N/A"," ",VLOOKUP(A186,SatSunPeakPwr,(IF(BMO1=2,3,IF(BMO1=1,2,4))),FALSE()))</f>
        <v> </v>
      </c>
      <c r="P186" s="401" t="str">
        <f aca="false">IF(A186="N/A"," ",VLOOKUP(A186,SatSunPeakPwr,(IF(BMO1=2,7,IF(BMO1=1,6,8))),FALSE()))</f>
        <v> </v>
      </c>
      <c r="Q186" s="402" t="str">
        <f aca="false">IF(A186="N/A"," ",(VLOOKUP(A186,OPPowerPrices,(IF(BMO1=2,7,IF(BMO1=1,6,8))),FALSE())))</f>
        <v> </v>
      </c>
      <c r="R186" s="403" t="str">
        <f aca="false">IF(A186="N/A"," ",(VLOOKUP($A186,IRTable,2)))</f>
        <v> </v>
      </c>
      <c r="AF186" s="352" t="n">
        <v>42095</v>
      </c>
      <c r="AG186" s="311" t="n">
        <v>22</v>
      </c>
      <c r="AH186" s="311" t="n">
        <v>4</v>
      </c>
      <c r="AI186" s="311" t="n">
        <v>4</v>
      </c>
      <c r="AJ186" s="311" t="n">
        <v>0</v>
      </c>
      <c r="AK186" s="311" t="n">
        <v>30</v>
      </c>
      <c r="AU186" s="406"/>
    </row>
    <row r="187" customFormat="false" ht="12.75" hidden="false" customHeight="false" outlineLevel="0" collapsed="false">
      <c r="A187" s="405" t="str">
        <f aca="false">Option1!A154</f>
        <v>N/A</v>
      </c>
      <c r="B187" s="396" t="str">
        <f aca="false">IF(A187="N/A"," ",IF(ISERROR(N187),B175*Pwresc,N187)*VLOOKUP(MONTH(A187),Curveadj,3))</f>
        <v> </v>
      </c>
      <c r="C187" s="397" t="str">
        <f aca="false">IF(A187="N/A"," ",(IF(AND(Scaler1=1,MONTH(A187)&gt;=6,MONTH(A187)&lt;=8,OR($M$37="REGION 2",$M$37="REGION 2A",$M$37="REGION 2B",$M$37="REGION 3",$M$37="REGION 3A",$M$37="REGION 3B",$M$37="REGION 3C",$M$37="REGION 4",$M$37="REGION 4B",$M$37="REGION 4C",$M$37="REGION 5",$M$37="REGION 5A")),((0.059228/(B187/100))-(0.4980013/(SQRT(B187/100)))+2.137988),HLOOKUP(MONTH(A187),ScalarTable,28))))</f>
        <v> </v>
      </c>
      <c r="D187" s="398" t="str">
        <f aca="false">IF(A187="N/A"," ",C187*B187)</f>
        <v> </v>
      </c>
      <c r="E187" s="396" t="str">
        <f aca="false">IF(A187="N/A"," ",IF(ISERROR(O187),E175*Pwresc,O187)*VLOOKUP(MONTH(A187),Curveadj,3))</f>
        <v> </v>
      </c>
      <c r="F187" s="398" t="str">
        <f aca="false">IF(A187="N/A"," ",E187*C187)</f>
        <v> </v>
      </c>
      <c r="G187" s="396" t="str">
        <f aca="false">IF(A187="N/A"," ",IF(ISERROR(P187),G175*Pwresc,P187)*VLOOKUP(MONTH(A187),Curveadj,3))</f>
        <v> </v>
      </c>
      <c r="H187" s="398" t="str">
        <f aca="false">IF(A187="N/A"," ",G187*C187)</f>
        <v> </v>
      </c>
      <c r="I187" s="398" t="str">
        <f aca="false">IF(A187="N/A"," ",IF(ISERROR(Q187),I175*Pwresc,Q187))</f>
        <v> </v>
      </c>
      <c r="J187" s="398" t="str">
        <f aca="false">IF(A187="N/A"," ",Inputs!$G$4)</f>
        <v> </v>
      </c>
      <c r="K187" s="399" t="str">
        <f aca="false">IF(A187="N/A"," ",IF(ISERROR(#REF!),K175*Gasesc,#REF!))</f>
        <v> </v>
      </c>
      <c r="L187" s="399" t="str">
        <f aca="false">IF(A187="N/A"," ",IF(ISERROR(#REF!),L175*Gasesc,IF(#REF!=0,L175*Gasesc,#REF!)))</f>
        <v> </v>
      </c>
      <c r="M187" s="404"/>
      <c r="N187" s="401" t="str">
        <f aca="false">IF(A187="N/A"," ",VLOOKUP(A187,PeakPowerCurves,(IF(BMO1=2,3,IF(BMO1=1,2,4))),FALSE()))</f>
        <v> </v>
      </c>
      <c r="O187" s="401" t="str">
        <f aca="false">IF(A187="N/A"," ",VLOOKUP(A187,SatSunPeakPwr,(IF(BMO1=2,3,IF(BMO1=1,2,4))),FALSE()))</f>
        <v> </v>
      </c>
      <c r="P187" s="401" t="str">
        <f aca="false">IF(A187="N/A"," ",VLOOKUP(A187,SatSunPeakPwr,(IF(BMO1=2,7,IF(BMO1=1,6,8))),FALSE()))</f>
        <v> </v>
      </c>
      <c r="Q187" s="402" t="str">
        <f aca="false">IF(A187="N/A"," ",(VLOOKUP(A187,OPPowerPrices,(IF(BMO1=2,7,IF(BMO1=1,6,8))),FALSE())))</f>
        <v> </v>
      </c>
      <c r="R187" s="403" t="str">
        <f aca="false">IF(A187="N/A"," ",(VLOOKUP($A187,IRTable,2)))</f>
        <v> </v>
      </c>
      <c r="AF187" s="352" t="n">
        <v>42125</v>
      </c>
      <c r="AG187" s="311" t="n">
        <v>20</v>
      </c>
      <c r="AH187" s="311" t="n">
        <v>5</v>
      </c>
      <c r="AI187" s="311" t="n">
        <v>6</v>
      </c>
      <c r="AJ187" s="311" t="n">
        <v>1</v>
      </c>
      <c r="AK187" s="311" t="n">
        <v>31</v>
      </c>
      <c r="AU187" s="406"/>
    </row>
    <row r="188" customFormat="false" ht="12.75" hidden="false" customHeight="false" outlineLevel="0" collapsed="false">
      <c r="A188" s="405" t="str">
        <f aca="false">Option1!A155</f>
        <v>N/A</v>
      </c>
      <c r="B188" s="396" t="str">
        <f aca="false">IF(A188="N/A"," ",IF(ISERROR(N188),B176*Pwresc,N188)*VLOOKUP(MONTH(A188),Curveadj,3))</f>
        <v> </v>
      </c>
      <c r="C188" s="397" t="str">
        <f aca="false">IF(A188="N/A"," ",(IF(AND(Scaler1=1,MONTH(A188)&gt;=6,MONTH(A188)&lt;=8,OR($M$37="REGION 2",$M$37="REGION 2A",$M$37="REGION 2B",$M$37="REGION 3",$M$37="REGION 3A",$M$37="REGION 3B",$M$37="REGION 3C",$M$37="REGION 4",$M$37="REGION 4B",$M$37="REGION 4C",$M$37="REGION 5",$M$37="REGION 5A")),((0.059228/(B188/100))-(0.4980013/(SQRT(B188/100)))+2.137988),HLOOKUP(MONTH(A188),ScalarTable,28))))</f>
        <v> </v>
      </c>
      <c r="D188" s="398" t="str">
        <f aca="false">IF(A188="N/A"," ",C188*B188)</f>
        <v> </v>
      </c>
      <c r="E188" s="396" t="str">
        <f aca="false">IF(A188="N/A"," ",IF(ISERROR(O188),E176*Pwresc,O188)*VLOOKUP(MONTH(A188),Curveadj,3))</f>
        <v> </v>
      </c>
      <c r="F188" s="398" t="str">
        <f aca="false">IF(A188="N/A"," ",E188*C188)</f>
        <v> </v>
      </c>
      <c r="G188" s="396" t="str">
        <f aca="false">IF(A188="N/A"," ",IF(ISERROR(P188),G176*Pwresc,P188)*VLOOKUP(MONTH(A188),Curveadj,3))</f>
        <v> </v>
      </c>
      <c r="H188" s="398" t="str">
        <f aca="false">IF(A188="N/A"," ",G188*C188)</f>
        <v> </v>
      </c>
      <c r="I188" s="398" t="str">
        <f aca="false">IF(A188="N/A"," ",IF(ISERROR(Q188),I176*Pwresc,Q188))</f>
        <v> </v>
      </c>
      <c r="J188" s="398" t="str">
        <f aca="false">IF(A188="N/A"," ",Inputs!$G$4)</f>
        <v> </v>
      </c>
      <c r="K188" s="399" t="str">
        <f aca="false">IF(A188="N/A"," ",IF(ISERROR(#REF!),K176*Gasesc,#REF!))</f>
        <v> </v>
      </c>
      <c r="L188" s="399" t="str">
        <f aca="false">IF(A188="N/A"," ",IF(ISERROR(#REF!),L176*Gasesc,IF(#REF!=0,L176*Gasesc,#REF!)))</f>
        <v> </v>
      </c>
      <c r="M188" s="404"/>
      <c r="N188" s="401" t="str">
        <f aca="false">IF(A188="N/A"," ",VLOOKUP(A188,PeakPowerCurves,(IF(BMO1=2,3,IF(BMO1=1,2,4))),FALSE()))</f>
        <v> </v>
      </c>
      <c r="O188" s="401" t="str">
        <f aca="false">IF(A188="N/A"," ",VLOOKUP(A188,SatSunPeakPwr,(IF(BMO1=2,3,IF(BMO1=1,2,4))),FALSE()))</f>
        <v> </v>
      </c>
      <c r="P188" s="401" t="str">
        <f aca="false">IF(A188="N/A"," ",VLOOKUP(A188,SatSunPeakPwr,(IF(BMO1=2,7,IF(BMO1=1,6,8))),FALSE()))</f>
        <v> </v>
      </c>
      <c r="Q188" s="402" t="str">
        <f aca="false">IF(A188="N/A"," ",(VLOOKUP(A188,OPPowerPrices,(IF(BMO1=2,7,IF(BMO1=1,6,8))),FALSE())))</f>
        <v> </v>
      </c>
      <c r="R188" s="403" t="str">
        <f aca="false">IF(A188="N/A"," ",(VLOOKUP($A188,IRTable,2)))</f>
        <v> </v>
      </c>
      <c r="AF188" s="352" t="n">
        <v>42156</v>
      </c>
      <c r="AG188" s="311" t="n">
        <v>22</v>
      </c>
      <c r="AH188" s="311" t="n">
        <v>4</v>
      </c>
      <c r="AI188" s="311" t="n">
        <v>4</v>
      </c>
      <c r="AJ188" s="311" t="n">
        <v>0</v>
      </c>
      <c r="AK188" s="311" t="n">
        <v>30</v>
      </c>
      <c r="AU188" s="406"/>
    </row>
    <row r="189" customFormat="false" ht="12.75" hidden="false" customHeight="false" outlineLevel="0" collapsed="false">
      <c r="A189" s="405" t="str">
        <f aca="false">Option1!A156</f>
        <v>N/A</v>
      </c>
      <c r="B189" s="396" t="str">
        <f aca="false">IF(A189="N/A"," ",IF(ISERROR(N189),B177*Pwresc,N189)*VLOOKUP(MONTH(A189),Curveadj,3))</f>
        <v> </v>
      </c>
      <c r="C189" s="397" t="str">
        <f aca="false">IF(A189="N/A"," ",(IF(AND(Scaler1=1,MONTH(A189)&gt;=6,MONTH(A189)&lt;=8,OR($M$37="REGION 2",$M$37="REGION 2A",$M$37="REGION 2B",$M$37="REGION 3",$M$37="REGION 3A",$M$37="REGION 3B",$M$37="REGION 3C",$M$37="REGION 4",$M$37="REGION 4B",$M$37="REGION 4C",$M$37="REGION 5",$M$37="REGION 5A")),((0.059228/(B189/100))-(0.4980013/(SQRT(B189/100)))+2.137988),HLOOKUP(MONTH(A189),ScalarTable,28))))</f>
        <v> </v>
      </c>
      <c r="D189" s="398" t="str">
        <f aca="false">IF(A189="N/A"," ",C189*B189)</f>
        <v> </v>
      </c>
      <c r="E189" s="396" t="str">
        <f aca="false">IF(A189="N/A"," ",IF(ISERROR(O189),E177*Pwresc,O189)*VLOOKUP(MONTH(A189),Curveadj,3))</f>
        <v> </v>
      </c>
      <c r="F189" s="398" t="str">
        <f aca="false">IF(A189="N/A"," ",E189*C189)</f>
        <v> </v>
      </c>
      <c r="G189" s="396" t="str">
        <f aca="false">IF(A189="N/A"," ",IF(ISERROR(P189),G177*Pwresc,P189)*VLOOKUP(MONTH(A189),Curveadj,3))</f>
        <v> </v>
      </c>
      <c r="H189" s="398" t="str">
        <f aca="false">IF(A189="N/A"," ",G189*C189)</f>
        <v> </v>
      </c>
      <c r="I189" s="398" t="str">
        <f aca="false">IF(A189="N/A"," ",IF(ISERROR(Q189),I177*Pwresc,Q189))</f>
        <v> </v>
      </c>
      <c r="J189" s="398" t="str">
        <f aca="false">IF(A189="N/A"," ",Inputs!$G$4)</f>
        <v> </v>
      </c>
      <c r="K189" s="399" t="str">
        <f aca="false">IF(A189="N/A"," ",IF(ISERROR(#REF!),K177*Gasesc,#REF!))</f>
        <v> </v>
      </c>
      <c r="L189" s="399" t="str">
        <f aca="false">IF(A189="N/A"," ",IF(ISERROR(#REF!),L177*Gasesc,IF(#REF!=0,L177*Gasesc,#REF!)))</f>
        <v> </v>
      </c>
      <c r="M189" s="404"/>
      <c r="N189" s="401" t="str">
        <f aca="false">IF(A189="N/A"," ",VLOOKUP(A189,PeakPowerCurves,(IF(BMO1=2,3,IF(BMO1=1,2,4))),FALSE()))</f>
        <v> </v>
      </c>
      <c r="O189" s="401" t="str">
        <f aca="false">IF(A189="N/A"," ",VLOOKUP(A189,SatSunPeakPwr,(IF(BMO1=2,3,IF(BMO1=1,2,4))),FALSE()))</f>
        <v> </v>
      </c>
      <c r="P189" s="401" t="str">
        <f aca="false">IF(A189="N/A"," ",VLOOKUP(A189,SatSunPeakPwr,(IF(BMO1=2,7,IF(BMO1=1,6,8))),FALSE()))</f>
        <v> </v>
      </c>
      <c r="Q189" s="402" t="str">
        <f aca="false">IF(A189="N/A"," ",(VLOOKUP(A189,OPPowerPrices,(IF(BMO1=2,7,IF(BMO1=1,6,8))),FALSE())))</f>
        <v> </v>
      </c>
      <c r="R189" s="403" t="str">
        <f aca="false">IF(A189="N/A"," ",(VLOOKUP($A189,IRTable,2)))</f>
        <v> </v>
      </c>
      <c r="AF189" s="352" t="n">
        <v>42186</v>
      </c>
      <c r="AG189" s="311" t="n">
        <v>23</v>
      </c>
      <c r="AH189" s="311" t="n">
        <v>3</v>
      </c>
      <c r="AI189" s="311" t="n">
        <v>5</v>
      </c>
      <c r="AJ189" s="311" t="n">
        <v>1</v>
      </c>
      <c r="AK189" s="311" t="n">
        <v>31</v>
      </c>
      <c r="AU189" s="406"/>
    </row>
    <row r="190" customFormat="false" ht="12.75" hidden="false" customHeight="false" outlineLevel="0" collapsed="false">
      <c r="A190" s="405" t="str">
        <f aca="false">Option1!A157</f>
        <v>N/A</v>
      </c>
      <c r="B190" s="396" t="str">
        <f aca="false">IF(A190="N/A"," ",IF(ISERROR(N190),B178*Pwresc,N190)*VLOOKUP(MONTH(A190),Curveadj,3))</f>
        <v> </v>
      </c>
      <c r="C190" s="397" t="str">
        <f aca="false">IF(A190="N/A"," ",(IF(AND(Scaler1=1,MONTH(A190)&gt;=6,MONTH(A190)&lt;=8,OR($M$37="REGION 2",$M$37="REGION 2A",$M$37="REGION 2B",$M$37="REGION 3",$M$37="REGION 3A",$M$37="REGION 3B",$M$37="REGION 3C",$M$37="REGION 4",$M$37="REGION 4B",$M$37="REGION 4C",$M$37="REGION 5",$M$37="REGION 5A")),((0.059228/(B190/100))-(0.4980013/(SQRT(B190/100)))+2.137988),HLOOKUP(MONTH(A190),ScalarTable,28))))</f>
        <v> </v>
      </c>
      <c r="D190" s="398" t="str">
        <f aca="false">IF(A190="N/A"," ",C190*B190)</f>
        <v> </v>
      </c>
      <c r="E190" s="396" t="str">
        <f aca="false">IF(A190="N/A"," ",IF(ISERROR(O190),E178*Pwresc,O190)*VLOOKUP(MONTH(A190),Curveadj,3))</f>
        <v> </v>
      </c>
      <c r="F190" s="398" t="str">
        <f aca="false">IF(A190="N/A"," ",E190*C190)</f>
        <v> </v>
      </c>
      <c r="G190" s="396" t="str">
        <f aca="false">IF(A190="N/A"," ",IF(ISERROR(P190),G178*Pwresc,P190)*VLOOKUP(MONTH(A190),Curveadj,3))</f>
        <v> </v>
      </c>
      <c r="H190" s="398" t="str">
        <f aca="false">IF(A190="N/A"," ",G190*C190)</f>
        <v> </v>
      </c>
      <c r="I190" s="398" t="str">
        <f aca="false">IF(A190="N/A"," ",IF(ISERROR(Q190),I178*Pwresc,Q190))</f>
        <v> </v>
      </c>
      <c r="J190" s="398" t="str">
        <f aca="false">IF(A190="N/A"," ",Inputs!$G$4)</f>
        <v> </v>
      </c>
      <c r="K190" s="399" t="str">
        <f aca="false">IF(A190="N/A"," ",IF(ISERROR(#REF!),K178*Gasesc,#REF!))</f>
        <v> </v>
      </c>
      <c r="L190" s="399" t="str">
        <f aca="false">IF(A190="N/A"," ",IF(ISERROR(#REF!),L178*Gasesc,IF(#REF!=0,L178*Gasesc,#REF!)))</f>
        <v> </v>
      </c>
      <c r="M190" s="404"/>
      <c r="N190" s="401" t="str">
        <f aca="false">IF(A190="N/A"," ",VLOOKUP(A190,PeakPowerCurves,(IF(BMO1=2,3,IF(BMO1=1,2,4))),FALSE()))</f>
        <v> </v>
      </c>
      <c r="O190" s="401" t="str">
        <f aca="false">IF(A190="N/A"," ",VLOOKUP(A190,SatSunPeakPwr,(IF(BMO1=2,3,IF(BMO1=1,2,4))),FALSE()))</f>
        <v> </v>
      </c>
      <c r="P190" s="401" t="str">
        <f aca="false">IF(A190="N/A"," ",VLOOKUP(A190,SatSunPeakPwr,(IF(BMO1=2,7,IF(BMO1=1,6,8))),FALSE()))</f>
        <v> </v>
      </c>
      <c r="Q190" s="402" t="str">
        <f aca="false">IF(A190="N/A"," ",(VLOOKUP(A190,OPPowerPrices,(IF(BMO1=2,7,IF(BMO1=1,6,8))),FALSE())))</f>
        <v> </v>
      </c>
      <c r="R190" s="403" t="str">
        <f aca="false">IF(A190="N/A"," ",(VLOOKUP($A190,IRTable,2)))</f>
        <v> </v>
      </c>
      <c r="AF190" s="352" t="n">
        <v>42217</v>
      </c>
      <c r="AG190" s="311" t="n">
        <v>21</v>
      </c>
      <c r="AH190" s="311" t="n">
        <v>5</v>
      </c>
      <c r="AI190" s="311" t="n">
        <v>5</v>
      </c>
      <c r="AJ190" s="311" t="n">
        <v>0</v>
      </c>
      <c r="AK190" s="311" t="n">
        <v>31</v>
      </c>
      <c r="AU190" s="406"/>
    </row>
    <row r="191" customFormat="false" ht="12.75" hidden="false" customHeight="false" outlineLevel="0" collapsed="false">
      <c r="A191" s="405" t="str">
        <f aca="false">Option1!A158</f>
        <v>N/A</v>
      </c>
      <c r="B191" s="396" t="str">
        <f aca="false">IF(A191="N/A"," ",IF(ISERROR(N191),B179*Pwresc,N191)*VLOOKUP(MONTH(A191),Curveadj,3))</f>
        <v> </v>
      </c>
      <c r="C191" s="397" t="str">
        <f aca="false">IF(A191="N/A"," ",(IF(AND(Scaler1=1,MONTH(A191)&gt;=6,MONTH(A191)&lt;=8,OR($M$37="REGION 2",$M$37="REGION 2A",$M$37="REGION 2B",$M$37="REGION 3",$M$37="REGION 3A",$M$37="REGION 3B",$M$37="REGION 3C",$M$37="REGION 4",$M$37="REGION 4B",$M$37="REGION 4C",$M$37="REGION 5",$M$37="REGION 5A")),((0.059228/(B191/100))-(0.4980013/(SQRT(B191/100)))+2.137988),HLOOKUP(MONTH(A191),ScalarTable,28))))</f>
        <v> </v>
      </c>
      <c r="D191" s="398" t="str">
        <f aca="false">IF(A191="N/A"," ",C191*B191)</f>
        <v> </v>
      </c>
      <c r="E191" s="396" t="str">
        <f aca="false">IF(A191="N/A"," ",IF(ISERROR(O191),E179*Pwresc,O191)*VLOOKUP(MONTH(A191),Curveadj,3))</f>
        <v> </v>
      </c>
      <c r="F191" s="398" t="str">
        <f aca="false">IF(A191="N/A"," ",E191*C191)</f>
        <v> </v>
      </c>
      <c r="G191" s="396" t="str">
        <f aca="false">IF(A191="N/A"," ",IF(ISERROR(P191),G179*Pwresc,P191)*VLOOKUP(MONTH(A191),Curveadj,3))</f>
        <v> </v>
      </c>
      <c r="H191" s="398" t="str">
        <f aca="false">IF(A191="N/A"," ",G191*C191)</f>
        <v> </v>
      </c>
      <c r="I191" s="398" t="str">
        <f aca="false">IF(A191="N/A"," ",IF(ISERROR(Q191),I179*Pwresc,Q191))</f>
        <v> </v>
      </c>
      <c r="J191" s="398" t="str">
        <f aca="false">IF(A191="N/A"," ",Inputs!$G$4)</f>
        <v> </v>
      </c>
      <c r="K191" s="399" t="str">
        <f aca="false">IF(A191="N/A"," ",IF(ISERROR(#REF!),K179*Gasesc,#REF!))</f>
        <v> </v>
      </c>
      <c r="L191" s="399" t="str">
        <f aca="false">IF(A191="N/A"," ",IF(ISERROR(#REF!),L179*Gasesc,IF(#REF!=0,L179*Gasesc,#REF!)))</f>
        <v> </v>
      </c>
      <c r="M191" s="404"/>
      <c r="N191" s="401" t="str">
        <f aca="false">IF(A191="N/A"," ",VLOOKUP(A191,PeakPowerCurves,(IF(BMO1=2,3,IF(BMO1=1,2,4))),FALSE()))</f>
        <v> </v>
      </c>
      <c r="O191" s="401" t="str">
        <f aca="false">IF(A191="N/A"," ",VLOOKUP(A191,SatSunPeakPwr,(IF(BMO1=2,3,IF(BMO1=1,2,4))),FALSE()))</f>
        <v> </v>
      </c>
      <c r="P191" s="401" t="str">
        <f aca="false">IF(A191="N/A"," ",VLOOKUP(A191,SatSunPeakPwr,(IF(BMO1=2,7,IF(BMO1=1,6,8))),FALSE()))</f>
        <v> </v>
      </c>
      <c r="Q191" s="402" t="str">
        <f aca="false">IF(A191="N/A"," ",(VLOOKUP(A191,OPPowerPrices,(IF(BMO1=2,7,IF(BMO1=1,6,8))),FALSE())))</f>
        <v> </v>
      </c>
      <c r="R191" s="403" t="str">
        <f aca="false">IF(A191="N/A"," ",(VLOOKUP($A191,IRTable,2)))</f>
        <v> </v>
      </c>
      <c r="AF191" s="352" t="n">
        <v>42248</v>
      </c>
      <c r="AG191" s="311" t="n">
        <v>21</v>
      </c>
      <c r="AH191" s="311" t="n">
        <v>4</v>
      </c>
      <c r="AI191" s="311" t="n">
        <v>5</v>
      </c>
      <c r="AJ191" s="311" t="n">
        <v>1</v>
      </c>
      <c r="AK191" s="311" t="n">
        <v>30</v>
      </c>
      <c r="AU191" s="406"/>
    </row>
    <row r="192" customFormat="false" ht="12.75" hidden="false" customHeight="false" outlineLevel="0" collapsed="false">
      <c r="A192" s="405" t="str">
        <f aca="false">Option1!A159</f>
        <v>N/A</v>
      </c>
      <c r="B192" s="396" t="str">
        <f aca="false">IF(A192="N/A"," ",IF(ISERROR(N192),B180*Pwresc,N192)*VLOOKUP(MONTH(A192),Curveadj,3))</f>
        <v> </v>
      </c>
      <c r="C192" s="397" t="str">
        <f aca="false">IF(A192="N/A"," ",(IF(AND(Scaler1=1,MONTH(A192)&gt;=6,MONTH(A192)&lt;=8,OR($M$37="REGION 2",$M$37="REGION 2A",$M$37="REGION 2B",$M$37="REGION 3",$M$37="REGION 3A",$M$37="REGION 3B",$M$37="REGION 3C",$M$37="REGION 4",$M$37="REGION 4B",$M$37="REGION 4C",$M$37="REGION 5",$M$37="REGION 5A")),((0.059228/(B192/100))-(0.4980013/(SQRT(B192/100)))+2.137988),HLOOKUP(MONTH(A192),ScalarTable,28))))</f>
        <v> </v>
      </c>
      <c r="D192" s="398" t="str">
        <f aca="false">IF(A192="N/A"," ",C192*B192)</f>
        <v> </v>
      </c>
      <c r="E192" s="396" t="str">
        <f aca="false">IF(A192="N/A"," ",IF(ISERROR(O192),E180*Pwresc,O192)*VLOOKUP(MONTH(A192),Curveadj,3))</f>
        <v> </v>
      </c>
      <c r="F192" s="398" t="str">
        <f aca="false">IF(A192="N/A"," ",E192*C192)</f>
        <v> </v>
      </c>
      <c r="G192" s="396" t="str">
        <f aca="false">IF(A192="N/A"," ",IF(ISERROR(P192),G180*Pwresc,P192)*VLOOKUP(MONTH(A192),Curveadj,3))</f>
        <v> </v>
      </c>
      <c r="H192" s="398" t="str">
        <f aca="false">IF(A192="N/A"," ",G192*C192)</f>
        <v> </v>
      </c>
      <c r="I192" s="398" t="str">
        <f aca="false">IF(A192="N/A"," ",IF(ISERROR(Q192),I180*Pwresc,Q192))</f>
        <v> </v>
      </c>
      <c r="J192" s="398" t="str">
        <f aca="false">IF(A192="N/A"," ",Inputs!$G$4)</f>
        <v> </v>
      </c>
      <c r="K192" s="399" t="str">
        <f aca="false">IF(A192="N/A"," ",IF(ISERROR(#REF!),K180*Gasesc,#REF!))</f>
        <v> </v>
      </c>
      <c r="L192" s="399" t="str">
        <f aca="false">IF(A192="N/A"," ",IF(ISERROR(#REF!),L180*Gasesc,IF(#REF!=0,L180*Gasesc,#REF!)))</f>
        <v> </v>
      </c>
      <c r="M192" s="404"/>
      <c r="N192" s="401" t="str">
        <f aca="false">IF(A192="N/A"," ",VLOOKUP(A192,PeakPowerCurves,(IF(BMO1=2,3,IF(BMO1=1,2,4))),FALSE()))</f>
        <v> </v>
      </c>
      <c r="O192" s="401" t="str">
        <f aca="false">IF(A192="N/A"," ",VLOOKUP(A192,SatSunPeakPwr,(IF(BMO1=2,3,IF(BMO1=1,2,4))),FALSE()))</f>
        <v> </v>
      </c>
      <c r="P192" s="401" t="str">
        <f aca="false">IF(A192="N/A"," ",VLOOKUP(A192,SatSunPeakPwr,(IF(BMO1=2,7,IF(BMO1=1,6,8))),FALSE()))</f>
        <v> </v>
      </c>
      <c r="Q192" s="402" t="str">
        <f aca="false">IF(A192="N/A"," ",(VLOOKUP(A192,OPPowerPrices,(IF(BMO1=2,7,IF(BMO1=1,6,8))),FALSE())))</f>
        <v> </v>
      </c>
      <c r="R192" s="403" t="str">
        <f aca="false">IF(A192="N/A"," ",(VLOOKUP($A192,IRTable,2)))</f>
        <v> </v>
      </c>
      <c r="AF192" s="352" t="n">
        <v>42278</v>
      </c>
      <c r="AG192" s="311" t="n">
        <v>22</v>
      </c>
      <c r="AH192" s="311" t="n">
        <v>5</v>
      </c>
      <c r="AI192" s="311" t="n">
        <v>4</v>
      </c>
      <c r="AJ192" s="311" t="n">
        <v>0</v>
      </c>
      <c r="AK192" s="311" t="n">
        <v>31</v>
      </c>
      <c r="AU192" s="406"/>
    </row>
    <row r="193" customFormat="false" ht="12.75" hidden="false" customHeight="false" outlineLevel="0" collapsed="false">
      <c r="A193" s="405" t="str">
        <f aca="false">Option1!A160</f>
        <v>N/A</v>
      </c>
      <c r="B193" s="396" t="str">
        <f aca="false">IF(A193="N/A"," ",IF(ISERROR(N193),B181*Pwresc,N193)*VLOOKUP(MONTH(A193),Curveadj,3))</f>
        <v> </v>
      </c>
      <c r="C193" s="397" t="str">
        <f aca="false">IF(A193="N/A"," ",(IF(AND(Scaler1=1,MONTH(A193)&gt;=6,MONTH(A193)&lt;=8,OR($M$37="REGION 2",$M$37="REGION 2A",$M$37="REGION 2B",$M$37="REGION 3",$M$37="REGION 3A",$M$37="REGION 3B",$M$37="REGION 3C",$M$37="REGION 4",$M$37="REGION 4B",$M$37="REGION 4C",$M$37="REGION 5",$M$37="REGION 5A")),((0.059228/(B193/100))-(0.4980013/(SQRT(B193/100)))+2.137988),HLOOKUP(MONTH(A193),ScalarTable,28))))</f>
        <v> </v>
      </c>
      <c r="D193" s="398" t="str">
        <f aca="false">IF(A193="N/A"," ",C193*B193)</f>
        <v> </v>
      </c>
      <c r="E193" s="396" t="str">
        <f aca="false">IF(A193="N/A"," ",IF(ISERROR(O193),E181*Pwresc,O193)*VLOOKUP(MONTH(A193),Curveadj,3))</f>
        <v> </v>
      </c>
      <c r="F193" s="398" t="str">
        <f aca="false">IF(A193="N/A"," ",E193*C193)</f>
        <v> </v>
      </c>
      <c r="G193" s="396" t="str">
        <f aca="false">IF(A193="N/A"," ",IF(ISERROR(P193),G181*Pwresc,P193)*VLOOKUP(MONTH(A193),Curveadj,3))</f>
        <v> </v>
      </c>
      <c r="H193" s="398" t="str">
        <f aca="false">IF(A193="N/A"," ",G193*C193)</f>
        <v> </v>
      </c>
      <c r="I193" s="398" t="str">
        <f aca="false">IF(A193="N/A"," ",IF(ISERROR(Q193),I181*Pwresc,Q193))</f>
        <v> </v>
      </c>
      <c r="J193" s="398" t="str">
        <f aca="false">IF(A193="N/A"," ",Inputs!$G$4)</f>
        <v> </v>
      </c>
      <c r="K193" s="399" t="str">
        <f aca="false">IF(A193="N/A"," ",IF(ISERROR(#REF!),K181*Gasesc,#REF!))</f>
        <v> </v>
      </c>
      <c r="L193" s="399" t="str">
        <f aca="false">IF(A193="N/A"," ",IF(ISERROR(#REF!),L181*Gasesc,IF(#REF!=0,L181*Gasesc,#REF!)))</f>
        <v> </v>
      </c>
      <c r="M193" s="404"/>
      <c r="N193" s="401" t="str">
        <f aca="false">IF(A193="N/A"," ",VLOOKUP(A193,PeakPowerCurves,(IF(BMO1=2,3,IF(BMO1=1,2,4))),FALSE()))</f>
        <v> </v>
      </c>
      <c r="O193" s="401" t="str">
        <f aca="false">IF(A193="N/A"," ",VLOOKUP(A193,SatSunPeakPwr,(IF(BMO1=2,3,IF(BMO1=1,2,4))),FALSE()))</f>
        <v> </v>
      </c>
      <c r="P193" s="401" t="str">
        <f aca="false">IF(A193="N/A"," ",VLOOKUP(A193,SatSunPeakPwr,(IF(BMO1=2,7,IF(BMO1=1,6,8))),FALSE()))</f>
        <v> </v>
      </c>
      <c r="Q193" s="402" t="str">
        <f aca="false">IF(A193="N/A"," ",(VLOOKUP(A193,OPPowerPrices,(IF(BMO1=2,7,IF(BMO1=1,6,8))),FALSE())))</f>
        <v> </v>
      </c>
      <c r="R193" s="403" t="str">
        <f aca="false">IF(A193="N/A"," ",(VLOOKUP($A193,IRTable,2)))</f>
        <v> </v>
      </c>
      <c r="AF193" s="352" t="n">
        <v>42309</v>
      </c>
      <c r="AG193" s="311" t="n">
        <v>20</v>
      </c>
      <c r="AH193" s="311" t="n">
        <v>4</v>
      </c>
      <c r="AI193" s="311" t="n">
        <v>6</v>
      </c>
      <c r="AJ193" s="311" t="n">
        <v>1</v>
      </c>
      <c r="AK193" s="311" t="n">
        <v>30</v>
      </c>
      <c r="AU193" s="406"/>
    </row>
    <row r="194" customFormat="false" ht="12.75" hidden="false" customHeight="false" outlineLevel="0" collapsed="false">
      <c r="A194" s="405" t="str">
        <f aca="false">Option1!A161</f>
        <v>N/A</v>
      </c>
      <c r="B194" s="396" t="str">
        <f aca="false">IF(A194="N/A"," ",IF(ISERROR(N194),B182*Pwresc,N194)*VLOOKUP(MONTH(A194),Curveadj,3))</f>
        <v> </v>
      </c>
      <c r="C194" s="397" t="str">
        <f aca="false">IF(A194="N/A"," ",(IF(AND(Scaler1=1,MONTH(A194)&gt;=6,MONTH(A194)&lt;=8,OR($M$37="REGION 2",$M$37="REGION 2A",$M$37="REGION 2B",$M$37="REGION 3",$M$37="REGION 3A",$M$37="REGION 3B",$M$37="REGION 3C",$M$37="REGION 4",$M$37="REGION 4B",$M$37="REGION 4C",$M$37="REGION 5",$M$37="REGION 5A")),((0.059228/(B194/100))-(0.4980013/(SQRT(B194/100)))+2.137988),HLOOKUP(MONTH(A194),ScalarTable,28))))</f>
        <v> </v>
      </c>
      <c r="D194" s="398" t="str">
        <f aca="false">IF(A194="N/A"," ",C194*B194)</f>
        <v> </v>
      </c>
      <c r="E194" s="396" t="str">
        <f aca="false">IF(A194="N/A"," ",IF(ISERROR(O194),E182*Pwresc,O194)*VLOOKUP(MONTH(A194),Curveadj,3))</f>
        <v> </v>
      </c>
      <c r="F194" s="398" t="str">
        <f aca="false">IF(A194="N/A"," ",E194*C194)</f>
        <v> </v>
      </c>
      <c r="G194" s="396" t="str">
        <f aca="false">IF(A194="N/A"," ",IF(ISERROR(P194),G182*Pwresc,P194)*VLOOKUP(MONTH(A194),Curveadj,3))</f>
        <v> </v>
      </c>
      <c r="H194" s="398" t="str">
        <f aca="false">IF(A194="N/A"," ",G194*C194)</f>
        <v> </v>
      </c>
      <c r="I194" s="398" t="str">
        <f aca="false">IF(A194="N/A"," ",IF(ISERROR(Q194),I182*Pwresc,Q194))</f>
        <v> </v>
      </c>
      <c r="J194" s="398" t="str">
        <f aca="false">IF(A194="N/A"," ",Inputs!$G$4)</f>
        <v> </v>
      </c>
      <c r="K194" s="399" t="str">
        <f aca="false">IF(A194="N/A"," ",IF(ISERROR(#REF!),K182*Gasesc,#REF!))</f>
        <v> </v>
      </c>
      <c r="L194" s="399" t="str">
        <f aca="false">IF(A194="N/A"," ",IF(ISERROR(#REF!),L182*Gasesc,IF(#REF!=0,L182*Gasesc,#REF!)))</f>
        <v> </v>
      </c>
      <c r="M194" s="404"/>
      <c r="N194" s="401" t="str">
        <f aca="false">IF(A194="N/A"," ",VLOOKUP(A194,PeakPowerCurves,(IF(BMO1=2,3,IF(BMO1=1,2,4))),FALSE()))</f>
        <v> </v>
      </c>
      <c r="O194" s="401" t="str">
        <f aca="false">IF(A194="N/A"," ",VLOOKUP(A194,SatSunPeakPwr,(IF(BMO1=2,3,IF(BMO1=1,2,4))),FALSE()))</f>
        <v> </v>
      </c>
      <c r="P194" s="401" t="str">
        <f aca="false">IF(A194="N/A"," ",VLOOKUP(A194,SatSunPeakPwr,(IF(BMO1=2,7,IF(BMO1=1,6,8))),FALSE()))</f>
        <v> </v>
      </c>
      <c r="Q194" s="402" t="str">
        <f aca="false">IF(A194="N/A"," ",(VLOOKUP(A194,OPPowerPrices,(IF(BMO1=2,7,IF(BMO1=1,6,8))),FALSE())))</f>
        <v> </v>
      </c>
      <c r="R194" s="403" t="str">
        <f aca="false">IF(A194="N/A"," ",(VLOOKUP($A194,IRTable,2)))</f>
        <v> </v>
      </c>
      <c r="AF194" s="352" t="n">
        <v>42339</v>
      </c>
      <c r="AG194" s="311" t="n">
        <v>22</v>
      </c>
      <c r="AH194" s="311" t="n">
        <v>4</v>
      </c>
      <c r="AI194" s="311" t="n">
        <v>5</v>
      </c>
      <c r="AJ194" s="311" t="n">
        <v>1</v>
      </c>
      <c r="AK194" s="311" t="n">
        <v>31</v>
      </c>
      <c r="AU194" s="406"/>
    </row>
    <row r="195" customFormat="false" ht="12.75" hidden="false" customHeight="false" outlineLevel="0" collapsed="false">
      <c r="A195" s="405" t="str">
        <f aca="false">Option1!A162</f>
        <v>N/A</v>
      </c>
      <c r="B195" s="396" t="str">
        <f aca="false">IF(A195="N/A"," ",IF(ISERROR(N195),B183*Pwresc,N195)*VLOOKUP(MONTH(A195),Curveadj,3))</f>
        <v> </v>
      </c>
      <c r="C195" s="397" t="str">
        <f aca="false">IF(A195="N/A"," ",(IF(AND(Scaler1=1,MONTH(A195)&gt;=6,MONTH(A195)&lt;=8,OR($M$37="REGION 2",$M$37="REGION 2A",$M$37="REGION 2B",$M$37="REGION 3",$M$37="REGION 3A",$M$37="REGION 3B",$M$37="REGION 3C",$M$37="REGION 4",$M$37="REGION 4B",$M$37="REGION 4C",$M$37="REGION 5",$M$37="REGION 5A")),((0.059228/(B195/100))-(0.4980013/(SQRT(B195/100)))+2.137988),HLOOKUP(MONTH(A195),ScalarTable,28))))</f>
        <v> </v>
      </c>
      <c r="D195" s="398" t="str">
        <f aca="false">IF(A195="N/A"," ",C195*B195)</f>
        <v> </v>
      </c>
      <c r="E195" s="396" t="str">
        <f aca="false">IF(A195="N/A"," ",IF(ISERROR(O195),E183*Pwresc,O195)*VLOOKUP(MONTH(A195),Curveadj,3))</f>
        <v> </v>
      </c>
      <c r="F195" s="398" t="str">
        <f aca="false">IF(A195="N/A"," ",E195*C195)</f>
        <v> </v>
      </c>
      <c r="G195" s="396" t="str">
        <f aca="false">IF(A195="N/A"," ",IF(ISERROR(P195),G183*Pwresc,P195)*VLOOKUP(MONTH(A195),Curveadj,3))</f>
        <v> </v>
      </c>
      <c r="H195" s="398" t="str">
        <f aca="false">IF(A195="N/A"," ",G195*C195)</f>
        <v> </v>
      </c>
      <c r="I195" s="398" t="str">
        <f aca="false">IF(A195="N/A"," ",IF(ISERROR(Q195),I183*Pwresc,Q195))</f>
        <v> </v>
      </c>
      <c r="J195" s="398" t="str">
        <f aca="false">IF(A195="N/A"," ",Inputs!$G$4)</f>
        <v> </v>
      </c>
      <c r="K195" s="399" t="str">
        <f aca="false">IF(A195="N/A"," ",IF(ISERROR(#REF!),K183*Gasesc,#REF!))</f>
        <v> </v>
      </c>
      <c r="L195" s="399" t="str">
        <f aca="false">IF(A195="N/A"," ",IF(ISERROR(#REF!),L183*Gasesc,IF(#REF!=0,L183*Gasesc,#REF!)))</f>
        <v> </v>
      </c>
      <c r="M195" s="404"/>
      <c r="N195" s="401" t="str">
        <f aca="false">IF(A195="N/A"," ",VLOOKUP(A195,PeakPowerCurves,(IF(BMO1=2,3,IF(BMO1=1,2,4))),FALSE()))</f>
        <v> </v>
      </c>
      <c r="O195" s="401" t="str">
        <f aca="false">IF(A195="N/A"," ",VLOOKUP(A195,SatSunPeakPwr,(IF(BMO1=2,3,IF(BMO1=1,2,4))),FALSE()))</f>
        <v> </v>
      </c>
      <c r="P195" s="401" t="str">
        <f aca="false">IF(A195="N/A"," ",VLOOKUP(A195,SatSunPeakPwr,(IF(BMO1=2,7,IF(BMO1=1,6,8))),FALSE()))</f>
        <v> </v>
      </c>
      <c r="Q195" s="402" t="str">
        <f aca="false">IF(A195="N/A"," ",(VLOOKUP(A195,OPPowerPrices,(IF(BMO1=2,7,IF(BMO1=1,6,8))),FALSE())))</f>
        <v> </v>
      </c>
      <c r="R195" s="403" t="str">
        <f aca="false">IF(A195="N/A"," ",(VLOOKUP($A195,IRTable,2)))</f>
        <v> </v>
      </c>
      <c r="AF195" s="352" t="n">
        <v>42370</v>
      </c>
      <c r="AG195" s="311" t="n">
        <v>20</v>
      </c>
      <c r="AH195" s="311" t="n">
        <v>5</v>
      </c>
      <c r="AI195" s="311" t="n">
        <v>6</v>
      </c>
      <c r="AJ195" s="311" t="n">
        <v>1</v>
      </c>
      <c r="AK195" s="311" t="n">
        <v>31</v>
      </c>
      <c r="AU195" s="406"/>
    </row>
    <row r="196" customFormat="false" ht="12.75" hidden="false" customHeight="false" outlineLevel="0" collapsed="false">
      <c r="A196" s="405" t="str">
        <f aca="false">Option1!A163</f>
        <v>N/A</v>
      </c>
      <c r="B196" s="396" t="str">
        <f aca="false">IF(A196="N/A"," ",IF(ISERROR(N196),B184*Pwresc,N196)*VLOOKUP(MONTH(A196),Curveadj,3))</f>
        <v> </v>
      </c>
      <c r="C196" s="397" t="str">
        <f aca="false">IF(A196="N/A"," ",(IF(AND(Scaler1=1,MONTH(A196)&gt;=6,MONTH(A196)&lt;=8,OR($M$37="REGION 2",$M$37="REGION 2A",$M$37="REGION 2B",$M$37="REGION 3",$M$37="REGION 3A",$M$37="REGION 3B",$M$37="REGION 3C",$M$37="REGION 4",$M$37="REGION 4B",$M$37="REGION 4C",$M$37="REGION 5",$M$37="REGION 5A")),((0.059228/(B196/100))-(0.4980013/(SQRT(B196/100)))+2.137988),HLOOKUP(MONTH(A196),ScalarTable,28))))</f>
        <v> </v>
      </c>
      <c r="D196" s="398" t="str">
        <f aca="false">IF(A196="N/A"," ",C196*B196)</f>
        <v> </v>
      </c>
      <c r="E196" s="396" t="str">
        <f aca="false">IF(A196="N/A"," ",IF(ISERROR(O196),E184*Pwresc,O196)*VLOOKUP(MONTH(A196),Curveadj,3))</f>
        <v> </v>
      </c>
      <c r="F196" s="398" t="str">
        <f aca="false">IF(A196="N/A"," ",E196*C196)</f>
        <v> </v>
      </c>
      <c r="G196" s="396" t="str">
        <f aca="false">IF(A196="N/A"," ",IF(ISERROR(P196),G184*Pwresc,P196)*VLOOKUP(MONTH(A196),Curveadj,3))</f>
        <v> </v>
      </c>
      <c r="H196" s="398" t="str">
        <f aca="false">IF(A196="N/A"," ",G196*C196)</f>
        <v> </v>
      </c>
      <c r="I196" s="398" t="str">
        <f aca="false">IF(A196="N/A"," ",IF(ISERROR(Q196),I184*Pwresc,Q196))</f>
        <v> </v>
      </c>
      <c r="J196" s="398" t="str">
        <f aca="false">IF(A196="N/A"," ",Inputs!$G$4)</f>
        <v> </v>
      </c>
      <c r="K196" s="399" t="str">
        <f aca="false">IF(A196="N/A"," ",IF(ISERROR(#REF!),K184*Gasesc,#REF!))</f>
        <v> </v>
      </c>
      <c r="L196" s="399" t="str">
        <f aca="false">IF(A196="N/A"," ",IF(ISERROR(#REF!),L184*Gasesc,IF(#REF!=0,L184*Gasesc,#REF!)))</f>
        <v> </v>
      </c>
      <c r="M196" s="404"/>
      <c r="N196" s="401" t="str">
        <f aca="false">IF(A196="N/A"," ",VLOOKUP(A196,PeakPowerCurves,(IF(BMO1=2,3,IF(BMO1=1,2,4))),FALSE()))</f>
        <v> </v>
      </c>
      <c r="O196" s="401" t="str">
        <f aca="false">IF(A196="N/A"," ",VLOOKUP(A196,SatSunPeakPwr,(IF(BMO1=2,3,IF(BMO1=1,2,4))),FALSE()))</f>
        <v> </v>
      </c>
      <c r="P196" s="401" t="str">
        <f aca="false">IF(A196="N/A"," ",VLOOKUP(A196,SatSunPeakPwr,(IF(BMO1=2,7,IF(BMO1=1,6,8))),FALSE()))</f>
        <v> </v>
      </c>
      <c r="Q196" s="402" t="str">
        <f aca="false">IF(A196="N/A"," ",(VLOOKUP(A196,OPPowerPrices,(IF(BMO1=2,7,IF(BMO1=1,6,8))),FALSE())))</f>
        <v> </v>
      </c>
      <c r="R196" s="403" t="str">
        <f aca="false">IF(A196="N/A"," ",(VLOOKUP($A196,IRTable,2)))</f>
        <v> </v>
      </c>
      <c r="AF196" s="352" t="n">
        <v>42401</v>
      </c>
      <c r="AG196" s="311" t="n">
        <v>21</v>
      </c>
      <c r="AH196" s="311" t="n">
        <v>4</v>
      </c>
      <c r="AI196" s="311" t="n">
        <v>4</v>
      </c>
      <c r="AJ196" s="311" t="n">
        <v>0</v>
      </c>
      <c r="AK196" s="311" t="n">
        <v>29</v>
      </c>
      <c r="AU196" s="406"/>
    </row>
    <row r="197" customFormat="false" ht="12.75" hidden="false" customHeight="false" outlineLevel="0" collapsed="false">
      <c r="A197" s="405" t="str">
        <f aca="false">Option1!A164</f>
        <v>N/A</v>
      </c>
      <c r="B197" s="396" t="str">
        <f aca="false">IF(A197="N/A"," ",IF(ISERROR(N197),B185*Pwresc,N197)*VLOOKUP(MONTH(A197),Curveadj,3))</f>
        <v> </v>
      </c>
      <c r="C197" s="397" t="str">
        <f aca="false">IF(A197="N/A"," ",(IF(AND(Scaler1=1,MONTH(A197)&gt;=6,MONTH(A197)&lt;=8,OR($M$37="REGION 2",$M$37="REGION 2A",$M$37="REGION 2B",$M$37="REGION 3",$M$37="REGION 3A",$M$37="REGION 3B",$M$37="REGION 3C",$M$37="REGION 4",$M$37="REGION 4B",$M$37="REGION 4C",$M$37="REGION 5",$M$37="REGION 5A")),((0.059228/(B197/100))-(0.4980013/(SQRT(B197/100)))+2.137988),HLOOKUP(MONTH(A197),ScalarTable,28))))</f>
        <v> </v>
      </c>
      <c r="D197" s="398" t="str">
        <f aca="false">IF(A197="N/A"," ",C197*B197)</f>
        <v> </v>
      </c>
      <c r="E197" s="396" t="str">
        <f aca="false">IF(A197="N/A"," ",IF(ISERROR(O197),E185*Pwresc,O197)*VLOOKUP(MONTH(A197),Curveadj,3))</f>
        <v> </v>
      </c>
      <c r="F197" s="398" t="str">
        <f aca="false">IF(A197="N/A"," ",E197*C197)</f>
        <v> </v>
      </c>
      <c r="G197" s="396" t="str">
        <f aca="false">IF(A197="N/A"," ",IF(ISERROR(P197),G185*Pwresc,P197)*VLOOKUP(MONTH(A197),Curveadj,3))</f>
        <v> </v>
      </c>
      <c r="H197" s="398" t="str">
        <f aca="false">IF(A197="N/A"," ",G197*C197)</f>
        <v> </v>
      </c>
      <c r="I197" s="398" t="str">
        <f aca="false">IF(A197="N/A"," ",IF(ISERROR(Q197),I185*Pwresc,Q197))</f>
        <v> </v>
      </c>
      <c r="J197" s="398" t="str">
        <f aca="false">IF(A197="N/A"," ",Inputs!$G$4)</f>
        <v> </v>
      </c>
      <c r="K197" s="399" t="str">
        <f aca="false">IF(A197="N/A"," ",IF(ISERROR(#REF!),K185*Gasesc,#REF!))</f>
        <v> </v>
      </c>
      <c r="L197" s="399" t="str">
        <f aca="false">IF(A197="N/A"," ",IF(ISERROR(#REF!),L185*Gasesc,IF(#REF!=0,L185*Gasesc,#REF!)))</f>
        <v> </v>
      </c>
      <c r="M197" s="404"/>
      <c r="N197" s="401" t="str">
        <f aca="false">IF(A197="N/A"," ",VLOOKUP(A197,PeakPowerCurves,(IF(BMO1=2,3,IF(BMO1=1,2,4))),FALSE()))</f>
        <v> </v>
      </c>
      <c r="O197" s="401" t="str">
        <f aca="false">IF(A197="N/A"," ",VLOOKUP(A197,SatSunPeakPwr,(IF(BMO1=2,3,IF(BMO1=1,2,4))),FALSE()))</f>
        <v> </v>
      </c>
      <c r="P197" s="401" t="str">
        <f aca="false">IF(A197="N/A"," ",VLOOKUP(A197,SatSunPeakPwr,(IF(BMO1=2,7,IF(BMO1=1,6,8))),FALSE()))</f>
        <v> </v>
      </c>
      <c r="Q197" s="402" t="str">
        <f aca="false">IF(A197="N/A"," ",(VLOOKUP(A197,OPPowerPrices,(IF(BMO1=2,7,IF(BMO1=1,6,8))),FALSE())))</f>
        <v> </v>
      </c>
      <c r="R197" s="403" t="str">
        <f aca="false">IF(A197="N/A"," ",(VLOOKUP($A197,IRTable,2)))</f>
        <v> </v>
      </c>
      <c r="AF197" s="352" t="n">
        <v>42430</v>
      </c>
      <c r="AG197" s="311" t="n">
        <v>23</v>
      </c>
      <c r="AH197" s="311" t="n">
        <v>4</v>
      </c>
      <c r="AI197" s="311" t="n">
        <v>4</v>
      </c>
      <c r="AJ197" s="311" t="n">
        <v>0</v>
      </c>
      <c r="AK197" s="311" t="n">
        <v>31</v>
      </c>
      <c r="AU197" s="406"/>
    </row>
    <row r="198" customFormat="false" ht="12.75" hidden="false" customHeight="false" outlineLevel="0" collapsed="false">
      <c r="A198" s="405" t="str">
        <f aca="false">Option1!A165</f>
        <v>N/A</v>
      </c>
      <c r="B198" s="396" t="str">
        <f aca="false">IF(A198="N/A"," ",IF(ISERROR(N198),B186*Pwresc,N198)*VLOOKUP(MONTH(A198),Curveadj,3))</f>
        <v> </v>
      </c>
      <c r="C198" s="397" t="str">
        <f aca="false">IF(A198="N/A"," ",(IF(AND(Scaler1=1,MONTH(A198)&gt;=6,MONTH(A198)&lt;=8,OR($M$37="REGION 2",$M$37="REGION 2A",$M$37="REGION 2B",$M$37="REGION 3",$M$37="REGION 3A",$M$37="REGION 3B",$M$37="REGION 3C",$M$37="REGION 4",$M$37="REGION 4B",$M$37="REGION 4C",$M$37="REGION 5",$M$37="REGION 5A")),((0.059228/(B198/100))-(0.4980013/(SQRT(B198/100)))+2.137988),HLOOKUP(MONTH(A198),ScalarTable,28))))</f>
        <v> </v>
      </c>
      <c r="D198" s="398" t="str">
        <f aca="false">IF(A198="N/A"," ",C198*B198)</f>
        <v> </v>
      </c>
      <c r="E198" s="396" t="str">
        <f aca="false">IF(A198="N/A"," ",IF(ISERROR(O198),E186*Pwresc,O198)*VLOOKUP(MONTH(A198),Curveadj,3))</f>
        <v> </v>
      </c>
      <c r="F198" s="398" t="str">
        <f aca="false">IF(A198="N/A"," ",E198*C198)</f>
        <v> </v>
      </c>
      <c r="G198" s="396" t="str">
        <f aca="false">IF(A198="N/A"," ",IF(ISERROR(P198),G186*Pwresc,P198)*VLOOKUP(MONTH(A198),Curveadj,3))</f>
        <v> </v>
      </c>
      <c r="H198" s="398" t="str">
        <f aca="false">IF(A198="N/A"," ",G198*C198)</f>
        <v> </v>
      </c>
      <c r="I198" s="398" t="str">
        <f aca="false">IF(A198="N/A"," ",IF(ISERROR(Q198),I186*Pwresc,Q198))</f>
        <v> </v>
      </c>
      <c r="J198" s="398" t="str">
        <f aca="false">IF(A198="N/A"," ",Inputs!$G$4)</f>
        <v> </v>
      </c>
      <c r="K198" s="399" t="str">
        <f aca="false">IF(A198="N/A"," ",IF(ISERROR(#REF!),K186*Gasesc,#REF!))</f>
        <v> </v>
      </c>
      <c r="L198" s="399" t="str">
        <f aca="false">IF(A198="N/A"," ",IF(ISERROR(#REF!),L186*Gasesc,IF(#REF!=0,L186*Gasesc,#REF!)))</f>
        <v> </v>
      </c>
      <c r="M198" s="404"/>
      <c r="N198" s="401" t="str">
        <f aca="false">IF(A198="N/A"," ",VLOOKUP(A198,PeakPowerCurves,(IF(BMO1=2,3,IF(BMO1=1,2,4))),FALSE()))</f>
        <v> </v>
      </c>
      <c r="O198" s="401" t="str">
        <f aca="false">IF(A198="N/A"," ",VLOOKUP(A198,SatSunPeakPwr,(IF(BMO1=2,3,IF(BMO1=1,2,4))),FALSE()))</f>
        <v> </v>
      </c>
      <c r="P198" s="401" t="str">
        <f aca="false">IF(A198="N/A"," ",VLOOKUP(A198,SatSunPeakPwr,(IF(BMO1=2,7,IF(BMO1=1,6,8))),FALSE()))</f>
        <v> </v>
      </c>
      <c r="Q198" s="402" t="str">
        <f aca="false">IF(A198="N/A"," ",(VLOOKUP(A198,OPPowerPrices,(IF(BMO1=2,7,IF(BMO1=1,6,8))),FALSE())))</f>
        <v> </v>
      </c>
      <c r="R198" s="403" t="str">
        <f aca="false">IF(A198="N/A"," ",(VLOOKUP($A198,IRTable,2)))</f>
        <v> </v>
      </c>
      <c r="AF198" s="352" t="n">
        <v>42461</v>
      </c>
      <c r="AG198" s="311" t="n">
        <v>21</v>
      </c>
      <c r="AH198" s="311" t="n">
        <v>5</v>
      </c>
      <c r="AI198" s="311" t="n">
        <v>4</v>
      </c>
      <c r="AJ198" s="311" t="n">
        <v>0</v>
      </c>
      <c r="AK198" s="311" t="n">
        <v>30</v>
      </c>
      <c r="AU198" s="406"/>
    </row>
    <row r="199" customFormat="false" ht="12.75" hidden="false" customHeight="false" outlineLevel="0" collapsed="false">
      <c r="A199" s="405" t="str">
        <f aca="false">Option1!A166</f>
        <v>N/A</v>
      </c>
      <c r="B199" s="396" t="str">
        <f aca="false">IF(A199="N/A"," ",IF(ISERROR(N199),B187*Pwresc,N199)*VLOOKUP(MONTH(A199),Curveadj,3))</f>
        <v> </v>
      </c>
      <c r="C199" s="397" t="str">
        <f aca="false">IF(A199="N/A"," ",(IF(AND(Scaler1=1,MONTH(A199)&gt;=6,MONTH(A199)&lt;=8,OR($M$37="REGION 2",$M$37="REGION 2A",$M$37="REGION 2B",$M$37="REGION 3",$M$37="REGION 3A",$M$37="REGION 3B",$M$37="REGION 3C",$M$37="REGION 4",$M$37="REGION 4B",$M$37="REGION 4C",$M$37="REGION 5",$M$37="REGION 5A")),((0.059228/(B199/100))-(0.4980013/(SQRT(B199/100)))+2.137988),HLOOKUP(MONTH(A199),ScalarTable,28))))</f>
        <v> </v>
      </c>
      <c r="D199" s="398" t="str">
        <f aca="false">IF(A199="N/A"," ",C199*B199)</f>
        <v> </v>
      </c>
      <c r="E199" s="396" t="str">
        <f aca="false">IF(A199="N/A"," ",IF(ISERROR(O199),E187*Pwresc,O199)*VLOOKUP(MONTH(A199),Curveadj,3))</f>
        <v> </v>
      </c>
      <c r="F199" s="398" t="str">
        <f aca="false">IF(A199="N/A"," ",E199*C199)</f>
        <v> </v>
      </c>
      <c r="G199" s="396" t="str">
        <f aca="false">IF(A199="N/A"," ",IF(ISERROR(P199),G187*Pwresc,P199)*VLOOKUP(MONTH(A199),Curveadj,3))</f>
        <v> </v>
      </c>
      <c r="H199" s="398" t="str">
        <f aca="false">IF(A199="N/A"," ",G199*C199)</f>
        <v> </v>
      </c>
      <c r="I199" s="398" t="str">
        <f aca="false">IF(A199="N/A"," ",IF(ISERROR(Q199),I187*Pwresc,Q199))</f>
        <v> </v>
      </c>
      <c r="J199" s="398" t="str">
        <f aca="false">IF(A199="N/A"," ",Inputs!$G$4)</f>
        <v> </v>
      </c>
      <c r="K199" s="399" t="str">
        <f aca="false">IF(A199="N/A"," ",IF(ISERROR(#REF!),K187*Gasesc,#REF!))</f>
        <v> </v>
      </c>
      <c r="L199" s="399" t="str">
        <f aca="false">IF(A199="N/A"," ",IF(ISERROR(#REF!),L187*Gasesc,IF(#REF!=0,L187*Gasesc,#REF!)))</f>
        <v> </v>
      </c>
      <c r="M199" s="404"/>
      <c r="N199" s="401" t="str">
        <f aca="false">IF(A199="N/A"," ",VLOOKUP(A199,PeakPowerCurves,(IF(BMO1=2,3,IF(BMO1=1,2,4))),FALSE()))</f>
        <v> </v>
      </c>
      <c r="O199" s="401" t="str">
        <f aca="false">IF(A199="N/A"," ",VLOOKUP(A199,SatSunPeakPwr,(IF(BMO1=2,3,IF(BMO1=1,2,4))),FALSE()))</f>
        <v> </v>
      </c>
      <c r="P199" s="401" t="str">
        <f aca="false">IF(A199="N/A"," ",VLOOKUP(A199,SatSunPeakPwr,(IF(BMO1=2,7,IF(BMO1=1,6,8))),FALSE()))</f>
        <v> </v>
      </c>
      <c r="Q199" s="402" t="str">
        <f aca="false">IF(A199="N/A"," ",(VLOOKUP(A199,OPPowerPrices,(IF(BMO1=2,7,IF(BMO1=1,6,8))),FALSE())))</f>
        <v> </v>
      </c>
      <c r="R199" s="403" t="str">
        <f aca="false">IF(A199="N/A"," ",(VLOOKUP($A199,IRTable,2)))</f>
        <v> </v>
      </c>
      <c r="AF199" s="352" t="n">
        <v>42491</v>
      </c>
      <c r="AG199" s="311" t="n">
        <v>21</v>
      </c>
      <c r="AH199" s="311" t="n">
        <v>4</v>
      </c>
      <c r="AI199" s="311" t="n">
        <v>6</v>
      </c>
      <c r="AJ199" s="311" t="n">
        <v>1</v>
      </c>
      <c r="AK199" s="311" t="n">
        <v>31</v>
      </c>
      <c r="AU199" s="406"/>
    </row>
    <row r="200" customFormat="false" ht="12.75" hidden="false" customHeight="false" outlineLevel="0" collapsed="false">
      <c r="A200" s="405" t="str">
        <f aca="false">Option1!A167</f>
        <v>N/A</v>
      </c>
      <c r="B200" s="396" t="str">
        <f aca="false">IF(A200="N/A"," ",IF(ISERROR(N200),B188*Pwresc,N200)*VLOOKUP(MONTH(A200),Curveadj,3))</f>
        <v> </v>
      </c>
      <c r="C200" s="397" t="str">
        <f aca="false">IF(A200="N/A"," ",(IF(AND(Scaler1=1,MONTH(A200)&gt;=6,MONTH(A200)&lt;=8,OR($M$37="REGION 2",$M$37="REGION 2A",$M$37="REGION 2B",$M$37="REGION 3",$M$37="REGION 3A",$M$37="REGION 3B",$M$37="REGION 3C",$M$37="REGION 4",$M$37="REGION 4B",$M$37="REGION 4C",$M$37="REGION 5",$M$37="REGION 5A")),((0.059228/(B200/100))-(0.4980013/(SQRT(B200/100)))+2.137988),HLOOKUP(MONTH(A200),ScalarTable,28))))</f>
        <v> </v>
      </c>
      <c r="D200" s="398" t="str">
        <f aca="false">IF(A200="N/A"," ",C200*B200)</f>
        <v> </v>
      </c>
      <c r="E200" s="396" t="str">
        <f aca="false">IF(A200="N/A"," ",IF(ISERROR(O200),E188*Pwresc,O200)*VLOOKUP(MONTH(A200),Curveadj,3))</f>
        <v> </v>
      </c>
      <c r="F200" s="398" t="str">
        <f aca="false">IF(A200="N/A"," ",E200*C200)</f>
        <v> </v>
      </c>
      <c r="G200" s="396" t="str">
        <f aca="false">IF(A200="N/A"," ",IF(ISERROR(P200),G188*Pwresc,P200)*VLOOKUP(MONTH(A200),Curveadj,3))</f>
        <v> </v>
      </c>
      <c r="H200" s="398" t="str">
        <f aca="false">IF(A200="N/A"," ",G200*C200)</f>
        <v> </v>
      </c>
      <c r="I200" s="398" t="str">
        <f aca="false">IF(A200="N/A"," ",IF(ISERROR(Q200),I188*Pwresc,Q200))</f>
        <v> </v>
      </c>
      <c r="J200" s="398" t="str">
        <f aca="false">IF(A200="N/A"," ",Inputs!$G$4)</f>
        <v> </v>
      </c>
      <c r="K200" s="399" t="str">
        <f aca="false">IF(A200="N/A"," ",IF(ISERROR(#REF!),K188*Gasesc,#REF!))</f>
        <v> </v>
      </c>
      <c r="L200" s="399" t="str">
        <f aca="false">IF(A200="N/A"," ",IF(ISERROR(#REF!),L188*Gasesc,IF(#REF!=0,L188*Gasesc,#REF!)))</f>
        <v> </v>
      </c>
      <c r="M200" s="404"/>
      <c r="N200" s="401" t="str">
        <f aca="false">IF(A200="N/A"," ",VLOOKUP(A200,PeakPowerCurves,(IF(BMO1=2,3,IF(BMO1=1,2,4))),FALSE()))</f>
        <v> </v>
      </c>
      <c r="O200" s="401" t="str">
        <f aca="false">IF(A200="N/A"," ",VLOOKUP(A200,SatSunPeakPwr,(IF(BMO1=2,3,IF(BMO1=1,2,4))),FALSE()))</f>
        <v> </v>
      </c>
      <c r="P200" s="401" t="str">
        <f aca="false">IF(A200="N/A"," ",VLOOKUP(A200,SatSunPeakPwr,(IF(BMO1=2,7,IF(BMO1=1,6,8))),FALSE()))</f>
        <v> </v>
      </c>
      <c r="Q200" s="402" t="str">
        <f aca="false">IF(A200="N/A"," ",(VLOOKUP(A200,OPPowerPrices,(IF(BMO1=2,7,IF(BMO1=1,6,8))),FALSE())))</f>
        <v> </v>
      </c>
      <c r="R200" s="403" t="str">
        <f aca="false">IF(A200="N/A"," ",(VLOOKUP($A200,IRTable,2)))</f>
        <v> </v>
      </c>
      <c r="AF200" s="352" t="n">
        <v>42522</v>
      </c>
      <c r="AG200" s="311" t="n">
        <v>22</v>
      </c>
      <c r="AH200" s="311" t="n">
        <v>4</v>
      </c>
      <c r="AI200" s="311" t="n">
        <v>4</v>
      </c>
      <c r="AJ200" s="311" t="n">
        <v>0</v>
      </c>
      <c r="AK200" s="311" t="n">
        <v>30</v>
      </c>
      <c r="AU200" s="406"/>
    </row>
    <row r="201" customFormat="false" ht="12.75" hidden="false" customHeight="false" outlineLevel="0" collapsed="false">
      <c r="A201" s="405" t="str">
        <f aca="false">Option1!A168</f>
        <v>N/A</v>
      </c>
      <c r="B201" s="396" t="str">
        <f aca="false">IF(A201="N/A"," ",IF(ISERROR(N201),B189*Pwresc,N201)*VLOOKUP(MONTH(A201),Curveadj,3))</f>
        <v> </v>
      </c>
      <c r="C201" s="397" t="str">
        <f aca="false">IF(A201="N/A"," ",(IF(AND(Scaler1=1,MONTH(A201)&gt;=6,MONTH(A201)&lt;=8,OR($M$37="REGION 2",$M$37="REGION 2A",$M$37="REGION 2B",$M$37="REGION 3",$M$37="REGION 3A",$M$37="REGION 3B",$M$37="REGION 3C",$M$37="REGION 4",$M$37="REGION 4B",$M$37="REGION 4C",$M$37="REGION 5",$M$37="REGION 5A")),((0.059228/(B201/100))-(0.4980013/(SQRT(B201/100)))+2.137988),HLOOKUP(MONTH(A201),ScalarTable,28))))</f>
        <v> </v>
      </c>
      <c r="D201" s="398" t="str">
        <f aca="false">IF(A201="N/A"," ",C201*B201)</f>
        <v> </v>
      </c>
      <c r="E201" s="396" t="str">
        <f aca="false">IF(A201="N/A"," ",IF(ISERROR(O201),E189*Pwresc,O201)*VLOOKUP(MONTH(A201),Curveadj,3))</f>
        <v> </v>
      </c>
      <c r="F201" s="398" t="str">
        <f aca="false">IF(A201="N/A"," ",E201*C201)</f>
        <v> </v>
      </c>
      <c r="G201" s="396" t="str">
        <f aca="false">IF(A201="N/A"," ",IF(ISERROR(P201),G189*Pwresc,P201)*VLOOKUP(MONTH(A201),Curveadj,3))</f>
        <v> </v>
      </c>
      <c r="H201" s="398" t="str">
        <f aca="false">IF(A201="N/A"," ",G201*C201)</f>
        <v> </v>
      </c>
      <c r="I201" s="398" t="str">
        <f aca="false">IF(A201="N/A"," ",IF(ISERROR(Q201),I189*Pwresc,Q201))</f>
        <v> </v>
      </c>
      <c r="J201" s="398" t="str">
        <f aca="false">IF(A201="N/A"," ",Inputs!$G$4)</f>
        <v> </v>
      </c>
      <c r="K201" s="399" t="str">
        <f aca="false">IF(A201="N/A"," ",IF(ISERROR(#REF!),K189*Gasesc,#REF!))</f>
        <v> </v>
      </c>
      <c r="L201" s="399" t="str">
        <f aca="false">IF(A201="N/A"," ",IF(ISERROR(#REF!),L189*Gasesc,IF(#REF!=0,L189*Gasesc,#REF!)))</f>
        <v> </v>
      </c>
      <c r="M201" s="404"/>
      <c r="N201" s="401" t="str">
        <f aca="false">IF(A201="N/A"," ",VLOOKUP(A201,PeakPowerCurves,(IF(BMO1=2,3,IF(BMO1=1,2,4))),FALSE()))</f>
        <v> </v>
      </c>
      <c r="O201" s="401" t="str">
        <f aca="false">IF(A201="N/A"," ",VLOOKUP(A201,SatSunPeakPwr,(IF(BMO1=2,3,IF(BMO1=1,2,4))),FALSE()))</f>
        <v> </v>
      </c>
      <c r="P201" s="401" t="str">
        <f aca="false">IF(A201="N/A"," ",VLOOKUP(A201,SatSunPeakPwr,(IF(BMO1=2,7,IF(BMO1=1,6,8))),FALSE()))</f>
        <v> </v>
      </c>
      <c r="Q201" s="402" t="str">
        <f aca="false">IF(A201="N/A"," ",(VLOOKUP(A201,OPPowerPrices,(IF(BMO1=2,7,IF(BMO1=1,6,8))),FALSE())))</f>
        <v> </v>
      </c>
      <c r="R201" s="403" t="str">
        <f aca="false">IF(A201="N/A"," ",(VLOOKUP($A201,IRTable,2)))</f>
        <v> </v>
      </c>
      <c r="AF201" s="352" t="n">
        <v>42552</v>
      </c>
      <c r="AG201" s="311" t="n">
        <v>20</v>
      </c>
      <c r="AH201" s="311" t="n">
        <v>5</v>
      </c>
      <c r="AI201" s="311" t="n">
        <v>6</v>
      </c>
      <c r="AJ201" s="311" t="n">
        <v>1</v>
      </c>
      <c r="AK201" s="311" t="n">
        <v>31</v>
      </c>
      <c r="AU201" s="406"/>
    </row>
    <row r="202" customFormat="false" ht="12.75" hidden="false" customHeight="false" outlineLevel="0" collapsed="false">
      <c r="A202" s="405" t="str">
        <f aca="false">Option1!A169</f>
        <v>N/A</v>
      </c>
      <c r="B202" s="396" t="str">
        <f aca="false">IF(A202="N/A"," ",IF(ISERROR(N202),B190*Pwresc,N202)*VLOOKUP(MONTH(A202),Curveadj,3))</f>
        <v> </v>
      </c>
      <c r="C202" s="397" t="str">
        <f aca="false">IF(A202="N/A"," ",(IF(AND(Scaler1=1,MONTH(A202)&gt;=6,MONTH(A202)&lt;=8,OR($M$37="REGION 2",$M$37="REGION 2A",$M$37="REGION 2B",$M$37="REGION 3",$M$37="REGION 3A",$M$37="REGION 3B",$M$37="REGION 3C",$M$37="REGION 4",$M$37="REGION 4B",$M$37="REGION 4C",$M$37="REGION 5",$M$37="REGION 5A")),((0.059228/(B202/100))-(0.4980013/(SQRT(B202/100)))+2.137988),HLOOKUP(MONTH(A202),ScalarTable,28))))</f>
        <v> </v>
      </c>
      <c r="D202" s="398" t="str">
        <f aca="false">IF(A202="N/A"," ",C202*B202)</f>
        <v> </v>
      </c>
      <c r="E202" s="396" t="str">
        <f aca="false">IF(A202="N/A"," ",IF(ISERROR(O202),E190*Pwresc,O202)*VLOOKUP(MONTH(A202),Curveadj,3))</f>
        <v> </v>
      </c>
      <c r="F202" s="398" t="str">
        <f aca="false">IF(A202="N/A"," ",E202*C202)</f>
        <v> </v>
      </c>
      <c r="G202" s="396" t="str">
        <f aca="false">IF(A202="N/A"," ",IF(ISERROR(P202),G190*Pwresc,P202)*VLOOKUP(MONTH(A202),Curveadj,3))</f>
        <v> </v>
      </c>
      <c r="H202" s="398" t="str">
        <f aca="false">IF(A202="N/A"," ",G202*C202)</f>
        <v> </v>
      </c>
      <c r="I202" s="398" t="str">
        <f aca="false">IF(A202="N/A"," ",IF(ISERROR(Q202),I190*Pwresc,Q202))</f>
        <v> </v>
      </c>
      <c r="J202" s="398" t="str">
        <f aca="false">IF(A202="N/A"," ",Inputs!$G$4)</f>
        <v> </v>
      </c>
      <c r="K202" s="399" t="str">
        <f aca="false">IF(A202="N/A"," ",IF(ISERROR(#REF!),K190*Gasesc,#REF!))</f>
        <v> </v>
      </c>
      <c r="L202" s="399" t="str">
        <f aca="false">IF(A202="N/A"," ",IF(ISERROR(#REF!),L190*Gasesc,IF(#REF!=0,L190*Gasesc,#REF!)))</f>
        <v> </v>
      </c>
      <c r="M202" s="404"/>
      <c r="N202" s="401" t="str">
        <f aca="false">IF(A202="N/A"," ",VLOOKUP(A202,PeakPowerCurves,(IF(BMO1=2,3,IF(BMO1=1,2,4))),FALSE()))</f>
        <v> </v>
      </c>
      <c r="O202" s="401" t="str">
        <f aca="false">IF(A202="N/A"," ",VLOOKUP(A202,SatSunPeakPwr,(IF(BMO1=2,3,IF(BMO1=1,2,4))),FALSE()))</f>
        <v> </v>
      </c>
      <c r="P202" s="401" t="str">
        <f aca="false">IF(A202="N/A"," ",VLOOKUP(A202,SatSunPeakPwr,(IF(BMO1=2,7,IF(BMO1=1,6,8))),FALSE()))</f>
        <v> </v>
      </c>
      <c r="Q202" s="402" t="str">
        <f aca="false">IF(A202="N/A"," ",(VLOOKUP(A202,OPPowerPrices,(IF(BMO1=2,7,IF(BMO1=1,6,8))),FALSE())))</f>
        <v> </v>
      </c>
      <c r="R202" s="403" t="str">
        <f aca="false">IF(A202="N/A"," ",(VLOOKUP($A202,IRTable,2)))</f>
        <v> </v>
      </c>
      <c r="AF202" s="352" t="n">
        <v>42583</v>
      </c>
      <c r="AG202" s="311" t="n">
        <v>23</v>
      </c>
      <c r="AH202" s="311" t="n">
        <v>4</v>
      </c>
      <c r="AI202" s="311" t="n">
        <v>4</v>
      </c>
      <c r="AJ202" s="311" t="n">
        <v>0</v>
      </c>
      <c r="AK202" s="311" t="n">
        <v>31</v>
      </c>
      <c r="AU202" s="406"/>
    </row>
    <row r="203" customFormat="false" ht="12.75" hidden="false" customHeight="false" outlineLevel="0" collapsed="false">
      <c r="A203" s="405" t="str">
        <f aca="false">Option1!A170</f>
        <v>N/A</v>
      </c>
      <c r="B203" s="396" t="str">
        <f aca="false">IF(A203="N/A"," ",IF(ISERROR(N203),B191*Pwresc,N203)*VLOOKUP(MONTH(A203),Curveadj,3))</f>
        <v> </v>
      </c>
      <c r="C203" s="397" t="str">
        <f aca="false">IF(A203="N/A"," ",(IF(AND(Scaler1=1,MONTH(A203)&gt;=6,MONTH(A203)&lt;=8,OR($M$37="REGION 2",$M$37="REGION 2A",$M$37="REGION 2B",$M$37="REGION 3",$M$37="REGION 3A",$M$37="REGION 3B",$M$37="REGION 3C",$M$37="REGION 4",$M$37="REGION 4B",$M$37="REGION 4C",$M$37="REGION 5",$M$37="REGION 5A")),((0.059228/(B203/100))-(0.4980013/(SQRT(B203/100)))+2.137988),HLOOKUP(MONTH(A203),ScalarTable,28))))</f>
        <v> </v>
      </c>
      <c r="D203" s="398" t="str">
        <f aca="false">IF(A203="N/A"," ",C203*B203)</f>
        <v> </v>
      </c>
      <c r="E203" s="396" t="str">
        <f aca="false">IF(A203="N/A"," ",IF(ISERROR(O203),E191*Pwresc,O203)*VLOOKUP(MONTH(A203),Curveadj,3))</f>
        <v> </v>
      </c>
      <c r="F203" s="398" t="str">
        <f aca="false">IF(A203="N/A"," ",E203*C203)</f>
        <v> </v>
      </c>
      <c r="G203" s="396" t="str">
        <f aca="false">IF(A203="N/A"," ",IF(ISERROR(P203),G191*Pwresc,P203)*VLOOKUP(MONTH(A203),Curveadj,3))</f>
        <v> </v>
      </c>
      <c r="H203" s="398" t="str">
        <f aca="false">IF(A203="N/A"," ",G203*C203)</f>
        <v> </v>
      </c>
      <c r="I203" s="398" t="str">
        <f aca="false">IF(A203="N/A"," ",IF(ISERROR(Q203),I191*Pwresc,Q203))</f>
        <v> </v>
      </c>
      <c r="J203" s="398" t="str">
        <f aca="false">IF(A203="N/A"," ",Inputs!$G$4)</f>
        <v> </v>
      </c>
      <c r="K203" s="399" t="str">
        <f aca="false">IF(A203="N/A"," ",IF(ISERROR(#REF!),K191*Gasesc,#REF!))</f>
        <v> </v>
      </c>
      <c r="L203" s="399" t="str">
        <f aca="false">IF(A203="N/A"," ",IF(ISERROR(#REF!),L191*Gasesc,IF(#REF!=0,L191*Gasesc,#REF!)))</f>
        <v> </v>
      </c>
      <c r="M203" s="404"/>
      <c r="N203" s="401" t="str">
        <f aca="false">IF(A203="N/A"," ",VLOOKUP(A203,PeakPowerCurves,(IF(BMO1=2,3,IF(BMO1=1,2,4))),FALSE()))</f>
        <v> </v>
      </c>
      <c r="O203" s="401" t="str">
        <f aca="false">IF(A203="N/A"," ",VLOOKUP(A203,SatSunPeakPwr,(IF(BMO1=2,3,IF(BMO1=1,2,4))),FALSE()))</f>
        <v> </v>
      </c>
      <c r="P203" s="401" t="str">
        <f aca="false">IF(A203="N/A"," ",VLOOKUP(A203,SatSunPeakPwr,(IF(BMO1=2,7,IF(BMO1=1,6,8))),FALSE()))</f>
        <v> </v>
      </c>
      <c r="Q203" s="402" t="str">
        <f aca="false">IF(A203="N/A"," ",(VLOOKUP(A203,OPPowerPrices,(IF(BMO1=2,7,IF(BMO1=1,6,8))),FALSE())))</f>
        <v> </v>
      </c>
      <c r="R203" s="403" t="str">
        <f aca="false">IF(A203="N/A"," ",(VLOOKUP($A203,IRTable,2)))</f>
        <v> </v>
      </c>
      <c r="AF203" s="352" t="n">
        <v>42614</v>
      </c>
      <c r="AG203" s="311" t="n">
        <v>21</v>
      </c>
      <c r="AH203" s="311" t="n">
        <v>4</v>
      </c>
      <c r="AI203" s="311" t="n">
        <v>5</v>
      </c>
      <c r="AJ203" s="311" t="n">
        <v>1</v>
      </c>
      <c r="AK203" s="311" t="n">
        <v>30</v>
      </c>
      <c r="AU203" s="406"/>
    </row>
    <row r="204" customFormat="false" ht="12.75" hidden="false" customHeight="false" outlineLevel="0" collapsed="false">
      <c r="A204" s="405" t="str">
        <f aca="false">Option1!A171</f>
        <v>N/A</v>
      </c>
      <c r="B204" s="396" t="str">
        <f aca="false">IF(A204="N/A"," ",IF(ISERROR(N204),B192*Pwresc,N204)*VLOOKUP(MONTH(A204),Curveadj,3))</f>
        <v> </v>
      </c>
      <c r="C204" s="397" t="str">
        <f aca="false">IF(A204="N/A"," ",(IF(AND(Scaler1=1,MONTH(A204)&gt;=6,MONTH(A204)&lt;=8,OR($M$37="REGION 2",$M$37="REGION 2A",$M$37="REGION 2B",$M$37="REGION 3",$M$37="REGION 3A",$M$37="REGION 3B",$M$37="REGION 3C",$M$37="REGION 4",$M$37="REGION 4B",$M$37="REGION 4C",$M$37="REGION 5",$M$37="REGION 5A")),((0.059228/(B204/100))-(0.4980013/(SQRT(B204/100)))+2.137988),HLOOKUP(MONTH(A204),ScalarTable,28))))</f>
        <v> </v>
      </c>
      <c r="D204" s="398" t="str">
        <f aca="false">IF(A204="N/A"," ",C204*B204)</f>
        <v> </v>
      </c>
      <c r="E204" s="396" t="str">
        <f aca="false">IF(A204="N/A"," ",IF(ISERROR(O204),E192*Pwresc,O204)*VLOOKUP(MONTH(A204),Curveadj,3))</f>
        <v> </v>
      </c>
      <c r="F204" s="398" t="str">
        <f aca="false">IF(A204="N/A"," ",E204*C204)</f>
        <v> </v>
      </c>
      <c r="G204" s="396" t="str">
        <f aca="false">IF(A204="N/A"," ",IF(ISERROR(P204),G192*Pwresc,P204)*VLOOKUP(MONTH(A204),Curveadj,3))</f>
        <v> </v>
      </c>
      <c r="H204" s="398" t="str">
        <f aca="false">IF(A204="N/A"," ",G204*C204)</f>
        <v> </v>
      </c>
      <c r="I204" s="398" t="str">
        <f aca="false">IF(A204="N/A"," ",IF(ISERROR(Q204),I192*Pwresc,Q204))</f>
        <v> </v>
      </c>
      <c r="J204" s="398" t="str">
        <f aca="false">IF(A204="N/A"," ",Inputs!$G$4)</f>
        <v> </v>
      </c>
      <c r="K204" s="399" t="str">
        <f aca="false">IF(A204="N/A"," ",IF(ISERROR(#REF!),K192*Gasesc,#REF!))</f>
        <v> </v>
      </c>
      <c r="L204" s="399" t="str">
        <f aca="false">IF(A204="N/A"," ",IF(ISERROR(#REF!),L192*Gasesc,IF(#REF!=0,L192*Gasesc,#REF!)))</f>
        <v> </v>
      </c>
      <c r="M204" s="404"/>
      <c r="N204" s="401" t="str">
        <f aca="false">IF(A204="N/A"," ",VLOOKUP(A204,PeakPowerCurves,(IF(BMO1=2,3,IF(BMO1=1,2,4))),FALSE()))</f>
        <v> </v>
      </c>
      <c r="O204" s="401" t="str">
        <f aca="false">IF(A204="N/A"," ",VLOOKUP(A204,SatSunPeakPwr,(IF(BMO1=2,3,IF(BMO1=1,2,4))),FALSE()))</f>
        <v> </v>
      </c>
      <c r="P204" s="401" t="str">
        <f aca="false">IF(A204="N/A"," ",VLOOKUP(A204,SatSunPeakPwr,(IF(BMO1=2,7,IF(BMO1=1,6,8))),FALSE()))</f>
        <v> </v>
      </c>
      <c r="Q204" s="402" t="str">
        <f aca="false">IF(A204="N/A"," ",(VLOOKUP(A204,OPPowerPrices,(IF(BMO1=2,7,IF(BMO1=1,6,8))),FALSE())))</f>
        <v> </v>
      </c>
      <c r="R204" s="403" t="str">
        <f aca="false">IF(A204="N/A"," ",(VLOOKUP($A204,IRTable,2)))</f>
        <v> </v>
      </c>
      <c r="AF204" s="352" t="n">
        <v>42644</v>
      </c>
      <c r="AG204" s="311" t="n">
        <v>21</v>
      </c>
      <c r="AH204" s="311" t="n">
        <v>5</v>
      </c>
      <c r="AI204" s="311" t="n">
        <v>5</v>
      </c>
      <c r="AJ204" s="311" t="n">
        <v>0</v>
      </c>
      <c r="AK204" s="311" t="n">
        <v>31</v>
      </c>
      <c r="AU204" s="406"/>
    </row>
    <row r="205" customFormat="false" ht="12.75" hidden="false" customHeight="false" outlineLevel="0" collapsed="false">
      <c r="A205" s="405" t="str">
        <f aca="false">Option1!A172</f>
        <v>N/A</v>
      </c>
      <c r="B205" s="396" t="str">
        <f aca="false">IF(A205="N/A"," ",IF(ISERROR(N205),B193*Pwresc,N205)*VLOOKUP(MONTH(A205),Curveadj,3))</f>
        <v> </v>
      </c>
      <c r="C205" s="397" t="str">
        <f aca="false">IF(A205="N/A"," ",(IF(AND(Scaler1=1,MONTH(A205)&gt;=6,MONTH(A205)&lt;=8,OR($M$37="REGION 2",$M$37="REGION 2A",$M$37="REGION 2B",$M$37="REGION 3",$M$37="REGION 3A",$M$37="REGION 3B",$M$37="REGION 3C",$M$37="REGION 4",$M$37="REGION 4B",$M$37="REGION 4C",$M$37="REGION 5",$M$37="REGION 5A")),((0.059228/(B205/100))-(0.4980013/(SQRT(B205/100)))+2.137988),HLOOKUP(MONTH(A205),ScalarTable,28))))</f>
        <v> </v>
      </c>
      <c r="D205" s="398" t="str">
        <f aca="false">IF(A205="N/A"," ",C205*B205)</f>
        <v> </v>
      </c>
      <c r="E205" s="396" t="str">
        <f aca="false">IF(A205="N/A"," ",IF(ISERROR(O205),E193*Pwresc,O205)*VLOOKUP(MONTH(A205),Curveadj,3))</f>
        <v> </v>
      </c>
      <c r="F205" s="398" t="str">
        <f aca="false">IF(A205="N/A"," ",E205*C205)</f>
        <v> </v>
      </c>
      <c r="G205" s="396" t="str">
        <f aca="false">IF(A205="N/A"," ",IF(ISERROR(P205),G193*Pwresc,P205)*VLOOKUP(MONTH(A205),Curveadj,3))</f>
        <v> </v>
      </c>
      <c r="H205" s="398" t="str">
        <f aca="false">IF(A205="N/A"," ",G205*C205)</f>
        <v> </v>
      </c>
      <c r="I205" s="398" t="str">
        <f aca="false">IF(A205="N/A"," ",IF(ISERROR(Q205),I193*Pwresc,Q205))</f>
        <v> </v>
      </c>
      <c r="J205" s="398" t="str">
        <f aca="false">IF(A205="N/A"," ",Inputs!$G$4)</f>
        <v> </v>
      </c>
      <c r="K205" s="399" t="str">
        <f aca="false">IF(A205="N/A"," ",IF(ISERROR(#REF!),K193*Gasesc,#REF!))</f>
        <v> </v>
      </c>
      <c r="L205" s="399" t="str">
        <f aca="false">IF(A205="N/A"," ",IF(ISERROR(#REF!),L193*Gasesc,IF(#REF!=0,L193*Gasesc,#REF!)))</f>
        <v> </v>
      </c>
      <c r="M205" s="404"/>
      <c r="N205" s="401" t="str">
        <f aca="false">IF(A205="N/A"," ",VLOOKUP(A205,PeakPowerCurves,(IF(BMO1=2,3,IF(BMO1=1,2,4))),FALSE()))</f>
        <v> </v>
      </c>
      <c r="O205" s="401" t="str">
        <f aca="false">IF(A205="N/A"," ",VLOOKUP(A205,SatSunPeakPwr,(IF(BMO1=2,3,IF(BMO1=1,2,4))),FALSE()))</f>
        <v> </v>
      </c>
      <c r="P205" s="401" t="str">
        <f aca="false">IF(A205="N/A"," ",VLOOKUP(A205,SatSunPeakPwr,(IF(BMO1=2,7,IF(BMO1=1,6,8))),FALSE()))</f>
        <v> </v>
      </c>
      <c r="Q205" s="402" t="str">
        <f aca="false">IF(A205="N/A"," ",(VLOOKUP(A205,OPPowerPrices,(IF(BMO1=2,7,IF(BMO1=1,6,8))),FALSE())))</f>
        <v> </v>
      </c>
      <c r="R205" s="403" t="str">
        <f aca="false">IF(A205="N/A"," ",(VLOOKUP($A205,IRTable,2)))</f>
        <v> </v>
      </c>
      <c r="AF205" s="352" t="n">
        <v>42675</v>
      </c>
      <c r="AG205" s="311" t="n">
        <v>21</v>
      </c>
      <c r="AH205" s="311" t="n">
        <v>4</v>
      </c>
      <c r="AI205" s="311" t="n">
        <v>5</v>
      </c>
      <c r="AJ205" s="311" t="n">
        <v>1</v>
      </c>
      <c r="AK205" s="311" t="n">
        <v>30</v>
      </c>
      <c r="AU205" s="406"/>
    </row>
    <row r="206" customFormat="false" ht="12.75" hidden="false" customHeight="false" outlineLevel="0" collapsed="false">
      <c r="A206" s="405" t="str">
        <f aca="false">Option1!A173</f>
        <v>N/A</v>
      </c>
      <c r="B206" s="396" t="str">
        <f aca="false">IF(A206="N/A"," ",IF(ISERROR(N206),B194*Pwresc,N206)*VLOOKUP(MONTH(A206),Curveadj,3))</f>
        <v> </v>
      </c>
      <c r="C206" s="397" t="str">
        <f aca="false">IF(A206="N/A"," ",(IF(AND(Scaler1=1,MONTH(A206)&gt;=6,MONTH(A206)&lt;=8,OR($M$37="REGION 2",$M$37="REGION 2A",$M$37="REGION 2B",$M$37="REGION 3",$M$37="REGION 3A",$M$37="REGION 3B",$M$37="REGION 3C",$M$37="REGION 4",$M$37="REGION 4B",$M$37="REGION 4C",$M$37="REGION 5",$M$37="REGION 5A")),((0.059228/(B206/100))-(0.4980013/(SQRT(B206/100)))+2.137988),HLOOKUP(MONTH(A206),ScalarTable,28))))</f>
        <v> </v>
      </c>
      <c r="D206" s="398" t="str">
        <f aca="false">IF(A206="N/A"," ",C206*B206)</f>
        <v> </v>
      </c>
      <c r="E206" s="396" t="str">
        <f aca="false">IF(A206="N/A"," ",IF(ISERROR(O206),E194*Pwresc,O206)*VLOOKUP(MONTH(A206),Curveadj,3))</f>
        <v> </v>
      </c>
      <c r="F206" s="398" t="str">
        <f aca="false">IF(A206="N/A"," ",E206*C206)</f>
        <v> </v>
      </c>
      <c r="G206" s="396" t="str">
        <f aca="false">IF(A206="N/A"," ",IF(ISERROR(P206),G194*Pwresc,P206)*VLOOKUP(MONTH(A206),Curveadj,3))</f>
        <v> </v>
      </c>
      <c r="H206" s="398" t="str">
        <f aca="false">IF(A206="N/A"," ",G206*C206)</f>
        <v> </v>
      </c>
      <c r="I206" s="398" t="str">
        <f aca="false">IF(A206="N/A"," ",IF(ISERROR(Q206),I194*Pwresc,Q206))</f>
        <v> </v>
      </c>
      <c r="J206" s="398" t="str">
        <f aca="false">IF(A206="N/A"," ",Inputs!$G$4)</f>
        <v> </v>
      </c>
      <c r="K206" s="399" t="str">
        <f aca="false">IF(A206="N/A"," ",IF(ISERROR(#REF!),K194*Gasesc,#REF!))</f>
        <v> </v>
      </c>
      <c r="L206" s="399" t="str">
        <f aca="false">IF(A206="N/A"," ",IF(ISERROR(#REF!),L194*Gasesc,IF(#REF!=0,L194*Gasesc,#REF!)))</f>
        <v> </v>
      </c>
      <c r="M206" s="404"/>
      <c r="N206" s="401" t="str">
        <f aca="false">IF(A206="N/A"," ",VLOOKUP(A206,PeakPowerCurves,(IF(BMO1=2,3,IF(BMO1=1,2,4))),FALSE()))</f>
        <v> </v>
      </c>
      <c r="O206" s="401" t="str">
        <f aca="false">IF(A206="N/A"," ",VLOOKUP(A206,SatSunPeakPwr,(IF(BMO1=2,3,IF(BMO1=1,2,4))),FALSE()))</f>
        <v> </v>
      </c>
      <c r="P206" s="401" t="str">
        <f aca="false">IF(A206="N/A"," ",VLOOKUP(A206,SatSunPeakPwr,(IF(BMO1=2,7,IF(BMO1=1,6,8))),FALSE()))</f>
        <v> </v>
      </c>
      <c r="Q206" s="402" t="str">
        <f aca="false">IF(A206="N/A"," ",(VLOOKUP(A206,OPPowerPrices,(IF(BMO1=2,7,IF(BMO1=1,6,8))),FALSE())))</f>
        <v> </v>
      </c>
      <c r="R206" s="403" t="str">
        <f aca="false">IF(A206="N/A"," ",(VLOOKUP($A206,IRTable,2)))</f>
        <v> </v>
      </c>
      <c r="AF206" s="352" t="n">
        <v>42705</v>
      </c>
      <c r="AG206" s="311" t="n">
        <v>21</v>
      </c>
      <c r="AH206" s="311" t="n">
        <v>5</v>
      </c>
      <c r="AI206" s="311" t="n">
        <v>5</v>
      </c>
      <c r="AJ206" s="311" t="n">
        <v>1</v>
      </c>
      <c r="AK206" s="311" t="n">
        <v>31</v>
      </c>
      <c r="AU206" s="406"/>
    </row>
    <row r="207" customFormat="false" ht="12.75" hidden="false" customHeight="false" outlineLevel="0" collapsed="false">
      <c r="A207" s="405" t="str">
        <f aca="false">Option1!A174</f>
        <v>N/A</v>
      </c>
      <c r="B207" s="396" t="str">
        <f aca="false">IF(A207="N/A"," ",IF(ISERROR(N207),B195*Pwresc,N207)*VLOOKUP(MONTH(A207),Curveadj,3))</f>
        <v> </v>
      </c>
      <c r="C207" s="397" t="str">
        <f aca="false">IF(A207="N/A"," ",(IF(AND(Scaler1=1,MONTH(A207)&gt;=6,MONTH(A207)&lt;=8,OR($M$37="REGION 2",$M$37="REGION 2A",$M$37="REGION 2B",$M$37="REGION 3",$M$37="REGION 3A",$M$37="REGION 3B",$M$37="REGION 3C",$M$37="REGION 4",$M$37="REGION 4B",$M$37="REGION 4C",$M$37="REGION 5",$M$37="REGION 5A")),((0.059228/(B207/100))-(0.4980013/(SQRT(B207/100)))+2.137988),HLOOKUP(MONTH(A207),ScalarTable,28))))</f>
        <v> </v>
      </c>
      <c r="D207" s="398" t="str">
        <f aca="false">IF(A207="N/A"," ",C207*B207)</f>
        <v> </v>
      </c>
      <c r="E207" s="396" t="str">
        <f aca="false">IF(A207="N/A"," ",IF(ISERROR(O207),E195*Pwresc,O207)*VLOOKUP(MONTH(A207),Curveadj,3))</f>
        <v> </v>
      </c>
      <c r="F207" s="398" t="str">
        <f aca="false">IF(A207="N/A"," ",E207*C207)</f>
        <v> </v>
      </c>
      <c r="G207" s="396" t="str">
        <f aca="false">IF(A207="N/A"," ",IF(ISERROR(P207),G195*Pwresc,P207)*VLOOKUP(MONTH(A207),Curveadj,3))</f>
        <v> </v>
      </c>
      <c r="H207" s="398" t="str">
        <f aca="false">IF(A207="N/A"," ",G207*C207)</f>
        <v> </v>
      </c>
      <c r="I207" s="398" t="str">
        <f aca="false">IF(A207="N/A"," ",IF(ISERROR(Q207),I195*Pwresc,Q207))</f>
        <v> </v>
      </c>
      <c r="J207" s="398" t="str">
        <f aca="false">IF(A207="N/A"," ",Inputs!$G$4)</f>
        <v> </v>
      </c>
      <c r="K207" s="399" t="str">
        <f aca="false">IF(A207="N/A"," ",IF(ISERROR(#REF!),K195*Gasesc,#REF!))</f>
        <v> </v>
      </c>
      <c r="L207" s="399" t="str">
        <f aca="false">IF(A207="N/A"," ",IF(ISERROR(#REF!),L195*Gasesc,IF(#REF!=0,L195*Gasesc,#REF!)))</f>
        <v> </v>
      </c>
      <c r="M207" s="404"/>
      <c r="N207" s="401" t="str">
        <f aca="false">IF(A207="N/A"," ",VLOOKUP(A207,PeakPowerCurves,(IF(BMO1=2,3,IF(BMO1=1,2,4))),FALSE()))</f>
        <v> </v>
      </c>
      <c r="O207" s="401" t="str">
        <f aca="false">IF(A207="N/A"," ",VLOOKUP(A207,SatSunPeakPwr,(IF(BMO1=2,3,IF(BMO1=1,2,4))),FALSE()))</f>
        <v> </v>
      </c>
      <c r="P207" s="401" t="str">
        <f aca="false">IF(A207="N/A"," ",VLOOKUP(A207,SatSunPeakPwr,(IF(BMO1=2,7,IF(BMO1=1,6,8))),FALSE()))</f>
        <v> </v>
      </c>
      <c r="Q207" s="402" t="str">
        <f aca="false">IF(A207="N/A"," ",(VLOOKUP(A207,OPPowerPrices,(IF(BMO1=2,7,IF(BMO1=1,6,8))),FALSE())))</f>
        <v> </v>
      </c>
      <c r="R207" s="403" t="str">
        <f aca="false">IF(A207="N/A"," ",(VLOOKUP($A207,IRTable,2)))</f>
        <v> </v>
      </c>
      <c r="AF207" s="352" t="n">
        <v>42736</v>
      </c>
      <c r="AG207" s="311" t="n">
        <v>21</v>
      </c>
      <c r="AH207" s="311" t="n">
        <v>4</v>
      </c>
      <c r="AI207" s="311" t="n">
        <v>6</v>
      </c>
      <c r="AJ207" s="311" t="n">
        <v>1</v>
      </c>
      <c r="AK207" s="311" t="n">
        <v>31</v>
      </c>
      <c r="AU207" s="406"/>
    </row>
    <row r="208" customFormat="false" ht="12.75" hidden="false" customHeight="false" outlineLevel="0" collapsed="false">
      <c r="A208" s="405" t="str">
        <f aca="false">Option1!A175</f>
        <v>N/A</v>
      </c>
      <c r="B208" s="396" t="str">
        <f aca="false">IF(A208="N/A"," ",IF(ISERROR(N208),B196*Pwresc,N208)*VLOOKUP(MONTH(A208),Curveadj,3))</f>
        <v> </v>
      </c>
      <c r="C208" s="397" t="str">
        <f aca="false">IF(A208="N/A"," ",(IF(AND(Scaler1=1,MONTH(A208)&gt;=6,MONTH(A208)&lt;=8,OR($M$37="REGION 2",$M$37="REGION 2A",$M$37="REGION 2B",$M$37="REGION 3",$M$37="REGION 3A",$M$37="REGION 3B",$M$37="REGION 3C",$M$37="REGION 4",$M$37="REGION 4B",$M$37="REGION 4C",$M$37="REGION 5",$M$37="REGION 5A")),((0.059228/(B208/100))-(0.4980013/(SQRT(B208/100)))+2.137988),HLOOKUP(MONTH(A208),ScalarTable,28))))</f>
        <v> </v>
      </c>
      <c r="D208" s="398" t="str">
        <f aca="false">IF(A208="N/A"," ",C208*B208)</f>
        <v> </v>
      </c>
      <c r="E208" s="396" t="str">
        <f aca="false">IF(A208="N/A"," ",IF(ISERROR(O208),E196*Pwresc,O208)*VLOOKUP(MONTH(A208),Curveadj,3))</f>
        <v> </v>
      </c>
      <c r="F208" s="398" t="str">
        <f aca="false">IF(A208="N/A"," ",E208*C208)</f>
        <v> </v>
      </c>
      <c r="G208" s="396" t="str">
        <f aca="false">IF(A208="N/A"," ",IF(ISERROR(P208),G196*Pwresc,P208)*VLOOKUP(MONTH(A208),Curveadj,3))</f>
        <v> </v>
      </c>
      <c r="H208" s="398" t="str">
        <f aca="false">IF(A208="N/A"," ",G208*C208)</f>
        <v> </v>
      </c>
      <c r="I208" s="398" t="str">
        <f aca="false">IF(A208="N/A"," ",IF(ISERROR(Q208),I196*Pwresc,Q208))</f>
        <v> </v>
      </c>
      <c r="J208" s="398" t="str">
        <f aca="false">IF(A208="N/A"," ",Inputs!$G$4)</f>
        <v> </v>
      </c>
      <c r="K208" s="399" t="str">
        <f aca="false">IF(A208="N/A"," ",IF(ISERROR(#REF!),K196*Gasesc,#REF!))</f>
        <v> </v>
      </c>
      <c r="L208" s="399" t="str">
        <f aca="false">IF(A208="N/A"," ",IF(ISERROR(#REF!),L196*Gasesc,IF(#REF!=0,L196*Gasesc,#REF!)))</f>
        <v> </v>
      </c>
      <c r="M208" s="404"/>
      <c r="N208" s="401" t="str">
        <f aca="false">IF(A208="N/A"," ",VLOOKUP(A208,PeakPowerCurves,(IF(BMO1=2,3,IF(BMO1=1,2,4))),FALSE()))</f>
        <v> </v>
      </c>
      <c r="O208" s="401" t="str">
        <f aca="false">IF(A208="N/A"," ",VLOOKUP(A208,SatSunPeakPwr,(IF(BMO1=2,3,IF(BMO1=1,2,4))),FALSE()))</f>
        <v> </v>
      </c>
      <c r="P208" s="401" t="str">
        <f aca="false">IF(A208="N/A"," ",VLOOKUP(A208,SatSunPeakPwr,(IF(BMO1=2,7,IF(BMO1=1,6,8))),FALSE()))</f>
        <v> </v>
      </c>
      <c r="Q208" s="402" t="str">
        <f aca="false">IF(A208="N/A"," ",(VLOOKUP(A208,OPPowerPrices,(IF(BMO1=2,7,IF(BMO1=1,6,8))),FALSE())))</f>
        <v> </v>
      </c>
      <c r="R208" s="403" t="str">
        <f aca="false">IF(A208="N/A"," ",(VLOOKUP($A208,IRTable,2)))</f>
        <v> </v>
      </c>
      <c r="AF208" s="352" t="n">
        <v>42767</v>
      </c>
      <c r="AG208" s="311" t="n">
        <v>20</v>
      </c>
      <c r="AH208" s="311" t="n">
        <v>4</v>
      </c>
      <c r="AI208" s="311" t="n">
        <v>4</v>
      </c>
      <c r="AJ208" s="311" t="n">
        <v>0</v>
      </c>
      <c r="AK208" s="311" t="n">
        <v>28</v>
      </c>
      <c r="AU208" s="406"/>
    </row>
    <row r="209" customFormat="false" ht="12.75" hidden="false" customHeight="false" outlineLevel="0" collapsed="false">
      <c r="A209" s="405" t="str">
        <f aca="false">Option1!A176</f>
        <v>N/A</v>
      </c>
      <c r="B209" s="396" t="str">
        <f aca="false">IF(A209="N/A"," ",IF(ISERROR(N209),B197*Pwresc,N209)*VLOOKUP(MONTH(A209),Curveadj,3))</f>
        <v> </v>
      </c>
      <c r="C209" s="397" t="str">
        <f aca="false">IF(A209="N/A"," ",(IF(AND(Scaler1=1,MONTH(A209)&gt;=6,MONTH(A209)&lt;=8,OR($M$37="REGION 2",$M$37="REGION 2A",$M$37="REGION 2B",$M$37="REGION 3",$M$37="REGION 3A",$M$37="REGION 3B",$M$37="REGION 3C",$M$37="REGION 4",$M$37="REGION 4B",$M$37="REGION 4C",$M$37="REGION 5",$M$37="REGION 5A")),((0.059228/(B209/100))-(0.4980013/(SQRT(B209/100)))+2.137988),HLOOKUP(MONTH(A209),ScalarTable,28))))</f>
        <v> </v>
      </c>
      <c r="D209" s="398" t="str">
        <f aca="false">IF(A209="N/A"," ",C209*B209)</f>
        <v> </v>
      </c>
      <c r="E209" s="396" t="str">
        <f aca="false">IF(A209="N/A"," ",IF(ISERROR(O209),E197*Pwresc,O209)*VLOOKUP(MONTH(A209),Curveadj,3))</f>
        <v> </v>
      </c>
      <c r="F209" s="398" t="str">
        <f aca="false">IF(A209="N/A"," ",E209*C209)</f>
        <v> </v>
      </c>
      <c r="G209" s="396" t="str">
        <f aca="false">IF(A209="N/A"," ",IF(ISERROR(P209),G197*Pwresc,P209)*VLOOKUP(MONTH(A209),Curveadj,3))</f>
        <v> </v>
      </c>
      <c r="H209" s="398" t="str">
        <f aca="false">IF(A209="N/A"," ",G209*C209)</f>
        <v> </v>
      </c>
      <c r="I209" s="398" t="str">
        <f aca="false">IF(A209="N/A"," ",IF(ISERROR(Q209),I197*Pwresc,Q209))</f>
        <v> </v>
      </c>
      <c r="J209" s="398" t="str">
        <f aca="false">IF(A209="N/A"," ",Inputs!$G$4)</f>
        <v> </v>
      </c>
      <c r="K209" s="399" t="str">
        <f aca="false">IF(A209="N/A"," ",IF(ISERROR(#REF!),K197*Gasesc,#REF!))</f>
        <v> </v>
      </c>
      <c r="L209" s="399" t="str">
        <f aca="false">IF(A209="N/A"," ",IF(ISERROR(#REF!),L197*Gasesc,IF(#REF!=0,L197*Gasesc,#REF!)))</f>
        <v> </v>
      </c>
      <c r="M209" s="404"/>
      <c r="N209" s="401" t="str">
        <f aca="false">IF(A209="N/A"," ",VLOOKUP(A209,PeakPowerCurves,(IF(BMO1=2,3,IF(BMO1=1,2,4))),FALSE()))</f>
        <v> </v>
      </c>
      <c r="O209" s="401" t="str">
        <f aca="false">IF(A209="N/A"," ",VLOOKUP(A209,SatSunPeakPwr,(IF(BMO1=2,3,IF(BMO1=1,2,4))),FALSE()))</f>
        <v> </v>
      </c>
      <c r="P209" s="401" t="str">
        <f aca="false">IF(A209="N/A"," ",VLOOKUP(A209,SatSunPeakPwr,(IF(BMO1=2,7,IF(BMO1=1,6,8))),FALSE()))</f>
        <v> </v>
      </c>
      <c r="Q209" s="402" t="str">
        <f aca="false">IF(A209="N/A"," ",(VLOOKUP(A209,OPPowerPrices,(IF(BMO1=2,7,IF(BMO1=1,6,8))),FALSE())))</f>
        <v> </v>
      </c>
      <c r="R209" s="403" t="str">
        <f aca="false">IF(A209="N/A"," ",(VLOOKUP($A209,IRTable,2)))</f>
        <v> </v>
      </c>
      <c r="AF209" s="352" t="n">
        <v>42795</v>
      </c>
      <c r="AG209" s="311" t="n">
        <v>23</v>
      </c>
      <c r="AH209" s="311" t="n">
        <v>4</v>
      </c>
      <c r="AI209" s="311" t="n">
        <v>4</v>
      </c>
      <c r="AJ209" s="311" t="n">
        <v>0</v>
      </c>
      <c r="AK209" s="311" t="n">
        <v>31</v>
      </c>
      <c r="AU209" s="406"/>
    </row>
    <row r="210" customFormat="false" ht="12.75" hidden="false" customHeight="false" outlineLevel="0" collapsed="false">
      <c r="A210" s="405" t="str">
        <f aca="false">Option1!A177</f>
        <v>N/A</v>
      </c>
      <c r="B210" s="396" t="str">
        <f aca="false">IF(A210="N/A"," ",IF(ISERROR(N210),B198*Pwresc,N210)*VLOOKUP(MONTH(A210),Curveadj,3))</f>
        <v> </v>
      </c>
      <c r="C210" s="397" t="str">
        <f aca="false">IF(A210="N/A"," ",(IF(AND(Scaler1=1,MONTH(A210)&gt;=6,MONTH(A210)&lt;=8,OR($M$37="REGION 2",$M$37="REGION 2A",$M$37="REGION 2B",$M$37="REGION 3",$M$37="REGION 3A",$M$37="REGION 3B",$M$37="REGION 3C",$M$37="REGION 4",$M$37="REGION 4B",$M$37="REGION 4C",$M$37="REGION 5",$M$37="REGION 5A")),((0.059228/(B210/100))-(0.4980013/(SQRT(B210/100)))+2.137988),HLOOKUP(MONTH(A210),ScalarTable,28))))</f>
        <v> </v>
      </c>
      <c r="D210" s="398" t="str">
        <f aca="false">IF(A210="N/A"," ",C210*B210)</f>
        <v> </v>
      </c>
      <c r="E210" s="396" t="str">
        <f aca="false">IF(A210="N/A"," ",IF(ISERROR(O210),E198*Pwresc,O210)*VLOOKUP(MONTH(A210),Curveadj,3))</f>
        <v> </v>
      </c>
      <c r="F210" s="398" t="str">
        <f aca="false">IF(A210="N/A"," ",E210*C210)</f>
        <v> </v>
      </c>
      <c r="G210" s="396" t="str">
        <f aca="false">IF(A210="N/A"," ",IF(ISERROR(P210),G198*Pwresc,P210)*VLOOKUP(MONTH(A210),Curveadj,3))</f>
        <v> </v>
      </c>
      <c r="H210" s="398" t="str">
        <f aca="false">IF(A210="N/A"," ",G210*C210)</f>
        <v> </v>
      </c>
      <c r="I210" s="398" t="str">
        <f aca="false">IF(A210="N/A"," ",IF(ISERROR(Q210),I198*Pwresc,Q210))</f>
        <v> </v>
      </c>
      <c r="J210" s="398" t="str">
        <f aca="false">IF(A210="N/A"," ",Inputs!$G$4)</f>
        <v> </v>
      </c>
      <c r="K210" s="399" t="str">
        <f aca="false">IF(A210="N/A"," ",IF(ISERROR(#REF!),K198*Gasesc,#REF!))</f>
        <v> </v>
      </c>
      <c r="L210" s="399" t="str">
        <f aca="false">IF(A210="N/A"," ",IF(ISERROR(#REF!),L198*Gasesc,IF(#REF!=0,L198*Gasesc,#REF!)))</f>
        <v> </v>
      </c>
      <c r="M210" s="404"/>
      <c r="N210" s="401" t="str">
        <f aca="false">IF(A210="N/A"," ",VLOOKUP(A210,PeakPowerCurves,(IF(BMO1=2,3,IF(BMO1=1,2,4))),FALSE()))</f>
        <v> </v>
      </c>
      <c r="O210" s="401" t="str">
        <f aca="false">IF(A210="N/A"," ",VLOOKUP(A210,SatSunPeakPwr,(IF(BMO1=2,3,IF(BMO1=1,2,4))),FALSE()))</f>
        <v> </v>
      </c>
      <c r="P210" s="401" t="str">
        <f aca="false">IF(A210="N/A"," ",VLOOKUP(A210,SatSunPeakPwr,(IF(BMO1=2,7,IF(BMO1=1,6,8))),FALSE()))</f>
        <v> </v>
      </c>
      <c r="Q210" s="402" t="str">
        <f aca="false">IF(A210="N/A"," ",(VLOOKUP(A210,OPPowerPrices,(IF(BMO1=2,7,IF(BMO1=1,6,8))),FALSE())))</f>
        <v> </v>
      </c>
      <c r="R210" s="403" t="str">
        <f aca="false">IF(A210="N/A"," ",(VLOOKUP($A210,IRTable,2)))</f>
        <v> </v>
      </c>
      <c r="AF210" s="352" t="n">
        <v>42826</v>
      </c>
      <c r="AG210" s="311" t="n">
        <v>20</v>
      </c>
      <c r="AH210" s="311" t="n">
        <v>5</v>
      </c>
      <c r="AI210" s="311" t="n">
        <v>5</v>
      </c>
      <c r="AJ210" s="311" t="n">
        <v>0</v>
      </c>
      <c r="AK210" s="311" t="n">
        <v>30</v>
      </c>
      <c r="AU210" s="406"/>
    </row>
    <row r="211" customFormat="false" ht="12.75" hidden="false" customHeight="false" outlineLevel="0" collapsed="false">
      <c r="A211" s="405" t="str">
        <f aca="false">Option1!A178</f>
        <v>N/A</v>
      </c>
      <c r="B211" s="396" t="str">
        <f aca="false">IF(A211="N/A"," ",IF(ISERROR(N211),B199*Pwresc,N211)*VLOOKUP(MONTH(A211),Curveadj,3))</f>
        <v> </v>
      </c>
      <c r="C211" s="397" t="str">
        <f aca="false">IF(A211="N/A"," ",(IF(AND(Scaler1=1,MONTH(A211)&gt;=6,MONTH(A211)&lt;=8,OR($M$37="REGION 2",$M$37="REGION 2A",$M$37="REGION 2B",$M$37="REGION 3",$M$37="REGION 3A",$M$37="REGION 3B",$M$37="REGION 3C",$M$37="REGION 4",$M$37="REGION 4B",$M$37="REGION 4C",$M$37="REGION 5",$M$37="REGION 5A")),((0.059228/(B211/100))-(0.4980013/(SQRT(B211/100)))+2.137988),HLOOKUP(MONTH(A211),ScalarTable,28))))</f>
        <v> </v>
      </c>
      <c r="D211" s="398" t="str">
        <f aca="false">IF(A211="N/A"," ",C211*B211)</f>
        <v> </v>
      </c>
      <c r="E211" s="396" t="str">
        <f aca="false">IF(A211="N/A"," ",IF(ISERROR(O211),E199*Pwresc,O211)*VLOOKUP(MONTH(A211),Curveadj,3))</f>
        <v> </v>
      </c>
      <c r="F211" s="398" t="str">
        <f aca="false">IF(A211="N/A"," ",E211*C211)</f>
        <v> </v>
      </c>
      <c r="G211" s="396" t="str">
        <f aca="false">IF(A211="N/A"," ",IF(ISERROR(P211),G199*Pwresc,P211)*VLOOKUP(MONTH(A211),Curveadj,3))</f>
        <v> </v>
      </c>
      <c r="H211" s="398" t="str">
        <f aca="false">IF(A211="N/A"," ",G211*C211)</f>
        <v> </v>
      </c>
      <c r="I211" s="398" t="str">
        <f aca="false">IF(A211="N/A"," ",IF(ISERROR(Q211),I199*Pwresc,Q211))</f>
        <v> </v>
      </c>
      <c r="J211" s="398" t="str">
        <f aca="false">IF(A211="N/A"," ",Inputs!$G$4)</f>
        <v> </v>
      </c>
      <c r="K211" s="399" t="str">
        <f aca="false">IF(A211="N/A"," ",IF(ISERROR(#REF!),K199*Gasesc,#REF!))</f>
        <v> </v>
      </c>
      <c r="L211" s="399" t="str">
        <f aca="false">IF(A211="N/A"," ",IF(ISERROR(#REF!),L199*Gasesc,IF(#REF!=0,L199*Gasesc,#REF!)))</f>
        <v> </v>
      </c>
      <c r="M211" s="404"/>
      <c r="N211" s="401" t="str">
        <f aca="false">IF(A211="N/A"," ",VLOOKUP(A211,PeakPowerCurves,(IF(BMO1=2,3,IF(BMO1=1,2,4))),FALSE()))</f>
        <v> </v>
      </c>
      <c r="O211" s="401" t="str">
        <f aca="false">IF(A211="N/A"," ",VLOOKUP(A211,SatSunPeakPwr,(IF(BMO1=2,3,IF(BMO1=1,2,4))),FALSE()))</f>
        <v> </v>
      </c>
      <c r="P211" s="401" t="str">
        <f aca="false">IF(A211="N/A"," ",VLOOKUP(A211,SatSunPeakPwr,(IF(BMO1=2,7,IF(BMO1=1,6,8))),FALSE()))</f>
        <v> </v>
      </c>
      <c r="Q211" s="402" t="str">
        <f aca="false">IF(A211="N/A"," ",(VLOOKUP(A211,OPPowerPrices,(IF(BMO1=2,7,IF(BMO1=1,6,8))),FALSE())))</f>
        <v> </v>
      </c>
      <c r="R211" s="403" t="str">
        <f aca="false">IF(A211="N/A"," ",(VLOOKUP($A211,IRTable,2)))</f>
        <v> </v>
      </c>
      <c r="AF211" s="352" t="n">
        <v>42856</v>
      </c>
      <c r="AG211" s="311" t="n">
        <v>22</v>
      </c>
      <c r="AH211" s="311" t="n">
        <v>4</v>
      </c>
      <c r="AI211" s="311" t="n">
        <v>5</v>
      </c>
      <c r="AJ211" s="311" t="n">
        <v>1</v>
      </c>
      <c r="AK211" s="311" t="n">
        <v>31</v>
      </c>
      <c r="AU211" s="406"/>
    </row>
    <row r="212" customFormat="false" ht="12.75" hidden="false" customHeight="false" outlineLevel="0" collapsed="false">
      <c r="A212" s="405" t="str">
        <f aca="false">Option1!A179</f>
        <v>N/A</v>
      </c>
      <c r="B212" s="396" t="str">
        <f aca="false">IF(A212="N/A"," ",IF(ISERROR(N212),B200*Pwresc,N212)*VLOOKUP(MONTH(A212),Curveadj,3))</f>
        <v> </v>
      </c>
      <c r="C212" s="397" t="str">
        <f aca="false">IF(A212="N/A"," ",(IF(AND(Scaler1=1,MONTH(A212)&gt;=6,MONTH(A212)&lt;=8,OR($M$37="REGION 2",$M$37="REGION 2A",$M$37="REGION 2B",$M$37="REGION 3",$M$37="REGION 3A",$M$37="REGION 3B",$M$37="REGION 3C",$M$37="REGION 4",$M$37="REGION 4B",$M$37="REGION 4C",$M$37="REGION 5",$M$37="REGION 5A")),((0.059228/(B212/100))-(0.4980013/(SQRT(B212/100)))+2.137988),HLOOKUP(MONTH(A212),ScalarTable,28))))</f>
        <v> </v>
      </c>
      <c r="D212" s="398" t="str">
        <f aca="false">IF(A212="N/A"," ",C212*B212)</f>
        <v> </v>
      </c>
      <c r="E212" s="396" t="str">
        <f aca="false">IF(A212="N/A"," ",IF(ISERROR(O212),E200*Pwresc,O212)*VLOOKUP(MONTH(A212),Curveadj,3))</f>
        <v> </v>
      </c>
      <c r="F212" s="398" t="str">
        <f aca="false">IF(A212="N/A"," ",E212*C212)</f>
        <v> </v>
      </c>
      <c r="G212" s="396" t="str">
        <f aca="false">IF(A212="N/A"," ",IF(ISERROR(P212),G200*Pwresc,P212)*VLOOKUP(MONTH(A212),Curveadj,3))</f>
        <v> </v>
      </c>
      <c r="H212" s="398" t="str">
        <f aca="false">IF(A212="N/A"," ",G212*C212)</f>
        <v> </v>
      </c>
      <c r="I212" s="398" t="str">
        <f aca="false">IF(A212="N/A"," ",IF(ISERROR(Q212),I200*Pwresc,Q212))</f>
        <v> </v>
      </c>
      <c r="J212" s="398" t="str">
        <f aca="false">IF(A212="N/A"," ",Inputs!$G$4)</f>
        <v> </v>
      </c>
      <c r="K212" s="399" t="str">
        <f aca="false">IF(A212="N/A"," ",IF(ISERROR(#REF!),K200*Gasesc,#REF!))</f>
        <v> </v>
      </c>
      <c r="L212" s="399" t="str">
        <f aca="false">IF(A212="N/A"," ",IF(ISERROR(#REF!),L200*Gasesc,IF(#REF!=0,L200*Gasesc,#REF!)))</f>
        <v> </v>
      </c>
      <c r="M212" s="404"/>
      <c r="N212" s="401" t="str">
        <f aca="false">IF(A212="N/A"," ",VLOOKUP(A212,PeakPowerCurves,(IF(BMO1=2,3,IF(BMO1=1,2,4))),FALSE()))</f>
        <v> </v>
      </c>
      <c r="O212" s="401" t="str">
        <f aca="false">IF(A212="N/A"," ",VLOOKUP(A212,SatSunPeakPwr,(IF(BMO1=2,3,IF(BMO1=1,2,4))),FALSE()))</f>
        <v> </v>
      </c>
      <c r="P212" s="401" t="str">
        <f aca="false">IF(A212="N/A"," ",VLOOKUP(A212,SatSunPeakPwr,(IF(BMO1=2,7,IF(BMO1=1,6,8))),FALSE()))</f>
        <v> </v>
      </c>
      <c r="Q212" s="402" t="str">
        <f aca="false">IF(A212="N/A"," ",(VLOOKUP(A212,OPPowerPrices,(IF(BMO1=2,7,IF(BMO1=1,6,8))),FALSE())))</f>
        <v> </v>
      </c>
      <c r="R212" s="403" t="str">
        <f aca="false">IF(A212="N/A"," ",(VLOOKUP($A212,IRTable,2)))</f>
        <v> </v>
      </c>
      <c r="AF212" s="352" t="n">
        <v>42887</v>
      </c>
      <c r="AG212" s="311" t="n">
        <v>22</v>
      </c>
      <c r="AH212" s="311" t="n">
        <v>4</v>
      </c>
      <c r="AI212" s="311" t="n">
        <v>4</v>
      </c>
      <c r="AJ212" s="311" t="n">
        <v>0</v>
      </c>
      <c r="AK212" s="311" t="n">
        <v>30</v>
      </c>
      <c r="AU212" s="406"/>
    </row>
    <row r="213" customFormat="false" ht="12.75" hidden="false" customHeight="false" outlineLevel="0" collapsed="false">
      <c r="A213" s="405" t="str">
        <f aca="false">Option1!A180</f>
        <v>N/A</v>
      </c>
      <c r="B213" s="396" t="str">
        <f aca="false">IF(A213="N/A"," ",IF(ISERROR(N213),B201*Pwresc,N213)*VLOOKUP(MONTH(A213),Curveadj,3))</f>
        <v> </v>
      </c>
      <c r="C213" s="397" t="str">
        <f aca="false">IF(A213="N/A"," ",(IF(AND(Scaler1=1,MONTH(A213)&gt;=6,MONTH(A213)&lt;=8,OR($M$37="REGION 2",$M$37="REGION 2A",$M$37="REGION 2B",$M$37="REGION 3",$M$37="REGION 3A",$M$37="REGION 3B",$M$37="REGION 3C",$M$37="REGION 4",$M$37="REGION 4B",$M$37="REGION 4C",$M$37="REGION 5",$M$37="REGION 5A")),((0.059228/(B213/100))-(0.4980013/(SQRT(B213/100)))+2.137988),HLOOKUP(MONTH(A213),ScalarTable,28))))</f>
        <v> </v>
      </c>
      <c r="D213" s="398" t="str">
        <f aca="false">IF(A213="N/A"," ",C213*B213)</f>
        <v> </v>
      </c>
      <c r="E213" s="396" t="str">
        <f aca="false">IF(A213="N/A"," ",IF(ISERROR(O213),E201*Pwresc,O213)*VLOOKUP(MONTH(A213),Curveadj,3))</f>
        <v> </v>
      </c>
      <c r="F213" s="398" t="str">
        <f aca="false">IF(A213="N/A"," ",E213*C213)</f>
        <v> </v>
      </c>
      <c r="G213" s="396" t="str">
        <f aca="false">IF(A213="N/A"," ",IF(ISERROR(P213),G201*Pwresc,P213)*VLOOKUP(MONTH(A213),Curveadj,3))</f>
        <v> </v>
      </c>
      <c r="H213" s="398" t="str">
        <f aca="false">IF(A213="N/A"," ",G213*C213)</f>
        <v> </v>
      </c>
      <c r="I213" s="398" t="str">
        <f aca="false">IF(A213="N/A"," ",IF(ISERROR(Q213),I201*Pwresc,Q213))</f>
        <v> </v>
      </c>
      <c r="J213" s="398" t="str">
        <f aca="false">IF(A213="N/A"," ",Inputs!$G$4)</f>
        <v> </v>
      </c>
      <c r="K213" s="399" t="str">
        <f aca="false">IF(A213="N/A"," ",IF(ISERROR(#REF!),K201*Gasesc,#REF!))</f>
        <v> </v>
      </c>
      <c r="L213" s="399" t="str">
        <f aca="false">IF(A213="N/A"," ",IF(ISERROR(#REF!),L201*Gasesc,IF(#REF!=0,L201*Gasesc,#REF!)))</f>
        <v> </v>
      </c>
      <c r="M213" s="404"/>
      <c r="N213" s="401" t="str">
        <f aca="false">IF(A213="N/A"," ",VLOOKUP(A213,PeakPowerCurves,(IF(BMO1=2,3,IF(BMO1=1,2,4))),FALSE()))</f>
        <v> </v>
      </c>
      <c r="O213" s="401" t="str">
        <f aca="false">IF(A213="N/A"," ",VLOOKUP(A213,SatSunPeakPwr,(IF(BMO1=2,3,IF(BMO1=1,2,4))),FALSE()))</f>
        <v> </v>
      </c>
      <c r="P213" s="401" t="str">
        <f aca="false">IF(A213="N/A"," ",VLOOKUP(A213,SatSunPeakPwr,(IF(BMO1=2,7,IF(BMO1=1,6,8))),FALSE()))</f>
        <v> </v>
      </c>
      <c r="Q213" s="402" t="str">
        <f aca="false">IF(A213="N/A"," ",(VLOOKUP(A213,OPPowerPrices,(IF(BMO1=2,7,IF(BMO1=1,6,8))),FALSE())))</f>
        <v> </v>
      </c>
      <c r="R213" s="403" t="str">
        <f aca="false">IF(A213="N/A"," ",(VLOOKUP($A213,IRTable,2)))</f>
        <v> </v>
      </c>
      <c r="AF213" s="352" t="n">
        <v>42917</v>
      </c>
      <c r="AG213" s="311" t="n">
        <v>20</v>
      </c>
      <c r="AH213" s="311" t="n">
        <v>5</v>
      </c>
      <c r="AI213" s="311" t="n">
        <v>6</v>
      </c>
      <c r="AJ213" s="311" t="n">
        <v>1</v>
      </c>
      <c r="AK213" s="311" t="n">
        <v>31</v>
      </c>
      <c r="AU213" s="406"/>
    </row>
    <row r="214" customFormat="false" ht="12.75" hidden="false" customHeight="false" outlineLevel="0" collapsed="false">
      <c r="A214" s="405" t="str">
        <f aca="false">Option1!A181</f>
        <v>N/A</v>
      </c>
      <c r="B214" s="396" t="str">
        <f aca="false">IF(A214="N/A"," ",IF(ISERROR(N214),B202*Pwresc,N214)*VLOOKUP(MONTH(A214),Curveadj,3))</f>
        <v> </v>
      </c>
      <c r="C214" s="397" t="str">
        <f aca="false">IF(A214="N/A"," ",(IF(AND(Scaler1=1,MONTH(A214)&gt;=6,MONTH(A214)&lt;=8,OR($M$37="REGION 2",$M$37="REGION 2A",$M$37="REGION 2B",$M$37="REGION 3",$M$37="REGION 3A",$M$37="REGION 3B",$M$37="REGION 3C",$M$37="REGION 4",$M$37="REGION 4B",$M$37="REGION 4C",$M$37="REGION 5",$M$37="REGION 5A")),((0.059228/(B214/100))-(0.4980013/(SQRT(B214/100)))+2.137988),HLOOKUP(MONTH(A214),ScalarTable,28))))</f>
        <v> </v>
      </c>
      <c r="D214" s="398" t="str">
        <f aca="false">IF(A214="N/A"," ",C214*B214)</f>
        <v> </v>
      </c>
      <c r="E214" s="396" t="str">
        <f aca="false">IF(A214="N/A"," ",IF(ISERROR(O214),E202*Pwresc,O214)*VLOOKUP(MONTH(A214),Curveadj,3))</f>
        <v> </v>
      </c>
      <c r="F214" s="398" t="str">
        <f aca="false">IF(A214="N/A"," ",E214*C214)</f>
        <v> </v>
      </c>
      <c r="G214" s="396" t="str">
        <f aca="false">IF(A214="N/A"," ",IF(ISERROR(P214),G202*Pwresc,P214)*VLOOKUP(MONTH(A214),Curveadj,3))</f>
        <v> </v>
      </c>
      <c r="H214" s="398" t="str">
        <f aca="false">IF(A214="N/A"," ",G214*C214)</f>
        <v> </v>
      </c>
      <c r="I214" s="398" t="str">
        <f aca="false">IF(A214="N/A"," ",IF(ISERROR(Q214),I202*Pwresc,Q214))</f>
        <v> </v>
      </c>
      <c r="J214" s="398" t="str">
        <f aca="false">IF(A214="N/A"," ",Inputs!$G$4)</f>
        <v> </v>
      </c>
      <c r="K214" s="399" t="str">
        <f aca="false">IF(A214="N/A"," ",IF(ISERROR(#REF!),K202*Gasesc,#REF!))</f>
        <v> </v>
      </c>
      <c r="L214" s="399" t="str">
        <f aca="false">IF(A214="N/A"," ",IF(ISERROR(#REF!),L202*Gasesc,IF(#REF!=0,L202*Gasesc,#REF!)))</f>
        <v> </v>
      </c>
      <c r="M214" s="404"/>
      <c r="N214" s="401" t="str">
        <f aca="false">IF(A214="N/A"," ",VLOOKUP(A214,PeakPowerCurves,(IF(BMO1=2,3,IF(BMO1=1,2,4))),FALSE()))</f>
        <v> </v>
      </c>
      <c r="O214" s="401" t="str">
        <f aca="false">IF(A214="N/A"," ",VLOOKUP(A214,SatSunPeakPwr,(IF(BMO1=2,3,IF(BMO1=1,2,4))),FALSE()))</f>
        <v> </v>
      </c>
      <c r="P214" s="401" t="str">
        <f aca="false">IF(A214="N/A"," ",VLOOKUP(A214,SatSunPeakPwr,(IF(BMO1=2,7,IF(BMO1=1,6,8))),FALSE()))</f>
        <v> </v>
      </c>
      <c r="Q214" s="402" t="str">
        <f aca="false">IF(A214="N/A"," ",(VLOOKUP(A214,OPPowerPrices,(IF(BMO1=2,7,IF(BMO1=1,6,8))),FALSE())))</f>
        <v> </v>
      </c>
      <c r="R214" s="403" t="str">
        <f aca="false">IF(A214="N/A"," ",(VLOOKUP($A214,IRTable,2)))</f>
        <v> </v>
      </c>
      <c r="AF214" s="352" t="n">
        <v>42948</v>
      </c>
      <c r="AG214" s="311" t="n">
        <v>23</v>
      </c>
      <c r="AH214" s="311" t="n">
        <v>4</v>
      </c>
      <c r="AI214" s="311" t="n">
        <v>4</v>
      </c>
      <c r="AJ214" s="311" t="n">
        <v>0</v>
      </c>
      <c r="AK214" s="311" t="n">
        <v>31</v>
      </c>
      <c r="AU214" s="406"/>
    </row>
    <row r="215" customFormat="false" ht="12.75" hidden="false" customHeight="false" outlineLevel="0" collapsed="false">
      <c r="A215" s="405" t="str">
        <f aca="false">Option1!A182</f>
        <v>N/A</v>
      </c>
      <c r="B215" s="396" t="str">
        <f aca="false">IF(A215="N/A"," ",IF(ISERROR(N215),B203*Pwresc,N215)*VLOOKUP(MONTH(A215),Curveadj,3))</f>
        <v> </v>
      </c>
      <c r="C215" s="397" t="str">
        <f aca="false">IF(A215="N/A"," ",(IF(AND(Scaler1=1,MONTH(A215)&gt;=6,MONTH(A215)&lt;=8,OR($M$37="REGION 2",$M$37="REGION 2A",$M$37="REGION 2B",$M$37="REGION 3",$M$37="REGION 3A",$M$37="REGION 3B",$M$37="REGION 3C",$M$37="REGION 4",$M$37="REGION 4B",$M$37="REGION 4C",$M$37="REGION 5",$M$37="REGION 5A")),((0.059228/(B215/100))-(0.4980013/(SQRT(B215/100)))+2.137988),HLOOKUP(MONTH(A215),ScalarTable,28))))</f>
        <v> </v>
      </c>
      <c r="D215" s="398" t="str">
        <f aca="false">IF(A215="N/A"," ",C215*B215)</f>
        <v> </v>
      </c>
      <c r="E215" s="396" t="str">
        <f aca="false">IF(A215="N/A"," ",IF(ISERROR(O215),E203*Pwresc,O215)*VLOOKUP(MONTH(A215),Curveadj,3))</f>
        <v> </v>
      </c>
      <c r="F215" s="398" t="str">
        <f aca="false">IF(A215="N/A"," ",E215*C215)</f>
        <v> </v>
      </c>
      <c r="G215" s="396" t="str">
        <f aca="false">IF(A215="N/A"," ",IF(ISERROR(P215),G203*Pwresc,P215)*VLOOKUP(MONTH(A215),Curveadj,3))</f>
        <v> </v>
      </c>
      <c r="H215" s="398" t="str">
        <f aca="false">IF(A215="N/A"," ",G215*C215)</f>
        <v> </v>
      </c>
      <c r="I215" s="398" t="str">
        <f aca="false">IF(A215="N/A"," ",IF(ISERROR(Q215),I203*Pwresc,Q215))</f>
        <v> </v>
      </c>
      <c r="J215" s="398" t="str">
        <f aca="false">IF(A215="N/A"," ",Inputs!$G$4)</f>
        <v> </v>
      </c>
      <c r="K215" s="399" t="str">
        <f aca="false">IF(A215="N/A"," ",IF(ISERROR(#REF!),K203*Gasesc,#REF!))</f>
        <v> </v>
      </c>
      <c r="L215" s="399" t="str">
        <f aca="false">IF(A215="N/A"," ",IF(ISERROR(#REF!),L203*Gasesc,IF(#REF!=0,L203*Gasesc,#REF!)))</f>
        <v> </v>
      </c>
      <c r="M215" s="404"/>
      <c r="N215" s="401" t="str">
        <f aca="false">IF(A215="N/A"," ",VLOOKUP(A215,PeakPowerCurves,(IF(BMO1=2,3,IF(BMO1=1,2,4))),FALSE()))</f>
        <v> </v>
      </c>
      <c r="O215" s="401" t="str">
        <f aca="false">IF(A215="N/A"," ",VLOOKUP(A215,SatSunPeakPwr,(IF(BMO1=2,3,IF(BMO1=1,2,4))),FALSE()))</f>
        <v> </v>
      </c>
      <c r="P215" s="401" t="str">
        <f aca="false">IF(A215="N/A"," ",VLOOKUP(A215,SatSunPeakPwr,(IF(BMO1=2,7,IF(BMO1=1,6,8))),FALSE()))</f>
        <v> </v>
      </c>
      <c r="Q215" s="402" t="str">
        <f aca="false">IF(A215="N/A"," ",(VLOOKUP(A215,OPPowerPrices,(IF(BMO1=2,7,IF(BMO1=1,6,8))),FALSE())))</f>
        <v> </v>
      </c>
      <c r="R215" s="403" t="str">
        <f aca="false">IF(A215="N/A"," ",(VLOOKUP($A215,IRTable,2)))</f>
        <v> </v>
      </c>
      <c r="AF215" s="352" t="n">
        <v>42979</v>
      </c>
      <c r="AG215" s="311" t="n">
        <v>20</v>
      </c>
      <c r="AH215" s="311" t="n">
        <v>5</v>
      </c>
      <c r="AI215" s="311" t="n">
        <v>5</v>
      </c>
      <c r="AJ215" s="311" t="n">
        <v>1</v>
      </c>
      <c r="AK215" s="311" t="n">
        <v>30</v>
      </c>
      <c r="AU215" s="406"/>
    </row>
    <row r="216" customFormat="false" ht="12.75" hidden="false" customHeight="false" outlineLevel="0" collapsed="false">
      <c r="A216" s="405" t="str">
        <f aca="false">Option1!A183</f>
        <v>N/A</v>
      </c>
      <c r="B216" s="396" t="str">
        <f aca="false">IF(A216="N/A"," ",IF(ISERROR(N216),B204*Pwresc,N216)*VLOOKUP(MONTH(A216),Curveadj,3))</f>
        <v> </v>
      </c>
      <c r="C216" s="397" t="str">
        <f aca="false">IF(A216="N/A"," ",(IF(AND(Scaler1=1,MONTH(A216)&gt;=6,MONTH(A216)&lt;=8,OR($M$37="REGION 2",$M$37="REGION 2A",$M$37="REGION 2B",$M$37="REGION 3",$M$37="REGION 3A",$M$37="REGION 3B",$M$37="REGION 3C",$M$37="REGION 4",$M$37="REGION 4B",$M$37="REGION 4C",$M$37="REGION 5",$M$37="REGION 5A")),((0.059228/(B216/100))-(0.4980013/(SQRT(B216/100)))+2.137988),HLOOKUP(MONTH(A216),ScalarTable,28))))</f>
        <v> </v>
      </c>
      <c r="D216" s="398" t="str">
        <f aca="false">IF(A216="N/A"," ",C216*B216)</f>
        <v> </v>
      </c>
      <c r="E216" s="396" t="str">
        <f aca="false">IF(A216="N/A"," ",IF(ISERROR(O216),E204*Pwresc,O216)*VLOOKUP(MONTH(A216),Curveadj,3))</f>
        <v> </v>
      </c>
      <c r="F216" s="398" t="str">
        <f aca="false">IF(A216="N/A"," ",E216*C216)</f>
        <v> </v>
      </c>
      <c r="G216" s="396" t="str">
        <f aca="false">IF(A216="N/A"," ",IF(ISERROR(P216),G204*Pwresc,P216)*VLOOKUP(MONTH(A216),Curveadj,3))</f>
        <v> </v>
      </c>
      <c r="H216" s="398" t="str">
        <f aca="false">IF(A216="N/A"," ",G216*C216)</f>
        <v> </v>
      </c>
      <c r="I216" s="398" t="str">
        <f aca="false">IF(A216="N/A"," ",IF(ISERROR(Q216),I204*Pwresc,Q216))</f>
        <v> </v>
      </c>
      <c r="J216" s="398" t="str">
        <f aca="false">IF(A216="N/A"," ",Inputs!$G$4)</f>
        <v> </v>
      </c>
      <c r="K216" s="399" t="str">
        <f aca="false">IF(A216="N/A"," ",IF(ISERROR(#REF!),K204*Gasesc,#REF!))</f>
        <v> </v>
      </c>
      <c r="L216" s="399" t="str">
        <f aca="false">IF(A216="N/A"," ",IF(ISERROR(#REF!),L204*Gasesc,IF(#REF!=0,L204*Gasesc,#REF!)))</f>
        <v> </v>
      </c>
      <c r="M216" s="404"/>
      <c r="N216" s="401" t="str">
        <f aca="false">IF(A216="N/A"," ",VLOOKUP(A216,PeakPowerCurves,(IF(BMO1=2,3,IF(BMO1=1,2,4))),FALSE()))</f>
        <v> </v>
      </c>
      <c r="O216" s="401" t="str">
        <f aca="false">IF(A216="N/A"," ",VLOOKUP(A216,SatSunPeakPwr,(IF(BMO1=2,3,IF(BMO1=1,2,4))),FALSE()))</f>
        <v> </v>
      </c>
      <c r="P216" s="401" t="str">
        <f aca="false">IF(A216="N/A"," ",VLOOKUP(A216,SatSunPeakPwr,(IF(BMO1=2,7,IF(BMO1=1,6,8))),FALSE()))</f>
        <v> </v>
      </c>
      <c r="Q216" s="402" t="str">
        <f aca="false">IF(A216="N/A"," ",(VLOOKUP(A216,OPPowerPrices,(IF(BMO1=2,7,IF(BMO1=1,6,8))),FALSE())))</f>
        <v> </v>
      </c>
      <c r="R216" s="403" t="str">
        <f aca="false">IF(A216="N/A"," ",(VLOOKUP($A216,IRTable,2)))</f>
        <v> </v>
      </c>
      <c r="AF216" s="352" t="n">
        <v>43009</v>
      </c>
      <c r="AG216" s="311" t="n">
        <v>22</v>
      </c>
      <c r="AH216" s="311" t="n">
        <v>4</v>
      </c>
      <c r="AI216" s="311" t="n">
        <v>5</v>
      </c>
      <c r="AJ216" s="311" t="n">
        <v>0</v>
      </c>
      <c r="AK216" s="311" t="n">
        <v>31</v>
      </c>
      <c r="AU216" s="406"/>
    </row>
    <row r="217" customFormat="false" ht="12.75" hidden="false" customHeight="false" outlineLevel="0" collapsed="false">
      <c r="A217" s="405" t="str">
        <f aca="false">Option1!A184</f>
        <v>N/A</v>
      </c>
      <c r="B217" s="396" t="str">
        <f aca="false">IF(A217="N/A"," ",IF(ISERROR(N217),B205*Pwresc,N217)*VLOOKUP(MONTH(A217),Curveadj,3))</f>
        <v> </v>
      </c>
      <c r="C217" s="397" t="str">
        <f aca="false">IF(A217="N/A"," ",(IF(AND(Scaler1=1,MONTH(A217)&gt;=6,MONTH(A217)&lt;=8,OR($M$37="REGION 2",$M$37="REGION 2A",$M$37="REGION 2B",$M$37="REGION 3",$M$37="REGION 3A",$M$37="REGION 3B",$M$37="REGION 3C",$M$37="REGION 4",$M$37="REGION 4B",$M$37="REGION 4C",$M$37="REGION 5",$M$37="REGION 5A")),((0.059228/(B217/100))-(0.4980013/(SQRT(B217/100)))+2.137988),HLOOKUP(MONTH(A217),ScalarTable,28))))</f>
        <v> </v>
      </c>
      <c r="D217" s="398" t="str">
        <f aca="false">IF(A217="N/A"," ",C217*B217)</f>
        <v> </v>
      </c>
      <c r="E217" s="396" t="str">
        <f aca="false">IF(A217="N/A"," ",IF(ISERROR(O217),E205*Pwresc,O217)*VLOOKUP(MONTH(A217),Curveadj,3))</f>
        <v> </v>
      </c>
      <c r="F217" s="398" t="str">
        <f aca="false">IF(A217="N/A"," ",E217*C217)</f>
        <v> </v>
      </c>
      <c r="G217" s="396" t="str">
        <f aca="false">IF(A217="N/A"," ",IF(ISERROR(P217),G205*Pwresc,P217)*VLOOKUP(MONTH(A217),Curveadj,3))</f>
        <v> </v>
      </c>
      <c r="H217" s="398" t="str">
        <f aca="false">IF(A217="N/A"," ",G217*C217)</f>
        <v> </v>
      </c>
      <c r="I217" s="398" t="str">
        <f aca="false">IF(A217="N/A"," ",IF(ISERROR(Q217),I205*Pwresc,Q217))</f>
        <v> </v>
      </c>
      <c r="J217" s="398" t="str">
        <f aca="false">IF(A217="N/A"," ",Inputs!$G$4)</f>
        <v> </v>
      </c>
      <c r="K217" s="399" t="str">
        <f aca="false">IF(A217="N/A"," ",IF(ISERROR(#REF!),K205*Gasesc,#REF!))</f>
        <v> </v>
      </c>
      <c r="L217" s="399" t="str">
        <f aca="false">IF(A217="N/A"," ",IF(ISERROR(#REF!),L205*Gasesc,IF(#REF!=0,L205*Gasesc,#REF!)))</f>
        <v> </v>
      </c>
      <c r="M217" s="404"/>
      <c r="N217" s="401" t="str">
        <f aca="false">IF(A217="N/A"," ",VLOOKUP(A217,PeakPowerCurves,(IF(BMO1=2,3,IF(BMO1=1,2,4))),FALSE()))</f>
        <v> </v>
      </c>
      <c r="O217" s="401" t="str">
        <f aca="false">IF(A217="N/A"," ",VLOOKUP(A217,SatSunPeakPwr,(IF(BMO1=2,3,IF(BMO1=1,2,4))),FALSE()))</f>
        <v> </v>
      </c>
      <c r="P217" s="401" t="str">
        <f aca="false">IF(A217="N/A"," ",VLOOKUP(A217,SatSunPeakPwr,(IF(BMO1=2,7,IF(BMO1=1,6,8))),FALSE()))</f>
        <v> </v>
      </c>
      <c r="Q217" s="402" t="str">
        <f aca="false">IF(A217="N/A"," ",(VLOOKUP(A217,OPPowerPrices,(IF(BMO1=2,7,IF(BMO1=1,6,8))),FALSE())))</f>
        <v> </v>
      </c>
      <c r="R217" s="403" t="str">
        <f aca="false">IF(A217="N/A"," ",(VLOOKUP($A217,IRTable,2)))</f>
        <v> </v>
      </c>
      <c r="AF217" s="352" t="n">
        <v>43040</v>
      </c>
      <c r="AG217" s="311" t="n">
        <v>21</v>
      </c>
      <c r="AH217" s="311" t="n">
        <v>4</v>
      </c>
      <c r="AI217" s="311" t="n">
        <v>5</v>
      </c>
      <c r="AJ217" s="311" t="n">
        <v>1</v>
      </c>
      <c r="AK217" s="311" t="n">
        <v>30</v>
      </c>
      <c r="AU217" s="406"/>
    </row>
    <row r="218" customFormat="false" ht="12.75" hidden="false" customHeight="false" outlineLevel="0" collapsed="false">
      <c r="A218" s="405" t="str">
        <f aca="false">Option1!A185</f>
        <v>N/A</v>
      </c>
      <c r="B218" s="396" t="str">
        <f aca="false">IF(A218="N/A"," ",IF(ISERROR(N218),B206*Pwresc,N218)*VLOOKUP(MONTH(A218),Curveadj,3))</f>
        <v> </v>
      </c>
      <c r="C218" s="397" t="str">
        <f aca="false">IF(A218="N/A"," ",(IF(AND(Scaler1=1,MONTH(A218)&gt;=6,MONTH(A218)&lt;=8,OR($M$37="REGION 2",$M$37="REGION 2A",$M$37="REGION 2B",$M$37="REGION 3",$M$37="REGION 3A",$M$37="REGION 3B",$M$37="REGION 3C",$M$37="REGION 4",$M$37="REGION 4B",$M$37="REGION 4C",$M$37="REGION 5",$M$37="REGION 5A")),((0.059228/(B218/100))-(0.4980013/(SQRT(B218/100)))+2.137988),HLOOKUP(MONTH(A218),ScalarTable,28))))</f>
        <v> </v>
      </c>
      <c r="D218" s="398" t="str">
        <f aca="false">IF(A218="N/A"," ",C218*B218)</f>
        <v> </v>
      </c>
      <c r="E218" s="396" t="str">
        <f aca="false">IF(A218="N/A"," ",IF(ISERROR(O218),E206*Pwresc,O218)*VLOOKUP(MONTH(A218),Curveadj,3))</f>
        <v> </v>
      </c>
      <c r="F218" s="398" t="str">
        <f aca="false">IF(A218="N/A"," ",E218*C218)</f>
        <v> </v>
      </c>
      <c r="G218" s="396" t="str">
        <f aca="false">IF(A218="N/A"," ",IF(ISERROR(P218),G206*Pwresc,P218)*VLOOKUP(MONTH(A218),Curveadj,3))</f>
        <v> </v>
      </c>
      <c r="H218" s="398" t="str">
        <f aca="false">IF(A218="N/A"," ",G218*C218)</f>
        <v> </v>
      </c>
      <c r="I218" s="398" t="str">
        <f aca="false">IF(A218="N/A"," ",IF(ISERROR(Q218),I206*Pwresc,Q218))</f>
        <v> </v>
      </c>
      <c r="J218" s="398" t="str">
        <f aca="false">IF(A218="N/A"," ",Inputs!$G$4)</f>
        <v> </v>
      </c>
      <c r="K218" s="399" t="str">
        <f aca="false">IF(A218="N/A"," ",IF(ISERROR(#REF!),K206*Gasesc,#REF!))</f>
        <v> </v>
      </c>
      <c r="L218" s="399" t="str">
        <f aca="false">IF(A218="N/A"," ",IF(ISERROR(#REF!),L206*Gasesc,IF(#REF!=0,L206*Gasesc,#REF!)))</f>
        <v> </v>
      </c>
      <c r="M218" s="404"/>
      <c r="N218" s="401" t="str">
        <f aca="false">IF(A218="N/A"," ",VLOOKUP(A218,PeakPowerCurves,(IF(BMO1=2,3,IF(BMO1=1,2,4))),FALSE()))</f>
        <v> </v>
      </c>
      <c r="O218" s="401" t="str">
        <f aca="false">IF(A218="N/A"," ",VLOOKUP(A218,SatSunPeakPwr,(IF(BMO1=2,3,IF(BMO1=1,2,4))),FALSE()))</f>
        <v> </v>
      </c>
      <c r="P218" s="401" t="str">
        <f aca="false">IF(A218="N/A"," ",VLOOKUP(A218,SatSunPeakPwr,(IF(BMO1=2,7,IF(BMO1=1,6,8))),FALSE()))</f>
        <v> </v>
      </c>
      <c r="Q218" s="402" t="str">
        <f aca="false">IF(A218="N/A"," ",(VLOOKUP(A218,OPPowerPrices,(IF(BMO1=2,7,IF(BMO1=1,6,8))),FALSE())))</f>
        <v> </v>
      </c>
      <c r="R218" s="403" t="str">
        <f aca="false">IF(A218="N/A"," ",(VLOOKUP($A218,IRTable,2)))</f>
        <v> </v>
      </c>
      <c r="AF218" s="352" t="n">
        <v>43070</v>
      </c>
      <c r="AG218" s="311" t="n">
        <v>20</v>
      </c>
      <c r="AH218" s="311" t="n">
        <v>5</v>
      </c>
      <c r="AI218" s="311" t="n">
        <v>6</v>
      </c>
      <c r="AJ218" s="311" t="n">
        <v>1</v>
      </c>
      <c r="AK218" s="311" t="n">
        <v>31</v>
      </c>
      <c r="AU218" s="406"/>
    </row>
    <row r="219" customFormat="false" ht="12.75" hidden="false" customHeight="false" outlineLevel="0" collapsed="false">
      <c r="A219" s="405" t="str">
        <f aca="false">Option1!A186</f>
        <v>N/A</v>
      </c>
      <c r="B219" s="396" t="str">
        <f aca="false">IF(A219="N/A"," ",IF(ISERROR(N219),B207*Pwresc,N219)*VLOOKUP(MONTH(A219),Curveadj,3))</f>
        <v> </v>
      </c>
      <c r="C219" s="397" t="str">
        <f aca="false">IF(A219="N/A"," ",(IF(AND(Scaler1=1,MONTH(A219)&gt;=6,MONTH(A219)&lt;=8,OR($M$37="REGION 2",$M$37="REGION 2A",$M$37="REGION 2B",$M$37="REGION 3",$M$37="REGION 3A",$M$37="REGION 3B",$M$37="REGION 3C",$M$37="REGION 4",$M$37="REGION 4B",$M$37="REGION 4C",$M$37="REGION 5",$M$37="REGION 5A")),((0.059228/(B219/100))-(0.4980013/(SQRT(B219/100)))+2.137988),HLOOKUP(MONTH(A219),ScalarTable,28))))</f>
        <v> </v>
      </c>
      <c r="D219" s="398" t="str">
        <f aca="false">IF(A219="N/A"," ",C219*B219)</f>
        <v> </v>
      </c>
      <c r="E219" s="396" t="str">
        <f aca="false">IF(A219="N/A"," ",IF(ISERROR(O219),E207*Pwresc,O219)*VLOOKUP(MONTH(A219),Curveadj,3))</f>
        <v> </v>
      </c>
      <c r="F219" s="398" t="str">
        <f aca="false">IF(A219="N/A"," ",E219*C219)</f>
        <v> </v>
      </c>
      <c r="G219" s="396" t="str">
        <f aca="false">IF(A219="N/A"," ",IF(ISERROR(P219),G207*Pwresc,P219)*VLOOKUP(MONTH(A219),Curveadj,3))</f>
        <v> </v>
      </c>
      <c r="H219" s="398" t="str">
        <f aca="false">IF(A219="N/A"," ",G219*C219)</f>
        <v> </v>
      </c>
      <c r="I219" s="398" t="str">
        <f aca="false">IF(A219="N/A"," ",IF(ISERROR(Q219),I207*Pwresc,Q219))</f>
        <v> </v>
      </c>
      <c r="J219" s="398" t="str">
        <f aca="false">IF(A219="N/A"," ",Inputs!$G$4)</f>
        <v> </v>
      </c>
      <c r="K219" s="399" t="str">
        <f aca="false">IF(A219="N/A"," ",IF(ISERROR(#REF!),K207*Gasesc,#REF!))</f>
        <v> </v>
      </c>
      <c r="L219" s="399" t="str">
        <f aca="false">IF(A219="N/A"," ",IF(ISERROR(#REF!),L207*Gasesc,IF(#REF!=0,L207*Gasesc,#REF!)))</f>
        <v> </v>
      </c>
      <c r="M219" s="404"/>
      <c r="N219" s="401" t="str">
        <f aca="false">IF(A219="N/A"," ",VLOOKUP(A219,PeakPowerCurves,(IF(BMO1=2,3,IF(BMO1=1,2,4))),FALSE()))</f>
        <v> </v>
      </c>
      <c r="O219" s="401" t="str">
        <f aca="false">IF(A219="N/A"," ",VLOOKUP(A219,SatSunPeakPwr,(IF(BMO1=2,3,IF(BMO1=1,2,4))),FALSE()))</f>
        <v> </v>
      </c>
      <c r="P219" s="401" t="str">
        <f aca="false">IF(A219="N/A"," ",VLOOKUP(A219,SatSunPeakPwr,(IF(BMO1=2,7,IF(BMO1=1,6,8))),FALSE()))</f>
        <v> </v>
      </c>
      <c r="Q219" s="402" t="str">
        <f aca="false">IF(A219="N/A"," ",(VLOOKUP(A219,OPPowerPrices,(IF(BMO1=2,7,IF(BMO1=1,6,8))),FALSE())))</f>
        <v> </v>
      </c>
      <c r="R219" s="403" t="str">
        <f aca="false">IF(A219="N/A"," ",(VLOOKUP($A219,IRTable,2)))</f>
        <v> </v>
      </c>
      <c r="AF219" s="352" t="n">
        <v>43101</v>
      </c>
      <c r="AG219" s="311" t="n">
        <v>22</v>
      </c>
      <c r="AH219" s="311" t="n">
        <v>4</v>
      </c>
      <c r="AI219" s="311" t="n">
        <v>5</v>
      </c>
      <c r="AJ219" s="311" t="n">
        <v>1</v>
      </c>
      <c r="AK219" s="311" t="n">
        <v>31</v>
      </c>
      <c r="AU219" s="406"/>
    </row>
    <row r="220" customFormat="false" ht="12.75" hidden="false" customHeight="false" outlineLevel="0" collapsed="false">
      <c r="A220" s="405" t="str">
        <f aca="false">Option1!A187</f>
        <v>N/A</v>
      </c>
      <c r="B220" s="396" t="str">
        <f aca="false">IF(A220="N/A"," ",IF(ISERROR(N220),B208*Pwresc,N220)*VLOOKUP(MONTH(A220),Curveadj,3))</f>
        <v> </v>
      </c>
      <c r="C220" s="397" t="str">
        <f aca="false">IF(A220="N/A"," ",(IF(AND(Scaler1=1,MONTH(A220)&gt;=6,MONTH(A220)&lt;=8,OR($M$37="REGION 2",$M$37="REGION 2A",$M$37="REGION 2B",$M$37="REGION 3",$M$37="REGION 3A",$M$37="REGION 3B",$M$37="REGION 3C",$M$37="REGION 4",$M$37="REGION 4B",$M$37="REGION 4C",$M$37="REGION 5",$M$37="REGION 5A")),((0.059228/(B220/100))-(0.4980013/(SQRT(B220/100)))+2.137988),HLOOKUP(MONTH(A220),ScalarTable,28))))</f>
        <v> </v>
      </c>
      <c r="D220" s="398" t="str">
        <f aca="false">IF(A220="N/A"," ",C220*B220)</f>
        <v> </v>
      </c>
      <c r="E220" s="396" t="str">
        <f aca="false">IF(A220="N/A"," ",IF(ISERROR(O220),E208*Pwresc,O220)*VLOOKUP(MONTH(A220),Curveadj,3))</f>
        <v> </v>
      </c>
      <c r="F220" s="398" t="str">
        <f aca="false">IF(A220="N/A"," ",E220*C220)</f>
        <v> </v>
      </c>
      <c r="G220" s="396" t="str">
        <f aca="false">IF(A220="N/A"," ",IF(ISERROR(P220),G208*Pwresc,P220)*VLOOKUP(MONTH(A220),Curveadj,3))</f>
        <v> </v>
      </c>
      <c r="H220" s="398" t="str">
        <f aca="false">IF(A220="N/A"," ",G220*C220)</f>
        <v> </v>
      </c>
      <c r="I220" s="398" t="str">
        <f aca="false">IF(A220="N/A"," ",IF(ISERROR(Q220),I208*Pwresc,Q220))</f>
        <v> </v>
      </c>
      <c r="J220" s="398" t="str">
        <f aca="false">IF(A220="N/A"," ",Inputs!$G$4)</f>
        <v> </v>
      </c>
      <c r="K220" s="399" t="str">
        <f aca="false">IF(A220="N/A"," ",IF(ISERROR(#REF!),K208*Gasesc,#REF!))</f>
        <v> </v>
      </c>
      <c r="L220" s="399" t="str">
        <f aca="false">IF(A220="N/A"," ",IF(ISERROR(#REF!),L208*Gasesc,IF(#REF!=0,L208*Gasesc,#REF!)))</f>
        <v> </v>
      </c>
      <c r="M220" s="404"/>
      <c r="N220" s="401" t="str">
        <f aca="false">IF(A220="N/A"," ",VLOOKUP(A220,PeakPowerCurves,(IF(BMO1=2,3,IF(BMO1=1,2,4))),FALSE()))</f>
        <v> </v>
      </c>
      <c r="O220" s="401" t="str">
        <f aca="false">IF(A220="N/A"," ",VLOOKUP(A220,SatSunPeakPwr,(IF(BMO1=2,3,IF(BMO1=1,2,4))),FALSE()))</f>
        <v> </v>
      </c>
      <c r="P220" s="401" t="str">
        <f aca="false">IF(A220="N/A"," ",VLOOKUP(A220,SatSunPeakPwr,(IF(BMO1=2,7,IF(BMO1=1,6,8))),FALSE()))</f>
        <v> </v>
      </c>
      <c r="Q220" s="402" t="str">
        <f aca="false">IF(A220="N/A"," ",(VLOOKUP(A220,OPPowerPrices,(IF(BMO1=2,7,IF(BMO1=1,6,8))),FALSE())))</f>
        <v> </v>
      </c>
      <c r="R220" s="403" t="str">
        <f aca="false">IF(A220="N/A"," ",(VLOOKUP($A220,IRTable,2)))</f>
        <v> </v>
      </c>
      <c r="AF220" s="352" t="n">
        <v>43132</v>
      </c>
      <c r="AG220" s="311" t="n">
        <v>20</v>
      </c>
      <c r="AH220" s="311" t="n">
        <v>4</v>
      </c>
      <c r="AI220" s="311" t="n">
        <v>4</v>
      </c>
      <c r="AJ220" s="311" t="n">
        <v>0</v>
      </c>
      <c r="AK220" s="311" t="n">
        <v>28</v>
      </c>
      <c r="AU220" s="406"/>
    </row>
    <row r="221" customFormat="false" ht="12.75" hidden="false" customHeight="false" outlineLevel="0" collapsed="false">
      <c r="A221" s="405" t="str">
        <f aca="false">Option1!A188</f>
        <v>N/A</v>
      </c>
      <c r="B221" s="396" t="str">
        <f aca="false">IF(A221="N/A"," ",IF(ISERROR(N221),B209*Pwresc,N221)*VLOOKUP(MONTH(A221),Curveadj,3))</f>
        <v> </v>
      </c>
      <c r="C221" s="397" t="str">
        <f aca="false">IF(A221="N/A"," ",(IF(AND(Scaler1=1,MONTH(A221)&gt;=6,MONTH(A221)&lt;=8,OR($M$37="REGION 2",$M$37="REGION 2A",$M$37="REGION 2B",$M$37="REGION 3",$M$37="REGION 3A",$M$37="REGION 3B",$M$37="REGION 3C",$M$37="REGION 4",$M$37="REGION 4B",$M$37="REGION 4C",$M$37="REGION 5",$M$37="REGION 5A")),((0.059228/(B221/100))-(0.4980013/(SQRT(B221/100)))+2.137988),HLOOKUP(MONTH(A221),ScalarTable,28))))</f>
        <v> </v>
      </c>
      <c r="D221" s="398" t="str">
        <f aca="false">IF(A221="N/A"," ",C221*B221)</f>
        <v> </v>
      </c>
      <c r="E221" s="396" t="str">
        <f aca="false">IF(A221="N/A"," ",IF(ISERROR(O221),E209*Pwresc,O221)*VLOOKUP(MONTH(A221),Curveadj,3))</f>
        <v> </v>
      </c>
      <c r="F221" s="398" t="str">
        <f aca="false">IF(A221="N/A"," ",E221*C221)</f>
        <v> </v>
      </c>
      <c r="G221" s="396" t="str">
        <f aca="false">IF(A221="N/A"," ",IF(ISERROR(P221),G209*Pwresc,P221)*VLOOKUP(MONTH(A221),Curveadj,3))</f>
        <v> </v>
      </c>
      <c r="H221" s="398" t="str">
        <f aca="false">IF(A221="N/A"," ",G221*C221)</f>
        <v> </v>
      </c>
      <c r="I221" s="398" t="str">
        <f aca="false">IF(A221="N/A"," ",IF(ISERROR(Q221),I209*Pwresc,Q221))</f>
        <v> </v>
      </c>
      <c r="J221" s="398" t="str">
        <f aca="false">IF(A221="N/A"," ",Inputs!$G$4)</f>
        <v> </v>
      </c>
      <c r="K221" s="399" t="str">
        <f aca="false">IF(A221="N/A"," ",IF(ISERROR(#REF!),K209*Gasesc,#REF!))</f>
        <v> </v>
      </c>
      <c r="L221" s="399" t="str">
        <f aca="false">IF(A221="N/A"," ",IF(ISERROR(#REF!),L209*Gasesc,IF(#REF!=0,L209*Gasesc,#REF!)))</f>
        <v> </v>
      </c>
      <c r="M221" s="404"/>
      <c r="N221" s="401" t="str">
        <f aca="false">IF(A221="N/A"," ",VLOOKUP(A221,PeakPowerCurves,(IF(BMO1=2,3,IF(BMO1=1,2,4))),FALSE()))</f>
        <v> </v>
      </c>
      <c r="O221" s="401" t="str">
        <f aca="false">IF(A221="N/A"," ",VLOOKUP(A221,SatSunPeakPwr,(IF(BMO1=2,3,IF(BMO1=1,2,4))),FALSE()))</f>
        <v> </v>
      </c>
      <c r="P221" s="401" t="str">
        <f aca="false">IF(A221="N/A"," ",VLOOKUP(A221,SatSunPeakPwr,(IF(BMO1=2,7,IF(BMO1=1,6,8))),FALSE()))</f>
        <v> </v>
      </c>
      <c r="Q221" s="402" t="str">
        <f aca="false">IF(A221="N/A"," ",(VLOOKUP(A221,OPPowerPrices,(IF(BMO1=2,7,IF(BMO1=1,6,8))),FALSE())))</f>
        <v> </v>
      </c>
      <c r="R221" s="403" t="str">
        <f aca="false">IF(A221="N/A"," ",(VLOOKUP($A221,IRTable,2)))</f>
        <v> </v>
      </c>
      <c r="AF221" s="352" t="n">
        <v>43160</v>
      </c>
      <c r="AG221" s="311" t="n">
        <v>22</v>
      </c>
      <c r="AH221" s="311" t="n">
        <v>5</v>
      </c>
      <c r="AI221" s="311" t="n">
        <v>4</v>
      </c>
      <c r="AJ221" s="311" t="n">
        <v>0</v>
      </c>
      <c r="AK221" s="311" t="n">
        <v>31</v>
      </c>
      <c r="AU221" s="406"/>
    </row>
    <row r="222" customFormat="false" ht="12.75" hidden="false" customHeight="false" outlineLevel="0" collapsed="false">
      <c r="A222" s="405" t="str">
        <f aca="false">Option1!A189</f>
        <v>N/A</v>
      </c>
      <c r="B222" s="396" t="str">
        <f aca="false">IF(A222="N/A"," ",IF(ISERROR(N222),B210*Pwresc,N222)*VLOOKUP(MONTH(A222),Curveadj,3))</f>
        <v> </v>
      </c>
      <c r="C222" s="397" t="str">
        <f aca="false">IF(A222="N/A"," ",(IF(AND(Scaler1=1,MONTH(A222)&gt;=6,MONTH(A222)&lt;=8,OR($M$37="REGION 2",$M$37="REGION 2A",$M$37="REGION 2B",$M$37="REGION 3",$M$37="REGION 3A",$M$37="REGION 3B",$M$37="REGION 3C",$M$37="REGION 4",$M$37="REGION 4B",$M$37="REGION 4C",$M$37="REGION 5",$M$37="REGION 5A")),((0.059228/(B222/100))-(0.4980013/(SQRT(B222/100)))+2.137988),HLOOKUP(MONTH(A222),ScalarTable,28))))</f>
        <v> </v>
      </c>
      <c r="D222" s="398" t="str">
        <f aca="false">IF(A222="N/A"," ",C222*B222)</f>
        <v> </v>
      </c>
      <c r="E222" s="396" t="str">
        <f aca="false">IF(A222="N/A"," ",IF(ISERROR(O222),E210*Pwresc,O222)*VLOOKUP(MONTH(A222),Curveadj,3))</f>
        <v> </v>
      </c>
      <c r="F222" s="398" t="str">
        <f aca="false">IF(A222="N/A"," ",E222*C222)</f>
        <v> </v>
      </c>
      <c r="G222" s="396" t="str">
        <f aca="false">IF(A222="N/A"," ",IF(ISERROR(P222),G210*Pwresc,P222)*VLOOKUP(MONTH(A222),Curveadj,3))</f>
        <v> </v>
      </c>
      <c r="H222" s="398" t="str">
        <f aca="false">IF(A222="N/A"," ",G222*C222)</f>
        <v> </v>
      </c>
      <c r="I222" s="398" t="str">
        <f aca="false">IF(A222="N/A"," ",IF(ISERROR(Q222),I210*Pwresc,Q222))</f>
        <v> </v>
      </c>
      <c r="J222" s="398" t="str">
        <f aca="false">IF(A222="N/A"," ",Inputs!$G$4)</f>
        <v> </v>
      </c>
      <c r="K222" s="399" t="str">
        <f aca="false">IF(A222="N/A"," ",IF(ISERROR(#REF!),K210*Gasesc,#REF!))</f>
        <v> </v>
      </c>
      <c r="L222" s="399" t="str">
        <f aca="false">IF(A222="N/A"," ",IF(ISERROR(#REF!),L210*Gasesc,IF(#REF!=0,L210*Gasesc,#REF!)))</f>
        <v> </v>
      </c>
      <c r="M222" s="404"/>
      <c r="N222" s="401" t="str">
        <f aca="false">IF(A222="N/A"," ",VLOOKUP(A222,PeakPowerCurves,(IF(BMO1=2,3,IF(BMO1=1,2,4))),FALSE()))</f>
        <v> </v>
      </c>
      <c r="O222" s="401" t="str">
        <f aca="false">IF(A222="N/A"," ",VLOOKUP(A222,SatSunPeakPwr,(IF(BMO1=2,3,IF(BMO1=1,2,4))),FALSE()))</f>
        <v> </v>
      </c>
      <c r="P222" s="401" t="str">
        <f aca="false">IF(A222="N/A"," ",VLOOKUP(A222,SatSunPeakPwr,(IF(BMO1=2,7,IF(BMO1=1,6,8))),FALSE()))</f>
        <v> </v>
      </c>
      <c r="Q222" s="402" t="str">
        <f aca="false">IF(A222="N/A"," ",(VLOOKUP(A222,OPPowerPrices,(IF(BMO1=2,7,IF(BMO1=1,6,8))),FALSE())))</f>
        <v> </v>
      </c>
      <c r="R222" s="403" t="str">
        <f aca="false">IF(A222="N/A"," ",(VLOOKUP($A222,IRTable,2)))</f>
        <v> </v>
      </c>
      <c r="AF222" s="352" t="n">
        <v>43191</v>
      </c>
      <c r="AG222" s="311" t="n">
        <v>21</v>
      </c>
      <c r="AH222" s="311" t="n">
        <v>4</v>
      </c>
      <c r="AI222" s="311" t="n">
        <v>5</v>
      </c>
      <c r="AJ222" s="311" t="n">
        <v>0</v>
      </c>
      <c r="AK222" s="311" t="n">
        <v>30</v>
      </c>
      <c r="AU222" s="406"/>
    </row>
    <row r="223" customFormat="false" ht="12.75" hidden="false" customHeight="false" outlineLevel="0" collapsed="false">
      <c r="A223" s="405" t="str">
        <f aca="false">Option1!A190</f>
        <v>N/A</v>
      </c>
      <c r="B223" s="396" t="str">
        <f aca="false">IF(A223="N/A"," ",IF(ISERROR(N223),B211*Pwresc,N223)*VLOOKUP(MONTH(A223),Curveadj,3))</f>
        <v> </v>
      </c>
      <c r="C223" s="397" t="str">
        <f aca="false">IF(A223="N/A"," ",(IF(AND(Scaler1=1,MONTH(A223)&gt;=6,MONTH(A223)&lt;=8,OR($M$37="REGION 2",$M$37="REGION 2A",$M$37="REGION 2B",$M$37="REGION 3",$M$37="REGION 3A",$M$37="REGION 3B",$M$37="REGION 3C",$M$37="REGION 4",$M$37="REGION 4B",$M$37="REGION 4C",$M$37="REGION 5",$M$37="REGION 5A")),((0.059228/(B223/100))-(0.4980013/(SQRT(B223/100)))+2.137988),HLOOKUP(MONTH(A223),ScalarTable,28))))</f>
        <v> </v>
      </c>
      <c r="D223" s="398" t="str">
        <f aca="false">IF(A223="N/A"," ",C223*B223)</f>
        <v> </v>
      </c>
      <c r="E223" s="396" t="str">
        <f aca="false">IF(A223="N/A"," ",IF(ISERROR(O223),E211*Pwresc,O223)*VLOOKUP(MONTH(A223),Curveadj,3))</f>
        <v> </v>
      </c>
      <c r="F223" s="398" t="str">
        <f aca="false">IF(A223="N/A"," ",E223*C223)</f>
        <v> </v>
      </c>
      <c r="G223" s="396" t="str">
        <f aca="false">IF(A223="N/A"," ",IF(ISERROR(P223),G211*Pwresc,P223)*VLOOKUP(MONTH(A223),Curveadj,3))</f>
        <v> </v>
      </c>
      <c r="H223" s="398" t="str">
        <f aca="false">IF(A223="N/A"," ",G223*C223)</f>
        <v> </v>
      </c>
      <c r="I223" s="398" t="str">
        <f aca="false">IF(A223="N/A"," ",IF(ISERROR(Q223),I211*Pwresc,Q223))</f>
        <v> </v>
      </c>
      <c r="J223" s="398" t="str">
        <f aca="false">IF(A223="N/A"," ",Inputs!$G$4)</f>
        <v> </v>
      </c>
      <c r="K223" s="399" t="str">
        <f aca="false">IF(A223="N/A"," ",IF(ISERROR(#REF!),K211*Gasesc,#REF!))</f>
        <v> </v>
      </c>
      <c r="L223" s="399" t="str">
        <f aca="false">IF(A223="N/A"," ",IF(ISERROR(#REF!),L211*Gasesc,IF(#REF!=0,L211*Gasesc,#REF!)))</f>
        <v> </v>
      </c>
      <c r="M223" s="404"/>
      <c r="N223" s="401" t="str">
        <f aca="false">IF(A223="N/A"," ",VLOOKUP(A223,PeakPowerCurves,(IF(BMO1=2,3,IF(BMO1=1,2,4))),FALSE()))</f>
        <v> </v>
      </c>
      <c r="O223" s="401" t="str">
        <f aca="false">IF(A223="N/A"," ",VLOOKUP(A223,SatSunPeakPwr,(IF(BMO1=2,3,IF(BMO1=1,2,4))),FALSE()))</f>
        <v> </v>
      </c>
      <c r="P223" s="401" t="str">
        <f aca="false">IF(A223="N/A"," ",VLOOKUP(A223,SatSunPeakPwr,(IF(BMO1=2,7,IF(BMO1=1,6,8))),FALSE()))</f>
        <v> </v>
      </c>
      <c r="Q223" s="402" t="str">
        <f aca="false">IF(A223="N/A"," ",(VLOOKUP(A223,OPPowerPrices,(IF(BMO1=2,7,IF(BMO1=1,6,8))),FALSE())))</f>
        <v> </v>
      </c>
      <c r="R223" s="403" t="str">
        <f aca="false">IF(A223="N/A"," ",(VLOOKUP($A223,IRTable,2)))</f>
        <v> </v>
      </c>
      <c r="AF223" s="352" t="n">
        <v>43221</v>
      </c>
      <c r="AG223" s="311" t="n">
        <v>22</v>
      </c>
      <c r="AH223" s="311" t="n">
        <v>4</v>
      </c>
      <c r="AI223" s="311" t="n">
        <v>5</v>
      </c>
      <c r="AJ223" s="311" t="n">
        <v>1</v>
      </c>
      <c r="AK223" s="311" t="n">
        <v>31</v>
      </c>
      <c r="AU223" s="406"/>
    </row>
    <row r="224" customFormat="false" ht="12.75" hidden="false" customHeight="false" outlineLevel="0" collapsed="false">
      <c r="A224" s="405" t="str">
        <f aca="false">Option1!A191</f>
        <v>N/A</v>
      </c>
      <c r="B224" s="396" t="str">
        <f aca="false">IF(A224="N/A"," ",IF(ISERROR(N224),B212*Pwresc,N224)*VLOOKUP(MONTH(A224),Curveadj,3))</f>
        <v> </v>
      </c>
      <c r="C224" s="397" t="str">
        <f aca="false">IF(A224="N/A"," ",(IF(AND(Scaler1=1,MONTH(A224)&gt;=6,MONTH(A224)&lt;=8,OR($M$37="REGION 2",$M$37="REGION 2A",$M$37="REGION 2B",$M$37="REGION 3",$M$37="REGION 3A",$M$37="REGION 3B",$M$37="REGION 3C",$M$37="REGION 4",$M$37="REGION 4B",$M$37="REGION 4C",$M$37="REGION 5",$M$37="REGION 5A")),((0.059228/(B224/100))-(0.4980013/(SQRT(B224/100)))+2.137988),HLOOKUP(MONTH(A224),ScalarTable,28))))</f>
        <v> </v>
      </c>
      <c r="D224" s="398" t="str">
        <f aca="false">IF(A224="N/A"," ",C224*B224)</f>
        <v> </v>
      </c>
      <c r="E224" s="396" t="str">
        <f aca="false">IF(A224="N/A"," ",IF(ISERROR(O224),E212*Pwresc,O224)*VLOOKUP(MONTH(A224),Curveadj,3))</f>
        <v> </v>
      </c>
      <c r="F224" s="398" t="str">
        <f aca="false">IF(A224="N/A"," ",E224*C224)</f>
        <v> </v>
      </c>
      <c r="G224" s="396" t="str">
        <f aca="false">IF(A224="N/A"," ",IF(ISERROR(P224),G212*Pwresc,P224)*VLOOKUP(MONTH(A224),Curveadj,3))</f>
        <v> </v>
      </c>
      <c r="H224" s="398" t="str">
        <f aca="false">IF(A224="N/A"," ",G224*C224)</f>
        <v> </v>
      </c>
      <c r="I224" s="398" t="str">
        <f aca="false">IF(A224="N/A"," ",IF(ISERROR(Q224),I212*Pwresc,Q224))</f>
        <v> </v>
      </c>
      <c r="J224" s="398" t="str">
        <f aca="false">IF(A224="N/A"," ",Inputs!$G$4)</f>
        <v> </v>
      </c>
      <c r="K224" s="399" t="str">
        <f aca="false">IF(A224="N/A"," ",IF(ISERROR(#REF!),K212*Gasesc,#REF!))</f>
        <v> </v>
      </c>
      <c r="L224" s="399" t="str">
        <f aca="false">IF(A224="N/A"," ",IF(ISERROR(#REF!),L212*Gasesc,IF(#REF!=0,L212*Gasesc,#REF!)))</f>
        <v> </v>
      </c>
      <c r="M224" s="404"/>
      <c r="N224" s="401" t="str">
        <f aca="false">IF(A224="N/A"," ",VLOOKUP(A224,PeakPowerCurves,(IF(BMO1=2,3,IF(BMO1=1,2,4))),FALSE()))</f>
        <v> </v>
      </c>
      <c r="O224" s="401" t="str">
        <f aca="false">IF(A224="N/A"," ",VLOOKUP(A224,SatSunPeakPwr,(IF(BMO1=2,3,IF(BMO1=1,2,4))),FALSE()))</f>
        <v> </v>
      </c>
      <c r="P224" s="401" t="str">
        <f aca="false">IF(A224="N/A"," ",VLOOKUP(A224,SatSunPeakPwr,(IF(BMO1=2,7,IF(BMO1=1,6,8))),FALSE()))</f>
        <v> </v>
      </c>
      <c r="Q224" s="402" t="str">
        <f aca="false">IF(A224="N/A"," ",(VLOOKUP(A224,OPPowerPrices,(IF(BMO1=2,7,IF(BMO1=1,6,8))),FALSE())))</f>
        <v> </v>
      </c>
      <c r="R224" s="403" t="str">
        <f aca="false">IF(A224="N/A"," ",(VLOOKUP($A224,IRTable,2)))</f>
        <v> </v>
      </c>
      <c r="AF224" s="352" t="n">
        <v>43252</v>
      </c>
      <c r="AG224" s="311" t="n">
        <v>21</v>
      </c>
      <c r="AH224" s="311" t="n">
        <v>5</v>
      </c>
      <c r="AI224" s="311" t="n">
        <v>4</v>
      </c>
      <c r="AJ224" s="311" t="n">
        <v>0</v>
      </c>
      <c r="AK224" s="311" t="n">
        <v>30</v>
      </c>
      <c r="AU224" s="406"/>
    </row>
    <row r="225" customFormat="false" ht="12.75" hidden="false" customHeight="false" outlineLevel="0" collapsed="false">
      <c r="A225" s="405" t="str">
        <f aca="false">Option1!A192</f>
        <v>N/A</v>
      </c>
      <c r="B225" s="396" t="str">
        <f aca="false">IF(A225="N/A"," ",IF(ISERROR(N225),B213*Pwresc,N225)*VLOOKUP(MONTH(A225),Curveadj,3))</f>
        <v> </v>
      </c>
      <c r="C225" s="397" t="str">
        <f aca="false">IF(A225="N/A"," ",(IF(AND(Scaler1=1,MONTH(A225)&gt;=6,MONTH(A225)&lt;=8,OR($M$37="REGION 2",$M$37="REGION 2A",$M$37="REGION 2B",$M$37="REGION 3",$M$37="REGION 3A",$M$37="REGION 3B",$M$37="REGION 3C",$M$37="REGION 4",$M$37="REGION 4B",$M$37="REGION 4C",$M$37="REGION 5",$M$37="REGION 5A")),((0.059228/(B225/100))-(0.4980013/(SQRT(B225/100)))+2.137988),HLOOKUP(MONTH(A225),ScalarTable,28))))</f>
        <v> </v>
      </c>
      <c r="D225" s="398" t="str">
        <f aca="false">IF(A225="N/A"," ",C225*B225)</f>
        <v> </v>
      </c>
      <c r="E225" s="396" t="str">
        <f aca="false">IF(A225="N/A"," ",IF(ISERROR(O225),E213*Pwresc,O225)*VLOOKUP(MONTH(A225),Curveadj,3))</f>
        <v> </v>
      </c>
      <c r="F225" s="398" t="str">
        <f aca="false">IF(A225="N/A"," ",E225*C225)</f>
        <v> </v>
      </c>
      <c r="G225" s="396" t="str">
        <f aca="false">IF(A225="N/A"," ",IF(ISERROR(P225),G213*Pwresc,P225)*VLOOKUP(MONTH(A225),Curveadj,3))</f>
        <v> </v>
      </c>
      <c r="H225" s="398" t="str">
        <f aca="false">IF(A225="N/A"," ",G225*C225)</f>
        <v> </v>
      </c>
      <c r="I225" s="398" t="str">
        <f aca="false">IF(A225="N/A"," ",IF(ISERROR(Q225),I213*Pwresc,Q225))</f>
        <v> </v>
      </c>
      <c r="J225" s="398" t="str">
        <f aca="false">IF(A225="N/A"," ",Inputs!$G$4)</f>
        <v> </v>
      </c>
      <c r="K225" s="399" t="str">
        <f aca="false">IF(A225="N/A"," ",IF(ISERROR(#REF!),K213*Gasesc,#REF!))</f>
        <v> </v>
      </c>
      <c r="L225" s="399" t="str">
        <f aca="false">IF(A225="N/A"," ",IF(ISERROR(#REF!),L213*Gasesc,IF(#REF!=0,L213*Gasesc,#REF!)))</f>
        <v> </v>
      </c>
      <c r="M225" s="404"/>
      <c r="N225" s="401" t="str">
        <f aca="false">IF(A225="N/A"," ",VLOOKUP(A225,PeakPowerCurves,(IF(BMO1=2,3,IF(BMO1=1,2,4))),FALSE()))</f>
        <v> </v>
      </c>
      <c r="O225" s="401" t="str">
        <f aca="false">IF(A225="N/A"," ",VLOOKUP(A225,SatSunPeakPwr,(IF(BMO1=2,3,IF(BMO1=1,2,4))),FALSE()))</f>
        <v> </v>
      </c>
      <c r="P225" s="401" t="str">
        <f aca="false">IF(A225="N/A"," ",VLOOKUP(A225,SatSunPeakPwr,(IF(BMO1=2,7,IF(BMO1=1,6,8))),FALSE()))</f>
        <v> </v>
      </c>
      <c r="Q225" s="402" t="str">
        <f aca="false">IF(A225="N/A"," ",(VLOOKUP(A225,OPPowerPrices,(IF(BMO1=2,7,IF(BMO1=1,6,8))),FALSE())))</f>
        <v> </v>
      </c>
      <c r="R225" s="403" t="str">
        <f aca="false">IF(A225="N/A"," ",(VLOOKUP($A225,IRTable,2)))</f>
        <v> </v>
      </c>
      <c r="AF225" s="352" t="n">
        <v>43282</v>
      </c>
      <c r="AG225" s="311" t="n">
        <v>21</v>
      </c>
      <c r="AH225" s="311" t="n">
        <v>4</v>
      </c>
      <c r="AI225" s="311" t="n">
        <v>6</v>
      </c>
      <c r="AJ225" s="311" t="n">
        <v>1</v>
      </c>
      <c r="AK225" s="311" t="n">
        <v>31</v>
      </c>
      <c r="AU225" s="406"/>
    </row>
    <row r="226" customFormat="false" ht="12.75" hidden="false" customHeight="false" outlineLevel="0" collapsed="false">
      <c r="A226" s="405" t="str">
        <f aca="false">Option1!A193</f>
        <v>N/A</v>
      </c>
      <c r="B226" s="396" t="str">
        <f aca="false">IF(A226="N/A"," ",IF(ISERROR(N226),B214*Pwresc,N226)*VLOOKUP(MONTH(A226),Curveadj,3))</f>
        <v> </v>
      </c>
      <c r="C226" s="397" t="str">
        <f aca="false">IF(A226="N/A"," ",(IF(AND(Scaler1=1,MONTH(A226)&gt;=6,MONTH(A226)&lt;=8,OR($M$37="REGION 2",$M$37="REGION 2A",$M$37="REGION 2B",$M$37="REGION 3",$M$37="REGION 3A",$M$37="REGION 3B",$M$37="REGION 3C",$M$37="REGION 4",$M$37="REGION 4B",$M$37="REGION 4C",$M$37="REGION 5",$M$37="REGION 5A")),((0.059228/(B226/100))-(0.4980013/(SQRT(B226/100)))+2.137988),HLOOKUP(MONTH(A226),ScalarTable,28))))</f>
        <v> </v>
      </c>
      <c r="D226" s="398" t="str">
        <f aca="false">IF(A226="N/A"," ",C226*B226)</f>
        <v> </v>
      </c>
      <c r="E226" s="396" t="str">
        <f aca="false">IF(A226="N/A"," ",IF(ISERROR(O226),E214*Pwresc,O226)*VLOOKUP(MONTH(A226),Curveadj,3))</f>
        <v> </v>
      </c>
      <c r="F226" s="398" t="str">
        <f aca="false">IF(A226="N/A"," ",E226*C226)</f>
        <v> </v>
      </c>
      <c r="G226" s="396" t="str">
        <f aca="false">IF(A226="N/A"," ",IF(ISERROR(P226),G214*Pwresc,P226)*VLOOKUP(MONTH(A226),Curveadj,3))</f>
        <v> </v>
      </c>
      <c r="H226" s="398" t="str">
        <f aca="false">IF(A226="N/A"," ",G226*C226)</f>
        <v> </v>
      </c>
      <c r="I226" s="398" t="str">
        <f aca="false">IF(A226="N/A"," ",IF(ISERROR(Q226),I214*Pwresc,Q226))</f>
        <v> </v>
      </c>
      <c r="J226" s="398" t="str">
        <f aca="false">IF(A226="N/A"," ",Inputs!$G$4)</f>
        <v> </v>
      </c>
      <c r="K226" s="399" t="str">
        <f aca="false">IF(A226="N/A"," ",IF(ISERROR(#REF!),K214*Gasesc,#REF!))</f>
        <v> </v>
      </c>
      <c r="L226" s="399" t="str">
        <f aca="false">IF(A226="N/A"," ",IF(ISERROR(#REF!),L214*Gasesc,IF(#REF!=0,L214*Gasesc,#REF!)))</f>
        <v> </v>
      </c>
      <c r="M226" s="404"/>
      <c r="N226" s="401" t="str">
        <f aca="false">IF(A226="N/A"," ",VLOOKUP(A226,PeakPowerCurves,(IF(BMO1=2,3,IF(BMO1=1,2,4))),FALSE()))</f>
        <v> </v>
      </c>
      <c r="O226" s="401" t="str">
        <f aca="false">IF(A226="N/A"," ",VLOOKUP(A226,SatSunPeakPwr,(IF(BMO1=2,3,IF(BMO1=1,2,4))),FALSE()))</f>
        <v> </v>
      </c>
      <c r="P226" s="401" t="str">
        <f aca="false">IF(A226="N/A"," ",VLOOKUP(A226,SatSunPeakPwr,(IF(BMO1=2,7,IF(BMO1=1,6,8))),FALSE()))</f>
        <v> </v>
      </c>
      <c r="Q226" s="402" t="str">
        <f aca="false">IF(A226="N/A"," ",(VLOOKUP(A226,OPPowerPrices,(IF(BMO1=2,7,IF(BMO1=1,6,8))),FALSE())))</f>
        <v> </v>
      </c>
      <c r="R226" s="403" t="str">
        <f aca="false">IF(A226="N/A"," ",(VLOOKUP($A226,IRTable,2)))</f>
        <v> </v>
      </c>
      <c r="AF226" s="352" t="n">
        <v>43313</v>
      </c>
      <c r="AG226" s="311" t="n">
        <v>23</v>
      </c>
      <c r="AH226" s="311" t="n">
        <v>4</v>
      </c>
      <c r="AI226" s="311" t="n">
        <v>4</v>
      </c>
      <c r="AJ226" s="311" t="n">
        <v>0</v>
      </c>
      <c r="AK226" s="311" t="n">
        <v>31</v>
      </c>
      <c r="AU226" s="406"/>
    </row>
    <row r="227" customFormat="false" ht="12.75" hidden="false" customHeight="false" outlineLevel="0" collapsed="false">
      <c r="A227" s="405" t="str">
        <f aca="false">Option1!A194</f>
        <v>N/A</v>
      </c>
      <c r="B227" s="396" t="str">
        <f aca="false">IF(A227="N/A"," ",IF(ISERROR(N227),B215*Pwresc,N227)*VLOOKUP(MONTH(A227),Curveadj,3))</f>
        <v> </v>
      </c>
      <c r="C227" s="397" t="str">
        <f aca="false">IF(A227="N/A"," ",(IF(AND(Scaler1=1,MONTH(A227)&gt;=6,MONTH(A227)&lt;=8,OR($M$37="REGION 2",$M$37="REGION 2A",$M$37="REGION 2B",$M$37="REGION 3",$M$37="REGION 3A",$M$37="REGION 3B",$M$37="REGION 3C",$M$37="REGION 4",$M$37="REGION 4B",$M$37="REGION 4C",$M$37="REGION 5",$M$37="REGION 5A")),((0.059228/(B227/100))-(0.4980013/(SQRT(B227/100)))+2.137988),HLOOKUP(MONTH(A227),ScalarTable,28))))</f>
        <v> </v>
      </c>
      <c r="D227" s="398" t="str">
        <f aca="false">IF(A227="N/A"," ",C227*B227)</f>
        <v> </v>
      </c>
      <c r="E227" s="396" t="str">
        <f aca="false">IF(A227="N/A"," ",IF(ISERROR(O227),E215*Pwresc,O227)*VLOOKUP(MONTH(A227),Curveadj,3))</f>
        <v> </v>
      </c>
      <c r="F227" s="398" t="str">
        <f aca="false">IF(A227="N/A"," ",E227*C227)</f>
        <v> </v>
      </c>
      <c r="G227" s="396" t="str">
        <f aca="false">IF(A227="N/A"," ",IF(ISERROR(P227),G215*Pwresc,P227)*VLOOKUP(MONTH(A227),Curveadj,3))</f>
        <v> </v>
      </c>
      <c r="H227" s="398" t="str">
        <f aca="false">IF(A227="N/A"," ",G227*C227)</f>
        <v> </v>
      </c>
      <c r="I227" s="398" t="str">
        <f aca="false">IF(A227="N/A"," ",IF(ISERROR(Q227),I215*Pwresc,Q227))</f>
        <v> </v>
      </c>
      <c r="J227" s="398" t="str">
        <f aca="false">IF(A227="N/A"," ",Inputs!$G$4)</f>
        <v> </v>
      </c>
      <c r="K227" s="399" t="str">
        <f aca="false">IF(A227="N/A"," ",IF(ISERROR(#REF!),K215*Gasesc,#REF!))</f>
        <v> </v>
      </c>
      <c r="L227" s="399" t="str">
        <f aca="false">IF(A227="N/A"," ",IF(ISERROR(#REF!),L215*Gasesc,IF(#REF!=0,L215*Gasesc,#REF!)))</f>
        <v> </v>
      </c>
      <c r="M227" s="404"/>
      <c r="N227" s="401" t="str">
        <f aca="false">IF(A227="N/A"," ",VLOOKUP(A227,PeakPowerCurves,(IF(BMO1=2,3,IF(BMO1=1,2,4))),FALSE()))</f>
        <v> </v>
      </c>
      <c r="O227" s="401" t="str">
        <f aca="false">IF(A227="N/A"," ",VLOOKUP(A227,SatSunPeakPwr,(IF(BMO1=2,3,IF(BMO1=1,2,4))),FALSE()))</f>
        <v> </v>
      </c>
      <c r="P227" s="401" t="str">
        <f aca="false">IF(A227="N/A"," ",VLOOKUP(A227,SatSunPeakPwr,(IF(BMO1=2,7,IF(BMO1=1,6,8))),FALSE()))</f>
        <v> </v>
      </c>
      <c r="Q227" s="402" t="str">
        <f aca="false">IF(A227="N/A"," ",(VLOOKUP(A227,OPPowerPrices,(IF(BMO1=2,7,IF(BMO1=1,6,8))),FALSE())))</f>
        <v> </v>
      </c>
      <c r="R227" s="403" t="str">
        <f aca="false">IF(A227="N/A"," ",(VLOOKUP($A227,IRTable,2)))</f>
        <v> </v>
      </c>
      <c r="AF227" s="352" t="n">
        <v>43344</v>
      </c>
      <c r="AG227" s="311" t="n">
        <v>19</v>
      </c>
      <c r="AH227" s="311" t="n">
        <v>5</v>
      </c>
      <c r="AI227" s="311" t="n">
        <v>6</v>
      </c>
      <c r="AJ227" s="311" t="n">
        <v>1</v>
      </c>
      <c r="AK227" s="311" t="n">
        <v>30</v>
      </c>
      <c r="AU227" s="406"/>
    </row>
    <row r="228" customFormat="false" ht="12.75" hidden="false" customHeight="false" outlineLevel="0" collapsed="false">
      <c r="A228" s="405" t="str">
        <f aca="false">Option1!A195</f>
        <v>N/A</v>
      </c>
      <c r="B228" s="396" t="str">
        <f aca="false">IF(A228="N/A"," ",IF(ISERROR(N228),B216*Pwresc,N228)*VLOOKUP(MONTH(A228),Curveadj,3))</f>
        <v> </v>
      </c>
      <c r="C228" s="397" t="str">
        <f aca="false">IF(A228="N/A"," ",(IF(AND(Scaler1=1,MONTH(A228)&gt;=6,MONTH(A228)&lt;=8,OR($M$37="REGION 2",$M$37="REGION 2A",$M$37="REGION 2B",$M$37="REGION 3",$M$37="REGION 3A",$M$37="REGION 3B",$M$37="REGION 3C",$M$37="REGION 4",$M$37="REGION 4B",$M$37="REGION 4C",$M$37="REGION 5",$M$37="REGION 5A")),((0.059228/(B228/100))-(0.4980013/(SQRT(B228/100)))+2.137988),HLOOKUP(MONTH(A228),ScalarTable,28))))</f>
        <v> </v>
      </c>
      <c r="D228" s="398" t="str">
        <f aca="false">IF(A228="N/A"," ",C228*B228)</f>
        <v> </v>
      </c>
      <c r="E228" s="396" t="str">
        <f aca="false">IF(A228="N/A"," ",IF(ISERROR(O228),E216*Pwresc,O228)*VLOOKUP(MONTH(A228),Curveadj,3))</f>
        <v> </v>
      </c>
      <c r="F228" s="398" t="str">
        <f aca="false">IF(A228="N/A"," ",E228*C228)</f>
        <v> </v>
      </c>
      <c r="G228" s="396" t="str">
        <f aca="false">IF(A228="N/A"," ",IF(ISERROR(P228),G216*Pwresc,P228)*VLOOKUP(MONTH(A228),Curveadj,3))</f>
        <v> </v>
      </c>
      <c r="H228" s="398" t="str">
        <f aca="false">IF(A228="N/A"," ",G228*C228)</f>
        <v> </v>
      </c>
      <c r="I228" s="398" t="str">
        <f aca="false">IF(A228="N/A"," ",IF(ISERROR(Q228),I216*Pwresc,Q228))</f>
        <v> </v>
      </c>
      <c r="J228" s="398" t="str">
        <f aca="false">IF(A228="N/A"," ",Inputs!$G$4)</f>
        <v> </v>
      </c>
      <c r="K228" s="399" t="str">
        <f aca="false">IF(A228="N/A"," ",IF(ISERROR(#REF!),K216*Gasesc,#REF!))</f>
        <v> </v>
      </c>
      <c r="L228" s="399" t="str">
        <f aca="false">IF(A228="N/A"," ",IF(ISERROR(#REF!),L216*Gasesc,IF(#REF!=0,L216*Gasesc,#REF!)))</f>
        <v> </v>
      </c>
      <c r="M228" s="404"/>
      <c r="N228" s="401" t="str">
        <f aca="false">IF(A228="N/A"," ",VLOOKUP(A228,PeakPowerCurves,(IF(BMO1=2,3,IF(BMO1=1,2,4))),FALSE()))</f>
        <v> </v>
      </c>
      <c r="O228" s="401" t="str">
        <f aca="false">IF(A228="N/A"," ",VLOOKUP(A228,SatSunPeakPwr,(IF(BMO1=2,3,IF(BMO1=1,2,4))),FALSE()))</f>
        <v> </v>
      </c>
      <c r="P228" s="401" t="str">
        <f aca="false">IF(A228="N/A"," ",VLOOKUP(A228,SatSunPeakPwr,(IF(BMO1=2,7,IF(BMO1=1,6,8))),FALSE()))</f>
        <v> </v>
      </c>
      <c r="Q228" s="402" t="str">
        <f aca="false">IF(A228="N/A"," ",(VLOOKUP(A228,OPPowerPrices,(IF(BMO1=2,7,IF(BMO1=1,6,8))),FALSE())))</f>
        <v> </v>
      </c>
      <c r="R228" s="403" t="str">
        <f aca="false">IF(A228="N/A"," ",(VLOOKUP($A228,IRTable,2)))</f>
        <v> </v>
      </c>
      <c r="AF228" s="352" t="n">
        <v>43374</v>
      </c>
      <c r="AG228" s="311" t="n">
        <v>23</v>
      </c>
      <c r="AH228" s="311" t="n">
        <v>4</v>
      </c>
      <c r="AI228" s="311" t="n">
        <v>4</v>
      </c>
      <c r="AJ228" s="311" t="n">
        <v>0</v>
      </c>
      <c r="AK228" s="311" t="n">
        <v>31</v>
      </c>
      <c r="AU228" s="406"/>
    </row>
    <row r="229" customFormat="false" ht="12.75" hidden="false" customHeight="false" outlineLevel="0" collapsed="false">
      <c r="A229" s="405" t="str">
        <f aca="false">Option1!A196</f>
        <v>N/A</v>
      </c>
      <c r="B229" s="396" t="str">
        <f aca="false">IF(A229="N/A"," ",IF(ISERROR(N229),B217*Pwresc,N229)*VLOOKUP(MONTH(A229),Curveadj,3))</f>
        <v> </v>
      </c>
      <c r="C229" s="397" t="str">
        <f aca="false">IF(A229="N/A"," ",(IF(AND(Scaler1=1,MONTH(A229)&gt;=6,MONTH(A229)&lt;=8,OR($M$37="REGION 2",$M$37="REGION 2A",$M$37="REGION 2B",$M$37="REGION 3",$M$37="REGION 3A",$M$37="REGION 3B",$M$37="REGION 3C",$M$37="REGION 4",$M$37="REGION 4B",$M$37="REGION 4C",$M$37="REGION 5",$M$37="REGION 5A")),((0.059228/(B229/100))-(0.4980013/(SQRT(B229/100)))+2.137988),HLOOKUP(MONTH(A229),ScalarTable,28))))</f>
        <v> </v>
      </c>
      <c r="D229" s="398" t="str">
        <f aca="false">IF(A229="N/A"," ",C229*B229)</f>
        <v> </v>
      </c>
      <c r="E229" s="396" t="str">
        <f aca="false">IF(A229="N/A"," ",IF(ISERROR(O229),E217*Pwresc,O229)*VLOOKUP(MONTH(A229),Curveadj,3))</f>
        <v> </v>
      </c>
      <c r="F229" s="398" t="str">
        <f aca="false">IF(A229="N/A"," ",E229*C229)</f>
        <v> </v>
      </c>
      <c r="G229" s="396" t="str">
        <f aca="false">IF(A229="N/A"," ",IF(ISERROR(P229),G217*Pwresc,P229)*VLOOKUP(MONTH(A229),Curveadj,3))</f>
        <v> </v>
      </c>
      <c r="H229" s="398" t="str">
        <f aca="false">IF(A229="N/A"," ",G229*C229)</f>
        <v> </v>
      </c>
      <c r="I229" s="398" t="str">
        <f aca="false">IF(A229="N/A"," ",IF(ISERROR(Q229),I217*Pwresc,Q229))</f>
        <v> </v>
      </c>
      <c r="J229" s="398" t="str">
        <f aca="false">IF(A229="N/A"," ",Inputs!$G$4)</f>
        <v> </v>
      </c>
      <c r="K229" s="399" t="str">
        <f aca="false">IF(A229="N/A"," ",IF(ISERROR(#REF!),K217*Gasesc,#REF!))</f>
        <v> </v>
      </c>
      <c r="L229" s="399" t="str">
        <f aca="false">IF(A229="N/A"," ",IF(ISERROR(#REF!),L217*Gasesc,IF(#REF!=0,L217*Gasesc,#REF!)))</f>
        <v> </v>
      </c>
      <c r="M229" s="404"/>
      <c r="N229" s="401" t="str">
        <f aca="false">IF(A229="N/A"," ",VLOOKUP(A229,PeakPowerCurves,(IF(BMO1=2,3,IF(BMO1=1,2,4))),FALSE()))</f>
        <v> </v>
      </c>
      <c r="O229" s="401" t="str">
        <f aca="false">IF(A229="N/A"," ",VLOOKUP(A229,SatSunPeakPwr,(IF(BMO1=2,3,IF(BMO1=1,2,4))),FALSE()))</f>
        <v> </v>
      </c>
      <c r="P229" s="401" t="str">
        <f aca="false">IF(A229="N/A"," ",VLOOKUP(A229,SatSunPeakPwr,(IF(BMO1=2,7,IF(BMO1=1,6,8))),FALSE()))</f>
        <v> </v>
      </c>
      <c r="Q229" s="402" t="str">
        <f aca="false">IF(A229="N/A"," ",(VLOOKUP(A229,OPPowerPrices,(IF(BMO1=2,7,IF(BMO1=1,6,8))),FALSE())))</f>
        <v> </v>
      </c>
      <c r="R229" s="403" t="str">
        <f aca="false">IF(A229="N/A"," ",(VLOOKUP($A229,IRTable,2)))</f>
        <v> </v>
      </c>
      <c r="AF229" s="352" t="n">
        <v>43405</v>
      </c>
      <c r="AG229" s="311" t="n">
        <v>21</v>
      </c>
      <c r="AH229" s="311" t="n">
        <v>4</v>
      </c>
      <c r="AI229" s="311" t="n">
        <v>5</v>
      </c>
      <c r="AJ229" s="311" t="n">
        <v>1</v>
      </c>
      <c r="AK229" s="311" t="n">
        <v>30</v>
      </c>
      <c r="AU229" s="406"/>
    </row>
    <row r="230" customFormat="false" ht="12.75" hidden="false" customHeight="false" outlineLevel="0" collapsed="false">
      <c r="A230" s="405" t="str">
        <f aca="false">Option1!A197</f>
        <v>N/A</v>
      </c>
      <c r="B230" s="396" t="str">
        <f aca="false">IF(A230="N/A"," ",IF(ISERROR(N230),B218*Pwresc,N230)*VLOOKUP(MONTH(A230),Curveadj,3))</f>
        <v> </v>
      </c>
      <c r="C230" s="397" t="str">
        <f aca="false">IF(A230="N/A"," ",(IF(AND(Scaler1=1,MONTH(A230)&gt;=6,MONTH(A230)&lt;=8,OR($M$37="REGION 2",$M$37="REGION 2A",$M$37="REGION 2B",$M$37="REGION 3",$M$37="REGION 3A",$M$37="REGION 3B",$M$37="REGION 3C",$M$37="REGION 4",$M$37="REGION 4B",$M$37="REGION 4C",$M$37="REGION 5",$M$37="REGION 5A")),((0.059228/(B230/100))-(0.4980013/(SQRT(B230/100)))+2.137988),HLOOKUP(MONTH(A230),ScalarTable,28))))</f>
        <v> </v>
      </c>
      <c r="D230" s="398" t="str">
        <f aca="false">IF(A230="N/A"," ",C230*B230)</f>
        <v> </v>
      </c>
      <c r="E230" s="396" t="str">
        <f aca="false">IF(A230="N/A"," ",IF(ISERROR(O230),E218*Pwresc,O230)*VLOOKUP(MONTH(A230),Curveadj,3))</f>
        <v> </v>
      </c>
      <c r="F230" s="398" t="str">
        <f aca="false">IF(A230="N/A"," ",E230*C230)</f>
        <v> </v>
      </c>
      <c r="G230" s="396" t="str">
        <f aca="false">IF(A230="N/A"," ",IF(ISERROR(P230),G218*Pwresc,P230)*VLOOKUP(MONTH(A230),Curveadj,3))</f>
        <v> </v>
      </c>
      <c r="H230" s="398" t="str">
        <f aca="false">IF(A230="N/A"," ",G230*C230)</f>
        <v> </v>
      </c>
      <c r="I230" s="398" t="str">
        <f aca="false">IF(A230="N/A"," ",IF(ISERROR(Q230),I218*Pwresc,Q230))</f>
        <v> </v>
      </c>
      <c r="J230" s="398" t="str">
        <f aca="false">IF(A230="N/A"," ",Inputs!$G$4)</f>
        <v> </v>
      </c>
      <c r="K230" s="399" t="str">
        <f aca="false">IF(A230="N/A"," ",IF(ISERROR(#REF!),K218*Gasesc,#REF!))</f>
        <v> </v>
      </c>
      <c r="L230" s="399" t="str">
        <f aca="false">IF(A230="N/A"," ",IF(ISERROR(#REF!),L218*Gasesc,IF(#REF!=0,L218*Gasesc,#REF!)))</f>
        <v> </v>
      </c>
      <c r="M230" s="404"/>
      <c r="N230" s="401" t="str">
        <f aca="false">IF(A230="N/A"," ",VLOOKUP(A230,PeakPowerCurves,(IF(BMO1=2,3,IF(BMO1=1,2,4))),FALSE()))</f>
        <v> </v>
      </c>
      <c r="O230" s="401" t="str">
        <f aca="false">IF(A230="N/A"," ",VLOOKUP(A230,SatSunPeakPwr,(IF(BMO1=2,3,IF(BMO1=1,2,4))),FALSE()))</f>
        <v> </v>
      </c>
      <c r="P230" s="401" t="str">
        <f aca="false">IF(A230="N/A"," ",VLOOKUP(A230,SatSunPeakPwr,(IF(BMO1=2,7,IF(BMO1=1,6,8))),FALSE()))</f>
        <v> </v>
      </c>
      <c r="Q230" s="402" t="str">
        <f aca="false">IF(A230="N/A"," ",(VLOOKUP(A230,OPPowerPrices,(IF(BMO1=2,7,IF(BMO1=1,6,8))),FALSE())))</f>
        <v> </v>
      </c>
      <c r="R230" s="403" t="str">
        <f aca="false">IF(A230="N/A"," ",(VLOOKUP($A230,IRTable,2)))</f>
        <v> </v>
      </c>
      <c r="AF230" s="352" t="n">
        <v>43435</v>
      </c>
      <c r="AG230" s="311" t="n">
        <v>20</v>
      </c>
      <c r="AH230" s="311" t="n">
        <v>5</v>
      </c>
      <c r="AI230" s="311" t="n">
        <v>6</v>
      </c>
      <c r="AJ230" s="311" t="n">
        <v>1</v>
      </c>
      <c r="AK230" s="311" t="n">
        <v>31</v>
      </c>
      <c r="AU230" s="406"/>
    </row>
    <row r="231" customFormat="false" ht="12.75" hidden="false" customHeight="false" outlineLevel="0" collapsed="false">
      <c r="A231" s="405" t="str">
        <f aca="false">Option1!A198</f>
        <v>N/A</v>
      </c>
      <c r="B231" s="396" t="str">
        <f aca="false">IF(A231="N/A"," ",IF(ISERROR(N231),B219*Pwresc,N231)*VLOOKUP(MONTH(A231),Curveadj,3))</f>
        <v> </v>
      </c>
      <c r="C231" s="397" t="str">
        <f aca="false">IF(A231="N/A"," ",(IF(AND(Scaler1=1,MONTH(A231)&gt;=6,MONTH(A231)&lt;=8,OR($M$37="REGION 2",$M$37="REGION 2A",$M$37="REGION 2B",$M$37="REGION 3",$M$37="REGION 3A",$M$37="REGION 3B",$M$37="REGION 3C",$M$37="REGION 4",$M$37="REGION 4B",$M$37="REGION 4C",$M$37="REGION 5",$M$37="REGION 5A")),((0.059228/(B231/100))-(0.4980013/(SQRT(B231/100)))+2.137988),HLOOKUP(MONTH(A231),ScalarTable,28))))</f>
        <v> </v>
      </c>
      <c r="D231" s="398" t="str">
        <f aca="false">IF(A231="N/A"," ",C231*B231)</f>
        <v> </v>
      </c>
      <c r="E231" s="396" t="str">
        <f aca="false">IF(A231="N/A"," ",IF(ISERROR(O231),E219*Pwresc,O231)*VLOOKUP(MONTH(A231),Curveadj,3))</f>
        <v> </v>
      </c>
      <c r="F231" s="398" t="str">
        <f aca="false">IF(A231="N/A"," ",E231*C231)</f>
        <v> </v>
      </c>
      <c r="G231" s="396" t="str">
        <f aca="false">IF(A231="N/A"," ",IF(ISERROR(P231),G219*Pwresc,P231)*VLOOKUP(MONTH(A231),Curveadj,3))</f>
        <v> </v>
      </c>
      <c r="H231" s="398" t="str">
        <f aca="false">IF(A231="N/A"," ",G231*C231)</f>
        <v> </v>
      </c>
      <c r="I231" s="398" t="str">
        <f aca="false">IF(A231="N/A"," ",IF(ISERROR(Q231),I219*Pwresc,Q231))</f>
        <v> </v>
      </c>
      <c r="J231" s="398" t="str">
        <f aca="false">IF(A231="N/A"," ",Inputs!$G$4)</f>
        <v> </v>
      </c>
      <c r="K231" s="399" t="str">
        <f aca="false">IF(A231="N/A"," ",IF(ISERROR(#REF!),K219*Gasesc,#REF!))</f>
        <v> </v>
      </c>
      <c r="L231" s="399" t="str">
        <f aca="false">IF(A231="N/A"," ",IF(ISERROR(#REF!),L219*Gasesc,IF(#REF!=0,L219*Gasesc,#REF!)))</f>
        <v> </v>
      </c>
      <c r="M231" s="404"/>
      <c r="N231" s="401" t="str">
        <f aca="false">IF(A231="N/A"," ",VLOOKUP(A231,PeakPowerCurves,(IF(BMO1=2,3,IF(BMO1=1,2,4))),FALSE()))</f>
        <v> </v>
      </c>
      <c r="O231" s="401" t="str">
        <f aca="false">IF(A231="N/A"," ",VLOOKUP(A231,SatSunPeakPwr,(IF(BMO1=2,3,IF(BMO1=1,2,4))),FALSE()))</f>
        <v> </v>
      </c>
      <c r="P231" s="401" t="str">
        <f aca="false">IF(A231="N/A"," ",VLOOKUP(A231,SatSunPeakPwr,(IF(BMO1=2,7,IF(BMO1=1,6,8))),FALSE()))</f>
        <v> </v>
      </c>
      <c r="Q231" s="402" t="str">
        <f aca="false">IF(A231="N/A"," ",(VLOOKUP(A231,OPPowerPrices,(IF(BMO1=2,7,IF(BMO1=1,6,8))),FALSE())))</f>
        <v> </v>
      </c>
      <c r="R231" s="403" t="str">
        <f aca="false">IF(A231="N/A"," ",(VLOOKUP($A231,IRTable,2)))</f>
        <v> </v>
      </c>
      <c r="AF231" s="352" t="n">
        <v>43466</v>
      </c>
      <c r="AG231" s="311" t="n">
        <v>22</v>
      </c>
      <c r="AH231" s="311" t="n">
        <v>4</v>
      </c>
      <c r="AI231" s="311" t="n">
        <v>5</v>
      </c>
      <c r="AJ231" s="311" t="n">
        <v>1</v>
      </c>
      <c r="AK231" s="311" t="n">
        <v>31</v>
      </c>
      <c r="AU231" s="406"/>
    </row>
    <row r="232" customFormat="false" ht="12.75" hidden="false" customHeight="false" outlineLevel="0" collapsed="false">
      <c r="A232" s="405" t="str">
        <f aca="false">Option1!A199</f>
        <v>N/A</v>
      </c>
      <c r="B232" s="396" t="str">
        <f aca="false">IF(A232="N/A"," ",IF(ISERROR(N232),B220*Pwresc,N232)*VLOOKUP(MONTH(A232),Curveadj,3))</f>
        <v> </v>
      </c>
      <c r="C232" s="397" t="str">
        <f aca="false">IF(A232="N/A"," ",(IF(AND(Scaler1=1,MONTH(A232)&gt;=6,MONTH(A232)&lt;=8,OR($M$37="REGION 2",$M$37="REGION 2A",$M$37="REGION 2B",$M$37="REGION 3",$M$37="REGION 3A",$M$37="REGION 3B",$M$37="REGION 3C",$M$37="REGION 4",$M$37="REGION 4B",$M$37="REGION 4C",$M$37="REGION 5",$M$37="REGION 5A")),((0.059228/(B232/100))-(0.4980013/(SQRT(B232/100)))+2.137988),HLOOKUP(MONTH(A232),ScalarTable,28))))</f>
        <v> </v>
      </c>
      <c r="D232" s="398" t="str">
        <f aca="false">IF(A232="N/A"," ",C232*B232)</f>
        <v> </v>
      </c>
      <c r="E232" s="396" t="str">
        <f aca="false">IF(A232="N/A"," ",IF(ISERROR(O232),E220*Pwresc,O232)*VLOOKUP(MONTH(A232),Curveadj,3))</f>
        <v> </v>
      </c>
      <c r="F232" s="398" t="str">
        <f aca="false">IF(A232="N/A"," ",E232*C232)</f>
        <v> </v>
      </c>
      <c r="G232" s="396" t="str">
        <f aca="false">IF(A232="N/A"," ",IF(ISERROR(P232),G220*Pwresc,P232)*VLOOKUP(MONTH(A232),Curveadj,3))</f>
        <v> </v>
      </c>
      <c r="H232" s="398" t="str">
        <f aca="false">IF(A232="N/A"," ",G232*C232)</f>
        <v> </v>
      </c>
      <c r="I232" s="398" t="str">
        <f aca="false">IF(A232="N/A"," ",IF(ISERROR(Q232),I220*Pwresc,Q232))</f>
        <v> </v>
      </c>
      <c r="J232" s="398" t="str">
        <f aca="false">IF(A232="N/A"," ",Inputs!$G$4)</f>
        <v> </v>
      </c>
      <c r="K232" s="399" t="str">
        <f aca="false">IF(A232="N/A"," ",IF(ISERROR(#REF!),K220*Gasesc,#REF!))</f>
        <v> </v>
      </c>
      <c r="L232" s="399" t="str">
        <f aca="false">IF(A232="N/A"," ",IF(ISERROR(#REF!),L220*Gasesc,IF(#REF!=0,L220*Gasesc,#REF!)))</f>
        <v> </v>
      </c>
      <c r="M232" s="404"/>
      <c r="N232" s="401" t="str">
        <f aca="false">IF(A232="N/A"," ",VLOOKUP(A232,PeakPowerCurves,(IF(BMO1=2,3,IF(BMO1=1,2,4))),FALSE()))</f>
        <v> </v>
      </c>
      <c r="O232" s="401" t="str">
        <f aca="false">IF(A232="N/A"," ",VLOOKUP(A232,SatSunPeakPwr,(IF(BMO1=2,3,IF(BMO1=1,2,4))),FALSE()))</f>
        <v> </v>
      </c>
      <c r="P232" s="401" t="str">
        <f aca="false">IF(A232="N/A"," ",VLOOKUP(A232,SatSunPeakPwr,(IF(BMO1=2,7,IF(BMO1=1,6,8))),FALSE()))</f>
        <v> </v>
      </c>
      <c r="Q232" s="402" t="str">
        <f aca="false">IF(A232="N/A"," ",(VLOOKUP(A232,OPPowerPrices,(IF(BMO1=2,7,IF(BMO1=1,6,8))),FALSE())))</f>
        <v> </v>
      </c>
      <c r="R232" s="403" t="str">
        <f aca="false">IF(A232="N/A"," ",(VLOOKUP($A232,IRTable,2)))</f>
        <v> </v>
      </c>
      <c r="AF232" s="352" t="n">
        <v>43497</v>
      </c>
      <c r="AG232" s="311" t="n">
        <v>20</v>
      </c>
      <c r="AH232" s="311" t="n">
        <v>4</v>
      </c>
      <c r="AI232" s="311" t="n">
        <v>4</v>
      </c>
      <c r="AJ232" s="311" t="n">
        <v>0</v>
      </c>
      <c r="AK232" s="311" t="n">
        <v>28</v>
      </c>
      <c r="AU232" s="406"/>
    </row>
    <row r="233" customFormat="false" ht="12.75" hidden="false" customHeight="false" outlineLevel="0" collapsed="false">
      <c r="A233" s="405" t="str">
        <f aca="false">Option1!A200</f>
        <v>N/A</v>
      </c>
      <c r="B233" s="396" t="str">
        <f aca="false">IF(A233="N/A"," ",IF(ISERROR(N233),B221*Pwresc,N233)*VLOOKUP(MONTH(A233),Curveadj,3))</f>
        <v> </v>
      </c>
      <c r="C233" s="397" t="str">
        <f aca="false">IF(A233="N/A"," ",(IF(AND(Scaler1=1,MONTH(A233)&gt;=6,MONTH(A233)&lt;=8,OR($M$37="REGION 2",$M$37="REGION 2A",$M$37="REGION 2B",$M$37="REGION 3",$M$37="REGION 3A",$M$37="REGION 3B",$M$37="REGION 3C",$M$37="REGION 4",$M$37="REGION 4B",$M$37="REGION 4C",$M$37="REGION 5",$M$37="REGION 5A")),((0.059228/(B233/100))-(0.4980013/(SQRT(B233/100)))+2.137988),HLOOKUP(MONTH(A233),ScalarTable,28))))</f>
        <v> </v>
      </c>
      <c r="D233" s="398" t="str">
        <f aca="false">IF(A233="N/A"," ",C233*B233)</f>
        <v> </v>
      </c>
      <c r="E233" s="396" t="str">
        <f aca="false">IF(A233="N/A"," ",IF(ISERROR(O233),E221*Pwresc,O233)*VLOOKUP(MONTH(A233),Curveadj,3))</f>
        <v> </v>
      </c>
      <c r="F233" s="398" t="str">
        <f aca="false">IF(A233="N/A"," ",E233*C233)</f>
        <v> </v>
      </c>
      <c r="G233" s="396" t="str">
        <f aca="false">IF(A233="N/A"," ",IF(ISERROR(P233),G221*Pwresc,P233)*VLOOKUP(MONTH(A233),Curveadj,3))</f>
        <v> </v>
      </c>
      <c r="H233" s="398" t="str">
        <f aca="false">IF(A233="N/A"," ",G233*C233)</f>
        <v> </v>
      </c>
      <c r="I233" s="398" t="str">
        <f aca="false">IF(A233="N/A"," ",IF(ISERROR(Q233),I221*Pwresc,Q233))</f>
        <v> </v>
      </c>
      <c r="J233" s="398" t="str">
        <f aca="false">IF(A233="N/A"," ",Inputs!$G$4)</f>
        <v> </v>
      </c>
      <c r="K233" s="399" t="str">
        <f aca="false">IF(A233="N/A"," ",IF(ISERROR(#REF!),K221*Gasesc,#REF!))</f>
        <v> </v>
      </c>
      <c r="L233" s="399" t="str">
        <f aca="false">IF(A233="N/A"," ",IF(ISERROR(#REF!),L221*Gasesc,IF(#REF!=0,L221*Gasesc,#REF!)))</f>
        <v> </v>
      </c>
      <c r="M233" s="404"/>
      <c r="N233" s="401" t="str">
        <f aca="false">IF(A233="N/A"," ",VLOOKUP(A233,PeakPowerCurves,(IF(BMO1=2,3,IF(BMO1=1,2,4))),FALSE()))</f>
        <v> </v>
      </c>
      <c r="O233" s="401" t="str">
        <f aca="false">IF(A233="N/A"," ",VLOOKUP(A233,SatSunPeakPwr,(IF(BMO1=2,3,IF(BMO1=1,2,4))),FALSE()))</f>
        <v> </v>
      </c>
      <c r="P233" s="401" t="str">
        <f aca="false">IF(A233="N/A"," ",VLOOKUP(A233,SatSunPeakPwr,(IF(BMO1=2,7,IF(BMO1=1,6,8))),FALSE()))</f>
        <v> </v>
      </c>
      <c r="Q233" s="402" t="str">
        <f aca="false">IF(A233="N/A"," ",(VLOOKUP(A233,OPPowerPrices,(IF(BMO1=2,7,IF(BMO1=1,6,8))),FALSE())))</f>
        <v> </v>
      </c>
      <c r="R233" s="403" t="str">
        <f aca="false">IF(A233="N/A"," ",(VLOOKUP($A233,IRTable,2)))</f>
        <v> </v>
      </c>
      <c r="AF233" s="352" t="n">
        <v>43525</v>
      </c>
      <c r="AG233" s="311" t="n">
        <v>21</v>
      </c>
      <c r="AH233" s="311" t="n">
        <v>5</v>
      </c>
      <c r="AI233" s="311" t="n">
        <v>5</v>
      </c>
      <c r="AJ233" s="311" t="n">
        <v>0</v>
      </c>
      <c r="AK233" s="311" t="n">
        <v>31</v>
      </c>
      <c r="AU233" s="406"/>
    </row>
    <row r="234" customFormat="false" ht="12.75" hidden="false" customHeight="false" outlineLevel="0" collapsed="false">
      <c r="A234" s="405" t="str">
        <f aca="false">Option1!A201</f>
        <v>N/A</v>
      </c>
      <c r="B234" s="396" t="str">
        <f aca="false">IF(A234="N/A"," ",IF(ISERROR(N234),B222*Pwresc,N234)*VLOOKUP(MONTH(A234),Curveadj,3))</f>
        <v> </v>
      </c>
      <c r="C234" s="397" t="str">
        <f aca="false">IF(A234="N/A"," ",(IF(AND(Scaler1=1,MONTH(A234)&gt;=6,MONTH(A234)&lt;=8,OR($M$37="REGION 2",$M$37="REGION 2A",$M$37="REGION 2B",$M$37="REGION 3",$M$37="REGION 3A",$M$37="REGION 3B",$M$37="REGION 3C",$M$37="REGION 4",$M$37="REGION 4B",$M$37="REGION 4C",$M$37="REGION 5",$M$37="REGION 5A")),((0.059228/(B234/100))-(0.4980013/(SQRT(B234/100)))+2.137988),HLOOKUP(MONTH(A234),ScalarTable,28))))</f>
        <v> </v>
      </c>
      <c r="D234" s="398" t="str">
        <f aca="false">IF(A234="N/A"," ",C234*B234)</f>
        <v> </v>
      </c>
      <c r="E234" s="396" t="str">
        <f aca="false">IF(A234="N/A"," ",IF(ISERROR(O234),E222*Pwresc,O234)*VLOOKUP(MONTH(A234),Curveadj,3))</f>
        <v> </v>
      </c>
      <c r="F234" s="398" t="str">
        <f aca="false">IF(A234="N/A"," ",E234*C234)</f>
        <v> </v>
      </c>
      <c r="G234" s="396" t="str">
        <f aca="false">IF(A234="N/A"," ",IF(ISERROR(P234),G222*Pwresc,P234)*VLOOKUP(MONTH(A234),Curveadj,3))</f>
        <v> </v>
      </c>
      <c r="H234" s="398" t="str">
        <f aca="false">IF(A234="N/A"," ",G234*C234)</f>
        <v> </v>
      </c>
      <c r="I234" s="398" t="str">
        <f aca="false">IF(A234="N/A"," ",IF(ISERROR(Q234),I222*Pwresc,Q234))</f>
        <v> </v>
      </c>
      <c r="J234" s="398" t="str">
        <f aca="false">IF(A234="N/A"," ",Inputs!$G$4)</f>
        <v> </v>
      </c>
      <c r="K234" s="399" t="str">
        <f aca="false">IF(A234="N/A"," ",IF(ISERROR(#REF!),K222*Gasesc,#REF!))</f>
        <v> </v>
      </c>
      <c r="L234" s="399" t="str">
        <f aca="false">IF(A234="N/A"," ",IF(ISERROR(#REF!),L222*Gasesc,IF(#REF!=0,L222*Gasesc,#REF!)))</f>
        <v> </v>
      </c>
      <c r="M234" s="404"/>
      <c r="N234" s="401" t="str">
        <f aca="false">IF(A234="N/A"," ",VLOOKUP(A234,PeakPowerCurves,(IF(BMO1=2,3,IF(BMO1=1,2,4))),FALSE()))</f>
        <v> </v>
      </c>
      <c r="O234" s="401" t="str">
        <f aca="false">IF(A234="N/A"," ",VLOOKUP(A234,SatSunPeakPwr,(IF(BMO1=2,3,IF(BMO1=1,2,4))),FALSE()))</f>
        <v> </v>
      </c>
      <c r="P234" s="401" t="str">
        <f aca="false">IF(A234="N/A"," ",VLOOKUP(A234,SatSunPeakPwr,(IF(BMO1=2,7,IF(BMO1=1,6,8))),FALSE()))</f>
        <v> </v>
      </c>
      <c r="Q234" s="402" t="str">
        <f aca="false">IF(A234="N/A"," ",(VLOOKUP(A234,OPPowerPrices,(IF(BMO1=2,7,IF(BMO1=1,6,8))),FALSE())))</f>
        <v> </v>
      </c>
      <c r="R234" s="403" t="str">
        <f aca="false">IF(A234="N/A"," ",(VLOOKUP($A234,IRTable,2)))</f>
        <v> </v>
      </c>
      <c r="AF234" s="352" t="n">
        <v>43556</v>
      </c>
      <c r="AG234" s="311" t="n">
        <v>22</v>
      </c>
      <c r="AH234" s="311" t="n">
        <v>4</v>
      </c>
      <c r="AI234" s="311" t="n">
        <v>4</v>
      </c>
      <c r="AJ234" s="311" t="n">
        <v>0</v>
      </c>
      <c r="AK234" s="311" t="n">
        <v>30</v>
      </c>
      <c r="AU234" s="406"/>
    </row>
    <row r="235" customFormat="false" ht="12.75" hidden="false" customHeight="false" outlineLevel="0" collapsed="false">
      <c r="A235" s="405" t="str">
        <f aca="false">Option1!A202</f>
        <v>N/A</v>
      </c>
      <c r="B235" s="396" t="str">
        <f aca="false">IF(A235="N/A"," ",IF(ISERROR(N235),B223*Pwresc,N235)*VLOOKUP(MONTH(A235),Curveadj,3))</f>
        <v> </v>
      </c>
      <c r="C235" s="397" t="str">
        <f aca="false">IF(A235="N/A"," ",(IF(AND(Scaler1=1,MONTH(A235)&gt;=6,MONTH(A235)&lt;=8,OR($M$37="REGION 2",$M$37="REGION 2A",$M$37="REGION 2B",$M$37="REGION 3",$M$37="REGION 3A",$M$37="REGION 3B",$M$37="REGION 3C",$M$37="REGION 4",$M$37="REGION 4B",$M$37="REGION 4C",$M$37="REGION 5",$M$37="REGION 5A")),((0.059228/(B235/100))-(0.4980013/(SQRT(B235/100)))+2.137988),HLOOKUP(MONTH(A235),ScalarTable,28))))</f>
        <v> </v>
      </c>
      <c r="D235" s="398" t="str">
        <f aca="false">IF(A235="N/A"," ",C235*B235)</f>
        <v> </v>
      </c>
      <c r="E235" s="396" t="str">
        <f aca="false">IF(A235="N/A"," ",IF(ISERROR(O235),E223*Pwresc,O235)*VLOOKUP(MONTH(A235),Curveadj,3))</f>
        <v> </v>
      </c>
      <c r="F235" s="398" t="str">
        <f aca="false">IF(A235="N/A"," ",E235*C235)</f>
        <v> </v>
      </c>
      <c r="G235" s="396" t="str">
        <f aca="false">IF(A235="N/A"," ",IF(ISERROR(P235),G223*Pwresc,P235)*VLOOKUP(MONTH(A235),Curveadj,3))</f>
        <v> </v>
      </c>
      <c r="H235" s="398" t="str">
        <f aca="false">IF(A235="N/A"," ",G235*C235)</f>
        <v> </v>
      </c>
      <c r="I235" s="398" t="str">
        <f aca="false">IF(A235="N/A"," ",IF(ISERROR(Q235),I223*Pwresc,Q235))</f>
        <v> </v>
      </c>
      <c r="J235" s="398" t="str">
        <f aca="false">IF(A235="N/A"," ",Inputs!$G$4)</f>
        <v> </v>
      </c>
      <c r="K235" s="399" t="str">
        <f aca="false">IF(A235="N/A"," ",IF(ISERROR(#REF!),K223*Gasesc,#REF!))</f>
        <v> </v>
      </c>
      <c r="L235" s="399" t="str">
        <f aca="false">IF(A235="N/A"," ",IF(ISERROR(#REF!),L223*Gasesc,IF(#REF!=0,L223*Gasesc,#REF!)))</f>
        <v> </v>
      </c>
      <c r="M235" s="404"/>
      <c r="N235" s="401" t="str">
        <f aca="false">IF(A235="N/A"," ",VLOOKUP(A235,PeakPowerCurves,(IF(BMO1=2,3,IF(BMO1=1,2,4))),FALSE()))</f>
        <v> </v>
      </c>
      <c r="O235" s="401" t="str">
        <f aca="false">IF(A235="N/A"," ",VLOOKUP(A235,SatSunPeakPwr,(IF(BMO1=2,3,IF(BMO1=1,2,4))),FALSE()))</f>
        <v> </v>
      </c>
      <c r="P235" s="401" t="str">
        <f aca="false">IF(A235="N/A"," ",VLOOKUP(A235,SatSunPeakPwr,(IF(BMO1=2,7,IF(BMO1=1,6,8))),FALSE()))</f>
        <v> </v>
      </c>
      <c r="Q235" s="402" t="str">
        <f aca="false">IF(A235="N/A"," ",(VLOOKUP(A235,OPPowerPrices,(IF(BMO1=2,7,IF(BMO1=1,6,8))),FALSE())))</f>
        <v> </v>
      </c>
      <c r="R235" s="403" t="str">
        <f aca="false">IF(A235="N/A"," ",(VLOOKUP($A235,IRTable,2)))</f>
        <v> </v>
      </c>
      <c r="AF235" s="352" t="n">
        <v>43586</v>
      </c>
      <c r="AG235" s="311" t="n">
        <v>22</v>
      </c>
      <c r="AH235" s="311" t="n">
        <v>4</v>
      </c>
      <c r="AI235" s="311" t="n">
        <v>5</v>
      </c>
      <c r="AJ235" s="311" t="n">
        <v>1</v>
      </c>
      <c r="AK235" s="311" t="n">
        <v>31</v>
      </c>
      <c r="AU235" s="406"/>
    </row>
    <row r="236" customFormat="false" ht="12.75" hidden="false" customHeight="false" outlineLevel="0" collapsed="false">
      <c r="A236" s="405" t="str">
        <f aca="false">Option1!A203</f>
        <v>N/A</v>
      </c>
      <c r="B236" s="396" t="str">
        <f aca="false">IF(A236="N/A"," ",IF(ISERROR(N236),B224*Pwresc,N236)*VLOOKUP(MONTH(A236),Curveadj,3))</f>
        <v> </v>
      </c>
      <c r="C236" s="397" t="str">
        <f aca="false">IF(A236="N/A"," ",(IF(AND(Scaler1=1,MONTH(A236)&gt;=6,MONTH(A236)&lt;=8,OR($M$37="REGION 2",$M$37="REGION 2A",$M$37="REGION 2B",$M$37="REGION 3",$M$37="REGION 3A",$M$37="REGION 3B",$M$37="REGION 3C",$M$37="REGION 4",$M$37="REGION 4B",$M$37="REGION 4C",$M$37="REGION 5",$M$37="REGION 5A")),((0.059228/(B236/100))-(0.4980013/(SQRT(B236/100)))+2.137988),HLOOKUP(MONTH(A236),ScalarTable,28))))</f>
        <v> </v>
      </c>
      <c r="D236" s="398" t="str">
        <f aca="false">IF(A236="N/A"," ",C236*B236)</f>
        <v> </v>
      </c>
      <c r="E236" s="396" t="str">
        <f aca="false">IF(A236="N/A"," ",IF(ISERROR(O236),E224*Pwresc,O236)*VLOOKUP(MONTH(A236),Curveadj,3))</f>
        <v> </v>
      </c>
      <c r="F236" s="398" t="str">
        <f aca="false">IF(A236="N/A"," ",E236*C236)</f>
        <v> </v>
      </c>
      <c r="G236" s="396" t="str">
        <f aca="false">IF(A236="N/A"," ",IF(ISERROR(P236),G224*Pwresc,P236)*VLOOKUP(MONTH(A236),Curveadj,3))</f>
        <v> </v>
      </c>
      <c r="H236" s="398" t="str">
        <f aca="false">IF(A236="N/A"," ",G236*C236)</f>
        <v> </v>
      </c>
      <c r="I236" s="398" t="str">
        <f aca="false">IF(A236="N/A"," ",IF(ISERROR(Q236),I224*Pwresc,Q236))</f>
        <v> </v>
      </c>
      <c r="J236" s="398" t="str">
        <f aca="false">IF(A236="N/A"," ",Inputs!$G$4)</f>
        <v> </v>
      </c>
      <c r="K236" s="399" t="str">
        <f aca="false">IF(A236="N/A"," ",IF(ISERROR(#REF!),K224*Gasesc,#REF!))</f>
        <v> </v>
      </c>
      <c r="L236" s="399" t="str">
        <f aca="false">IF(A236="N/A"," ",IF(ISERROR(#REF!),L224*Gasesc,IF(#REF!=0,L224*Gasesc,#REF!)))</f>
        <v> </v>
      </c>
      <c r="M236" s="404"/>
      <c r="N236" s="401" t="str">
        <f aca="false">IF(A236="N/A"," ",VLOOKUP(A236,PeakPowerCurves,(IF(BMO1=2,3,IF(BMO1=1,2,4))),FALSE()))</f>
        <v> </v>
      </c>
      <c r="O236" s="401" t="str">
        <f aca="false">IF(A236="N/A"," ",VLOOKUP(A236,SatSunPeakPwr,(IF(BMO1=2,3,IF(BMO1=1,2,4))),FALSE()))</f>
        <v> </v>
      </c>
      <c r="P236" s="401" t="str">
        <f aca="false">IF(A236="N/A"," ",VLOOKUP(A236,SatSunPeakPwr,(IF(BMO1=2,7,IF(BMO1=1,6,8))),FALSE()))</f>
        <v> </v>
      </c>
      <c r="Q236" s="402" t="str">
        <f aca="false">IF(A236="N/A"," ",(VLOOKUP(A236,OPPowerPrices,(IF(BMO1=2,7,IF(BMO1=1,6,8))),FALSE())))</f>
        <v> </v>
      </c>
      <c r="R236" s="403" t="str">
        <f aca="false">IF(A236="N/A"," ",(VLOOKUP($A236,IRTable,2)))</f>
        <v> </v>
      </c>
      <c r="AF236" s="352" t="n">
        <v>43617</v>
      </c>
      <c r="AG236" s="311" t="n">
        <v>20</v>
      </c>
      <c r="AH236" s="311" t="n">
        <v>5</v>
      </c>
      <c r="AI236" s="311" t="n">
        <v>5</v>
      </c>
      <c r="AJ236" s="311" t="n">
        <v>0</v>
      </c>
      <c r="AK236" s="311" t="n">
        <v>30</v>
      </c>
      <c r="AU236" s="406"/>
    </row>
    <row r="237" customFormat="false" ht="12.75" hidden="false" customHeight="false" outlineLevel="0" collapsed="false">
      <c r="A237" s="405" t="str">
        <f aca="false">Option1!A204</f>
        <v>N/A</v>
      </c>
      <c r="B237" s="396" t="str">
        <f aca="false">IF(A237="N/A"," ",IF(ISERROR(N237),B225*Pwresc,N237)*VLOOKUP(MONTH(A237),Curveadj,3))</f>
        <v> </v>
      </c>
      <c r="C237" s="397" t="str">
        <f aca="false">IF(A237="N/A"," ",(IF(AND(Scaler1=1,MONTH(A237)&gt;=6,MONTH(A237)&lt;=8,OR($M$37="REGION 2",$M$37="REGION 2A",$M$37="REGION 2B",$M$37="REGION 3",$M$37="REGION 3A",$M$37="REGION 3B",$M$37="REGION 3C",$M$37="REGION 4",$M$37="REGION 4B",$M$37="REGION 4C",$M$37="REGION 5",$M$37="REGION 5A")),((0.059228/(B237/100))-(0.4980013/(SQRT(B237/100)))+2.137988),HLOOKUP(MONTH(A237),ScalarTable,28))))</f>
        <v> </v>
      </c>
      <c r="D237" s="398" t="str">
        <f aca="false">IF(A237="N/A"," ",C237*B237)</f>
        <v> </v>
      </c>
      <c r="E237" s="396" t="str">
        <f aca="false">IF(A237="N/A"," ",IF(ISERROR(O237),E225*Pwresc,O237)*VLOOKUP(MONTH(A237),Curveadj,3))</f>
        <v> </v>
      </c>
      <c r="F237" s="398" t="str">
        <f aca="false">IF(A237="N/A"," ",E237*C237)</f>
        <v> </v>
      </c>
      <c r="G237" s="396" t="str">
        <f aca="false">IF(A237="N/A"," ",IF(ISERROR(P237),G225*Pwresc,P237)*VLOOKUP(MONTH(A237),Curveadj,3))</f>
        <v> </v>
      </c>
      <c r="H237" s="398" t="str">
        <f aca="false">IF(A237="N/A"," ",G237*C237)</f>
        <v> </v>
      </c>
      <c r="I237" s="398" t="str">
        <f aca="false">IF(A237="N/A"," ",IF(ISERROR(Q237),I225*Pwresc,Q237))</f>
        <v> </v>
      </c>
      <c r="J237" s="398" t="str">
        <f aca="false">IF(A237="N/A"," ",Inputs!$G$4)</f>
        <v> </v>
      </c>
      <c r="K237" s="399" t="str">
        <f aca="false">IF(A237="N/A"," ",IF(ISERROR(#REF!),K225*Gasesc,#REF!))</f>
        <v> </v>
      </c>
      <c r="L237" s="399" t="str">
        <f aca="false">IF(A237="N/A"," ",IF(ISERROR(#REF!),L225*Gasesc,IF(#REF!=0,L225*Gasesc,#REF!)))</f>
        <v> </v>
      </c>
      <c r="M237" s="404"/>
      <c r="N237" s="401" t="str">
        <f aca="false">IF(A237="N/A"," ",VLOOKUP(A237,PeakPowerCurves,(IF(BMO1=2,3,IF(BMO1=1,2,4))),FALSE()))</f>
        <v> </v>
      </c>
      <c r="O237" s="401" t="str">
        <f aca="false">IF(A237="N/A"," ",VLOOKUP(A237,SatSunPeakPwr,(IF(BMO1=2,3,IF(BMO1=1,2,4))),FALSE()))</f>
        <v> </v>
      </c>
      <c r="P237" s="401" t="str">
        <f aca="false">IF(A237="N/A"," ",VLOOKUP(A237,SatSunPeakPwr,(IF(BMO1=2,7,IF(BMO1=1,6,8))),FALSE()))</f>
        <v> </v>
      </c>
      <c r="Q237" s="402" t="str">
        <f aca="false">IF(A237="N/A"," ",(VLOOKUP(A237,OPPowerPrices,(IF(BMO1=2,7,IF(BMO1=1,6,8))),FALSE())))</f>
        <v> </v>
      </c>
      <c r="R237" s="403" t="str">
        <f aca="false">IF(A237="N/A"," ",(VLOOKUP($A237,IRTable,2)))</f>
        <v> </v>
      </c>
      <c r="AF237" s="352" t="n">
        <v>43647</v>
      </c>
      <c r="AG237" s="311" t="n">
        <v>22</v>
      </c>
      <c r="AH237" s="311" t="n">
        <v>4</v>
      </c>
      <c r="AI237" s="311" t="n">
        <v>5</v>
      </c>
      <c r="AJ237" s="311" t="n">
        <v>1</v>
      </c>
      <c r="AK237" s="311" t="n">
        <v>31</v>
      </c>
      <c r="AU237" s="406"/>
    </row>
    <row r="238" customFormat="false" ht="12.75" hidden="false" customHeight="false" outlineLevel="0" collapsed="false">
      <c r="A238" s="405" t="str">
        <f aca="false">Option1!A205</f>
        <v>N/A</v>
      </c>
      <c r="B238" s="396" t="str">
        <f aca="false">IF(A238="N/A"," ",IF(ISERROR(N238),B226*Pwresc,N238)*VLOOKUP(MONTH(A238),Curveadj,3))</f>
        <v> </v>
      </c>
      <c r="C238" s="397" t="str">
        <f aca="false">IF(A238="N/A"," ",(IF(AND(Scaler1=1,MONTH(A238)&gt;=6,MONTH(A238)&lt;=8,OR($M$37="REGION 2",$M$37="REGION 2A",$M$37="REGION 2B",$M$37="REGION 3",$M$37="REGION 3A",$M$37="REGION 3B",$M$37="REGION 3C",$M$37="REGION 4",$M$37="REGION 4B",$M$37="REGION 4C",$M$37="REGION 5",$M$37="REGION 5A")),((0.059228/(B238/100))-(0.4980013/(SQRT(B238/100)))+2.137988),HLOOKUP(MONTH(A238),ScalarTable,28))))</f>
        <v> </v>
      </c>
      <c r="D238" s="398" t="str">
        <f aca="false">IF(A238="N/A"," ",C238*B238)</f>
        <v> </v>
      </c>
      <c r="E238" s="396" t="str">
        <f aca="false">IF(A238="N/A"," ",IF(ISERROR(O238),E226*Pwresc,O238)*VLOOKUP(MONTH(A238),Curveadj,3))</f>
        <v> </v>
      </c>
      <c r="F238" s="398" t="str">
        <f aca="false">IF(A238="N/A"," ",E238*C238)</f>
        <v> </v>
      </c>
      <c r="G238" s="396" t="str">
        <f aca="false">IF(A238="N/A"," ",IF(ISERROR(P238),G226*Pwresc,P238)*VLOOKUP(MONTH(A238),Curveadj,3))</f>
        <v> </v>
      </c>
      <c r="H238" s="398" t="str">
        <f aca="false">IF(A238="N/A"," ",G238*C238)</f>
        <v> </v>
      </c>
      <c r="I238" s="398" t="str">
        <f aca="false">IF(A238="N/A"," ",IF(ISERROR(Q238),I226*Pwresc,Q238))</f>
        <v> </v>
      </c>
      <c r="J238" s="398" t="str">
        <f aca="false">IF(A238="N/A"," ",Inputs!$G$4)</f>
        <v> </v>
      </c>
      <c r="K238" s="399" t="str">
        <f aca="false">IF(A238="N/A"," ",IF(ISERROR(#REF!),K226*Gasesc,#REF!))</f>
        <v> </v>
      </c>
      <c r="L238" s="399" t="str">
        <f aca="false">IF(A238="N/A"," ",IF(ISERROR(#REF!),L226*Gasesc,IF(#REF!=0,L226*Gasesc,#REF!)))</f>
        <v> </v>
      </c>
      <c r="M238" s="404"/>
      <c r="N238" s="401" t="str">
        <f aca="false">IF(A238="N/A"," ",VLOOKUP(A238,PeakPowerCurves,(IF(BMO1=2,3,IF(BMO1=1,2,4))),FALSE()))</f>
        <v> </v>
      </c>
      <c r="O238" s="401" t="str">
        <f aca="false">IF(A238="N/A"," ",VLOOKUP(A238,SatSunPeakPwr,(IF(BMO1=2,3,IF(BMO1=1,2,4))),FALSE()))</f>
        <v> </v>
      </c>
      <c r="P238" s="401" t="str">
        <f aca="false">IF(A238="N/A"," ",VLOOKUP(A238,SatSunPeakPwr,(IF(BMO1=2,7,IF(BMO1=1,6,8))),FALSE()))</f>
        <v> </v>
      </c>
      <c r="Q238" s="402" t="str">
        <f aca="false">IF(A238="N/A"," ",(VLOOKUP(A238,OPPowerPrices,(IF(BMO1=2,7,IF(BMO1=1,6,8))),FALSE())))</f>
        <v> </v>
      </c>
      <c r="R238" s="403" t="str">
        <f aca="false">IF(A238="N/A"," ",(VLOOKUP($A238,IRTable,2)))</f>
        <v> </v>
      </c>
      <c r="AF238" s="352" t="n">
        <v>43678</v>
      </c>
      <c r="AG238" s="311" t="n">
        <v>22</v>
      </c>
      <c r="AH238" s="311" t="n">
        <v>5</v>
      </c>
      <c r="AI238" s="311" t="n">
        <v>4</v>
      </c>
      <c r="AJ238" s="311" t="n">
        <v>0</v>
      </c>
      <c r="AK238" s="311" t="n">
        <v>31</v>
      </c>
      <c r="AU238" s="406"/>
    </row>
    <row r="239" customFormat="false" ht="12.75" hidden="false" customHeight="false" outlineLevel="0" collapsed="false">
      <c r="A239" s="405" t="str">
        <f aca="false">Option1!A206</f>
        <v>N/A</v>
      </c>
      <c r="B239" s="396" t="str">
        <f aca="false">IF(A239="N/A"," ",IF(ISERROR(N239),B227*Pwresc,N239)*VLOOKUP(MONTH(A239),Curveadj,3))</f>
        <v> </v>
      </c>
      <c r="C239" s="397" t="str">
        <f aca="false">IF(A239="N/A"," ",(IF(AND(Scaler1=1,MONTH(A239)&gt;=6,MONTH(A239)&lt;=8,OR($M$37="REGION 2",$M$37="REGION 2A",$M$37="REGION 2B",$M$37="REGION 3",$M$37="REGION 3A",$M$37="REGION 3B",$M$37="REGION 3C",$M$37="REGION 4",$M$37="REGION 4B",$M$37="REGION 4C",$M$37="REGION 5",$M$37="REGION 5A")),((0.059228/(B239/100))-(0.4980013/(SQRT(B239/100)))+2.137988),HLOOKUP(MONTH(A239),ScalarTable,28))))</f>
        <v> </v>
      </c>
      <c r="D239" s="398" t="str">
        <f aca="false">IF(A239="N/A"," ",C239*B239)</f>
        <v> </v>
      </c>
      <c r="E239" s="396" t="str">
        <f aca="false">IF(A239="N/A"," ",IF(ISERROR(O239),E227*Pwresc,O239)*VLOOKUP(MONTH(A239),Curveadj,3))</f>
        <v> </v>
      </c>
      <c r="F239" s="398" t="str">
        <f aca="false">IF(A239="N/A"," ",E239*C239)</f>
        <v> </v>
      </c>
      <c r="G239" s="396" t="str">
        <f aca="false">IF(A239="N/A"," ",IF(ISERROR(P239),G227*Pwresc,P239)*VLOOKUP(MONTH(A239),Curveadj,3))</f>
        <v> </v>
      </c>
      <c r="H239" s="398" t="str">
        <f aca="false">IF(A239="N/A"," ",G239*C239)</f>
        <v> </v>
      </c>
      <c r="I239" s="398" t="str">
        <f aca="false">IF(A239="N/A"," ",IF(ISERROR(Q239),I227*Pwresc,Q239))</f>
        <v> </v>
      </c>
      <c r="J239" s="398" t="str">
        <f aca="false">IF(A239="N/A"," ",Inputs!$G$4)</f>
        <v> </v>
      </c>
      <c r="K239" s="399" t="str">
        <f aca="false">IF(A239="N/A"," ",IF(ISERROR(#REF!),K227*Gasesc,#REF!))</f>
        <v> </v>
      </c>
      <c r="L239" s="399" t="str">
        <f aca="false">IF(A239="N/A"," ",IF(ISERROR(#REF!),L227*Gasesc,IF(#REF!=0,L227*Gasesc,#REF!)))</f>
        <v> </v>
      </c>
      <c r="M239" s="404"/>
      <c r="N239" s="401" t="str">
        <f aca="false">IF(A239="N/A"," ",VLOOKUP(A239,PeakPowerCurves,(IF(BMO1=2,3,IF(BMO1=1,2,4))),FALSE()))</f>
        <v> </v>
      </c>
      <c r="O239" s="401" t="str">
        <f aca="false">IF(A239="N/A"," ",VLOOKUP(A239,SatSunPeakPwr,(IF(BMO1=2,3,IF(BMO1=1,2,4))),FALSE()))</f>
        <v> </v>
      </c>
      <c r="P239" s="401" t="str">
        <f aca="false">IF(A239="N/A"," ",VLOOKUP(A239,SatSunPeakPwr,(IF(BMO1=2,7,IF(BMO1=1,6,8))),FALSE()))</f>
        <v> </v>
      </c>
      <c r="Q239" s="402" t="str">
        <f aca="false">IF(A239="N/A"," ",(VLOOKUP(A239,OPPowerPrices,(IF(BMO1=2,7,IF(BMO1=1,6,8))),FALSE())))</f>
        <v> </v>
      </c>
      <c r="R239" s="403" t="str">
        <f aca="false">IF(A239="N/A"," ",(VLOOKUP($A239,IRTable,2)))</f>
        <v> </v>
      </c>
      <c r="AF239" s="352" t="n">
        <v>43709</v>
      </c>
      <c r="AG239" s="311" t="n">
        <v>20</v>
      </c>
      <c r="AH239" s="311" t="n">
        <v>4</v>
      </c>
      <c r="AI239" s="311" t="n">
        <v>6</v>
      </c>
      <c r="AJ239" s="311" t="n">
        <v>1</v>
      </c>
      <c r="AK239" s="311" t="n">
        <v>30</v>
      </c>
      <c r="AU239" s="406"/>
    </row>
    <row r="240" customFormat="false" ht="12.75" hidden="false" customHeight="false" outlineLevel="0" collapsed="false">
      <c r="A240" s="405" t="str">
        <f aca="false">Option1!A207</f>
        <v>N/A</v>
      </c>
      <c r="B240" s="396" t="str">
        <f aca="false">IF(A240="N/A"," ",IF(ISERROR(N240),B228*Pwresc,N240)*VLOOKUP(MONTH(A240),Curveadj,3))</f>
        <v> </v>
      </c>
      <c r="C240" s="397" t="str">
        <f aca="false">IF(A240="N/A"," ",(IF(AND(Scaler1=1,MONTH(A240)&gt;=6,MONTH(A240)&lt;=8,OR($M$37="REGION 2",$M$37="REGION 2A",$M$37="REGION 2B",$M$37="REGION 3",$M$37="REGION 3A",$M$37="REGION 3B",$M$37="REGION 3C",$M$37="REGION 4",$M$37="REGION 4B",$M$37="REGION 4C",$M$37="REGION 5",$M$37="REGION 5A")),((0.059228/(B240/100))-(0.4980013/(SQRT(B240/100)))+2.137988),HLOOKUP(MONTH(A240),ScalarTable,28))))</f>
        <v> </v>
      </c>
      <c r="D240" s="398" t="str">
        <f aca="false">IF(A240="N/A"," ",C240*B240)</f>
        <v> </v>
      </c>
      <c r="E240" s="396" t="str">
        <f aca="false">IF(A240="N/A"," ",IF(ISERROR(O240),E228*Pwresc,O240)*VLOOKUP(MONTH(A240),Curveadj,3))</f>
        <v> </v>
      </c>
      <c r="F240" s="398" t="str">
        <f aca="false">IF(A240="N/A"," ",E240*C240)</f>
        <v> </v>
      </c>
      <c r="G240" s="396" t="str">
        <f aca="false">IF(A240="N/A"," ",IF(ISERROR(P240),G228*Pwresc,P240)*VLOOKUP(MONTH(A240),Curveadj,3))</f>
        <v> </v>
      </c>
      <c r="H240" s="398" t="str">
        <f aca="false">IF(A240="N/A"," ",G240*C240)</f>
        <v> </v>
      </c>
      <c r="I240" s="398" t="str">
        <f aca="false">IF(A240="N/A"," ",IF(ISERROR(Q240),I228*Pwresc,Q240))</f>
        <v> </v>
      </c>
      <c r="J240" s="398" t="str">
        <f aca="false">IF(A240="N/A"," ",Inputs!$G$4)</f>
        <v> </v>
      </c>
      <c r="K240" s="399" t="str">
        <f aca="false">IF(A240="N/A"," ",IF(ISERROR(#REF!),K228*Gasesc,#REF!))</f>
        <v> </v>
      </c>
      <c r="L240" s="399" t="str">
        <f aca="false">IF(A240="N/A"," ",IF(ISERROR(#REF!),L228*Gasesc,IF(#REF!=0,L228*Gasesc,#REF!)))</f>
        <v> </v>
      </c>
      <c r="M240" s="404"/>
      <c r="N240" s="401" t="str">
        <f aca="false">IF(A240="N/A"," ",VLOOKUP(A240,PeakPowerCurves,(IF(BMO1=2,3,IF(BMO1=1,2,4))),FALSE()))</f>
        <v> </v>
      </c>
      <c r="O240" s="401" t="str">
        <f aca="false">IF(A240="N/A"," ",VLOOKUP(A240,SatSunPeakPwr,(IF(BMO1=2,3,IF(BMO1=1,2,4))),FALSE()))</f>
        <v> </v>
      </c>
      <c r="P240" s="401" t="str">
        <f aca="false">IF(A240="N/A"," ",VLOOKUP(A240,SatSunPeakPwr,(IF(BMO1=2,7,IF(BMO1=1,6,8))),FALSE()))</f>
        <v> </v>
      </c>
      <c r="Q240" s="402" t="str">
        <f aca="false">IF(A240="N/A"," ",(VLOOKUP(A240,OPPowerPrices,(IF(BMO1=2,7,IF(BMO1=1,6,8))),FALSE())))</f>
        <v> </v>
      </c>
      <c r="R240" s="403" t="str">
        <f aca="false">IF(A240="N/A"," ",(VLOOKUP($A240,IRTable,2)))</f>
        <v> </v>
      </c>
      <c r="AF240" s="352" t="n">
        <v>43739</v>
      </c>
      <c r="AG240" s="311" t="n">
        <v>23</v>
      </c>
      <c r="AH240" s="311" t="n">
        <v>4</v>
      </c>
      <c r="AI240" s="311" t="n">
        <v>4</v>
      </c>
      <c r="AJ240" s="311" t="n">
        <v>0</v>
      </c>
      <c r="AK240" s="311" t="n">
        <v>31</v>
      </c>
      <c r="AU240" s="406"/>
    </row>
    <row r="241" customFormat="false" ht="12.75" hidden="false" customHeight="false" outlineLevel="0" collapsed="false">
      <c r="A241" s="405" t="str">
        <f aca="false">Option1!A208</f>
        <v>N/A</v>
      </c>
      <c r="B241" s="396" t="str">
        <f aca="false">IF(A241="N/A"," ",IF(ISERROR(N241),B229*Pwresc,N241)*VLOOKUP(MONTH(A241),Curveadj,3))</f>
        <v> </v>
      </c>
      <c r="C241" s="397" t="str">
        <f aca="false">IF(A241="N/A"," ",(IF(AND(Scaler1=1,MONTH(A241)&gt;=6,MONTH(A241)&lt;=8,OR($M$37="REGION 2",$M$37="REGION 2A",$M$37="REGION 2B",$M$37="REGION 3",$M$37="REGION 3A",$M$37="REGION 3B",$M$37="REGION 3C",$M$37="REGION 4",$M$37="REGION 4B",$M$37="REGION 4C",$M$37="REGION 5",$M$37="REGION 5A")),((0.059228/(B241/100))-(0.4980013/(SQRT(B241/100)))+2.137988),HLOOKUP(MONTH(A241),ScalarTable,28))))</f>
        <v> </v>
      </c>
      <c r="D241" s="398" t="str">
        <f aca="false">IF(A241="N/A"," ",C241*B241)</f>
        <v> </v>
      </c>
      <c r="E241" s="396" t="str">
        <f aca="false">IF(A241="N/A"," ",IF(ISERROR(O241),E229*Pwresc,O241)*VLOOKUP(MONTH(A241),Curveadj,3))</f>
        <v> </v>
      </c>
      <c r="F241" s="398" t="str">
        <f aca="false">IF(A241="N/A"," ",E241*C241)</f>
        <v> </v>
      </c>
      <c r="G241" s="396" t="str">
        <f aca="false">IF(A241="N/A"," ",IF(ISERROR(P241),G229*Pwresc,P241)*VLOOKUP(MONTH(A241),Curveadj,3))</f>
        <v> </v>
      </c>
      <c r="H241" s="398" t="str">
        <f aca="false">IF(A241="N/A"," ",G241*C241)</f>
        <v> </v>
      </c>
      <c r="I241" s="398" t="str">
        <f aca="false">IF(A241="N/A"," ",IF(ISERROR(Q241),I229*Pwresc,Q241))</f>
        <v> </v>
      </c>
      <c r="J241" s="398" t="str">
        <f aca="false">IF(A241="N/A"," ",Inputs!$G$4)</f>
        <v> </v>
      </c>
      <c r="K241" s="399" t="str">
        <f aca="false">IF(A241="N/A"," ",IF(ISERROR(#REF!),K229*Gasesc,#REF!))</f>
        <v> </v>
      </c>
      <c r="L241" s="399" t="str">
        <f aca="false">IF(A241="N/A"," ",IF(ISERROR(#REF!),L229*Gasesc,IF(#REF!=0,L229*Gasesc,#REF!)))</f>
        <v> </v>
      </c>
      <c r="M241" s="404"/>
      <c r="N241" s="401" t="str">
        <f aca="false">IF(A241="N/A"," ",VLOOKUP(A241,PeakPowerCurves,(IF(BMO1=2,3,IF(BMO1=1,2,4))),FALSE()))</f>
        <v> </v>
      </c>
      <c r="O241" s="401" t="str">
        <f aca="false">IF(A241="N/A"," ",VLOOKUP(A241,SatSunPeakPwr,(IF(BMO1=2,3,IF(BMO1=1,2,4))),FALSE()))</f>
        <v> </v>
      </c>
      <c r="P241" s="401" t="str">
        <f aca="false">IF(A241="N/A"," ",VLOOKUP(A241,SatSunPeakPwr,(IF(BMO1=2,7,IF(BMO1=1,6,8))),FALSE()))</f>
        <v> </v>
      </c>
      <c r="Q241" s="402" t="str">
        <f aca="false">IF(A241="N/A"," ",(VLOOKUP(A241,OPPowerPrices,(IF(BMO1=2,7,IF(BMO1=1,6,8))),FALSE())))</f>
        <v> </v>
      </c>
      <c r="R241" s="403" t="str">
        <f aca="false">IF(A241="N/A"," ",(VLOOKUP($A241,IRTable,2)))</f>
        <v> </v>
      </c>
      <c r="AF241" s="352" t="n">
        <v>43770</v>
      </c>
      <c r="AG241" s="311" t="n">
        <v>20</v>
      </c>
      <c r="AH241" s="311" t="n">
        <v>5</v>
      </c>
      <c r="AI241" s="311" t="n">
        <v>5</v>
      </c>
      <c r="AJ241" s="311" t="n">
        <v>1</v>
      </c>
      <c r="AK241" s="311" t="n">
        <v>30</v>
      </c>
      <c r="AU241" s="406"/>
    </row>
    <row r="242" customFormat="false" ht="12.75" hidden="false" customHeight="false" outlineLevel="0" collapsed="false">
      <c r="A242" s="405" t="str">
        <f aca="false">Option1!A209</f>
        <v>N/A</v>
      </c>
      <c r="B242" s="396" t="str">
        <f aca="false">IF(A242="N/A"," ",IF(ISERROR(N242),B230*Pwresc,N242)*VLOOKUP(MONTH(A242),Curveadj,3))</f>
        <v> </v>
      </c>
      <c r="C242" s="397" t="str">
        <f aca="false">IF(A242="N/A"," ",(IF(AND(Scaler1=1,MONTH(A242)&gt;=6,MONTH(A242)&lt;=8,OR($M$37="REGION 2",$M$37="REGION 2A",$M$37="REGION 2B",$M$37="REGION 3",$M$37="REGION 3A",$M$37="REGION 3B",$M$37="REGION 3C",$M$37="REGION 4",$M$37="REGION 4B",$M$37="REGION 4C",$M$37="REGION 5",$M$37="REGION 5A")),((0.059228/(B242/100))-(0.4980013/(SQRT(B242/100)))+2.137988),HLOOKUP(MONTH(A242),ScalarTable,28))))</f>
        <v> </v>
      </c>
      <c r="D242" s="398" t="str">
        <f aca="false">IF(A242="N/A"," ",C242*B242)</f>
        <v> </v>
      </c>
      <c r="E242" s="396" t="str">
        <f aca="false">IF(A242="N/A"," ",IF(ISERROR(O242),E230*Pwresc,O242)*VLOOKUP(MONTH(A242),Curveadj,3))</f>
        <v> </v>
      </c>
      <c r="F242" s="398" t="str">
        <f aca="false">IF(A242="N/A"," ",E242*C242)</f>
        <v> </v>
      </c>
      <c r="G242" s="396" t="str">
        <f aca="false">IF(A242="N/A"," ",IF(ISERROR(P242),G230*Pwresc,P242)*VLOOKUP(MONTH(A242),Curveadj,3))</f>
        <v> </v>
      </c>
      <c r="H242" s="398" t="str">
        <f aca="false">IF(A242="N/A"," ",G242*C242)</f>
        <v> </v>
      </c>
      <c r="I242" s="398" t="str">
        <f aca="false">IF(A242="N/A"," ",IF(ISERROR(Q242),I230*Pwresc,Q242))</f>
        <v> </v>
      </c>
      <c r="J242" s="398" t="str">
        <f aca="false">IF(A242="N/A"," ",Inputs!$G$4)</f>
        <v> </v>
      </c>
      <c r="K242" s="399" t="str">
        <f aca="false">IF(A242="N/A"," ",IF(ISERROR(#REF!),K230*Gasesc,#REF!))</f>
        <v> </v>
      </c>
      <c r="L242" s="399" t="str">
        <f aca="false">IF(A242="N/A"," ",IF(ISERROR(#REF!),L230*Gasesc,IF(#REF!=0,L230*Gasesc,#REF!)))</f>
        <v> </v>
      </c>
      <c r="M242" s="404"/>
      <c r="N242" s="401" t="str">
        <f aca="false">IF(A242="N/A"," ",VLOOKUP(A242,PeakPowerCurves,(IF(BMO1=2,3,IF(BMO1=1,2,4))),FALSE()))</f>
        <v> </v>
      </c>
      <c r="O242" s="401" t="str">
        <f aca="false">IF(A242="N/A"," ",VLOOKUP(A242,SatSunPeakPwr,(IF(BMO1=2,3,IF(BMO1=1,2,4))),FALSE()))</f>
        <v> </v>
      </c>
      <c r="P242" s="401" t="str">
        <f aca="false">IF(A242="N/A"," ",VLOOKUP(A242,SatSunPeakPwr,(IF(BMO1=2,7,IF(BMO1=1,6,8))),FALSE()))</f>
        <v> </v>
      </c>
      <c r="Q242" s="402" t="str">
        <f aca="false">IF(A242="N/A"," ",(VLOOKUP(A242,OPPowerPrices,(IF(BMO1=2,7,IF(BMO1=1,6,8))),FALSE())))</f>
        <v> </v>
      </c>
      <c r="R242" s="403" t="str">
        <f aca="false">IF(A242="N/A"," ",(VLOOKUP($A242,IRTable,2)))</f>
        <v> </v>
      </c>
      <c r="AF242" s="352" t="n">
        <v>43800</v>
      </c>
      <c r="AG242" s="311" t="n">
        <v>21</v>
      </c>
      <c r="AH242" s="311" t="n">
        <v>4</v>
      </c>
      <c r="AI242" s="311" t="n">
        <v>6</v>
      </c>
      <c r="AJ242" s="311" t="n">
        <v>1</v>
      </c>
      <c r="AK242" s="311" t="n">
        <v>31</v>
      </c>
      <c r="AU242" s="406"/>
    </row>
    <row r="243" customFormat="false" ht="12.75" hidden="false" customHeight="false" outlineLevel="0" collapsed="false">
      <c r="A243" s="405" t="str">
        <f aca="false">Option1!A210</f>
        <v>N/A</v>
      </c>
      <c r="B243" s="396" t="str">
        <f aca="false">IF(A243="N/A"," ",IF(ISERROR(N243),B231*Pwresc,N243)*VLOOKUP(MONTH(A243),Curveadj,3))</f>
        <v> </v>
      </c>
      <c r="C243" s="397" t="str">
        <f aca="false">IF(A243="N/A"," ",(IF(AND(Scaler1=1,MONTH(A243)&gt;=6,MONTH(A243)&lt;=8,OR($M$37="REGION 2",$M$37="REGION 2A",$M$37="REGION 2B",$M$37="REGION 3",$M$37="REGION 3A",$M$37="REGION 3B",$M$37="REGION 3C",$M$37="REGION 4",$M$37="REGION 4B",$M$37="REGION 4C",$M$37="REGION 5",$M$37="REGION 5A")),((0.059228/(B243/100))-(0.4980013/(SQRT(B243/100)))+2.137988),HLOOKUP(MONTH(A243),ScalarTable,28))))</f>
        <v> </v>
      </c>
      <c r="D243" s="398" t="str">
        <f aca="false">IF(A243="N/A"," ",C243*B243)</f>
        <v> </v>
      </c>
      <c r="E243" s="396" t="str">
        <f aca="false">IF(A243="N/A"," ",IF(ISERROR(O243),E231*Pwresc,O243)*VLOOKUP(MONTH(A243),Curveadj,3))</f>
        <v> </v>
      </c>
      <c r="F243" s="398" t="str">
        <f aca="false">IF(A243="N/A"," ",E243*C243)</f>
        <v> </v>
      </c>
      <c r="G243" s="396" t="str">
        <f aca="false">IF(A243="N/A"," ",IF(ISERROR(P243),G231*Pwresc,P243)*VLOOKUP(MONTH(A243),Curveadj,3))</f>
        <v> </v>
      </c>
      <c r="H243" s="398" t="str">
        <f aca="false">IF(A243="N/A"," ",G243*C243)</f>
        <v> </v>
      </c>
      <c r="I243" s="398" t="str">
        <f aca="false">IF(A243="N/A"," ",IF(ISERROR(Q243),I231*Pwresc,Q243))</f>
        <v> </v>
      </c>
      <c r="J243" s="398" t="str">
        <f aca="false">IF(A243="N/A"," ",Inputs!$G$4)</f>
        <v> </v>
      </c>
      <c r="K243" s="399" t="str">
        <f aca="false">IF(A243="N/A"," ",IF(ISERROR(#REF!),K231*Gasesc,#REF!))</f>
        <v> </v>
      </c>
      <c r="L243" s="399" t="str">
        <f aca="false">IF(A243="N/A"," ",IF(ISERROR(#REF!),L231*Gasesc,IF(#REF!=0,L231*Gasesc,#REF!)))</f>
        <v> </v>
      </c>
      <c r="M243" s="404"/>
      <c r="N243" s="401" t="str">
        <f aca="false">IF(A243="N/A"," ",VLOOKUP(A243,PeakPowerCurves,(IF(BMO1=2,3,IF(BMO1=1,2,4))),FALSE()))</f>
        <v> </v>
      </c>
      <c r="O243" s="401" t="str">
        <f aca="false">IF(A243="N/A"," ",VLOOKUP(A243,SatSunPeakPwr,(IF(BMO1=2,3,IF(BMO1=1,2,4))),FALSE()))</f>
        <v> </v>
      </c>
      <c r="P243" s="401" t="str">
        <f aca="false">IF(A243="N/A"," ",VLOOKUP(A243,SatSunPeakPwr,(IF(BMO1=2,7,IF(BMO1=1,6,8))),FALSE()))</f>
        <v> </v>
      </c>
      <c r="Q243" s="402" t="str">
        <f aca="false">IF(A243="N/A"," ",(VLOOKUP(A243,OPPowerPrices,(IF(BMO1=2,7,IF(BMO1=1,6,8))),FALSE())))</f>
        <v> </v>
      </c>
      <c r="R243" s="403" t="str">
        <f aca="false">IF(A243="N/A"," ",(VLOOKUP($A243,IRTable,2)))</f>
        <v> </v>
      </c>
      <c r="AF243" s="352" t="n">
        <v>43831</v>
      </c>
      <c r="AG243" s="311" t="n">
        <v>22</v>
      </c>
      <c r="AH243" s="311" t="n">
        <v>4</v>
      </c>
      <c r="AI243" s="311" t="n">
        <v>5</v>
      </c>
      <c r="AJ243" s="311" t="n">
        <v>1</v>
      </c>
      <c r="AK243" s="311" t="n">
        <v>31</v>
      </c>
      <c r="AU243" s="406"/>
    </row>
    <row r="244" customFormat="false" ht="12.75" hidden="false" customHeight="false" outlineLevel="0" collapsed="false">
      <c r="A244" s="405" t="str">
        <f aca="false">Option1!A211</f>
        <v>N/A</v>
      </c>
      <c r="B244" s="396" t="str">
        <f aca="false">IF(A244="N/A"," ",IF(ISERROR(N244),B232*Pwresc,N244)*VLOOKUP(MONTH(A244),Curveadj,3))</f>
        <v> </v>
      </c>
      <c r="C244" s="397" t="str">
        <f aca="false">IF(A244="N/A"," ",(IF(AND(Scaler1=1,MONTH(A244)&gt;=6,MONTH(A244)&lt;=8,OR($M$37="REGION 2",$M$37="REGION 2A",$M$37="REGION 2B",$M$37="REGION 3",$M$37="REGION 3A",$M$37="REGION 3B",$M$37="REGION 3C",$M$37="REGION 4",$M$37="REGION 4B",$M$37="REGION 4C",$M$37="REGION 5",$M$37="REGION 5A")),((0.059228/(B244/100))-(0.4980013/(SQRT(B244/100)))+2.137988),HLOOKUP(MONTH(A244),ScalarTable,28))))</f>
        <v> </v>
      </c>
      <c r="D244" s="398" t="str">
        <f aca="false">IF(A244="N/A"," ",C244*B244)</f>
        <v> </v>
      </c>
      <c r="E244" s="396" t="str">
        <f aca="false">IF(A244="N/A"," ",IF(ISERROR(O244),E232*Pwresc,O244)*VLOOKUP(MONTH(A244),Curveadj,3))</f>
        <v> </v>
      </c>
      <c r="F244" s="398" t="str">
        <f aca="false">IF(A244="N/A"," ",E244*C244)</f>
        <v> </v>
      </c>
      <c r="G244" s="396" t="str">
        <f aca="false">IF(A244="N/A"," ",IF(ISERROR(P244),G232*Pwresc,P244)*VLOOKUP(MONTH(A244),Curveadj,3))</f>
        <v> </v>
      </c>
      <c r="H244" s="398" t="str">
        <f aca="false">IF(A244="N/A"," ",G244*C244)</f>
        <v> </v>
      </c>
      <c r="I244" s="398" t="str">
        <f aca="false">IF(A244="N/A"," ",IF(ISERROR(Q244),I232*Pwresc,Q244))</f>
        <v> </v>
      </c>
      <c r="J244" s="398" t="str">
        <f aca="false">IF(A244="N/A"," ",Inputs!$G$4)</f>
        <v> </v>
      </c>
      <c r="K244" s="399" t="str">
        <f aca="false">IF(A244="N/A"," ",IF(ISERROR(#REF!),K232*Gasesc,#REF!))</f>
        <v> </v>
      </c>
      <c r="L244" s="399" t="str">
        <f aca="false">IF(A244="N/A"," ",IF(ISERROR(#REF!),L232*Gasesc,IF(#REF!=0,L232*Gasesc,#REF!)))</f>
        <v> </v>
      </c>
      <c r="M244" s="404"/>
      <c r="N244" s="401" t="str">
        <f aca="false">IF(A244="N/A"," ",VLOOKUP(A244,PeakPowerCurves,(IF(BMO1=2,3,IF(BMO1=1,2,4))),FALSE()))</f>
        <v> </v>
      </c>
      <c r="O244" s="401" t="str">
        <f aca="false">IF(A244="N/A"," ",VLOOKUP(A244,SatSunPeakPwr,(IF(BMO1=2,3,IF(BMO1=1,2,4))),FALSE()))</f>
        <v> </v>
      </c>
      <c r="P244" s="401" t="str">
        <f aca="false">IF(A244="N/A"," ",VLOOKUP(A244,SatSunPeakPwr,(IF(BMO1=2,7,IF(BMO1=1,6,8))),FALSE()))</f>
        <v> </v>
      </c>
      <c r="Q244" s="402" t="str">
        <f aca="false">IF(A244="N/A"," ",(VLOOKUP(A244,OPPowerPrices,(IF(BMO1=2,7,IF(BMO1=1,6,8))),FALSE())))</f>
        <v> </v>
      </c>
      <c r="R244" s="403" t="str">
        <f aca="false">IF(A244="N/A"," ",(VLOOKUP($A244,IRTable,2)))</f>
        <v> </v>
      </c>
      <c r="AF244" s="352" t="n">
        <v>43862</v>
      </c>
      <c r="AG244" s="311" t="n">
        <v>20</v>
      </c>
      <c r="AH244" s="311" t="n">
        <v>5</v>
      </c>
      <c r="AI244" s="311" t="n">
        <v>4</v>
      </c>
      <c r="AJ244" s="311" t="n">
        <v>0</v>
      </c>
      <c r="AK244" s="311" t="n">
        <v>29</v>
      </c>
      <c r="AU244" s="406"/>
    </row>
    <row r="245" customFormat="false" ht="12.75" hidden="false" customHeight="false" outlineLevel="0" collapsed="false">
      <c r="A245" s="405" t="str">
        <f aca="false">Option1!A212</f>
        <v>N/A</v>
      </c>
      <c r="B245" s="396" t="str">
        <f aca="false">IF(A245="N/A"," ",IF(ISERROR(N245),B233*Pwresc,N245)*VLOOKUP(MONTH(A245),Curveadj,3))</f>
        <v> </v>
      </c>
      <c r="C245" s="397" t="str">
        <f aca="false">IF(A245="N/A"," ",(IF(AND(Scaler1=1,MONTH(A245)&gt;=6,MONTH(A245)&lt;=8,OR($M$37="REGION 2",$M$37="REGION 2A",$M$37="REGION 2B",$M$37="REGION 3",$M$37="REGION 3A",$M$37="REGION 3B",$M$37="REGION 3C",$M$37="REGION 4",$M$37="REGION 4B",$M$37="REGION 4C",$M$37="REGION 5",$M$37="REGION 5A")),((0.059228/(B245/100))-(0.4980013/(SQRT(B245/100)))+2.137988),HLOOKUP(MONTH(A245),ScalarTable,28))))</f>
        <v> </v>
      </c>
      <c r="D245" s="398" t="str">
        <f aca="false">IF(A245="N/A"," ",C245*B245)</f>
        <v> </v>
      </c>
      <c r="E245" s="396" t="str">
        <f aca="false">IF(A245="N/A"," ",IF(ISERROR(O245),E233*Pwresc,O245)*VLOOKUP(MONTH(A245),Curveadj,3))</f>
        <v> </v>
      </c>
      <c r="F245" s="398" t="str">
        <f aca="false">IF(A245="N/A"," ",E245*C245)</f>
        <v> </v>
      </c>
      <c r="G245" s="396" t="str">
        <f aca="false">IF(A245="N/A"," ",IF(ISERROR(P245),G233*Pwresc,P245)*VLOOKUP(MONTH(A245),Curveadj,3))</f>
        <v> </v>
      </c>
      <c r="H245" s="398" t="str">
        <f aca="false">IF(A245="N/A"," ",G245*C245)</f>
        <v> </v>
      </c>
      <c r="I245" s="398" t="str">
        <f aca="false">IF(A245="N/A"," ",IF(ISERROR(Q245),I233*Pwresc,Q245))</f>
        <v> </v>
      </c>
      <c r="J245" s="398" t="str">
        <f aca="false">IF(A245="N/A"," ",Inputs!$G$4)</f>
        <v> </v>
      </c>
      <c r="K245" s="399" t="str">
        <f aca="false">IF(A245="N/A"," ",IF(ISERROR(#REF!),K233*Gasesc,#REF!))</f>
        <v> </v>
      </c>
      <c r="L245" s="399" t="str">
        <f aca="false">IF(A245="N/A"," ",IF(ISERROR(#REF!),L233*Gasesc,IF(#REF!=0,L233*Gasesc,#REF!)))</f>
        <v> </v>
      </c>
      <c r="M245" s="404"/>
      <c r="N245" s="401" t="str">
        <f aca="false">IF(A245="N/A"," ",VLOOKUP(A245,PeakPowerCurves,(IF(BMO1=2,3,IF(BMO1=1,2,4))),FALSE()))</f>
        <v> </v>
      </c>
      <c r="O245" s="401" t="str">
        <f aca="false">IF(A245="N/A"," ",VLOOKUP(A245,SatSunPeakPwr,(IF(BMO1=2,3,IF(BMO1=1,2,4))),FALSE()))</f>
        <v> </v>
      </c>
      <c r="P245" s="401" t="str">
        <f aca="false">IF(A245="N/A"," ",VLOOKUP(A245,SatSunPeakPwr,(IF(BMO1=2,7,IF(BMO1=1,6,8))),FALSE()))</f>
        <v> </v>
      </c>
      <c r="Q245" s="402" t="str">
        <f aca="false">IF(A245="N/A"," ",(VLOOKUP(A245,OPPowerPrices,(IF(BMO1=2,7,IF(BMO1=1,6,8))),FALSE())))</f>
        <v> </v>
      </c>
      <c r="R245" s="403" t="str">
        <f aca="false">IF(A245="N/A"," ",(VLOOKUP($A245,IRTable,2)))</f>
        <v> </v>
      </c>
      <c r="AF245" s="352" t="n">
        <v>43891</v>
      </c>
      <c r="AG245" s="311" t="n">
        <v>22</v>
      </c>
      <c r="AH245" s="311" t="n">
        <v>4</v>
      </c>
      <c r="AI245" s="311" t="n">
        <v>5</v>
      </c>
      <c r="AJ245" s="311" t="n">
        <v>0</v>
      </c>
      <c r="AK245" s="311" t="n">
        <v>31</v>
      </c>
      <c r="AU245" s="406"/>
    </row>
    <row r="246" customFormat="false" ht="12.75" hidden="false" customHeight="false" outlineLevel="0" collapsed="false">
      <c r="A246" s="405" t="str">
        <f aca="false">Option1!A213</f>
        <v>N/A</v>
      </c>
      <c r="B246" s="396" t="str">
        <f aca="false">IF(A246="N/A"," ",IF(ISERROR(N246),B234*Pwresc,N246)*VLOOKUP(MONTH(A246),Curveadj,3))</f>
        <v> </v>
      </c>
      <c r="C246" s="397" t="str">
        <f aca="false">IF(A246="N/A"," ",(IF(AND(Scaler1=1,MONTH(A246)&gt;=6,MONTH(A246)&lt;=8,OR($M$37="REGION 2",$M$37="REGION 2A",$M$37="REGION 2B",$M$37="REGION 3",$M$37="REGION 3A",$M$37="REGION 3B",$M$37="REGION 3C",$M$37="REGION 4",$M$37="REGION 4B",$M$37="REGION 4C",$M$37="REGION 5",$M$37="REGION 5A")),((0.059228/(B246/100))-(0.4980013/(SQRT(B246/100)))+2.137988),HLOOKUP(MONTH(A246),ScalarTable,28))))</f>
        <v> </v>
      </c>
      <c r="D246" s="398" t="str">
        <f aca="false">IF(A246="N/A"," ",C246*B246)</f>
        <v> </v>
      </c>
      <c r="E246" s="396" t="str">
        <f aca="false">IF(A246="N/A"," ",IF(ISERROR(O246),E234*Pwresc,O246)*VLOOKUP(MONTH(A246),Curveadj,3))</f>
        <v> </v>
      </c>
      <c r="F246" s="398" t="str">
        <f aca="false">IF(A246="N/A"," ",E246*C246)</f>
        <v> </v>
      </c>
      <c r="G246" s="396" t="str">
        <f aca="false">IF(A246="N/A"," ",IF(ISERROR(P246),G234*Pwresc,P246)*VLOOKUP(MONTH(A246),Curveadj,3))</f>
        <v> </v>
      </c>
      <c r="H246" s="398" t="str">
        <f aca="false">IF(A246="N/A"," ",G246*C246)</f>
        <v> </v>
      </c>
      <c r="I246" s="398" t="str">
        <f aca="false">IF(A246="N/A"," ",IF(ISERROR(Q246),I234*Pwresc,Q246))</f>
        <v> </v>
      </c>
      <c r="J246" s="398" t="str">
        <f aca="false">IF(A246="N/A"," ",Inputs!$G$4)</f>
        <v> </v>
      </c>
      <c r="K246" s="399" t="str">
        <f aca="false">IF(A246="N/A"," ",IF(ISERROR(#REF!),K234*Gasesc,#REF!))</f>
        <v> </v>
      </c>
      <c r="L246" s="399" t="str">
        <f aca="false">IF(A246="N/A"," ",IF(ISERROR(#REF!),L234*Gasesc,IF(#REF!=0,L234*Gasesc,#REF!)))</f>
        <v> </v>
      </c>
      <c r="M246" s="404"/>
      <c r="N246" s="401" t="str">
        <f aca="false">IF(A246="N/A"," ",VLOOKUP(A246,PeakPowerCurves,(IF(BMO1=2,3,IF(BMO1=1,2,4))),FALSE()))</f>
        <v> </v>
      </c>
      <c r="O246" s="401" t="str">
        <f aca="false">IF(A246="N/A"," ",VLOOKUP(A246,SatSunPeakPwr,(IF(BMO1=2,3,IF(BMO1=1,2,4))),FALSE()))</f>
        <v> </v>
      </c>
      <c r="P246" s="401" t="str">
        <f aca="false">IF(A246="N/A"," ",VLOOKUP(A246,SatSunPeakPwr,(IF(BMO1=2,7,IF(BMO1=1,6,8))),FALSE()))</f>
        <v> </v>
      </c>
      <c r="Q246" s="402" t="str">
        <f aca="false">IF(A246="N/A"," ",(VLOOKUP(A246,OPPowerPrices,(IF(BMO1=2,7,IF(BMO1=1,6,8))),FALSE())))</f>
        <v> </v>
      </c>
      <c r="R246" s="403" t="str">
        <f aca="false">IF(A246="N/A"," ",(VLOOKUP($A246,IRTable,2)))</f>
        <v> </v>
      </c>
      <c r="AF246" s="352" t="n">
        <v>43922</v>
      </c>
      <c r="AG246" s="311" t="n">
        <v>22</v>
      </c>
      <c r="AH246" s="311" t="n">
        <v>4</v>
      </c>
      <c r="AI246" s="311" t="n">
        <v>4</v>
      </c>
      <c r="AJ246" s="311" t="n">
        <v>0</v>
      </c>
      <c r="AK246" s="311" t="n">
        <v>30</v>
      </c>
      <c r="AU246" s="406"/>
    </row>
    <row r="247" customFormat="false" ht="12.75" hidden="false" customHeight="false" outlineLevel="0" collapsed="false">
      <c r="A247" s="405" t="str">
        <f aca="false">Option1!A214</f>
        <v>N/A</v>
      </c>
      <c r="B247" s="396" t="str">
        <f aca="false">IF(A247="N/A"," ",IF(ISERROR(N247),B235*Pwresc,N247)*VLOOKUP(MONTH(A247),Curveadj,3))</f>
        <v> </v>
      </c>
      <c r="C247" s="397" t="str">
        <f aca="false">IF(A247="N/A"," ",(IF(AND(Scaler1=1,MONTH(A247)&gt;=6,MONTH(A247)&lt;=8,OR($M$37="REGION 2",$M$37="REGION 2A",$M$37="REGION 2B",$M$37="REGION 3",$M$37="REGION 3A",$M$37="REGION 3B",$M$37="REGION 3C",$M$37="REGION 4",$M$37="REGION 4B",$M$37="REGION 4C",$M$37="REGION 5",$M$37="REGION 5A")),((0.059228/(B247/100))-(0.4980013/(SQRT(B247/100)))+2.137988),HLOOKUP(MONTH(A247),ScalarTable,28))))</f>
        <v> </v>
      </c>
      <c r="D247" s="398" t="str">
        <f aca="false">IF(A247="N/A"," ",C247*B247)</f>
        <v> </v>
      </c>
      <c r="E247" s="396" t="str">
        <f aca="false">IF(A247="N/A"," ",IF(ISERROR(O247),E235*Pwresc,O247)*VLOOKUP(MONTH(A247),Curveadj,3))</f>
        <v> </v>
      </c>
      <c r="F247" s="398" t="str">
        <f aca="false">IF(A247="N/A"," ",E247*C247)</f>
        <v> </v>
      </c>
      <c r="G247" s="396" t="str">
        <f aca="false">IF(A247="N/A"," ",IF(ISERROR(P247),G235*Pwresc,P247)*VLOOKUP(MONTH(A247),Curveadj,3))</f>
        <v> </v>
      </c>
      <c r="H247" s="398" t="str">
        <f aca="false">IF(A247="N/A"," ",G247*C247)</f>
        <v> </v>
      </c>
      <c r="I247" s="398" t="str">
        <f aca="false">IF(A247="N/A"," ",IF(ISERROR(Q247),I235*Pwresc,Q247))</f>
        <v> </v>
      </c>
      <c r="J247" s="398" t="str">
        <f aca="false">IF(A247="N/A"," ",Inputs!$G$4)</f>
        <v> </v>
      </c>
      <c r="K247" s="399" t="str">
        <f aca="false">IF(A247="N/A"," ",IF(ISERROR(#REF!),K235*Gasesc,#REF!))</f>
        <v> </v>
      </c>
      <c r="L247" s="399" t="str">
        <f aca="false">IF(A247="N/A"," ",IF(ISERROR(#REF!),L235*Gasesc,IF(#REF!=0,L235*Gasesc,#REF!)))</f>
        <v> </v>
      </c>
      <c r="M247" s="404"/>
      <c r="N247" s="401" t="str">
        <f aca="false">IF(A247="N/A"," ",VLOOKUP(A247,PeakPowerCurves,(IF(BMO1=2,3,IF(BMO1=1,2,4))),FALSE()))</f>
        <v> </v>
      </c>
      <c r="O247" s="401" t="str">
        <f aca="false">IF(A247="N/A"," ",VLOOKUP(A247,SatSunPeakPwr,(IF(BMO1=2,3,IF(BMO1=1,2,4))),FALSE()))</f>
        <v> </v>
      </c>
      <c r="P247" s="401" t="str">
        <f aca="false">IF(A247="N/A"," ",VLOOKUP(A247,SatSunPeakPwr,(IF(BMO1=2,7,IF(BMO1=1,6,8))),FALSE()))</f>
        <v> </v>
      </c>
      <c r="Q247" s="402" t="str">
        <f aca="false">IF(A247="N/A"," ",(VLOOKUP(A247,OPPowerPrices,(IF(BMO1=2,7,IF(BMO1=1,6,8))),FALSE())))</f>
        <v> </v>
      </c>
      <c r="R247" s="403" t="str">
        <f aca="false">IF(A247="N/A"," ",(VLOOKUP($A247,IRTable,2)))</f>
        <v> </v>
      </c>
      <c r="AF247" s="352" t="n">
        <v>43952</v>
      </c>
      <c r="AG247" s="311" t="n">
        <v>20</v>
      </c>
      <c r="AH247" s="311" t="n">
        <v>5</v>
      </c>
      <c r="AI247" s="311" t="n">
        <v>6</v>
      </c>
      <c r="AJ247" s="311" t="n">
        <v>1</v>
      </c>
      <c r="AK247" s="311" t="n">
        <v>31</v>
      </c>
      <c r="AU247" s="406"/>
    </row>
    <row r="248" customFormat="false" ht="12.75" hidden="false" customHeight="false" outlineLevel="0" collapsed="false">
      <c r="A248" s="405" t="str">
        <f aca="false">Option1!A215</f>
        <v>N/A</v>
      </c>
      <c r="B248" s="396" t="str">
        <f aca="false">IF(A248="N/A"," ",IF(ISERROR(N248),B236*Pwresc,N248)*VLOOKUP(MONTH(A248),Curveadj,3))</f>
        <v> </v>
      </c>
      <c r="C248" s="397" t="str">
        <f aca="false">IF(A248="N/A"," ",(IF(AND(Scaler1=1,MONTH(A248)&gt;=6,MONTH(A248)&lt;=8,OR($M$37="REGION 2",$M$37="REGION 2A",$M$37="REGION 2B",$M$37="REGION 3",$M$37="REGION 3A",$M$37="REGION 3B",$M$37="REGION 3C",$M$37="REGION 4",$M$37="REGION 4B",$M$37="REGION 4C",$M$37="REGION 5",$M$37="REGION 5A")),((0.059228/(B248/100))-(0.4980013/(SQRT(B248/100)))+2.137988),HLOOKUP(MONTH(A248),ScalarTable,28))))</f>
        <v> </v>
      </c>
      <c r="D248" s="398" t="str">
        <f aca="false">IF(A248="N/A"," ",C248*B248)</f>
        <v> </v>
      </c>
      <c r="E248" s="396" t="str">
        <f aca="false">IF(A248="N/A"," ",IF(ISERROR(O248),E236*Pwresc,O248)*VLOOKUP(MONTH(A248),Curveadj,3))</f>
        <v> </v>
      </c>
      <c r="F248" s="398" t="str">
        <f aca="false">IF(A248="N/A"," ",E248*C248)</f>
        <v> </v>
      </c>
      <c r="G248" s="396" t="str">
        <f aca="false">IF(A248="N/A"," ",IF(ISERROR(P248),G236*Pwresc,P248)*VLOOKUP(MONTH(A248),Curveadj,3))</f>
        <v> </v>
      </c>
      <c r="H248" s="398" t="str">
        <f aca="false">IF(A248="N/A"," ",G248*C248)</f>
        <v> </v>
      </c>
      <c r="I248" s="398" t="str">
        <f aca="false">IF(A248="N/A"," ",IF(ISERROR(Q248),I236*Pwresc,Q248))</f>
        <v> </v>
      </c>
      <c r="J248" s="398" t="str">
        <f aca="false">IF(A248="N/A"," ",Inputs!$G$4)</f>
        <v> </v>
      </c>
      <c r="K248" s="399" t="str">
        <f aca="false">IF(A248="N/A"," ",IF(ISERROR(#REF!),K236*Gasesc,#REF!))</f>
        <v> </v>
      </c>
      <c r="L248" s="399" t="str">
        <f aca="false">IF(A248="N/A"," ",IF(ISERROR(#REF!),L236*Gasesc,IF(#REF!=0,L236*Gasesc,#REF!)))</f>
        <v> </v>
      </c>
      <c r="M248" s="404"/>
      <c r="N248" s="401" t="str">
        <f aca="false">IF(A248="N/A"," ",VLOOKUP(A248,PeakPowerCurves,(IF(BMO1=2,3,IF(BMO1=1,2,4))),FALSE()))</f>
        <v> </v>
      </c>
      <c r="O248" s="401" t="str">
        <f aca="false">IF(A248="N/A"," ",VLOOKUP(A248,SatSunPeakPwr,(IF(BMO1=2,3,IF(BMO1=1,2,4))),FALSE()))</f>
        <v> </v>
      </c>
      <c r="P248" s="401" t="str">
        <f aca="false">IF(A248="N/A"," ",VLOOKUP(A248,SatSunPeakPwr,(IF(BMO1=2,7,IF(BMO1=1,6,8))),FALSE()))</f>
        <v> </v>
      </c>
      <c r="Q248" s="402" t="str">
        <f aca="false">IF(A248="N/A"," ",(VLOOKUP(A248,OPPowerPrices,(IF(BMO1=2,7,IF(BMO1=1,6,8))),FALSE())))</f>
        <v> </v>
      </c>
      <c r="R248" s="403" t="str">
        <f aca="false">IF(A248="N/A"," ",(VLOOKUP($A248,IRTable,2)))</f>
        <v> </v>
      </c>
      <c r="AF248" s="352" t="n">
        <v>43983</v>
      </c>
      <c r="AG248" s="311" t="n">
        <v>22</v>
      </c>
      <c r="AH248" s="311" t="n">
        <v>4</v>
      </c>
      <c r="AI248" s="311" t="n">
        <v>4</v>
      </c>
      <c r="AJ248" s="311" t="n">
        <v>0</v>
      </c>
      <c r="AK248" s="311" t="n">
        <v>30</v>
      </c>
      <c r="AU248" s="406"/>
    </row>
    <row r="249" customFormat="false" ht="12.75" hidden="false" customHeight="false" outlineLevel="0" collapsed="false">
      <c r="A249" s="405" t="str">
        <f aca="false">Option1!A216</f>
        <v>N/A</v>
      </c>
      <c r="B249" s="396" t="str">
        <f aca="false">IF(A249="N/A"," ",IF(ISERROR(N249),B237*Pwresc,N249)*VLOOKUP(MONTH(A249),Curveadj,3))</f>
        <v> </v>
      </c>
      <c r="C249" s="397" t="str">
        <f aca="false">IF(A249="N/A"," ",(IF(AND(Scaler1=1,MONTH(A249)&gt;=6,MONTH(A249)&lt;=8,OR($M$37="REGION 2",$M$37="REGION 2A",$M$37="REGION 2B",$M$37="REGION 3",$M$37="REGION 3A",$M$37="REGION 3B",$M$37="REGION 3C",$M$37="REGION 4",$M$37="REGION 4B",$M$37="REGION 4C",$M$37="REGION 5",$M$37="REGION 5A")),((0.059228/(B249/100))-(0.4980013/(SQRT(B249/100)))+2.137988),HLOOKUP(MONTH(A249),ScalarTable,28))))</f>
        <v> </v>
      </c>
      <c r="D249" s="398" t="str">
        <f aca="false">IF(A249="N/A"," ",C249*B249)</f>
        <v> </v>
      </c>
      <c r="E249" s="396" t="str">
        <f aca="false">IF(A249="N/A"," ",IF(ISERROR(O249),E237*Pwresc,O249)*VLOOKUP(MONTH(A249),Curveadj,3))</f>
        <v> </v>
      </c>
      <c r="F249" s="398" t="str">
        <f aca="false">IF(A249="N/A"," ",E249*C249)</f>
        <v> </v>
      </c>
      <c r="G249" s="396" t="str">
        <f aca="false">IF(A249="N/A"," ",IF(ISERROR(P249),G237*Pwresc,P249)*VLOOKUP(MONTH(A249),Curveadj,3))</f>
        <v> </v>
      </c>
      <c r="H249" s="398" t="str">
        <f aca="false">IF(A249="N/A"," ",G249*C249)</f>
        <v> </v>
      </c>
      <c r="I249" s="398" t="str">
        <f aca="false">IF(A249="N/A"," ",IF(ISERROR(Q249),I237*Pwresc,Q249))</f>
        <v> </v>
      </c>
      <c r="J249" s="398" t="str">
        <f aca="false">IF(A249="N/A"," ",Inputs!$G$4)</f>
        <v> </v>
      </c>
      <c r="K249" s="399" t="str">
        <f aca="false">IF(A249="N/A"," ",IF(ISERROR(#REF!),K237*Gasesc,#REF!))</f>
        <v> </v>
      </c>
      <c r="L249" s="399" t="str">
        <f aca="false">IF(A249="N/A"," ",IF(ISERROR(#REF!),L237*Gasesc,IF(#REF!=0,L237*Gasesc,#REF!)))</f>
        <v> </v>
      </c>
      <c r="M249" s="404"/>
      <c r="N249" s="401" t="str">
        <f aca="false">IF(A249="N/A"," ",VLOOKUP(A249,PeakPowerCurves,(IF(BMO1=2,3,IF(BMO1=1,2,4))),FALSE()))</f>
        <v> </v>
      </c>
      <c r="O249" s="401" t="str">
        <f aca="false">IF(A249="N/A"," ",VLOOKUP(A249,SatSunPeakPwr,(IF(BMO1=2,3,IF(BMO1=1,2,4))),FALSE()))</f>
        <v> </v>
      </c>
      <c r="P249" s="401" t="str">
        <f aca="false">IF(A249="N/A"," ",VLOOKUP(A249,SatSunPeakPwr,(IF(BMO1=2,7,IF(BMO1=1,6,8))),FALSE()))</f>
        <v> </v>
      </c>
      <c r="Q249" s="402" t="str">
        <f aca="false">IF(A249="N/A"," ",(VLOOKUP(A249,OPPowerPrices,(IF(BMO1=2,7,IF(BMO1=1,6,8))),FALSE())))</f>
        <v> </v>
      </c>
      <c r="R249" s="403" t="str">
        <f aca="false">IF(A249="N/A"," ",(VLOOKUP($A249,IRTable,2)))</f>
        <v> </v>
      </c>
      <c r="AF249" s="352" t="n">
        <v>44013</v>
      </c>
      <c r="AG249" s="311" t="n">
        <v>23</v>
      </c>
      <c r="AH249" s="311" t="n">
        <v>3</v>
      </c>
      <c r="AI249" s="311" t="n">
        <v>5</v>
      </c>
      <c r="AJ249" s="311" t="n">
        <v>1</v>
      </c>
      <c r="AK249" s="311" t="n">
        <v>31</v>
      </c>
      <c r="AU249" s="406"/>
    </row>
    <row r="250" customFormat="false" ht="12.75" hidden="false" customHeight="false" outlineLevel="0" collapsed="false">
      <c r="A250" s="405" t="str">
        <f aca="false">Option1!A217</f>
        <v>N/A</v>
      </c>
      <c r="B250" s="396" t="str">
        <f aca="false">IF(A250="N/A"," ",IF(ISERROR(N250),B238*Pwresc,N250)*VLOOKUP(MONTH(A250),Curveadj,3))</f>
        <v> </v>
      </c>
      <c r="C250" s="397" t="str">
        <f aca="false">IF(A250="N/A"," ",(IF(AND(Scaler1=1,MONTH(A250)&gt;=6,MONTH(A250)&lt;=8,OR($M$37="REGION 2",$M$37="REGION 2A",$M$37="REGION 2B",$M$37="REGION 3",$M$37="REGION 3A",$M$37="REGION 3B",$M$37="REGION 3C",$M$37="REGION 4",$M$37="REGION 4B",$M$37="REGION 4C",$M$37="REGION 5",$M$37="REGION 5A")),((0.059228/(B250/100))-(0.4980013/(SQRT(B250/100)))+2.137988),HLOOKUP(MONTH(A250),ScalarTable,28))))</f>
        <v> </v>
      </c>
      <c r="D250" s="398" t="str">
        <f aca="false">IF(A250="N/A"," ",C250*B250)</f>
        <v> </v>
      </c>
      <c r="E250" s="396" t="str">
        <f aca="false">IF(A250="N/A"," ",IF(ISERROR(O250),E238*Pwresc,O250)*VLOOKUP(MONTH(A250),Curveadj,3))</f>
        <v> </v>
      </c>
      <c r="F250" s="398" t="str">
        <f aca="false">IF(A250="N/A"," ",E250*C250)</f>
        <v> </v>
      </c>
      <c r="G250" s="396" t="str">
        <f aca="false">IF(A250="N/A"," ",IF(ISERROR(P250),G238*Pwresc,P250)*VLOOKUP(MONTH(A250),Curveadj,3))</f>
        <v> </v>
      </c>
      <c r="H250" s="398" t="str">
        <f aca="false">IF(A250="N/A"," ",G250*C250)</f>
        <v> </v>
      </c>
      <c r="I250" s="398" t="str">
        <f aca="false">IF(A250="N/A"," ",IF(ISERROR(Q250),I238*Pwresc,Q250))</f>
        <v> </v>
      </c>
      <c r="J250" s="398" t="str">
        <f aca="false">IF(A250="N/A"," ",Inputs!$G$4)</f>
        <v> </v>
      </c>
      <c r="K250" s="399" t="str">
        <f aca="false">IF(A250="N/A"," ",IF(ISERROR(#REF!),K238*Gasesc,#REF!))</f>
        <v> </v>
      </c>
      <c r="L250" s="399" t="str">
        <f aca="false">IF(A250="N/A"," ",IF(ISERROR(#REF!),L238*Gasesc,IF(#REF!=0,L238*Gasesc,#REF!)))</f>
        <v> </v>
      </c>
      <c r="M250" s="404"/>
      <c r="N250" s="401" t="str">
        <f aca="false">IF(A250="N/A"," ",VLOOKUP(A250,PeakPowerCurves,(IF(BMO1=2,3,IF(BMO1=1,2,4))),FALSE()))</f>
        <v> </v>
      </c>
      <c r="O250" s="401" t="str">
        <f aca="false">IF(A250="N/A"," ",VLOOKUP(A250,SatSunPeakPwr,(IF(BMO1=2,3,IF(BMO1=1,2,4))),FALSE()))</f>
        <v> </v>
      </c>
      <c r="P250" s="401" t="str">
        <f aca="false">IF(A250="N/A"," ",VLOOKUP(A250,SatSunPeakPwr,(IF(BMO1=2,7,IF(BMO1=1,6,8))),FALSE()))</f>
        <v> </v>
      </c>
      <c r="Q250" s="402" t="str">
        <f aca="false">IF(A250="N/A"," ",(VLOOKUP(A250,OPPowerPrices,(IF(BMO1=2,7,IF(BMO1=1,6,8))),FALSE())))</f>
        <v> </v>
      </c>
      <c r="R250" s="403" t="str">
        <f aca="false">IF(A250="N/A"," ",(VLOOKUP($A250,IRTable,2)))</f>
        <v> </v>
      </c>
      <c r="AF250" s="352" t="n">
        <v>44044</v>
      </c>
      <c r="AG250" s="311" t="n">
        <v>21</v>
      </c>
      <c r="AH250" s="311" t="n">
        <v>5</v>
      </c>
      <c r="AI250" s="311" t="n">
        <v>5</v>
      </c>
      <c r="AJ250" s="311" t="n">
        <v>0</v>
      </c>
      <c r="AK250" s="311" t="n">
        <v>31</v>
      </c>
      <c r="AU250" s="406"/>
    </row>
    <row r="251" customFormat="false" ht="12.75" hidden="false" customHeight="false" outlineLevel="0" collapsed="false">
      <c r="A251" s="405" t="str">
        <f aca="false">Option1!A218</f>
        <v>N/A</v>
      </c>
      <c r="B251" s="396" t="str">
        <f aca="false">IF(A251="N/A"," ",IF(ISERROR(N251),B239*Pwresc,N251)*VLOOKUP(MONTH(A251),Curveadj,3))</f>
        <v> </v>
      </c>
      <c r="C251" s="397" t="str">
        <f aca="false">IF(A251="N/A"," ",(IF(AND(Scaler1=1,MONTH(A251)&gt;=6,MONTH(A251)&lt;=8,OR($M$37="REGION 2",$M$37="REGION 2A",$M$37="REGION 2B",$M$37="REGION 3",$M$37="REGION 3A",$M$37="REGION 3B",$M$37="REGION 3C",$M$37="REGION 4",$M$37="REGION 4B",$M$37="REGION 4C",$M$37="REGION 5",$M$37="REGION 5A")),((0.059228/(B251/100))-(0.4980013/(SQRT(B251/100)))+2.137988),HLOOKUP(MONTH(A251),ScalarTable,28))))</f>
        <v> </v>
      </c>
      <c r="D251" s="398" t="str">
        <f aca="false">IF(A251="N/A"," ",C251*B251)</f>
        <v> </v>
      </c>
      <c r="E251" s="396" t="str">
        <f aca="false">IF(A251="N/A"," ",IF(ISERROR(O251),E239*Pwresc,O251)*VLOOKUP(MONTH(A251),Curveadj,3))</f>
        <v> </v>
      </c>
      <c r="F251" s="398" t="str">
        <f aca="false">IF(A251="N/A"," ",E251*C251)</f>
        <v> </v>
      </c>
      <c r="G251" s="396" t="str">
        <f aca="false">IF(A251="N/A"," ",IF(ISERROR(P251),G239*Pwresc,P251)*VLOOKUP(MONTH(A251),Curveadj,3))</f>
        <v> </v>
      </c>
      <c r="H251" s="398" t="str">
        <f aca="false">IF(A251="N/A"," ",G251*C251)</f>
        <v> </v>
      </c>
      <c r="I251" s="398" t="str">
        <f aca="false">IF(A251="N/A"," ",IF(ISERROR(Q251),I239*Pwresc,Q251))</f>
        <v> </v>
      </c>
      <c r="J251" s="398" t="str">
        <f aca="false">IF(A251="N/A"," ",Inputs!$G$4)</f>
        <v> </v>
      </c>
      <c r="K251" s="399" t="str">
        <f aca="false">IF(A251="N/A"," ",IF(ISERROR(#REF!),K239*Gasesc,#REF!))</f>
        <v> </v>
      </c>
      <c r="L251" s="399" t="str">
        <f aca="false">IF(A251="N/A"," ",IF(ISERROR(#REF!),L239*Gasesc,IF(#REF!=0,L239*Gasesc,#REF!)))</f>
        <v> </v>
      </c>
      <c r="M251" s="404"/>
      <c r="N251" s="401" t="str">
        <f aca="false">IF(A251="N/A"," ",VLOOKUP(A251,PeakPowerCurves,(IF(BMO1=2,3,IF(BMO1=1,2,4))),FALSE()))</f>
        <v> </v>
      </c>
      <c r="O251" s="401" t="str">
        <f aca="false">IF(A251="N/A"," ",VLOOKUP(A251,SatSunPeakPwr,(IF(BMO1=2,3,IF(BMO1=1,2,4))),FALSE()))</f>
        <v> </v>
      </c>
      <c r="P251" s="401" t="str">
        <f aca="false">IF(A251="N/A"," ",VLOOKUP(A251,SatSunPeakPwr,(IF(BMO1=2,7,IF(BMO1=1,6,8))),FALSE()))</f>
        <v> </v>
      </c>
      <c r="Q251" s="402" t="str">
        <f aca="false">IF(A251="N/A"," ",(VLOOKUP(A251,OPPowerPrices,(IF(BMO1=2,7,IF(BMO1=1,6,8))),FALSE())))</f>
        <v> </v>
      </c>
      <c r="R251" s="403" t="str">
        <f aca="false">IF(A251="N/A"," ",(VLOOKUP($A251,IRTable,2)))</f>
        <v> </v>
      </c>
      <c r="AF251" s="352" t="n">
        <v>44075</v>
      </c>
      <c r="AG251" s="311" t="n">
        <v>21</v>
      </c>
      <c r="AH251" s="311" t="n">
        <v>4</v>
      </c>
      <c r="AI251" s="311" t="n">
        <v>5</v>
      </c>
      <c r="AJ251" s="311" t="n">
        <v>1</v>
      </c>
      <c r="AK251" s="311" t="n">
        <v>30</v>
      </c>
      <c r="AU251" s="406"/>
    </row>
    <row r="252" customFormat="false" ht="12.75" hidden="false" customHeight="false" outlineLevel="0" collapsed="false">
      <c r="A252" s="405" t="str">
        <f aca="false">Option1!A219</f>
        <v>N/A</v>
      </c>
      <c r="B252" s="396" t="str">
        <f aca="false">IF(A252="N/A"," ",IF(ISERROR(N252),B240*Pwresc,N252)*VLOOKUP(MONTH(A252),Curveadj,3))</f>
        <v> </v>
      </c>
      <c r="C252" s="397" t="str">
        <f aca="false">IF(A252="N/A"," ",(IF(AND(Scaler1=1,MONTH(A252)&gt;=6,MONTH(A252)&lt;=8,OR($M$37="REGION 2",$M$37="REGION 2A",$M$37="REGION 2B",$M$37="REGION 3",$M$37="REGION 3A",$M$37="REGION 3B",$M$37="REGION 3C",$M$37="REGION 4",$M$37="REGION 4B",$M$37="REGION 4C",$M$37="REGION 5",$M$37="REGION 5A")),((0.059228/(B252/100))-(0.4980013/(SQRT(B252/100)))+2.137988),HLOOKUP(MONTH(A252),ScalarTable,28))))</f>
        <v> </v>
      </c>
      <c r="D252" s="398" t="str">
        <f aca="false">IF(A252="N/A"," ",C252*B252)</f>
        <v> </v>
      </c>
      <c r="E252" s="396" t="str">
        <f aca="false">IF(A252="N/A"," ",IF(ISERROR(O252),E240*Pwresc,O252)*VLOOKUP(MONTH(A252),Curveadj,3))</f>
        <v> </v>
      </c>
      <c r="F252" s="398" t="str">
        <f aca="false">IF(A252="N/A"," ",E252*C252)</f>
        <v> </v>
      </c>
      <c r="G252" s="396" t="str">
        <f aca="false">IF(A252="N/A"," ",IF(ISERROR(P252),G240*Pwresc,P252)*VLOOKUP(MONTH(A252),Curveadj,3))</f>
        <v> </v>
      </c>
      <c r="H252" s="398" t="str">
        <f aca="false">IF(A252="N/A"," ",G252*C252)</f>
        <v> </v>
      </c>
      <c r="I252" s="398" t="str">
        <f aca="false">IF(A252="N/A"," ",IF(ISERROR(Q252),I240*Pwresc,Q252))</f>
        <v> </v>
      </c>
      <c r="J252" s="398" t="str">
        <f aca="false">IF(A252="N/A"," ",Inputs!$G$4)</f>
        <v> </v>
      </c>
      <c r="K252" s="399" t="str">
        <f aca="false">IF(A252="N/A"," ",IF(ISERROR(#REF!),K240*Gasesc,#REF!))</f>
        <v> </v>
      </c>
      <c r="L252" s="399" t="str">
        <f aca="false">IF(A252="N/A"," ",IF(ISERROR(#REF!),L240*Gasesc,IF(#REF!=0,L240*Gasesc,#REF!)))</f>
        <v> </v>
      </c>
      <c r="M252" s="404"/>
      <c r="N252" s="401" t="str">
        <f aca="false">IF(A252="N/A"," ",VLOOKUP(A252,PeakPowerCurves,(IF(BMO1=2,3,IF(BMO1=1,2,4))),FALSE()))</f>
        <v> </v>
      </c>
      <c r="O252" s="401" t="str">
        <f aca="false">IF(A252="N/A"," ",VLOOKUP(A252,SatSunPeakPwr,(IF(BMO1=2,3,IF(BMO1=1,2,4))),FALSE()))</f>
        <v> </v>
      </c>
      <c r="P252" s="401" t="str">
        <f aca="false">IF(A252="N/A"," ",VLOOKUP(A252,SatSunPeakPwr,(IF(BMO1=2,7,IF(BMO1=1,6,8))),FALSE()))</f>
        <v> </v>
      </c>
      <c r="Q252" s="402" t="str">
        <f aca="false">IF(A252="N/A"," ",(VLOOKUP(A252,OPPowerPrices,(IF(BMO1=2,7,IF(BMO1=1,6,8))),FALSE())))</f>
        <v> </v>
      </c>
      <c r="R252" s="403" t="str">
        <f aca="false">IF(A252="N/A"," ",(VLOOKUP($A252,IRTable,2)))</f>
        <v> </v>
      </c>
      <c r="AF252" s="352" t="n">
        <v>44105</v>
      </c>
      <c r="AG252" s="311" t="n">
        <v>22</v>
      </c>
      <c r="AH252" s="311" t="n">
        <v>5</v>
      </c>
      <c r="AI252" s="311" t="n">
        <v>4</v>
      </c>
      <c r="AJ252" s="311" t="n">
        <v>0</v>
      </c>
      <c r="AK252" s="311" t="n">
        <v>31</v>
      </c>
      <c r="AU252" s="406"/>
    </row>
    <row r="253" customFormat="false" ht="12.75" hidden="false" customHeight="false" outlineLevel="0" collapsed="false">
      <c r="A253" s="405" t="str">
        <f aca="false">Option1!A220</f>
        <v>N/A</v>
      </c>
      <c r="B253" s="396" t="str">
        <f aca="false">IF(A253="N/A"," ",IF(ISERROR(N253),B241*Pwresc,N253)*VLOOKUP(MONTH(A253),Curveadj,3))</f>
        <v> </v>
      </c>
      <c r="C253" s="397" t="str">
        <f aca="false">IF(A253="N/A"," ",(IF(AND(Scaler1=1,MONTH(A253)&gt;=6,MONTH(A253)&lt;=8,OR($M$37="REGION 2",$M$37="REGION 2A",$M$37="REGION 2B",$M$37="REGION 3",$M$37="REGION 3A",$M$37="REGION 3B",$M$37="REGION 3C",$M$37="REGION 4",$M$37="REGION 4B",$M$37="REGION 4C",$M$37="REGION 5",$M$37="REGION 5A")),((0.059228/(B253/100))-(0.4980013/(SQRT(B253/100)))+2.137988),HLOOKUP(MONTH(A253),ScalarTable,28))))</f>
        <v> </v>
      </c>
      <c r="D253" s="398" t="str">
        <f aca="false">IF(A253="N/A"," ",C253*B253)</f>
        <v> </v>
      </c>
      <c r="E253" s="396" t="str">
        <f aca="false">IF(A253="N/A"," ",IF(ISERROR(O253),E241*Pwresc,O253)*VLOOKUP(MONTH(A253),Curveadj,3))</f>
        <v> </v>
      </c>
      <c r="F253" s="398" t="str">
        <f aca="false">IF(A253="N/A"," ",E253*C253)</f>
        <v> </v>
      </c>
      <c r="G253" s="396" t="str">
        <f aca="false">IF(A253="N/A"," ",IF(ISERROR(P253),G241*Pwresc,P253)*VLOOKUP(MONTH(A253),Curveadj,3))</f>
        <v> </v>
      </c>
      <c r="H253" s="398" t="str">
        <f aca="false">IF(A253="N/A"," ",G253*C253)</f>
        <v> </v>
      </c>
      <c r="I253" s="398" t="str">
        <f aca="false">IF(A253="N/A"," ",IF(ISERROR(Q253),I241*Pwresc,Q253))</f>
        <v> </v>
      </c>
      <c r="J253" s="398" t="str">
        <f aca="false">IF(A253="N/A"," ",Inputs!$G$4)</f>
        <v> </v>
      </c>
      <c r="K253" s="399" t="str">
        <f aca="false">IF(A253="N/A"," ",IF(ISERROR(#REF!),K241*Gasesc,#REF!))</f>
        <v> </v>
      </c>
      <c r="L253" s="399" t="str">
        <f aca="false">IF(A253="N/A"," ",IF(ISERROR(#REF!),L241*Gasesc,IF(#REF!=0,L241*Gasesc,#REF!)))</f>
        <v> </v>
      </c>
      <c r="M253" s="404"/>
      <c r="N253" s="401" t="str">
        <f aca="false">IF(A253="N/A"," ",VLOOKUP(A253,PeakPowerCurves,(IF(BMO1=2,3,IF(BMO1=1,2,4))),FALSE()))</f>
        <v> </v>
      </c>
      <c r="O253" s="401" t="str">
        <f aca="false">IF(A253="N/A"," ",VLOOKUP(A253,SatSunPeakPwr,(IF(BMO1=2,3,IF(BMO1=1,2,4))),FALSE()))</f>
        <v> </v>
      </c>
      <c r="P253" s="401" t="str">
        <f aca="false">IF(A253="N/A"," ",VLOOKUP(A253,SatSunPeakPwr,(IF(BMO1=2,7,IF(BMO1=1,6,8))),FALSE()))</f>
        <v> </v>
      </c>
      <c r="Q253" s="402" t="str">
        <f aca="false">IF(A253="N/A"," ",(VLOOKUP(A253,OPPowerPrices,(IF(BMO1=2,7,IF(BMO1=1,6,8))),FALSE())))</f>
        <v> </v>
      </c>
      <c r="R253" s="403" t="str">
        <f aca="false">IF(A253="N/A"," ",(VLOOKUP($A253,IRTable,2)))</f>
        <v> </v>
      </c>
      <c r="AF253" s="352" t="n">
        <v>44136</v>
      </c>
      <c r="AG253" s="311" t="n">
        <v>20</v>
      </c>
      <c r="AH253" s="311" t="n">
        <v>4</v>
      </c>
      <c r="AI253" s="311" t="n">
        <v>6</v>
      </c>
      <c r="AJ253" s="311" t="n">
        <v>1</v>
      </c>
      <c r="AK253" s="311" t="n">
        <v>30</v>
      </c>
      <c r="AU253" s="406"/>
    </row>
    <row r="254" customFormat="false" ht="12.75" hidden="false" customHeight="false" outlineLevel="0" collapsed="false">
      <c r="A254" s="405" t="str">
        <f aca="false">Option1!A221</f>
        <v>N/A</v>
      </c>
      <c r="B254" s="396" t="str">
        <f aca="false">IF(A254="N/A"," ",IF(ISERROR(N254),B242*Pwresc,N254)*VLOOKUP(MONTH(A254),Curveadj,3))</f>
        <v> </v>
      </c>
      <c r="C254" s="397" t="str">
        <f aca="false">IF(A254="N/A"," ",(IF(AND(Scaler1=1,MONTH(A254)&gt;=6,MONTH(A254)&lt;=8,OR($M$37="REGION 2",$M$37="REGION 2A",$M$37="REGION 2B",$M$37="REGION 3",$M$37="REGION 3A",$M$37="REGION 3B",$M$37="REGION 3C",$M$37="REGION 4",$M$37="REGION 4B",$M$37="REGION 4C",$M$37="REGION 5",$M$37="REGION 5A")),((0.059228/(B254/100))-(0.4980013/(SQRT(B254/100)))+2.137988),HLOOKUP(MONTH(A254),ScalarTable,28))))</f>
        <v> </v>
      </c>
      <c r="D254" s="398" t="str">
        <f aca="false">IF(A254="N/A"," ",C254*B254)</f>
        <v> </v>
      </c>
      <c r="E254" s="396" t="str">
        <f aca="false">IF(A254="N/A"," ",IF(ISERROR(O254),E242*Pwresc,O254)*VLOOKUP(MONTH(A254),Curveadj,3))</f>
        <v> </v>
      </c>
      <c r="F254" s="398" t="str">
        <f aca="false">IF(A254="N/A"," ",E254*C254)</f>
        <v> </v>
      </c>
      <c r="G254" s="396" t="str">
        <f aca="false">IF(A254="N/A"," ",IF(ISERROR(P254),G242*Pwresc,P254)*VLOOKUP(MONTH(A254),Curveadj,3))</f>
        <v> </v>
      </c>
      <c r="H254" s="398" t="str">
        <f aca="false">IF(A254="N/A"," ",G254*C254)</f>
        <v> </v>
      </c>
      <c r="I254" s="398" t="str">
        <f aca="false">IF(A254="N/A"," ",IF(ISERROR(Q254),I242*Pwresc,Q254))</f>
        <v> </v>
      </c>
      <c r="J254" s="398" t="str">
        <f aca="false">IF(A254="N/A"," ",Inputs!$G$4)</f>
        <v> </v>
      </c>
      <c r="K254" s="399" t="str">
        <f aca="false">IF(A254="N/A"," ",IF(ISERROR(#REF!),K242*Gasesc,#REF!))</f>
        <v> </v>
      </c>
      <c r="L254" s="399" t="str">
        <f aca="false">IF(A254="N/A"," ",IF(ISERROR(#REF!),L242*Gasesc,IF(#REF!=0,L242*Gasesc,#REF!)))</f>
        <v> </v>
      </c>
      <c r="M254" s="404"/>
      <c r="N254" s="401" t="str">
        <f aca="false">IF(A254="N/A"," ",VLOOKUP(A254,PeakPowerCurves,(IF(BMO1=2,3,IF(BMO1=1,2,4))),FALSE()))</f>
        <v> </v>
      </c>
      <c r="O254" s="401" t="str">
        <f aca="false">IF(A254="N/A"," ",VLOOKUP(A254,SatSunPeakPwr,(IF(BMO1=2,3,IF(BMO1=1,2,4))),FALSE()))</f>
        <v> </v>
      </c>
      <c r="P254" s="401" t="str">
        <f aca="false">IF(A254="N/A"," ",VLOOKUP(A254,SatSunPeakPwr,(IF(BMO1=2,7,IF(BMO1=1,6,8))),FALSE()))</f>
        <v> </v>
      </c>
      <c r="Q254" s="402" t="str">
        <f aca="false">IF(A254="N/A"," ",(VLOOKUP(A254,OPPowerPrices,(IF(BMO1=2,7,IF(BMO1=1,6,8))),FALSE())))</f>
        <v> </v>
      </c>
      <c r="R254" s="403" t="str">
        <f aca="false">IF(A254="N/A"," ",(VLOOKUP($A254,IRTable,2)))</f>
        <v> </v>
      </c>
      <c r="AF254" s="352" t="n">
        <v>44166</v>
      </c>
      <c r="AG254" s="311" t="n">
        <v>22</v>
      </c>
      <c r="AH254" s="311" t="n">
        <v>4</v>
      </c>
      <c r="AI254" s="311" t="n">
        <v>5</v>
      </c>
      <c r="AJ254" s="311" t="n">
        <v>1</v>
      </c>
      <c r="AK254" s="311" t="n">
        <v>31</v>
      </c>
      <c r="AU254" s="406"/>
    </row>
    <row r="255" customFormat="false" ht="12.75" hidden="false" customHeight="false" outlineLevel="0" collapsed="false">
      <c r="A255" s="405" t="str">
        <f aca="false">Option1!A222</f>
        <v>N/A</v>
      </c>
      <c r="B255" s="396" t="str">
        <f aca="false">IF(A255="N/A"," ",IF(ISERROR(N255),B243*Pwresc,N255)*VLOOKUP(MONTH(A255),Curveadj,3))</f>
        <v> </v>
      </c>
      <c r="C255" s="397" t="str">
        <f aca="false">IF(A255="N/A"," ",(IF(AND(Scaler1=1,MONTH(A255)&gt;=6,MONTH(A255)&lt;=8,OR($M$37="REGION 2",$M$37="REGION 2A",$M$37="REGION 2B",$M$37="REGION 3",$M$37="REGION 3A",$M$37="REGION 3B",$M$37="REGION 3C",$M$37="REGION 4",$M$37="REGION 4B",$M$37="REGION 4C",$M$37="REGION 5",$M$37="REGION 5A")),((0.059228/(B255/100))-(0.4980013/(SQRT(B255/100)))+2.137988),HLOOKUP(MONTH(A255),ScalarTable,28))))</f>
        <v> </v>
      </c>
      <c r="D255" s="398" t="str">
        <f aca="false">IF(A255="N/A"," ",C255*B255)</f>
        <v> </v>
      </c>
      <c r="E255" s="396" t="str">
        <f aca="false">IF(A255="N/A"," ",IF(ISERROR(O255),E243*Pwresc,O255)*VLOOKUP(MONTH(A255),Curveadj,3))</f>
        <v> </v>
      </c>
      <c r="F255" s="398" t="str">
        <f aca="false">IF(A255="N/A"," ",E255*C255)</f>
        <v> </v>
      </c>
      <c r="G255" s="396" t="str">
        <f aca="false">IF(A255="N/A"," ",IF(ISERROR(P255),G243*Pwresc,P255)*VLOOKUP(MONTH(A255),Curveadj,3))</f>
        <v> </v>
      </c>
      <c r="H255" s="398" t="str">
        <f aca="false">IF(A255="N/A"," ",G255*C255)</f>
        <v> </v>
      </c>
      <c r="I255" s="398" t="str">
        <f aca="false">IF(A255="N/A"," ",IF(ISERROR(Q255),I243*Pwresc,Q255))</f>
        <v> </v>
      </c>
      <c r="J255" s="398" t="str">
        <f aca="false">IF(A255="N/A"," ",Inputs!$G$4)</f>
        <v> </v>
      </c>
      <c r="K255" s="399" t="str">
        <f aca="false">IF(A255="N/A"," ",IF(ISERROR(#REF!),K243*Gasesc,#REF!))</f>
        <v> </v>
      </c>
      <c r="L255" s="399" t="str">
        <f aca="false">IF(A255="N/A"," ",IF(ISERROR(#REF!),L243*Gasesc,IF(#REF!=0,L243*Gasesc,#REF!)))</f>
        <v> </v>
      </c>
      <c r="M255" s="404"/>
      <c r="N255" s="401" t="str">
        <f aca="false">IF(A255="N/A"," ",VLOOKUP(A255,PeakPowerCurves,(IF(BMO1=2,3,IF(BMO1=1,2,4))),FALSE()))</f>
        <v> </v>
      </c>
      <c r="O255" s="401" t="str">
        <f aca="false">IF(A255="N/A"," ",VLOOKUP(A255,SatSunPeakPwr,(IF(BMO1=2,3,IF(BMO1=1,2,4))),FALSE()))</f>
        <v> </v>
      </c>
      <c r="P255" s="401" t="str">
        <f aca="false">IF(A255="N/A"," ",VLOOKUP(A255,SatSunPeakPwr,(IF(BMO1=2,7,IF(BMO1=1,6,8))),FALSE()))</f>
        <v> </v>
      </c>
      <c r="Q255" s="402" t="str">
        <f aca="false">IF(A255="N/A"," ",(VLOOKUP(A255,OPPowerPrices,(IF(BMO1=2,7,IF(BMO1=1,6,8))),FALSE())))</f>
        <v> </v>
      </c>
      <c r="R255" s="403" t="str">
        <f aca="false">IF(A255="N/A"," ",(VLOOKUP($A255,IRTable,2)))</f>
        <v> </v>
      </c>
      <c r="AF255" s="352" t="n">
        <f aca="false">EOMONTH(AF254,0)+1</f>
        <v>44197</v>
      </c>
      <c r="AG255" s="311" t="n">
        <v>22</v>
      </c>
      <c r="AH255" s="311" t="n">
        <v>4</v>
      </c>
      <c r="AI255" s="311" t="n">
        <v>5</v>
      </c>
      <c r="AJ255" s="311" t="n">
        <v>1</v>
      </c>
      <c r="AK255" s="311" t="n">
        <v>31</v>
      </c>
      <c r="AU255" s="406"/>
    </row>
    <row r="256" customFormat="false" ht="12.75" hidden="false" customHeight="false" outlineLevel="0" collapsed="false">
      <c r="A256" s="405" t="str">
        <f aca="false">Option1!A223</f>
        <v>N/A</v>
      </c>
      <c r="B256" s="396" t="str">
        <f aca="false">IF(A256="N/A"," ",IF(ISERROR(N256),B244*Pwresc,N256)*VLOOKUP(MONTH(A256),Curveadj,3))</f>
        <v> </v>
      </c>
      <c r="C256" s="397" t="str">
        <f aca="false">IF(A256="N/A"," ",(IF(AND(Scaler1=1,MONTH(A256)&gt;=6,MONTH(A256)&lt;=8,OR($M$37="REGION 2",$M$37="REGION 2A",$M$37="REGION 2B",$M$37="REGION 3",$M$37="REGION 3A",$M$37="REGION 3B",$M$37="REGION 3C",$M$37="REGION 4",$M$37="REGION 4B",$M$37="REGION 4C",$M$37="REGION 5",$M$37="REGION 5A")),((0.059228/(B256/100))-(0.4980013/(SQRT(B256/100)))+2.137988),HLOOKUP(MONTH(A256),ScalarTable,28))))</f>
        <v> </v>
      </c>
      <c r="D256" s="398" t="str">
        <f aca="false">IF(A256="N/A"," ",C256*B256)</f>
        <v> </v>
      </c>
      <c r="E256" s="396" t="str">
        <f aca="false">IF(A256="N/A"," ",IF(ISERROR(O256),E244*Pwresc,O256)*VLOOKUP(MONTH(A256),Curveadj,3))</f>
        <v> </v>
      </c>
      <c r="F256" s="398" t="str">
        <f aca="false">IF(A256="N/A"," ",E256*C256)</f>
        <v> </v>
      </c>
      <c r="G256" s="396" t="str">
        <f aca="false">IF(A256="N/A"," ",IF(ISERROR(P256),G244*Pwresc,P256)*VLOOKUP(MONTH(A256),Curveadj,3))</f>
        <v> </v>
      </c>
      <c r="H256" s="398" t="str">
        <f aca="false">IF(A256="N/A"," ",G256*C256)</f>
        <v> </v>
      </c>
      <c r="I256" s="398" t="str">
        <f aca="false">IF(A256="N/A"," ",IF(ISERROR(Q256),I244*Pwresc,Q256))</f>
        <v> </v>
      </c>
      <c r="J256" s="398" t="str">
        <f aca="false">IF(A256="N/A"," ",Inputs!$G$4)</f>
        <v> </v>
      </c>
      <c r="K256" s="399" t="str">
        <f aca="false">IF(A256="N/A"," ",IF(ISERROR(#REF!),K244*Gasesc,#REF!))</f>
        <v> </v>
      </c>
      <c r="L256" s="399" t="str">
        <f aca="false">IF(A256="N/A"," ",IF(ISERROR(#REF!),L244*Gasesc,IF(#REF!=0,L244*Gasesc,#REF!)))</f>
        <v> </v>
      </c>
      <c r="M256" s="404"/>
      <c r="N256" s="401" t="str">
        <f aca="false">IF(A256="N/A"," ",VLOOKUP(A256,PeakPowerCurves,(IF(BMO1=2,3,IF(BMO1=1,2,4))),FALSE()))</f>
        <v> </v>
      </c>
      <c r="O256" s="401" t="str">
        <f aca="false">IF(A256="N/A"," ",VLOOKUP(A256,SatSunPeakPwr,(IF(BMO1=2,3,IF(BMO1=1,2,4))),FALSE()))</f>
        <v> </v>
      </c>
      <c r="P256" s="401" t="str">
        <f aca="false">IF(A256="N/A"," ",VLOOKUP(A256,SatSunPeakPwr,(IF(BMO1=2,7,IF(BMO1=1,6,8))),FALSE()))</f>
        <v> </v>
      </c>
      <c r="Q256" s="402" t="str">
        <f aca="false">IF(A256="N/A"," ",(VLOOKUP(A256,OPPowerPrices,(IF(BMO1=2,7,IF(BMO1=1,6,8))),FALSE())))</f>
        <v> </v>
      </c>
      <c r="R256" s="403" t="str">
        <f aca="false">IF(A256="N/A"," ",(VLOOKUP($A256,IRTable,2)))</f>
        <v> </v>
      </c>
      <c r="AF256" s="352" t="n">
        <f aca="false">EOMONTH(AF255,0)+1</f>
        <v>44228</v>
      </c>
      <c r="AG256" s="311" t="n">
        <v>20</v>
      </c>
      <c r="AH256" s="311" t="n">
        <v>4</v>
      </c>
      <c r="AI256" s="311" t="n">
        <v>4</v>
      </c>
      <c r="AJ256" s="311" t="n">
        <v>0</v>
      </c>
      <c r="AK256" s="311" t="n">
        <v>28</v>
      </c>
      <c r="AU256" s="406"/>
    </row>
    <row r="257" customFormat="false" ht="12.75" hidden="false" customHeight="false" outlineLevel="0" collapsed="false">
      <c r="A257" s="405" t="str">
        <f aca="false">Option1!A224</f>
        <v>N/A</v>
      </c>
      <c r="B257" s="396" t="str">
        <f aca="false">IF(A257="N/A"," ",IF(ISERROR(N257),B245*Pwresc,N257)*VLOOKUP(MONTH(A257),Curveadj,3))</f>
        <v> </v>
      </c>
      <c r="C257" s="397" t="str">
        <f aca="false">IF(A257="N/A"," ",(IF(AND(Scaler1=1,MONTH(A257)&gt;=6,MONTH(A257)&lt;=8,OR($M$37="REGION 2",$M$37="REGION 2A",$M$37="REGION 2B",$M$37="REGION 3",$M$37="REGION 3A",$M$37="REGION 3B",$M$37="REGION 3C",$M$37="REGION 4",$M$37="REGION 4B",$M$37="REGION 4C",$M$37="REGION 5",$M$37="REGION 5A")),((0.059228/(B257/100))-(0.4980013/(SQRT(B257/100)))+2.137988),HLOOKUP(MONTH(A257),ScalarTable,28))))</f>
        <v> </v>
      </c>
      <c r="D257" s="398" t="str">
        <f aca="false">IF(A257="N/A"," ",C257*B257)</f>
        <v> </v>
      </c>
      <c r="E257" s="396" t="str">
        <f aca="false">IF(A257="N/A"," ",IF(ISERROR(O257),E245*Pwresc,O257)*VLOOKUP(MONTH(A257),Curveadj,3))</f>
        <v> </v>
      </c>
      <c r="F257" s="398" t="str">
        <f aca="false">IF(A257="N/A"," ",E257*C257)</f>
        <v> </v>
      </c>
      <c r="G257" s="396" t="str">
        <f aca="false">IF(A257="N/A"," ",IF(ISERROR(P257),G245*Pwresc,P257)*VLOOKUP(MONTH(A257),Curveadj,3))</f>
        <v> </v>
      </c>
      <c r="H257" s="398" t="str">
        <f aca="false">IF(A257="N/A"," ",G257*C257)</f>
        <v> </v>
      </c>
      <c r="I257" s="398" t="str">
        <f aca="false">IF(A257="N/A"," ",IF(ISERROR(Q257),I245*Pwresc,Q257))</f>
        <v> </v>
      </c>
      <c r="J257" s="398" t="str">
        <f aca="false">IF(A257="N/A"," ",Inputs!$G$4)</f>
        <v> </v>
      </c>
      <c r="K257" s="399" t="str">
        <f aca="false">IF(A257="N/A"," ",IF(ISERROR(#REF!),K245*Gasesc,#REF!))</f>
        <v> </v>
      </c>
      <c r="L257" s="399" t="str">
        <f aca="false">IF(A257="N/A"," ",IF(ISERROR(#REF!),L245*Gasesc,IF(#REF!=0,L245*Gasesc,#REF!)))</f>
        <v> </v>
      </c>
      <c r="M257" s="404"/>
      <c r="N257" s="401" t="str">
        <f aca="false">IF(A257="N/A"," ",VLOOKUP(A257,PeakPowerCurves,(IF(BMO1=2,3,IF(BMO1=1,2,4))),FALSE()))</f>
        <v> </v>
      </c>
      <c r="O257" s="401" t="str">
        <f aca="false">IF(A257="N/A"," ",VLOOKUP(A257,SatSunPeakPwr,(IF(BMO1=2,3,IF(BMO1=1,2,4))),FALSE()))</f>
        <v> </v>
      </c>
      <c r="P257" s="401" t="str">
        <f aca="false">IF(A257="N/A"," ",VLOOKUP(A257,SatSunPeakPwr,(IF(BMO1=2,7,IF(BMO1=1,6,8))),FALSE()))</f>
        <v> </v>
      </c>
      <c r="Q257" s="402" t="str">
        <f aca="false">IF(A257="N/A"," ",(VLOOKUP(A257,OPPowerPrices,(IF(BMO1=2,7,IF(BMO1=1,6,8))),FALSE())))</f>
        <v> </v>
      </c>
      <c r="R257" s="403" t="str">
        <f aca="false">IF(A257="N/A"," ",(VLOOKUP($A257,IRTable,2)))</f>
        <v> </v>
      </c>
      <c r="AF257" s="352" t="n">
        <f aca="false">EOMONTH(AF256,0)+1</f>
        <v>44256</v>
      </c>
      <c r="AG257" s="311" t="n">
        <v>21</v>
      </c>
      <c r="AH257" s="311" t="n">
        <v>5</v>
      </c>
      <c r="AI257" s="311" t="n">
        <v>5</v>
      </c>
      <c r="AJ257" s="311" t="n">
        <v>0</v>
      </c>
      <c r="AK257" s="311" t="n">
        <v>31</v>
      </c>
      <c r="AU257" s="406"/>
    </row>
    <row r="258" customFormat="false" ht="12.75" hidden="false" customHeight="false" outlineLevel="0" collapsed="false">
      <c r="A258" s="405" t="str">
        <f aca="false">Option1!A225</f>
        <v>N/A</v>
      </c>
      <c r="B258" s="396" t="str">
        <f aca="false">IF(A258="N/A"," ",IF(ISERROR(N258),B246*Pwresc,N258)*VLOOKUP(MONTH(A258),Curveadj,3))</f>
        <v> </v>
      </c>
      <c r="C258" s="397" t="str">
        <f aca="false">IF(A258="N/A"," ",(IF(AND(Scaler1=1,MONTH(A258)&gt;=6,MONTH(A258)&lt;=8,OR($M$37="REGION 2",$M$37="REGION 2A",$M$37="REGION 2B",$M$37="REGION 3",$M$37="REGION 3A",$M$37="REGION 3B",$M$37="REGION 3C",$M$37="REGION 4",$M$37="REGION 4B",$M$37="REGION 4C",$M$37="REGION 5",$M$37="REGION 5A")),((0.059228/(B258/100))-(0.4980013/(SQRT(B258/100)))+2.137988),HLOOKUP(MONTH(A258),ScalarTable,28))))</f>
        <v> </v>
      </c>
      <c r="D258" s="398" t="str">
        <f aca="false">IF(A258="N/A"," ",C258*B258)</f>
        <v> </v>
      </c>
      <c r="E258" s="396" t="str">
        <f aca="false">IF(A258="N/A"," ",IF(ISERROR(O258),E246*Pwresc,O258)*VLOOKUP(MONTH(A258),Curveadj,3))</f>
        <v> </v>
      </c>
      <c r="F258" s="398" t="str">
        <f aca="false">IF(A258="N/A"," ",E258*C258)</f>
        <v> </v>
      </c>
      <c r="G258" s="396" t="str">
        <f aca="false">IF(A258="N/A"," ",IF(ISERROR(P258),G246*Pwresc,P258)*VLOOKUP(MONTH(A258),Curveadj,3))</f>
        <v> </v>
      </c>
      <c r="H258" s="398" t="str">
        <f aca="false">IF(A258="N/A"," ",G258*C258)</f>
        <v> </v>
      </c>
      <c r="I258" s="398" t="str">
        <f aca="false">IF(A258="N/A"," ",IF(ISERROR(Q258),I246*Pwresc,Q258))</f>
        <v> </v>
      </c>
      <c r="J258" s="398" t="str">
        <f aca="false">IF(A258="N/A"," ",Inputs!$G$4)</f>
        <v> </v>
      </c>
      <c r="K258" s="399" t="str">
        <f aca="false">IF(A258="N/A"," ",IF(ISERROR(#REF!),K246*Gasesc,#REF!))</f>
        <v> </v>
      </c>
      <c r="L258" s="399" t="str">
        <f aca="false">IF(A258="N/A"," ",IF(ISERROR(#REF!),L246*Gasesc,IF(#REF!=0,L246*Gasesc,#REF!)))</f>
        <v> </v>
      </c>
      <c r="M258" s="404"/>
      <c r="N258" s="401" t="str">
        <f aca="false">IF(A258="N/A"," ",VLOOKUP(A258,PeakPowerCurves,(IF(BMO1=2,3,IF(BMO1=1,2,4))),FALSE()))</f>
        <v> </v>
      </c>
      <c r="O258" s="401" t="str">
        <f aca="false">IF(A258="N/A"," ",VLOOKUP(A258,SatSunPeakPwr,(IF(BMO1=2,3,IF(BMO1=1,2,4))),FALSE()))</f>
        <v> </v>
      </c>
      <c r="P258" s="401" t="str">
        <f aca="false">IF(A258="N/A"," ",VLOOKUP(A258,SatSunPeakPwr,(IF(BMO1=2,7,IF(BMO1=1,6,8))),FALSE()))</f>
        <v> </v>
      </c>
      <c r="Q258" s="402" t="str">
        <f aca="false">IF(A258="N/A"," ",(VLOOKUP(A258,OPPowerPrices,(IF(BMO1=2,7,IF(BMO1=1,6,8))),FALSE())))</f>
        <v> </v>
      </c>
      <c r="R258" s="403" t="str">
        <f aca="false">IF(A258="N/A"," ",(VLOOKUP($A258,IRTable,2)))</f>
        <v> </v>
      </c>
      <c r="AF258" s="352" t="n">
        <f aca="false">EOMONTH(AF257,0)+1</f>
        <v>44287</v>
      </c>
      <c r="AG258" s="311" t="n">
        <v>22</v>
      </c>
      <c r="AH258" s="311" t="n">
        <v>4</v>
      </c>
      <c r="AI258" s="311" t="n">
        <v>4</v>
      </c>
      <c r="AJ258" s="311" t="n">
        <v>0</v>
      </c>
      <c r="AK258" s="311" t="n">
        <v>30</v>
      </c>
      <c r="AU258" s="406"/>
    </row>
    <row r="259" customFormat="false" ht="12.75" hidden="false" customHeight="false" outlineLevel="0" collapsed="false">
      <c r="A259" s="405" t="str">
        <f aca="false">Option1!A226</f>
        <v>N/A</v>
      </c>
      <c r="B259" s="396" t="str">
        <f aca="false">IF(A259="N/A"," ",IF(ISERROR(N259),B247*Pwresc,N259)*VLOOKUP(MONTH(A259),Curveadj,3))</f>
        <v> </v>
      </c>
      <c r="C259" s="397" t="str">
        <f aca="false">IF(A259="N/A"," ",(IF(AND(Scaler1=1,MONTH(A259)&gt;=6,MONTH(A259)&lt;=8,OR($M$37="REGION 2",$M$37="REGION 2A",$M$37="REGION 2B",$M$37="REGION 3",$M$37="REGION 3A",$M$37="REGION 3B",$M$37="REGION 3C",$M$37="REGION 4",$M$37="REGION 4B",$M$37="REGION 4C",$M$37="REGION 5",$M$37="REGION 5A")),((0.059228/(B259/100))-(0.4980013/(SQRT(B259/100)))+2.137988),HLOOKUP(MONTH(A259),ScalarTable,28))))</f>
        <v> </v>
      </c>
      <c r="D259" s="398" t="str">
        <f aca="false">IF(A259="N/A"," ",C259*B259)</f>
        <v> </v>
      </c>
      <c r="E259" s="396" t="str">
        <f aca="false">IF(A259="N/A"," ",IF(ISERROR(O259),E247*Pwresc,O259)*VLOOKUP(MONTH(A259),Curveadj,3))</f>
        <v> </v>
      </c>
      <c r="F259" s="398" t="str">
        <f aca="false">IF(A259="N/A"," ",E259*C259)</f>
        <v> </v>
      </c>
      <c r="G259" s="396" t="str">
        <f aca="false">IF(A259="N/A"," ",IF(ISERROR(P259),G247*Pwresc,P259)*VLOOKUP(MONTH(A259),Curveadj,3))</f>
        <v> </v>
      </c>
      <c r="H259" s="398" t="str">
        <f aca="false">IF(A259="N/A"," ",G259*C259)</f>
        <v> </v>
      </c>
      <c r="I259" s="398" t="str">
        <f aca="false">IF(A259="N/A"," ",IF(ISERROR(Q259),I247*Pwresc,Q259))</f>
        <v> </v>
      </c>
      <c r="J259" s="398" t="str">
        <f aca="false">IF(A259="N/A"," ",Inputs!$G$4)</f>
        <v> </v>
      </c>
      <c r="K259" s="399" t="str">
        <f aca="false">IF(A259="N/A"," ",IF(ISERROR(#REF!),K247*Gasesc,#REF!))</f>
        <v> </v>
      </c>
      <c r="L259" s="399" t="str">
        <f aca="false">IF(A259="N/A"," ",IF(ISERROR(#REF!),L247*Gasesc,IF(#REF!=0,L247*Gasesc,#REF!)))</f>
        <v> </v>
      </c>
      <c r="M259" s="404"/>
      <c r="N259" s="401" t="str">
        <f aca="false">IF(A259="N/A"," ",VLOOKUP(A259,PeakPowerCurves,(IF(BMO1=2,3,IF(BMO1=1,2,4))),FALSE()))</f>
        <v> </v>
      </c>
      <c r="O259" s="401" t="str">
        <f aca="false">IF(A259="N/A"," ",VLOOKUP(A259,SatSunPeakPwr,(IF(BMO1=2,3,IF(BMO1=1,2,4))),FALSE()))</f>
        <v> </v>
      </c>
      <c r="P259" s="401" t="str">
        <f aca="false">IF(A259="N/A"," ",VLOOKUP(A259,SatSunPeakPwr,(IF(BMO1=2,7,IF(BMO1=1,6,8))),FALSE()))</f>
        <v> </v>
      </c>
      <c r="Q259" s="402" t="str">
        <f aca="false">IF(A259="N/A"," ",(VLOOKUP(A259,OPPowerPrices,(IF(BMO1=2,7,IF(BMO1=1,6,8))),FALSE())))</f>
        <v> </v>
      </c>
      <c r="R259" s="403" t="str">
        <f aca="false">IF(A259="N/A"," ",(VLOOKUP($A259,IRTable,2)))</f>
        <v> </v>
      </c>
      <c r="AF259" s="352" t="n">
        <f aca="false">EOMONTH(AF258,0)+1</f>
        <v>44317</v>
      </c>
      <c r="AG259" s="311" t="n">
        <v>22</v>
      </c>
      <c r="AH259" s="311" t="n">
        <v>4</v>
      </c>
      <c r="AI259" s="311" t="n">
        <v>5</v>
      </c>
      <c r="AJ259" s="311" t="n">
        <v>1</v>
      </c>
      <c r="AK259" s="311" t="n">
        <v>31</v>
      </c>
      <c r="AU259" s="406"/>
    </row>
    <row r="260" customFormat="false" ht="12.75" hidden="false" customHeight="false" outlineLevel="0" collapsed="false">
      <c r="A260" s="405" t="str">
        <f aca="false">Option1!A227</f>
        <v>N/A</v>
      </c>
      <c r="B260" s="396" t="str">
        <f aca="false">IF(A260="N/A"," ",IF(ISERROR(N260),B248*Pwresc,N260)*VLOOKUP(MONTH(A260),Curveadj,3))</f>
        <v> </v>
      </c>
      <c r="C260" s="397" t="str">
        <f aca="false">IF(A260="N/A"," ",(IF(AND(Scaler1=1,MONTH(A260)&gt;=6,MONTH(A260)&lt;=8,OR($M$37="REGION 2",$M$37="REGION 2A",$M$37="REGION 2B",$M$37="REGION 3",$M$37="REGION 3A",$M$37="REGION 3B",$M$37="REGION 3C",$M$37="REGION 4",$M$37="REGION 4B",$M$37="REGION 4C",$M$37="REGION 5",$M$37="REGION 5A")),((0.059228/(B260/100))-(0.4980013/(SQRT(B260/100)))+2.137988),HLOOKUP(MONTH(A260),ScalarTable,28))))</f>
        <v> </v>
      </c>
      <c r="D260" s="398" t="str">
        <f aca="false">IF(A260="N/A"," ",C260*B260)</f>
        <v> </v>
      </c>
      <c r="E260" s="396" t="str">
        <f aca="false">IF(A260="N/A"," ",IF(ISERROR(O260),E248*Pwresc,O260)*VLOOKUP(MONTH(A260),Curveadj,3))</f>
        <v> </v>
      </c>
      <c r="F260" s="398" t="str">
        <f aca="false">IF(A260="N/A"," ",E260*C260)</f>
        <v> </v>
      </c>
      <c r="G260" s="396" t="str">
        <f aca="false">IF(A260="N/A"," ",IF(ISERROR(P260),G248*Pwresc,P260)*VLOOKUP(MONTH(A260),Curveadj,3))</f>
        <v> </v>
      </c>
      <c r="H260" s="398" t="str">
        <f aca="false">IF(A260="N/A"," ",G260*C260)</f>
        <v> </v>
      </c>
      <c r="I260" s="398" t="str">
        <f aca="false">IF(A260="N/A"," ",IF(ISERROR(Q260),I248*Pwresc,Q260))</f>
        <v> </v>
      </c>
      <c r="J260" s="398" t="str">
        <f aca="false">IF(A260="N/A"," ",Inputs!$G$4)</f>
        <v> </v>
      </c>
      <c r="K260" s="399" t="str">
        <f aca="false">IF(A260="N/A"," ",IF(ISERROR(#REF!),K248*Gasesc,#REF!))</f>
        <v> </v>
      </c>
      <c r="L260" s="399" t="str">
        <f aca="false">IF(A260="N/A"," ",IF(ISERROR(#REF!),L248*Gasesc,IF(#REF!=0,L248*Gasesc,#REF!)))</f>
        <v> </v>
      </c>
      <c r="M260" s="404"/>
      <c r="N260" s="401" t="str">
        <f aca="false">IF(A260="N/A"," ",VLOOKUP(A260,PeakPowerCurves,(IF(BMO1=2,3,IF(BMO1=1,2,4))),FALSE()))</f>
        <v> </v>
      </c>
      <c r="O260" s="401" t="str">
        <f aca="false">IF(A260="N/A"," ",VLOOKUP(A260,SatSunPeakPwr,(IF(BMO1=2,3,IF(BMO1=1,2,4))),FALSE()))</f>
        <v> </v>
      </c>
      <c r="P260" s="401" t="str">
        <f aca="false">IF(A260="N/A"," ",VLOOKUP(A260,SatSunPeakPwr,(IF(BMO1=2,7,IF(BMO1=1,6,8))),FALSE()))</f>
        <v> </v>
      </c>
      <c r="Q260" s="402" t="str">
        <f aca="false">IF(A260="N/A"," ",(VLOOKUP(A260,OPPowerPrices,(IF(BMO1=2,7,IF(BMO1=1,6,8))),FALSE())))</f>
        <v> </v>
      </c>
      <c r="R260" s="403" t="str">
        <f aca="false">IF(A260="N/A"," ",(VLOOKUP($A260,IRTable,2)))</f>
        <v> </v>
      </c>
      <c r="AF260" s="352" t="n">
        <f aca="false">EOMONTH(AF259,0)+1</f>
        <v>44348</v>
      </c>
      <c r="AG260" s="311" t="n">
        <v>20</v>
      </c>
      <c r="AH260" s="311" t="n">
        <v>5</v>
      </c>
      <c r="AI260" s="311" t="n">
        <v>5</v>
      </c>
      <c r="AJ260" s="311" t="n">
        <v>0</v>
      </c>
      <c r="AK260" s="311" t="n">
        <v>30</v>
      </c>
      <c r="AU260" s="406"/>
    </row>
    <row r="261" customFormat="false" ht="12.75" hidden="false" customHeight="false" outlineLevel="0" collapsed="false">
      <c r="A261" s="405" t="str">
        <f aca="false">Option1!A228</f>
        <v>N/A</v>
      </c>
      <c r="B261" s="396" t="str">
        <f aca="false">IF(A261="N/A"," ",IF(ISERROR(N261),B249*Pwresc,N261)*VLOOKUP(MONTH(A261),Curveadj,3))</f>
        <v> </v>
      </c>
      <c r="C261" s="397" t="str">
        <f aca="false">IF(A261="N/A"," ",(IF(AND(Scaler1=1,MONTH(A261)&gt;=6,MONTH(A261)&lt;=8,OR($M$37="REGION 2",$M$37="REGION 2A",$M$37="REGION 2B",$M$37="REGION 3",$M$37="REGION 3A",$M$37="REGION 3B",$M$37="REGION 3C",$M$37="REGION 4",$M$37="REGION 4B",$M$37="REGION 4C",$M$37="REGION 5",$M$37="REGION 5A")),((0.059228/(B261/100))-(0.4980013/(SQRT(B261/100)))+2.137988),HLOOKUP(MONTH(A261),ScalarTable,28))))</f>
        <v> </v>
      </c>
      <c r="D261" s="398" t="str">
        <f aca="false">IF(A261="N/A"," ",C261*B261)</f>
        <v> </v>
      </c>
      <c r="E261" s="396" t="str">
        <f aca="false">IF(A261="N/A"," ",IF(ISERROR(O261),E249*Pwresc,O261)*VLOOKUP(MONTH(A261),Curveadj,3))</f>
        <v> </v>
      </c>
      <c r="F261" s="398" t="str">
        <f aca="false">IF(A261="N/A"," ",E261*C261)</f>
        <v> </v>
      </c>
      <c r="G261" s="396" t="str">
        <f aca="false">IF(A261="N/A"," ",IF(ISERROR(P261),G249*Pwresc,P261)*VLOOKUP(MONTH(A261),Curveadj,3))</f>
        <v> </v>
      </c>
      <c r="H261" s="398" t="str">
        <f aca="false">IF(A261="N/A"," ",G261*C261)</f>
        <v> </v>
      </c>
      <c r="I261" s="398" t="str">
        <f aca="false">IF(A261="N/A"," ",IF(ISERROR(Q261),I249*Pwresc,Q261))</f>
        <v> </v>
      </c>
      <c r="J261" s="398" t="str">
        <f aca="false">IF(A261="N/A"," ",Inputs!$G$4)</f>
        <v> </v>
      </c>
      <c r="K261" s="399" t="str">
        <f aca="false">IF(A261="N/A"," ",IF(ISERROR(#REF!),K249*Gasesc,#REF!))</f>
        <v> </v>
      </c>
      <c r="L261" s="399" t="str">
        <f aca="false">IF(A261="N/A"," ",IF(ISERROR(#REF!),L249*Gasesc,IF(#REF!=0,L249*Gasesc,#REF!)))</f>
        <v> </v>
      </c>
      <c r="M261" s="404"/>
      <c r="N261" s="401" t="str">
        <f aca="false">IF(A261="N/A"," ",VLOOKUP(A261,PeakPowerCurves,(IF(BMO1=2,3,IF(BMO1=1,2,4))),FALSE()))</f>
        <v> </v>
      </c>
      <c r="O261" s="401" t="str">
        <f aca="false">IF(A261="N/A"," ",VLOOKUP(A261,SatSunPeakPwr,(IF(BMO1=2,3,IF(BMO1=1,2,4))),FALSE()))</f>
        <v> </v>
      </c>
      <c r="P261" s="401" t="str">
        <f aca="false">IF(A261="N/A"," ",VLOOKUP(A261,SatSunPeakPwr,(IF(BMO1=2,7,IF(BMO1=1,6,8))),FALSE()))</f>
        <v> </v>
      </c>
      <c r="Q261" s="402" t="str">
        <f aca="false">IF(A261="N/A"," ",(VLOOKUP(A261,OPPowerPrices,(IF(BMO1=2,7,IF(BMO1=1,6,8))),FALSE())))</f>
        <v> </v>
      </c>
      <c r="R261" s="403" t="str">
        <f aca="false">IF(A261="N/A"," ",(VLOOKUP($A261,IRTable,2)))</f>
        <v> </v>
      </c>
      <c r="AF261" s="352" t="n">
        <f aca="false">EOMONTH(AF260,0)+1</f>
        <v>44378</v>
      </c>
      <c r="AG261" s="311" t="n">
        <v>22</v>
      </c>
      <c r="AH261" s="311" t="n">
        <v>4</v>
      </c>
      <c r="AI261" s="311" t="n">
        <v>5</v>
      </c>
      <c r="AJ261" s="311" t="n">
        <v>1</v>
      </c>
      <c r="AK261" s="311" t="n">
        <v>31</v>
      </c>
      <c r="AU261" s="406"/>
    </row>
    <row r="262" customFormat="false" ht="12.75" hidden="false" customHeight="false" outlineLevel="0" collapsed="false">
      <c r="A262" s="405" t="str">
        <f aca="false">Option1!A229</f>
        <v>N/A</v>
      </c>
      <c r="B262" s="396" t="str">
        <f aca="false">IF(A262="N/A"," ",IF(ISERROR(N262),B250*Pwresc,N262)*VLOOKUP(MONTH(A262),Curveadj,3))</f>
        <v> </v>
      </c>
      <c r="C262" s="397" t="str">
        <f aca="false">IF(A262="N/A"," ",(IF(AND(Scaler1=1,MONTH(A262)&gt;=6,MONTH(A262)&lt;=8,OR($M$37="REGION 2",$M$37="REGION 2A",$M$37="REGION 2B",$M$37="REGION 3",$M$37="REGION 3A",$M$37="REGION 3B",$M$37="REGION 3C",$M$37="REGION 4",$M$37="REGION 4B",$M$37="REGION 4C",$M$37="REGION 5",$M$37="REGION 5A")),((0.059228/(B262/100))-(0.4980013/(SQRT(B262/100)))+2.137988),HLOOKUP(MONTH(A262),ScalarTable,28))))</f>
        <v> </v>
      </c>
      <c r="D262" s="398" t="str">
        <f aca="false">IF(A262="N/A"," ",C262*B262)</f>
        <v> </v>
      </c>
      <c r="E262" s="396" t="str">
        <f aca="false">IF(A262="N/A"," ",IF(ISERROR(O262),E250*Pwresc,O262)*VLOOKUP(MONTH(A262),Curveadj,3))</f>
        <v> </v>
      </c>
      <c r="F262" s="398" t="str">
        <f aca="false">IF(A262="N/A"," ",E262*C262)</f>
        <v> </v>
      </c>
      <c r="G262" s="396" t="str">
        <f aca="false">IF(A262="N/A"," ",IF(ISERROR(P262),G250*Pwresc,P262)*VLOOKUP(MONTH(A262),Curveadj,3))</f>
        <v> </v>
      </c>
      <c r="H262" s="398" t="str">
        <f aca="false">IF(A262="N/A"," ",G262*C262)</f>
        <v> </v>
      </c>
      <c r="I262" s="398" t="str">
        <f aca="false">IF(A262="N/A"," ",IF(ISERROR(Q262),I250*Pwresc,Q262))</f>
        <v> </v>
      </c>
      <c r="J262" s="398" t="str">
        <f aca="false">IF(A262="N/A"," ",Inputs!$G$4)</f>
        <v> </v>
      </c>
      <c r="K262" s="399" t="str">
        <f aca="false">IF(A262="N/A"," ",IF(ISERROR(#REF!),K250*Gasesc,#REF!))</f>
        <v> </v>
      </c>
      <c r="L262" s="399" t="str">
        <f aca="false">IF(A262="N/A"," ",IF(ISERROR(#REF!),L250*Gasesc,IF(#REF!=0,L250*Gasesc,#REF!)))</f>
        <v> </v>
      </c>
      <c r="M262" s="404"/>
      <c r="N262" s="401" t="str">
        <f aca="false">IF(A262="N/A"," ",VLOOKUP(A262,PeakPowerCurves,(IF(BMO1=2,3,IF(BMO1=1,2,4))),FALSE()))</f>
        <v> </v>
      </c>
      <c r="O262" s="401" t="str">
        <f aca="false">IF(A262="N/A"," ",VLOOKUP(A262,SatSunPeakPwr,(IF(BMO1=2,3,IF(BMO1=1,2,4))),FALSE()))</f>
        <v> </v>
      </c>
      <c r="P262" s="401" t="str">
        <f aca="false">IF(A262="N/A"," ",VLOOKUP(A262,SatSunPeakPwr,(IF(BMO1=2,7,IF(BMO1=1,6,8))),FALSE()))</f>
        <v> </v>
      </c>
      <c r="Q262" s="402" t="str">
        <f aca="false">IF(A262="N/A"," ",(VLOOKUP(A262,OPPowerPrices,(IF(BMO1=2,7,IF(BMO1=1,6,8))),FALSE())))</f>
        <v> </v>
      </c>
      <c r="R262" s="403" t="str">
        <f aca="false">IF(A262="N/A"," ",(VLOOKUP($A262,IRTable,2)))</f>
        <v> </v>
      </c>
      <c r="AF262" s="352" t="n">
        <f aca="false">EOMONTH(AF261,0)+1</f>
        <v>44409</v>
      </c>
      <c r="AG262" s="311" t="n">
        <v>22</v>
      </c>
      <c r="AH262" s="311" t="n">
        <v>5</v>
      </c>
      <c r="AI262" s="311" t="n">
        <v>4</v>
      </c>
      <c r="AJ262" s="311" t="n">
        <v>0</v>
      </c>
      <c r="AK262" s="311" t="n">
        <v>31</v>
      </c>
      <c r="AU262" s="406"/>
    </row>
    <row r="263" customFormat="false" ht="12.75" hidden="false" customHeight="false" outlineLevel="0" collapsed="false">
      <c r="A263" s="405" t="str">
        <f aca="false">Option1!A230</f>
        <v>N/A</v>
      </c>
      <c r="B263" s="396" t="str">
        <f aca="false">IF(A263="N/A"," ",IF(ISERROR(N263),B251*Pwresc,N263)*VLOOKUP(MONTH(A263),Curveadj,3))</f>
        <v> </v>
      </c>
      <c r="C263" s="397" t="str">
        <f aca="false">IF(A263="N/A"," ",(IF(AND(Scaler1=1,MONTH(A263)&gt;=6,MONTH(A263)&lt;=8,OR($M$37="REGION 2",$M$37="REGION 2A",$M$37="REGION 2B",$M$37="REGION 3",$M$37="REGION 3A",$M$37="REGION 3B",$M$37="REGION 3C",$M$37="REGION 4",$M$37="REGION 4B",$M$37="REGION 4C",$M$37="REGION 5",$M$37="REGION 5A")),((0.059228/(B263/100))-(0.4980013/(SQRT(B263/100)))+2.137988),HLOOKUP(MONTH(A263),ScalarTable,28))))</f>
        <v> </v>
      </c>
      <c r="D263" s="398" t="str">
        <f aca="false">IF(A263="N/A"," ",C263*B263)</f>
        <v> </v>
      </c>
      <c r="E263" s="396" t="str">
        <f aca="false">IF(A263="N/A"," ",IF(ISERROR(O263),E251*Pwresc,O263)*VLOOKUP(MONTH(A263),Curveadj,3))</f>
        <v> </v>
      </c>
      <c r="F263" s="398" t="str">
        <f aca="false">IF(A263="N/A"," ",E263*C263)</f>
        <v> </v>
      </c>
      <c r="G263" s="396" t="str">
        <f aca="false">IF(A263="N/A"," ",IF(ISERROR(P263),G251*Pwresc,P263)*VLOOKUP(MONTH(A263),Curveadj,3))</f>
        <v> </v>
      </c>
      <c r="H263" s="398" t="str">
        <f aca="false">IF(A263="N/A"," ",G263*C263)</f>
        <v> </v>
      </c>
      <c r="I263" s="398" t="str">
        <f aca="false">IF(A263="N/A"," ",IF(ISERROR(Q263),I251*Pwresc,Q263))</f>
        <v> </v>
      </c>
      <c r="J263" s="398" t="str">
        <f aca="false">IF(A263="N/A"," ",Inputs!$G$4)</f>
        <v> </v>
      </c>
      <c r="K263" s="399" t="str">
        <f aca="false">IF(A263="N/A"," ",IF(ISERROR(#REF!),K251*Gasesc,#REF!))</f>
        <v> </v>
      </c>
      <c r="L263" s="399" t="str">
        <f aca="false">IF(A263="N/A"," ",IF(ISERROR(#REF!),L251*Gasesc,IF(#REF!=0,L251*Gasesc,#REF!)))</f>
        <v> </v>
      </c>
      <c r="M263" s="404"/>
      <c r="N263" s="401" t="str">
        <f aca="false">IF(A263="N/A"," ",VLOOKUP(A263,PeakPowerCurves,(IF(BMO1=2,3,IF(BMO1=1,2,4))),FALSE()))</f>
        <v> </v>
      </c>
      <c r="O263" s="401" t="str">
        <f aca="false">IF(A263="N/A"," ",VLOOKUP(A263,SatSunPeakPwr,(IF(BMO1=2,3,IF(BMO1=1,2,4))),FALSE()))</f>
        <v> </v>
      </c>
      <c r="P263" s="401" t="str">
        <f aca="false">IF(A263="N/A"," ",VLOOKUP(A263,SatSunPeakPwr,(IF(BMO1=2,7,IF(BMO1=1,6,8))),FALSE()))</f>
        <v> </v>
      </c>
      <c r="Q263" s="402" t="str">
        <f aca="false">IF(A263="N/A"," ",(VLOOKUP(A263,OPPowerPrices,(IF(BMO1=2,7,IF(BMO1=1,6,8))),FALSE())))</f>
        <v> </v>
      </c>
      <c r="R263" s="403" t="str">
        <f aca="false">IF(A263="N/A"," ",(VLOOKUP($A263,IRTable,2)))</f>
        <v> </v>
      </c>
      <c r="AF263" s="352" t="n">
        <f aca="false">EOMONTH(AF262,0)+1</f>
        <v>44440</v>
      </c>
      <c r="AG263" s="311" t="n">
        <v>20</v>
      </c>
      <c r="AH263" s="311" t="n">
        <v>4</v>
      </c>
      <c r="AI263" s="311" t="n">
        <v>6</v>
      </c>
      <c r="AJ263" s="311" t="n">
        <v>1</v>
      </c>
      <c r="AK263" s="311" t="n">
        <v>30</v>
      </c>
      <c r="AU263" s="406"/>
    </row>
    <row r="264" customFormat="false" ht="12.75" hidden="false" customHeight="false" outlineLevel="0" collapsed="false">
      <c r="A264" s="405" t="str">
        <f aca="false">Option1!A231</f>
        <v>N/A</v>
      </c>
      <c r="B264" s="396" t="str">
        <f aca="false">IF(A264="N/A"," ",IF(ISERROR(N264),B252*Pwresc,N264)*VLOOKUP(MONTH(A264),Curveadj,3))</f>
        <v> </v>
      </c>
      <c r="C264" s="397" t="str">
        <f aca="false">IF(A264="N/A"," ",(IF(AND(Scaler1=1,MONTH(A264)&gt;=6,MONTH(A264)&lt;=8,OR($M$37="REGION 2",$M$37="REGION 2A",$M$37="REGION 2B",$M$37="REGION 3",$M$37="REGION 3A",$M$37="REGION 3B",$M$37="REGION 3C",$M$37="REGION 4",$M$37="REGION 4B",$M$37="REGION 4C",$M$37="REGION 5",$M$37="REGION 5A")),((0.059228/(B264/100))-(0.4980013/(SQRT(B264/100)))+2.137988),HLOOKUP(MONTH(A264),ScalarTable,28))))</f>
        <v> </v>
      </c>
      <c r="D264" s="398" t="str">
        <f aca="false">IF(A264="N/A"," ",C264*B264)</f>
        <v> </v>
      </c>
      <c r="E264" s="396" t="str">
        <f aca="false">IF(A264="N/A"," ",IF(ISERROR(O264),E252*Pwresc,O264)*VLOOKUP(MONTH(A264),Curveadj,3))</f>
        <v> </v>
      </c>
      <c r="F264" s="398" t="str">
        <f aca="false">IF(A264="N/A"," ",E264*C264)</f>
        <v> </v>
      </c>
      <c r="G264" s="396" t="str">
        <f aca="false">IF(A264="N/A"," ",IF(ISERROR(P264),G252*Pwresc,P264)*VLOOKUP(MONTH(A264),Curveadj,3))</f>
        <v> </v>
      </c>
      <c r="H264" s="398" t="str">
        <f aca="false">IF(A264="N/A"," ",G264*C264)</f>
        <v> </v>
      </c>
      <c r="I264" s="398" t="str">
        <f aca="false">IF(A264="N/A"," ",IF(ISERROR(Q264),I252*Pwresc,Q264))</f>
        <v> </v>
      </c>
      <c r="J264" s="398" t="str">
        <f aca="false">IF(A264="N/A"," ",Inputs!$G$4)</f>
        <v> </v>
      </c>
      <c r="K264" s="399" t="str">
        <f aca="false">IF(A264="N/A"," ",IF(ISERROR(#REF!),K252*Gasesc,#REF!))</f>
        <v> </v>
      </c>
      <c r="L264" s="399" t="str">
        <f aca="false">IF(A264="N/A"," ",IF(ISERROR(#REF!),L252*Gasesc,IF(#REF!=0,L252*Gasesc,#REF!)))</f>
        <v> </v>
      </c>
      <c r="M264" s="404"/>
      <c r="N264" s="401" t="str">
        <f aca="false">IF(A264="N/A"," ",VLOOKUP(A264,PeakPowerCurves,(IF(BMO1=2,3,IF(BMO1=1,2,4))),FALSE()))</f>
        <v> </v>
      </c>
      <c r="O264" s="401" t="str">
        <f aca="false">IF(A264="N/A"," ",VLOOKUP(A264,SatSunPeakPwr,(IF(BMO1=2,3,IF(BMO1=1,2,4))),FALSE()))</f>
        <v> </v>
      </c>
      <c r="P264" s="401" t="str">
        <f aca="false">IF(A264="N/A"," ",VLOOKUP(A264,SatSunPeakPwr,(IF(BMO1=2,7,IF(BMO1=1,6,8))),FALSE()))</f>
        <v> </v>
      </c>
      <c r="Q264" s="402" t="str">
        <f aca="false">IF(A264="N/A"," ",(VLOOKUP(A264,OPPowerPrices,(IF(BMO1=2,7,IF(BMO1=1,6,8))),FALSE())))</f>
        <v> </v>
      </c>
      <c r="R264" s="403" t="str">
        <f aca="false">IF(A264="N/A"," ",(VLOOKUP($A264,IRTable,2)))</f>
        <v> </v>
      </c>
      <c r="AF264" s="352" t="n">
        <f aca="false">EOMONTH(AF263,0)+1</f>
        <v>44470</v>
      </c>
      <c r="AG264" s="311" t="n">
        <v>23</v>
      </c>
      <c r="AH264" s="311" t="n">
        <v>4</v>
      </c>
      <c r="AI264" s="311" t="n">
        <v>4</v>
      </c>
      <c r="AJ264" s="311" t="n">
        <v>0</v>
      </c>
      <c r="AK264" s="311" t="n">
        <v>31</v>
      </c>
      <c r="AU264" s="406"/>
    </row>
    <row r="265" customFormat="false" ht="12.75" hidden="false" customHeight="false" outlineLevel="0" collapsed="false">
      <c r="A265" s="405" t="str">
        <f aca="false">Option1!A232</f>
        <v>N/A</v>
      </c>
      <c r="B265" s="396" t="str">
        <f aca="false">IF(A265="N/A"," ",IF(ISERROR(N265),B253*Pwresc,N265)*VLOOKUP(MONTH(A265),Curveadj,3))</f>
        <v> </v>
      </c>
      <c r="C265" s="397" t="str">
        <f aca="false">IF(A265="N/A"," ",(IF(AND(Scaler1=1,MONTH(A265)&gt;=6,MONTH(A265)&lt;=8,OR($M$37="REGION 2",$M$37="REGION 2A",$M$37="REGION 2B",$M$37="REGION 3",$M$37="REGION 3A",$M$37="REGION 3B",$M$37="REGION 3C",$M$37="REGION 4",$M$37="REGION 4B",$M$37="REGION 4C",$M$37="REGION 5",$M$37="REGION 5A")),((0.059228/(B265/100))-(0.4980013/(SQRT(B265/100)))+2.137988),HLOOKUP(MONTH(A265),ScalarTable,28))))</f>
        <v> </v>
      </c>
      <c r="D265" s="398" t="str">
        <f aca="false">IF(A265="N/A"," ",C265*B265)</f>
        <v> </v>
      </c>
      <c r="E265" s="396" t="str">
        <f aca="false">IF(A265="N/A"," ",IF(ISERROR(O265),E253*Pwresc,O265)*VLOOKUP(MONTH(A265),Curveadj,3))</f>
        <v> </v>
      </c>
      <c r="F265" s="398" t="str">
        <f aca="false">IF(A265="N/A"," ",E265*C265)</f>
        <v> </v>
      </c>
      <c r="G265" s="396" t="str">
        <f aca="false">IF(A265="N/A"," ",IF(ISERROR(P265),G253*Pwresc,P265)*VLOOKUP(MONTH(A265),Curveadj,3))</f>
        <v> </v>
      </c>
      <c r="H265" s="398" t="str">
        <f aca="false">IF(A265="N/A"," ",G265*C265)</f>
        <v> </v>
      </c>
      <c r="I265" s="398" t="str">
        <f aca="false">IF(A265="N/A"," ",IF(ISERROR(Q265),I253*Pwresc,Q265))</f>
        <v> </v>
      </c>
      <c r="J265" s="398" t="str">
        <f aca="false">IF(A265="N/A"," ",Inputs!$G$4)</f>
        <v> </v>
      </c>
      <c r="K265" s="399" t="str">
        <f aca="false">IF(A265="N/A"," ",IF(ISERROR(#REF!),K253*Gasesc,#REF!))</f>
        <v> </v>
      </c>
      <c r="L265" s="399" t="str">
        <f aca="false">IF(A265="N/A"," ",IF(ISERROR(#REF!),L253*Gasesc,IF(#REF!=0,L253*Gasesc,#REF!)))</f>
        <v> </v>
      </c>
      <c r="M265" s="404"/>
      <c r="N265" s="401" t="str">
        <f aca="false">IF(A265="N/A"," ",VLOOKUP(A265,PeakPowerCurves,(IF(BMO1=2,3,IF(BMO1=1,2,4))),FALSE()))</f>
        <v> </v>
      </c>
      <c r="O265" s="401" t="str">
        <f aca="false">IF(A265="N/A"," ",VLOOKUP(A265,SatSunPeakPwr,(IF(BMO1=2,3,IF(BMO1=1,2,4))),FALSE()))</f>
        <v> </v>
      </c>
      <c r="P265" s="401" t="str">
        <f aca="false">IF(A265="N/A"," ",VLOOKUP(A265,SatSunPeakPwr,(IF(BMO1=2,7,IF(BMO1=1,6,8))),FALSE()))</f>
        <v> </v>
      </c>
      <c r="Q265" s="402" t="str">
        <f aca="false">IF(A265="N/A"," ",(VLOOKUP(A265,OPPowerPrices,(IF(BMO1=2,7,IF(BMO1=1,6,8))),FALSE())))</f>
        <v> </v>
      </c>
      <c r="R265" s="403" t="str">
        <f aca="false">IF(A265="N/A"," ",(VLOOKUP($A265,IRTable,2)))</f>
        <v> </v>
      </c>
      <c r="AF265" s="352" t="n">
        <f aca="false">EOMONTH(AF264,0)+1</f>
        <v>44501</v>
      </c>
      <c r="AG265" s="311" t="n">
        <v>20</v>
      </c>
      <c r="AH265" s="311" t="n">
        <v>5</v>
      </c>
      <c r="AI265" s="311" t="n">
        <v>5</v>
      </c>
      <c r="AJ265" s="311" t="n">
        <v>1</v>
      </c>
      <c r="AK265" s="311" t="n">
        <v>30</v>
      </c>
      <c r="AU265" s="406"/>
    </row>
    <row r="266" customFormat="false" ht="12.75" hidden="false" customHeight="false" outlineLevel="0" collapsed="false">
      <c r="A266" s="405" t="str">
        <f aca="false">Option1!A233</f>
        <v>N/A</v>
      </c>
      <c r="B266" s="396" t="str">
        <f aca="false">IF(A266="N/A"," ",IF(ISERROR(N266),B254*Pwresc,N266)*VLOOKUP(MONTH(A266),Curveadj,3))</f>
        <v> </v>
      </c>
      <c r="C266" s="397" t="str">
        <f aca="false">IF(A266="N/A"," ",(IF(AND(Scaler1=1,MONTH(A266)&gt;=6,MONTH(A266)&lt;=8,OR($M$37="REGION 2",$M$37="REGION 2A",$M$37="REGION 2B",$M$37="REGION 3",$M$37="REGION 3A",$M$37="REGION 3B",$M$37="REGION 3C",$M$37="REGION 4",$M$37="REGION 4B",$M$37="REGION 4C",$M$37="REGION 5",$M$37="REGION 5A")),((0.059228/(B266/100))-(0.4980013/(SQRT(B266/100)))+2.137988),HLOOKUP(MONTH(A266),ScalarTable,28))))</f>
        <v> </v>
      </c>
      <c r="D266" s="398" t="str">
        <f aca="false">IF(A266="N/A"," ",C266*B266)</f>
        <v> </v>
      </c>
      <c r="E266" s="396" t="str">
        <f aca="false">IF(A266="N/A"," ",IF(ISERROR(O266),E254*Pwresc,O266)*VLOOKUP(MONTH(A266),Curveadj,3))</f>
        <v> </v>
      </c>
      <c r="F266" s="398" t="str">
        <f aca="false">IF(A266="N/A"," ",E266*C266)</f>
        <v> </v>
      </c>
      <c r="G266" s="396" t="str">
        <f aca="false">IF(A266="N/A"," ",IF(ISERROR(P266),G254*Pwresc,P266)*VLOOKUP(MONTH(A266),Curveadj,3))</f>
        <v> </v>
      </c>
      <c r="H266" s="398" t="str">
        <f aca="false">IF(A266="N/A"," ",G266*C266)</f>
        <v> </v>
      </c>
      <c r="I266" s="398" t="str">
        <f aca="false">IF(A266="N/A"," ",IF(ISERROR(Q266),I254*Pwresc,Q266))</f>
        <v> </v>
      </c>
      <c r="J266" s="398" t="str">
        <f aca="false">IF(A266="N/A"," ",Inputs!$G$4)</f>
        <v> </v>
      </c>
      <c r="K266" s="399" t="str">
        <f aca="false">IF(A266="N/A"," ",IF(ISERROR(#REF!),K254*Gasesc,#REF!))</f>
        <v> </v>
      </c>
      <c r="L266" s="399" t="str">
        <f aca="false">IF(A266="N/A"," ",IF(ISERROR(#REF!),L254*Gasesc,IF(#REF!=0,L254*Gasesc,#REF!)))</f>
        <v> </v>
      </c>
      <c r="M266" s="404"/>
      <c r="N266" s="401" t="str">
        <f aca="false">IF(A266="N/A"," ",VLOOKUP(A266,PeakPowerCurves,(IF(BMO1=2,3,IF(BMO1=1,2,4))),FALSE()))</f>
        <v> </v>
      </c>
      <c r="O266" s="401" t="str">
        <f aca="false">IF(A266="N/A"," ",VLOOKUP(A266,SatSunPeakPwr,(IF(BMO1=2,3,IF(BMO1=1,2,4))),FALSE()))</f>
        <v> </v>
      </c>
      <c r="P266" s="401" t="str">
        <f aca="false">IF(A266="N/A"," ",VLOOKUP(A266,SatSunPeakPwr,(IF(BMO1=2,7,IF(BMO1=1,6,8))),FALSE()))</f>
        <v> </v>
      </c>
      <c r="Q266" s="402" t="str">
        <f aca="false">IF(A266="N/A"," ",(VLOOKUP(A266,OPPowerPrices,(IF(BMO1=2,7,IF(BMO1=1,6,8))),FALSE())))</f>
        <v> </v>
      </c>
      <c r="R266" s="403" t="str">
        <f aca="false">IF(A266="N/A"," ",(VLOOKUP($A266,IRTable,2)))</f>
        <v> </v>
      </c>
      <c r="AF266" s="352" t="n">
        <f aca="false">EOMONTH(AF265,0)+1</f>
        <v>44531</v>
      </c>
      <c r="AG266" s="311" t="n">
        <v>21</v>
      </c>
      <c r="AH266" s="311" t="n">
        <v>4</v>
      </c>
      <c r="AI266" s="311" t="n">
        <v>6</v>
      </c>
      <c r="AJ266" s="311" t="n">
        <v>1</v>
      </c>
      <c r="AK266" s="311" t="n">
        <v>31</v>
      </c>
      <c r="AU266" s="406"/>
    </row>
    <row r="267" customFormat="false" ht="12.75" hidden="false" customHeight="false" outlineLevel="0" collapsed="false">
      <c r="A267" s="405" t="str">
        <f aca="false">Option1!A234</f>
        <v>N/A</v>
      </c>
      <c r="B267" s="396" t="str">
        <f aca="false">IF(A267="N/A"," ",IF(ISERROR(N267),B255*Pwresc,N267)*VLOOKUP(MONTH(A267),Curveadj,3))</f>
        <v> </v>
      </c>
      <c r="C267" s="397" t="str">
        <f aca="false">IF(A267="N/A"," ",(IF(AND(Scaler1=1,MONTH(A267)&gt;=6,MONTH(A267)&lt;=8,OR($M$37="REGION 2",$M$37="REGION 2A",$M$37="REGION 2B",$M$37="REGION 3",$M$37="REGION 3A",$M$37="REGION 3B",$M$37="REGION 3C",$M$37="REGION 4",$M$37="REGION 4B",$M$37="REGION 4C",$M$37="REGION 5",$M$37="REGION 5A")),((0.059228/(B267/100))-(0.4980013/(SQRT(B267/100)))+2.137988),HLOOKUP(MONTH(A267),ScalarTable,28))))</f>
        <v> </v>
      </c>
      <c r="D267" s="398" t="str">
        <f aca="false">IF(A267="N/A"," ",C267*B267)</f>
        <v> </v>
      </c>
      <c r="E267" s="396" t="str">
        <f aca="false">IF(A267="N/A"," ",IF(ISERROR(O267),E255*Pwresc,O267)*VLOOKUP(MONTH(A267),Curveadj,3))</f>
        <v> </v>
      </c>
      <c r="F267" s="398" t="str">
        <f aca="false">IF(A267="N/A"," ",E267*C267)</f>
        <v> </v>
      </c>
      <c r="G267" s="396" t="str">
        <f aca="false">IF(A267="N/A"," ",IF(ISERROR(P267),G255*Pwresc,P267)*VLOOKUP(MONTH(A267),Curveadj,3))</f>
        <v> </v>
      </c>
      <c r="H267" s="398" t="str">
        <f aca="false">IF(A267="N/A"," ",G267*C267)</f>
        <v> </v>
      </c>
      <c r="I267" s="398" t="str">
        <f aca="false">IF(A267="N/A"," ",IF(ISERROR(Q267),I255*Pwresc,Q267))</f>
        <v> </v>
      </c>
      <c r="J267" s="398" t="str">
        <f aca="false">IF(A267="N/A"," ",Inputs!$G$4)</f>
        <v> </v>
      </c>
      <c r="K267" s="399" t="str">
        <f aca="false">IF(A267="N/A"," ",IF(ISERROR(#REF!),K255*Gasesc,#REF!))</f>
        <v> </v>
      </c>
      <c r="L267" s="399" t="str">
        <f aca="false">IF(A267="N/A"," ",IF(ISERROR(#REF!),L255*Gasesc,IF(#REF!=0,L255*Gasesc,#REF!)))</f>
        <v> </v>
      </c>
      <c r="M267" s="404"/>
      <c r="N267" s="401" t="str">
        <f aca="false">IF(A267="N/A"," ",VLOOKUP(A267,PeakPowerCurves,(IF(BMO1=2,3,IF(BMO1=1,2,4))),FALSE()))</f>
        <v> </v>
      </c>
      <c r="O267" s="401" t="str">
        <f aca="false">IF(A267="N/A"," ",VLOOKUP(A267,SatSunPeakPwr,(IF(BMO1=2,3,IF(BMO1=1,2,4))),FALSE()))</f>
        <v> </v>
      </c>
      <c r="P267" s="401" t="str">
        <f aca="false">IF(A267="N/A"," ",VLOOKUP(A267,SatSunPeakPwr,(IF(BMO1=2,7,IF(BMO1=1,6,8))),FALSE()))</f>
        <v> </v>
      </c>
      <c r="Q267" s="402" t="str">
        <f aca="false">IF(A267="N/A"," ",(VLOOKUP(A267,OPPowerPrices,(IF(BMO1=2,7,IF(BMO1=1,6,8))),FALSE())))</f>
        <v> </v>
      </c>
      <c r="R267" s="403" t="str">
        <f aca="false">IF(A267="N/A"," ",(VLOOKUP($A267,IRTable,2)))</f>
        <v> </v>
      </c>
      <c r="AF267" s="352" t="n">
        <f aca="false">EOMONTH(AF266,0)+1</f>
        <v>44562</v>
      </c>
      <c r="AG267" s="311" t="n">
        <v>22</v>
      </c>
      <c r="AH267" s="311" t="n">
        <v>4</v>
      </c>
      <c r="AI267" s="311" t="n">
        <v>5</v>
      </c>
      <c r="AJ267" s="311" t="n">
        <v>1</v>
      </c>
      <c r="AK267" s="311" t="n">
        <v>31</v>
      </c>
      <c r="AU267" s="406"/>
    </row>
    <row r="268" customFormat="false" ht="12.75" hidden="false" customHeight="false" outlineLevel="0" collapsed="false">
      <c r="A268" s="405" t="str">
        <f aca="false">Option1!A235</f>
        <v>N/A</v>
      </c>
      <c r="B268" s="396" t="str">
        <f aca="false">IF(A268="N/A"," ",IF(ISERROR(N268),B256*Pwresc,N268)*VLOOKUP(MONTH(A268),Curveadj,3))</f>
        <v> </v>
      </c>
      <c r="C268" s="397" t="str">
        <f aca="false">IF(A268="N/A"," ",(IF(AND(Scaler1=1,MONTH(A268)&gt;=6,MONTH(A268)&lt;=8,OR($M$37="REGION 2",$M$37="REGION 2A",$M$37="REGION 2B",$M$37="REGION 3",$M$37="REGION 3A",$M$37="REGION 3B",$M$37="REGION 3C",$M$37="REGION 4",$M$37="REGION 4B",$M$37="REGION 4C",$M$37="REGION 5",$M$37="REGION 5A")),((0.059228/(B268/100))-(0.4980013/(SQRT(B268/100)))+2.137988),HLOOKUP(MONTH(A268),ScalarTable,28))))</f>
        <v> </v>
      </c>
      <c r="D268" s="398" t="str">
        <f aca="false">IF(A268="N/A"," ",C268*B268)</f>
        <v> </v>
      </c>
      <c r="E268" s="396" t="str">
        <f aca="false">IF(A268="N/A"," ",IF(ISERROR(O268),E256*Pwresc,O268)*VLOOKUP(MONTH(A268),Curveadj,3))</f>
        <v> </v>
      </c>
      <c r="F268" s="398" t="str">
        <f aca="false">IF(A268="N/A"," ",E268*C268)</f>
        <v> </v>
      </c>
      <c r="G268" s="396" t="str">
        <f aca="false">IF(A268="N/A"," ",IF(ISERROR(P268),G256*Pwresc,P268)*VLOOKUP(MONTH(A268),Curveadj,3))</f>
        <v> </v>
      </c>
      <c r="H268" s="398" t="str">
        <f aca="false">IF(A268="N/A"," ",G268*C268)</f>
        <v> </v>
      </c>
      <c r="I268" s="398" t="str">
        <f aca="false">IF(A268="N/A"," ",IF(ISERROR(Q268),I256*Pwresc,Q268))</f>
        <v> </v>
      </c>
      <c r="J268" s="398" t="str">
        <f aca="false">IF(A268="N/A"," ",Inputs!$G$4)</f>
        <v> </v>
      </c>
      <c r="K268" s="399" t="str">
        <f aca="false">IF(A268="N/A"," ",IF(ISERROR(#REF!),K256*Gasesc,#REF!))</f>
        <v> </v>
      </c>
      <c r="L268" s="399" t="str">
        <f aca="false">IF(A268="N/A"," ",IF(ISERROR(#REF!),L256*Gasesc,IF(#REF!=0,L256*Gasesc,#REF!)))</f>
        <v> </v>
      </c>
      <c r="M268" s="404"/>
      <c r="N268" s="401" t="str">
        <f aca="false">IF(A268="N/A"," ",VLOOKUP(A268,PeakPowerCurves,(IF(BMO1=2,3,IF(BMO1=1,2,4))),FALSE()))</f>
        <v> </v>
      </c>
      <c r="O268" s="401" t="str">
        <f aca="false">IF(A268="N/A"," ",VLOOKUP(A268,SatSunPeakPwr,(IF(BMO1=2,3,IF(BMO1=1,2,4))),FALSE()))</f>
        <v> </v>
      </c>
      <c r="P268" s="401" t="str">
        <f aca="false">IF(A268="N/A"," ",VLOOKUP(A268,SatSunPeakPwr,(IF(BMO1=2,7,IF(BMO1=1,6,8))),FALSE()))</f>
        <v> </v>
      </c>
      <c r="Q268" s="402" t="str">
        <f aca="false">IF(A268="N/A"," ",(VLOOKUP(A268,OPPowerPrices,(IF(BMO1=2,7,IF(BMO1=1,6,8))),FALSE())))</f>
        <v> </v>
      </c>
      <c r="R268" s="403" t="str">
        <f aca="false">IF(A268="N/A"," ",(VLOOKUP($A268,IRTable,2)))</f>
        <v> </v>
      </c>
      <c r="AF268" s="352" t="n">
        <f aca="false">EOMONTH(AF267,0)+1</f>
        <v>44593</v>
      </c>
      <c r="AG268" s="311" t="n">
        <v>20</v>
      </c>
      <c r="AH268" s="311" t="n">
        <v>4</v>
      </c>
      <c r="AI268" s="311" t="n">
        <v>4</v>
      </c>
      <c r="AJ268" s="311" t="n">
        <v>0</v>
      </c>
      <c r="AK268" s="311" t="n">
        <v>28</v>
      </c>
      <c r="AU268" s="406"/>
    </row>
    <row r="269" customFormat="false" ht="12.75" hidden="false" customHeight="false" outlineLevel="0" collapsed="false">
      <c r="A269" s="405" t="str">
        <f aca="false">Option1!A236</f>
        <v>N/A</v>
      </c>
      <c r="B269" s="396" t="str">
        <f aca="false">IF(A269="N/A"," ",IF(ISERROR(N269),B257*Pwresc,N269)*VLOOKUP(MONTH(A269),Curveadj,3))</f>
        <v> </v>
      </c>
      <c r="C269" s="397" t="str">
        <f aca="false">IF(A269="N/A"," ",(IF(AND(Scaler1=1,MONTH(A269)&gt;=6,MONTH(A269)&lt;=8,OR($M$37="REGION 2",$M$37="REGION 2A",$M$37="REGION 2B",$M$37="REGION 3",$M$37="REGION 3A",$M$37="REGION 3B",$M$37="REGION 3C",$M$37="REGION 4",$M$37="REGION 4B",$M$37="REGION 4C",$M$37="REGION 5",$M$37="REGION 5A")),((0.059228/(B269/100))-(0.4980013/(SQRT(B269/100)))+2.137988),HLOOKUP(MONTH(A269),ScalarTable,28))))</f>
        <v> </v>
      </c>
      <c r="D269" s="398" t="str">
        <f aca="false">IF(A269="N/A"," ",C269*B269)</f>
        <v> </v>
      </c>
      <c r="E269" s="396" t="str">
        <f aca="false">IF(A269="N/A"," ",IF(ISERROR(O269),E257*Pwresc,O269)*VLOOKUP(MONTH(A269),Curveadj,3))</f>
        <v> </v>
      </c>
      <c r="F269" s="398" t="str">
        <f aca="false">IF(A269="N/A"," ",E269*C269)</f>
        <v> </v>
      </c>
      <c r="G269" s="396" t="str">
        <f aca="false">IF(A269="N/A"," ",IF(ISERROR(P269),G257*Pwresc,P269)*VLOOKUP(MONTH(A269),Curveadj,3))</f>
        <v> </v>
      </c>
      <c r="H269" s="398" t="str">
        <f aca="false">IF(A269="N/A"," ",G269*C269)</f>
        <v> </v>
      </c>
      <c r="I269" s="398" t="str">
        <f aca="false">IF(A269="N/A"," ",IF(ISERROR(Q269),I257*Pwresc,Q269))</f>
        <v> </v>
      </c>
      <c r="J269" s="398" t="str">
        <f aca="false">IF(A269="N/A"," ",Inputs!$G$4)</f>
        <v> </v>
      </c>
      <c r="K269" s="399" t="str">
        <f aca="false">IF(A269="N/A"," ",IF(ISERROR(#REF!),K257*Gasesc,#REF!))</f>
        <v> </v>
      </c>
      <c r="L269" s="399" t="str">
        <f aca="false">IF(A269="N/A"," ",IF(ISERROR(#REF!),L257*Gasesc,IF(#REF!=0,L257*Gasesc,#REF!)))</f>
        <v> </v>
      </c>
      <c r="M269" s="404"/>
      <c r="N269" s="401" t="str">
        <f aca="false">IF(A269="N/A"," ",VLOOKUP(A269,PeakPowerCurves,(IF(BMO1=2,3,IF(BMO1=1,2,4))),FALSE()))</f>
        <v> </v>
      </c>
      <c r="O269" s="401" t="str">
        <f aca="false">IF(A269="N/A"," ",VLOOKUP(A269,SatSunPeakPwr,(IF(BMO1=2,3,IF(BMO1=1,2,4))),FALSE()))</f>
        <v> </v>
      </c>
      <c r="P269" s="401" t="str">
        <f aca="false">IF(A269="N/A"," ",VLOOKUP(A269,SatSunPeakPwr,(IF(BMO1=2,7,IF(BMO1=1,6,8))),FALSE()))</f>
        <v> </v>
      </c>
      <c r="Q269" s="402" t="str">
        <f aca="false">IF(A269="N/A"," ",(VLOOKUP(A269,OPPowerPrices,(IF(BMO1=2,7,IF(BMO1=1,6,8))),FALSE())))</f>
        <v> </v>
      </c>
      <c r="R269" s="403" t="str">
        <f aca="false">IF(A269="N/A"," ",(VLOOKUP($A269,IRTable,2)))</f>
        <v> </v>
      </c>
      <c r="AF269" s="352" t="n">
        <f aca="false">EOMONTH(AF268,0)+1</f>
        <v>44621</v>
      </c>
      <c r="AG269" s="311" t="n">
        <v>21</v>
      </c>
      <c r="AH269" s="311" t="n">
        <v>5</v>
      </c>
      <c r="AI269" s="311" t="n">
        <v>5</v>
      </c>
      <c r="AJ269" s="311" t="n">
        <v>0</v>
      </c>
      <c r="AK269" s="311" t="n">
        <v>31</v>
      </c>
      <c r="AU269" s="406"/>
    </row>
    <row r="270" customFormat="false" ht="12.75" hidden="false" customHeight="false" outlineLevel="0" collapsed="false">
      <c r="A270" s="405" t="str">
        <f aca="false">Option1!A237</f>
        <v>N/A</v>
      </c>
      <c r="B270" s="396" t="str">
        <f aca="false">IF(A270="N/A"," ",IF(ISERROR(N270),B258*Pwresc,N270)*VLOOKUP(MONTH(A270),Curveadj,3))</f>
        <v> </v>
      </c>
      <c r="C270" s="397" t="str">
        <f aca="false">IF(A270="N/A"," ",(IF(AND(Scaler1=1,MONTH(A270)&gt;=6,MONTH(A270)&lt;=8,OR($M$37="REGION 2",$M$37="REGION 2A",$M$37="REGION 2B",$M$37="REGION 3",$M$37="REGION 3A",$M$37="REGION 3B",$M$37="REGION 3C",$M$37="REGION 4",$M$37="REGION 4B",$M$37="REGION 4C",$M$37="REGION 5",$M$37="REGION 5A")),((0.059228/(B270/100))-(0.4980013/(SQRT(B270/100)))+2.137988),HLOOKUP(MONTH(A270),ScalarTable,28))))</f>
        <v> </v>
      </c>
      <c r="D270" s="398" t="str">
        <f aca="false">IF(A270="N/A"," ",C270*B270)</f>
        <v> </v>
      </c>
      <c r="E270" s="396" t="str">
        <f aca="false">IF(A270="N/A"," ",IF(ISERROR(O270),E258*Pwresc,O270)*VLOOKUP(MONTH(A270),Curveadj,3))</f>
        <v> </v>
      </c>
      <c r="F270" s="398" t="str">
        <f aca="false">IF(A270="N/A"," ",E270*C270)</f>
        <v> </v>
      </c>
      <c r="G270" s="396" t="str">
        <f aca="false">IF(A270="N/A"," ",IF(ISERROR(P270),G258*Pwresc,P270)*VLOOKUP(MONTH(A270),Curveadj,3))</f>
        <v> </v>
      </c>
      <c r="H270" s="398" t="str">
        <f aca="false">IF(A270="N/A"," ",G270*C270)</f>
        <v> </v>
      </c>
      <c r="I270" s="398" t="str">
        <f aca="false">IF(A270="N/A"," ",IF(ISERROR(Q270),I258*Pwresc,Q270))</f>
        <v> </v>
      </c>
      <c r="J270" s="398" t="str">
        <f aca="false">IF(A270="N/A"," ",Inputs!$G$4)</f>
        <v> </v>
      </c>
      <c r="K270" s="399" t="str">
        <f aca="false">IF(A270="N/A"," ",IF(ISERROR(#REF!),K258*Gasesc,#REF!))</f>
        <v> </v>
      </c>
      <c r="L270" s="399" t="str">
        <f aca="false">IF(A270="N/A"," ",IF(ISERROR(#REF!),L258*Gasesc,IF(#REF!=0,L258*Gasesc,#REF!)))</f>
        <v> </v>
      </c>
      <c r="M270" s="404"/>
      <c r="N270" s="401" t="str">
        <f aca="false">IF(A270="N/A"," ",VLOOKUP(A270,PeakPowerCurves,(IF(BMO1=2,3,IF(BMO1=1,2,4))),FALSE()))</f>
        <v> </v>
      </c>
      <c r="O270" s="401" t="str">
        <f aca="false">IF(A270="N/A"," ",VLOOKUP(A270,SatSunPeakPwr,(IF(BMO1=2,3,IF(BMO1=1,2,4))),FALSE()))</f>
        <v> </v>
      </c>
      <c r="P270" s="401" t="str">
        <f aca="false">IF(A270="N/A"," ",VLOOKUP(A270,SatSunPeakPwr,(IF(BMO1=2,7,IF(BMO1=1,6,8))),FALSE()))</f>
        <v> </v>
      </c>
      <c r="Q270" s="402" t="str">
        <f aca="false">IF(A270="N/A"," ",(VLOOKUP(A270,OPPowerPrices,(IF(BMO1=2,7,IF(BMO1=1,6,8))),FALSE())))</f>
        <v> </v>
      </c>
      <c r="R270" s="403" t="str">
        <f aca="false">IF(A270="N/A"," ",(VLOOKUP($A270,IRTable,2)))</f>
        <v> </v>
      </c>
      <c r="AF270" s="352" t="n">
        <f aca="false">EOMONTH(AF269,0)+1</f>
        <v>44652</v>
      </c>
      <c r="AG270" s="311" t="n">
        <v>22</v>
      </c>
      <c r="AH270" s="311" t="n">
        <v>4</v>
      </c>
      <c r="AI270" s="311" t="n">
        <v>4</v>
      </c>
      <c r="AJ270" s="311" t="n">
        <v>0</v>
      </c>
      <c r="AK270" s="311" t="n">
        <v>30</v>
      </c>
      <c r="AU270" s="406"/>
    </row>
    <row r="271" customFormat="false" ht="12.75" hidden="false" customHeight="false" outlineLevel="0" collapsed="false">
      <c r="A271" s="405" t="str">
        <f aca="false">Option1!A238</f>
        <v>N/A</v>
      </c>
      <c r="B271" s="396" t="str">
        <f aca="false">IF(A271="N/A"," ",IF(ISERROR(N271),B259*Pwresc,N271)*VLOOKUP(MONTH(A271),Curveadj,3))</f>
        <v> </v>
      </c>
      <c r="C271" s="397" t="str">
        <f aca="false">IF(A271="N/A"," ",(IF(AND(Scaler1=1,MONTH(A271)&gt;=6,MONTH(A271)&lt;=8,OR($M$37="REGION 2",$M$37="REGION 2A",$M$37="REGION 2B",$M$37="REGION 3",$M$37="REGION 3A",$M$37="REGION 3B",$M$37="REGION 3C",$M$37="REGION 4",$M$37="REGION 4B",$M$37="REGION 4C",$M$37="REGION 5",$M$37="REGION 5A")),((0.059228/(B271/100))-(0.4980013/(SQRT(B271/100)))+2.137988),HLOOKUP(MONTH(A271),ScalarTable,28))))</f>
        <v> </v>
      </c>
      <c r="D271" s="398" t="str">
        <f aca="false">IF(A271="N/A"," ",C271*B271)</f>
        <v> </v>
      </c>
      <c r="E271" s="396" t="str">
        <f aca="false">IF(A271="N/A"," ",IF(ISERROR(O271),E259*Pwresc,O271)*VLOOKUP(MONTH(A271),Curveadj,3))</f>
        <v> </v>
      </c>
      <c r="F271" s="398" t="str">
        <f aca="false">IF(A271="N/A"," ",E271*C271)</f>
        <v> </v>
      </c>
      <c r="G271" s="396" t="str">
        <f aca="false">IF(A271="N/A"," ",IF(ISERROR(P271),G259*Pwresc,P271)*VLOOKUP(MONTH(A271),Curveadj,3))</f>
        <v> </v>
      </c>
      <c r="H271" s="398" t="str">
        <f aca="false">IF(A271="N/A"," ",G271*C271)</f>
        <v> </v>
      </c>
      <c r="I271" s="398" t="str">
        <f aca="false">IF(A271="N/A"," ",IF(ISERROR(Q271),I259*Pwresc,Q271))</f>
        <v> </v>
      </c>
      <c r="J271" s="398" t="str">
        <f aca="false">IF(A271="N/A"," ",Inputs!$G$4)</f>
        <v> </v>
      </c>
      <c r="K271" s="399" t="str">
        <f aca="false">IF(A271="N/A"," ",IF(ISERROR(#REF!),K259*Gasesc,#REF!))</f>
        <v> </v>
      </c>
      <c r="L271" s="399" t="str">
        <f aca="false">IF(A271="N/A"," ",IF(ISERROR(#REF!),L259*Gasesc,IF(#REF!=0,L259*Gasesc,#REF!)))</f>
        <v> </v>
      </c>
      <c r="M271" s="404"/>
      <c r="N271" s="401" t="str">
        <f aca="false">IF(A271="N/A"," ",VLOOKUP(A271,PeakPowerCurves,(IF(BMO1=2,3,IF(BMO1=1,2,4))),FALSE()))</f>
        <v> </v>
      </c>
      <c r="O271" s="401" t="str">
        <f aca="false">IF(A271="N/A"," ",VLOOKUP(A271,SatSunPeakPwr,(IF(BMO1=2,3,IF(BMO1=1,2,4))),FALSE()))</f>
        <v> </v>
      </c>
      <c r="P271" s="401" t="str">
        <f aca="false">IF(A271="N/A"," ",VLOOKUP(A271,SatSunPeakPwr,(IF(BMO1=2,7,IF(BMO1=1,6,8))),FALSE()))</f>
        <v> </v>
      </c>
      <c r="Q271" s="402" t="str">
        <f aca="false">IF(A271="N/A"," ",(VLOOKUP(A271,OPPowerPrices,(IF(BMO1=2,7,IF(BMO1=1,6,8))),FALSE())))</f>
        <v> </v>
      </c>
      <c r="R271" s="403" t="str">
        <f aca="false">IF(A271="N/A"," ",(VLOOKUP($A271,IRTable,2)))</f>
        <v> </v>
      </c>
      <c r="AF271" s="352" t="n">
        <f aca="false">EOMONTH(AF270,0)+1</f>
        <v>44682</v>
      </c>
      <c r="AG271" s="311" t="n">
        <v>22</v>
      </c>
      <c r="AH271" s="311" t="n">
        <v>4</v>
      </c>
      <c r="AI271" s="311" t="n">
        <v>5</v>
      </c>
      <c r="AJ271" s="311" t="n">
        <v>1</v>
      </c>
      <c r="AK271" s="311" t="n">
        <v>31</v>
      </c>
      <c r="AU271" s="406"/>
    </row>
    <row r="272" customFormat="false" ht="12.75" hidden="false" customHeight="false" outlineLevel="0" collapsed="false">
      <c r="A272" s="405" t="str">
        <f aca="false">Option1!A239</f>
        <v>N/A</v>
      </c>
      <c r="B272" s="396" t="str">
        <f aca="false">IF(A272="N/A"," ",IF(ISERROR(N272),B260*Pwresc,N272)*VLOOKUP(MONTH(A272),Curveadj,3))</f>
        <v> </v>
      </c>
      <c r="C272" s="397" t="str">
        <f aca="false">IF(A272="N/A"," ",(IF(AND(Scaler1=1,MONTH(A272)&gt;=6,MONTH(A272)&lt;=8,OR($M$37="REGION 2",$M$37="REGION 2A",$M$37="REGION 2B",$M$37="REGION 3",$M$37="REGION 3A",$M$37="REGION 3B",$M$37="REGION 3C",$M$37="REGION 4",$M$37="REGION 4B",$M$37="REGION 4C",$M$37="REGION 5",$M$37="REGION 5A")),((0.059228/(B272/100))-(0.4980013/(SQRT(B272/100)))+2.137988),HLOOKUP(MONTH(A272),ScalarTable,28))))</f>
        <v> </v>
      </c>
      <c r="D272" s="398" t="str">
        <f aca="false">IF(A272="N/A"," ",C272*B272)</f>
        <v> </v>
      </c>
      <c r="E272" s="396" t="str">
        <f aca="false">IF(A272="N/A"," ",IF(ISERROR(O272),E260*Pwresc,O272)*VLOOKUP(MONTH(A272),Curveadj,3))</f>
        <v> </v>
      </c>
      <c r="F272" s="398" t="str">
        <f aca="false">IF(A272="N/A"," ",E272*C272)</f>
        <v> </v>
      </c>
      <c r="G272" s="396" t="str">
        <f aca="false">IF(A272="N/A"," ",IF(ISERROR(P272),G260*Pwresc,P272)*VLOOKUP(MONTH(A272),Curveadj,3))</f>
        <v> </v>
      </c>
      <c r="H272" s="398" t="str">
        <f aca="false">IF(A272="N/A"," ",G272*C272)</f>
        <v> </v>
      </c>
      <c r="I272" s="398" t="str">
        <f aca="false">IF(A272="N/A"," ",IF(ISERROR(Q272),I260*Pwresc,Q272))</f>
        <v> </v>
      </c>
      <c r="J272" s="398" t="str">
        <f aca="false">IF(A272="N/A"," ",Inputs!$G$4)</f>
        <v> </v>
      </c>
      <c r="K272" s="399" t="str">
        <f aca="false">IF(A272="N/A"," ",IF(ISERROR(#REF!),K260*Gasesc,#REF!))</f>
        <v> </v>
      </c>
      <c r="L272" s="399" t="str">
        <f aca="false">IF(A272="N/A"," ",IF(ISERROR(#REF!),L260*Gasesc,IF(#REF!=0,L260*Gasesc,#REF!)))</f>
        <v> </v>
      </c>
      <c r="M272" s="404"/>
      <c r="N272" s="401" t="str">
        <f aca="false">IF(A272="N/A"," ",VLOOKUP(A272,PeakPowerCurves,(IF(BMO1=2,3,IF(BMO1=1,2,4))),FALSE()))</f>
        <v> </v>
      </c>
      <c r="O272" s="401" t="str">
        <f aca="false">IF(A272="N/A"," ",VLOOKUP(A272,SatSunPeakPwr,(IF(BMO1=2,3,IF(BMO1=1,2,4))),FALSE()))</f>
        <v> </v>
      </c>
      <c r="P272" s="401" t="str">
        <f aca="false">IF(A272="N/A"," ",VLOOKUP(A272,SatSunPeakPwr,(IF(BMO1=2,7,IF(BMO1=1,6,8))),FALSE()))</f>
        <v> </v>
      </c>
      <c r="Q272" s="402" t="str">
        <f aca="false">IF(A272="N/A"," ",(VLOOKUP(A272,OPPowerPrices,(IF(BMO1=2,7,IF(BMO1=1,6,8))),FALSE())))</f>
        <v> </v>
      </c>
      <c r="R272" s="403" t="str">
        <f aca="false">IF(A272="N/A"," ",(VLOOKUP($A272,IRTable,2)))</f>
        <v> </v>
      </c>
      <c r="AF272" s="352" t="n">
        <f aca="false">EOMONTH(AF271,0)+1</f>
        <v>44713</v>
      </c>
      <c r="AG272" s="311" t="n">
        <v>20</v>
      </c>
      <c r="AH272" s="311" t="n">
        <v>5</v>
      </c>
      <c r="AI272" s="311" t="n">
        <v>5</v>
      </c>
      <c r="AJ272" s="311" t="n">
        <v>0</v>
      </c>
      <c r="AK272" s="311" t="n">
        <v>30</v>
      </c>
      <c r="AU272" s="406"/>
    </row>
    <row r="273" customFormat="false" ht="12.75" hidden="false" customHeight="false" outlineLevel="0" collapsed="false">
      <c r="A273" s="405" t="str">
        <f aca="false">Option1!A240</f>
        <v>N/A</v>
      </c>
      <c r="B273" s="396" t="str">
        <f aca="false">IF(A273="N/A"," ",IF(ISERROR(N273),B261*Pwresc,N273)*VLOOKUP(MONTH(A273),Curveadj,3))</f>
        <v> </v>
      </c>
      <c r="C273" s="397" t="str">
        <f aca="false">IF(A273="N/A"," ",(IF(AND(Scaler1=1,MONTH(A273)&gt;=6,MONTH(A273)&lt;=8,OR($M$37="REGION 2",$M$37="REGION 2A",$M$37="REGION 2B",$M$37="REGION 3",$M$37="REGION 3A",$M$37="REGION 3B",$M$37="REGION 3C",$M$37="REGION 4",$M$37="REGION 4B",$M$37="REGION 4C",$M$37="REGION 5",$M$37="REGION 5A")),((0.059228/(B273/100))-(0.4980013/(SQRT(B273/100)))+2.137988),HLOOKUP(MONTH(A273),ScalarTable,28))))</f>
        <v> </v>
      </c>
      <c r="D273" s="398" t="str">
        <f aca="false">IF(A273="N/A"," ",C273*B273)</f>
        <v> </v>
      </c>
      <c r="E273" s="396" t="str">
        <f aca="false">IF(A273="N/A"," ",IF(ISERROR(O273),E261*Pwresc,O273)*VLOOKUP(MONTH(A273),Curveadj,3))</f>
        <v> </v>
      </c>
      <c r="F273" s="398" t="str">
        <f aca="false">IF(A273="N/A"," ",E273*C273)</f>
        <v> </v>
      </c>
      <c r="G273" s="396" t="str">
        <f aca="false">IF(A273="N/A"," ",IF(ISERROR(P273),G261*Pwresc,P273)*VLOOKUP(MONTH(A273),Curveadj,3))</f>
        <v> </v>
      </c>
      <c r="H273" s="398" t="str">
        <f aca="false">IF(A273="N/A"," ",G273*C273)</f>
        <v> </v>
      </c>
      <c r="I273" s="398" t="str">
        <f aca="false">IF(A273="N/A"," ",IF(ISERROR(Q273),I261*Pwresc,Q273))</f>
        <v> </v>
      </c>
      <c r="J273" s="398" t="str">
        <f aca="false">IF(A273="N/A"," ",Inputs!$G$4)</f>
        <v> </v>
      </c>
      <c r="K273" s="399" t="str">
        <f aca="false">IF(A273="N/A"," ",IF(ISERROR(#REF!),K261*Gasesc,#REF!))</f>
        <v> </v>
      </c>
      <c r="L273" s="399" t="str">
        <f aca="false">IF(A273="N/A"," ",IF(ISERROR(#REF!),L261*Gasesc,IF(#REF!=0,L261*Gasesc,#REF!)))</f>
        <v> </v>
      </c>
      <c r="M273" s="404"/>
      <c r="N273" s="401" t="str">
        <f aca="false">IF(A273="N/A"," ",VLOOKUP(A273,PeakPowerCurves,(IF(BMO1=2,3,IF(BMO1=1,2,4))),FALSE()))</f>
        <v> </v>
      </c>
      <c r="O273" s="401" t="str">
        <f aca="false">IF(A273="N/A"," ",VLOOKUP(A273,SatSunPeakPwr,(IF(BMO1=2,3,IF(BMO1=1,2,4))),FALSE()))</f>
        <v> </v>
      </c>
      <c r="P273" s="401" t="str">
        <f aca="false">IF(A273="N/A"," ",VLOOKUP(A273,SatSunPeakPwr,(IF(BMO1=2,7,IF(BMO1=1,6,8))),FALSE()))</f>
        <v> </v>
      </c>
      <c r="Q273" s="402" t="str">
        <f aca="false">IF(A273="N/A"," ",(VLOOKUP(A273,OPPowerPrices,(IF(BMO1=2,7,IF(BMO1=1,6,8))),FALSE())))</f>
        <v> </v>
      </c>
      <c r="R273" s="403" t="str">
        <f aca="false">IF(A273="N/A"," ",(VLOOKUP($A273,IRTable,2)))</f>
        <v> </v>
      </c>
      <c r="AF273" s="352" t="n">
        <f aca="false">EOMONTH(AF272,0)+1</f>
        <v>44743</v>
      </c>
      <c r="AG273" s="311" t="n">
        <v>22</v>
      </c>
      <c r="AH273" s="311" t="n">
        <v>4</v>
      </c>
      <c r="AI273" s="311" t="n">
        <v>5</v>
      </c>
      <c r="AJ273" s="311" t="n">
        <v>1</v>
      </c>
      <c r="AK273" s="311" t="n">
        <v>31</v>
      </c>
      <c r="AU273" s="406"/>
    </row>
    <row r="274" customFormat="false" ht="12.75" hidden="false" customHeight="false" outlineLevel="0" collapsed="false">
      <c r="A274" s="405" t="str">
        <f aca="false">Option1!A241</f>
        <v>N/A</v>
      </c>
      <c r="B274" s="396" t="str">
        <f aca="false">IF(A274="N/A"," ",IF(ISERROR(N274),B262*Pwresc,N274)*VLOOKUP(MONTH(A274),Curveadj,3))</f>
        <v> </v>
      </c>
      <c r="C274" s="397" t="str">
        <f aca="false">IF(A274="N/A"," ",(IF(AND(Scaler1=1,MONTH(A274)&gt;=6,MONTH(A274)&lt;=8,OR($M$37="REGION 2",$M$37="REGION 2A",$M$37="REGION 2B",$M$37="REGION 3",$M$37="REGION 3A",$M$37="REGION 3B",$M$37="REGION 3C",$M$37="REGION 4",$M$37="REGION 4B",$M$37="REGION 4C",$M$37="REGION 5",$M$37="REGION 5A")),((0.059228/(B274/100))-(0.4980013/(SQRT(B274/100)))+2.137988),HLOOKUP(MONTH(A274),ScalarTable,28))))</f>
        <v> </v>
      </c>
      <c r="D274" s="398" t="str">
        <f aca="false">IF(A274="N/A"," ",C274*B274)</f>
        <v> </v>
      </c>
      <c r="E274" s="396" t="str">
        <f aca="false">IF(A274="N/A"," ",IF(ISERROR(O274),E262*Pwresc,O274)*VLOOKUP(MONTH(A274),Curveadj,3))</f>
        <v> </v>
      </c>
      <c r="F274" s="398" t="str">
        <f aca="false">IF(A274="N/A"," ",E274*C274)</f>
        <v> </v>
      </c>
      <c r="G274" s="396" t="str">
        <f aca="false">IF(A274="N/A"," ",IF(ISERROR(P274),G262*Pwresc,P274)*VLOOKUP(MONTH(A274),Curveadj,3))</f>
        <v> </v>
      </c>
      <c r="H274" s="398" t="str">
        <f aca="false">IF(A274="N/A"," ",G274*C274)</f>
        <v> </v>
      </c>
      <c r="I274" s="398" t="str">
        <f aca="false">IF(A274="N/A"," ",IF(ISERROR(Q274),I262*Pwresc,Q274))</f>
        <v> </v>
      </c>
      <c r="J274" s="398" t="str">
        <f aca="false">IF(A274="N/A"," ",Inputs!$G$4)</f>
        <v> </v>
      </c>
      <c r="K274" s="399" t="str">
        <f aca="false">IF(A274="N/A"," ",IF(ISERROR(#REF!),K262*Gasesc,#REF!))</f>
        <v> </v>
      </c>
      <c r="L274" s="399" t="str">
        <f aca="false">IF(A274="N/A"," ",IF(ISERROR(#REF!),L262*Gasesc,IF(#REF!=0,L262*Gasesc,#REF!)))</f>
        <v> </v>
      </c>
      <c r="M274" s="404"/>
      <c r="N274" s="401" t="str">
        <f aca="false">IF(A274="N/A"," ",VLOOKUP(A274,PeakPowerCurves,(IF(BMO1=2,3,IF(BMO1=1,2,4))),FALSE()))</f>
        <v> </v>
      </c>
      <c r="O274" s="401" t="str">
        <f aca="false">IF(A274="N/A"," ",VLOOKUP(A274,SatSunPeakPwr,(IF(BMO1=2,3,IF(BMO1=1,2,4))),FALSE()))</f>
        <v> </v>
      </c>
      <c r="P274" s="401" t="str">
        <f aca="false">IF(A274="N/A"," ",VLOOKUP(A274,SatSunPeakPwr,(IF(BMO1=2,7,IF(BMO1=1,6,8))),FALSE()))</f>
        <v> </v>
      </c>
      <c r="Q274" s="402" t="str">
        <f aca="false">IF(A274="N/A"," ",(VLOOKUP(A274,OPPowerPrices,(IF(BMO1=2,7,IF(BMO1=1,6,8))),FALSE())))</f>
        <v> </v>
      </c>
      <c r="R274" s="403" t="str">
        <f aca="false">IF(A274="N/A"," ",(VLOOKUP($A274,IRTable,2)))</f>
        <v> </v>
      </c>
      <c r="AF274" s="352" t="n">
        <f aca="false">EOMONTH(AF273,0)+1</f>
        <v>44774</v>
      </c>
      <c r="AG274" s="311" t="n">
        <v>22</v>
      </c>
      <c r="AH274" s="311" t="n">
        <v>5</v>
      </c>
      <c r="AI274" s="311" t="n">
        <v>4</v>
      </c>
      <c r="AJ274" s="311" t="n">
        <v>0</v>
      </c>
      <c r="AK274" s="311" t="n">
        <v>31</v>
      </c>
      <c r="AU274" s="406"/>
    </row>
    <row r="275" customFormat="false" ht="12.75" hidden="false" customHeight="false" outlineLevel="0" collapsed="false">
      <c r="A275" s="405" t="str">
        <f aca="false">Option1!A242</f>
        <v>N/A</v>
      </c>
      <c r="B275" s="396" t="str">
        <f aca="false">IF(A275="N/A"," ",IF(ISERROR(N275),B263*Pwresc,N275)*VLOOKUP(MONTH(A275),Curveadj,3))</f>
        <v> </v>
      </c>
      <c r="C275" s="397" t="str">
        <f aca="false">IF(A275="N/A"," ",(IF(AND(Scaler1=1,MONTH(A275)&gt;=6,MONTH(A275)&lt;=8,OR($M$37="REGION 2",$M$37="REGION 2A",$M$37="REGION 2B",$M$37="REGION 3",$M$37="REGION 3A",$M$37="REGION 3B",$M$37="REGION 3C",$M$37="REGION 4",$M$37="REGION 4B",$M$37="REGION 4C",$M$37="REGION 5",$M$37="REGION 5A")),((0.059228/(B275/100))-(0.4980013/(SQRT(B275/100)))+2.137988),HLOOKUP(MONTH(A275),ScalarTable,28))))</f>
        <v> </v>
      </c>
      <c r="D275" s="398" t="str">
        <f aca="false">IF(A275="N/A"," ",C275*B275)</f>
        <v> </v>
      </c>
      <c r="E275" s="396" t="str">
        <f aca="false">IF(A275="N/A"," ",IF(ISERROR(O275),E263*Pwresc,O275)*VLOOKUP(MONTH(A275),Curveadj,3))</f>
        <v> </v>
      </c>
      <c r="F275" s="398" t="str">
        <f aca="false">IF(A275="N/A"," ",E275*C275)</f>
        <v> </v>
      </c>
      <c r="G275" s="396" t="str">
        <f aca="false">IF(A275="N/A"," ",IF(ISERROR(P275),G263*Pwresc,P275)*VLOOKUP(MONTH(A275),Curveadj,3))</f>
        <v> </v>
      </c>
      <c r="H275" s="398" t="str">
        <f aca="false">IF(A275="N/A"," ",G275*C275)</f>
        <v> </v>
      </c>
      <c r="I275" s="398" t="str">
        <f aca="false">IF(A275="N/A"," ",IF(ISERROR(Q275),I263*Pwresc,Q275))</f>
        <v> </v>
      </c>
      <c r="J275" s="398" t="str">
        <f aca="false">IF(A275="N/A"," ",Inputs!$G$4)</f>
        <v> </v>
      </c>
      <c r="K275" s="399" t="str">
        <f aca="false">IF(A275="N/A"," ",IF(ISERROR(#REF!),K263*Gasesc,#REF!))</f>
        <v> </v>
      </c>
      <c r="L275" s="399" t="str">
        <f aca="false">IF(A275="N/A"," ",IF(ISERROR(#REF!),L263*Gasesc,IF(#REF!=0,L263*Gasesc,#REF!)))</f>
        <v> </v>
      </c>
      <c r="M275" s="404"/>
      <c r="N275" s="401" t="str">
        <f aca="false">IF(A275="N/A"," ",VLOOKUP(A275,PeakPowerCurves,(IF(BMO1=2,3,IF(BMO1=1,2,4))),FALSE()))</f>
        <v> </v>
      </c>
      <c r="O275" s="401" t="str">
        <f aca="false">IF(A275="N/A"," ",VLOOKUP(A275,SatSunPeakPwr,(IF(BMO1=2,3,IF(BMO1=1,2,4))),FALSE()))</f>
        <v> </v>
      </c>
      <c r="P275" s="401" t="str">
        <f aca="false">IF(A275="N/A"," ",VLOOKUP(A275,SatSunPeakPwr,(IF(BMO1=2,7,IF(BMO1=1,6,8))),FALSE()))</f>
        <v> </v>
      </c>
      <c r="Q275" s="402" t="str">
        <f aca="false">IF(A275="N/A"," ",(VLOOKUP(A275,OPPowerPrices,(IF(BMO1=2,7,IF(BMO1=1,6,8))),FALSE())))</f>
        <v> </v>
      </c>
      <c r="R275" s="403" t="str">
        <f aca="false">IF(A275="N/A"," ",(VLOOKUP($A275,IRTable,2)))</f>
        <v> </v>
      </c>
      <c r="AF275" s="352" t="n">
        <f aca="false">EOMONTH(AF274,0)+1</f>
        <v>44805</v>
      </c>
      <c r="AG275" s="311" t="n">
        <v>20</v>
      </c>
      <c r="AH275" s="311" t="n">
        <v>4</v>
      </c>
      <c r="AI275" s="311" t="n">
        <v>6</v>
      </c>
      <c r="AJ275" s="311" t="n">
        <v>1</v>
      </c>
      <c r="AK275" s="311" t="n">
        <v>30</v>
      </c>
      <c r="AU275" s="406"/>
    </row>
    <row r="276" customFormat="false" ht="12.75" hidden="false" customHeight="false" outlineLevel="0" collapsed="false">
      <c r="A276" s="405" t="str">
        <f aca="false">Option1!A243</f>
        <v>N/A</v>
      </c>
      <c r="B276" s="396" t="str">
        <f aca="false">IF(A276="N/A"," ",IF(ISERROR(N276),B264*Pwresc,N276)*VLOOKUP(MONTH(A276),Curveadj,3))</f>
        <v> </v>
      </c>
      <c r="C276" s="397" t="str">
        <f aca="false">IF(A276="N/A"," ",(IF(AND(Scaler1=1,MONTH(A276)&gt;=6,MONTH(A276)&lt;=8,OR($M$37="REGION 2",$M$37="REGION 2A",$M$37="REGION 2B",$M$37="REGION 3",$M$37="REGION 3A",$M$37="REGION 3B",$M$37="REGION 3C",$M$37="REGION 4",$M$37="REGION 4B",$M$37="REGION 4C",$M$37="REGION 5",$M$37="REGION 5A")),((0.059228/(B276/100))-(0.4980013/(SQRT(B276/100)))+2.137988),HLOOKUP(MONTH(A276),ScalarTable,28))))</f>
        <v> </v>
      </c>
      <c r="D276" s="398" t="str">
        <f aca="false">IF(A276="N/A"," ",C276*B276)</f>
        <v> </v>
      </c>
      <c r="E276" s="396" t="str">
        <f aca="false">IF(A276="N/A"," ",IF(ISERROR(O276),E264*Pwresc,O276)*VLOOKUP(MONTH(A276),Curveadj,3))</f>
        <v> </v>
      </c>
      <c r="F276" s="398" t="str">
        <f aca="false">IF(A276="N/A"," ",E276*C276)</f>
        <v> </v>
      </c>
      <c r="G276" s="396" t="str">
        <f aca="false">IF(A276="N/A"," ",IF(ISERROR(P276),G264*Pwresc,P276)*VLOOKUP(MONTH(A276),Curveadj,3))</f>
        <v> </v>
      </c>
      <c r="H276" s="398" t="str">
        <f aca="false">IF(A276="N/A"," ",G276*C276)</f>
        <v> </v>
      </c>
      <c r="I276" s="398" t="str">
        <f aca="false">IF(A276="N/A"," ",IF(ISERROR(Q276),I264*Pwresc,Q276))</f>
        <v> </v>
      </c>
      <c r="J276" s="398" t="str">
        <f aca="false">IF(A276="N/A"," ",Inputs!$G$4)</f>
        <v> </v>
      </c>
      <c r="K276" s="399" t="str">
        <f aca="false">IF(A276="N/A"," ",IF(ISERROR(#REF!),K264*Gasesc,#REF!))</f>
        <v> </v>
      </c>
      <c r="L276" s="399" t="str">
        <f aca="false">IF(A276="N/A"," ",IF(ISERROR(#REF!),L264*Gasesc,IF(#REF!=0,L264*Gasesc,#REF!)))</f>
        <v> </v>
      </c>
      <c r="M276" s="404"/>
      <c r="N276" s="401" t="str">
        <f aca="false">IF(A276="N/A"," ",VLOOKUP(A276,PeakPowerCurves,(IF(BMO1=2,3,IF(BMO1=1,2,4))),FALSE()))</f>
        <v> </v>
      </c>
      <c r="O276" s="401" t="str">
        <f aca="false">IF(A276="N/A"," ",VLOOKUP(A276,SatSunPeakPwr,(IF(BMO1=2,3,IF(BMO1=1,2,4))),FALSE()))</f>
        <v> </v>
      </c>
      <c r="P276" s="401" t="str">
        <f aca="false">IF(A276="N/A"," ",VLOOKUP(A276,SatSunPeakPwr,(IF(BMO1=2,7,IF(BMO1=1,6,8))),FALSE()))</f>
        <v> </v>
      </c>
      <c r="Q276" s="402" t="str">
        <f aca="false">IF(A276="N/A"," ",(VLOOKUP(A276,OPPowerPrices,(IF(BMO1=2,7,IF(BMO1=1,6,8))),FALSE())))</f>
        <v> </v>
      </c>
      <c r="R276" s="403" t="str">
        <f aca="false">IF(A276="N/A"," ",(VLOOKUP($A276,IRTable,2)))</f>
        <v> </v>
      </c>
      <c r="AF276" s="352" t="n">
        <f aca="false">EOMONTH(AF275,0)+1</f>
        <v>44835</v>
      </c>
      <c r="AG276" s="311" t="n">
        <v>23</v>
      </c>
      <c r="AH276" s="311" t="n">
        <v>4</v>
      </c>
      <c r="AI276" s="311" t="n">
        <v>4</v>
      </c>
      <c r="AJ276" s="311" t="n">
        <v>0</v>
      </c>
      <c r="AK276" s="311" t="n">
        <v>31</v>
      </c>
      <c r="AU276" s="406"/>
    </row>
    <row r="277" customFormat="false" ht="12.75" hidden="false" customHeight="false" outlineLevel="0" collapsed="false">
      <c r="A277" s="405" t="str">
        <f aca="false">Option1!A244</f>
        <v>N/A</v>
      </c>
      <c r="B277" s="396" t="str">
        <f aca="false">IF(A277="N/A"," ",IF(ISERROR(N277),B265*Pwresc,N277)*VLOOKUP(MONTH(A277),Curveadj,3))</f>
        <v> </v>
      </c>
      <c r="C277" s="397" t="str">
        <f aca="false">IF(A277="N/A"," ",(IF(AND(Scaler1=1,MONTH(A277)&gt;=6,MONTH(A277)&lt;=8,OR($M$37="REGION 2",$M$37="REGION 2A",$M$37="REGION 2B",$M$37="REGION 3",$M$37="REGION 3A",$M$37="REGION 3B",$M$37="REGION 3C",$M$37="REGION 4",$M$37="REGION 4B",$M$37="REGION 4C",$M$37="REGION 5",$M$37="REGION 5A")),((0.059228/(B277/100))-(0.4980013/(SQRT(B277/100)))+2.137988),HLOOKUP(MONTH(A277),ScalarTable,28))))</f>
        <v> </v>
      </c>
      <c r="D277" s="398" t="str">
        <f aca="false">IF(A277="N/A"," ",C277*B277)</f>
        <v> </v>
      </c>
      <c r="E277" s="396" t="str">
        <f aca="false">IF(A277="N/A"," ",IF(ISERROR(O277),E265*Pwresc,O277)*VLOOKUP(MONTH(A277),Curveadj,3))</f>
        <v> </v>
      </c>
      <c r="F277" s="398" t="str">
        <f aca="false">IF(A277="N/A"," ",E277*C277)</f>
        <v> </v>
      </c>
      <c r="G277" s="396" t="str">
        <f aca="false">IF(A277="N/A"," ",IF(ISERROR(P277),G265*Pwresc,P277)*VLOOKUP(MONTH(A277),Curveadj,3))</f>
        <v> </v>
      </c>
      <c r="H277" s="398" t="str">
        <f aca="false">IF(A277="N/A"," ",G277*C277)</f>
        <v> </v>
      </c>
      <c r="I277" s="398" t="str">
        <f aca="false">IF(A277="N/A"," ",IF(ISERROR(Q277),I265*Pwresc,Q277))</f>
        <v> </v>
      </c>
      <c r="J277" s="398" t="str">
        <f aca="false">IF(A277="N/A"," ",Inputs!$G$4)</f>
        <v> </v>
      </c>
      <c r="K277" s="399" t="str">
        <f aca="false">IF(A277="N/A"," ",IF(ISERROR(#REF!),K265*Gasesc,#REF!))</f>
        <v> </v>
      </c>
      <c r="L277" s="399" t="str">
        <f aca="false">IF(A277="N/A"," ",IF(ISERROR(#REF!),L265*Gasesc,IF(#REF!=0,L265*Gasesc,#REF!)))</f>
        <v> </v>
      </c>
      <c r="M277" s="404"/>
      <c r="N277" s="401" t="str">
        <f aca="false">IF(A277="N/A"," ",VLOOKUP(A277,PeakPowerCurves,(IF(BMO1=2,3,IF(BMO1=1,2,4))),FALSE()))</f>
        <v> </v>
      </c>
      <c r="O277" s="401" t="str">
        <f aca="false">IF(A277="N/A"," ",VLOOKUP(A277,SatSunPeakPwr,(IF(BMO1=2,3,IF(BMO1=1,2,4))),FALSE()))</f>
        <v> </v>
      </c>
      <c r="P277" s="401" t="str">
        <f aca="false">IF(A277="N/A"," ",VLOOKUP(A277,SatSunPeakPwr,(IF(BMO1=2,7,IF(BMO1=1,6,8))),FALSE()))</f>
        <v> </v>
      </c>
      <c r="Q277" s="402" t="str">
        <f aca="false">IF(A277="N/A"," ",(VLOOKUP(A277,OPPowerPrices,(IF(BMO1=2,7,IF(BMO1=1,6,8))),FALSE())))</f>
        <v> </v>
      </c>
      <c r="R277" s="403" t="str">
        <f aca="false">IF(A277="N/A"," ",(VLOOKUP($A277,IRTable,2)))</f>
        <v> </v>
      </c>
      <c r="AF277" s="352" t="n">
        <f aca="false">EOMONTH(AF276,0)+1</f>
        <v>44866</v>
      </c>
      <c r="AG277" s="311" t="n">
        <v>20</v>
      </c>
      <c r="AH277" s="311" t="n">
        <v>5</v>
      </c>
      <c r="AI277" s="311" t="n">
        <v>5</v>
      </c>
      <c r="AJ277" s="311" t="n">
        <v>1</v>
      </c>
      <c r="AK277" s="311" t="n">
        <v>30</v>
      </c>
      <c r="AU277" s="406"/>
    </row>
    <row r="278" customFormat="false" ht="12.75" hidden="false" customHeight="false" outlineLevel="0" collapsed="false">
      <c r="A278" s="405" t="str">
        <f aca="false">Option1!A245</f>
        <v>N/A</v>
      </c>
      <c r="B278" s="396" t="str">
        <f aca="false">IF(A278="N/A"," ",IF(ISERROR(N278),B266*Pwresc,N278)*VLOOKUP(MONTH(A278),Curveadj,3))</f>
        <v> </v>
      </c>
      <c r="C278" s="397" t="str">
        <f aca="false">IF(A278="N/A"," ",(IF(AND(Scaler1=1,MONTH(A278)&gt;=6,MONTH(A278)&lt;=8,OR($M$37="REGION 2",$M$37="REGION 2A",$M$37="REGION 2B",$M$37="REGION 3",$M$37="REGION 3A",$M$37="REGION 3B",$M$37="REGION 3C",$M$37="REGION 4",$M$37="REGION 4B",$M$37="REGION 4C",$M$37="REGION 5",$M$37="REGION 5A")),((0.059228/(B278/100))-(0.4980013/(SQRT(B278/100)))+2.137988),HLOOKUP(MONTH(A278),ScalarTable,28))))</f>
        <v> </v>
      </c>
      <c r="D278" s="398" t="str">
        <f aca="false">IF(A278="N/A"," ",C278*B278)</f>
        <v> </v>
      </c>
      <c r="E278" s="396" t="str">
        <f aca="false">IF(A278="N/A"," ",IF(ISERROR(O278),E266*Pwresc,O278)*VLOOKUP(MONTH(A278),Curveadj,3))</f>
        <v> </v>
      </c>
      <c r="F278" s="398" t="str">
        <f aca="false">IF(A278="N/A"," ",E278*C278)</f>
        <v> </v>
      </c>
      <c r="G278" s="396" t="str">
        <f aca="false">IF(A278="N/A"," ",IF(ISERROR(P278),G266*Pwresc,P278)*VLOOKUP(MONTH(A278),Curveadj,3))</f>
        <v> </v>
      </c>
      <c r="H278" s="398" t="str">
        <f aca="false">IF(A278="N/A"," ",G278*C278)</f>
        <v> </v>
      </c>
      <c r="I278" s="398" t="str">
        <f aca="false">IF(A278="N/A"," ",IF(ISERROR(Q278),I266*Pwresc,Q278))</f>
        <v> </v>
      </c>
      <c r="J278" s="398" t="str">
        <f aca="false">IF(A278="N/A"," ",Inputs!$G$4)</f>
        <v> </v>
      </c>
      <c r="K278" s="399" t="str">
        <f aca="false">IF(A278="N/A"," ",IF(ISERROR(#REF!),K266*Gasesc,#REF!))</f>
        <v> </v>
      </c>
      <c r="L278" s="399" t="str">
        <f aca="false">IF(A278="N/A"," ",IF(ISERROR(#REF!),L266*Gasesc,IF(#REF!=0,L266*Gasesc,#REF!)))</f>
        <v> </v>
      </c>
      <c r="M278" s="404"/>
      <c r="N278" s="401" t="str">
        <f aca="false">IF(A278="N/A"," ",VLOOKUP(A278,PeakPowerCurves,(IF(BMO1=2,3,IF(BMO1=1,2,4))),FALSE()))</f>
        <v> </v>
      </c>
      <c r="O278" s="401" t="str">
        <f aca="false">IF(A278="N/A"," ",VLOOKUP(A278,SatSunPeakPwr,(IF(BMO1=2,3,IF(BMO1=1,2,4))),FALSE()))</f>
        <v> </v>
      </c>
      <c r="P278" s="401" t="str">
        <f aca="false">IF(A278="N/A"," ",VLOOKUP(A278,SatSunPeakPwr,(IF(BMO1=2,7,IF(BMO1=1,6,8))),FALSE()))</f>
        <v> </v>
      </c>
      <c r="Q278" s="402" t="str">
        <f aca="false">IF(A278="N/A"," ",(VLOOKUP(A278,OPPowerPrices,(IF(BMO1=2,7,IF(BMO1=1,6,8))),FALSE())))</f>
        <v> </v>
      </c>
      <c r="R278" s="403" t="str">
        <f aca="false">IF(A278="N/A"," ",(VLOOKUP($A278,IRTable,2)))</f>
        <v> </v>
      </c>
      <c r="AF278" s="352" t="n">
        <f aca="false">EOMONTH(AF277,0)+1</f>
        <v>44896</v>
      </c>
      <c r="AG278" s="311" t="n">
        <v>21</v>
      </c>
      <c r="AH278" s="311" t="n">
        <v>4</v>
      </c>
      <c r="AI278" s="311" t="n">
        <v>6</v>
      </c>
      <c r="AJ278" s="311" t="n">
        <v>1</v>
      </c>
      <c r="AK278" s="311" t="n">
        <v>31</v>
      </c>
      <c r="AU278" s="406"/>
    </row>
    <row r="279" customFormat="false" ht="12.75" hidden="false" customHeight="false" outlineLevel="0" collapsed="false">
      <c r="A279" s="405" t="str">
        <f aca="false">Option1!A246</f>
        <v>N/A</v>
      </c>
      <c r="B279" s="396" t="str">
        <f aca="false">IF(A279="N/A"," ",IF(ISERROR(N279),B267*Pwresc,N279)*VLOOKUP(MONTH(A279),Curveadj,3))</f>
        <v> </v>
      </c>
      <c r="C279" s="397" t="str">
        <f aca="false">IF(A279="N/A"," ",(IF(AND(Scaler1=1,MONTH(A279)&gt;=6,MONTH(A279)&lt;=8,OR($M$37="REGION 2",$M$37="REGION 2A",$M$37="REGION 2B",$M$37="REGION 3",$M$37="REGION 3A",$M$37="REGION 3B",$M$37="REGION 3C",$M$37="REGION 4",$M$37="REGION 4B",$M$37="REGION 4C",$M$37="REGION 5",$M$37="REGION 5A")),((0.059228/(B279/100))-(0.4980013/(SQRT(B279/100)))+2.137988),HLOOKUP(MONTH(A279),ScalarTable,28))))</f>
        <v> </v>
      </c>
      <c r="D279" s="398" t="str">
        <f aca="false">IF(A279="N/A"," ",C279*B279)</f>
        <v> </v>
      </c>
      <c r="E279" s="396" t="str">
        <f aca="false">IF(A279="N/A"," ",IF(ISERROR(O279),E267*Pwresc,O279)*VLOOKUP(MONTH(A279),Curveadj,3))</f>
        <v> </v>
      </c>
      <c r="F279" s="398" t="str">
        <f aca="false">IF(A279="N/A"," ",E279*C279)</f>
        <v> </v>
      </c>
      <c r="G279" s="396" t="str">
        <f aca="false">IF(A279="N/A"," ",IF(ISERROR(P279),G267*Pwresc,P279)*VLOOKUP(MONTH(A279),Curveadj,3))</f>
        <v> </v>
      </c>
      <c r="H279" s="398" t="str">
        <f aca="false">IF(A279="N/A"," ",G279*C279)</f>
        <v> </v>
      </c>
      <c r="I279" s="398" t="str">
        <f aca="false">IF(A279="N/A"," ",IF(ISERROR(Q279),I267*Pwresc,Q279))</f>
        <v> </v>
      </c>
      <c r="J279" s="398" t="str">
        <f aca="false">IF(A279="N/A"," ",Inputs!$G$4)</f>
        <v> </v>
      </c>
      <c r="K279" s="399" t="str">
        <f aca="false">IF(A279="N/A"," ",IF(ISERROR(#REF!),K267*Gasesc,#REF!))</f>
        <v> </v>
      </c>
      <c r="L279" s="399" t="str">
        <f aca="false">IF(A279="N/A"," ",IF(ISERROR(#REF!),L267*Gasesc,IF(#REF!=0,L267*Gasesc,#REF!)))</f>
        <v> </v>
      </c>
      <c r="M279" s="404"/>
      <c r="N279" s="401" t="str">
        <f aca="false">IF(A279="N/A"," ",VLOOKUP(A279,PeakPowerCurves,(IF(BMO1=2,3,IF(BMO1=1,2,4))),FALSE()))</f>
        <v> </v>
      </c>
      <c r="O279" s="401" t="str">
        <f aca="false">IF(A279="N/A"," ",VLOOKUP(A279,SatSunPeakPwr,(IF(BMO1=2,3,IF(BMO1=1,2,4))),FALSE()))</f>
        <v> </v>
      </c>
      <c r="P279" s="401" t="str">
        <f aca="false">IF(A279="N/A"," ",VLOOKUP(A279,SatSunPeakPwr,(IF(BMO1=2,7,IF(BMO1=1,6,8))),FALSE()))</f>
        <v> </v>
      </c>
      <c r="Q279" s="402" t="str">
        <f aca="false">IF(A279="N/A"," ",(VLOOKUP(A279,OPPowerPrices,(IF(BMO1=2,7,IF(BMO1=1,6,8))),FALSE())))</f>
        <v> </v>
      </c>
      <c r="R279" s="403" t="str">
        <f aca="false">IF(A279="N/A"," ",(VLOOKUP($A279,IRTable,2)))</f>
        <v> </v>
      </c>
      <c r="AF279" s="352" t="n">
        <f aca="false">EOMONTH(AF278,0)+1</f>
        <v>44927</v>
      </c>
      <c r="AG279" s="311" t="n">
        <v>22</v>
      </c>
      <c r="AH279" s="311" t="n">
        <v>4</v>
      </c>
      <c r="AI279" s="311" t="n">
        <v>5</v>
      </c>
      <c r="AJ279" s="311" t="n">
        <v>1</v>
      </c>
      <c r="AK279" s="311" t="n">
        <v>31</v>
      </c>
      <c r="AU279" s="406"/>
    </row>
    <row r="280" customFormat="false" ht="12.75" hidden="false" customHeight="false" outlineLevel="0" collapsed="false">
      <c r="A280" s="405" t="str">
        <f aca="false">Option1!A247</f>
        <v>N/A</v>
      </c>
      <c r="B280" s="396" t="str">
        <f aca="false">IF(A280="N/A"," ",IF(ISERROR(N280),B268*Pwresc,N280)*VLOOKUP(MONTH(A280),Curveadj,3))</f>
        <v> </v>
      </c>
      <c r="C280" s="397" t="str">
        <f aca="false">IF(A280="N/A"," ",(IF(AND(Scaler1=1,MONTH(A280)&gt;=6,MONTH(A280)&lt;=8,OR($M$37="REGION 2",$M$37="REGION 2A",$M$37="REGION 2B",$M$37="REGION 3",$M$37="REGION 3A",$M$37="REGION 3B",$M$37="REGION 3C",$M$37="REGION 4",$M$37="REGION 4B",$M$37="REGION 4C",$M$37="REGION 5",$M$37="REGION 5A")),((0.059228/(B280/100))-(0.4980013/(SQRT(B280/100)))+2.137988),HLOOKUP(MONTH(A280),ScalarTable,28))))</f>
        <v> </v>
      </c>
      <c r="D280" s="398" t="str">
        <f aca="false">IF(A280="N/A"," ",C280*B280)</f>
        <v> </v>
      </c>
      <c r="E280" s="396" t="str">
        <f aca="false">IF(A280="N/A"," ",IF(ISERROR(O280),E268*Pwresc,O280)*VLOOKUP(MONTH(A280),Curveadj,3))</f>
        <v> </v>
      </c>
      <c r="F280" s="398" t="str">
        <f aca="false">IF(A280="N/A"," ",E280*C280)</f>
        <v> </v>
      </c>
      <c r="G280" s="396" t="str">
        <f aca="false">IF(A280="N/A"," ",IF(ISERROR(P280),G268*Pwresc,P280)*VLOOKUP(MONTH(A280),Curveadj,3))</f>
        <v> </v>
      </c>
      <c r="H280" s="398" t="str">
        <f aca="false">IF(A280="N/A"," ",G280*C280)</f>
        <v> </v>
      </c>
      <c r="I280" s="398" t="str">
        <f aca="false">IF(A280="N/A"," ",IF(ISERROR(Q280),I268*Pwresc,Q280))</f>
        <v> </v>
      </c>
      <c r="J280" s="398" t="str">
        <f aca="false">IF(A280="N/A"," ",Inputs!$G$4)</f>
        <v> </v>
      </c>
      <c r="K280" s="399" t="str">
        <f aca="false">IF(A280="N/A"," ",IF(ISERROR(#REF!),K268*Gasesc,#REF!))</f>
        <v> </v>
      </c>
      <c r="L280" s="399" t="str">
        <f aca="false">IF(A280="N/A"," ",IF(ISERROR(#REF!),L268*Gasesc,IF(#REF!=0,L268*Gasesc,#REF!)))</f>
        <v> </v>
      </c>
      <c r="M280" s="404"/>
      <c r="N280" s="401" t="str">
        <f aca="false">IF(A280="N/A"," ",VLOOKUP(A280,PeakPowerCurves,(IF(BMO1=2,3,IF(BMO1=1,2,4))),FALSE()))</f>
        <v> </v>
      </c>
      <c r="O280" s="401" t="str">
        <f aca="false">IF(A280="N/A"," ",VLOOKUP(A280,SatSunPeakPwr,(IF(BMO1=2,3,IF(BMO1=1,2,4))),FALSE()))</f>
        <v> </v>
      </c>
      <c r="P280" s="401" t="str">
        <f aca="false">IF(A280="N/A"," ",VLOOKUP(A280,SatSunPeakPwr,(IF(BMO1=2,7,IF(BMO1=1,6,8))),FALSE()))</f>
        <v> </v>
      </c>
      <c r="Q280" s="402" t="str">
        <f aca="false">IF(A280="N/A"," ",(VLOOKUP(A280,OPPowerPrices,(IF(BMO1=2,7,IF(BMO1=1,6,8))),FALSE())))</f>
        <v> </v>
      </c>
      <c r="R280" s="403" t="str">
        <f aca="false">IF(A280="N/A"," ",(VLOOKUP($A280,IRTable,2)))</f>
        <v> </v>
      </c>
      <c r="AF280" s="352" t="n">
        <f aca="false">EOMONTH(AF279,0)+1</f>
        <v>44958</v>
      </c>
      <c r="AG280" s="311" t="n">
        <v>20</v>
      </c>
      <c r="AH280" s="311" t="n">
        <v>4</v>
      </c>
      <c r="AI280" s="311" t="n">
        <v>4</v>
      </c>
      <c r="AJ280" s="311" t="n">
        <v>0</v>
      </c>
      <c r="AK280" s="311" t="n">
        <v>28</v>
      </c>
      <c r="AU280" s="406"/>
    </row>
    <row r="281" customFormat="false" ht="12.75" hidden="false" customHeight="false" outlineLevel="0" collapsed="false">
      <c r="A281" s="405" t="str">
        <f aca="false">Option1!A248</f>
        <v>N/A</v>
      </c>
      <c r="B281" s="396" t="str">
        <f aca="false">IF(A281="N/A"," ",IF(ISERROR(N281),B269*Pwresc,N281)*VLOOKUP(MONTH(A281),Curveadj,3))</f>
        <v> </v>
      </c>
      <c r="C281" s="397" t="str">
        <f aca="false">IF(A281="N/A"," ",(IF(AND(Scaler1=1,MONTH(A281)&gt;=6,MONTH(A281)&lt;=8,OR($M$37="REGION 2",$M$37="REGION 2A",$M$37="REGION 2B",$M$37="REGION 3",$M$37="REGION 3A",$M$37="REGION 3B",$M$37="REGION 3C",$M$37="REGION 4",$M$37="REGION 4B",$M$37="REGION 4C",$M$37="REGION 5",$M$37="REGION 5A")),((0.059228/(B281/100))-(0.4980013/(SQRT(B281/100)))+2.137988),HLOOKUP(MONTH(A281),ScalarTable,28))))</f>
        <v> </v>
      </c>
      <c r="D281" s="398" t="str">
        <f aca="false">IF(A281="N/A"," ",C281*B281)</f>
        <v> </v>
      </c>
      <c r="E281" s="396" t="str">
        <f aca="false">IF(A281="N/A"," ",IF(ISERROR(O281),E269*Pwresc,O281)*VLOOKUP(MONTH(A281),Curveadj,3))</f>
        <v> </v>
      </c>
      <c r="F281" s="398" t="str">
        <f aca="false">IF(A281="N/A"," ",E281*C281)</f>
        <v> </v>
      </c>
      <c r="G281" s="396" t="str">
        <f aca="false">IF(A281="N/A"," ",IF(ISERROR(P281),G269*Pwresc,P281)*VLOOKUP(MONTH(A281),Curveadj,3))</f>
        <v> </v>
      </c>
      <c r="H281" s="398" t="str">
        <f aca="false">IF(A281="N/A"," ",G281*C281)</f>
        <v> </v>
      </c>
      <c r="I281" s="398" t="str">
        <f aca="false">IF(A281="N/A"," ",IF(ISERROR(Q281),I269*Pwresc,Q281))</f>
        <v> </v>
      </c>
      <c r="J281" s="398" t="str">
        <f aca="false">IF(A281="N/A"," ",Inputs!$G$4)</f>
        <v> </v>
      </c>
      <c r="K281" s="399" t="str">
        <f aca="false">IF(A281="N/A"," ",IF(ISERROR(#REF!),K269*Gasesc,#REF!))</f>
        <v> </v>
      </c>
      <c r="L281" s="399" t="str">
        <f aca="false">IF(A281="N/A"," ",IF(ISERROR(#REF!),L269*Gasesc,IF(#REF!=0,L269*Gasesc,#REF!)))</f>
        <v> </v>
      </c>
      <c r="M281" s="404"/>
      <c r="N281" s="401" t="str">
        <f aca="false">IF(A281="N/A"," ",VLOOKUP(A281,PeakPowerCurves,(IF(BMO1=2,3,IF(BMO1=1,2,4))),FALSE()))</f>
        <v> </v>
      </c>
      <c r="O281" s="401" t="str">
        <f aca="false">IF(A281="N/A"," ",VLOOKUP(A281,SatSunPeakPwr,(IF(BMO1=2,3,IF(BMO1=1,2,4))),FALSE()))</f>
        <v> </v>
      </c>
      <c r="P281" s="401" t="str">
        <f aca="false">IF(A281="N/A"," ",VLOOKUP(A281,SatSunPeakPwr,(IF(BMO1=2,7,IF(BMO1=1,6,8))),FALSE()))</f>
        <v> </v>
      </c>
      <c r="Q281" s="402" t="str">
        <f aca="false">IF(A281="N/A"," ",(VLOOKUP(A281,OPPowerPrices,(IF(BMO1=2,7,IF(BMO1=1,6,8))),FALSE())))</f>
        <v> </v>
      </c>
      <c r="R281" s="403" t="str">
        <f aca="false">IF(A281="N/A"," ",(VLOOKUP($A281,IRTable,2)))</f>
        <v> </v>
      </c>
      <c r="AF281" s="352" t="n">
        <f aca="false">EOMONTH(AF280,0)+1</f>
        <v>44986</v>
      </c>
      <c r="AG281" s="311" t="n">
        <v>21</v>
      </c>
      <c r="AH281" s="311" t="n">
        <v>5</v>
      </c>
      <c r="AI281" s="311" t="n">
        <v>5</v>
      </c>
      <c r="AJ281" s="311" t="n">
        <v>0</v>
      </c>
      <c r="AK281" s="311" t="n">
        <v>31</v>
      </c>
      <c r="AU281" s="406"/>
    </row>
    <row r="282" customFormat="false" ht="12.75" hidden="false" customHeight="false" outlineLevel="0" collapsed="false">
      <c r="A282" s="405" t="str">
        <f aca="false">Option1!A249</f>
        <v>N/A</v>
      </c>
      <c r="B282" s="396" t="str">
        <f aca="false">IF(A282="N/A"," ",IF(ISERROR(N282),B270*Pwresc,N282)*VLOOKUP(MONTH(A282),Curveadj,3))</f>
        <v> </v>
      </c>
      <c r="C282" s="397" t="str">
        <f aca="false">IF(A282="N/A"," ",(IF(AND(Scaler1=1,MONTH(A282)&gt;=6,MONTH(A282)&lt;=8,OR($M$37="REGION 2",$M$37="REGION 2A",$M$37="REGION 2B",$M$37="REGION 3",$M$37="REGION 3A",$M$37="REGION 3B",$M$37="REGION 3C",$M$37="REGION 4",$M$37="REGION 4B",$M$37="REGION 4C",$M$37="REGION 5",$M$37="REGION 5A")),((0.059228/(B282/100))-(0.4980013/(SQRT(B282/100)))+2.137988),HLOOKUP(MONTH(A282),ScalarTable,28))))</f>
        <v> </v>
      </c>
      <c r="D282" s="398" t="str">
        <f aca="false">IF(A282="N/A"," ",C282*B282)</f>
        <v> </v>
      </c>
      <c r="E282" s="396" t="str">
        <f aca="false">IF(A282="N/A"," ",IF(ISERROR(O282),E270*Pwresc,O282)*VLOOKUP(MONTH(A282),Curveadj,3))</f>
        <v> </v>
      </c>
      <c r="F282" s="398" t="str">
        <f aca="false">IF(A282="N/A"," ",E282*C282)</f>
        <v> </v>
      </c>
      <c r="G282" s="396" t="str">
        <f aca="false">IF(A282="N/A"," ",IF(ISERROR(P282),G270*Pwresc,P282)*VLOOKUP(MONTH(A282),Curveadj,3))</f>
        <v> </v>
      </c>
      <c r="H282" s="398" t="str">
        <f aca="false">IF(A282="N/A"," ",G282*C282)</f>
        <v> </v>
      </c>
      <c r="I282" s="398" t="str">
        <f aca="false">IF(A282="N/A"," ",IF(ISERROR(Q282),I270*Pwresc,Q282))</f>
        <v> </v>
      </c>
      <c r="J282" s="398" t="str">
        <f aca="false">IF(A282="N/A"," ",Inputs!$G$4)</f>
        <v> </v>
      </c>
      <c r="K282" s="399" t="str">
        <f aca="false">IF(A282="N/A"," ",IF(ISERROR(#REF!),K270*Gasesc,#REF!))</f>
        <v> </v>
      </c>
      <c r="L282" s="399" t="str">
        <f aca="false">IF(A282="N/A"," ",IF(ISERROR(#REF!),L270*Gasesc,IF(#REF!=0,L270*Gasesc,#REF!)))</f>
        <v> </v>
      </c>
      <c r="M282" s="404"/>
      <c r="N282" s="401" t="str">
        <f aca="false">IF(A282="N/A"," ",VLOOKUP(A282,PeakPowerCurves,(IF(BMO1=2,3,IF(BMO1=1,2,4))),FALSE()))</f>
        <v> </v>
      </c>
      <c r="O282" s="401" t="str">
        <f aca="false">IF(A282="N/A"," ",VLOOKUP(A282,SatSunPeakPwr,(IF(BMO1=2,3,IF(BMO1=1,2,4))),FALSE()))</f>
        <v> </v>
      </c>
      <c r="P282" s="401" t="str">
        <f aca="false">IF(A282="N/A"," ",VLOOKUP(A282,SatSunPeakPwr,(IF(BMO1=2,7,IF(BMO1=1,6,8))),FALSE()))</f>
        <v> </v>
      </c>
      <c r="Q282" s="402" t="str">
        <f aca="false">IF(A282="N/A"," ",(VLOOKUP(A282,OPPowerPrices,(IF(BMO1=2,7,IF(BMO1=1,6,8))),FALSE())))</f>
        <v> </v>
      </c>
      <c r="R282" s="403" t="str">
        <f aca="false">IF(A282="N/A"," ",(VLOOKUP($A282,IRTable,2)))</f>
        <v> </v>
      </c>
      <c r="AF282" s="352" t="n">
        <f aca="false">EOMONTH(AF281,0)+1</f>
        <v>45017</v>
      </c>
      <c r="AG282" s="311" t="n">
        <v>22</v>
      </c>
      <c r="AH282" s="311" t="n">
        <v>4</v>
      </c>
      <c r="AI282" s="311" t="n">
        <v>4</v>
      </c>
      <c r="AJ282" s="311" t="n">
        <v>0</v>
      </c>
      <c r="AK282" s="311" t="n">
        <v>30</v>
      </c>
      <c r="AU282" s="406"/>
    </row>
    <row r="283" customFormat="false" ht="12.75" hidden="false" customHeight="false" outlineLevel="0" collapsed="false">
      <c r="A283" s="405" t="str">
        <f aca="false">Option1!A250</f>
        <v>N/A</v>
      </c>
      <c r="B283" s="396" t="str">
        <f aca="false">IF(A283="N/A"," ",IF(ISERROR(N283),B271*Pwresc,N283)*VLOOKUP(MONTH(A283),Curveadj,3))</f>
        <v> </v>
      </c>
      <c r="C283" s="397" t="str">
        <f aca="false">IF(A283="N/A"," ",(IF(AND(Scaler1=1,MONTH(A283)&gt;=6,MONTH(A283)&lt;=8,OR($M$37="REGION 2",$M$37="REGION 2A",$M$37="REGION 2B",$M$37="REGION 3",$M$37="REGION 3A",$M$37="REGION 3B",$M$37="REGION 3C",$M$37="REGION 4",$M$37="REGION 4B",$M$37="REGION 4C",$M$37="REGION 5",$M$37="REGION 5A")),((0.059228/(B283/100))-(0.4980013/(SQRT(B283/100)))+2.137988),HLOOKUP(MONTH(A283),ScalarTable,28))))</f>
        <v> </v>
      </c>
      <c r="D283" s="398" t="str">
        <f aca="false">IF(A283="N/A"," ",C283*B283)</f>
        <v> </v>
      </c>
      <c r="E283" s="396" t="str">
        <f aca="false">IF(A283="N/A"," ",IF(ISERROR(O283),E271*Pwresc,O283)*VLOOKUP(MONTH(A283),Curveadj,3))</f>
        <v> </v>
      </c>
      <c r="F283" s="398" t="str">
        <f aca="false">IF(A283="N/A"," ",E283*C283)</f>
        <v> </v>
      </c>
      <c r="G283" s="396" t="str">
        <f aca="false">IF(A283="N/A"," ",IF(ISERROR(P283),G271*Pwresc,P283)*VLOOKUP(MONTH(A283),Curveadj,3))</f>
        <v> </v>
      </c>
      <c r="H283" s="398" t="str">
        <f aca="false">IF(A283="N/A"," ",G283*C283)</f>
        <v> </v>
      </c>
      <c r="I283" s="398" t="str">
        <f aca="false">IF(A283="N/A"," ",IF(ISERROR(Q283),I271*Pwresc,Q283))</f>
        <v> </v>
      </c>
      <c r="J283" s="398" t="str">
        <f aca="false">IF(A283="N/A"," ",Inputs!$G$4)</f>
        <v> </v>
      </c>
      <c r="K283" s="399" t="str">
        <f aca="false">IF(A283="N/A"," ",IF(ISERROR(#REF!),K271*Gasesc,#REF!))</f>
        <v> </v>
      </c>
      <c r="L283" s="399" t="str">
        <f aca="false">IF(A283="N/A"," ",IF(ISERROR(#REF!),L271*Gasesc,IF(#REF!=0,L271*Gasesc,#REF!)))</f>
        <v> </v>
      </c>
      <c r="M283" s="404"/>
      <c r="N283" s="401" t="str">
        <f aca="false">IF(A283="N/A"," ",VLOOKUP(A283,PeakPowerCurves,(IF(BMO1=2,3,IF(BMO1=1,2,4))),FALSE()))</f>
        <v> </v>
      </c>
      <c r="O283" s="401" t="str">
        <f aca="false">IF(A283="N/A"," ",VLOOKUP(A283,SatSunPeakPwr,(IF(BMO1=2,3,IF(BMO1=1,2,4))),FALSE()))</f>
        <v> </v>
      </c>
      <c r="P283" s="401" t="str">
        <f aca="false">IF(A283="N/A"," ",VLOOKUP(A283,SatSunPeakPwr,(IF(BMO1=2,7,IF(BMO1=1,6,8))),FALSE()))</f>
        <v> </v>
      </c>
      <c r="Q283" s="402" t="str">
        <f aca="false">IF(A283="N/A"," ",(VLOOKUP(A283,OPPowerPrices,(IF(BMO1=2,7,IF(BMO1=1,6,8))),FALSE())))</f>
        <v> </v>
      </c>
      <c r="R283" s="403" t="str">
        <f aca="false">IF(A283="N/A"," ",(VLOOKUP($A283,IRTable,2)))</f>
        <v> </v>
      </c>
      <c r="AF283" s="352" t="n">
        <f aca="false">EOMONTH(AF282,0)+1</f>
        <v>45047</v>
      </c>
      <c r="AG283" s="311" t="n">
        <v>22</v>
      </c>
      <c r="AH283" s="311" t="n">
        <v>4</v>
      </c>
      <c r="AI283" s="311" t="n">
        <v>5</v>
      </c>
      <c r="AJ283" s="311" t="n">
        <v>1</v>
      </c>
      <c r="AK283" s="311" t="n">
        <v>31</v>
      </c>
      <c r="AU283" s="406"/>
    </row>
    <row r="284" customFormat="false" ht="12.75" hidden="false" customHeight="false" outlineLevel="0" collapsed="false">
      <c r="A284" s="405" t="str">
        <f aca="false">Option1!A251</f>
        <v>N/A</v>
      </c>
      <c r="B284" s="396" t="str">
        <f aca="false">IF(A284="N/A"," ",IF(ISERROR(N284),B272*Pwresc,N284)*VLOOKUP(MONTH(A284),Curveadj,3))</f>
        <v> </v>
      </c>
      <c r="C284" s="397" t="str">
        <f aca="false">IF(A284="N/A"," ",(IF(AND(Scaler1=1,MONTH(A284)&gt;=6,MONTH(A284)&lt;=8,OR($M$37="REGION 2",$M$37="REGION 2A",$M$37="REGION 2B",$M$37="REGION 3",$M$37="REGION 3A",$M$37="REGION 3B",$M$37="REGION 3C",$M$37="REGION 4",$M$37="REGION 4B",$M$37="REGION 4C",$M$37="REGION 5",$M$37="REGION 5A")),((0.059228/(B284/100))-(0.4980013/(SQRT(B284/100)))+2.137988),HLOOKUP(MONTH(A284),ScalarTable,28))))</f>
        <v> </v>
      </c>
      <c r="D284" s="398" t="str">
        <f aca="false">IF(A284="N/A"," ",C284*B284)</f>
        <v> </v>
      </c>
      <c r="E284" s="396" t="str">
        <f aca="false">IF(A284="N/A"," ",IF(ISERROR(O284),E272*Pwresc,O284)*VLOOKUP(MONTH(A284),Curveadj,3))</f>
        <v> </v>
      </c>
      <c r="F284" s="398" t="str">
        <f aca="false">IF(A284="N/A"," ",E284*C284)</f>
        <v> </v>
      </c>
      <c r="G284" s="396" t="str">
        <f aca="false">IF(A284="N/A"," ",IF(ISERROR(P284),G272*Pwresc,P284)*VLOOKUP(MONTH(A284),Curveadj,3))</f>
        <v> </v>
      </c>
      <c r="H284" s="398" t="str">
        <f aca="false">IF(A284="N/A"," ",G284*C284)</f>
        <v> </v>
      </c>
      <c r="I284" s="398" t="str">
        <f aca="false">IF(A284="N/A"," ",IF(ISERROR(Q284),I272*Pwresc,Q284))</f>
        <v> </v>
      </c>
      <c r="J284" s="398" t="str">
        <f aca="false">IF(A284="N/A"," ",Inputs!$G$4)</f>
        <v> </v>
      </c>
      <c r="K284" s="399" t="str">
        <f aca="false">IF(A284="N/A"," ",IF(ISERROR(#REF!),K272*Gasesc,#REF!))</f>
        <v> </v>
      </c>
      <c r="L284" s="399" t="str">
        <f aca="false">IF(A284="N/A"," ",IF(ISERROR(#REF!),L272*Gasesc,IF(#REF!=0,L272*Gasesc,#REF!)))</f>
        <v> </v>
      </c>
      <c r="M284" s="404"/>
      <c r="N284" s="401" t="str">
        <f aca="false">IF(A284="N/A"," ",VLOOKUP(A284,PeakPowerCurves,(IF(BMO1=2,3,IF(BMO1=1,2,4))),FALSE()))</f>
        <v> </v>
      </c>
      <c r="O284" s="401" t="str">
        <f aca="false">IF(A284="N/A"," ",VLOOKUP(A284,SatSunPeakPwr,(IF(BMO1=2,3,IF(BMO1=1,2,4))),FALSE()))</f>
        <v> </v>
      </c>
      <c r="P284" s="401" t="str">
        <f aca="false">IF(A284="N/A"," ",VLOOKUP(A284,SatSunPeakPwr,(IF(BMO1=2,7,IF(BMO1=1,6,8))),FALSE()))</f>
        <v> </v>
      </c>
      <c r="Q284" s="402" t="str">
        <f aca="false">IF(A284="N/A"," ",(VLOOKUP(A284,OPPowerPrices,(IF(BMO1=2,7,IF(BMO1=1,6,8))),FALSE())))</f>
        <v> </v>
      </c>
      <c r="R284" s="403" t="str">
        <f aca="false">IF(A284="N/A"," ",(VLOOKUP($A284,IRTable,2)))</f>
        <v> </v>
      </c>
      <c r="AF284" s="352" t="n">
        <f aca="false">EOMONTH(AF283,0)+1</f>
        <v>45078</v>
      </c>
      <c r="AG284" s="311" t="n">
        <v>20</v>
      </c>
      <c r="AH284" s="311" t="n">
        <v>5</v>
      </c>
      <c r="AI284" s="311" t="n">
        <v>5</v>
      </c>
      <c r="AJ284" s="311" t="n">
        <v>0</v>
      </c>
      <c r="AK284" s="311" t="n">
        <v>30</v>
      </c>
      <c r="AU284" s="406"/>
    </row>
    <row r="285" customFormat="false" ht="12.75" hidden="false" customHeight="false" outlineLevel="0" collapsed="false">
      <c r="A285" s="405" t="str">
        <f aca="false">Option1!A252</f>
        <v>N/A</v>
      </c>
      <c r="B285" s="396" t="str">
        <f aca="false">IF(A285="N/A"," ",IF(ISERROR(N285),B273*Pwresc,N285)*VLOOKUP(MONTH(A285),Curveadj,3))</f>
        <v> </v>
      </c>
      <c r="C285" s="397" t="str">
        <f aca="false">IF(A285="N/A"," ",(IF(AND(Scaler1=1,MONTH(A285)&gt;=6,MONTH(A285)&lt;=8,OR($M$37="REGION 2",$M$37="REGION 2A",$M$37="REGION 2B",$M$37="REGION 3",$M$37="REGION 3A",$M$37="REGION 3B",$M$37="REGION 3C",$M$37="REGION 4",$M$37="REGION 4B",$M$37="REGION 4C",$M$37="REGION 5",$M$37="REGION 5A")),((0.059228/(B285/100))-(0.4980013/(SQRT(B285/100)))+2.137988),HLOOKUP(MONTH(A285),ScalarTable,28))))</f>
        <v> </v>
      </c>
      <c r="D285" s="398" t="str">
        <f aca="false">IF(A285="N/A"," ",C285*B285)</f>
        <v> </v>
      </c>
      <c r="E285" s="396" t="str">
        <f aca="false">IF(A285="N/A"," ",IF(ISERROR(O285),E273*Pwresc,O285)*VLOOKUP(MONTH(A285),Curveadj,3))</f>
        <v> </v>
      </c>
      <c r="F285" s="398" t="str">
        <f aca="false">IF(A285="N/A"," ",E285*C285)</f>
        <v> </v>
      </c>
      <c r="G285" s="396" t="str">
        <f aca="false">IF(A285="N/A"," ",IF(ISERROR(P285),G273*Pwresc,P285)*VLOOKUP(MONTH(A285),Curveadj,3))</f>
        <v> </v>
      </c>
      <c r="H285" s="398" t="str">
        <f aca="false">IF(A285="N/A"," ",G285*C285)</f>
        <v> </v>
      </c>
      <c r="I285" s="398" t="str">
        <f aca="false">IF(A285="N/A"," ",IF(ISERROR(Q285),I273*Pwresc,Q285))</f>
        <v> </v>
      </c>
      <c r="J285" s="398" t="str">
        <f aca="false">IF(A285="N/A"," ",Inputs!$G$4)</f>
        <v> </v>
      </c>
      <c r="K285" s="399" t="str">
        <f aca="false">IF(A285="N/A"," ",IF(ISERROR(#REF!),K273*Gasesc,#REF!))</f>
        <v> </v>
      </c>
      <c r="L285" s="399" t="str">
        <f aca="false">IF(A285="N/A"," ",IF(ISERROR(#REF!),L273*Gasesc,IF(#REF!=0,L273*Gasesc,#REF!)))</f>
        <v> </v>
      </c>
      <c r="M285" s="404"/>
      <c r="N285" s="401" t="str">
        <f aca="false">IF(A285="N/A"," ",VLOOKUP(A285,PeakPowerCurves,(IF(BMO1=2,3,IF(BMO1=1,2,4))),FALSE()))</f>
        <v> </v>
      </c>
      <c r="O285" s="401" t="str">
        <f aca="false">IF(A285="N/A"," ",VLOOKUP(A285,SatSunPeakPwr,(IF(BMO1=2,3,IF(BMO1=1,2,4))),FALSE()))</f>
        <v> </v>
      </c>
      <c r="P285" s="401" t="str">
        <f aca="false">IF(A285="N/A"," ",VLOOKUP(A285,SatSunPeakPwr,(IF(BMO1=2,7,IF(BMO1=1,6,8))),FALSE()))</f>
        <v> </v>
      </c>
      <c r="Q285" s="402" t="str">
        <f aca="false">IF(A285="N/A"," ",(VLOOKUP(A285,OPPowerPrices,(IF(BMO1=2,7,IF(BMO1=1,6,8))),FALSE())))</f>
        <v> </v>
      </c>
      <c r="R285" s="403" t="str">
        <f aca="false">IF(A285="N/A"," ",(VLOOKUP($A285,IRTable,2)))</f>
        <v> </v>
      </c>
      <c r="AF285" s="352" t="n">
        <f aca="false">EOMONTH(AF284,0)+1</f>
        <v>45108</v>
      </c>
      <c r="AG285" s="311" t="n">
        <v>22</v>
      </c>
      <c r="AH285" s="311" t="n">
        <v>4</v>
      </c>
      <c r="AI285" s="311" t="n">
        <v>5</v>
      </c>
      <c r="AJ285" s="311" t="n">
        <v>1</v>
      </c>
      <c r="AK285" s="311" t="n">
        <v>31</v>
      </c>
      <c r="AU285" s="406"/>
    </row>
    <row r="286" customFormat="false" ht="12.75" hidden="false" customHeight="false" outlineLevel="0" collapsed="false">
      <c r="A286" s="405" t="str">
        <f aca="false">Option1!A253</f>
        <v>N/A</v>
      </c>
      <c r="B286" s="396" t="str">
        <f aca="false">IF(A286="N/A"," ",IF(ISERROR(N286),B274*Pwresc,N286)*VLOOKUP(MONTH(A286),Curveadj,3))</f>
        <v> </v>
      </c>
      <c r="C286" s="397" t="str">
        <f aca="false">IF(A286="N/A"," ",(IF(AND(Scaler1=1,MONTH(A286)&gt;=6,MONTH(A286)&lt;=8,OR($M$37="REGION 2",$M$37="REGION 2A",$M$37="REGION 2B",$M$37="REGION 3",$M$37="REGION 3A",$M$37="REGION 3B",$M$37="REGION 3C",$M$37="REGION 4",$M$37="REGION 4B",$M$37="REGION 4C",$M$37="REGION 5",$M$37="REGION 5A")),((0.059228/(B286/100))-(0.4980013/(SQRT(B286/100)))+2.137988),HLOOKUP(MONTH(A286),ScalarTable,28))))</f>
        <v> </v>
      </c>
      <c r="D286" s="398" t="str">
        <f aca="false">IF(A286="N/A"," ",C286*B286)</f>
        <v> </v>
      </c>
      <c r="E286" s="396" t="str">
        <f aca="false">IF(A286="N/A"," ",IF(ISERROR(O286),E274*Pwresc,O286)*VLOOKUP(MONTH(A286),Curveadj,3))</f>
        <v> </v>
      </c>
      <c r="F286" s="398" t="str">
        <f aca="false">IF(A286="N/A"," ",E286*C286)</f>
        <v> </v>
      </c>
      <c r="G286" s="396" t="str">
        <f aca="false">IF(A286="N/A"," ",IF(ISERROR(P286),G274*Pwresc,P286)*VLOOKUP(MONTH(A286),Curveadj,3))</f>
        <v> </v>
      </c>
      <c r="H286" s="398" t="str">
        <f aca="false">IF(A286="N/A"," ",G286*C286)</f>
        <v> </v>
      </c>
      <c r="I286" s="398" t="str">
        <f aca="false">IF(A286="N/A"," ",IF(ISERROR(Q286),I274*Pwresc,Q286))</f>
        <v> </v>
      </c>
      <c r="J286" s="398" t="str">
        <f aca="false">IF(A286="N/A"," ",Inputs!$G$4)</f>
        <v> </v>
      </c>
      <c r="K286" s="399" t="str">
        <f aca="false">IF(A286="N/A"," ",IF(ISERROR(#REF!),K274*Gasesc,#REF!))</f>
        <v> </v>
      </c>
      <c r="L286" s="399" t="str">
        <f aca="false">IF(A286="N/A"," ",IF(ISERROR(#REF!),L274*Gasesc,IF(#REF!=0,L274*Gasesc,#REF!)))</f>
        <v> </v>
      </c>
      <c r="M286" s="404"/>
      <c r="N286" s="401" t="str">
        <f aca="false">IF(A286="N/A"," ",VLOOKUP(A286,PeakPowerCurves,(IF(BMO1=2,3,IF(BMO1=1,2,4))),FALSE()))</f>
        <v> </v>
      </c>
      <c r="O286" s="401" t="str">
        <f aca="false">IF(A286="N/A"," ",VLOOKUP(A286,SatSunPeakPwr,(IF(BMO1=2,3,IF(BMO1=1,2,4))),FALSE()))</f>
        <v> </v>
      </c>
      <c r="P286" s="401" t="str">
        <f aca="false">IF(A286="N/A"," ",VLOOKUP(A286,SatSunPeakPwr,(IF(BMO1=2,7,IF(BMO1=1,6,8))),FALSE()))</f>
        <v> </v>
      </c>
      <c r="Q286" s="402" t="str">
        <f aca="false">IF(A286="N/A"," ",(VLOOKUP(A286,OPPowerPrices,(IF(BMO1=2,7,IF(BMO1=1,6,8))),FALSE())))</f>
        <v> </v>
      </c>
      <c r="R286" s="403" t="str">
        <f aca="false">IF(A286="N/A"," ",(VLOOKUP($A286,IRTable,2)))</f>
        <v> </v>
      </c>
      <c r="AF286" s="352" t="n">
        <f aca="false">EOMONTH(AF285,0)+1</f>
        <v>45139</v>
      </c>
      <c r="AG286" s="311" t="n">
        <v>22</v>
      </c>
      <c r="AH286" s="311" t="n">
        <v>5</v>
      </c>
      <c r="AI286" s="311" t="n">
        <v>4</v>
      </c>
      <c r="AJ286" s="311" t="n">
        <v>0</v>
      </c>
      <c r="AK286" s="311" t="n">
        <v>31</v>
      </c>
      <c r="AU286" s="406"/>
    </row>
    <row r="287" customFormat="false" ht="12.75" hidden="false" customHeight="false" outlineLevel="0" collapsed="false">
      <c r="A287" s="405" t="str">
        <f aca="false">Option1!A254</f>
        <v>N/A</v>
      </c>
      <c r="B287" s="396" t="str">
        <f aca="false">IF(A287="N/A"," ",IF(ISERROR(N287),B275*Pwresc,N287)*VLOOKUP(MONTH(A287),Curveadj,3))</f>
        <v> </v>
      </c>
      <c r="C287" s="397" t="str">
        <f aca="false">IF(A287="N/A"," ",(IF(AND(Scaler1=1,MONTH(A287)&gt;=6,MONTH(A287)&lt;=8,OR($M$37="REGION 2",$M$37="REGION 2A",$M$37="REGION 2B",$M$37="REGION 3",$M$37="REGION 3A",$M$37="REGION 3B",$M$37="REGION 3C",$M$37="REGION 4",$M$37="REGION 4B",$M$37="REGION 4C",$M$37="REGION 5",$M$37="REGION 5A")),((0.059228/(B287/100))-(0.4980013/(SQRT(B287/100)))+2.137988),HLOOKUP(MONTH(A287),ScalarTable,28))))</f>
        <v> </v>
      </c>
      <c r="D287" s="398" t="str">
        <f aca="false">IF(A287="N/A"," ",C287*B287)</f>
        <v> </v>
      </c>
      <c r="E287" s="396" t="str">
        <f aca="false">IF(A287="N/A"," ",IF(ISERROR(O287),E275*Pwresc,O287)*VLOOKUP(MONTH(A287),Curveadj,3))</f>
        <v> </v>
      </c>
      <c r="F287" s="398" t="str">
        <f aca="false">IF(A287="N/A"," ",E287*C287)</f>
        <v> </v>
      </c>
      <c r="G287" s="396" t="str">
        <f aca="false">IF(A287="N/A"," ",IF(ISERROR(P287),G275*Pwresc,P287)*VLOOKUP(MONTH(A287),Curveadj,3))</f>
        <v> </v>
      </c>
      <c r="H287" s="398" t="str">
        <f aca="false">IF(A287="N/A"," ",G287*C287)</f>
        <v> </v>
      </c>
      <c r="I287" s="398" t="str">
        <f aca="false">IF(A287="N/A"," ",IF(ISERROR(Q287),I275*Pwresc,Q287))</f>
        <v> </v>
      </c>
      <c r="J287" s="398" t="str">
        <f aca="false">IF(A287="N/A"," ",Inputs!$G$4)</f>
        <v> </v>
      </c>
      <c r="K287" s="399" t="str">
        <f aca="false">IF(A287="N/A"," ",IF(ISERROR(#REF!),K275*Gasesc,#REF!))</f>
        <v> </v>
      </c>
      <c r="L287" s="399" t="str">
        <f aca="false">IF(A287="N/A"," ",IF(ISERROR(#REF!),L275*Gasesc,IF(#REF!=0,L275*Gasesc,#REF!)))</f>
        <v> </v>
      </c>
      <c r="M287" s="404"/>
      <c r="N287" s="401" t="str">
        <f aca="false">IF(A287="N/A"," ",VLOOKUP(A287,PeakPowerCurves,(IF(BMO1=2,3,IF(BMO1=1,2,4))),FALSE()))</f>
        <v> </v>
      </c>
      <c r="O287" s="401" t="str">
        <f aca="false">IF(A287="N/A"," ",VLOOKUP(A287,SatSunPeakPwr,(IF(BMO1=2,3,IF(BMO1=1,2,4))),FALSE()))</f>
        <v> </v>
      </c>
      <c r="P287" s="401" t="str">
        <f aca="false">IF(A287="N/A"," ",VLOOKUP(A287,SatSunPeakPwr,(IF(BMO1=2,7,IF(BMO1=1,6,8))),FALSE()))</f>
        <v> </v>
      </c>
      <c r="Q287" s="402" t="str">
        <f aca="false">IF(A287="N/A"," ",(VLOOKUP(A287,OPPowerPrices,(IF(BMO1=2,7,IF(BMO1=1,6,8))),FALSE())))</f>
        <v> </v>
      </c>
      <c r="R287" s="403" t="str">
        <f aca="false">IF(A287="N/A"," ",(VLOOKUP($A287,IRTable,2)))</f>
        <v> </v>
      </c>
      <c r="AF287" s="352" t="n">
        <f aca="false">EOMONTH(AF286,0)+1</f>
        <v>45170</v>
      </c>
      <c r="AG287" s="311" t="n">
        <v>20</v>
      </c>
      <c r="AH287" s="311" t="n">
        <v>4</v>
      </c>
      <c r="AI287" s="311" t="n">
        <v>6</v>
      </c>
      <c r="AJ287" s="311" t="n">
        <v>1</v>
      </c>
      <c r="AK287" s="311" t="n">
        <v>30</v>
      </c>
      <c r="AU287" s="406"/>
    </row>
    <row r="288" customFormat="false" ht="12.75" hidden="false" customHeight="false" outlineLevel="0" collapsed="false">
      <c r="A288" s="405" t="str">
        <f aca="false">Option1!A255</f>
        <v>N/A</v>
      </c>
      <c r="B288" s="396" t="str">
        <f aca="false">IF(A288="N/A"," ",IF(ISERROR(N288),B276*Pwresc,N288)*VLOOKUP(MONTH(A288),Curveadj,3))</f>
        <v> </v>
      </c>
      <c r="C288" s="397" t="str">
        <f aca="false">IF(A288="N/A"," ",(IF(AND(Scaler1=1,MONTH(A288)&gt;=6,MONTH(A288)&lt;=8,OR($M$37="REGION 2",$M$37="REGION 2A",$M$37="REGION 2B",$M$37="REGION 3",$M$37="REGION 3A",$M$37="REGION 3B",$M$37="REGION 3C",$M$37="REGION 4",$M$37="REGION 4B",$M$37="REGION 4C",$M$37="REGION 5",$M$37="REGION 5A")),((0.059228/(B288/100))-(0.4980013/(SQRT(B288/100)))+2.137988),HLOOKUP(MONTH(A288),ScalarTable,28))))</f>
        <v> </v>
      </c>
      <c r="D288" s="398" t="str">
        <f aca="false">IF(A288="N/A"," ",C288*B288)</f>
        <v> </v>
      </c>
      <c r="E288" s="396" t="str">
        <f aca="false">IF(A288="N/A"," ",IF(ISERROR(O288),E276*Pwresc,O288)*VLOOKUP(MONTH(A288),Curveadj,3))</f>
        <v> </v>
      </c>
      <c r="F288" s="398" t="str">
        <f aca="false">IF(A288="N/A"," ",E288*C288)</f>
        <v> </v>
      </c>
      <c r="G288" s="396" t="str">
        <f aca="false">IF(A288="N/A"," ",IF(ISERROR(P288),G276*Pwresc,P288)*VLOOKUP(MONTH(A288),Curveadj,3))</f>
        <v> </v>
      </c>
      <c r="H288" s="398" t="str">
        <f aca="false">IF(A288="N/A"," ",G288*C288)</f>
        <v> </v>
      </c>
      <c r="I288" s="398" t="str">
        <f aca="false">IF(A288="N/A"," ",IF(ISERROR(Q288),I276*Pwresc,Q288))</f>
        <v> </v>
      </c>
      <c r="J288" s="398" t="str">
        <f aca="false">IF(A288="N/A"," ",Inputs!$G$4)</f>
        <v> </v>
      </c>
      <c r="K288" s="399" t="str">
        <f aca="false">IF(A288="N/A"," ",IF(ISERROR(#REF!),K276*Gasesc,#REF!))</f>
        <v> </v>
      </c>
      <c r="L288" s="399" t="str">
        <f aca="false">IF(A288="N/A"," ",IF(ISERROR(#REF!),L276*Gasesc,IF(#REF!=0,L276*Gasesc,#REF!)))</f>
        <v> </v>
      </c>
      <c r="M288" s="404"/>
      <c r="N288" s="401" t="str">
        <f aca="false">IF(A288="N/A"," ",VLOOKUP(A288,PeakPowerCurves,(IF(BMO1=2,3,IF(BMO1=1,2,4))),FALSE()))</f>
        <v> </v>
      </c>
      <c r="O288" s="401" t="str">
        <f aca="false">IF(A288="N/A"," ",VLOOKUP(A288,SatSunPeakPwr,(IF(BMO1=2,3,IF(BMO1=1,2,4))),FALSE()))</f>
        <v> </v>
      </c>
      <c r="P288" s="401" t="str">
        <f aca="false">IF(A288="N/A"," ",VLOOKUP(A288,SatSunPeakPwr,(IF(BMO1=2,7,IF(BMO1=1,6,8))),FALSE()))</f>
        <v> </v>
      </c>
      <c r="Q288" s="402" t="str">
        <f aca="false">IF(A288="N/A"," ",(VLOOKUP(A288,OPPowerPrices,(IF(BMO1=2,7,IF(BMO1=1,6,8))),FALSE())))</f>
        <v> </v>
      </c>
      <c r="R288" s="403" t="str">
        <f aca="false">IF(A288="N/A"," ",(VLOOKUP($A288,IRTable,2)))</f>
        <v> </v>
      </c>
      <c r="AF288" s="352" t="n">
        <f aca="false">EOMONTH(AF287,0)+1</f>
        <v>45200</v>
      </c>
      <c r="AG288" s="311" t="n">
        <v>23</v>
      </c>
      <c r="AH288" s="311" t="n">
        <v>4</v>
      </c>
      <c r="AI288" s="311" t="n">
        <v>4</v>
      </c>
      <c r="AJ288" s="311" t="n">
        <v>0</v>
      </c>
      <c r="AK288" s="311" t="n">
        <v>31</v>
      </c>
      <c r="AU288" s="406"/>
    </row>
    <row r="289" customFormat="false" ht="12.75" hidden="false" customHeight="false" outlineLevel="0" collapsed="false">
      <c r="A289" s="408"/>
      <c r="B289" s="396"/>
      <c r="C289" s="409"/>
      <c r="D289" s="410"/>
      <c r="E289" s="396"/>
      <c r="F289" s="410"/>
      <c r="G289" s="396"/>
      <c r="H289" s="410"/>
      <c r="I289" s="410"/>
      <c r="J289" s="411"/>
      <c r="K289" s="399"/>
      <c r="L289" s="399"/>
      <c r="M289" s="73"/>
      <c r="N289" s="396"/>
      <c r="O289" s="396"/>
      <c r="P289" s="396"/>
      <c r="Q289" s="410"/>
      <c r="R289" s="411"/>
      <c r="S289" s="411"/>
      <c r="T289" s="411"/>
      <c r="AF289" s="352" t="n">
        <f aca="false">EOMONTH(AF288,0)+1</f>
        <v>45231</v>
      </c>
      <c r="AG289" s="311" t="n">
        <v>20</v>
      </c>
      <c r="AH289" s="311" t="n">
        <v>5</v>
      </c>
      <c r="AI289" s="311" t="n">
        <v>5</v>
      </c>
      <c r="AJ289" s="311" t="n">
        <v>1</v>
      </c>
      <c r="AK289" s="311" t="n">
        <v>30</v>
      </c>
      <c r="AM289" s="0"/>
      <c r="AN289" s="329"/>
      <c r="AU289" s="0"/>
      <c r="AV289" s="62"/>
      <c r="BC289" s="0"/>
    </row>
    <row r="290" customFormat="false" ht="12.75" hidden="false" customHeight="false" outlineLevel="0" collapsed="false">
      <c r="A290" s="408"/>
      <c r="B290" s="396"/>
      <c r="C290" s="409"/>
      <c r="D290" s="410"/>
      <c r="E290" s="396"/>
      <c r="F290" s="410"/>
      <c r="G290" s="396"/>
      <c r="H290" s="410"/>
      <c r="I290" s="410"/>
      <c r="J290" s="411"/>
      <c r="K290" s="399"/>
      <c r="L290" s="399"/>
      <c r="M290" s="73"/>
      <c r="N290" s="396"/>
      <c r="O290" s="396"/>
      <c r="P290" s="396"/>
      <c r="Q290" s="410"/>
      <c r="R290" s="411"/>
      <c r="S290" s="411"/>
      <c r="T290" s="411"/>
      <c r="AF290" s="352" t="n">
        <f aca="false">EOMONTH(AF289,0)+1</f>
        <v>45261</v>
      </c>
      <c r="AG290" s="311" t="n">
        <v>21</v>
      </c>
      <c r="AH290" s="311" t="n">
        <v>4</v>
      </c>
      <c r="AI290" s="311" t="n">
        <v>6</v>
      </c>
      <c r="AJ290" s="311" t="n">
        <v>1</v>
      </c>
      <c r="AK290" s="311" t="n">
        <v>31</v>
      </c>
      <c r="AM290" s="0"/>
      <c r="AN290" s="329"/>
      <c r="AU290" s="0"/>
      <c r="AV290" s="62"/>
      <c r="BC290" s="0"/>
    </row>
    <row r="291" customFormat="false" ht="12.75" hidden="false" customHeight="false" outlineLevel="0" collapsed="false">
      <c r="A291" s="408"/>
      <c r="B291" s="396"/>
      <c r="C291" s="409"/>
      <c r="D291" s="410"/>
      <c r="E291" s="396"/>
      <c r="F291" s="410"/>
      <c r="G291" s="396"/>
      <c r="H291" s="410"/>
      <c r="I291" s="410"/>
      <c r="J291" s="411"/>
      <c r="K291" s="399"/>
      <c r="L291" s="399"/>
      <c r="M291" s="73"/>
      <c r="N291" s="396"/>
      <c r="O291" s="396"/>
      <c r="P291" s="396"/>
      <c r="Q291" s="410"/>
      <c r="R291" s="411"/>
      <c r="S291" s="411"/>
      <c r="T291" s="411"/>
      <c r="AF291" s="352" t="n">
        <f aca="false">EOMONTH(AF290,0)+1</f>
        <v>45292</v>
      </c>
      <c r="AG291" s="311" t="n">
        <v>22</v>
      </c>
      <c r="AH291" s="311" t="n">
        <v>4</v>
      </c>
      <c r="AI291" s="311" t="n">
        <v>5</v>
      </c>
      <c r="AJ291" s="311" t="n">
        <v>1</v>
      </c>
      <c r="AK291" s="311" t="n">
        <v>31</v>
      </c>
      <c r="AM291" s="0"/>
      <c r="AN291" s="329"/>
      <c r="AU291" s="0"/>
      <c r="AV291" s="62"/>
      <c r="BC291" s="0"/>
    </row>
    <row r="292" customFormat="false" ht="12.75" hidden="false" customHeight="false" outlineLevel="0" collapsed="false">
      <c r="A292" s="408"/>
      <c r="B292" s="396"/>
      <c r="C292" s="409"/>
      <c r="D292" s="410"/>
      <c r="E292" s="396"/>
      <c r="F292" s="410"/>
      <c r="G292" s="396"/>
      <c r="H292" s="410"/>
      <c r="I292" s="410"/>
      <c r="J292" s="411"/>
      <c r="K292" s="399"/>
      <c r="L292" s="399"/>
      <c r="M292" s="73"/>
      <c r="N292" s="396"/>
      <c r="O292" s="396"/>
      <c r="P292" s="396"/>
      <c r="Q292" s="410"/>
      <c r="R292" s="411"/>
      <c r="S292" s="411"/>
      <c r="T292" s="411"/>
      <c r="AF292" s="352" t="n">
        <f aca="false">EOMONTH(AF291,0)+1</f>
        <v>45323</v>
      </c>
      <c r="AG292" s="311" t="n">
        <v>20</v>
      </c>
      <c r="AH292" s="311" t="n">
        <v>5</v>
      </c>
      <c r="AI292" s="311" t="n">
        <v>4</v>
      </c>
      <c r="AJ292" s="311" t="n">
        <v>0</v>
      </c>
      <c r="AK292" s="311" t="n">
        <v>29</v>
      </c>
      <c r="AM292" s="0"/>
      <c r="AN292" s="329"/>
      <c r="AQ292" s="0"/>
      <c r="AU292" s="0"/>
      <c r="AV292" s="62"/>
      <c r="BC292" s="0"/>
    </row>
    <row r="293" customFormat="false" ht="12.75" hidden="false" customHeight="false" outlineLevel="0" collapsed="false">
      <c r="A293" s="408"/>
      <c r="B293" s="396"/>
      <c r="C293" s="409"/>
      <c r="D293" s="410"/>
      <c r="E293" s="396"/>
      <c r="F293" s="410"/>
      <c r="G293" s="396"/>
      <c r="H293" s="410"/>
      <c r="I293" s="410"/>
      <c r="J293" s="411"/>
      <c r="K293" s="399"/>
      <c r="L293" s="399"/>
      <c r="M293" s="73"/>
      <c r="N293" s="396"/>
      <c r="O293" s="396"/>
      <c r="P293" s="396"/>
      <c r="Q293" s="410"/>
      <c r="R293" s="411"/>
      <c r="S293" s="411"/>
      <c r="T293" s="411"/>
      <c r="AF293" s="352" t="n">
        <f aca="false">EOMONTH(AF292,0)+1</f>
        <v>45352</v>
      </c>
      <c r="AG293" s="311" t="n">
        <v>22</v>
      </c>
      <c r="AH293" s="311" t="n">
        <v>4</v>
      </c>
      <c r="AI293" s="311" t="n">
        <v>5</v>
      </c>
      <c r="AJ293" s="311" t="n">
        <v>0</v>
      </c>
      <c r="AK293" s="311" t="n">
        <v>31</v>
      </c>
      <c r="AM293" s="0"/>
      <c r="AN293" s="329"/>
      <c r="AQ293" s="0"/>
      <c r="AU293" s="0"/>
      <c r="AV293" s="62"/>
      <c r="BC293" s="0"/>
    </row>
    <row r="294" customFormat="false" ht="12.75" hidden="false" customHeight="false" outlineLevel="0" collapsed="false">
      <c r="A294" s="408"/>
      <c r="B294" s="396"/>
      <c r="C294" s="409"/>
      <c r="D294" s="410"/>
      <c r="E294" s="396"/>
      <c r="F294" s="410"/>
      <c r="G294" s="396"/>
      <c r="H294" s="410"/>
      <c r="I294" s="410"/>
      <c r="J294" s="411"/>
      <c r="K294" s="399"/>
      <c r="L294" s="399"/>
      <c r="M294" s="73"/>
      <c r="N294" s="396"/>
      <c r="O294" s="396"/>
      <c r="P294" s="396"/>
      <c r="Q294" s="410"/>
      <c r="R294" s="411"/>
      <c r="S294" s="411"/>
      <c r="T294" s="411"/>
      <c r="AF294" s="352" t="n">
        <f aca="false">EOMONTH(AF293,0)+1</f>
        <v>45383</v>
      </c>
      <c r="AG294" s="311" t="n">
        <v>22</v>
      </c>
      <c r="AH294" s="311" t="n">
        <v>4</v>
      </c>
      <c r="AI294" s="311" t="n">
        <v>4</v>
      </c>
      <c r="AJ294" s="311" t="n">
        <v>0</v>
      </c>
      <c r="AK294" s="311" t="n">
        <v>30</v>
      </c>
      <c r="AM294" s="0"/>
      <c r="AN294" s="329"/>
      <c r="AQ294" s="0"/>
      <c r="AU294" s="0"/>
      <c r="AV294" s="62"/>
      <c r="BC294" s="0"/>
    </row>
    <row r="295" customFormat="false" ht="12.75" hidden="false" customHeight="false" outlineLevel="0" collapsed="false">
      <c r="A295" s="408"/>
      <c r="B295" s="396"/>
      <c r="C295" s="409"/>
      <c r="D295" s="410"/>
      <c r="E295" s="396"/>
      <c r="F295" s="410"/>
      <c r="G295" s="396"/>
      <c r="H295" s="410"/>
      <c r="I295" s="410"/>
      <c r="J295" s="411"/>
      <c r="K295" s="399"/>
      <c r="L295" s="399"/>
      <c r="M295" s="73"/>
      <c r="N295" s="396"/>
      <c r="O295" s="396"/>
      <c r="P295" s="396"/>
      <c r="Q295" s="410"/>
      <c r="R295" s="411"/>
      <c r="S295" s="411"/>
      <c r="T295" s="411"/>
      <c r="AF295" s="352" t="n">
        <f aca="false">EOMONTH(AF294,0)+1</f>
        <v>45413</v>
      </c>
      <c r="AG295" s="311" t="n">
        <v>20</v>
      </c>
      <c r="AH295" s="311" t="n">
        <v>5</v>
      </c>
      <c r="AI295" s="311" t="n">
        <v>6</v>
      </c>
      <c r="AJ295" s="311" t="n">
        <v>1</v>
      </c>
      <c r="AK295" s="311" t="n">
        <v>31</v>
      </c>
      <c r="AM295" s="0"/>
      <c r="AN295" s="329"/>
      <c r="AQ295" s="0"/>
      <c r="AU295" s="0"/>
      <c r="AV295" s="62"/>
      <c r="BC295" s="0"/>
    </row>
    <row r="296" customFormat="false" ht="12.75" hidden="false" customHeight="false" outlineLevel="0" collapsed="false">
      <c r="A296" s="408"/>
      <c r="B296" s="396"/>
      <c r="C296" s="409"/>
      <c r="D296" s="410"/>
      <c r="E296" s="396"/>
      <c r="F296" s="410"/>
      <c r="G296" s="396"/>
      <c r="H296" s="410"/>
      <c r="I296" s="410"/>
      <c r="J296" s="411"/>
      <c r="K296" s="399"/>
      <c r="L296" s="399"/>
      <c r="M296" s="73"/>
      <c r="N296" s="396"/>
      <c r="O296" s="396"/>
      <c r="P296" s="396"/>
      <c r="Q296" s="410"/>
      <c r="R296" s="411"/>
      <c r="S296" s="411"/>
      <c r="T296" s="411"/>
      <c r="AF296" s="352" t="n">
        <f aca="false">EOMONTH(AF295,0)+1</f>
        <v>45444</v>
      </c>
      <c r="AG296" s="311" t="n">
        <v>22</v>
      </c>
      <c r="AH296" s="311" t="n">
        <v>4</v>
      </c>
      <c r="AI296" s="311" t="n">
        <v>4</v>
      </c>
      <c r="AJ296" s="311" t="n">
        <v>0</v>
      </c>
      <c r="AK296" s="311" t="n">
        <v>30</v>
      </c>
      <c r="AM296" s="0"/>
      <c r="AN296" s="329"/>
      <c r="AQ296" s="0"/>
      <c r="AU296" s="0"/>
      <c r="AV296" s="62"/>
      <c r="BC296" s="0"/>
    </row>
    <row r="297" customFormat="false" ht="12.75" hidden="false" customHeight="false" outlineLevel="0" collapsed="false">
      <c r="A297" s="408"/>
      <c r="B297" s="396"/>
      <c r="C297" s="409"/>
      <c r="D297" s="410"/>
      <c r="E297" s="396"/>
      <c r="F297" s="410"/>
      <c r="G297" s="396"/>
      <c r="H297" s="410"/>
      <c r="I297" s="410"/>
      <c r="J297" s="411"/>
      <c r="K297" s="399"/>
      <c r="L297" s="399"/>
      <c r="M297" s="73"/>
      <c r="N297" s="396"/>
      <c r="O297" s="396"/>
      <c r="P297" s="396"/>
      <c r="Q297" s="410"/>
      <c r="R297" s="411"/>
      <c r="S297" s="411"/>
      <c r="T297" s="411"/>
      <c r="AF297" s="352" t="n">
        <f aca="false">EOMONTH(AF296,0)+1</f>
        <v>45474</v>
      </c>
      <c r="AG297" s="311" t="n">
        <v>23</v>
      </c>
      <c r="AH297" s="311" t="n">
        <v>3</v>
      </c>
      <c r="AI297" s="311" t="n">
        <v>5</v>
      </c>
      <c r="AJ297" s="311" t="n">
        <v>1</v>
      </c>
      <c r="AK297" s="311" t="n">
        <v>31</v>
      </c>
      <c r="AM297" s="0"/>
      <c r="AN297" s="329"/>
      <c r="AQ297" s="0"/>
      <c r="AU297" s="0"/>
      <c r="AV297" s="62"/>
      <c r="BC297" s="0"/>
    </row>
    <row r="298" customFormat="false" ht="12.75" hidden="false" customHeight="false" outlineLevel="0" collapsed="false">
      <c r="A298" s="408"/>
      <c r="B298" s="396"/>
      <c r="C298" s="409"/>
      <c r="D298" s="410"/>
      <c r="E298" s="396"/>
      <c r="F298" s="410"/>
      <c r="G298" s="396"/>
      <c r="H298" s="410"/>
      <c r="I298" s="410"/>
      <c r="J298" s="411"/>
      <c r="K298" s="399"/>
      <c r="L298" s="399"/>
      <c r="M298" s="73"/>
      <c r="N298" s="396"/>
      <c r="O298" s="396"/>
      <c r="P298" s="396"/>
      <c r="Q298" s="410"/>
      <c r="R298" s="411"/>
      <c r="S298" s="411"/>
      <c r="T298" s="411"/>
      <c r="AF298" s="352" t="n">
        <f aca="false">EOMONTH(AF297,0)+1</f>
        <v>45505</v>
      </c>
      <c r="AG298" s="311" t="n">
        <v>21</v>
      </c>
      <c r="AH298" s="311" t="n">
        <v>5</v>
      </c>
      <c r="AI298" s="311" t="n">
        <v>5</v>
      </c>
      <c r="AJ298" s="311" t="n">
        <v>0</v>
      </c>
      <c r="AK298" s="311" t="n">
        <v>31</v>
      </c>
      <c r="AM298" s="0"/>
      <c r="AN298" s="329"/>
      <c r="AQ298" s="0"/>
      <c r="AR298" s="328"/>
      <c r="AU298" s="0"/>
      <c r="AV298" s="62"/>
      <c r="BC298" s="0"/>
    </row>
    <row r="299" customFormat="false" ht="12.75" hidden="false" customHeight="false" outlineLevel="0" collapsed="false">
      <c r="A299" s="408"/>
      <c r="B299" s="396"/>
      <c r="C299" s="409"/>
      <c r="D299" s="410"/>
      <c r="E299" s="396"/>
      <c r="F299" s="410"/>
      <c r="G299" s="396"/>
      <c r="H299" s="410"/>
      <c r="I299" s="410"/>
      <c r="J299" s="411"/>
      <c r="K299" s="399"/>
      <c r="L299" s="399"/>
      <c r="M299" s="73"/>
      <c r="N299" s="396"/>
      <c r="O299" s="396"/>
      <c r="P299" s="396"/>
      <c r="Q299" s="410"/>
      <c r="R299" s="411"/>
      <c r="S299" s="411"/>
      <c r="T299" s="411"/>
      <c r="AF299" s="352" t="n">
        <f aca="false">EOMONTH(AF298,0)+1</f>
        <v>45536</v>
      </c>
      <c r="AG299" s="311" t="n">
        <v>21</v>
      </c>
      <c r="AH299" s="311" t="n">
        <v>4</v>
      </c>
      <c r="AI299" s="311" t="n">
        <v>5</v>
      </c>
      <c r="AJ299" s="311" t="n">
        <v>1</v>
      </c>
      <c r="AK299" s="311" t="n">
        <v>30</v>
      </c>
      <c r="AM299" s="0"/>
      <c r="AN299" s="329"/>
      <c r="AQ299" s="0"/>
      <c r="AR299" s="328"/>
      <c r="AU299" s="0"/>
      <c r="AV299" s="62"/>
      <c r="BC299" s="0"/>
    </row>
    <row r="300" customFormat="false" ht="12.75" hidden="false" customHeight="false" outlineLevel="0" collapsed="false">
      <c r="A300" s="408"/>
      <c r="B300" s="396"/>
      <c r="C300" s="409"/>
      <c r="D300" s="410"/>
      <c r="E300" s="396"/>
      <c r="F300" s="410"/>
      <c r="G300" s="396"/>
      <c r="H300" s="410"/>
      <c r="I300" s="410"/>
      <c r="J300" s="411"/>
      <c r="K300" s="399"/>
      <c r="L300" s="399"/>
      <c r="M300" s="73"/>
      <c r="N300" s="396"/>
      <c r="O300" s="396"/>
      <c r="P300" s="396"/>
      <c r="Q300" s="410"/>
      <c r="R300" s="411"/>
      <c r="S300" s="411"/>
      <c r="T300" s="411"/>
      <c r="AF300" s="352" t="n">
        <f aca="false">EOMONTH(AF299,0)+1</f>
        <v>45566</v>
      </c>
      <c r="AG300" s="311" t="n">
        <v>22</v>
      </c>
      <c r="AH300" s="311" t="n">
        <v>5</v>
      </c>
      <c r="AI300" s="311" t="n">
        <v>4</v>
      </c>
      <c r="AJ300" s="311" t="n">
        <v>0</v>
      </c>
      <c r="AK300" s="311" t="n">
        <v>31</v>
      </c>
      <c r="AM300" s="0"/>
      <c r="AN300" s="329"/>
      <c r="AQ300" s="0"/>
      <c r="AR300" s="328"/>
      <c r="AU300" s="0"/>
      <c r="AV300" s="62"/>
      <c r="BC300" s="0"/>
    </row>
    <row r="301" customFormat="false" ht="12.75" hidden="false" customHeight="false" outlineLevel="0" collapsed="false">
      <c r="A301" s="408"/>
      <c r="B301" s="396"/>
      <c r="C301" s="409"/>
      <c r="D301" s="410"/>
      <c r="E301" s="396"/>
      <c r="F301" s="410"/>
      <c r="G301" s="396"/>
      <c r="H301" s="410"/>
      <c r="I301" s="410"/>
      <c r="J301" s="411"/>
      <c r="K301" s="399"/>
      <c r="L301" s="399"/>
      <c r="M301" s="73"/>
      <c r="N301" s="396"/>
      <c r="O301" s="396"/>
      <c r="P301" s="396"/>
      <c r="Q301" s="410"/>
      <c r="R301" s="411"/>
      <c r="S301" s="411"/>
      <c r="T301" s="411"/>
      <c r="AF301" s="352" t="n">
        <f aca="false">EOMONTH(AF300,0)+1</f>
        <v>45597</v>
      </c>
      <c r="AG301" s="311" t="n">
        <v>20</v>
      </c>
      <c r="AH301" s="311" t="n">
        <v>4</v>
      </c>
      <c r="AI301" s="311" t="n">
        <v>6</v>
      </c>
      <c r="AJ301" s="311" t="n">
        <v>1</v>
      </c>
      <c r="AK301" s="311" t="n">
        <v>30</v>
      </c>
      <c r="AM301" s="0"/>
      <c r="AN301" s="329"/>
      <c r="AQ301" s="0"/>
      <c r="AR301" s="328"/>
      <c r="AU301" s="0"/>
      <c r="AV301" s="62"/>
      <c r="BC301" s="0"/>
    </row>
    <row r="302" customFormat="false" ht="12.75" hidden="false" customHeight="false" outlineLevel="0" collapsed="false">
      <c r="A302" s="408"/>
      <c r="B302" s="396"/>
      <c r="C302" s="409"/>
      <c r="D302" s="410"/>
      <c r="E302" s="396"/>
      <c r="F302" s="410"/>
      <c r="G302" s="396"/>
      <c r="H302" s="410"/>
      <c r="I302" s="410"/>
      <c r="J302" s="411"/>
      <c r="K302" s="399"/>
      <c r="L302" s="399"/>
      <c r="M302" s="73"/>
      <c r="N302" s="396"/>
      <c r="O302" s="396"/>
      <c r="P302" s="396"/>
      <c r="Q302" s="410"/>
      <c r="R302" s="411"/>
      <c r="S302" s="411"/>
      <c r="T302" s="411"/>
      <c r="AF302" s="352" t="n">
        <f aca="false">EOMONTH(AF301,0)+1</f>
        <v>45627</v>
      </c>
      <c r="AG302" s="311" t="n">
        <v>22</v>
      </c>
      <c r="AH302" s="311" t="n">
        <v>4</v>
      </c>
      <c r="AI302" s="311" t="n">
        <v>5</v>
      </c>
      <c r="AJ302" s="311" t="n">
        <v>1</v>
      </c>
      <c r="AK302" s="311" t="n">
        <v>31</v>
      </c>
      <c r="AM302" s="0"/>
      <c r="AN302" s="329"/>
      <c r="AQ302" s="0"/>
      <c r="AR302" s="328"/>
      <c r="AU302" s="0"/>
      <c r="AV302" s="62"/>
      <c r="BC302" s="0"/>
    </row>
    <row r="303" customFormat="false" ht="12.75" hidden="false" customHeight="false" outlineLevel="0" collapsed="false">
      <c r="A303" s="408"/>
      <c r="B303" s="396"/>
      <c r="C303" s="409"/>
      <c r="D303" s="410"/>
      <c r="E303" s="396"/>
      <c r="F303" s="410"/>
      <c r="G303" s="396"/>
      <c r="H303" s="410"/>
      <c r="I303" s="410"/>
      <c r="J303" s="411"/>
      <c r="K303" s="399"/>
      <c r="L303" s="399"/>
      <c r="M303" s="73"/>
      <c r="N303" s="396"/>
      <c r="O303" s="396"/>
      <c r="P303" s="396"/>
      <c r="Q303" s="410"/>
      <c r="R303" s="411"/>
      <c r="S303" s="411"/>
      <c r="T303" s="411"/>
      <c r="AF303" s="352" t="n">
        <f aca="false">EOMONTH(AF302,0)+1</f>
        <v>45658</v>
      </c>
      <c r="AG303" s="311" t="n">
        <v>22</v>
      </c>
      <c r="AH303" s="311" t="n">
        <v>4</v>
      </c>
      <c r="AI303" s="311" t="n">
        <v>5</v>
      </c>
      <c r="AJ303" s="311" t="n">
        <v>1</v>
      </c>
      <c r="AK303" s="311" t="n">
        <v>31</v>
      </c>
      <c r="AM303" s="0"/>
      <c r="AN303" s="329"/>
      <c r="AQ303" s="0"/>
      <c r="AR303" s="328"/>
      <c r="AU303" s="0"/>
      <c r="AV303" s="62"/>
      <c r="BC303" s="0"/>
    </row>
    <row r="304" customFormat="false" ht="12.75" hidden="false" customHeight="false" outlineLevel="0" collapsed="false">
      <c r="A304" s="408"/>
      <c r="B304" s="396"/>
      <c r="C304" s="409"/>
      <c r="D304" s="410"/>
      <c r="E304" s="396"/>
      <c r="F304" s="410"/>
      <c r="G304" s="396"/>
      <c r="H304" s="410"/>
      <c r="I304" s="410"/>
      <c r="J304" s="411"/>
      <c r="K304" s="399"/>
      <c r="L304" s="399"/>
      <c r="M304" s="73"/>
      <c r="N304" s="396"/>
      <c r="O304" s="396"/>
      <c r="P304" s="396"/>
      <c r="Q304" s="410"/>
      <c r="R304" s="411"/>
      <c r="S304" s="411"/>
      <c r="T304" s="411"/>
      <c r="AF304" s="352" t="n">
        <f aca="false">EOMONTH(AF303,0)+1</f>
        <v>45689</v>
      </c>
      <c r="AG304" s="311" t="n">
        <v>20</v>
      </c>
      <c r="AH304" s="311" t="n">
        <v>4</v>
      </c>
      <c r="AI304" s="311" t="n">
        <v>4</v>
      </c>
      <c r="AJ304" s="311" t="n">
        <v>0</v>
      </c>
      <c r="AK304" s="311" t="n">
        <v>28</v>
      </c>
      <c r="AM304" s="0"/>
      <c r="AN304" s="329"/>
      <c r="AQ304" s="0"/>
      <c r="AR304" s="328"/>
      <c r="AU304" s="0"/>
      <c r="AV304" s="62"/>
      <c r="BC304" s="0"/>
    </row>
    <row r="305" customFormat="false" ht="12.75" hidden="false" customHeight="false" outlineLevel="0" collapsed="false">
      <c r="A305" s="408"/>
      <c r="B305" s="396"/>
      <c r="C305" s="409"/>
      <c r="D305" s="410"/>
      <c r="E305" s="396"/>
      <c r="F305" s="410"/>
      <c r="G305" s="396"/>
      <c r="H305" s="410"/>
      <c r="I305" s="410"/>
      <c r="J305" s="411"/>
      <c r="K305" s="399"/>
      <c r="L305" s="399"/>
      <c r="M305" s="73"/>
      <c r="N305" s="396"/>
      <c r="O305" s="396"/>
      <c r="P305" s="396"/>
      <c r="Q305" s="410"/>
      <c r="R305" s="411"/>
      <c r="S305" s="411"/>
      <c r="T305" s="411"/>
      <c r="AF305" s="352" t="n">
        <f aca="false">EOMONTH(AF304,0)+1</f>
        <v>45717</v>
      </c>
      <c r="AG305" s="311" t="n">
        <v>21</v>
      </c>
      <c r="AH305" s="311" t="n">
        <v>5</v>
      </c>
      <c r="AI305" s="311" t="n">
        <v>5</v>
      </c>
      <c r="AJ305" s="311" t="n">
        <v>0</v>
      </c>
      <c r="AK305" s="311" t="n">
        <v>31</v>
      </c>
      <c r="AM305" s="0"/>
      <c r="AN305" s="329"/>
      <c r="AQ305" s="0"/>
      <c r="AR305" s="328"/>
      <c r="AU305" s="0"/>
      <c r="AV305" s="62"/>
      <c r="BC305" s="0"/>
    </row>
    <row r="306" customFormat="false" ht="12.75" hidden="false" customHeight="false" outlineLevel="0" collapsed="false">
      <c r="A306" s="408"/>
      <c r="B306" s="396"/>
      <c r="C306" s="409"/>
      <c r="D306" s="410"/>
      <c r="E306" s="396"/>
      <c r="F306" s="410"/>
      <c r="G306" s="396"/>
      <c r="H306" s="410"/>
      <c r="I306" s="410"/>
      <c r="J306" s="411"/>
      <c r="K306" s="399"/>
      <c r="L306" s="399"/>
      <c r="M306" s="73"/>
      <c r="N306" s="396"/>
      <c r="O306" s="396"/>
      <c r="P306" s="396"/>
      <c r="Q306" s="410"/>
      <c r="R306" s="411"/>
      <c r="S306" s="411"/>
      <c r="T306" s="411"/>
      <c r="AF306" s="352" t="n">
        <f aca="false">EOMONTH(AF305,0)+1</f>
        <v>45748</v>
      </c>
      <c r="AG306" s="311" t="n">
        <v>22</v>
      </c>
      <c r="AH306" s="311" t="n">
        <v>4</v>
      </c>
      <c r="AI306" s="311" t="n">
        <v>4</v>
      </c>
      <c r="AJ306" s="311" t="n">
        <v>0</v>
      </c>
      <c r="AK306" s="311" t="n">
        <v>30</v>
      </c>
      <c r="AM306" s="0"/>
      <c r="AN306" s="329"/>
      <c r="AQ306" s="0"/>
      <c r="AR306" s="328"/>
      <c r="AU306" s="0"/>
      <c r="AV306" s="62"/>
      <c r="BC306" s="0"/>
    </row>
    <row r="307" customFormat="false" ht="12.75" hidden="false" customHeight="false" outlineLevel="0" collapsed="false">
      <c r="A307" s="408"/>
      <c r="B307" s="396"/>
      <c r="C307" s="409"/>
      <c r="D307" s="410"/>
      <c r="E307" s="396"/>
      <c r="F307" s="410"/>
      <c r="G307" s="396"/>
      <c r="H307" s="410"/>
      <c r="I307" s="410"/>
      <c r="J307" s="411"/>
      <c r="K307" s="399"/>
      <c r="L307" s="399"/>
      <c r="M307" s="73"/>
      <c r="N307" s="396"/>
      <c r="O307" s="396"/>
      <c r="P307" s="396"/>
      <c r="Q307" s="410"/>
      <c r="R307" s="411"/>
      <c r="S307" s="411"/>
      <c r="T307" s="411"/>
      <c r="AF307" s="352" t="n">
        <f aca="false">EOMONTH(AF306,0)+1</f>
        <v>45778</v>
      </c>
      <c r="AG307" s="311" t="n">
        <v>22</v>
      </c>
      <c r="AH307" s="311" t="n">
        <v>4</v>
      </c>
      <c r="AI307" s="311" t="n">
        <v>5</v>
      </c>
      <c r="AJ307" s="311" t="n">
        <v>1</v>
      </c>
      <c r="AK307" s="311" t="n">
        <v>31</v>
      </c>
      <c r="AM307" s="0"/>
      <c r="AN307" s="329"/>
      <c r="AQ307" s="0"/>
      <c r="AR307" s="328"/>
      <c r="AU307" s="0"/>
      <c r="AV307" s="62"/>
      <c r="BC307" s="0"/>
    </row>
    <row r="308" customFormat="false" ht="12.75" hidden="false" customHeight="false" outlineLevel="0" collapsed="false">
      <c r="A308" s="408"/>
      <c r="B308" s="396"/>
      <c r="C308" s="409"/>
      <c r="D308" s="410"/>
      <c r="E308" s="396"/>
      <c r="F308" s="410"/>
      <c r="G308" s="396"/>
      <c r="H308" s="410"/>
      <c r="I308" s="410"/>
      <c r="J308" s="411"/>
      <c r="K308" s="399"/>
      <c r="L308" s="399"/>
      <c r="M308" s="73"/>
      <c r="N308" s="396"/>
      <c r="O308" s="396"/>
      <c r="P308" s="396"/>
      <c r="Q308" s="410"/>
      <c r="R308" s="411"/>
      <c r="S308" s="411"/>
      <c r="T308" s="411"/>
      <c r="AF308" s="352" t="n">
        <f aca="false">EOMONTH(AF307,0)+1</f>
        <v>45809</v>
      </c>
      <c r="AG308" s="311" t="n">
        <v>20</v>
      </c>
      <c r="AH308" s="311" t="n">
        <v>5</v>
      </c>
      <c r="AI308" s="311" t="n">
        <v>5</v>
      </c>
      <c r="AJ308" s="311" t="n">
        <v>0</v>
      </c>
      <c r="AK308" s="311" t="n">
        <v>30</v>
      </c>
      <c r="AM308" s="0"/>
      <c r="AN308" s="329"/>
      <c r="AQ308" s="0"/>
      <c r="AR308" s="328"/>
      <c r="AU308" s="0"/>
      <c r="AV308" s="62"/>
      <c r="BC308" s="0"/>
    </row>
    <row r="309" customFormat="false" ht="12.75" hidden="false" customHeight="false" outlineLevel="0" collapsed="false">
      <c r="A309" s="408"/>
      <c r="B309" s="396"/>
      <c r="C309" s="409"/>
      <c r="D309" s="410"/>
      <c r="E309" s="396"/>
      <c r="F309" s="410"/>
      <c r="G309" s="396"/>
      <c r="H309" s="410"/>
      <c r="I309" s="410"/>
      <c r="J309" s="411"/>
      <c r="K309" s="399"/>
      <c r="L309" s="399"/>
      <c r="M309" s="73"/>
      <c r="N309" s="396"/>
      <c r="O309" s="396"/>
      <c r="P309" s="396"/>
      <c r="Q309" s="410"/>
      <c r="R309" s="411"/>
      <c r="S309" s="411"/>
      <c r="T309" s="411"/>
      <c r="AF309" s="352" t="n">
        <f aca="false">EOMONTH(AF308,0)+1</f>
        <v>45839</v>
      </c>
      <c r="AG309" s="311" t="n">
        <v>22</v>
      </c>
      <c r="AH309" s="311" t="n">
        <v>4</v>
      </c>
      <c r="AI309" s="311" t="n">
        <v>5</v>
      </c>
      <c r="AJ309" s="311" t="n">
        <v>1</v>
      </c>
      <c r="AK309" s="311" t="n">
        <v>31</v>
      </c>
      <c r="AM309" s="0"/>
      <c r="AN309" s="329"/>
      <c r="AQ309" s="0"/>
      <c r="AR309" s="328"/>
      <c r="AU309" s="0"/>
      <c r="AV309" s="62"/>
      <c r="BC309" s="0"/>
    </row>
    <row r="310" customFormat="false" ht="12.75" hidden="false" customHeight="false" outlineLevel="0" collapsed="false">
      <c r="A310" s="408"/>
      <c r="B310" s="396"/>
      <c r="C310" s="409"/>
      <c r="D310" s="410"/>
      <c r="E310" s="396"/>
      <c r="F310" s="410"/>
      <c r="G310" s="396"/>
      <c r="H310" s="410"/>
      <c r="I310" s="410"/>
      <c r="J310" s="411"/>
      <c r="K310" s="399"/>
      <c r="L310" s="399"/>
      <c r="M310" s="73"/>
      <c r="N310" s="396"/>
      <c r="O310" s="396"/>
      <c r="P310" s="396"/>
      <c r="Q310" s="410"/>
      <c r="R310" s="411"/>
      <c r="S310" s="411"/>
      <c r="T310" s="411"/>
      <c r="AF310" s="352" t="n">
        <f aca="false">EOMONTH(AF309,0)+1</f>
        <v>45870</v>
      </c>
      <c r="AG310" s="311" t="n">
        <v>22</v>
      </c>
      <c r="AH310" s="311" t="n">
        <v>5</v>
      </c>
      <c r="AI310" s="311" t="n">
        <v>4</v>
      </c>
      <c r="AJ310" s="311" t="n">
        <v>0</v>
      </c>
      <c r="AK310" s="311" t="n">
        <v>31</v>
      </c>
      <c r="AM310" s="0"/>
      <c r="AN310" s="329"/>
      <c r="AQ310" s="0"/>
      <c r="AR310" s="328"/>
      <c r="AU310" s="0"/>
      <c r="AV310" s="62"/>
      <c r="BC310" s="0"/>
    </row>
    <row r="311" customFormat="false" ht="12.75" hidden="false" customHeight="false" outlineLevel="0" collapsed="false">
      <c r="A311" s="408"/>
      <c r="B311" s="396"/>
      <c r="C311" s="409"/>
      <c r="D311" s="410"/>
      <c r="E311" s="396"/>
      <c r="F311" s="410"/>
      <c r="G311" s="396"/>
      <c r="H311" s="410"/>
      <c r="I311" s="410"/>
      <c r="J311" s="411"/>
      <c r="K311" s="399"/>
      <c r="L311" s="399"/>
      <c r="M311" s="73"/>
      <c r="N311" s="396"/>
      <c r="O311" s="396"/>
      <c r="P311" s="396"/>
      <c r="Q311" s="410"/>
      <c r="R311" s="411"/>
      <c r="S311" s="411"/>
      <c r="T311" s="411"/>
      <c r="AF311" s="352" t="n">
        <f aca="false">EOMONTH(AF310,0)+1</f>
        <v>45901</v>
      </c>
      <c r="AG311" s="311" t="n">
        <v>20</v>
      </c>
      <c r="AH311" s="311" t="n">
        <v>4</v>
      </c>
      <c r="AI311" s="311" t="n">
        <v>6</v>
      </c>
      <c r="AJ311" s="311" t="n">
        <v>1</v>
      </c>
      <c r="AK311" s="311" t="n">
        <v>30</v>
      </c>
      <c r="AM311" s="0"/>
      <c r="AN311" s="329"/>
      <c r="AQ311" s="0"/>
      <c r="AR311" s="328"/>
      <c r="AU311" s="0"/>
      <c r="AV311" s="62"/>
      <c r="BC311" s="0"/>
    </row>
    <row r="312" customFormat="false" ht="12.75" hidden="false" customHeight="false" outlineLevel="0" collapsed="false">
      <c r="A312" s="408"/>
      <c r="B312" s="396"/>
      <c r="C312" s="409"/>
      <c r="D312" s="410"/>
      <c r="E312" s="396"/>
      <c r="F312" s="410"/>
      <c r="G312" s="396"/>
      <c r="H312" s="410"/>
      <c r="I312" s="410"/>
      <c r="J312" s="411"/>
      <c r="K312" s="399"/>
      <c r="L312" s="399"/>
      <c r="M312" s="73"/>
      <c r="N312" s="396"/>
      <c r="O312" s="396"/>
      <c r="P312" s="396"/>
      <c r="Q312" s="410"/>
      <c r="R312" s="411"/>
      <c r="S312" s="411"/>
      <c r="T312" s="411"/>
      <c r="AF312" s="352" t="n">
        <f aca="false">EOMONTH(AF311,0)+1</f>
        <v>45931</v>
      </c>
      <c r="AG312" s="311" t="n">
        <v>23</v>
      </c>
      <c r="AH312" s="311" t="n">
        <v>4</v>
      </c>
      <c r="AI312" s="311" t="n">
        <v>4</v>
      </c>
      <c r="AJ312" s="311" t="n">
        <v>0</v>
      </c>
      <c r="AK312" s="311" t="n">
        <v>31</v>
      </c>
      <c r="AM312" s="0"/>
      <c r="AN312" s="329"/>
      <c r="AQ312" s="0"/>
      <c r="AR312" s="328"/>
      <c r="AU312" s="0"/>
      <c r="AV312" s="62"/>
      <c r="BC312" s="0"/>
    </row>
    <row r="313" customFormat="false" ht="12.75" hidden="false" customHeight="false" outlineLevel="0" collapsed="false">
      <c r="A313" s="408"/>
      <c r="B313" s="396"/>
      <c r="C313" s="409"/>
      <c r="D313" s="410"/>
      <c r="E313" s="396"/>
      <c r="F313" s="410"/>
      <c r="G313" s="396"/>
      <c r="H313" s="410"/>
      <c r="I313" s="410"/>
      <c r="J313" s="411"/>
      <c r="K313" s="399"/>
      <c r="L313" s="399"/>
      <c r="M313" s="73"/>
      <c r="N313" s="396"/>
      <c r="O313" s="396"/>
      <c r="P313" s="396"/>
      <c r="Q313" s="410"/>
      <c r="R313" s="411"/>
      <c r="S313" s="411"/>
      <c r="T313" s="411"/>
      <c r="AF313" s="352" t="n">
        <f aca="false">EOMONTH(AF312,0)+1</f>
        <v>45962</v>
      </c>
      <c r="AG313" s="311" t="n">
        <v>20</v>
      </c>
      <c r="AH313" s="311" t="n">
        <v>5</v>
      </c>
      <c r="AI313" s="311" t="n">
        <v>5</v>
      </c>
      <c r="AJ313" s="311" t="n">
        <v>1</v>
      </c>
      <c r="AK313" s="311" t="n">
        <v>30</v>
      </c>
      <c r="AM313" s="0"/>
      <c r="AN313" s="329"/>
      <c r="AQ313" s="0"/>
      <c r="AR313" s="328"/>
      <c r="AU313" s="0"/>
      <c r="AV313" s="62"/>
      <c r="AY313" s="0"/>
      <c r="AZ313" s="328"/>
      <c r="BC313" s="0"/>
    </row>
    <row r="314" customFormat="false" ht="12.75" hidden="false" customHeight="false" outlineLevel="0" collapsed="false">
      <c r="A314" s="408"/>
      <c r="B314" s="396"/>
      <c r="C314" s="409"/>
      <c r="D314" s="410"/>
      <c r="E314" s="396"/>
      <c r="F314" s="410"/>
      <c r="G314" s="396"/>
      <c r="H314" s="410"/>
      <c r="I314" s="410"/>
      <c r="J314" s="411"/>
      <c r="K314" s="399"/>
      <c r="L314" s="399"/>
      <c r="M314" s="73"/>
      <c r="N314" s="396"/>
      <c r="O314" s="396"/>
      <c r="P314" s="396"/>
      <c r="Q314" s="410"/>
      <c r="R314" s="411"/>
      <c r="S314" s="411"/>
      <c r="T314" s="411"/>
      <c r="AF314" s="352" t="n">
        <f aca="false">EOMONTH(AF313,0)+1</f>
        <v>45992</v>
      </c>
      <c r="AG314" s="311" t="n">
        <v>21</v>
      </c>
      <c r="AH314" s="311" t="n">
        <v>4</v>
      </c>
      <c r="AI314" s="311" t="n">
        <v>6</v>
      </c>
      <c r="AJ314" s="311" t="n">
        <v>1</v>
      </c>
      <c r="AK314" s="311" t="n">
        <v>31</v>
      </c>
      <c r="AM314" s="0"/>
      <c r="AN314" s="329"/>
      <c r="AQ314" s="0"/>
      <c r="AR314" s="328"/>
      <c r="AU314" s="0"/>
      <c r="AV314" s="62"/>
      <c r="AY314" s="0"/>
      <c r="AZ314" s="328"/>
      <c r="BC314" s="0"/>
    </row>
    <row r="315" customFormat="false" ht="12.75" hidden="false" customHeight="false" outlineLevel="0" collapsed="false">
      <c r="A315" s="408"/>
      <c r="B315" s="396"/>
      <c r="C315" s="409"/>
      <c r="D315" s="410"/>
      <c r="E315" s="396"/>
      <c r="F315" s="410"/>
      <c r="G315" s="396"/>
      <c r="H315" s="410"/>
      <c r="I315" s="410"/>
      <c r="J315" s="411"/>
      <c r="K315" s="399"/>
      <c r="L315" s="399"/>
      <c r="M315" s="73"/>
      <c r="N315" s="396"/>
      <c r="O315" s="396"/>
      <c r="P315" s="396"/>
      <c r="Q315" s="410"/>
      <c r="R315" s="411"/>
      <c r="S315" s="411"/>
      <c r="T315" s="411"/>
      <c r="AF315" s="352" t="n">
        <f aca="false">EOMONTH(AF314,0)+1</f>
        <v>46023</v>
      </c>
      <c r="AG315" s="311" t="n">
        <v>22</v>
      </c>
      <c r="AH315" s="311" t="n">
        <v>4</v>
      </c>
      <c r="AI315" s="311" t="n">
        <v>5</v>
      </c>
      <c r="AJ315" s="311" t="n">
        <v>1</v>
      </c>
      <c r="AK315" s="311" t="n">
        <v>31</v>
      </c>
      <c r="AM315" s="0"/>
      <c r="AN315" s="329"/>
      <c r="AQ315" s="0"/>
      <c r="AR315" s="328"/>
      <c r="AU315" s="0"/>
      <c r="AV315" s="62"/>
      <c r="AY315" s="0"/>
      <c r="AZ315" s="328"/>
      <c r="BC315" s="0"/>
    </row>
    <row r="316" customFormat="false" ht="12.75" hidden="false" customHeight="false" outlineLevel="0" collapsed="false">
      <c r="A316" s="408"/>
      <c r="B316" s="396"/>
      <c r="C316" s="409"/>
      <c r="D316" s="410"/>
      <c r="E316" s="396"/>
      <c r="F316" s="410"/>
      <c r="G316" s="396"/>
      <c r="H316" s="410"/>
      <c r="I316" s="410"/>
      <c r="J316" s="411"/>
      <c r="K316" s="399"/>
      <c r="L316" s="399"/>
      <c r="M316" s="73"/>
      <c r="N316" s="396"/>
      <c r="O316" s="396"/>
      <c r="P316" s="396"/>
      <c r="Q316" s="410"/>
      <c r="R316" s="411"/>
      <c r="S316" s="411"/>
      <c r="T316" s="411"/>
      <c r="AF316" s="352" t="n">
        <f aca="false">EOMONTH(AF315,0)+1</f>
        <v>46054</v>
      </c>
      <c r="AG316" s="311" t="n">
        <v>20</v>
      </c>
      <c r="AH316" s="311" t="n">
        <v>4</v>
      </c>
      <c r="AI316" s="311" t="n">
        <v>4</v>
      </c>
      <c r="AJ316" s="311" t="n">
        <v>0</v>
      </c>
      <c r="AK316" s="311" t="n">
        <v>28</v>
      </c>
      <c r="AM316" s="0"/>
      <c r="AN316" s="329"/>
      <c r="AQ316" s="0"/>
      <c r="AR316" s="328"/>
      <c r="AU316" s="0"/>
      <c r="AV316" s="62"/>
      <c r="AY316" s="0"/>
      <c r="AZ316" s="328"/>
      <c r="BC316" s="0"/>
    </row>
    <row r="317" customFormat="false" ht="12.75" hidden="false" customHeight="false" outlineLevel="0" collapsed="false">
      <c r="A317" s="408"/>
      <c r="B317" s="396"/>
      <c r="C317" s="409"/>
      <c r="D317" s="410"/>
      <c r="E317" s="396"/>
      <c r="F317" s="410"/>
      <c r="G317" s="396"/>
      <c r="H317" s="410"/>
      <c r="I317" s="410"/>
      <c r="J317" s="411"/>
      <c r="K317" s="399"/>
      <c r="L317" s="399"/>
      <c r="M317" s="73"/>
      <c r="N317" s="396"/>
      <c r="O317" s="396"/>
      <c r="P317" s="396"/>
      <c r="Q317" s="410"/>
      <c r="R317" s="411"/>
      <c r="S317" s="411"/>
      <c r="T317" s="411"/>
      <c r="AF317" s="352" t="n">
        <f aca="false">EOMONTH(AF316,0)+1</f>
        <v>46082</v>
      </c>
      <c r="AG317" s="311" t="n">
        <v>21</v>
      </c>
      <c r="AH317" s="311" t="n">
        <v>5</v>
      </c>
      <c r="AI317" s="311" t="n">
        <v>5</v>
      </c>
      <c r="AJ317" s="311" t="n">
        <v>0</v>
      </c>
      <c r="AK317" s="311" t="n">
        <v>31</v>
      </c>
      <c r="AM317" s="0"/>
      <c r="AN317" s="329"/>
      <c r="AQ317" s="0"/>
      <c r="AR317" s="328"/>
      <c r="AU317" s="0"/>
      <c r="AV317" s="62"/>
      <c r="AY317" s="0"/>
      <c r="AZ317" s="328"/>
      <c r="BC317" s="0"/>
    </row>
    <row r="318" customFormat="false" ht="12.75" hidden="false" customHeight="false" outlineLevel="0" collapsed="false">
      <c r="A318" s="408"/>
      <c r="B318" s="396"/>
      <c r="C318" s="409"/>
      <c r="D318" s="410"/>
      <c r="E318" s="396"/>
      <c r="F318" s="410"/>
      <c r="G318" s="396"/>
      <c r="H318" s="410"/>
      <c r="I318" s="410"/>
      <c r="J318" s="411"/>
      <c r="K318" s="399"/>
      <c r="L318" s="399"/>
      <c r="M318" s="73"/>
      <c r="N318" s="396"/>
      <c r="O318" s="396"/>
      <c r="P318" s="396"/>
      <c r="Q318" s="410"/>
      <c r="R318" s="411"/>
      <c r="S318" s="411"/>
      <c r="T318" s="411"/>
      <c r="AF318" s="352" t="n">
        <f aca="false">EOMONTH(AF317,0)+1</f>
        <v>46113</v>
      </c>
      <c r="AG318" s="311" t="n">
        <v>22</v>
      </c>
      <c r="AH318" s="311" t="n">
        <v>4</v>
      </c>
      <c r="AI318" s="311" t="n">
        <v>4</v>
      </c>
      <c r="AJ318" s="311" t="n">
        <v>0</v>
      </c>
      <c r="AK318" s="311" t="n">
        <v>30</v>
      </c>
      <c r="AM318" s="0"/>
      <c r="AN318" s="329"/>
      <c r="AQ318" s="0"/>
      <c r="AR318" s="328"/>
      <c r="AU318" s="0"/>
      <c r="AV318" s="62"/>
      <c r="AY318" s="0"/>
      <c r="AZ318" s="328"/>
      <c r="BC318" s="0"/>
    </row>
    <row r="319" customFormat="false" ht="12.75" hidden="false" customHeight="false" outlineLevel="0" collapsed="false">
      <c r="A319" s="408"/>
      <c r="B319" s="396"/>
      <c r="C319" s="409"/>
      <c r="D319" s="410"/>
      <c r="E319" s="396"/>
      <c r="F319" s="410"/>
      <c r="G319" s="396"/>
      <c r="H319" s="410"/>
      <c r="I319" s="410"/>
      <c r="J319" s="411"/>
      <c r="K319" s="399"/>
      <c r="L319" s="399"/>
      <c r="M319" s="73"/>
      <c r="N319" s="396"/>
      <c r="O319" s="396"/>
      <c r="P319" s="396"/>
      <c r="Q319" s="410"/>
      <c r="R319" s="411"/>
      <c r="S319" s="411"/>
      <c r="T319" s="411"/>
      <c r="AF319" s="352" t="n">
        <f aca="false">EOMONTH(AF318,0)+1</f>
        <v>46143</v>
      </c>
      <c r="AG319" s="311" t="n">
        <v>22</v>
      </c>
      <c r="AH319" s="311" t="n">
        <v>4</v>
      </c>
      <c r="AI319" s="311" t="n">
        <v>5</v>
      </c>
      <c r="AJ319" s="311" t="n">
        <v>1</v>
      </c>
      <c r="AK319" s="311" t="n">
        <v>31</v>
      </c>
      <c r="AM319" s="0"/>
      <c r="AN319" s="329"/>
      <c r="AQ319" s="0"/>
      <c r="AR319" s="328"/>
      <c r="AU319" s="0"/>
      <c r="AV319" s="62"/>
      <c r="AY319" s="0"/>
      <c r="AZ319" s="328"/>
      <c r="BC319" s="0"/>
    </row>
    <row r="320" customFormat="false" ht="12.75" hidden="false" customHeight="false" outlineLevel="0" collapsed="false">
      <c r="A320" s="408"/>
      <c r="B320" s="396"/>
      <c r="C320" s="409"/>
      <c r="D320" s="410"/>
      <c r="E320" s="396"/>
      <c r="F320" s="410"/>
      <c r="G320" s="396"/>
      <c r="H320" s="410"/>
      <c r="I320" s="410"/>
      <c r="J320" s="411"/>
      <c r="K320" s="399"/>
      <c r="L320" s="399"/>
      <c r="M320" s="73"/>
      <c r="N320" s="396"/>
      <c r="O320" s="396"/>
      <c r="P320" s="396"/>
      <c r="Q320" s="410"/>
      <c r="R320" s="411"/>
      <c r="S320" s="411"/>
      <c r="T320" s="411"/>
      <c r="AF320" s="352" t="n">
        <f aca="false">EOMONTH(AF319,0)+1</f>
        <v>46174</v>
      </c>
      <c r="AG320" s="311" t="n">
        <v>20</v>
      </c>
      <c r="AH320" s="311" t="n">
        <v>5</v>
      </c>
      <c r="AI320" s="311" t="n">
        <v>5</v>
      </c>
      <c r="AJ320" s="311" t="n">
        <v>0</v>
      </c>
      <c r="AK320" s="311" t="n">
        <v>30</v>
      </c>
      <c r="AM320" s="0"/>
      <c r="AN320" s="329"/>
      <c r="AQ320" s="0"/>
      <c r="AR320" s="328"/>
      <c r="AU320" s="0"/>
      <c r="AV320" s="62"/>
      <c r="AY320" s="0"/>
      <c r="AZ320" s="328"/>
      <c r="BC320" s="0"/>
    </row>
    <row r="321" customFormat="false" ht="12.75" hidden="false" customHeight="false" outlineLevel="0" collapsed="false">
      <c r="A321" s="408"/>
      <c r="B321" s="396"/>
      <c r="C321" s="409"/>
      <c r="D321" s="410"/>
      <c r="E321" s="396"/>
      <c r="F321" s="410"/>
      <c r="G321" s="396"/>
      <c r="H321" s="410"/>
      <c r="I321" s="410"/>
      <c r="J321" s="411"/>
      <c r="K321" s="399"/>
      <c r="L321" s="399"/>
      <c r="M321" s="73"/>
      <c r="N321" s="396"/>
      <c r="O321" s="396"/>
      <c r="P321" s="396"/>
      <c r="Q321" s="410"/>
      <c r="R321" s="411"/>
      <c r="S321" s="411"/>
      <c r="T321" s="411"/>
      <c r="AF321" s="352" t="n">
        <f aca="false">EOMONTH(AF320,0)+1</f>
        <v>46204</v>
      </c>
      <c r="AG321" s="311" t="n">
        <v>22</v>
      </c>
      <c r="AH321" s="311" t="n">
        <v>4</v>
      </c>
      <c r="AI321" s="311" t="n">
        <v>5</v>
      </c>
      <c r="AJ321" s="311" t="n">
        <v>1</v>
      </c>
      <c r="AK321" s="311" t="n">
        <v>31</v>
      </c>
      <c r="AM321" s="0"/>
      <c r="AN321" s="329"/>
      <c r="AQ321" s="0"/>
      <c r="AR321" s="328"/>
      <c r="AU321" s="0"/>
      <c r="AV321" s="62"/>
      <c r="AY321" s="0"/>
      <c r="AZ321" s="328"/>
      <c r="BC321" s="0"/>
    </row>
    <row r="322" customFormat="false" ht="12.75" hidden="false" customHeight="false" outlineLevel="0" collapsed="false">
      <c r="A322" s="408"/>
      <c r="B322" s="396"/>
      <c r="C322" s="409"/>
      <c r="D322" s="410"/>
      <c r="E322" s="396"/>
      <c r="F322" s="410"/>
      <c r="G322" s="396"/>
      <c r="H322" s="410"/>
      <c r="I322" s="410"/>
      <c r="J322" s="411"/>
      <c r="K322" s="399"/>
      <c r="L322" s="399"/>
      <c r="M322" s="73"/>
      <c r="N322" s="396"/>
      <c r="O322" s="396"/>
      <c r="P322" s="396"/>
      <c r="Q322" s="410"/>
      <c r="R322" s="411"/>
      <c r="S322" s="411"/>
      <c r="T322" s="411"/>
      <c r="AF322" s="352" t="n">
        <f aca="false">EOMONTH(AF321,0)+1</f>
        <v>46235</v>
      </c>
      <c r="AG322" s="311" t="n">
        <v>22</v>
      </c>
      <c r="AH322" s="311" t="n">
        <v>5</v>
      </c>
      <c r="AI322" s="311" t="n">
        <v>4</v>
      </c>
      <c r="AJ322" s="311" t="n">
        <v>0</v>
      </c>
      <c r="AK322" s="311" t="n">
        <v>31</v>
      </c>
      <c r="AM322" s="0"/>
      <c r="AN322" s="329"/>
      <c r="AQ322" s="0"/>
      <c r="AR322" s="328"/>
      <c r="AU322" s="0"/>
      <c r="AV322" s="62"/>
      <c r="AY322" s="0"/>
      <c r="AZ322" s="328"/>
      <c r="BC322" s="0"/>
    </row>
    <row r="323" customFormat="false" ht="12.75" hidden="false" customHeight="false" outlineLevel="0" collapsed="false">
      <c r="A323" s="408"/>
      <c r="B323" s="396"/>
      <c r="C323" s="409"/>
      <c r="D323" s="410"/>
      <c r="E323" s="396"/>
      <c r="F323" s="410"/>
      <c r="G323" s="396"/>
      <c r="H323" s="410"/>
      <c r="I323" s="410"/>
      <c r="J323" s="411"/>
      <c r="K323" s="399"/>
      <c r="L323" s="399"/>
      <c r="M323" s="73"/>
      <c r="N323" s="396"/>
      <c r="O323" s="396"/>
      <c r="P323" s="396"/>
      <c r="Q323" s="410"/>
      <c r="R323" s="411"/>
      <c r="S323" s="411"/>
      <c r="T323" s="411"/>
      <c r="AF323" s="352" t="n">
        <f aca="false">EOMONTH(AF322,0)+1</f>
        <v>46266</v>
      </c>
      <c r="AG323" s="311" t="n">
        <v>20</v>
      </c>
      <c r="AH323" s="311" t="n">
        <v>4</v>
      </c>
      <c r="AI323" s="311" t="n">
        <v>6</v>
      </c>
      <c r="AJ323" s="311" t="n">
        <v>1</v>
      </c>
      <c r="AK323" s="311" t="n">
        <v>30</v>
      </c>
      <c r="AM323" s="0"/>
      <c r="AN323" s="329"/>
      <c r="AQ323" s="0"/>
      <c r="AR323" s="328"/>
      <c r="AU323" s="0"/>
      <c r="AV323" s="62"/>
      <c r="AY323" s="0"/>
      <c r="AZ323" s="328"/>
      <c r="BC323" s="0"/>
    </row>
    <row r="324" customFormat="false" ht="12.75" hidden="false" customHeight="false" outlineLevel="0" collapsed="false">
      <c r="A324" s="408"/>
      <c r="B324" s="396"/>
      <c r="C324" s="409"/>
      <c r="D324" s="410"/>
      <c r="E324" s="396"/>
      <c r="F324" s="410"/>
      <c r="G324" s="396"/>
      <c r="H324" s="410"/>
      <c r="I324" s="410"/>
      <c r="J324" s="411"/>
      <c r="K324" s="399"/>
      <c r="L324" s="399"/>
      <c r="M324" s="73"/>
      <c r="N324" s="396"/>
      <c r="O324" s="396"/>
      <c r="P324" s="396"/>
      <c r="Q324" s="410"/>
      <c r="R324" s="411"/>
      <c r="S324" s="411"/>
      <c r="T324" s="411"/>
      <c r="AF324" s="352" t="n">
        <f aca="false">EOMONTH(AF323,0)+1</f>
        <v>46296</v>
      </c>
      <c r="AG324" s="311" t="n">
        <v>23</v>
      </c>
      <c r="AH324" s="311" t="n">
        <v>4</v>
      </c>
      <c r="AI324" s="311" t="n">
        <v>4</v>
      </c>
      <c r="AJ324" s="311" t="n">
        <v>0</v>
      </c>
      <c r="AK324" s="311" t="n">
        <v>31</v>
      </c>
      <c r="AM324" s="0"/>
      <c r="AN324" s="329"/>
      <c r="AQ324" s="0"/>
      <c r="AR324" s="328"/>
      <c r="AU324" s="0"/>
      <c r="AV324" s="62"/>
      <c r="AY324" s="0"/>
      <c r="AZ324" s="328"/>
      <c r="BC324" s="0"/>
    </row>
    <row r="325" customFormat="false" ht="12.75" hidden="false" customHeight="false" outlineLevel="0" collapsed="false">
      <c r="A325" s="408"/>
      <c r="B325" s="396"/>
      <c r="C325" s="409"/>
      <c r="D325" s="410"/>
      <c r="E325" s="396"/>
      <c r="F325" s="410"/>
      <c r="G325" s="396"/>
      <c r="H325" s="410"/>
      <c r="I325" s="410"/>
      <c r="J325" s="411"/>
      <c r="K325" s="399"/>
      <c r="L325" s="399"/>
      <c r="M325" s="73"/>
      <c r="N325" s="396"/>
      <c r="O325" s="396"/>
      <c r="P325" s="396"/>
      <c r="Q325" s="410"/>
      <c r="R325" s="411"/>
      <c r="S325" s="411"/>
      <c r="T325" s="411"/>
      <c r="AF325" s="352" t="n">
        <f aca="false">EOMONTH(AF324,0)+1</f>
        <v>46327</v>
      </c>
      <c r="AG325" s="311" t="n">
        <v>20</v>
      </c>
      <c r="AH325" s="311" t="n">
        <v>5</v>
      </c>
      <c r="AI325" s="311" t="n">
        <v>5</v>
      </c>
      <c r="AJ325" s="311" t="n">
        <v>1</v>
      </c>
      <c r="AK325" s="311" t="n">
        <v>30</v>
      </c>
      <c r="AM325" s="0"/>
      <c r="AN325" s="329"/>
      <c r="AQ325" s="0"/>
      <c r="AR325" s="328"/>
      <c r="AU325" s="0"/>
      <c r="AV325" s="62"/>
      <c r="AY325" s="0"/>
      <c r="AZ325" s="328"/>
      <c r="BC325" s="0"/>
    </row>
    <row r="326" customFormat="false" ht="12.75" hidden="false" customHeight="false" outlineLevel="0" collapsed="false">
      <c r="A326" s="408"/>
      <c r="B326" s="396"/>
      <c r="C326" s="409"/>
      <c r="D326" s="410"/>
      <c r="E326" s="396"/>
      <c r="F326" s="410"/>
      <c r="G326" s="396"/>
      <c r="H326" s="410"/>
      <c r="I326" s="410"/>
      <c r="J326" s="411"/>
      <c r="K326" s="399"/>
      <c r="L326" s="399"/>
      <c r="M326" s="73"/>
      <c r="N326" s="396"/>
      <c r="O326" s="396"/>
      <c r="P326" s="396"/>
      <c r="Q326" s="410"/>
      <c r="R326" s="411"/>
      <c r="S326" s="411"/>
      <c r="T326" s="411"/>
      <c r="AF326" s="352" t="n">
        <f aca="false">EOMONTH(AF325,0)+1</f>
        <v>46357</v>
      </c>
      <c r="AG326" s="311" t="n">
        <v>21</v>
      </c>
      <c r="AH326" s="311" t="n">
        <v>4</v>
      </c>
      <c r="AI326" s="311" t="n">
        <v>6</v>
      </c>
      <c r="AJ326" s="311" t="n">
        <v>1</v>
      </c>
      <c r="AK326" s="311" t="n">
        <v>31</v>
      </c>
      <c r="AM326" s="0"/>
      <c r="AN326" s="329"/>
      <c r="AQ326" s="0"/>
      <c r="AR326" s="328"/>
      <c r="AU326" s="0"/>
      <c r="AV326" s="62"/>
      <c r="AY326" s="0"/>
      <c r="AZ326" s="328"/>
      <c r="BC326" s="0"/>
    </row>
    <row r="327" customFormat="false" ht="12.75" hidden="false" customHeight="false" outlineLevel="0" collapsed="false">
      <c r="A327" s="408"/>
      <c r="B327" s="396"/>
      <c r="C327" s="409"/>
      <c r="D327" s="410"/>
      <c r="E327" s="396"/>
      <c r="F327" s="410"/>
      <c r="G327" s="396"/>
      <c r="H327" s="410"/>
      <c r="I327" s="410"/>
      <c r="J327" s="411"/>
      <c r="K327" s="399"/>
      <c r="L327" s="399"/>
      <c r="M327" s="73"/>
      <c r="N327" s="396"/>
      <c r="O327" s="396"/>
      <c r="P327" s="396"/>
      <c r="Q327" s="410"/>
      <c r="R327" s="411"/>
      <c r="S327" s="411"/>
      <c r="T327" s="411"/>
      <c r="AF327" s="352" t="n">
        <f aca="false">EOMONTH(AF326,0)+1</f>
        <v>46388</v>
      </c>
      <c r="AG327" s="311" t="n">
        <v>22</v>
      </c>
      <c r="AH327" s="311" t="n">
        <v>4</v>
      </c>
      <c r="AI327" s="311" t="n">
        <v>5</v>
      </c>
      <c r="AJ327" s="311" t="n">
        <v>1</v>
      </c>
      <c r="AK327" s="311" t="n">
        <v>31</v>
      </c>
      <c r="AM327" s="0"/>
      <c r="AN327" s="329"/>
      <c r="AQ327" s="0"/>
      <c r="AR327" s="328"/>
      <c r="AU327" s="0"/>
      <c r="AV327" s="62"/>
      <c r="AY327" s="0"/>
      <c r="AZ327" s="328"/>
      <c r="BC327" s="0"/>
    </row>
    <row r="328" customFormat="false" ht="12.75" hidden="false" customHeight="false" outlineLevel="0" collapsed="false">
      <c r="A328" s="408"/>
      <c r="B328" s="396"/>
      <c r="C328" s="409"/>
      <c r="D328" s="410"/>
      <c r="E328" s="396"/>
      <c r="F328" s="410"/>
      <c r="G328" s="396"/>
      <c r="H328" s="410"/>
      <c r="I328" s="410"/>
      <c r="J328" s="411"/>
      <c r="K328" s="399"/>
      <c r="L328" s="399"/>
      <c r="M328" s="73"/>
      <c r="N328" s="396"/>
      <c r="O328" s="396"/>
      <c r="P328" s="396"/>
      <c r="Q328" s="410"/>
      <c r="R328" s="411"/>
      <c r="S328" s="411"/>
      <c r="T328" s="411"/>
      <c r="AF328" s="352" t="n">
        <f aca="false">EOMONTH(AF327,0)+1</f>
        <v>46419</v>
      </c>
      <c r="AG328" s="311" t="n">
        <v>20</v>
      </c>
      <c r="AH328" s="311" t="n">
        <v>4</v>
      </c>
      <c r="AI328" s="311" t="n">
        <v>4</v>
      </c>
      <c r="AJ328" s="311" t="n">
        <v>0</v>
      </c>
      <c r="AK328" s="311" t="n">
        <v>28</v>
      </c>
      <c r="AM328" s="0"/>
      <c r="AN328" s="329"/>
      <c r="AQ328" s="0"/>
      <c r="AR328" s="328"/>
      <c r="AU328" s="0"/>
      <c r="AV328" s="62"/>
      <c r="AY328" s="0"/>
      <c r="AZ328" s="328"/>
      <c r="BC328" s="0"/>
    </row>
    <row r="329" customFormat="false" ht="12.75" hidden="false" customHeight="false" outlineLevel="0" collapsed="false">
      <c r="A329" s="408"/>
      <c r="B329" s="396"/>
      <c r="C329" s="409"/>
      <c r="D329" s="410"/>
      <c r="E329" s="396"/>
      <c r="F329" s="410"/>
      <c r="G329" s="396"/>
      <c r="H329" s="410"/>
      <c r="I329" s="410"/>
      <c r="J329" s="411"/>
      <c r="K329" s="399"/>
      <c r="L329" s="399"/>
      <c r="M329" s="73"/>
      <c r="N329" s="396"/>
      <c r="O329" s="396"/>
      <c r="P329" s="396"/>
      <c r="Q329" s="410"/>
      <c r="R329" s="411"/>
      <c r="S329" s="411"/>
      <c r="T329" s="411"/>
      <c r="AF329" s="352" t="n">
        <f aca="false">EOMONTH(AF328,0)+1</f>
        <v>46447</v>
      </c>
      <c r="AG329" s="311" t="n">
        <v>21</v>
      </c>
      <c r="AH329" s="311" t="n">
        <v>5</v>
      </c>
      <c r="AI329" s="311" t="n">
        <v>5</v>
      </c>
      <c r="AJ329" s="311" t="n">
        <v>0</v>
      </c>
      <c r="AK329" s="311" t="n">
        <v>31</v>
      </c>
      <c r="AM329" s="0"/>
      <c r="AN329" s="329"/>
      <c r="AQ329" s="0"/>
      <c r="AR329" s="328"/>
      <c r="AU329" s="0"/>
      <c r="AV329" s="62"/>
      <c r="AY329" s="0"/>
      <c r="AZ329" s="328"/>
      <c r="BC329" s="0"/>
    </row>
    <row r="330" customFormat="false" ht="12.75" hidden="false" customHeight="false" outlineLevel="0" collapsed="false">
      <c r="A330" s="408"/>
      <c r="B330" s="396"/>
      <c r="C330" s="409"/>
      <c r="D330" s="410"/>
      <c r="E330" s="396"/>
      <c r="F330" s="410"/>
      <c r="G330" s="396"/>
      <c r="H330" s="410"/>
      <c r="I330" s="410"/>
      <c r="J330" s="411"/>
      <c r="K330" s="399"/>
      <c r="L330" s="399"/>
      <c r="M330" s="73"/>
      <c r="N330" s="396"/>
      <c r="O330" s="396"/>
      <c r="P330" s="396"/>
      <c r="Q330" s="410"/>
      <c r="R330" s="411"/>
      <c r="S330" s="411"/>
      <c r="T330" s="411"/>
      <c r="AF330" s="352" t="n">
        <f aca="false">EOMONTH(AF329,0)+1</f>
        <v>46478</v>
      </c>
      <c r="AG330" s="311" t="n">
        <v>22</v>
      </c>
      <c r="AH330" s="311" t="n">
        <v>4</v>
      </c>
      <c r="AI330" s="311" t="n">
        <v>4</v>
      </c>
      <c r="AJ330" s="311" t="n">
        <v>0</v>
      </c>
      <c r="AK330" s="311" t="n">
        <v>30</v>
      </c>
      <c r="AM330" s="0"/>
      <c r="AN330" s="329"/>
      <c r="AQ330" s="0"/>
      <c r="AR330" s="328"/>
      <c r="AU330" s="0"/>
      <c r="AV330" s="62"/>
      <c r="AY330" s="0"/>
      <c r="AZ330" s="328"/>
      <c r="BC330" s="0"/>
    </row>
    <row r="331" customFormat="false" ht="12.75" hidden="false" customHeight="false" outlineLevel="0" collapsed="false">
      <c r="A331" s="408"/>
      <c r="B331" s="396"/>
      <c r="C331" s="409"/>
      <c r="D331" s="410"/>
      <c r="E331" s="396"/>
      <c r="F331" s="410"/>
      <c r="G331" s="396"/>
      <c r="H331" s="410"/>
      <c r="I331" s="410"/>
      <c r="J331" s="411"/>
      <c r="K331" s="399"/>
      <c r="L331" s="399"/>
      <c r="M331" s="73"/>
      <c r="N331" s="396"/>
      <c r="O331" s="396"/>
      <c r="P331" s="396"/>
      <c r="Q331" s="410"/>
      <c r="R331" s="411"/>
      <c r="S331" s="411"/>
      <c r="T331" s="411"/>
      <c r="AF331" s="352" t="n">
        <f aca="false">EOMONTH(AF330,0)+1</f>
        <v>46508</v>
      </c>
      <c r="AG331" s="311" t="n">
        <v>22</v>
      </c>
      <c r="AH331" s="311" t="n">
        <v>4</v>
      </c>
      <c r="AI331" s="311" t="n">
        <v>5</v>
      </c>
      <c r="AJ331" s="311" t="n">
        <v>1</v>
      </c>
      <c r="AK331" s="311" t="n">
        <v>31</v>
      </c>
      <c r="AM331" s="0"/>
      <c r="AN331" s="329"/>
      <c r="AQ331" s="0"/>
      <c r="AR331" s="328"/>
      <c r="AU331" s="0"/>
      <c r="AV331" s="62"/>
      <c r="AY331" s="0"/>
      <c r="AZ331" s="328"/>
      <c r="BC331" s="0"/>
    </row>
    <row r="332" customFormat="false" ht="12.75" hidden="false" customHeight="false" outlineLevel="0" collapsed="false">
      <c r="A332" s="408"/>
      <c r="B332" s="396"/>
      <c r="C332" s="409"/>
      <c r="D332" s="410"/>
      <c r="E332" s="396"/>
      <c r="F332" s="410"/>
      <c r="G332" s="396"/>
      <c r="H332" s="410"/>
      <c r="I332" s="410"/>
      <c r="J332" s="411"/>
      <c r="K332" s="399"/>
      <c r="L332" s="399"/>
      <c r="M332" s="73"/>
      <c r="N332" s="396"/>
      <c r="O332" s="396"/>
      <c r="P332" s="396"/>
      <c r="Q332" s="410"/>
      <c r="R332" s="411"/>
      <c r="S332" s="411"/>
      <c r="T332" s="411"/>
      <c r="AF332" s="352" t="n">
        <f aca="false">EOMONTH(AF331,0)+1</f>
        <v>46539</v>
      </c>
      <c r="AG332" s="311" t="n">
        <v>20</v>
      </c>
      <c r="AH332" s="311" t="n">
        <v>5</v>
      </c>
      <c r="AI332" s="311" t="n">
        <v>5</v>
      </c>
      <c r="AJ332" s="311" t="n">
        <v>0</v>
      </c>
      <c r="AK332" s="311" t="n">
        <v>30</v>
      </c>
      <c r="AM332" s="0"/>
      <c r="AN332" s="329"/>
      <c r="AQ332" s="0"/>
      <c r="AR332" s="328"/>
      <c r="AU332" s="0"/>
      <c r="AV332" s="62"/>
      <c r="AY332" s="0"/>
      <c r="AZ332" s="328"/>
      <c r="BC332" s="0"/>
    </row>
    <row r="333" customFormat="false" ht="12.75" hidden="false" customHeight="false" outlineLevel="0" collapsed="false">
      <c r="A333" s="408"/>
      <c r="B333" s="396"/>
      <c r="C333" s="409"/>
      <c r="D333" s="410"/>
      <c r="E333" s="396"/>
      <c r="F333" s="410"/>
      <c r="G333" s="396"/>
      <c r="H333" s="410"/>
      <c r="I333" s="410"/>
      <c r="J333" s="411"/>
      <c r="K333" s="399"/>
      <c r="L333" s="399"/>
      <c r="M333" s="73"/>
      <c r="N333" s="396"/>
      <c r="O333" s="396"/>
      <c r="P333" s="396"/>
      <c r="Q333" s="410"/>
      <c r="R333" s="411"/>
      <c r="S333" s="411"/>
      <c r="T333" s="411"/>
      <c r="AF333" s="352" t="n">
        <f aca="false">EOMONTH(AF332,0)+1</f>
        <v>46569</v>
      </c>
      <c r="AG333" s="311" t="n">
        <v>22</v>
      </c>
      <c r="AH333" s="311" t="n">
        <v>4</v>
      </c>
      <c r="AI333" s="311" t="n">
        <v>5</v>
      </c>
      <c r="AJ333" s="311" t="n">
        <v>1</v>
      </c>
      <c r="AK333" s="311" t="n">
        <v>31</v>
      </c>
      <c r="AM333" s="0"/>
      <c r="AN333" s="329"/>
      <c r="AQ333" s="0"/>
      <c r="AR333" s="328"/>
      <c r="AU333" s="0"/>
      <c r="AV333" s="62"/>
      <c r="AY333" s="0"/>
      <c r="AZ333" s="328"/>
      <c r="BC333" s="0"/>
    </row>
    <row r="334" customFormat="false" ht="12.75" hidden="false" customHeight="false" outlineLevel="0" collapsed="false">
      <c r="A334" s="408"/>
      <c r="B334" s="396"/>
      <c r="C334" s="409"/>
      <c r="D334" s="410"/>
      <c r="E334" s="396"/>
      <c r="F334" s="410"/>
      <c r="G334" s="396"/>
      <c r="H334" s="410"/>
      <c r="I334" s="410"/>
      <c r="J334" s="411"/>
      <c r="K334" s="399"/>
      <c r="L334" s="399"/>
      <c r="M334" s="73"/>
      <c r="N334" s="396"/>
      <c r="O334" s="396"/>
      <c r="P334" s="396"/>
      <c r="Q334" s="410"/>
      <c r="R334" s="411"/>
      <c r="S334" s="411"/>
      <c r="T334" s="411"/>
      <c r="AF334" s="352" t="n">
        <f aca="false">EOMONTH(AF333,0)+1</f>
        <v>46600</v>
      </c>
      <c r="AG334" s="311" t="n">
        <v>22</v>
      </c>
      <c r="AH334" s="311" t="n">
        <v>5</v>
      </c>
      <c r="AI334" s="311" t="n">
        <v>4</v>
      </c>
      <c r="AJ334" s="311" t="n">
        <v>0</v>
      </c>
      <c r="AK334" s="311" t="n">
        <v>31</v>
      </c>
      <c r="AM334" s="0"/>
      <c r="AN334" s="329"/>
      <c r="AQ334" s="0"/>
      <c r="AR334" s="328"/>
      <c r="AU334" s="0"/>
      <c r="AV334" s="62"/>
      <c r="AY334" s="0"/>
      <c r="AZ334" s="328"/>
      <c r="BC334" s="0"/>
    </row>
    <row r="335" customFormat="false" ht="12.75" hidden="false" customHeight="false" outlineLevel="0" collapsed="false">
      <c r="A335" s="408"/>
      <c r="B335" s="396"/>
      <c r="C335" s="409"/>
      <c r="D335" s="410"/>
      <c r="E335" s="396"/>
      <c r="F335" s="410"/>
      <c r="G335" s="396"/>
      <c r="H335" s="410"/>
      <c r="I335" s="410"/>
      <c r="J335" s="411"/>
      <c r="K335" s="399"/>
      <c r="L335" s="399"/>
      <c r="M335" s="73"/>
      <c r="N335" s="396"/>
      <c r="O335" s="396"/>
      <c r="P335" s="396"/>
      <c r="Q335" s="410"/>
      <c r="R335" s="411"/>
      <c r="S335" s="411"/>
      <c r="T335" s="411"/>
      <c r="AF335" s="352" t="n">
        <f aca="false">EOMONTH(AF334,0)+1</f>
        <v>46631</v>
      </c>
      <c r="AG335" s="311" t="n">
        <v>20</v>
      </c>
      <c r="AH335" s="311" t="n">
        <v>4</v>
      </c>
      <c r="AI335" s="311" t="n">
        <v>6</v>
      </c>
      <c r="AJ335" s="311" t="n">
        <v>1</v>
      </c>
      <c r="AK335" s="311" t="n">
        <v>30</v>
      </c>
      <c r="AM335" s="0"/>
      <c r="AN335" s="329"/>
      <c r="AQ335" s="0"/>
      <c r="AR335" s="328"/>
      <c r="AU335" s="0"/>
      <c r="AV335" s="62"/>
      <c r="AY335" s="0"/>
      <c r="AZ335" s="328"/>
      <c r="BC335" s="0"/>
    </row>
    <row r="336" customFormat="false" ht="12.75" hidden="false" customHeight="false" outlineLevel="0" collapsed="false">
      <c r="A336" s="408"/>
      <c r="B336" s="396"/>
      <c r="C336" s="409"/>
      <c r="D336" s="410"/>
      <c r="E336" s="396"/>
      <c r="F336" s="410"/>
      <c r="G336" s="396"/>
      <c r="H336" s="410"/>
      <c r="I336" s="410"/>
      <c r="J336" s="411"/>
      <c r="K336" s="399"/>
      <c r="L336" s="399"/>
      <c r="M336" s="73"/>
      <c r="N336" s="396"/>
      <c r="O336" s="396"/>
      <c r="P336" s="396"/>
      <c r="Q336" s="410"/>
      <c r="R336" s="411"/>
      <c r="S336" s="411"/>
      <c r="T336" s="411"/>
      <c r="AF336" s="352" t="n">
        <f aca="false">EOMONTH(AF335,0)+1</f>
        <v>46661</v>
      </c>
      <c r="AG336" s="311" t="n">
        <v>23</v>
      </c>
      <c r="AH336" s="311" t="n">
        <v>4</v>
      </c>
      <c r="AI336" s="311" t="n">
        <v>4</v>
      </c>
      <c r="AJ336" s="311" t="n">
        <v>0</v>
      </c>
      <c r="AK336" s="311" t="n">
        <v>31</v>
      </c>
      <c r="AM336" s="0"/>
      <c r="AN336" s="329"/>
      <c r="AQ336" s="0"/>
      <c r="AR336" s="328"/>
      <c r="AU336" s="0"/>
      <c r="AV336" s="62"/>
      <c r="AY336" s="0"/>
      <c r="AZ336" s="328"/>
      <c r="BC336" s="0"/>
    </row>
    <row r="337" customFormat="false" ht="12.75" hidden="false" customHeight="false" outlineLevel="0" collapsed="false">
      <c r="A337" s="408"/>
      <c r="B337" s="396"/>
      <c r="C337" s="409"/>
      <c r="D337" s="410"/>
      <c r="E337" s="396"/>
      <c r="F337" s="410"/>
      <c r="G337" s="396"/>
      <c r="H337" s="410"/>
      <c r="I337" s="410"/>
      <c r="J337" s="411"/>
      <c r="K337" s="399"/>
      <c r="L337" s="399"/>
      <c r="M337" s="73"/>
      <c r="N337" s="396"/>
      <c r="O337" s="396"/>
      <c r="P337" s="396"/>
      <c r="Q337" s="410"/>
      <c r="R337" s="411"/>
      <c r="S337" s="411"/>
      <c r="T337" s="411"/>
      <c r="AF337" s="352" t="n">
        <f aca="false">EOMONTH(AF336,0)+1</f>
        <v>46692</v>
      </c>
      <c r="AG337" s="311" t="n">
        <v>20</v>
      </c>
      <c r="AH337" s="311" t="n">
        <v>5</v>
      </c>
      <c r="AI337" s="311" t="n">
        <v>5</v>
      </c>
      <c r="AJ337" s="311" t="n">
        <v>1</v>
      </c>
      <c r="AK337" s="311" t="n">
        <v>30</v>
      </c>
      <c r="AM337" s="0"/>
      <c r="AN337" s="329"/>
      <c r="AQ337" s="0"/>
      <c r="AR337" s="328"/>
      <c r="AU337" s="0"/>
      <c r="AV337" s="62"/>
      <c r="AY337" s="0"/>
      <c r="AZ337" s="328"/>
      <c r="BC337" s="0"/>
    </row>
    <row r="338" customFormat="false" ht="12.75" hidden="false" customHeight="false" outlineLevel="0" collapsed="false">
      <c r="A338" s="408"/>
      <c r="B338" s="396"/>
      <c r="C338" s="409"/>
      <c r="D338" s="410"/>
      <c r="E338" s="396"/>
      <c r="F338" s="410"/>
      <c r="G338" s="396"/>
      <c r="H338" s="410"/>
      <c r="I338" s="410"/>
      <c r="J338" s="411"/>
      <c r="K338" s="399"/>
      <c r="L338" s="399"/>
      <c r="M338" s="73"/>
      <c r="N338" s="396"/>
      <c r="O338" s="396"/>
      <c r="P338" s="396"/>
      <c r="Q338" s="410"/>
      <c r="R338" s="411"/>
      <c r="S338" s="411"/>
      <c r="T338" s="411"/>
      <c r="AF338" s="352" t="n">
        <f aca="false">EOMONTH(AF337,0)+1</f>
        <v>46722</v>
      </c>
      <c r="AG338" s="311" t="n">
        <v>21</v>
      </c>
      <c r="AH338" s="311" t="n">
        <v>4</v>
      </c>
      <c r="AI338" s="311" t="n">
        <v>6</v>
      </c>
      <c r="AJ338" s="311" t="n">
        <v>1</v>
      </c>
      <c r="AK338" s="311" t="n">
        <v>31</v>
      </c>
      <c r="AM338" s="0"/>
      <c r="AN338" s="329"/>
      <c r="AQ338" s="0"/>
      <c r="AR338" s="328"/>
      <c r="AU338" s="0"/>
      <c r="AV338" s="62"/>
      <c r="AY338" s="0"/>
      <c r="AZ338" s="328"/>
      <c r="BC338" s="0"/>
    </row>
    <row r="339" customFormat="false" ht="12.75" hidden="false" customHeight="false" outlineLevel="0" collapsed="false">
      <c r="A339" s="408"/>
      <c r="B339" s="396"/>
      <c r="C339" s="409"/>
      <c r="D339" s="410"/>
      <c r="E339" s="396"/>
      <c r="F339" s="410"/>
      <c r="G339" s="396"/>
      <c r="H339" s="410"/>
      <c r="I339" s="410"/>
      <c r="J339" s="411"/>
      <c r="K339" s="399"/>
      <c r="L339" s="399"/>
      <c r="M339" s="73"/>
      <c r="N339" s="396"/>
      <c r="O339" s="396"/>
      <c r="P339" s="396"/>
      <c r="Q339" s="410"/>
      <c r="R339" s="411"/>
      <c r="S339" s="411"/>
      <c r="T339" s="411"/>
      <c r="AF339" s="352" t="n">
        <f aca="false">EOMONTH(AF338,0)+1</f>
        <v>46753</v>
      </c>
      <c r="AG339" s="311" t="n">
        <v>22</v>
      </c>
      <c r="AH339" s="311" t="n">
        <v>4</v>
      </c>
      <c r="AI339" s="311" t="n">
        <v>5</v>
      </c>
      <c r="AJ339" s="311" t="n">
        <v>1</v>
      </c>
      <c r="AK339" s="311" t="n">
        <v>31</v>
      </c>
      <c r="AM339" s="0"/>
      <c r="AN339" s="329"/>
      <c r="AQ339" s="0"/>
      <c r="AR339" s="328"/>
      <c r="AU339" s="0"/>
      <c r="AV339" s="62"/>
      <c r="AY339" s="0"/>
      <c r="AZ339" s="328"/>
      <c r="BC339" s="0"/>
    </row>
    <row r="340" customFormat="false" ht="12.75" hidden="false" customHeight="false" outlineLevel="0" collapsed="false">
      <c r="A340" s="408"/>
      <c r="B340" s="396"/>
      <c r="C340" s="409"/>
      <c r="D340" s="410"/>
      <c r="E340" s="396"/>
      <c r="F340" s="410"/>
      <c r="G340" s="396"/>
      <c r="H340" s="410"/>
      <c r="I340" s="410"/>
      <c r="J340" s="411"/>
      <c r="K340" s="399"/>
      <c r="L340" s="399"/>
      <c r="M340" s="73"/>
      <c r="N340" s="396"/>
      <c r="O340" s="396"/>
      <c r="P340" s="396"/>
      <c r="Q340" s="410"/>
      <c r="R340" s="411"/>
      <c r="S340" s="411"/>
      <c r="T340" s="411"/>
      <c r="AF340" s="352" t="n">
        <f aca="false">EOMONTH(AF339,0)+1</f>
        <v>46784</v>
      </c>
      <c r="AG340" s="311" t="n">
        <v>20</v>
      </c>
      <c r="AH340" s="311" t="n">
        <v>5</v>
      </c>
      <c r="AI340" s="311" t="n">
        <v>4</v>
      </c>
      <c r="AJ340" s="311" t="n">
        <v>0</v>
      </c>
      <c r="AK340" s="311" t="n">
        <v>29</v>
      </c>
      <c r="AM340" s="0"/>
      <c r="AN340" s="329"/>
      <c r="AQ340" s="0"/>
      <c r="AR340" s="328"/>
      <c r="AU340" s="0"/>
      <c r="AV340" s="62"/>
      <c r="AY340" s="0"/>
      <c r="AZ340" s="328"/>
      <c r="BC340" s="0"/>
    </row>
    <row r="341" customFormat="false" ht="12.75" hidden="false" customHeight="false" outlineLevel="0" collapsed="false">
      <c r="A341" s="408"/>
      <c r="B341" s="396"/>
      <c r="C341" s="409"/>
      <c r="D341" s="410"/>
      <c r="E341" s="396"/>
      <c r="F341" s="410"/>
      <c r="G341" s="396"/>
      <c r="H341" s="410"/>
      <c r="I341" s="410"/>
      <c r="J341" s="411"/>
      <c r="K341" s="399"/>
      <c r="L341" s="399"/>
      <c r="M341" s="73"/>
      <c r="N341" s="396"/>
      <c r="O341" s="396"/>
      <c r="P341" s="396"/>
      <c r="Q341" s="410"/>
      <c r="R341" s="411"/>
      <c r="S341" s="411"/>
      <c r="T341" s="411"/>
      <c r="AF341" s="352" t="n">
        <f aca="false">EOMONTH(AF340,0)+1</f>
        <v>46813</v>
      </c>
      <c r="AG341" s="311" t="n">
        <v>22</v>
      </c>
      <c r="AH341" s="311" t="n">
        <v>4</v>
      </c>
      <c r="AI341" s="311" t="n">
        <v>5</v>
      </c>
      <c r="AJ341" s="311" t="n">
        <v>0</v>
      </c>
      <c r="AK341" s="311" t="n">
        <v>31</v>
      </c>
      <c r="AM341" s="0"/>
      <c r="AN341" s="329"/>
      <c r="AQ341" s="0"/>
      <c r="AR341" s="328"/>
      <c r="AU341" s="0"/>
      <c r="AV341" s="62"/>
      <c r="AY341" s="0"/>
      <c r="AZ341" s="328"/>
      <c r="BC341" s="0"/>
    </row>
    <row r="342" customFormat="false" ht="12.75" hidden="false" customHeight="false" outlineLevel="0" collapsed="false">
      <c r="A342" s="408"/>
      <c r="B342" s="396"/>
      <c r="C342" s="409"/>
      <c r="D342" s="410"/>
      <c r="E342" s="396"/>
      <c r="F342" s="410"/>
      <c r="G342" s="396"/>
      <c r="H342" s="410"/>
      <c r="I342" s="410"/>
      <c r="J342" s="411"/>
      <c r="K342" s="399"/>
      <c r="L342" s="399"/>
      <c r="M342" s="73"/>
      <c r="N342" s="396"/>
      <c r="O342" s="396"/>
      <c r="P342" s="396"/>
      <c r="Q342" s="410"/>
      <c r="R342" s="411"/>
      <c r="S342" s="411"/>
      <c r="T342" s="411"/>
      <c r="AF342" s="352" t="n">
        <f aca="false">EOMONTH(AF341,0)+1</f>
        <v>46844</v>
      </c>
      <c r="AG342" s="311" t="n">
        <v>22</v>
      </c>
      <c r="AH342" s="311" t="n">
        <v>4</v>
      </c>
      <c r="AI342" s="311" t="n">
        <v>4</v>
      </c>
      <c r="AJ342" s="311" t="n">
        <v>0</v>
      </c>
      <c r="AK342" s="311" t="n">
        <v>30</v>
      </c>
      <c r="AM342" s="0"/>
      <c r="AN342" s="329"/>
      <c r="AQ342" s="0"/>
      <c r="AR342" s="328"/>
      <c r="AU342" s="0"/>
      <c r="AV342" s="62"/>
      <c r="AY342" s="0"/>
      <c r="AZ342" s="328"/>
      <c r="BC342" s="0"/>
    </row>
    <row r="343" customFormat="false" ht="12.75" hidden="false" customHeight="false" outlineLevel="0" collapsed="false">
      <c r="A343" s="408"/>
      <c r="B343" s="396"/>
      <c r="C343" s="409"/>
      <c r="D343" s="410"/>
      <c r="E343" s="396"/>
      <c r="F343" s="410"/>
      <c r="G343" s="396"/>
      <c r="H343" s="410"/>
      <c r="I343" s="410"/>
      <c r="J343" s="411"/>
      <c r="K343" s="399"/>
      <c r="L343" s="399"/>
      <c r="M343" s="73"/>
      <c r="N343" s="396"/>
      <c r="O343" s="396"/>
      <c r="P343" s="396"/>
      <c r="Q343" s="410"/>
      <c r="R343" s="411"/>
      <c r="S343" s="411"/>
      <c r="T343" s="411"/>
      <c r="AF343" s="352" t="n">
        <f aca="false">EOMONTH(AF342,0)+1</f>
        <v>46874</v>
      </c>
      <c r="AG343" s="311" t="n">
        <v>20</v>
      </c>
      <c r="AH343" s="311" t="n">
        <v>5</v>
      </c>
      <c r="AI343" s="311" t="n">
        <v>6</v>
      </c>
      <c r="AJ343" s="311" t="n">
        <v>1</v>
      </c>
      <c r="AK343" s="311" t="n">
        <v>31</v>
      </c>
      <c r="AM343" s="0"/>
      <c r="AN343" s="329"/>
      <c r="AQ343" s="0"/>
      <c r="AR343" s="328"/>
      <c r="AU343" s="0"/>
      <c r="AV343" s="62"/>
      <c r="AY343" s="0"/>
      <c r="AZ343" s="328"/>
      <c r="BC343" s="0"/>
    </row>
    <row r="344" customFormat="false" ht="12.75" hidden="false" customHeight="false" outlineLevel="0" collapsed="false">
      <c r="A344" s="408"/>
      <c r="B344" s="396"/>
      <c r="C344" s="409"/>
      <c r="D344" s="410"/>
      <c r="E344" s="396"/>
      <c r="F344" s="410"/>
      <c r="G344" s="396"/>
      <c r="H344" s="410"/>
      <c r="I344" s="410"/>
      <c r="J344" s="411"/>
      <c r="K344" s="399"/>
      <c r="L344" s="399"/>
      <c r="M344" s="73"/>
      <c r="N344" s="396"/>
      <c r="O344" s="396"/>
      <c r="P344" s="396"/>
      <c r="Q344" s="410"/>
      <c r="R344" s="411"/>
      <c r="S344" s="411"/>
      <c r="T344" s="411"/>
      <c r="AF344" s="352" t="n">
        <f aca="false">EOMONTH(AF343,0)+1</f>
        <v>46905</v>
      </c>
      <c r="AG344" s="311" t="n">
        <v>22</v>
      </c>
      <c r="AH344" s="311" t="n">
        <v>4</v>
      </c>
      <c r="AI344" s="311" t="n">
        <v>4</v>
      </c>
      <c r="AJ344" s="311" t="n">
        <v>0</v>
      </c>
      <c r="AK344" s="311" t="n">
        <v>30</v>
      </c>
      <c r="AM344" s="0"/>
      <c r="AN344" s="329"/>
      <c r="AQ344" s="0"/>
      <c r="AR344" s="328"/>
      <c r="AU344" s="0"/>
      <c r="AV344" s="62"/>
      <c r="AY344" s="0"/>
      <c r="AZ344" s="328"/>
      <c r="BC344" s="0"/>
    </row>
    <row r="345" customFormat="false" ht="12.75" hidden="false" customHeight="false" outlineLevel="0" collapsed="false">
      <c r="A345" s="408"/>
      <c r="B345" s="396"/>
      <c r="C345" s="409"/>
      <c r="D345" s="410"/>
      <c r="E345" s="396"/>
      <c r="F345" s="410"/>
      <c r="G345" s="396"/>
      <c r="H345" s="410"/>
      <c r="I345" s="410"/>
      <c r="J345" s="411"/>
      <c r="K345" s="399"/>
      <c r="L345" s="399"/>
      <c r="M345" s="73"/>
      <c r="N345" s="396"/>
      <c r="O345" s="396"/>
      <c r="P345" s="396"/>
      <c r="Q345" s="410"/>
      <c r="R345" s="411"/>
      <c r="S345" s="411"/>
      <c r="T345" s="411"/>
      <c r="AF345" s="352" t="n">
        <f aca="false">EOMONTH(AF344,0)+1</f>
        <v>46935</v>
      </c>
      <c r="AG345" s="311" t="n">
        <v>23</v>
      </c>
      <c r="AH345" s="311" t="n">
        <v>3</v>
      </c>
      <c r="AI345" s="311" t="n">
        <v>5</v>
      </c>
      <c r="AJ345" s="311" t="n">
        <v>1</v>
      </c>
      <c r="AK345" s="311" t="n">
        <v>31</v>
      </c>
      <c r="AM345" s="0"/>
      <c r="AN345" s="329"/>
      <c r="AQ345" s="0"/>
      <c r="AR345" s="328"/>
      <c r="AU345" s="0"/>
      <c r="AV345" s="62"/>
      <c r="AY345" s="0"/>
      <c r="AZ345" s="328"/>
      <c r="BC345" s="0"/>
    </row>
    <row r="346" customFormat="false" ht="12.75" hidden="false" customHeight="false" outlineLevel="0" collapsed="false">
      <c r="A346" s="408"/>
      <c r="B346" s="396"/>
      <c r="C346" s="409"/>
      <c r="D346" s="410"/>
      <c r="E346" s="396"/>
      <c r="F346" s="410"/>
      <c r="G346" s="396"/>
      <c r="H346" s="410"/>
      <c r="I346" s="410"/>
      <c r="J346" s="411"/>
      <c r="K346" s="399"/>
      <c r="L346" s="399"/>
      <c r="M346" s="73"/>
      <c r="N346" s="396"/>
      <c r="O346" s="396"/>
      <c r="P346" s="396"/>
      <c r="Q346" s="410"/>
      <c r="R346" s="411"/>
      <c r="S346" s="411"/>
      <c r="T346" s="411"/>
      <c r="AF346" s="352" t="n">
        <f aca="false">EOMONTH(AF345,0)+1</f>
        <v>46966</v>
      </c>
      <c r="AG346" s="311" t="n">
        <v>21</v>
      </c>
      <c r="AH346" s="311" t="n">
        <v>5</v>
      </c>
      <c r="AI346" s="311" t="n">
        <v>5</v>
      </c>
      <c r="AJ346" s="311" t="n">
        <v>0</v>
      </c>
      <c r="AK346" s="311" t="n">
        <v>31</v>
      </c>
      <c r="AM346" s="0"/>
      <c r="AN346" s="329"/>
      <c r="AQ346" s="0"/>
      <c r="AR346" s="328"/>
      <c r="AU346" s="0"/>
      <c r="AV346" s="62"/>
      <c r="AY346" s="0"/>
      <c r="AZ346" s="328"/>
      <c r="BC346" s="0"/>
    </row>
    <row r="347" customFormat="false" ht="12.75" hidden="false" customHeight="false" outlineLevel="0" collapsed="false">
      <c r="A347" s="408"/>
      <c r="B347" s="396"/>
      <c r="C347" s="409"/>
      <c r="D347" s="410"/>
      <c r="E347" s="396"/>
      <c r="F347" s="410"/>
      <c r="G347" s="396"/>
      <c r="H347" s="410"/>
      <c r="I347" s="410"/>
      <c r="J347" s="411"/>
      <c r="K347" s="399"/>
      <c r="L347" s="399"/>
      <c r="M347" s="73"/>
      <c r="N347" s="396"/>
      <c r="O347" s="396"/>
      <c r="P347" s="396"/>
      <c r="Q347" s="410"/>
      <c r="R347" s="411"/>
      <c r="S347" s="411"/>
      <c r="T347" s="411"/>
      <c r="AF347" s="352" t="n">
        <f aca="false">EOMONTH(AF346,0)+1</f>
        <v>46997</v>
      </c>
      <c r="AG347" s="311" t="n">
        <v>21</v>
      </c>
      <c r="AH347" s="311" t="n">
        <v>4</v>
      </c>
      <c r="AI347" s="311" t="n">
        <v>5</v>
      </c>
      <c r="AJ347" s="311" t="n">
        <v>1</v>
      </c>
      <c r="AK347" s="311" t="n">
        <v>30</v>
      </c>
      <c r="AM347" s="0"/>
      <c r="AN347" s="329"/>
      <c r="AQ347" s="0"/>
      <c r="AR347" s="328"/>
      <c r="AU347" s="0"/>
      <c r="AV347" s="62"/>
      <c r="AY347" s="0"/>
      <c r="AZ347" s="328"/>
      <c r="BC347" s="0"/>
    </row>
    <row r="348" customFormat="false" ht="12.75" hidden="false" customHeight="false" outlineLevel="0" collapsed="false">
      <c r="A348" s="408"/>
      <c r="B348" s="396"/>
      <c r="C348" s="409"/>
      <c r="D348" s="410"/>
      <c r="E348" s="396"/>
      <c r="F348" s="410"/>
      <c r="G348" s="396"/>
      <c r="H348" s="410"/>
      <c r="I348" s="410"/>
      <c r="J348" s="411"/>
      <c r="K348" s="399"/>
      <c r="L348" s="399"/>
      <c r="M348" s="73"/>
      <c r="N348" s="396"/>
      <c r="O348" s="396"/>
      <c r="P348" s="396"/>
      <c r="Q348" s="410"/>
      <c r="R348" s="411"/>
      <c r="S348" s="411"/>
      <c r="T348" s="411"/>
      <c r="AF348" s="352" t="n">
        <f aca="false">EOMONTH(AF347,0)+1</f>
        <v>47027</v>
      </c>
      <c r="AG348" s="311" t="n">
        <v>22</v>
      </c>
      <c r="AH348" s="311" t="n">
        <v>5</v>
      </c>
      <c r="AI348" s="311" t="n">
        <v>4</v>
      </c>
      <c r="AJ348" s="311" t="n">
        <v>0</v>
      </c>
      <c r="AK348" s="311" t="n">
        <v>31</v>
      </c>
      <c r="AM348" s="0"/>
      <c r="AN348" s="329"/>
      <c r="AQ348" s="0"/>
      <c r="AR348" s="328"/>
      <c r="AU348" s="0"/>
      <c r="AV348" s="62"/>
      <c r="AY348" s="0"/>
      <c r="AZ348" s="328"/>
      <c r="BC348" s="0"/>
    </row>
    <row r="349" customFormat="false" ht="12.75" hidden="false" customHeight="false" outlineLevel="0" collapsed="false">
      <c r="A349" s="408"/>
      <c r="B349" s="396"/>
      <c r="C349" s="409"/>
      <c r="D349" s="410"/>
      <c r="E349" s="396"/>
      <c r="F349" s="410"/>
      <c r="G349" s="396"/>
      <c r="H349" s="410"/>
      <c r="I349" s="410"/>
      <c r="J349" s="411"/>
      <c r="K349" s="399"/>
      <c r="L349" s="399"/>
      <c r="M349" s="73"/>
      <c r="N349" s="396"/>
      <c r="O349" s="396"/>
      <c r="P349" s="396"/>
      <c r="Q349" s="410"/>
      <c r="R349" s="411"/>
      <c r="S349" s="411"/>
      <c r="T349" s="411"/>
      <c r="AF349" s="352" t="n">
        <f aca="false">EOMONTH(AF348,0)+1</f>
        <v>47058</v>
      </c>
      <c r="AG349" s="311" t="n">
        <v>20</v>
      </c>
      <c r="AH349" s="311" t="n">
        <v>4</v>
      </c>
      <c r="AI349" s="311" t="n">
        <v>6</v>
      </c>
      <c r="AJ349" s="311" t="n">
        <v>1</v>
      </c>
      <c r="AK349" s="311" t="n">
        <v>30</v>
      </c>
      <c r="AM349" s="0"/>
      <c r="AN349" s="329"/>
      <c r="AQ349" s="0"/>
      <c r="AR349" s="328"/>
      <c r="AU349" s="0"/>
      <c r="AV349" s="62"/>
      <c r="AY349" s="0"/>
      <c r="AZ349" s="328"/>
      <c r="BC349" s="0"/>
    </row>
    <row r="350" customFormat="false" ht="12.75" hidden="false" customHeight="false" outlineLevel="0" collapsed="false">
      <c r="A350" s="408"/>
      <c r="B350" s="396"/>
      <c r="C350" s="409"/>
      <c r="D350" s="410"/>
      <c r="E350" s="396"/>
      <c r="F350" s="410"/>
      <c r="G350" s="396"/>
      <c r="H350" s="410"/>
      <c r="I350" s="410"/>
      <c r="J350" s="411"/>
      <c r="K350" s="399"/>
      <c r="L350" s="399"/>
      <c r="M350" s="73"/>
      <c r="N350" s="396"/>
      <c r="O350" s="396"/>
      <c r="P350" s="396"/>
      <c r="Q350" s="410"/>
      <c r="R350" s="411"/>
      <c r="S350" s="411"/>
      <c r="T350" s="411"/>
      <c r="AF350" s="352" t="n">
        <f aca="false">EOMONTH(AF349,0)+1</f>
        <v>47088</v>
      </c>
      <c r="AG350" s="311" t="n">
        <v>22</v>
      </c>
      <c r="AH350" s="311" t="n">
        <v>4</v>
      </c>
      <c r="AI350" s="311" t="n">
        <v>5</v>
      </c>
      <c r="AJ350" s="311" t="n">
        <v>1</v>
      </c>
      <c r="AK350" s="311" t="n">
        <v>31</v>
      </c>
      <c r="AM350" s="0"/>
      <c r="AN350" s="329"/>
      <c r="AQ350" s="0"/>
      <c r="AR350" s="328"/>
      <c r="AU350" s="0"/>
      <c r="AV350" s="62"/>
      <c r="AY350" s="0"/>
      <c r="AZ350" s="328"/>
      <c r="BC350" s="0"/>
    </row>
    <row r="351" customFormat="false" ht="12.75" hidden="false" customHeight="false" outlineLevel="0" collapsed="false">
      <c r="A351" s="408"/>
      <c r="B351" s="396"/>
      <c r="C351" s="409"/>
      <c r="D351" s="410"/>
      <c r="E351" s="396"/>
      <c r="F351" s="410"/>
      <c r="G351" s="396"/>
      <c r="H351" s="410"/>
      <c r="I351" s="410"/>
      <c r="J351" s="411"/>
      <c r="K351" s="399"/>
      <c r="L351" s="399"/>
      <c r="M351" s="73"/>
      <c r="N351" s="396"/>
      <c r="O351" s="396"/>
      <c r="P351" s="396"/>
      <c r="Q351" s="410"/>
      <c r="R351" s="411"/>
      <c r="S351" s="411"/>
      <c r="T351" s="411"/>
      <c r="AF351" s="352" t="n">
        <f aca="false">EOMONTH(AF350,0)+1</f>
        <v>47119</v>
      </c>
      <c r="AG351" s="311" t="n">
        <v>22</v>
      </c>
      <c r="AH351" s="311" t="n">
        <v>4</v>
      </c>
      <c r="AI351" s="311" t="n">
        <v>5</v>
      </c>
      <c r="AJ351" s="311" t="n">
        <v>1</v>
      </c>
      <c r="AK351" s="311" t="n">
        <v>31</v>
      </c>
      <c r="AM351" s="0"/>
      <c r="AN351" s="329"/>
      <c r="AQ351" s="0"/>
      <c r="AR351" s="328"/>
      <c r="AU351" s="0"/>
      <c r="AV351" s="62"/>
      <c r="AY351" s="0"/>
      <c r="AZ351" s="328"/>
      <c r="BC351" s="0"/>
    </row>
    <row r="352" customFormat="false" ht="12.75" hidden="false" customHeight="false" outlineLevel="0" collapsed="false">
      <c r="A352" s="408"/>
      <c r="B352" s="396"/>
      <c r="C352" s="409"/>
      <c r="D352" s="410"/>
      <c r="E352" s="396"/>
      <c r="F352" s="410"/>
      <c r="G352" s="396"/>
      <c r="H352" s="410"/>
      <c r="I352" s="410"/>
      <c r="J352" s="411"/>
      <c r="K352" s="399"/>
      <c r="L352" s="399"/>
      <c r="M352" s="73"/>
      <c r="N352" s="396"/>
      <c r="O352" s="396"/>
      <c r="P352" s="396"/>
      <c r="Q352" s="410"/>
      <c r="R352" s="411"/>
      <c r="S352" s="411"/>
      <c r="T352" s="411"/>
      <c r="AF352" s="352" t="n">
        <f aca="false">EOMONTH(AF351,0)+1</f>
        <v>47150</v>
      </c>
      <c r="AG352" s="311" t="n">
        <v>20</v>
      </c>
      <c r="AH352" s="311" t="n">
        <v>4</v>
      </c>
      <c r="AI352" s="311" t="n">
        <v>4</v>
      </c>
      <c r="AJ352" s="311" t="n">
        <v>0</v>
      </c>
      <c r="AK352" s="311" t="n">
        <v>28</v>
      </c>
      <c r="AM352" s="0"/>
      <c r="AN352" s="329"/>
      <c r="AQ352" s="0"/>
      <c r="AR352" s="328"/>
      <c r="AU352" s="0"/>
      <c r="AV352" s="62"/>
      <c r="AY352" s="0"/>
      <c r="AZ352" s="328"/>
      <c r="BC352" s="0"/>
    </row>
    <row r="353" customFormat="false" ht="12.75" hidden="false" customHeight="false" outlineLevel="0" collapsed="false">
      <c r="A353" s="408"/>
      <c r="B353" s="396"/>
      <c r="C353" s="409"/>
      <c r="D353" s="410"/>
      <c r="E353" s="396"/>
      <c r="F353" s="410"/>
      <c r="G353" s="396"/>
      <c r="H353" s="410"/>
      <c r="I353" s="410"/>
      <c r="J353" s="411"/>
      <c r="K353" s="399"/>
      <c r="L353" s="399"/>
      <c r="M353" s="73"/>
      <c r="N353" s="396"/>
      <c r="O353" s="396"/>
      <c r="P353" s="396"/>
      <c r="Q353" s="410"/>
      <c r="R353" s="411"/>
      <c r="S353" s="411"/>
      <c r="T353" s="411"/>
      <c r="AF353" s="352" t="n">
        <f aca="false">EOMONTH(AF352,0)+1</f>
        <v>47178</v>
      </c>
      <c r="AG353" s="311" t="n">
        <v>21</v>
      </c>
      <c r="AH353" s="311" t="n">
        <v>5</v>
      </c>
      <c r="AI353" s="311" t="n">
        <v>5</v>
      </c>
      <c r="AJ353" s="311" t="n">
        <v>0</v>
      </c>
      <c r="AK353" s="311" t="n">
        <v>31</v>
      </c>
      <c r="AM353" s="0"/>
      <c r="AN353" s="329"/>
      <c r="AQ353" s="0"/>
      <c r="AR353" s="328"/>
      <c r="AU353" s="0"/>
      <c r="AV353" s="62"/>
      <c r="AY353" s="0"/>
      <c r="AZ353" s="328"/>
      <c r="BC353" s="0"/>
    </row>
    <row r="354" customFormat="false" ht="12.75" hidden="false" customHeight="false" outlineLevel="0" collapsed="false">
      <c r="A354" s="408"/>
      <c r="B354" s="396"/>
      <c r="C354" s="409"/>
      <c r="D354" s="410"/>
      <c r="E354" s="396"/>
      <c r="F354" s="410"/>
      <c r="G354" s="396"/>
      <c r="H354" s="410"/>
      <c r="I354" s="410"/>
      <c r="J354" s="411"/>
      <c r="K354" s="399"/>
      <c r="L354" s="399"/>
      <c r="M354" s="73"/>
      <c r="N354" s="396"/>
      <c r="O354" s="396"/>
      <c r="P354" s="396"/>
      <c r="Q354" s="410"/>
      <c r="R354" s="411"/>
      <c r="S354" s="411"/>
      <c r="T354" s="411"/>
      <c r="AF354" s="352" t="n">
        <f aca="false">EOMONTH(AF353,0)+1</f>
        <v>47209</v>
      </c>
      <c r="AG354" s="311" t="n">
        <v>22</v>
      </c>
      <c r="AH354" s="311" t="n">
        <v>4</v>
      </c>
      <c r="AI354" s="311" t="n">
        <v>4</v>
      </c>
      <c r="AJ354" s="311" t="n">
        <v>0</v>
      </c>
      <c r="AK354" s="311" t="n">
        <v>30</v>
      </c>
      <c r="AM354" s="0"/>
      <c r="AN354" s="329"/>
      <c r="AQ354" s="0"/>
      <c r="AR354" s="328"/>
      <c r="AU354" s="0"/>
      <c r="AV354" s="62"/>
      <c r="AY354" s="0"/>
      <c r="AZ354" s="328"/>
      <c r="BC354" s="0"/>
    </row>
    <row r="355" customFormat="false" ht="12.75" hidden="false" customHeight="false" outlineLevel="0" collapsed="false">
      <c r="A355" s="408"/>
      <c r="B355" s="396"/>
      <c r="C355" s="409"/>
      <c r="D355" s="410"/>
      <c r="E355" s="396"/>
      <c r="F355" s="410"/>
      <c r="G355" s="396"/>
      <c r="H355" s="410"/>
      <c r="I355" s="410"/>
      <c r="J355" s="411"/>
      <c r="K355" s="399"/>
      <c r="L355" s="399"/>
      <c r="M355" s="73"/>
      <c r="N355" s="396"/>
      <c r="O355" s="396"/>
      <c r="P355" s="396"/>
      <c r="Q355" s="410"/>
      <c r="R355" s="411"/>
      <c r="S355" s="411"/>
      <c r="T355" s="411"/>
      <c r="AF355" s="352" t="n">
        <f aca="false">EOMONTH(AF354,0)+1</f>
        <v>47239</v>
      </c>
      <c r="AG355" s="311" t="n">
        <v>22</v>
      </c>
      <c r="AH355" s="311" t="n">
        <v>4</v>
      </c>
      <c r="AI355" s="311" t="n">
        <v>5</v>
      </c>
      <c r="AJ355" s="311" t="n">
        <v>1</v>
      </c>
      <c r="AK355" s="311" t="n">
        <v>31</v>
      </c>
      <c r="AM355" s="0"/>
      <c r="AN355" s="329"/>
      <c r="AQ355" s="0"/>
      <c r="AR355" s="328"/>
      <c r="AU355" s="0"/>
      <c r="AV355" s="62"/>
      <c r="AY355" s="0"/>
      <c r="AZ355" s="328"/>
      <c r="BC355" s="0"/>
    </row>
    <row r="356" customFormat="false" ht="12.75" hidden="false" customHeight="false" outlineLevel="0" collapsed="false">
      <c r="A356" s="408"/>
      <c r="B356" s="396"/>
      <c r="C356" s="409"/>
      <c r="D356" s="410"/>
      <c r="E356" s="396"/>
      <c r="F356" s="410"/>
      <c r="G356" s="396"/>
      <c r="H356" s="410"/>
      <c r="I356" s="410"/>
      <c r="J356" s="411"/>
      <c r="K356" s="399"/>
      <c r="L356" s="399"/>
      <c r="M356" s="73"/>
      <c r="N356" s="396"/>
      <c r="O356" s="396"/>
      <c r="P356" s="396"/>
      <c r="Q356" s="410"/>
      <c r="R356" s="411"/>
      <c r="S356" s="411"/>
      <c r="T356" s="411"/>
      <c r="AF356" s="352" t="n">
        <f aca="false">EOMONTH(AF355,0)+1</f>
        <v>47270</v>
      </c>
      <c r="AG356" s="311" t="n">
        <v>20</v>
      </c>
      <c r="AH356" s="311" t="n">
        <v>5</v>
      </c>
      <c r="AI356" s="311" t="n">
        <v>5</v>
      </c>
      <c r="AJ356" s="311" t="n">
        <v>0</v>
      </c>
      <c r="AK356" s="311" t="n">
        <v>30</v>
      </c>
      <c r="AM356" s="0"/>
      <c r="AN356" s="329"/>
      <c r="AQ356" s="0"/>
      <c r="AR356" s="328"/>
      <c r="AU356" s="0"/>
      <c r="AV356" s="62"/>
      <c r="AY356" s="0"/>
      <c r="AZ356" s="328"/>
      <c r="BC356" s="0"/>
    </row>
    <row r="357" customFormat="false" ht="12.75" hidden="false" customHeight="false" outlineLevel="0" collapsed="false">
      <c r="A357" s="408"/>
      <c r="B357" s="396"/>
      <c r="C357" s="409"/>
      <c r="D357" s="410"/>
      <c r="E357" s="396"/>
      <c r="F357" s="410"/>
      <c r="G357" s="396"/>
      <c r="H357" s="410"/>
      <c r="I357" s="410"/>
      <c r="J357" s="411"/>
      <c r="K357" s="399"/>
      <c r="L357" s="399"/>
      <c r="M357" s="73"/>
      <c r="N357" s="396"/>
      <c r="O357" s="396"/>
      <c r="P357" s="396"/>
      <c r="Q357" s="410"/>
      <c r="R357" s="411"/>
      <c r="S357" s="411"/>
      <c r="T357" s="411"/>
      <c r="AF357" s="352" t="n">
        <f aca="false">EOMONTH(AF356,0)+1</f>
        <v>47300</v>
      </c>
      <c r="AG357" s="311" t="n">
        <v>22</v>
      </c>
      <c r="AH357" s="311" t="n">
        <v>4</v>
      </c>
      <c r="AI357" s="311" t="n">
        <v>5</v>
      </c>
      <c r="AJ357" s="311" t="n">
        <v>1</v>
      </c>
      <c r="AK357" s="311" t="n">
        <v>31</v>
      </c>
      <c r="AM357" s="0"/>
      <c r="AN357" s="329"/>
      <c r="AQ357" s="0"/>
      <c r="AR357" s="328"/>
      <c r="AU357" s="0"/>
      <c r="AV357" s="62"/>
      <c r="AY357" s="0"/>
      <c r="AZ357" s="328"/>
      <c r="BC357" s="0"/>
    </row>
    <row r="358" customFormat="false" ht="12.75" hidden="false" customHeight="false" outlineLevel="0" collapsed="false">
      <c r="A358" s="408"/>
      <c r="B358" s="396"/>
      <c r="C358" s="409"/>
      <c r="D358" s="410"/>
      <c r="E358" s="396"/>
      <c r="F358" s="410"/>
      <c r="G358" s="396"/>
      <c r="H358" s="410"/>
      <c r="I358" s="410"/>
      <c r="J358" s="411"/>
      <c r="K358" s="399"/>
      <c r="L358" s="399"/>
      <c r="M358" s="73"/>
      <c r="N358" s="396"/>
      <c r="O358" s="396"/>
      <c r="P358" s="396"/>
      <c r="Q358" s="410"/>
      <c r="R358" s="411"/>
      <c r="S358" s="411"/>
      <c r="T358" s="411"/>
      <c r="AF358" s="352" t="n">
        <f aca="false">EOMONTH(AF357,0)+1</f>
        <v>47331</v>
      </c>
      <c r="AG358" s="311" t="n">
        <v>22</v>
      </c>
      <c r="AH358" s="311" t="n">
        <v>5</v>
      </c>
      <c r="AI358" s="311" t="n">
        <v>4</v>
      </c>
      <c r="AJ358" s="311" t="n">
        <v>0</v>
      </c>
      <c r="AK358" s="311" t="n">
        <v>31</v>
      </c>
      <c r="AM358" s="0"/>
      <c r="AN358" s="329"/>
      <c r="AQ358" s="0"/>
      <c r="AR358" s="328"/>
      <c r="AU358" s="0"/>
      <c r="AV358" s="62"/>
      <c r="AY358" s="0"/>
      <c r="AZ358" s="328"/>
      <c r="BC358" s="0"/>
    </row>
    <row r="359" customFormat="false" ht="12.75" hidden="false" customHeight="false" outlineLevel="0" collapsed="false">
      <c r="A359" s="408"/>
      <c r="B359" s="396"/>
      <c r="C359" s="409"/>
      <c r="D359" s="410"/>
      <c r="E359" s="396"/>
      <c r="F359" s="410"/>
      <c r="G359" s="396"/>
      <c r="H359" s="410"/>
      <c r="I359" s="410"/>
      <c r="J359" s="411"/>
      <c r="K359" s="399"/>
      <c r="L359" s="399"/>
      <c r="M359" s="73"/>
      <c r="N359" s="396"/>
      <c r="O359" s="396"/>
      <c r="P359" s="396"/>
      <c r="Q359" s="410"/>
      <c r="R359" s="411"/>
      <c r="S359" s="411"/>
      <c r="T359" s="411"/>
      <c r="AF359" s="352" t="n">
        <f aca="false">EOMONTH(AF358,0)+1</f>
        <v>47362</v>
      </c>
      <c r="AG359" s="311" t="n">
        <v>20</v>
      </c>
      <c r="AH359" s="311" t="n">
        <v>4</v>
      </c>
      <c r="AI359" s="311" t="n">
        <v>6</v>
      </c>
      <c r="AJ359" s="311" t="n">
        <v>1</v>
      </c>
      <c r="AK359" s="311" t="n">
        <v>30</v>
      </c>
      <c r="AM359" s="0"/>
      <c r="AN359" s="329"/>
      <c r="AQ359" s="0"/>
      <c r="AR359" s="328"/>
      <c r="AU359" s="0"/>
      <c r="AV359" s="62"/>
      <c r="AY359" s="0"/>
      <c r="AZ359" s="328"/>
      <c r="BC359" s="0"/>
    </row>
    <row r="360" customFormat="false" ht="12.75" hidden="false" customHeight="false" outlineLevel="0" collapsed="false">
      <c r="A360" s="408"/>
      <c r="B360" s="396"/>
      <c r="C360" s="409"/>
      <c r="D360" s="410"/>
      <c r="E360" s="396"/>
      <c r="F360" s="410"/>
      <c r="G360" s="396"/>
      <c r="H360" s="410"/>
      <c r="I360" s="410"/>
      <c r="J360" s="411"/>
      <c r="K360" s="399"/>
      <c r="L360" s="399"/>
      <c r="M360" s="73"/>
      <c r="N360" s="396"/>
      <c r="O360" s="396"/>
      <c r="P360" s="396"/>
      <c r="Q360" s="410"/>
      <c r="R360" s="411"/>
      <c r="S360" s="411"/>
      <c r="T360" s="411"/>
      <c r="AF360" s="352" t="n">
        <f aca="false">EOMONTH(AF359,0)+1</f>
        <v>47392</v>
      </c>
      <c r="AG360" s="311" t="n">
        <v>23</v>
      </c>
      <c r="AH360" s="311" t="n">
        <v>4</v>
      </c>
      <c r="AI360" s="311" t="n">
        <v>4</v>
      </c>
      <c r="AJ360" s="311" t="n">
        <v>0</v>
      </c>
      <c r="AK360" s="311" t="n">
        <v>31</v>
      </c>
      <c r="AM360" s="0"/>
      <c r="AN360" s="329"/>
      <c r="AQ360" s="0"/>
      <c r="AR360" s="328"/>
      <c r="AU360" s="0"/>
      <c r="AV360" s="62"/>
      <c r="AY360" s="0"/>
      <c r="AZ360" s="328"/>
      <c r="BC360" s="0"/>
    </row>
    <row r="361" customFormat="false" ht="12.75" hidden="false" customHeight="false" outlineLevel="0" collapsed="false">
      <c r="A361" s="408"/>
      <c r="B361" s="396"/>
      <c r="C361" s="409"/>
      <c r="D361" s="410"/>
      <c r="E361" s="396"/>
      <c r="F361" s="410"/>
      <c r="G361" s="396"/>
      <c r="H361" s="410"/>
      <c r="I361" s="410"/>
      <c r="J361" s="411"/>
      <c r="K361" s="399"/>
      <c r="L361" s="399"/>
      <c r="M361" s="73"/>
      <c r="N361" s="396"/>
      <c r="O361" s="396"/>
      <c r="P361" s="396"/>
      <c r="Q361" s="410"/>
      <c r="R361" s="411"/>
      <c r="S361" s="411"/>
      <c r="T361" s="411"/>
      <c r="AF361" s="352" t="n">
        <f aca="false">EOMONTH(AF360,0)+1</f>
        <v>47423</v>
      </c>
      <c r="AG361" s="311" t="n">
        <v>20</v>
      </c>
      <c r="AH361" s="311" t="n">
        <v>5</v>
      </c>
      <c r="AI361" s="311" t="n">
        <v>5</v>
      </c>
      <c r="AJ361" s="311" t="n">
        <v>1</v>
      </c>
      <c r="AK361" s="311" t="n">
        <v>30</v>
      </c>
      <c r="AM361" s="0"/>
      <c r="AN361" s="329"/>
      <c r="AQ361" s="0"/>
      <c r="AR361" s="328"/>
      <c r="AU361" s="0"/>
      <c r="AV361" s="62"/>
      <c r="AY361" s="0"/>
      <c r="AZ361" s="328"/>
      <c r="BC361" s="0"/>
    </row>
    <row r="362" customFormat="false" ht="12.75" hidden="false" customHeight="false" outlineLevel="0" collapsed="false">
      <c r="A362" s="408"/>
      <c r="B362" s="396"/>
      <c r="C362" s="409"/>
      <c r="D362" s="410"/>
      <c r="E362" s="396"/>
      <c r="F362" s="410"/>
      <c r="G362" s="396"/>
      <c r="H362" s="410"/>
      <c r="I362" s="410"/>
      <c r="J362" s="411"/>
      <c r="K362" s="399"/>
      <c r="L362" s="399"/>
      <c r="M362" s="73"/>
      <c r="N362" s="396"/>
      <c r="O362" s="396"/>
      <c r="P362" s="396"/>
      <c r="Q362" s="410"/>
      <c r="R362" s="411"/>
      <c r="S362" s="411"/>
      <c r="T362" s="411"/>
      <c r="AF362" s="352" t="n">
        <f aca="false">EOMONTH(AF361,0)+1</f>
        <v>47453</v>
      </c>
      <c r="AG362" s="311" t="n">
        <v>21</v>
      </c>
      <c r="AH362" s="311" t="n">
        <v>4</v>
      </c>
      <c r="AI362" s="311" t="n">
        <v>6</v>
      </c>
      <c r="AJ362" s="311" t="n">
        <v>1</v>
      </c>
      <c r="AK362" s="311" t="n">
        <v>31</v>
      </c>
      <c r="AM362" s="0"/>
      <c r="AN362" s="329"/>
      <c r="AQ362" s="0"/>
      <c r="AR362" s="328"/>
      <c r="AU362" s="0"/>
      <c r="AV362" s="62"/>
      <c r="AY362" s="0"/>
      <c r="AZ362" s="328"/>
      <c r="BC362" s="0"/>
    </row>
    <row r="363" customFormat="false" ht="12.75" hidden="false" customHeight="false" outlineLevel="0" collapsed="false">
      <c r="A363" s="408"/>
      <c r="B363" s="396"/>
      <c r="C363" s="409"/>
      <c r="D363" s="410"/>
      <c r="E363" s="396"/>
      <c r="F363" s="410"/>
      <c r="G363" s="396"/>
      <c r="H363" s="410"/>
      <c r="I363" s="410"/>
      <c r="J363" s="411"/>
      <c r="K363" s="399"/>
      <c r="L363" s="399"/>
      <c r="M363" s="73"/>
      <c r="N363" s="396"/>
      <c r="O363" s="396"/>
      <c r="P363" s="396"/>
      <c r="Q363" s="410"/>
      <c r="R363" s="411"/>
      <c r="S363" s="411"/>
      <c r="T363" s="411"/>
      <c r="AF363" s="352" t="n">
        <f aca="false">EOMONTH(AF362,0)+1</f>
        <v>47484</v>
      </c>
      <c r="AG363" s="311" t="n">
        <v>22</v>
      </c>
      <c r="AH363" s="311" t="n">
        <v>4</v>
      </c>
      <c r="AI363" s="311" t="n">
        <v>5</v>
      </c>
      <c r="AJ363" s="311" t="n">
        <v>1</v>
      </c>
      <c r="AK363" s="311" t="n">
        <v>31</v>
      </c>
      <c r="AM363" s="0"/>
      <c r="AN363" s="329"/>
      <c r="AQ363" s="0"/>
      <c r="AR363" s="328"/>
      <c r="AU363" s="0"/>
      <c r="AV363" s="62"/>
      <c r="AY363" s="0"/>
      <c r="AZ363" s="328"/>
      <c r="BC363" s="0"/>
    </row>
    <row r="364" customFormat="false" ht="12.75" hidden="false" customHeight="false" outlineLevel="0" collapsed="false">
      <c r="A364" s="408"/>
      <c r="B364" s="396"/>
      <c r="C364" s="409"/>
      <c r="D364" s="410"/>
      <c r="E364" s="396"/>
      <c r="F364" s="410"/>
      <c r="G364" s="396"/>
      <c r="H364" s="410"/>
      <c r="I364" s="410"/>
      <c r="J364" s="411"/>
      <c r="K364" s="399"/>
      <c r="L364" s="399"/>
      <c r="M364" s="73"/>
      <c r="N364" s="396"/>
      <c r="O364" s="396"/>
      <c r="P364" s="396"/>
      <c r="Q364" s="410"/>
      <c r="R364" s="411"/>
      <c r="S364" s="411"/>
      <c r="T364" s="411"/>
      <c r="AF364" s="352" t="n">
        <f aca="false">EOMONTH(AF363,0)+1</f>
        <v>47515</v>
      </c>
      <c r="AG364" s="311" t="n">
        <v>20</v>
      </c>
      <c r="AH364" s="311" t="n">
        <v>4</v>
      </c>
      <c r="AI364" s="311" t="n">
        <v>4</v>
      </c>
      <c r="AJ364" s="311" t="n">
        <v>0</v>
      </c>
      <c r="AK364" s="311" t="n">
        <v>28</v>
      </c>
      <c r="AM364" s="0"/>
      <c r="AN364" s="329"/>
      <c r="AQ364" s="0"/>
      <c r="AR364" s="328"/>
      <c r="AU364" s="0"/>
      <c r="AV364" s="62"/>
      <c r="AY364" s="0"/>
      <c r="AZ364" s="328"/>
      <c r="BC364" s="0"/>
    </row>
    <row r="365" customFormat="false" ht="12.75" hidden="false" customHeight="false" outlineLevel="0" collapsed="false">
      <c r="A365" s="408"/>
      <c r="B365" s="396"/>
      <c r="C365" s="409"/>
      <c r="D365" s="410"/>
      <c r="E365" s="396"/>
      <c r="F365" s="410"/>
      <c r="G365" s="396"/>
      <c r="H365" s="410"/>
      <c r="I365" s="410"/>
      <c r="J365" s="411"/>
      <c r="K365" s="399"/>
      <c r="L365" s="399"/>
      <c r="M365" s="73"/>
      <c r="N365" s="396"/>
      <c r="O365" s="396"/>
      <c r="P365" s="396"/>
      <c r="Q365" s="410"/>
      <c r="R365" s="411"/>
      <c r="S365" s="411"/>
      <c r="T365" s="411"/>
      <c r="AF365" s="352" t="n">
        <f aca="false">EOMONTH(AF364,0)+1</f>
        <v>47543</v>
      </c>
      <c r="AG365" s="311" t="n">
        <v>21</v>
      </c>
      <c r="AH365" s="311" t="n">
        <v>5</v>
      </c>
      <c r="AI365" s="311" t="n">
        <v>5</v>
      </c>
      <c r="AJ365" s="311" t="n">
        <v>0</v>
      </c>
      <c r="AK365" s="311" t="n">
        <v>31</v>
      </c>
      <c r="AM365" s="0"/>
      <c r="AN365" s="329"/>
      <c r="AQ365" s="0"/>
      <c r="AR365" s="328"/>
      <c r="AU365" s="0"/>
      <c r="AV365" s="62"/>
      <c r="AY365" s="0"/>
      <c r="AZ365" s="328"/>
      <c r="BC365" s="0"/>
    </row>
    <row r="366" customFormat="false" ht="12.75" hidden="false" customHeight="false" outlineLevel="0" collapsed="false">
      <c r="A366" s="408"/>
      <c r="B366" s="396"/>
      <c r="C366" s="409"/>
      <c r="D366" s="410"/>
      <c r="E366" s="396"/>
      <c r="F366" s="410"/>
      <c r="G366" s="396"/>
      <c r="H366" s="410"/>
      <c r="I366" s="410"/>
      <c r="J366" s="411"/>
      <c r="K366" s="399"/>
      <c r="L366" s="399"/>
      <c r="M366" s="73"/>
      <c r="N366" s="396"/>
      <c r="O366" s="396"/>
      <c r="P366" s="396"/>
      <c r="Q366" s="410"/>
      <c r="R366" s="411"/>
      <c r="S366" s="411"/>
      <c r="T366" s="411"/>
      <c r="AF366" s="352" t="n">
        <f aca="false">EOMONTH(AF365,0)+1</f>
        <v>47574</v>
      </c>
      <c r="AG366" s="311" t="n">
        <v>22</v>
      </c>
      <c r="AH366" s="311" t="n">
        <v>4</v>
      </c>
      <c r="AI366" s="311" t="n">
        <v>4</v>
      </c>
      <c r="AJ366" s="311" t="n">
        <v>0</v>
      </c>
      <c r="AK366" s="311" t="n">
        <v>30</v>
      </c>
      <c r="AM366" s="0"/>
      <c r="AN366" s="329"/>
      <c r="AQ366" s="0"/>
      <c r="AR366" s="328"/>
      <c r="AU366" s="0"/>
      <c r="AV366" s="62"/>
      <c r="AY366" s="0"/>
      <c r="AZ366" s="328"/>
      <c r="BC366" s="0"/>
    </row>
    <row r="367" customFormat="false" ht="12.75" hidden="false" customHeight="false" outlineLevel="0" collapsed="false">
      <c r="A367" s="408"/>
      <c r="B367" s="396"/>
      <c r="C367" s="409"/>
      <c r="D367" s="410"/>
      <c r="E367" s="396"/>
      <c r="F367" s="410"/>
      <c r="G367" s="396"/>
      <c r="H367" s="410"/>
      <c r="I367" s="410"/>
      <c r="J367" s="411"/>
      <c r="K367" s="399"/>
      <c r="L367" s="399"/>
      <c r="M367" s="73"/>
      <c r="N367" s="396"/>
      <c r="O367" s="396"/>
      <c r="P367" s="396"/>
      <c r="Q367" s="410"/>
      <c r="R367" s="411"/>
      <c r="S367" s="411"/>
      <c r="T367" s="411"/>
      <c r="AF367" s="352" t="n">
        <f aca="false">EOMONTH(AF366,0)+1</f>
        <v>47604</v>
      </c>
      <c r="AG367" s="311" t="n">
        <v>22</v>
      </c>
      <c r="AH367" s="311" t="n">
        <v>4</v>
      </c>
      <c r="AI367" s="311" t="n">
        <v>5</v>
      </c>
      <c r="AJ367" s="311" t="n">
        <v>1</v>
      </c>
      <c r="AK367" s="311" t="n">
        <v>31</v>
      </c>
      <c r="AM367" s="0"/>
      <c r="AN367" s="329"/>
      <c r="AQ367" s="0"/>
      <c r="AR367" s="328"/>
      <c r="AU367" s="0"/>
      <c r="AV367" s="62"/>
      <c r="AY367" s="0"/>
      <c r="AZ367" s="328"/>
      <c r="BC367" s="0"/>
    </row>
    <row r="368" customFormat="false" ht="12.75" hidden="false" customHeight="false" outlineLevel="0" collapsed="false">
      <c r="A368" s="408"/>
      <c r="B368" s="396"/>
      <c r="C368" s="409"/>
      <c r="D368" s="410"/>
      <c r="E368" s="396"/>
      <c r="F368" s="410"/>
      <c r="G368" s="396"/>
      <c r="H368" s="410"/>
      <c r="I368" s="410"/>
      <c r="J368" s="411"/>
      <c r="K368" s="399"/>
      <c r="L368" s="399"/>
      <c r="M368" s="73"/>
      <c r="N368" s="396"/>
      <c r="O368" s="396"/>
      <c r="P368" s="396"/>
      <c r="Q368" s="410"/>
      <c r="R368" s="411"/>
      <c r="S368" s="411"/>
      <c r="T368" s="411"/>
      <c r="AF368" s="352" t="n">
        <f aca="false">EOMONTH(AF367,0)+1</f>
        <v>47635</v>
      </c>
      <c r="AG368" s="311" t="n">
        <v>20</v>
      </c>
      <c r="AH368" s="311" t="n">
        <v>5</v>
      </c>
      <c r="AI368" s="311" t="n">
        <v>5</v>
      </c>
      <c r="AJ368" s="311" t="n">
        <v>0</v>
      </c>
      <c r="AK368" s="311" t="n">
        <v>30</v>
      </c>
      <c r="AM368" s="0"/>
      <c r="AN368" s="329"/>
      <c r="AQ368" s="0"/>
      <c r="AR368" s="328"/>
      <c r="AU368" s="0"/>
      <c r="AV368" s="62"/>
      <c r="AY368" s="0"/>
      <c r="AZ368" s="328"/>
      <c r="BC368" s="0"/>
    </row>
    <row r="369" customFormat="false" ht="12.75" hidden="false" customHeight="false" outlineLevel="0" collapsed="false">
      <c r="A369" s="408"/>
      <c r="B369" s="396"/>
      <c r="C369" s="409"/>
      <c r="D369" s="410"/>
      <c r="E369" s="396"/>
      <c r="F369" s="410"/>
      <c r="G369" s="396"/>
      <c r="H369" s="410"/>
      <c r="I369" s="410"/>
      <c r="J369" s="411"/>
      <c r="K369" s="399"/>
      <c r="L369" s="399"/>
      <c r="M369" s="73"/>
      <c r="N369" s="396"/>
      <c r="O369" s="396"/>
      <c r="P369" s="396"/>
      <c r="Q369" s="410"/>
      <c r="R369" s="411"/>
      <c r="S369" s="411"/>
      <c r="T369" s="411"/>
      <c r="AF369" s="352" t="n">
        <f aca="false">EOMONTH(AF368,0)+1</f>
        <v>47665</v>
      </c>
      <c r="AG369" s="311" t="n">
        <v>22</v>
      </c>
      <c r="AH369" s="311" t="n">
        <v>4</v>
      </c>
      <c r="AI369" s="311" t="n">
        <v>5</v>
      </c>
      <c r="AJ369" s="311" t="n">
        <v>1</v>
      </c>
      <c r="AK369" s="311" t="n">
        <v>31</v>
      </c>
      <c r="AM369" s="0"/>
      <c r="AN369" s="329"/>
      <c r="AQ369" s="0"/>
      <c r="AR369" s="328"/>
      <c r="AU369" s="0"/>
      <c r="AV369" s="62"/>
      <c r="AY369" s="0"/>
      <c r="AZ369" s="328"/>
      <c r="BC369" s="0"/>
    </row>
    <row r="370" customFormat="false" ht="12.75" hidden="false" customHeight="false" outlineLevel="0" collapsed="false">
      <c r="A370" s="408"/>
      <c r="B370" s="396"/>
      <c r="C370" s="409"/>
      <c r="D370" s="410"/>
      <c r="E370" s="396"/>
      <c r="F370" s="410"/>
      <c r="G370" s="396"/>
      <c r="H370" s="410"/>
      <c r="I370" s="410"/>
      <c r="J370" s="411"/>
      <c r="K370" s="399"/>
      <c r="L370" s="399"/>
      <c r="M370" s="73"/>
      <c r="N370" s="396"/>
      <c r="O370" s="396"/>
      <c r="P370" s="396"/>
      <c r="Q370" s="410"/>
      <c r="R370" s="411"/>
      <c r="S370" s="411"/>
      <c r="T370" s="411"/>
      <c r="AF370" s="352" t="n">
        <f aca="false">EOMONTH(AF369,0)+1</f>
        <v>47696</v>
      </c>
      <c r="AG370" s="311" t="n">
        <v>22</v>
      </c>
      <c r="AH370" s="311" t="n">
        <v>5</v>
      </c>
      <c r="AI370" s="311" t="n">
        <v>4</v>
      </c>
      <c r="AJ370" s="311" t="n">
        <v>0</v>
      </c>
      <c r="AK370" s="311" t="n">
        <v>31</v>
      </c>
      <c r="AM370" s="0"/>
      <c r="AN370" s="329"/>
      <c r="AQ370" s="0"/>
      <c r="AR370" s="328"/>
      <c r="AU370" s="0"/>
      <c r="AV370" s="62"/>
      <c r="AY370" s="0"/>
      <c r="AZ370" s="328"/>
      <c r="BC370" s="0"/>
    </row>
    <row r="371" customFormat="false" ht="12.75" hidden="false" customHeight="false" outlineLevel="0" collapsed="false">
      <c r="A371" s="408"/>
      <c r="B371" s="396"/>
      <c r="C371" s="409"/>
      <c r="D371" s="410"/>
      <c r="E371" s="396"/>
      <c r="F371" s="410"/>
      <c r="G371" s="396"/>
      <c r="H371" s="410"/>
      <c r="I371" s="410"/>
      <c r="J371" s="411"/>
      <c r="K371" s="399"/>
      <c r="L371" s="399"/>
      <c r="M371" s="73"/>
      <c r="N371" s="396"/>
      <c r="O371" s="396"/>
      <c r="P371" s="396"/>
      <c r="Q371" s="410"/>
      <c r="R371" s="411"/>
      <c r="S371" s="411"/>
      <c r="T371" s="411"/>
      <c r="AF371" s="352" t="n">
        <f aca="false">EOMONTH(AF370,0)+1</f>
        <v>47727</v>
      </c>
      <c r="AG371" s="311" t="n">
        <v>20</v>
      </c>
      <c r="AH371" s="311" t="n">
        <v>4</v>
      </c>
      <c r="AI371" s="311" t="n">
        <v>6</v>
      </c>
      <c r="AJ371" s="311" t="n">
        <v>1</v>
      </c>
      <c r="AK371" s="311" t="n">
        <v>30</v>
      </c>
      <c r="AM371" s="0"/>
      <c r="AN371" s="329"/>
      <c r="AQ371" s="0"/>
      <c r="AR371" s="328"/>
      <c r="AU371" s="0"/>
      <c r="AV371" s="62"/>
      <c r="AY371" s="0"/>
      <c r="AZ371" s="328"/>
      <c r="BC371" s="0"/>
    </row>
    <row r="372" customFormat="false" ht="12.75" hidden="false" customHeight="false" outlineLevel="0" collapsed="false">
      <c r="A372" s="408"/>
      <c r="B372" s="396"/>
      <c r="C372" s="409"/>
      <c r="D372" s="410"/>
      <c r="E372" s="396"/>
      <c r="F372" s="410"/>
      <c r="G372" s="396"/>
      <c r="H372" s="410"/>
      <c r="I372" s="410"/>
      <c r="J372" s="411"/>
      <c r="K372" s="399"/>
      <c r="L372" s="399"/>
      <c r="M372" s="73"/>
      <c r="N372" s="396"/>
      <c r="O372" s="396"/>
      <c r="P372" s="396"/>
      <c r="Q372" s="410"/>
      <c r="R372" s="411"/>
      <c r="S372" s="411"/>
      <c r="T372" s="411"/>
      <c r="AF372" s="352" t="n">
        <f aca="false">EOMONTH(AF371,0)+1</f>
        <v>47757</v>
      </c>
      <c r="AG372" s="311" t="n">
        <v>23</v>
      </c>
      <c r="AH372" s="311" t="n">
        <v>4</v>
      </c>
      <c r="AI372" s="311" t="n">
        <v>4</v>
      </c>
      <c r="AJ372" s="311" t="n">
        <v>0</v>
      </c>
      <c r="AK372" s="311" t="n">
        <v>31</v>
      </c>
      <c r="AM372" s="0"/>
      <c r="AN372" s="329"/>
      <c r="AQ372" s="0"/>
      <c r="AR372" s="328"/>
      <c r="AU372" s="0"/>
      <c r="AV372" s="62"/>
      <c r="AY372" s="0"/>
      <c r="AZ372" s="328"/>
      <c r="BC372" s="0"/>
    </row>
    <row r="373" customFormat="false" ht="12.75" hidden="false" customHeight="false" outlineLevel="0" collapsed="false">
      <c r="A373" s="408"/>
      <c r="B373" s="396"/>
      <c r="C373" s="409"/>
      <c r="D373" s="410"/>
      <c r="E373" s="396"/>
      <c r="F373" s="410"/>
      <c r="G373" s="396"/>
      <c r="H373" s="410"/>
      <c r="I373" s="410"/>
      <c r="J373" s="411"/>
      <c r="K373" s="399"/>
      <c r="L373" s="399"/>
      <c r="M373" s="73"/>
      <c r="N373" s="396"/>
      <c r="O373" s="396"/>
      <c r="P373" s="396"/>
      <c r="Q373" s="410"/>
      <c r="R373" s="411"/>
      <c r="S373" s="411"/>
      <c r="T373" s="411"/>
      <c r="AF373" s="352" t="n">
        <f aca="false">EOMONTH(AF372,0)+1</f>
        <v>47788</v>
      </c>
      <c r="AG373" s="311" t="n">
        <v>20</v>
      </c>
      <c r="AH373" s="311" t="n">
        <v>5</v>
      </c>
      <c r="AI373" s="311" t="n">
        <v>5</v>
      </c>
      <c r="AJ373" s="311" t="n">
        <v>1</v>
      </c>
      <c r="AK373" s="311" t="n">
        <v>30</v>
      </c>
      <c r="AM373" s="0"/>
      <c r="AN373" s="329"/>
      <c r="AQ373" s="0"/>
      <c r="AR373" s="328"/>
      <c r="AU373" s="0"/>
      <c r="AV373" s="62"/>
      <c r="AY373" s="0"/>
      <c r="AZ373" s="328"/>
      <c r="BC373" s="0"/>
    </row>
    <row r="374" customFormat="false" ht="12.75" hidden="false" customHeight="false" outlineLevel="0" collapsed="false">
      <c r="A374" s="408"/>
      <c r="B374" s="396"/>
      <c r="C374" s="409"/>
      <c r="D374" s="410"/>
      <c r="E374" s="396"/>
      <c r="F374" s="410"/>
      <c r="G374" s="396"/>
      <c r="H374" s="410"/>
      <c r="I374" s="410"/>
      <c r="J374" s="411"/>
      <c r="K374" s="399"/>
      <c r="L374" s="399"/>
      <c r="M374" s="73"/>
      <c r="N374" s="396"/>
      <c r="O374" s="396"/>
      <c r="P374" s="396"/>
      <c r="Q374" s="410"/>
      <c r="R374" s="411"/>
      <c r="S374" s="411"/>
      <c r="T374" s="411"/>
      <c r="AF374" s="352" t="n">
        <f aca="false">EOMONTH(AF373,0)+1</f>
        <v>47818</v>
      </c>
      <c r="AG374" s="311" t="n">
        <v>21</v>
      </c>
      <c r="AH374" s="311" t="n">
        <v>4</v>
      </c>
      <c r="AI374" s="311" t="n">
        <v>6</v>
      </c>
      <c r="AJ374" s="311" t="n">
        <v>1</v>
      </c>
      <c r="AK374" s="311" t="n">
        <v>31</v>
      </c>
      <c r="AM374" s="0"/>
      <c r="AN374" s="329"/>
      <c r="AQ374" s="0"/>
      <c r="AR374" s="328"/>
      <c r="AU374" s="0"/>
      <c r="AV374" s="62"/>
      <c r="AY374" s="0"/>
      <c r="AZ374" s="328"/>
      <c r="BC374" s="0"/>
    </row>
    <row r="375" customFormat="false" ht="12.75" hidden="false" customHeight="false" outlineLevel="0" collapsed="false">
      <c r="A375" s="408"/>
      <c r="B375" s="396"/>
      <c r="C375" s="409"/>
      <c r="D375" s="410"/>
      <c r="E375" s="396"/>
      <c r="F375" s="410"/>
      <c r="G375" s="396"/>
      <c r="H375" s="410"/>
      <c r="I375" s="410"/>
      <c r="J375" s="411"/>
      <c r="K375" s="399"/>
      <c r="L375" s="399"/>
      <c r="M375" s="73"/>
      <c r="N375" s="396"/>
      <c r="O375" s="396"/>
      <c r="P375" s="396"/>
      <c r="Q375" s="410"/>
      <c r="R375" s="411"/>
      <c r="S375" s="411"/>
      <c r="T375" s="411"/>
      <c r="AF375" s="352" t="n">
        <f aca="false">EOMONTH(AF374,0)+1</f>
        <v>47849</v>
      </c>
      <c r="AG375" s="311" t="n">
        <v>22</v>
      </c>
      <c r="AH375" s="311" t="n">
        <v>4</v>
      </c>
      <c r="AI375" s="311" t="n">
        <v>5</v>
      </c>
      <c r="AJ375" s="311" t="n">
        <v>1</v>
      </c>
      <c r="AK375" s="311" t="n">
        <v>31</v>
      </c>
      <c r="AM375" s="0"/>
      <c r="AN375" s="329"/>
      <c r="AQ375" s="0"/>
      <c r="AR375" s="328"/>
      <c r="AU375" s="0"/>
      <c r="AV375" s="62"/>
      <c r="AY375" s="0"/>
      <c r="AZ375" s="328"/>
      <c r="BC375" s="0"/>
    </row>
    <row r="376" customFormat="false" ht="12.75" hidden="false" customHeight="false" outlineLevel="0" collapsed="false">
      <c r="A376" s="408"/>
      <c r="B376" s="396"/>
      <c r="C376" s="409"/>
      <c r="D376" s="410"/>
      <c r="E376" s="396"/>
      <c r="F376" s="410"/>
      <c r="G376" s="396"/>
      <c r="H376" s="410"/>
      <c r="I376" s="410"/>
      <c r="J376" s="411"/>
      <c r="K376" s="399"/>
      <c r="L376" s="399"/>
      <c r="M376" s="73"/>
      <c r="N376" s="396"/>
      <c r="O376" s="396"/>
      <c r="P376" s="396"/>
      <c r="Q376" s="410"/>
      <c r="R376" s="411"/>
      <c r="S376" s="411"/>
      <c r="T376" s="411"/>
      <c r="AF376" s="352" t="n">
        <f aca="false">EOMONTH(AF375,0)+1</f>
        <v>47880</v>
      </c>
      <c r="AG376" s="311" t="n">
        <v>20</v>
      </c>
      <c r="AH376" s="311" t="n">
        <v>4</v>
      </c>
      <c r="AI376" s="311" t="n">
        <v>4</v>
      </c>
      <c r="AJ376" s="311" t="n">
        <v>0</v>
      </c>
      <c r="AK376" s="311" t="n">
        <v>28</v>
      </c>
      <c r="AM376" s="0"/>
      <c r="AN376" s="329"/>
      <c r="AQ376" s="0"/>
      <c r="AR376" s="328"/>
      <c r="AU376" s="0"/>
      <c r="AV376" s="62"/>
      <c r="AY376" s="0"/>
      <c r="AZ376" s="328"/>
      <c r="BC376" s="0"/>
    </row>
    <row r="377" customFormat="false" ht="12.75" hidden="false" customHeight="false" outlineLevel="0" collapsed="false">
      <c r="A377" s="408"/>
      <c r="B377" s="396"/>
      <c r="C377" s="409"/>
      <c r="D377" s="410"/>
      <c r="E377" s="396"/>
      <c r="F377" s="410"/>
      <c r="G377" s="396"/>
      <c r="H377" s="410"/>
      <c r="I377" s="410"/>
      <c r="J377" s="411"/>
      <c r="K377" s="399"/>
      <c r="L377" s="399"/>
      <c r="M377" s="73"/>
      <c r="N377" s="396"/>
      <c r="O377" s="396"/>
      <c r="P377" s="396"/>
      <c r="Q377" s="410"/>
      <c r="R377" s="411"/>
      <c r="S377" s="411"/>
      <c r="T377" s="411"/>
      <c r="AF377" s="352" t="n">
        <f aca="false">EOMONTH(AF376,0)+1</f>
        <v>47908</v>
      </c>
      <c r="AG377" s="311" t="n">
        <v>21</v>
      </c>
      <c r="AH377" s="311" t="n">
        <v>5</v>
      </c>
      <c r="AI377" s="311" t="n">
        <v>5</v>
      </c>
      <c r="AJ377" s="311" t="n">
        <v>0</v>
      </c>
      <c r="AK377" s="311" t="n">
        <v>31</v>
      </c>
      <c r="AM377" s="0"/>
      <c r="AN377" s="329"/>
      <c r="AQ377" s="0"/>
      <c r="AR377" s="328"/>
      <c r="AU377" s="0"/>
      <c r="AV377" s="62"/>
      <c r="AY377" s="0"/>
      <c r="AZ377" s="328"/>
      <c r="BC377" s="0"/>
    </row>
    <row r="378" customFormat="false" ht="12.75" hidden="false" customHeight="false" outlineLevel="0" collapsed="false">
      <c r="A378" s="408"/>
      <c r="B378" s="396"/>
      <c r="C378" s="409"/>
      <c r="D378" s="410"/>
      <c r="E378" s="396"/>
      <c r="F378" s="410"/>
      <c r="G378" s="396"/>
      <c r="H378" s="410"/>
      <c r="I378" s="410"/>
      <c r="J378" s="411"/>
      <c r="K378" s="399"/>
      <c r="L378" s="399"/>
      <c r="M378" s="73"/>
      <c r="N378" s="396"/>
      <c r="O378" s="396"/>
      <c r="P378" s="396"/>
      <c r="Q378" s="410"/>
      <c r="R378" s="411"/>
      <c r="S378" s="411"/>
      <c r="T378" s="411"/>
      <c r="AF378" s="352" t="n">
        <f aca="false">EOMONTH(AF377,0)+1</f>
        <v>47939</v>
      </c>
      <c r="AG378" s="311" t="n">
        <v>22</v>
      </c>
      <c r="AH378" s="311" t="n">
        <v>4</v>
      </c>
      <c r="AI378" s="311" t="n">
        <v>4</v>
      </c>
      <c r="AJ378" s="311" t="n">
        <v>0</v>
      </c>
      <c r="AK378" s="311" t="n">
        <v>30</v>
      </c>
      <c r="AM378" s="0"/>
      <c r="AN378" s="329"/>
      <c r="AQ378" s="0"/>
      <c r="AR378" s="328"/>
      <c r="AU378" s="0"/>
      <c r="AV378" s="62"/>
      <c r="AY378" s="0"/>
      <c r="AZ378" s="328"/>
      <c r="BC378" s="0"/>
    </row>
    <row r="379" customFormat="false" ht="12.75" hidden="false" customHeight="false" outlineLevel="0" collapsed="false">
      <c r="A379" s="408"/>
      <c r="B379" s="396"/>
      <c r="C379" s="409"/>
      <c r="D379" s="410"/>
      <c r="E379" s="396"/>
      <c r="F379" s="410"/>
      <c r="G379" s="396"/>
      <c r="H379" s="410"/>
      <c r="I379" s="410"/>
      <c r="J379" s="411"/>
      <c r="K379" s="399"/>
      <c r="L379" s="399"/>
      <c r="M379" s="73"/>
      <c r="N379" s="396"/>
      <c r="O379" s="396"/>
      <c r="P379" s="396"/>
      <c r="Q379" s="410"/>
      <c r="R379" s="411"/>
      <c r="S379" s="411"/>
      <c r="T379" s="411"/>
      <c r="AF379" s="352" t="n">
        <f aca="false">EOMONTH(AF378,0)+1</f>
        <v>47969</v>
      </c>
      <c r="AG379" s="311" t="n">
        <v>22</v>
      </c>
      <c r="AH379" s="311" t="n">
        <v>4</v>
      </c>
      <c r="AI379" s="311" t="n">
        <v>5</v>
      </c>
      <c r="AJ379" s="311" t="n">
        <v>1</v>
      </c>
      <c r="AK379" s="311" t="n">
        <v>31</v>
      </c>
      <c r="AM379" s="0"/>
      <c r="AN379" s="329"/>
      <c r="AQ379" s="0"/>
      <c r="AR379" s="328"/>
      <c r="AU379" s="0"/>
      <c r="AV379" s="62"/>
      <c r="AY379" s="0"/>
      <c r="AZ379" s="328"/>
      <c r="BC379" s="0"/>
    </row>
    <row r="380" customFormat="false" ht="12.75" hidden="false" customHeight="false" outlineLevel="0" collapsed="false">
      <c r="A380" s="408"/>
      <c r="B380" s="396"/>
      <c r="C380" s="409"/>
      <c r="D380" s="410"/>
      <c r="E380" s="396"/>
      <c r="F380" s="410"/>
      <c r="G380" s="396"/>
      <c r="H380" s="410"/>
      <c r="I380" s="410"/>
      <c r="J380" s="411"/>
      <c r="K380" s="399"/>
      <c r="L380" s="399"/>
      <c r="M380" s="73"/>
      <c r="N380" s="396"/>
      <c r="O380" s="396"/>
      <c r="P380" s="396"/>
      <c r="Q380" s="410"/>
      <c r="R380" s="411"/>
      <c r="S380" s="411"/>
      <c r="T380" s="411"/>
      <c r="AF380" s="352" t="n">
        <f aca="false">EOMONTH(AF379,0)+1</f>
        <v>48000</v>
      </c>
      <c r="AG380" s="311" t="n">
        <v>20</v>
      </c>
      <c r="AH380" s="311" t="n">
        <v>5</v>
      </c>
      <c r="AI380" s="311" t="n">
        <v>5</v>
      </c>
      <c r="AJ380" s="311" t="n">
        <v>0</v>
      </c>
      <c r="AK380" s="311" t="n">
        <v>30</v>
      </c>
      <c r="AM380" s="0"/>
      <c r="AN380" s="329"/>
      <c r="AQ380" s="0"/>
      <c r="AR380" s="328"/>
      <c r="AU380" s="0"/>
      <c r="AV380" s="62"/>
      <c r="AY380" s="0"/>
      <c r="AZ380" s="328"/>
      <c r="BC380" s="0"/>
    </row>
    <row r="381" customFormat="false" ht="12.75" hidden="false" customHeight="false" outlineLevel="0" collapsed="false">
      <c r="A381" s="408"/>
      <c r="B381" s="396"/>
      <c r="C381" s="409"/>
      <c r="D381" s="410"/>
      <c r="E381" s="396"/>
      <c r="F381" s="410"/>
      <c r="G381" s="396"/>
      <c r="H381" s="410"/>
      <c r="I381" s="410"/>
      <c r="J381" s="411"/>
      <c r="K381" s="399"/>
      <c r="L381" s="399"/>
      <c r="M381" s="73"/>
      <c r="N381" s="396"/>
      <c r="O381" s="396"/>
      <c r="P381" s="396"/>
      <c r="Q381" s="410"/>
      <c r="R381" s="411"/>
      <c r="S381" s="411"/>
      <c r="T381" s="411"/>
      <c r="AF381" s="352" t="n">
        <f aca="false">EOMONTH(AF380,0)+1</f>
        <v>48030</v>
      </c>
      <c r="AG381" s="311" t="n">
        <v>22</v>
      </c>
      <c r="AH381" s="311" t="n">
        <v>4</v>
      </c>
      <c r="AI381" s="311" t="n">
        <v>5</v>
      </c>
      <c r="AJ381" s="311" t="n">
        <v>1</v>
      </c>
      <c r="AK381" s="311" t="n">
        <v>31</v>
      </c>
      <c r="AM381" s="0"/>
      <c r="AN381" s="329"/>
      <c r="AQ381" s="0"/>
      <c r="AR381" s="328"/>
      <c r="AU381" s="0"/>
      <c r="AV381" s="62"/>
      <c r="AY381" s="0"/>
      <c r="AZ381" s="328"/>
      <c r="BC381" s="0"/>
    </row>
    <row r="382" customFormat="false" ht="12.75" hidden="false" customHeight="false" outlineLevel="0" collapsed="false">
      <c r="A382" s="408"/>
      <c r="B382" s="396"/>
      <c r="C382" s="409"/>
      <c r="D382" s="410"/>
      <c r="E382" s="396"/>
      <c r="F382" s="410"/>
      <c r="G382" s="396"/>
      <c r="H382" s="410"/>
      <c r="I382" s="410"/>
      <c r="J382" s="411"/>
      <c r="K382" s="399"/>
      <c r="L382" s="399"/>
      <c r="M382" s="73"/>
      <c r="N382" s="396"/>
      <c r="O382" s="396"/>
      <c r="P382" s="396"/>
      <c r="Q382" s="410"/>
      <c r="R382" s="411"/>
      <c r="S382" s="411"/>
      <c r="T382" s="411"/>
      <c r="AF382" s="352" t="n">
        <f aca="false">EOMONTH(AF381,0)+1</f>
        <v>48061</v>
      </c>
      <c r="AG382" s="311" t="n">
        <v>22</v>
      </c>
      <c r="AH382" s="311" t="n">
        <v>5</v>
      </c>
      <c r="AI382" s="311" t="n">
        <v>4</v>
      </c>
      <c r="AJ382" s="311" t="n">
        <v>0</v>
      </c>
      <c r="AK382" s="311" t="n">
        <v>31</v>
      </c>
      <c r="AM382" s="0"/>
      <c r="AN382" s="329"/>
      <c r="AQ382" s="0"/>
      <c r="AR382" s="328"/>
      <c r="AU382" s="0"/>
      <c r="AV382" s="62"/>
      <c r="AY382" s="0"/>
      <c r="AZ382" s="328"/>
      <c r="BC382" s="0"/>
    </row>
    <row r="383" customFormat="false" ht="12.75" hidden="false" customHeight="false" outlineLevel="0" collapsed="false">
      <c r="A383" s="408"/>
      <c r="B383" s="396"/>
      <c r="C383" s="409"/>
      <c r="D383" s="410"/>
      <c r="E383" s="396"/>
      <c r="F383" s="410"/>
      <c r="G383" s="396"/>
      <c r="H383" s="410"/>
      <c r="I383" s="410"/>
      <c r="J383" s="411"/>
      <c r="K383" s="399"/>
      <c r="L383" s="399"/>
      <c r="M383" s="73"/>
      <c r="N383" s="396"/>
      <c r="O383" s="396"/>
      <c r="P383" s="396"/>
      <c r="Q383" s="410"/>
      <c r="R383" s="411"/>
      <c r="S383" s="411"/>
      <c r="T383" s="411"/>
      <c r="AF383" s="352" t="n">
        <f aca="false">EOMONTH(AF382,0)+1</f>
        <v>48092</v>
      </c>
      <c r="AG383" s="311" t="n">
        <v>20</v>
      </c>
      <c r="AH383" s="311" t="n">
        <v>4</v>
      </c>
      <c r="AI383" s="311" t="n">
        <v>6</v>
      </c>
      <c r="AJ383" s="311" t="n">
        <v>1</v>
      </c>
      <c r="AK383" s="311" t="n">
        <v>30</v>
      </c>
      <c r="AM383" s="0"/>
      <c r="AN383" s="329"/>
      <c r="AQ383" s="0"/>
      <c r="AR383" s="328"/>
      <c r="AU383" s="0"/>
      <c r="AV383" s="62"/>
      <c r="AY383" s="0"/>
      <c r="AZ383" s="328"/>
      <c r="BC383" s="0"/>
    </row>
    <row r="384" customFormat="false" ht="12.75" hidden="false" customHeight="false" outlineLevel="0" collapsed="false">
      <c r="A384" s="408"/>
      <c r="B384" s="396"/>
      <c r="C384" s="409"/>
      <c r="D384" s="410"/>
      <c r="E384" s="396"/>
      <c r="F384" s="410"/>
      <c r="G384" s="396"/>
      <c r="H384" s="410"/>
      <c r="I384" s="410"/>
      <c r="J384" s="411"/>
      <c r="K384" s="399"/>
      <c r="L384" s="399"/>
      <c r="M384" s="73"/>
      <c r="N384" s="396"/>
      <c r="O384" s="396"/>
      <c r="P384" s="396"/>
      <c r="Q384" s="410"/>
      <c r="R384" s="411"/>
      <c r="S384" s="411"/>
      <c r="T384" s="411"/>
      <c r="AF384" s="352" t="n">
        <f aca="false">EOMONTH(AF383,0)+1</f>
        <v>48122</v>
      </c>
      <c r="AG384" s="311" t="n">
        <v>23</v>
      </c>
      <c r="AH384" s="311" t="n">
        <v>4</v>
      </c>
      <c r="AI384" s="311" t="n">
        <v>4</v>
      </c>
      <c r="AJ384" s="311" t="n">
        <v>0</v>
      </c>
      <c r="AK384" s="311" t="n">
        <v>31</v>
      </c>
      <c r="AM384" s="0"/>
      <c r="AN384" s="329"/>
      <c r="AQ384" s="0"/>
      <c r="AR384" s="328"/>
      <c r="AU384" s="0"/>
      <c r="AV384" s="62"/>
      <c r="AY384" s="0"/>
      <c r="AZ384" s="328"/>
      <c r="BC384" s="0"/>
    </row>
    <row r="385" customFormat="false" ht="12.75" hidden="false" customHeight="false" outlineLevel="0" collapsed="false">
      <c r="A385" s="408"/>
      <c r="B385" s="396"/>
      <c r="C385" s="409"/>
      <c r="D385" s="410"/>
      <c r="E385" s="396"/>
      <c r="F385" s="410"/>
      <c r="G385" s="396"/>
      <c r="H385" s="410"/>
      <c r="I385" s="410"/>
      <c r="J385" s="411"/>
      <c r="K385" s="399"/>
      <c r="L385" s="399"/>
      <c r="M385" s="73"/>
      <c r="N385" s="396"/>
      <c r="O385" s="396"/>
      <c r="P385" s="396"/>
      <c r="Q385" s="410"/>
      <c r="R385" s="411"/>
      <c r="S385" s="411"/>
      <c r="T385" s="411"/>
      <c r="AF385" s="352" t="n">
        <f aca="false">EOMONTH(AF384,0)+1</f>
        <v>48153</v>
      </c>
      <c r="AG385" s="311" t="n">
        <v>20</v>
      </c>
      <c r="AH385" s="311" t="n">
        <v>5</v>
      </c>
      <c r="AI385" s="311" t="n">
        <v>5</v>
      </c>
      <c r="AJ385" s="311" t="n">
        <v>1</v>
      </c>
      <c r="AK385" s="311" t="n">
        <v>30</v>
      </c>
      <c r="AM385" s="0"/>
      <c r="AN385" s="329"/>
      <c r="AQ385" s="0"/>
      <c r="AR385" s="328"/>
      <c r="AU385" s="0"/>
      <c r="AV385" s="62"/>
      <c r="AY385" s="0"/>
      <c r="AZ385" s="328"/>
      <c r="BC385" s="0"/>
    </row>
    <row r="386" customFormat="false" ht="12.75" hidden="false" customHeight="false" outlineLevel="0" collapsed="false">
      <c r="A386" s="408"/>
      <c r="B386" s="396"/>
      <c r="C386" s="409"/>
      <c r="D386" s="410"/>
      <c r="E386" s="396"/>
      <c r="F386" s="410"/>
      <c r="G386" s="396"/>
      <c r="H386" s="410"/>
      <c r="I386" s="410"/>
      <c r="J386" s="411"/>
      <c r="K386" s="399"/>
      <c r="L386" s="399"/>
      <c r="M386" s="73"/>
      <c r="N386" s="396"/>
      <c r="O386" s="396"/>
      <c r="P386" s="396"/>
      <c r="Q386" s="410"/>
      <c r="R386" s="411"/>
      <c r="S386" s="411"/>
      <c r="T386" s="411"/>
      <c r="AF386" s="352" t="n">
        <f aca="false">EOMONTH(AF385,0)+1</f>
        <v>48183</v>
      </c>
      <c r="AG386" s="311" t="n">
        <v>21</v>
      </c>
      <c r="AH386" s="311" t="n">
        <v>4</v>
      </c>
      <c r="AI386" s="311" t="n">
        <v>6</v>
      </c>
      <c r="AJ386" s="311" t="n">
        <v>1</v>
      </c>
      <c r="AK386" s="311" t="n">
        <v>31</v>
      </c>
      <c r="AM386" s="0"/>
      <c r="AN386" s="329"/>
      <c r="AQ386" s="0"/>
      <c r="AR386" s="328"/>
      <c r="AU386" s="0"/>
      <c r="AV386" s="62"/>
      <c r="AY386" s="0"/>
      <c r="AZ386" s="328"/>
      <c r="BC386" s="0"/>
    </row>
    <row r="387" customFormat="false" ht="12.75" hidden="false" customHeight="false" outlineLevel="0" collapsed="false">
      <c r="A387" s="408"/>
      <c r="B387" s="396"/>
      <c r="C387" s="409"/>
      <c r="D387" s="410"/>
      <c r="E387" s="396"/>
      <c r="F387" s="410"/>
      <c r="G387" s="396"/>
      <c r="H387" s="410"/>
      <c r="I387" s="410"/>
      <c r="J387" s="411"/>
      <c r="K387" s="399"/>
      <c r="L387" s="399"/>
      <c r="M387" s="73"/>
      <c r="N387" s="396"/>
      <c r="O387" s="396"/>
      <c r="P387" s="396"/>
      <c r="Q387" s="410"/>
      <c r="R387" s="411"/>
      <c r="S387" s="411"/>
      <c r="T387" s="411"/>
      <c r="AF387" s="352" t="n">
        <f aca="false">EOMONTH(AF386,0)+1</f>
        <v>48214</v>
      </c>
      <c r="AG387" s="311" t="n">
        <v>22</v>
      </c>
      <c r="AH387" s="311" t="n">
        <v>4</v>
      </c>
      <c r="AI387" s="311" t="n">
        <v>5</v>
      </c>
      <c r="AJ387" s="311" t="n">
        <v>1</v>
      </c>
      <c r="AK387" s="311" t="n">
        <v>31</v>
      </c>
      <c r="AM387" s="0"/>
      <c r="AN387" s="329"/>
      <c r="AQ387" s="0"/>
      <c r="AR387" s="328"/>
      <c r="AU387" s="0"/>
      <c r="AV387" s="62"/>
      <c r="AY387" s="0"/>
      <c r="AZ387" s="328"/>
      <c r="BC387" s="0"/>
    </row>
    <row r="388" customFormat="false" ht="12.75" hidden="false" customHeight="false" outlineLevel="0" collapsed="false">
      <c r="A388" s="408"/>
      <c r="B388" s="396"/>
      <c r="C388" s="409"/>
      <c r="D388" s="410"/>
      <c r="E388" s="396"/>
      <c r="F388" s="410"/>
      <c r="G388" s="396"/>
      <c r="H388" s="410"/>
      <c r="I388" s="410"/>
      <c r="J388" s="411"/>
      <c r="K388" s="399"/>
      <c r="L388" s="399"/>
      <c r="M388" s="73"/>
      <c r="N388" s="396"/>
      <c r="O388" s="396"/>
      <c r="P388" s="396"/>
      <c r="Q388" s="410"/>
      <c r="R388" s="411"/>
      <c r="S388" s="411"/>
      <c r="T388" s="411"/>
      <c r="AF388" s="352" t="n">
        <f aca="false">EOMONTH(AF387,0)+1</f>
        <v>48245</v>
      </c>
      <c r="AG388" s="311" t="n">
        <v>20</v>
      </c>
      <c r="AH388" s="311" t="n">
        <v>5</v>
      </c>
      <c r="AI388" s="311" t="n">
        <v>4</v>
      </c>
      <c r="AJ388" s="311" t="n">
        <v>0</v>
      </c>
      <c r="AK388" s="311" t="n">
        <v>29</v>
      </c>
      <c r="AM388" s="0"/>
      <c r="AN388" s="329"/>
      <c r="AQ388" s="0"/>
      <c r="AR388" s="328"/>
      <c r="AU388" s="0"/>
      <c r="AV388" s="62"/>
      <c r="AY388" s="0"/>
      <c r="AZ388" s="328"/>
      <c r="BC388" s="0"/>
    </row>
    <row r="389" customFormat="false" ht="12.75" hidden="false" customHeight="false" outlineLevel="0" collapsed="false">
      <c r="A389" s="408"/>
      <c r="B389" s="396"/>
      <c r="C389" s="409"/>
      <c r="D389" s="410"/>
      <c r="E389" s="396"/>
      <c r="F389" s="410"/>
      <c r="G389" s="396"/>
      <c r="H389" s="410"/>
      <c r="I389" s="410"/>
      <c r="J389" s="411"/>
      <c r="K389" s="399"/>
      <c r="L389" s="399"/>
      <c r="M389" s="73"/>
      <c r="N389" s="396"/>
      <c r="O389" s="396"/>
      <c r="P389" s="396"/>
      <c r="Q389" s="410"/>
      <c r="R389" s="411"/>
      <c r="S389" s="411"/>
      <c r="T389" s="411"/>
      <c r="AF389" s="352" t="n">
        <f aca="false">EOMONTH(AF388,0)+1</f>
        <v>48274</v>
      </c>
      <c r="AG389" s="311" t="n">
        <v>22</v>
      </c>
      <c r="AH389" s="311" t="n">
        <v>4</v>
      </c>
      <c r="AI389" s="311" t="n">
        <v>5</v>
      </c>
      <c r="AJ389" s="311" t="n">
        <v>0</v>
      </c>
      <c r="AK389" s="311" t="n">
        <v>31</v>
      </c>
      <c r="AM389" s="0"/>
      <c r="AN389" s="329"/>
      <c r="AQ389" s="0"/>
      <c r="AR389" s="328"/>
      <c r="AU389" s="0"/>
      <c r="AV389" s="62"/>
      <c r="AY389" s="0"/>
      <c r="AZ389" s="328"/>
      <c r="BC389" s="0"/>
    </row>
    <row r="390" customFormat="false" ht="12.75" hidden="false" customHeight="false" outlineLevel="0" collapsed="false">
      <c r="A390" s="408"/>
      <c r="B390" s="396"/>
      <c r="C390" s="409"/>
      <c r="D390" s="410"/>
      <c r="E390" s="396"/>
      <c r="F390" s="410"/>
      <c r="G390" s="396"/>
      <c r="H390" s="410"/>
      <c r="I390" s="410"/>
      <c r="J390" s="411"/>
      <c r="K390" s="399"/>
      <c r="L390" s="399"/>
      <c r="M390" s="73"/>
      <c r="N390" s="396"/>
      <c r="O390" s="396"/>
      <c r="P390" s="396"/>
      <c r="Q390" s="410"/>
      <c r="R390" s="411"/>
      <c r="S390" s="411"/>
      <c r="T390" s="411"/>
      <c r="AF390" s="352" t="n">
        <f aca="false">EOMONTH(AF389,0)+1</f>
        <v>48305</v>
      </c>
      <c r="AG390" s="311" t="n">
        <v>22</v>
      </c>
      <c r="AH390" s="311" t="n">
        <v>4</v>
      </c>
      <c r="AI390" s="311" t="n">
        <v>4</v>
      </c>
      <c r="AJ390" s="311" t="n">
        <v>0</v>
      </c>
      <c r="AK390" s="311" t="n">
        <v>30</v>
      </c>
      <c r="AM390" s="0"/>
      <c r="AN390" s="329"/>
      <c r="AQ390" s="0"/>
      <c r="AR390" s="328"/>
      <c r="AU390" s="0"/>
      <c r="AV390" s="62"/>
      <c r="AY390" s="0"/>
      <c r="AZ390" s="328"/>
      <c r="BC390" s="0"/>
    </row>
    <row r="391" customFormat="false" ht="12.75" hidden="false" customHeight="false" outlineLevel="0" collapsed="false">
      <c r="A391" s="408"/>
      <c r="B391" s="396"/>
      <c r="C391" s="409"/>
      <c r="D391" s="410"/>
      <c r="E391" s="396"/>
      <c r="F391" s="410"/>
      <c r="G391" s="396"/>
      <c r="H391" s="410"/>
      <c r="I391" s="410"/>
      <c r="J391" s="411"/>
      <c r="K391" s="399"/>
      <c r="L391" s="399"/>
      <c r="M391" s="73"/>
      <c r="N391" s="396"/>
      <c r="O391" s="396"/>
      <c r="P391" s="396"/>
      <c r="Q391" s="410"/>
      <c r="R391" s="411"/>
      <c r="S391" s="411"/>
      <c r="T391" s="411"/>
      <c r="AF391" s="352" t="n">
        <f aca="false">EOMONTH(AF390,0)+1</f>
        <v>48335</v>
      </c>
      <c r="AG391" s="311" t="n">
        <v>20</v>
      </c>
      <c r="AH391" s="311" t="n">
        <v>5</v>
      </c>
      <c r="AI391" s="311" t="n">
        <v>6</v>
      </c>
      <c r="AJ391" s="311" t="n">
        <v>1</v>
      </c>
      <c r="AK391" s="311" t="n">
        <v>31</v>
      </c>
      <c r="AM391" s="0"/>
      <c r="AN391" s="329"/>
      <c r="AQ391" s="0"/>
      <c r="AR391" s="328"/>
      <c r="AU391" s="0"/>
      <c r="AV391" s="62"/>
      <c r="AY391" s="0"/>
      <c r="AZ391" s="328"/>
      <c r="BC391" s="0"/>
    </row>
    <row r="392" customFormat="false" ht="12.75" hidden="false" customHeight="false" outlineLevel="0" collapsed="false">
      <c r="A392" s="408"/>
      <c r="B392" s="396"/>
      <c r="C392" s="409"/>
      <c r="D392" s="410"/>
      <c r="E392" s="396"/>
      <c r="F392" s="410"/>
      <c r="G392" s="396"/>
      <c r="H392" s="410"/>
      <c r="I392" s="410"/>
      <c r="J392" s="411"/>
      <c r="K392" s="399"/>
      <c r="L392" s="399"/>
      <c r="M392" s="73"/>
      <c r="N392" s="396"/>
      <c r="O392" s="396"/>
      <c r="P392" s="396"/>
      <c r="Q392" s="410"/>
      <c r="R392" s="411"/>
      <c r="S392" s="411"/>
      <c r="T392" s="411"/>
      <c r="AF392" s="352" t="n">
        <f aca="false">EOMONTH(AF391,0)+1</f>
        <v>48366</v>
      </c>
      <c r="AG392" s="311" t="n">
        <v>22</v>
      </c>
      <c r="AH392" s="311" t="n">
        <v>4</v>
      </c>
      <c r="AI392" s="311" t="n">
        <v>4</v>
      </c>
      <c r="AJ392" s="311" t="n">
        <v>0</v>
      </c>
      <c r="AK392" s="311" t="n">
        <v>30</v>
      </c>
      <c r="AM392" s="0"/>
      <c r="AN392" s="329"/>
      <c r="AQ392" s="0"/>
      <c r="AR392" s="328"/>
      <c r="AU392" s="0"/>
      <c r="AV392" s="62"/>
      <c r="AY392" s="0"/>
      <c r="AZ392" s="328"/>
      <c r="BC392" s="0"/>
    </row>
    <row r="393" customFormat="false" ht="12.75" hidden="false" customHeight="false" outlineLevel="0" collapsed="false">
      <c r="A393" s="408"/>
      <c r="B393" s="396"/>
      <c r="C393" s="409"/>
      <c r="D393" s="410"/>
      <c r="E393" s="396"/>
      <c r="F393" s="410"/>
      <c r="G393" s="396"/>
      <c r="H393" s="410"/>
      <c r="I393" s="410"/>
      <c r="J393" s="411"/>
      <c r="K393" s="399"/>
      <c r="L393" s="399"/>
      <c r="M393" s="73"/>
      <c r="N393" s="396"/>
      <c r="O393" s="396"/>
      <c r="P393" s="396"/>
      <c r="Q393" s="410"/>
      <c r="R393" s="411"/>
      <c r="S393" s="411"/>
      <c r="T393" s="411"/>
      <c r="AF393" s="352" t="n">
        <f aca="false">EOMONTH(AF392,0)+1</f>
        <v>48396</v>
      </c>
      <c r="AG393" s="311" t="n">
        <v>23</v>
      </c>
      <c r="AH393" s="311" t="n">
        <v>3</v>
      </c>
      <c r="AI393" s="311" t="n">
        <v>5</v>
      </c>
      <c r="AJ393" s="311" t="n">
        <v>1</v>
      </c>
      <c r="AK393" s="311" t="n">
        <v>31</v>
      </c>
      <c r="AM393" s="0"/>
      <c r="AN393" s="329"/>
      <c r="AQ393" s="0"/>
      <c r="AR393" s="328"/>
      <c r="AU393" s="0"/>
      <c r="AV393" s="62"/>
      <c r="AY393" s="0"/>
      <c r="AZ393" s="328"/>
      <c r="BC393" s="0"/>
    </row>
    <row r="394" customFormat="false" ht="12.75" hidden="false" customHeight="false" outlineLevel="0" collapsed="false">
      <c r="A394" s="408"/>
      <c r="B394" s="396"/>
      <c r="C394" s="409"/>
      <c r="D394" s="410"/>
      <c r="E394" s="396"/>
      <c r="F394" s="410"/>
      <c r="G394" s="396"/>
      <c r="H394" s="410"/>
      <c r="I394" s="410"/>
      <c r="J394" s="411"/>
      <c r="K394" s="399"/>
      <c r="L394" s="399"/>
      <c r="M394" s="73"/>
      <c r="N394" s="396"/>
      <c r="O394" s="396"/>
      <c r="P394" s="396"/>
      <c r="Q394" s="410"/>
      <c r="R394" s="411"/>
      <c r="S394" s="411"/>
      <c r="T394" s="411"/>
      <c r="AF394" s="352" t="n">
        <f aca="false">EOMONTH(AF393,0)+1</f>
        <v>48427</v>
      </c>
      <c r="AG394" s="311" t="n">
        <v>21</v>
      </c>
      <c r="AH394" s="311" t="n">
        <v>5</v>
      </c>
      <c r="AI394" s="311" t="n">
        <v>5</v>
      </c>
      <c r="AJ394" s="311" t="n">
        <v>0</v>
      </c>
      <c r="AK394" s="311" t="n">
        <v>31</v>
      </c>
      <c r="AM394" s="0"/>
      <c r="AN394" s="329"/>
      <c r="AQ394" s="0"/>
      <c r="AR394" s="328"/>
      <c r="AU394" s="0"/>
      <c r="AV394" s="62"/>
      <c r="AY394" s="0"/>
      <c r="AZ394" s="328"/>
      <c r="BC394" s="0"/>
    </row>
    <row r="395" customFormat="false" ht="12.75" hidden="false" customHeight="false" outlineLevel="0" collapsed="false">
      <c r="A395" s="408"/>
      <c r="B395" s="396"/>
      <c r="C395" s="409"/>
      <c r="D395" s="410"/>
      <c r="E395" s="396"/>
      <c r="F395" s="410"/>
      <c r="G395" s="396"/>
      <c r="H395" s="410"/>
      <c r="I395" s="410"/>
      <c r="J395" s="411"/>
      <c r="K395" s="399"/>
      <c r="L395" s="399"/>
      <c r="M395" s="73"/>
      <c r="N395" s="396"/>
      <c r="O395" s="396"/>
      <c r="P395" s="396"/>
      <c r="Q395" s="410"/>
      <c r="R395" s="411"/>
      <c r="S395" s="411"/>
      <c r="T395" s="411"/>
      <c r="AF395" s="352" t="n">
        <f aca="false">EOMONTH(AF394,0)+1</f>
        <v>48458</v>
      </c>
      <c r="AG395" s="311" t="n">
        <v>21</v>
      </c>
      <c r="AH395" s="311" t="n">
        <v>4</v>
      </c>
      <c r="AI395" s="311" t="n">
        <v>5</v>
      </c>
      <c r="AJ395" s="311" t="n">
        <v>1</v>
      </c>
      <c r="AK395" s="311" t="n">
        <v>30</v>
      </c>
      <c r="AM395" s="0"/>
      <c r="AN395" s="329"/>
      <c r="AQ395" s="0"/>
      <c r="AR395" s="328"/>
      <c r="AU395" s="0"/>
      <c r="AV395" s="62"/>
      <c r="AY395" s="0"/>
      <c r="AZ395" s="328"/>
      <c r="BC395" s="0"/>
    </row>
    <row r="396" customFormat="false" ht="12.75" hidden="false" customHeight="false" outlineLevel="0" collapsed="false">
      <c r="A396" s="408"/>
      <c r="B396" s="396"/>
      <c r="C396" s="409"/>
      <c r="D396" s="410"/>
      <c r="E396" s="396"/>
      <c r="F396" s="410"/>
      <c r="G396" s="396"/>
      <c r="H396" s="410"/>
      <c r="I396" s="410"/>
      <c r="J396" s="411"/>
      <c r="K396" s="399"/>
      <c r="L396" s="399"/>
      <c r="M396" s="73"/>
      <c r="N396" s="396"/>
      <c r="O396" s="396"/>
      <c r="P396" s="396"/>
      <c r="Q396" s="410"/>
      <c r="R396" s="411"/>
      <c r="S396" s="411"/>
      <c r="T396" s="411"/>
      <c r="AF396" s="352" t="n">
        <f aca="false">EOMONTH(AF395,0)+1</f>
        <v>48488</v>
      </c>
      <c r="AG396" s="311" t="n">
        <v>22</v>
      </c>
      <c r="AH396" s="311" t="n">
        <v>5</v>
      </c>
      <c r="AI396" s="311" t="n">
        <v>4</v>
      </c>
      <c r="AJ396" s="311" t="n">
        <v>0</v>
      </c>
      <c r="AK396" s="311" t="n">
        <v>31</v>
      </c>
      <c r="AM396" s="0"/>
      <c r="AN396" s="329"/>
      <c r="AQ396" s="0"/>
      <c r="AR396" s="328"/>
      <c r="AU396" s="0"/>
      <c r="AV396" s="62"/>
      <c r="AY396" s="0"/>
      <c r="AZ396" s="328"/>
      <c r="BC396" s="0"/>
    </row>
    <row r="397" customFormat="false" ht="12.75" hidden="false" customHeight="false" outlineLevel="0" collapsed="false">
      <c r="A397" s="408"/>
      <c r="B397" s="396"/>
      <c r="C397" s="409"/>
      <c r="D397" s="410"/>
      <c r="E397" s="396"/>
      <c r="F397" s="410"/>
      <c r="G397" s="396"/>
      <c r="H397" s="410"/>
      <c r="I397" s="410"/>
      <c r="J397" s="411"/>
      <c r="K397" s="399"/>
      <c r="L397" s="399"/>
      <c r="M397" s="73"/>
      <c r="N397" s="396"/>
      <c r="O397" s="396"/>
      <c r="P397" s="396"/>
      <c r="Q397" s="410"/>
      <c r="R397" s="411"/>
      <c r="S397" s="411"/>
      <c r="T397" s="411"/>
      <c r="AF397" s="352" t="n">
        <f aca="false">EOMONTH(AF396,0)+1</f>
        <v>48519</v>
      </c>
      <c r="AG397" s="311" t="n">
        <v>20</v>
      </c>
      <c r="AH397" s="311" t="n">
        <v>4</v>
      </c>
      <c r="AI397" s="311" t="n">
        <v>6</v>
      </c>
      <c r="AJ397" s="311" t="n">
        <v>1</v>
      </c>
      <c r="AK397" s="311" t="n">
        <v>30</v>
      </c>
      <c r="AM397" s="0"/>
      <c r="AN397" s="329"/>
      <c r="AQ397" s="0"/>
      <c r="AR397" s="328"/>
      <c r="AU397" s="0"/>
      <c r="AV397" s="62"/>
      <c r="AY397" s="0"/>
      <c r="AZ397" s="328"/>
      <c r="BC397" s="0"/>
    </row>
    <row r="398" customFormat="false" ht="12.75" hidden="false" customHeight="false" outlineLevel="0" collapsed="false">
      <c r="A398" s="408"/>
      <c r="B398" s="396"/>
      <c r="C398" s="409"/>
      <c r="D398" s="410"/>
      <c r="E398" s="396"/>
      <c r="F398" s="410"/>
      <c r="G398" s="396"/>
      <c r="H398" s="410"/>
      <c r="I398" s="410"/>
      <c r="J398" s="411"/>
      <c r="K398" s="399"/>
      <c r="L398" s="399"/>
      <c r="M398" s="73"/>
      <c r="N398" s="396"/>
      <c r="O398" s="396"/>
      <c r="P398" s="396"/>
      <c r="Q398" s="410"/>
      <c r="R398" s="411"/>
      <c r="S398" s="411"/>
      <c r="T398" s="411"/>
      <c r="AF398" s="352" t="n">
        <f aca="false">EOMONTH(AF397,0)+1</f>
        <v>48549</v>
      </c>
      <c r="AG398" s="311" t="n">
        <v>22</v>
      </c>
      <c r="AH398" s="311" t="n">
        <v>4</v>
      </c>
      <c r="AI398" s="311" t="n">
        <v>5</v>
      </c>
      <c r="AJ398" s="311" t="n">
        <v>1</v>
      </c>
      <c r="AK398" s="311" t="n">
        <v>31</v>
      </c>
      <c r="AM398" s="0"/>
      <c r="AN398" s="329"/>
      <c r="AQ398" s="0"/>
      <c r="AR398" s="328"/>
      <c r="AU398" s="0"/>
      <c r="AV398" s="62"/>
      <c r="AY398" s="0"/>
      <c r="AZ398" s="328"/>
      <c r="BC398" s="0"/>
    </row>
    <row r="399" customFormat="false" ht="12.75" hidden="false" customHeight="false" outlineLevel="0" collapsed="false">
      <c r="A399" s="408"/>
      <c r="B399" s="396"/>
      <c r="C399" s="409"/>
      <c r="D399" s="410"/>
      <c r="E399" s="396"/>
      <c r="F399" s="410"/>
      <c r="G399" s="396"/>
      <c r="H399" s="410"/>
      <c r="I399" s="410"/>
      <c r="J399" s="411"/>
      <c r="K399" s="399"/>
      <c r="L399" s="399"/>
      <c r="M399" s="73"/>
      <c r="N399" s="396"/>
      <c r="O399" s="396"/>
      <c r="P399" s="396"/>
      <c r="Q399" s="410"/>
      <c r="R399" s="411"/>
      <c r="S399" s="411"/>
      <c r="T399" s="411"/>
      <c r="AF399" s="352" t="n">
        <f aca="false">EOMONTH(AF398,0)+1</f>
        <v>48580</v>
      </c>
      <c r="AG399" s="311" t="n">
        <v>22</v>
      </c>
      <c r="AH399" s="311" t="n">
        <v>4</v>
      </c>
      <c r="AI399" s="311" t="n">
        <v>5</v>
      </c>
      <c r="AJ399" s="311" t="n">
        <v>1</v>
      </c>
      <c r="AK399" s="311" t="n">
        <v>31</v>
      </c>
      <c r="AM399" s="0"/>
      <c r="AN399" s="329"/>
      <c r="AQ399" s="0"/>
      <c r="AR399" s="328"/>
      <c r="AU399" s="0"/>
      <c r="AV399" s="62"/>
      <c r="AY399" s="0"/>
      <c r="AZ399" s="328"/>
      <c r="BC399" s="0"/>
    </row>
    <row r="400" customFormat="false" ht="12.75" hidden="false" customHeight="false" outlineLevel="0" collapsed="false">
      <c r="A400" s="408"/>
      <c r="B400" s="396"/>
      <c r="C400" s="409"/>
      <c r="D400" s="410"/>
      <c r="E400" s="396"/>
      <c r="F400" s="410"/>
      <c r="G400" s="396"/>
      <c r="H400" s="410"/>
      <c r="I400" s="410"/>
      <c r="J400" s="411"/>
      <c r="K400" s="399"/>
      <c r="L400" s="399"/>
      <c r="M400" s="73"/>
      <c r="N400" s="396"/>
      <c r="O400" s="396"/>
      <c r="P400" s="396"/>
      <c r="Q400" s="410"/>
      <c r="R400" s="411"/>
      <c r="S400" s="411"/>
      <c r="T400" s="411"/>
      <c r="AF400" s="352" t="n">
        <f aca="false">EOMONTH(AF399,0)+1</f>
        <v>48611</v>
      </c>
      <c r="AG400" s="311" t="n">
        <v>20</v>
      </c>
      <c r="AH400" s="311" t="n">
        <v>4</v>
      </c>
      <c r="AI400" s="311" t="n">
        <v>4</v>
      </c>
      <c r="AJ400" s="311" t="n">
        <v>0</v>
      </c>
      <c r="AK400" s="311" t="n">
        <v>28</v>
      </c>
      <c r="AM400" s="0"/>
      <c r="AN400" s="329"/>
      <c r="AQ400" s="0"/>
      <c r="AR400" s="328"/>
      <c r="AU400" s="0"/>
      <c r="AV400" s="62"/>
      <c r="AY400" s="0"/>
      <c r="AZ400" s="328"/>
      <c r="BC400" s="0"/>
    </row>
    <row r="401" customFormat="false" ht="12.75" hidden="false" customHeight="false" outlineLevel="0" collapsed="false">
      <c r="A401" s="408"/>
      <c r="B401" s="396"/>
      <c r="C401" s="409"/>
      <c r="D401" s="410"/>
      <c r="E401" s="396"/>
      <c r="F401" s="410"/>
      <c r="G401" s="396"/>
      <c r="H401" s="410"/>
      <c r="I401" s="410"/>
      <c r="J401" s="411"/>
      <c r="K401" s="399"/>
      <c r="L401" s="399"/>
      <c r="M401" s="73"/>
      <c r="N401" s="396"/>
      <c r="O401" s="396"/>
      <c r="P401" s="396"/>
      <c r="Q401" s="410"/>
      <c r="R401" s="411"/>
      <c r="S401" s="411"/>
      <c r="T401" s="411"/>
      <c r="AF401" s="352" t="n">
        <f aca="false">EOMONTH(AF400,0)+1</f>
        <v>48639</v>
      </c>
      <c r="AG401" s="311" t="n">
        <v>21</v>
      </c>
      <c r="AH401" s="311" t="n">
        <v>5</v>
      </c>
      <c r="AI401" s="311" t="n">
        <v>5</v>
      </c>
      <c r="AJ401" s="311" t="n">
        <v>0</v>
      </c>
      <c r="AK401" s="311" t="n">
        <v>31</v>
      </c>
      <c r="AM401" s="0"/>
      <c r="AN401" s="329"/>
      <c r="AQ401" s="0"/>
      <c r="AR401" s="328"/>
      <c r="AU401" s="0"/>
      <c r="AV401" s="62"/>
      <c r="AY401" s="0"/>
      <c r="AZ401" s="328"/>
      <c r="BC401" s="0"/>
    </row>
    <row r="402" customFormat="false" ht="12.75" hidden="false" customHeight="false" outlineLevel="0" collapsed="false">
      <c r="A402" s="408"/>
      <c r="B402" s="396"/>
      <c r="C402" s="409"/>
      <c r="D402" s="410"/>
      <c r="E402" s="396"/>
      <c r="F402" s="410"/>
      <c r="G402" s="396"/>
      <c r="H402" s="410"/>
      <c r="I402" s="410"/>
      <c r="J402" s="411"/>
      <c r="K402" s="399"/>
      <c r="L402" s="399"/>
      <c r="M402" s="73"/>
      <c r="N402" s="396"/>
      <c r="O402" s="396"/>
      <c r="P402" s="396"/>
      <c r="Q402" s="410"/>
      <c r="R402" s="411"/>
      <c r="S402" s="411"/>
      <c r="T402" s="411"/>
      <c r="AF402" s="352" t="n">
        <f aca="false">EOMONTH(AF401,0)+1</f>
        <v>48670</v>
      </c>
      <c r="AG402" s="311" t="n">
        <v>22</v>
      </c>
      <c r="AH402" s="311" t="n">
        <v>4</v>
      </c>
      <c r="AI402" s="311" t="n">
        <v>4</v>
      </c>
      <c r="AJ402" s="311" t="n">
        <v>0</v>
      </c>
      <c r="AK402" s="311" t="n">
        <v>30</v>
      </c>
      <c r="AM402" s="0"/>
      <c r="AN402" s="329"/>
      <c r="AQ402" s="0"/>
      <c r="AR402" s="328"/>
      <c r="AU402" s="0"/>
      <c r="AV402" s="62"/>
      <c r="AY402" s="0"/>
      <c r="AZ402" s="328"/>
      <c r="BC402" s="0"/>
    </row>
    <row r="403" customFormat="false" ht="12.75" hidden="false" customHeight="false" outlineLevel="0" collapsed="false">
      <c r="A403" s="408"/>
      <c r="B403" s="396"/>
      <c r="C403" s="409"/>
      <c r="D403" s="410"/>
      <c r="E403" s="396"/>
      <c r="F403" s="410"/>
      <c r="G403" s="396"/>
      <c r="H403" s="410"/>
      <c r="I403" s="410"/>
      <c r="J403" s="411"/>
      <c r="K403" s="399"/>
      <c r="L403" s="399"/>
      <c r="M403" s="73"/>
      <c r="N403" s="396"/>
      <c r="O403" s="396"/>
      <c r="P403" s="396"/>
      <c r="Q403" s="410"/>
      <c r="R403" s="411"/>
      <c r="S403" s="411"/>
      <c r="T403" s="411"/>
      <c r="AF403" s="352" t="n">
        <f aca="false">EOMONTH(AF402,0)+1</f>
        <v>48700</v>
      </c>
      <c r="AG403" s="311" t="n">
        <v>22</v>
      </c>
      <c r="AH403" s="311" t="n">
        <v>4</v>
      </c>
      <c r="AI403" s="311" t="n">
        <v>5</v>
      </c>
      <c r="AJ403" s="311" t="n">
        <v>1</v>
      </c>
      <c r="AK403" s="311" t="n">
        <v>31</v>
      </c>
      <c r="AM403" s="0"/>
      <c r="AN403" s="329"/>
      <c r="AQ403" s="0"/>
      <c r="AR403" s="328"/>
      <c r="AU403" s="0"/>
      <c r="AV403" s="62"/>
      <c r="AY403" s="0"/>
      <c r="AZ403" s="328"/>
      <c r="BC403" s="0"/>
    </row>
    <row r="404" customFormat="false" ht="12.75" hidden="false" customHeight="false" outlineLevel="0" collapsed="false">
      <c r="A404" s="408"/>
      <c r="B404" s="396"/>
      <c r="C404" s="409"/>
      <c r="D404" s="410"/>
      <c r="E404" s="396"/>
      <c r="F404" s="410"/>
      <c r="G404" s="396"/>
      <c r="H404" s="410"/>
      <c r="I404" s="410"/>
      <c r="J404" s="411"/>
      <c r="K404" s="399"/>
      <c r="L404" s="399"/>
      <c r="M404" s="73"/>
      <c r="N404" s="396"/>
      <c r="O404" s="396"/>
      <c r="P404" s="396"/>
      <c r="Q404" s="410"/>
      <c r="R404" s="411"/>
      <c r="S404" s="411"/>
      <c r="T404" s="411"/>
      <c r="AF404" s="352" t="n">
        <f aca="false">EOMONTH(AF403,0)+1</f>
        <v>48731</v>
      </c>
      <c r="AG404" s="311" t="n">
        <v>20</v>
      </c>
      <c r="AH404" s="311" t="n">
        <v>5</v>
      </c>
      <c r="AI404" s="311" t="n">
        <v>5</v>
      </c>
      <c r="AJ404" s="311" t="n">
        <v>0</v>
      </c>
      <c r="AK404" s="311" t="n">
        <v>30</v>
      </c>
      <c r="AM404" s="0"/>
      <c r="AN404" s="329"/>
      <c r="AQ404" s="0"/>
      <c r="AR404" s="328"/>
      <c r="AU404" s="0"/>
      <c r="AV404" s="62"/>
      <c r="AY404" s="0"/>
      <c r="AZ404" s="328"/>
      <c r="BC404" s="0"/>
    </row>
    <row r="405" customFormat="false" ht="12.75" hidden="false" customHeight="false" outlineLevel="0" collapsed="false">
      <c r="A405" s="408"/>
      <c r="B405" s="396"/>
      <c r="C405" s="409"/>
      <c r="D405" s="410"/>
      <c r="E405" s="396"/>
      <c r="F405" s="410"/>
      <c r="G405" s="396"/>
      <c r="H405" s="410"/>
      <c r="I405" s="410"/>
      <c r="J405" s="411"/>
      <c r="K405" s="399"/>
      <c r="L405" s="399"/>
      <c r="M405" s="73"/>
      <c r="N405" s="396"/>
      <c r="O405" s="396"/>
      <c r="P405" s="396"/>
      <c r="Q405" s="410"/>
      <c r="R405" s="411"/>
      <c r="S405" s="411"/>
      <c r="T405" s="411"/>
      <c r="AF405" s="352" t="n">
        <f aca="false">EOMONTH(AF404,0)+1</f>
        <v>48761</v>
      </c>
      <c r="AG405" s="311" t="n">
        <v>22</v>
      </c>
      <c r="AH405" s="311" t="n">
        <v>4</v>
      </c>
      <c r="AI405" s="311" t="n">
        <v>5</v>
      </c>
      <c r="AJ405" s="311" t="n">
        <v>1</v>
      </c>
      <c r="AK405" s="311" t="n">
        <v>31</v>
      </c>
      <c r="AM405" s="0"/>
      <c r="AN405" s="329"/>
      <c r="AQ405" s="0"/>
      <c r="AR405" s="328"/>
      <c r="AU405" s="0"/>
      <c r="AV405" s="62"/>
      <c r="AY405" s="0"/>
      <c r="AZ405" s="328"/>
      <c r="BC405" s="0"/>
    </row>
    <row r="406" customFormat="false" ht="12.75" hidden="false" customHeight="false" outlineLevel="0" collapsed="false">
      <c r="A406" s="408"/>
      <c r="B406" s="396"/>
      <c r="C406" s="409"/>
      <c r="D406" s="410"/>
      <c r="E406" s="396"/>
      <c r="F406" s="410"/>
      <c r="G406" s="396"/>
      <c r="H406" s="410"/>
      <c r="I406" s="410"/>
      <c r="J406" s="411"/>
      <c r="K406" s="399"/>
      <c r="L406" s="399"/>
      <c r="M406" s="73"/>
      <c r="N406" s="396"/>
      <c r="O406" s="396"/>
      <c r="P406" s="396"/>
      <c r="Q406" s="410"/>
      <c r="R406" s="411"/>
      <c r="S406" s="411"/>
      <c r="T406" s="411"/>
      <c r="AF406" s="352" t="n">
        <f aca="false">EOMONTH(AF405,0)+1</f>
        <v>48792</v>
      </c>
      <c r="AG406" s="311" t="n">
        <v>22</v>
      </c>
      <c r="AH406" s="311" t="n">
        <v>5</v>
      </c>
      <c r="AI406" s="311" t="n">
        <v>4</v>
      </c>
      <c r="AJ406" s="311" t="n">
        <v>0</v>
      </c>
      <c r="AK406" s="311" t="n">
        <v>31</v>
      </c>
      <c r="AM406" s="0"/>
      <c r="AN406" s="329"/>
      <c r="AQ406" s="0"/>
      <c r="AR406" s="328"/>
      <c r="AU406" s="0"/>
      <c r="AV406" s="62"/>
      <c r="AY406" s="0"/>
      <c r="AZ406" s="328"/>
      <c r="BC406" s="0"/>
    </row>
    <row r="407" customFormat="false" ht="12.75" hidden="false" customHeight="false" outlineLevel="0" collapsed="false">
      <c r="A407" s="408"/>
      <c r="B407" s="396"/>
      <c r="C407" s="409"/>
      <c r="D407" s="410"/>
      <c r="E407" s="396"/>
      <c r="F407" s="410"/>
      <c r="G407" s="396"/>
      <c r="H407" s="410"/>
      <c r="I407" s="410"/>
      <c r="J407" s="411"/>
      <c r="K407" s="399"/>
      <c r="L407" s="399"/>
      <c r="M407" s="73"/>
      <c r="N407" s="396"/>
      <c r="O407" s="396"/>
      <c r="P407" s="396"/>
      <c r="Q407" s="410"/>
      <c r="R407" s="411"/>
      <c r="S407" s="411"/>
      <c r="T407" s="411"/>
      <c r="AF407" s="352" t="n">
        <f aca="false">EOMONTH(AF406,0)+1</f>
        <v>48823</v>
      </c>
      <c r="AG407" s="311" t="n">
        <v>20</v>
      </c>
      <c r="AH407" s="311" t="n">
        <v>4</v>
      </c>
      <c r="AI407" s="311" t="n">
        <v>6</v>
      </c>
      <c r="AJ407" s="311" t="n">
        <v>1</v>
      </c>
      <c r="AK407" s="311" t="n">
        <v>30</v>
      </c>
      <c r="AM407" s="0"/>
      <c r="AN407" s="329"/>
      <c r="AQ407" s="0"/>
      <c r="AR407" s="328"/>
      <c r="AU407" s="0"/>
      <c r="AV407" s="62"/>
      <c r="AY407" s="0"/>
      <c r="AZ407" s="328"/>
      <c r="BC407" s="0"/>
    </row>
    <row r="408" customFormat="false" ht="12.75" hidden="false" customHeight="false" outlineLevel="0" collapsed="false">
      <c r="A408" s="408"/>
      <c r="B408" s="396"/>
      <c r="C408" s="409"/>
      <c r="D408" s="410"/>
      <c r="E408" s="396"/>
      <c r="F408" s="410"/>
      <c r="G408" s="396"/>
      <c r="H408" s="410"/>
      <c r="I408" s="410"/>
      <c r="J408" s="411"/>
      <c r="K408" s="399"/>
      <c r="L408" s="399"/>
      <c r="M408" s="73"/>
      <c r="N408" s="396"/>
      <c r="O408" s="396"/>
      <c r="P408" s="396"/>
      <c r="Q408" s="410"/>
      <c r="R408" s="411"/>
      <c r="S408" s="411"/>
      <c r="T408" s="411"/>
      <c r="AF408" s="352" t="n">
        <f aca="false">EOMONTH(AF407,0)+1</f>
        <v>48853</v>
      </c>
      <c r="AG408" s="311" t="n">
        <v>23</v>
      </c>
      <c r="AH408" s="311" t="n">
        <v>4</v>
      </c>
      <c r="AI408" s="311" t="n">
        <v>4</v>
      </c>
      <c r="AJ408" s="311" t="n">
        <v>0</v>
      </c>
      <c r="AK408" s="311" t="n">
        <v>31</v>
      </c>
      <c r="AM408" s="0"/>
      <c r="AN408" s="329"/>
      <c r="AQ408" s="0"/>
      <c r="AR408" s="328"/>
      <c r="AU408" s="0"/>
      <c r="AV408" s="62"/>
      <c r="AY408" s="0"/>
      <c r="AZ408" s="328"/>
      <c r="BC408" s="0"/>
    </row>
    <row r="409" customFormat="false" ht="12.75" hidden="false" customHeight="false" outlineLevel="0" collapsed="false">
      <c r="A409" s="408"/>
      <c r="B409" s="396"/>
      <c r="C409" s="409"/>
      <c r="D409" s="410"/>
      <c r="E409" s="396"/>
      <c r="F409" s="410"/>
      <c r="G409" s="396"/>
      <c r="H409" s="410"/>
      <c r="I409" s="410"/>
      <c r="J409" s="411"/>
      <c r="K409" s="399"/>
      <c r="L409" s="399"/>
      <c r="M409" s="73"/>
      <c r="N409" s="396"/>
      <c r="O409" s="396"/>
      <c r="P409" s="396"/>
      <c r="Q409" s="410"/>
      <c r="R409" s="411"/>
      <c r="S409" s="411"/>
      <c r="T409" s="411"/>
      <c r="AF409" s="352" t="n">
        <f aca="false">EOMONTH(AF408,0)+1</f>
        <v>48884</v>
      </c>
      <c r="AG409" s="311" t="n">
        <v>20</v>
      </c>
      <c r="AH409" s="311" t="n">
        <v>5</v>
      </c>
      <c r="AI409" s="311" t="n">
        <v>5</v>
      </c>
      <c r="AJ409" s="311" t="n">
        <v>1</v>
      </c>
      <c r="AK409" s="311" t="n">
        <v>30</v>
      </c>
      <c r="AM409" s="0"/>
      <c r="AN409" s="329"/>
      <c r="AQ409" s="0"/>
      <c r="AR409" s="328"/>
      <c r="AU409" s="0"/>
      <c r="AV409" s="62"/>
      <c r="AY409" s="0"/>
      <c r="AZ409" s="328"/>
      <c r="BC409" s="0"/>
    </row>
    <row r="410" customFormat="false" ht="12.75" hidden="false" customHeight="false" outlineLevel="0" collapsed="false">
      <c r="A410" s="408"/>
      <c r="B410" s="396"/>
      <c r="C410" s="409"/>
      <c r="D410" s="410"/>
      <c r="E410" s="396"/>
      <c r="F410" s="410"/>
      <c r="G410" s="396"/>
      <c r="H410" s="410"/>
      <c r="I410" s="410"/>
      <c r="J410" s="411"/>
      <c r="K410" s="399"/>
      <c r="L410" s="399"/>
      <c r="M410" s="73"/>
      <c r="N410" s="396"/>
      <c r="O410" s="396"/>
      <c r="P410" s="396"/>
      <c r="Q410" s="410"/>
      <c r="R410" s="411"/>
      <c r="S410" s="411"/>
      <c r="T410" s="411"/>
      <c r="AF410" s="352" t="n">
        <f aca="false">EOMONTH(AF409,0)+1</f>
        <v>48914</v>
      </c>
      <c r="AG410" s="311" t="n">
        <v>21</v>
      </c>
      <c r="AH410" s="311" t="n">
        <v>4</v>
      </c>
      <c r="AI410" s="311" t="n">
        <v>6</v>
      </c>
      <c r="AJ410" s="311" t="n">
        <v>1</v>
      </c>
      <c r="AK410" s="311" t="n">
        <v>31</v>
      </c>
      <c r="AM410" s="0"/>
      <c r="AN410" s="329"/>
      <c r="AQ410" s="0"/>
      <c r="AR410" s="328"/>
      <c r="AU410" s="0"/>
      <c r="AV410" s="62"/>
      <c r="AY410" s="0"/>
      <c r="AZ410" s="328"/>
      <c r="BC410" s="0"/>
    </row>
    <row r="411" customFormat="false" ht="12.75" hidden="false" customHeight="false" outlineLevel="0" collapsed="false">
      <c r="A411" s="408"/>
      <c r="B411" s="396"/>
      <c r="C411" s="409"/>
      <c r="D411" s="410"/>
      <c r="E411" s="396"/>
      <c r="F411" s="410"/>
      <c r="G411" s="396"/>
      <c r="H411" s="410"/>
      <c r="I411" s="410"/>
      <c r="J411" s="411"/>
      <c r="K411" s="399"/>
      <c r="L411" s="399"/>
      <c r="M411" s="73"/>
      <c r="N411" s="396"/>
      <c r="O411" s="396"/>
      <c r="P411" s="396"/>
      <c r="Q411" s="410"/>
      <c r="R411" s="411"/>
      <c r="S411" s="411"/>
      <c r="T411" s="411"/>
      <c r="AF411" s="352" t="n">
        <f aca="false">EOMONTH(AF410,0)+1</f>
        <v>48945</v>
      </c>
      <c r="AG411" s="311" t="n">
        <v>22</v>
      </c>
      <c r="AH411" s="311" t="n">
        <v>4</v>
      </c>
      <c r="AI411" s="311" t="n">
        <v>5</v>
      </c>
      <c r="AJ411" s="311" t="n">
        <v>1</v>
      </c>
      <c r="AK411" s="311" t="n">
        <v>31</v>
      </c>
      <c r="AM411" s="0"/>
      <c r="AN411" s="329"/>
      <c r="AQ411" s="0"/>
      <c r="AR411" s="328"/>
      <c r="AU411" s="0"/>
      <c r="AV411" s="62"/>
      <c r="AY411" s="0"/>
      <c r="AZ411" s="328"/>
      <c r="BC411" s="0"/>
    </row>
    <row r="412" customFormat="false" ht="12.75" hidden="false" customHeight="false" outlineLevel="0" collapsed="false">
      <c r="A412" s="408"/>
      <c r="B412" s="396"/>
      <c r="C412" s="409"/>
      <c r="D412" s="410"/>
      <c r="E412" s="396"/>
      <c r="F412" s="410"/>
      <c r="G412" s="396"/>
      <c r="H412" s="410"/>
      <c r="I412" s="410"/>
      <c r="J412" s="411"/>
      <c r="K412" s="399"/>
      <c r="L412" s="399"/>
      <c r="M412" s="73"/>
      <c r="N412" s="396"/>
      <c r="O412" s="396"/>
      <c r="P412" s="396"/>
      <c r="Q412" s="410"/>
      <c r="R412" s="411"/>
      <c r="S412" s="411"/>
      <c r="T412" s="411"/>
      <c r="AF412" s="352" t="n">
        <f aca="false">EOMONTH(AF411,0)+1</f>
        <v>48976</v>
      </c>
      <c r="AG412" s="311" t="n">
        <v>20</v>
      </c>
      <c r="AH412" s="311" t="n">
        <v>4</v>
      </c>
      <c r="AI412" s="311" t="n">
        <v>4</v>
      </c>
      <c r="AJ412" s="311" t="n">
        <v>0</v>
      </c>
      <c r="AK412" s="311" t="n">
        <v>28</v>
      </c>
      <c r="AM412" s="0"/>
      <c r="AN412" s="329"/>
      <c r="AQ412" s="0"/>
      <c r="AR412" s="328"/>
      <c r="AU412" s="0"/>
      <c r="AV412" s="62"/>
      <c r="AY412" s="0"/>
      <c r="AZ412" s="328"/>
      <c r="BC412" s="0"/>
    </row>
    <row r="413" customFormat="false" ht="12.75" hidden="false" customHeight="false" outlineLevel="0" collapsed="false">
      <c r="A413" s="408"/>
      <c r="B413" s="396"/>
      <c r="C413" s="409"/>
      <c r="D413" s="410"/>
      <c r="E413" s="396"/>
      <c r="F413" s="410"/>
      <c r="G413" s="396"/>
      <c r="H413" s="410"/>
      <c r="I413" s="410"/>
      <c r="J413" s="411"/>
      <c r="K413" s="399"/>
      <c r="L413" s="399"/>
      <c r="M413" s="73"/>
      <c r="N413" s="396"/>
      <c r="O413" s="396"/>
      <c r="P413" s="396"/>
      <c r="Q413" s="410"/>
      <c r="R413" s="411"/>
      <c r="S413" s="411"/>
      <c r="T413" s="411"/>
      <c r="AF413" s="352" t="n">
        <f aca="false">EOMONTH(AF412,0)+1</f>
        <v>49004</v>
      </c>
      <c r="AG413" s="311" t="n">
        <v>21</v>
      </c>
      <c r="AH413" s="311" t="n">
        <v>5</v>
      </c>
      <c r="AI413" s="311" t="n">
        <v>5</v>
      </c>
      <c r="AJ413" s="311" t="n">
        <v>0</v>
      </c>
      <c r="AK413" s="311" t="n">
        <v>31</v>
      </c>
      <c r="AM413" s="0"/>
      <c r="AN413" s="329"/>
      <c r="AQ413" s="0"/>
      <c r="AR413" s="328"/>
      <c r="AU413" s="0"/>
      <c r="AV413" s="62"/>
      <c r="AY413" s="0"/>
      <c r="AZ413" s="328"/>
      <c r="BC413" s="0"/>
    </row>
    <row r="414" customFormat="false" ht="12.75" hidden="false" customHeight="false" outlineLevel="0" collapsed="false">
      <c r="A414" s="408"/>
      <c r="B414" s="396"/>
      <c r="C414" s="409"/>
      <c r="D414" s="410"/>
      <c r="E414" s="396"/>
      <c r="F414" s="410"/>
      <c r="G414" s="396"/>
      <c r="H414" s="410"/>
      <c r="I414" s="410"/>
      <c r="J414" s="411"/>
      <c r="K414" s="399"/>
      <c r="L414" s="399"/>
      <c r="M414" s="73"/>
      <c r="N414" s="396"/>
      <c r="O414" s="396"/>
      <c r="P414" s="396"/>
      <c r="Q414" s="410"/>
      <c r="R414" s="411"/>
      <c r="S414" s="411"/>
      <c r="T414" s="411"/>
      <c r="AF414" s="352" t="n">
        <f aca="false">EOMONTH(AF413,0)+1</f>
        <v>49035</v>
      </c>
      <c r="AG414" s="311" t="n">
        <v>22</v>
      </c>
      <c r="AH414" s="311" t="n">
        <v>4</v>
      </c>
      <c r="AI414" s="311" t="n">
        <v>4</v>
      </c>
      <c r="AJ414" s="311" t="n">
        <v>0</v>
      </c>
      <c r="AK414" s="311" t="n">
        <v>30</v>
      </c>
      <c r="AM414" s="0"/>
      <c r="AN414" s="329"/>
      <c r="AQ414" s="0"/>
      <c r="AR414" s="328"/>
      <c r="AU414" s="0"/>
      <c r="AV414" s="62"/>
      <c r="AY414" s="0"/>
      <c r="AZ414" s="328"/>
      <c r="BC414" s="0"/>
    </row>
    <row r="415" customFormat="false" ht="12.75" hidden="false" customHeight="false" outlineLevel="0" collapsed="false">
      <c r="A415" s="408"/>
      <c r="B415" s="396"/>
      <c r="C415" s="409"/>
      <c r="D415" s="410"/>
      <c r="E415" s="396"/>
      <c r="F415" s="410"/>
      <c r="G415" s="396"/>
      <c r="H415" s="410"/>
      <c r="I415" s="410"/>
      <c r="J415" s="411"/>
      <c r="K415" s="399"/>
      <c r="L415" s="399"/>
      <c r="M415" s="73"/>
      <c r="N415" s="396"/>
      <c r="O415" s="396"/>
      <c r="P415" s="396"/>
      <c r="Q415" s="410"/>
      <c r="R415" s="411"/>
      <c r="S415" s="411"/>
      <c r="T415" s="411"/>
      <c r="AF415" s="352" t="n">
        <f aca="false">EOMONTH(AF414,0)+1</f>
        <v>49065</v>
      </c>
      <c r="AG415" s="311" t="n">
        <v>22</v>
      </c>
      <c r="AH415" s="311" t="n">
        <v>4</v>
      </c>
      <c r="AI415" s="311" t="n">
        <v>5</v>
      </c>
      <c r="AJ415" s="311" t="n">
        <v>1</v>
      </c>
      <c r="AK415" s="311" t="n">
        <v>31</v>
      </c>
      <c r="AM415" s="0"/>
      <c r="AN415" s="329"/>
      <c r="AQ415" s="0"/>
      <c r="AR415" s="328"/>
      <c r="AU415" s="0"/>
      <c r="AV415" s="62"/>
      <c r="AY415" s="0"/>
      <c r="AZ415" s="328"/>
      <c r="BC415" s="0"/>
    </row>
    <row r="416" customFormat="false" ht="12.75" hidden="false" customHeight="false" outlineLevel="0" collapsed="false">
      <c r="A416" s="408"/>
      <c r="B416" s="396"/>
      <c r="C416" s="409"/>
      <c r="D416" s="410"/>
      <c r="E416" s="396"/>
      <c r="F416" s="410"/>
      <c r="G416" s="396"/>
      <c r="H416" s="410"/>
      <c r="I416" s="410"/>
      <c r="J416" s="411"/>
      <c r="K416" s="399"/>
      <c r="L416" s="399"/>
      <c r="M416" s="73"/>
      <c r="N416" s="396"/>
      <c r="O416" s="396"/>
      <c r="P416" s="396"/>
      <c r="Q416" s="410"/>
      <c r="R416" s="411"/>
      <c r="S416" s="411"/>
      <c r="T416" s="411"/>
      <c r="AF416" s="352" t="n">
        <f aca="false">EOMONTH(AF415,0)+1</f>
        <v>49096</v>
      </c>
      <c r="AG416" s="311" t="n">
        <v>20</v>
      </c>
      <c r="AH416" s="311" t="n">
        <v>5</v>
      </c>
      <c r="AI416" s="311" t="n">
        <v>5</v>
      </c>
      <c r="AJ416" s="311" t="n">
        <v>0</v>
      </c>
      <c r="AK416" s="311" t="n">
        <v>30</v>
      </c>
      <c r="AM416" s="0"/>
      <c r="AN416" s="329"/>
      <c r="AQ416" s="0"/>
      <c r="AR416" s="328"/>
      <c r="AU416" s="0"/>
      <c r="AV416" s="62"/>
      <c r="AY416" s="0"/>
      <c r="AZ416" s="328"/>
      <c r="BC416" s="0"/>
    </row>
    <row r="417" customFormat="false" ht="12.75" hidden="false" customHeight="false" outlineLevel="0" collapsed="false">
      <c r="A417" s="408"/>
      <c r="B417" s="396"/>
      <c r="C417" s="409"/>
      <c r="D417" s="410"/>
      <c r="E417" s="396"/>
      <c r="F417" s="410"/>
      <c r="G417" s="396"/>
      <c r="H417" s="410"/>
      <c r="I417" s="410"/>
      <c r="J417" s="411"/>
      <c r="K417" s="399"/>
      <c r="L417" s="399"/>
      <c r="M417" s="73"/>
      <c r="N417" s="396"/>
      <c r="O417" s="396"/>
      <c r="P417" s="396"/>
      <c r="Q417" s="410"/>
      <c r="R417" s="411"/>
      <c r="S417" s="411"/>
      <c r="T417" s="411"/>
      <c r="AF417" s="352" t="n">
        <f aca="false">EOMONTH(AF416,0)+1</f>
        <v>49126</v>
      </c>
      <c r="AG417" s="311" t="n">
        <v>22</v>
      </c>
      <c r="AH417" s="311" t="n">
        <v>4</v>
      </c>
      <c r="AI417" s="311" t="n">
        <v>5</v>
      </c>
      <c r="AJ417" s="311" t="n">
        <v>1</v>
      </c>
      <c r="AK417" s="311" t="n">
        <v>31</v>
      </c>
      <c r="AM417" s="0"/>
      <c r="AN417" s="329"/>
      <c r="AQ417" s="0"/>
      <c r="AR417" s="328"/>
      <c r="AU417" s="0"/>
      <c r="AV417" s="62"/>
      <c r="AY417" s="0"/>
      <c r="AZ417" s="328"/>
      <c r="BC417" s="0"/>
    </row>
    <row r="418" customFormat="false" ht="12.75" hidden="false" customHeight="false" outlineLevel="0" collapsed="false">
      <c r="A418" s="408"/>
      <c r="B418" s="396"/>
      <c r="C418" s="409"/>
      <c r="D418" s="410"/>
      <c r="E418" s="396"/>
      <c r="F418" s="410"/>
      <c r="G418" s="396"/>
      <c r="H418" s="410"/>
      <c r="I418" s="410"/>
      <c r="J418" s="411"/>
      <c r="K418" s="399"/>
      <c r="L418" s="399"/>
      <c r="M418" s="73"/>
      <c r="N418" s="396"/>
      <c r="O418" s="396"/>
      <c r="P418" s="396"/>
      <c r="Q418" s="410"/>
      <c r="R418" s="411"/>
      <c r="S418" s="411"/>
      <c r="T418" s="411"/>
      <c r="AF418" s="352" t="n">
        <f aca="false">EOMONTH(AF417,0)+1</f>
        <v>49157</v>
      </c>
      <c r="AG418" s="311" t="n">
        <v>22</v>
      </c>
      <c r="AH418" s="311" t="n">
        <v>5</v>
      </c>
      <c r="AI418" s="311" t="n">
        <v>4</v>
      </c>
      <c r="AJ418" s="311" t="n">
        <v>0</v>
      </c>
      <c r="AK418" s="311" t="n">
        <v>31</v>
      </c>
      <c r="AM418" s="0"/>
      <c r="AN418" s="329"/>
      <c r="AQ418" s="0"/>
      <c r="AR418" s="328"/>
      <c r="AU418" s="0"/>
      <c r="AV418" s="62"/>
      <c r="AY418" s="0"/>
      <c r="AZ418" s="328"/>
      <c r="BC418" s="0"/>
    </row>
    <row r="419" customFormat="false" ht="12.75" hidden="false" customHeight="false" outlineLevel="0" collapsed="false">
      <c r="A419" s="408"/>
      <c r="B419" s="396"/>
      <c r="C419" s="409"/>
      <c r="D419" s="410"/>
      <c r="E419" s="396"/>
      <c r="F419" s="410"/>
      <c r="G419" s="396"/>
      <c r="H419" s="410"/>
      <c r="I419" s="410"/>
      <c r="J419" s="411"/>
      <c r="K419" s="399"/>
      <c r="L419" s="399"/>
      <c r="M419" s="73"/>
      <c r="N419" s="396"/>
      <c r="O419" s="396"/>
      <c r="P419" s="396"/>
      <c r="Q419" s="410"/>
      <c r="R419" s="411"/>
      <c r="S419" s="411"/>
      <c r="T419" s="411"/>
      <c r="AF419" s="352" t="n">
        <f aca="false">EOMONTH(AF418,0)+1</f>
        <v>49188</v>
      </c>
      <c r="AG419" s="311" t="n">
        <v>20</v>
      </c>
      <c r="AH419" s="311" t="n">
        <v>4</v>
      </c>
      <c r="AI419" s="311" t="n">
        <v>6</v>
      </c>
      <c r="AJ419" s="311" t="n">
        <v>1</v>
      </c>
      <c r="AK419" s="311" t="n">
        <v>30</v>
      </c>
      <c r="AM419" s="0"/>
      <c r="AN419" s="329"/>
      <c r="AQ419" s="0"/>
      <c r="AR419" s="328"/>
      <c r="AU419" s="0"/>
      <c r="AV419" s="62"/>
      <c r="AY419" s="0"/>
      <c r="AZ419" s="328"/>
      <c r="BC419" s="0"/>
    </row>
    <row r="420" customFormat="false" ht="12.75" hidden="false" customHeight="false" outlineLevel="0" collapsed="false">
      <c r="A420" s="408"/>
      <c r="B420" s="396"/>
      <c r="C420" s="409"/>
      <c r="D420" s="410"/>
      <c r="E420" s="396"/>
      <c r="F420" s="410"/>
      <c r="G420" s="396"/>
      <c r="H420" s="410"/>
      <c r="I420" s="410"/>
      <c r="J420" s="411"/>
      <c r="K420" s="399"/>
      <c r="L420" s="399"/>
      <c r="M420" s="73"/>
      <c r="N420" s="396"/>
      <c r="O420" s="396"/>
      <c r="P420" s="396"/>
      <c r="Q420" s="410"/>
      <c r="R420" s="411"/>
      <c r="S420" s="411"/>
      <c r="T420" s="411"/>
      <c r="AF420" s="352" t="n">
        <f aca="false">EOMONTH(AF419,0)+1</f>
        <v>49218</v>
      </c>
      <c r="AG420" s="311" t="n">
        <v>23</v>
      </c>
      <c r="AH420" s="311" t="n">
        <v>4</v>
      </c>
      <c r="AI420" s="311" t="n">
        <v>4</v>
      </c>
      <c r="AJ420" s="311" t="n">
        <v>0</v>
      </c>
      <c r="AK420" s="311" t="n">
        <v>31</v>
      </c>
      <c r="AM420" s="0"/>
      <c r="AN420" s="329"/>
      <c r="AQ420" s="0"/>
      <c r="AR420" s="328"/>
      <c r="AU420" s="0"/>
      <c r="AV420" s="62"/>
      <c r="AY420" s="0"/>
      <c r="AZ420" s="328"/>
      <c r="BC420" s="0"/>
    </row>
    <row r="421" customFormat="false" ht="12.75" hidden="false" customHeight="false" outlineLevel="0" collapsed="false">
      <c r="A421" s="408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AF421" s="352" t="n">
        <f aca="false">EOMONTH(AF420,0)+1</f>
        <v>49249</v>
      </c>
      <c r="AG421" s="311" t="n">
        <v>20</v>
      </c>
      <c r="AH421" s="311" t="n">
        <v>5</v>
      </c>
      <c r="AI421" s="311" t="n">
        <v>5</v>
      </c>
      <c r="AJ421" s="311" t="n">
        <v>1</v>
      </c>
      <c r="AK421" s="311" t="n">
        <v>30</v>
      </c>
      <c r="AM421" s="0"/>
      <c r="AN421" s="329"/>
      <c r="AQ421" s="0"/>
      <c r="AR421" s="328"/>
      <c r="AU421" s="0"/>
      <c r="AV421" s="62"/>
      <c r="AY421" s="0"/>
      <c r="AZ421" s="328"/>
      <c r="BC421" s="0"/>
    </row>
    <row r="422" customFormat="false" ht="12.75" hidden="false" customHeight="false" outlineLevel="0" collapsed="false">
      <c r="A422" s="408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AF422" s="352" t="n">
        <f aca="false">EOMONTH(AF421,0)+1</f>
        <v>49279</v>
      </c>
      <c r="AG422" s="311" t="n">
        <v>21</v>
      </c>
      <c r="AH422" s="311" t="n">
        <v>4</v>
      </c>
      <c r="AI422" s="311" t="n">
        <v>6</v>
      </c>
      <c r="AJ422" s="311" t="n">
        <v>1</v>
      </c>
      <c r="AK422" s="311" t="n">
        <v>31</v>
      </c>
      <c r="AM422" s="0"/>
      <c r="AN422" s="329"/>
      <c r="AQ422" s="0"/>
      <c r="AR422" s="328"/>
      <c r="AU422" s="0"/>
      <c r="AV422" s="62"/>
      <c r="AY422" s="0"/>
      <c r="AZ422" s="328"/>
      <c r="BC422" s="0"/>
    </row>
    <row r="423" customFormat="false" ht="12.75" hidden="false" customHeight="false" outlineLevel="0" collapsed="false">
      <c r="A423" s="408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AF423" s="352" t="n">
        <f aca="false">EOMONTH(AF422,0)+1</f>
        <v>49310</v>
      </c>
      <c r="AG423" s="311" t="n">
        <v>22</v>
      </c>
      <c r="AH423" s="311" t="n">
        <v>4</v>
      </c>
      <c r="AI423" s="311" t="n">
        <v>5</v>
      </c>
      <c r="AJ423" s="311" t="n">
        <v>1</v>
      </c>
      <c r="AK423" s="311" t="n">
        <v>31</v>
      </c>
      <c r="AM423" s="0"/>
      <c r="AN423" s="329"/>
      <c r="AQ423" s="0"/>
      <c r="AR423" s="328"/>
      <c r="AU423" s="0"/>
      <c r="AV423" s="62"/>
      <c r="AY423" s="0"/>
      <c r="AZ423" s="328"/>
      <c r="BC423" s="0"/>
    </row>
    <row r="424" customFormat="false" ht="12.75" hidden="false" customHeight="false" outlineLevel="0" collapsed="false">
      <c r="A424" s="408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AF424" s="352" t="n">
        <f aca="false">EOMONTH(AF423,0)+1</f>
        <v>49341</v>
      </c>
      <c r="AG424" s="311" t="n">
        <v>20</v>
      </c>
      <c r="AH424" s="311" t="n">
        <v>4</v>
      </c>
      <c r="AI424" s="311" t="n">
        <v>4</v>
      </c>
      <c r="AJ424" s="311" t="n">
        <v>0</v>
      </c>
      <c r="AK424" s="311" t="n">
        <v>28</v>
      </c>
      <c r="AM424" s="0"/>
      <c r="AN424" s="329"/>
      <c r="AQ424" s="0"/>
      <c r="AR424" s="328"/>
      <c r="AU424" s="0"/>
      <c r="AV424" s="62"/>
      <c r="AY424" s="0"/>
      <c r="AZ424" s="328"/>
      <c r="BC424" s="0"/>
    </row>
    <row r="425" customFormat="false" ht="12.75" hidden="false" customHeight="false" outlineLevel="0" collapsed="false">
      <c r="A425" s="408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AF425" s="352" t="n">
        <f aca="false">EOMONTH(AF424,0)+1</f>
        <v>49369</v>
      </c>
      <c r="AG425" s="311" t="n">
        <v>21</v>
      </c>
      <c r="AH425" s="311" t="n">
        <v>5</v>
      </c>
      <c r="AI425" s="311" t="n">
        <v>5</v>
      </c>
      <c r="AJ425" s="311" t="n">
        <v>0</v>
      </c>
      <c r="AK425" s="311" t="n">
        <v>31</v>
      </c>
      <c r="AM425" s="0"/>
      <c r="AN425" s="329"/>
      <c r="AQ425" s="0"/>
      <c r="AR425" s="328"/>
      <c r="AU425" s="0"/>
      <c r="AV425" s="62"/>
      <c r="AY425" s="0"/>
      <c r="AZ425" s="328"/>
      <c r="BC425" s="0"/>
    </row>
    <row r="426" customFormat="false" ht="12.75" hidden="false" customHeight="false" outlineLevel="0" collapsed="false">
      <c r="A426" s="408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AF426" s="352" t="n">
        <f aca="false">EOMONTH(AF425,0)+1</f>
        <v>49400</v>
      </c>
      <c r="AG426" s="311" t="n">
        <v>22</v>
      </c>
      <c r="AH426" s="311" t="n">
        <v>4</v>
      </c>
      <c r="AI426" s="311" t="n">
        <v>4</v>
      </c>
      <c r="AJ426" s="311" t="n">
        <v>0</v>
      </c>
      <c r="AK426" s="311" t="n">
        <v>30</v>
      </c>
      <c r="AM426" s="0"/>
      <c r="AN426" s="329"/>
      <c r="AQ426" s="0"/>
      <c r="AR426" s="328"/>
      <c r="AU426" s="0"/>
      <c r="AV426" s="62"/>
      <c r="AY426" s="0"/>
      <c r="AZ426" s="328"/>
      <c r="BC426" s="0"/>
    </row>
    <row r="427" customFormat="false" ht="12.75" hidden="false" customHeight="false" outlineLevel="0" collapsed="false">
      <c r="A427" s="408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AF427" s="352" t="n">
        <f aca="false">EOMONTH(AF426,0)+1</f>
        <v>49430</v>
      </c>
      <c r="AG427" s="311" t="n">
        <v>22</v>
      </c>
      <c r="AH427" s="311" t="n">
        <v>4</v>
      </c>
      <c r="AI427" s="311" t="n">
        <v>5</v>
      </c>
      <c r="AJ427" s="311" t="n">
        <v>1</v>
      </c>
      <c r="AK427" s="311" t="n">
        <v>31</v>
      </c>
      <c r="AM427" s="0"/>
      <c r="AN427" s="329"/>
      <c r="AQ427" s="0"/>
      <c r="AR427" s="328"/>
      <c r="AU427" s="0"/>
      <c r="AV427" s="62"/>
      <c r="AY427" s="0"/>
      <c r="AZ427" s="328"/>
      <c r="BC427" s="0"/>
    </row>
    <row r="428" customFormat="false" ht="12.75" hidden="false" customHeight="false" outlineLevel="0" collapsed="false">
      <c r="A428" s="405"/>
      <c r="AF428" s="352" t="n">
        <f aca="false">EOMONTH(AF427,0)+1</f>
        <v>49461</v>
      </c>
      <c r="AG428" s="311" t="n">
        <v>20</v>
      </c>
      <c r="AH428" s="311" t="n">
        <v>5</v>
      </c>
      <c r="AI428" s="311" t="n">
        <v>5</v>
      </c>
      <c r="AJ428" s="311" t="n">
        <v>0</v>
      </c>
      <c r="AK428" s="311" t="n">
        <v>30</v>
      </c>
      <c r="AM428" s="0"/>
      <c r="AN428" s="329"/>
      <c r="AQ428" s="0"/>
      <c r="AR428" s="328"/>
      <c r="AU428" s="0"/>
      <c r="AV428" s="62"/>
      <c r="AY428" s="0"/>
      <c r="AZ428" s="328"/>
      <c r="BC428" s="0"/>
    </row>
    <row r="429" customFormat="false" ht="12.75" hidden="false" customHeight="false" outlineLevel="0" collapsed="false">
      <c r="A429" s="405"/>
      <c r="AF429" s="352" t="n">
        <f aca="false">EOMONTH(AF428,0)+1</f>
        <v>49491</v>
      </c>
      <c r="AG429" s="311" t="n">
        <v>22</v>
      </c>
      <c r="AH429" s="311" t="n">
        <v>4</v>
      </c>
      <c r="AI429" s="311" t="n">
        <v>5</v>
      </c>
      <c r="AJ429" s="311" t="n">
        <v>1</v>
      </c>
      <c r="AK429" s="311" t="n">
        <v>31</v>
      </c>
      <c r="AM429" s="0"/>
      <c r="AN429" s="329"/>
      <c r="AQ429" s="0"/>
      <c r="AR429" s="328"/>
      <c r="AU429" s="0"/>
      <c r="AV429" s="62"/>
      <c r="AY429" s="0"/>
      <c r="AZ429" s="328"/>
      <c r="BC429" s="0"/>
    </row>
    <row r="430" customFormat="false" ht="12.75" hidden="false" customHeight="false" outlineLevel="0" collapsed="false">
      <c r="A430" s="405"/>
      <c r="AF430" s="352" t="n">
        <f aca="false">EOMONTH(AF429,0)+1</f>
        <v>49522</v>
      </c>
      <c r="AG430" s="311" t="n">
        <v>22</v>
      </c>
      <c r="AH430" s="311" t="n">
        <v>5</v>
      </c>
      <c r="AI430" s="311" t="n">
        <v>4</v>
      </c>
      <c r="AJ430" s="311" t="n">
        <v>0</v>
      </c>
      <c r="AK430" s="311" t="n">
        <v>31</v>
      </c>
      <c r="AM430" s="0"/>
      <c r="AN430" s="329"/>
      <c r="AQ430" s="0"/>
      <c r="AR430" s="328"/>
      <c r="AU430" s="0"/>
      <c r="AV430" s="62"/>
      <c r="AY430" s="0"/>
      <c r="AZ430" s="328"/>
      <c r="BC430" s="0"/>
    </row>
    <row r="431" customFormat="false" ht="12.75" hidden="false" customHeight="false" outlineLevel="0" collapsed="false">
      <c r="A431" s="405"/>
      <c r="AF431" s="352" t="n">
        <f aca="false">EOMONTH(AF430,0)+1</f>
        <v>49553</v>
      </c>
      <c r="AG431" s="311" t="n">
        <v>20</v>
      </c>
      <c r="AH431" s="311" t="n">
        <v>4</v>
      </c>
      <c r="AI431" s="311" t="n">
        <v>6</v>
      </c>
      <c r="AJ431" s="311" t="n">
        <v>1</v>
      </c>
      <c r="AK431" s="311" t="n">
        <v>30</v>
      </c>
      <c r="AM431" s="0"/>
      <c r="AN431" s="329"/>
      <c r="AQ431" s="0"/>
      <c r="AR431" s="328"/>
      <c r="AU431" s="0"/>
      <c r="AV431" s="62"/>
      <c r="AY431" s="0"/>
      <c r="AZ431" s="328"/>
      <c r="BC431" s="0"/>
    </row>
    <row r="432" customFormat="false" ht="12.75" hidden="false" customHeight="false" outlineLevel="0" collapsed="false">
      <c r="A432" s="325"/>
      <c r="AF432" s="352" t="n">
        <f aca="false">EOMONTH(AF431,0)+1</f>
        <v>49583</v>
      </c>
      <c r="AG432" s="311" t="n">
        <v>23</v>
      </c>
      <c r="AH432" s="311" t="n">
        <v>4</v>
      </c>
      <c r="AI432" s="311" t="n">
        <v>4</v>
      </c>
      <c r="AJ432" s="311" t="n">
        <v>0</v>
      </c>
      <c r="AK432" s="311" t="n">
        <v>31</v>
      </c>
      <c r="AM432" s="0"/>
      <c r="AN432" s="329"/>
      <c r="AQ432" s="0"/>
      <c r="AR432" s="328"/>
      <c r="AU432" s="0"/>
      <c r="AV432" s="62"/>
      <c r="AY432" s="0"/>
      <c r="AZ432" s="328"/>
      <c r="BC432" s="0"/>
    </row>
    <row r="433" customFormat="false" ht="12.75" hidden="false" customHeight="false" outlineLevel="0" collapsed="false">
      <c r="A433" s="325"/>
      <c r="AF433" s="352" t="n">
        <f aca="false">EOMONTH(AF432,0)+1</f>
        <v>49614</v>
      </c>
      <c r="AG433" s="311" t="n">
        <v>20</v>
      </c>
      <c r="AH433" s="311" t="n">
        <v>5</v>
      </c>
      <c r="AI433" s="311" t="n">
        <v>5</v>
      </c>
      <c r="AJ433" s="311" t="n">
        <v>1</v>
      </c>
      <c r="AK433" s="311" t="n">
        <v>30</v>
      </c>
      <c r="AM433" s="0"/>
      <c r="AN433" s="329"/>
      <c r="AQ433" s="0"/>
      <c r="AR433" s="328"/>
      <c r="AU433" s="0"/>
      <c r="AV433" s="62"/>
      <c r="AY433" s="0"/>
      <c r="AZ433" s="328"/>
      <c r="BC433" s="0"/>
    </row>
    <row r="434" customFormat="false" ht="12.75" hidden="false" customHeight="false" outlineLevel="0" collapsed="false">
      <c r="A434" s="325"/>
      <c r="AF434" s="352" t="n">
        <f aca="false">EOMONTH(AF433,0)+1</f>
        <v>49644</v>
      </c>
      <c r="AG434" s="311" t="n">
        <v>21</v>
      </c>
      <c r="AH434" s="311" t="n">
        <v>4</v>
      </c>
      <c r="AI434" s="311" t="n">
        <v>6</v>
      </c>
      <c r="AJ434" s="311" t="n">
        <v>1</v>
      </c>
      <c r="AK434" s="311" t="n">
        <v>31</v>
      </c>
      <c r="AM434" s="0"/>
      <c r="AN434" s="329"/>
      <c r="AQ434" s="0"/>
      <c r="AR434" s="328"/>
      <c r="AU434" s="0"/>
      <c r="AV434" s="62"/>
      <c r="AY434" s="0"/>
      <c r="AZ434" s="328"/>
      <c r="BC434" s="0"/>
    </row>
    <row r="435" customFormat="false" ht="12.75" hidden="false" customHeight="false" outlineLevel="0" collapsed="false">
      <c r="A435" s="325"/>
      <c r="AF435" s="352" t="n">
        <f aca="false">EOMONTH(AF434,0)+1</f>
        <v>49675</v>
      </c>
      <c r="AG435" s="311" t="n">
        <v>22</v>
      </c>
      <c r="AH435" s="311" t="n">
        <v>4</v>
      </c>
      <c r="AI435" s="311" t="n">
        <v>5</v>
      </c>
      <c r="AJ435" s="311" t="n">
        <v>1</v>
      </c>
      <c r="AK435" s="311" t="n">
        <v>31</v>
      </c>
      <c r="AM435" s="0"/>
      <c r="AN435" s="329"/>
      <c r="AQ435" s="0"/>
      <c r="AR435" s="328"/>
      <c r="AU435" s="0"/>
      <c r="AV435" s="62"/>
      <c r="AY435" s="0"/>
      <c r="AZ435" s="328"/>
      <c r="BC435" s="0"/>
    </row>
    <row r="436" customFormat="false" ht="12.75" hidden="false" customHeight="false" outlineLevel="0" collapsed="false">
      <c r="A436" s="325"/>
      <c r="AF436" s="352" t="n">
        <f aca="false">EOMONTH(AF435,0)+1</f>
        <v>49706</v>
      </c>
      <c r="AG436" s="311" t="n">
        <v>20</v>
      </c>
      <c r="AH436" s="311" t="n">
        <v>5</v>
      </c>
      <c r="AI436" s="311" t="n">
        <v>4</v>
      </c>
      <c r="AJ436" s="311" t="n">
        <v>0</v>
      </c>
      <c r="AK436" s="311" t="n">
        <v>29</v>
      </c>
      <c r="AM436" s="0"/>
      <c r="AN436" s="329"/>
      <c r="AQ436" s="0"/>
      <c r="AR436" s="328"/>
      <c r="AU436" s="0"/>
      <c r="AV436" s="62"/>
      <c r="AY436" s="0"/>
      <c r="AZ436" s="328"/>
      <c r="BC436" s="0"/>
    </row>
    <row r="437" customFormat="false" ht="12.75" hidden="false" customHeight="false" outlineLevel="0" collapsed="false">
      <c r="A437" s="325"/>
      <c r="AF437" s="352" t="n">
        <f aca="false">EOMONTH(AF436,0)+1</f>
        <v>49735</v>
      </c>
      <c r="AG437" s="311" t="n">
        <v>22</v>
      </c>
      <c r="AH437" s="311" t="n">
        <v>4</v>
      </c>
      <c r="AI437" s="311" t="n">
        <v>5</v>
      </c>
      <c r="AJ437" s="311" t="n">
        <v>0</v>
      </c>
      <c r="AK437" s="311" t="n">
        <v>31</v>
      </c>
      <c r="AM437" s="0"/>
      <c r="AN437" s="329"/>
      <c r="AQ437" s="0"/>
      <c r="AR437" s="328"/>
      <c r="AU437" s="0"/>
      <c r="AV437" s="62"/>
      <c r="AY437" s="0"/>
      <c r="AZ437" s="328"/>
      <c r="BC437" s="0"/>
    </row>
    <row r="438" customFormat="false" ht="12.75" hidden="false" customHeight="false" outlineLevel="0" collapsed="false">
      <c r="A438" s="325"/>
      <c r="AF438" s="352" t="n">
        <f aca="false">EOMONTH(AF437,0)+1</f>
        <v>49766</v>
      </c>
      <c r="AG438" s="311" t="n">
        <v>22</v>
      </c>
      <c r="AH438" s="311" t="n">
        <v>4</v>
      </c>
      <c r="AI438" s="311" t="n">
        <v>4</v>
      </c>
      <c r="AJ438" s="311" t="n">
        <v>0</v>
      </c>
      <c r="AK438" s="311" t="n">
        <v>30</v>
      </c>
      <c r="AM438" s="0"/>
      <c r="AN438" s="329"/>
      <c r="AQ438" s="0"/>
      <c r="AR438" s="328"/>
      <c r="AU438" s="0"/>
      <c r="AV438" s="62"/>
      <c r="AY438" s="0"/>
      <c r="AZ438" s="328"/>
      <c r="BC438" s="0"/>
    </row>
    <row r="439" customFormat="false" ht="12.75" hidden="false" customHeight="false" outlineLevel="0" collapsed="false">
      <c r="A439" s="325"/>
      <c r="AF439" s="352" t="n">
        <f aca="false">EOMONTH(AF438,0)+1</f>
        <v>49796</v>
      </c>
      <c r="AG439" s="311" t="n">
        <v>20</v>
      </c>
      <c r="AH439" s="311" t="n">
        <v>5</v>
      </c>
      <c r="AI439" s="311" t="n">
        <v>6</v>
      </c>
      <c r="AJ439" s="311" t="n">
        <v>1</v>
      </c>
      <c r="AK439" s="311" t="n">
        <v>31</v>
      </c>
      <c r="AM439" s="0"/>
      <c r="AN439" s="329"/>
      <c r="AQ439" s="0"/>
      <c r="AR439" s="328"/>
      <c r="AU439" s="0"/>
      <c r="AV439" s="62"/>
      <c r="AY439" s="0"/>
      <c r="AZ439" s="328"/>
      <c r="BC439" s="0"/>
    </row>
    <row r="440" customFormat="false" ht="12.75" hidden="false" customHeight="false" outlineLevel="0" collapsed="false">
      <c r="A440" s="325"/>
      <c r="AF440" s="352" t="n">
        <f aca="false">EOMONTH(AF439,0)+1</f>
        <v>49827</v>
      </c>
      <c r="AG440" s="311" t="n">
        <v>22</v>
      </c>
      <c r="AH440" s="311" t="n">
        <v>4</v>
      </c>
      <c r="AI440" s="311" t="n">
        <v>4</v>
      </c>
      <c r="AJ440" s="311" t="n">
        <v>0</v>
      </c>
      <c r="AK440" s="311" t="n">
        <v>30</v>
      </c>
      <c r="AM440" s="0"/>
      <c r="AN440" s="329"/>
      <c r="AQ440" s="0"/>
      <c r="AR440" s="328"/>
      <c r="AU440" s="0"/>
      <c r="AV440" s="62"/>
      <c r="AY440" s="0"/>
      <c r="AZ440" s="328"/>
      <c r="BC440" s="0"/>
    </row>
    <row r="441" customFormat="false" ht="12.75" hidden="false" customHeight="false" outlineLevel="0" collapsed="false">
      <c r="A441" s="325"/>
      <c r="AF441" s="352" t="n">
        <f aca="false">EOMONTH(AF440,0)+1</f>
        <v>49857</v>
      </c>
      <c r="AG441" s="311" t="n">
        <v>23</v>
      </c>
      <c r="AH441" s="311" t="n">
        <v>3</v>
      </c>
      <c r="AI441" s="311" t="n">
        <v>5</v>
      </c>
      <c r="AJ441" s="311" t="n">
        <v>1</v>
      </c>
      <c r="AK441" s="311" t="n">
        <v>31</v>
      </c>
      <c r="AM441" s="0"/>
      <c r="AN441" s="329"/>
      <c r="AQ441" s="0"/>
      <c r="AR441" s="328"/>
      <c r="AU441" s="0"/>
      <c r="AV441" s="62"/>
      <c r="AY441" s="0"/>
      <c r="AZ441" s="328"/>
      <c r="BC441" s="0"/>
    </row>
    <row r="442" customFormat="false" ht="12.75" hidden="false" customHeight="false" outlineLevel="0" collapsed="false">
      <c r="A442" s="325"/>
      <c r="AF442" s="352" t="n">
        <f aca="false">EOMONTH(AF441,0)+1</f>
        <v>49888</v>
      </c>
      <c r="AG442" s="311" t="n">
        <v>21</v>
      </c>
      <c r="AH442" s="311" t="n">
        <v>5</v>
      </c>
      <c r="AI442" s="311" t="n">
        <v>5</v>
      </c>
      <c r="AJ442" s="311" t="n">
        <v>0</v>
      </c>
      <c r="AK442" s="311" t="n">
        <v>31</v>
      </c>
      <c r="AM442" s="0"/>
      <c r="AN442" s="329"/>
      <c r="AQ442" s="0"/>
      <c r="AR442" s="328"/>
      <c r="AU442" s="0"/>
      <c r="AV442" s="62"/>
      <c r="AY442" s="0"/>
      <c r="AZ442" s="328"/>
      <c r="BC442" s="0"/>
    </row>
    <row r="443" customFormat="false" ht="12.75" hidden="false" customHeight="false" outlineLevel="0" collapsed="false">
      <c r="A443" s="325"/>
      <c r="AF443" s="352" t="n">
        <f aca="false">EOMONTH(AF442,0)+1</f>
        <v>49919</v>
      </c>
      <c r="AG443" s="311" t="n">
        <v>21</v>
      </c>
      <c r="AH443" s="311" t="n">
        <v>4</v>
      </c>
      <c r="AI443" s="311" t="n">
        <v>5</v>
      </c>
      <c r="AJ443" s="311" t="n">
        <v>1</v>
      </c>
      <c r="AK443" s="311" t="n">
        <v>30</v>
      </c>
      <c r="AM443" s="0"/>
      <c r="AN443" s="329"/>
      <c r="AQ443" s="0"/>
      <c r="AR443" s="328"/>
      <c r="AU443" s="0"/>
      <c r="AV443" s="62"/>
      <c r="AY443" s="0"/>
      <c r="AZ443" s="328"/>
      <c r="BC443" s="0"/>
    </row>
    <row r="444" customFormat="false" ht="12.75" hidden="false" customHeight="false" outlineLevel="0" collapsed="false">
      <c r="A444" s="325"/>
      <c r="AF444" s="352" t="n">
        <f aca="false">EOMONTH(AF443,0)+1</f>
        <v>49949</v>
      </c>
      <c r="AG444" s="311" t="n">
        <v>22</v>
      </c>
      <c r="AH444" s="311" t="n">
        <v>5</v>
      </c>
      <c r="AI444" s="311" t="n">
        <v>4</v>
      </c>
      <c r="AJ444" s="311" t="n">
        <v>0</v>
      </c>
      <c r="AK444" s="311" t="n">
        <v>31</v>
      </c>
      <c r="AM444" s="0"/>
      <c r="AN444" s="329"/>
      <c r="AQ444" s="0"/>
      <c r="AR444" s="328"/>
      <c r="AU444" s="0"/>
      <c r="AV444" s="62"/>
      <c r="AY444" s="0"/>
      <c r="AZ444" s="328"/>
      <c r="BC444" s="0"/>
    </row>
    <row r="445" customFormat="false" ht="12.75" hidden="false" customHeight="false" outlineLevel="0" collapsed="false">
      <c r="A445" s="325"/>
      <c r="AF445" s="352" t="n">
        <f aca="false">EOMONTH(AF444,0)+1</f>
        <v>49980</v>
      </c>
      <c r="AG445" s="311" t="n">
        <v>20</v>
      </c>
      <c r="AH445" s="311" t="n">
        <v>4</v>
      </c>
      <c r="AI445" s="311" t="n">
        <v>6</v>
      </c>
      <c r="AJ445" s="311" t="n">
        <v>1</v>
      </c>
      <c r="AK445" s="311" t="n">
        <v>30</v>
      </c>
      <c r="AM445" s="0"/>
      <c r="AN445" s="329"/>
      <c r="AQ445" s="0"/>
      <c r="AR445" s="328"/>
      <c r="AU445" s="0"/>
      <c r="AV445" s="62"/>
      <c r="AY445" s="0"/>
      <c r="AZ445" s="328"/>
      <c r="BC445" s="0"/>
    </row>
    <row r="446" customFormat="false" ht="12.75" hidden="false" customHeight="false" outlineLevel="0" collapsed="false">
      <c r="A446" s="325"/>
      <c r="AF446" s="352" t="n">
        <f aca="false">EOMONTH(AF445,0)+1</f>
        <v>50010</v>
      </c>
      <c r="AG446" s="311" t="n">
        <v>22</v>
      </c>
      <c r="AH446" s="311" t="n">
        <v>4</v>
      </c>
      <c r="AI446" s="311" t="n">
        <v>5</v>
      </c>
      <c r="AJ446" s="311" t="n">
        <v>1</v>
      </c>
      <c r="AK446" s="311" t="n">
        <v>31</v>
      </c>
      <c r="AM446" s="0"/>
      <c r="AN446" s="329"/>
      <c r="AQ446" s="0"/>
      <c r="AR446" s="328"/>
      <c r="AU446" s="0"/>
      <c r="AV446" s="62"/>
      <c r="AY446" s="0"/>
      <c r="AZ446" s="328"/>
      <c r="BC446" s="0"/>
    </row>
    <row r="447" customFormat="false" ht="12.75" hidden="false" customHeight="false" outlineLevel="0" collapsed="false">
      <c r="A447" s="325"/>
      <c r="AJ447" s="328"/>
      <c r="AM447" s="0"/>
      <c r="AN447" s="329"/>
      <c r="AQ447" s="0"/>
      <c r="AR447" s="328"/>
      <c r="AU447" s="0"/>
      <c r="AV447" s="62"/>
      <c r="AY447" s="0"/>
      <c r="AZ447" s="328"/>
      <c r="BC447" s="0"/>
    </row>
    <row r="448" customFormat="false" ht="12.75" hidden="false" customHeight="false" outlineLevel="0" collapsed="false">
      <c r="A448" s="325"/>
      <c r="AJ448" s="328"/>
      <c r="AM448" s="0"/>
      <c r="AN448" s="329"/>
      <c r="AQ448" s="0"/>
      <c r="AR448" s="328"/>
      <c r="AU448" s="0"/>
      <c r="AV448" s="62"/>
      <c r="AY448" s="0"/>
      <c r="AZ448" s="328"/>
      <c r="BC448" s="0"/>
    </row>
    <row r="449" customFormat="false" ht="12.75" hidden="false" customHeight="false" outlineLevel="0" collapsed="false">
      <c r="A449" s="325"/>
      <c r="AJ449" s="328"/>
      <c r="AM449" s="0"/>
      <c r="AN449" s="329"/>
      <c r="AQ449" s="0"/>
      <c r="AR449" s="328"/>
      <c r="AU449" s="0"/>
      <c r="AV449" s="62"/>
      <c r="AY449" s="0"/>
      <c r="AZ449" s="328"/>
      <c r="BC449" s="0"/>
    </row>
    <row r="450" customFormat="false" ht="12.75" hidden="false" customHeight="false" outlineLevel="0" collapsed="false">
      <c r="A450" s="325"/>
      <c r="AJ450" s="328"/>
      <c r="AM450" s="0"/>
      <c r="AN450" s="329"/>
      <c r="AQ450" s="0"/>
      <c r="AR450" s="328"/>
      <c r="AU450" s="0"/>
      <c r="AV450" s="62"/>
      <c r="AY450" s="0"/>
      <c r="AZ450" s="328"/>
      <c r="BC450" s="0"/>
    </row>
    <row r="451" customFormat="false" ht="12.75" hidden="false" customHeight="false" outlineLevel="0" collapsed="false">
      <c r="A451" s="325"/>
      <c r="AJ451" s="328"/>
      <c r="AM451" s="0"/>
      <c r="AN451" s="329"/>
      <c r="AQ451" s="0"/>
      <c r="AR451" s="328"/>
      <c r="AU451" s="0"/>
      <c r="AV451" s="62"/>
      <c r="AY451" s="0"/>
      <c r="AZ451" s="328"/>
      <c r="BC451" s="0"/>
    </row>
    <row r="452" customFormat="false" ht="12.75" hidden="false" customHeight="false" outlineLevel="0" collapsed="false">
      <c r="A452" s="325"/>
      <c r="AJ452" s="328"/>
      <c r="AM452" s="0"/>
      <c r="AN452" s="329"/>
      <c r="AQ452" s="0"/>
      <c r="AR452" s="328"/>
      <c r="AU452" s="0"/>
      <c r="AV452" s="62"/>
      <c r="AY452" s="0"/>
      <c r="AZ452" s="328"/>
      <c r="BC452" s="0"/>
    </row>
    <row r="453" customFormat="false" ht="12.75" hidden="false" customHeight="false" outlineLevel="0" collapsed="false">
      <c r="A453" s="325"/>
      <c r="AJ453" s="328"/>
      <c r="AM453" s="0"/>
      <c r="AN453" s="329"/>
      <c r="AQ453" s="0"/>
      <c r="AR453" s="328"/>
      <c r="AU453" s="0"/>
      <c r="AV453" s="62"/>
      <c r="AY453" s="0"/>
      <c r="AZ453" s="328"/>
      <c r="BC453" s="0"/>
    </row>
    <row r="454" customFormat="false" ht="12.75" hidden="false" customHeight="false" outlineLevel="0" collapsed="false">
      <c r="A454" s="325"/>
      <c r="AJ454" s="328"/>
      <c r="AM454" s="0"/>
      <c r="AN454" s="329"/>
      <c r="AQ454" s="0"/>
      <c r="AR454" s="328"/>
      <c r="AU454" s="0"/>
      <c r="AV454" s="62"/>
      <c r="AY454" s="0"/>
      <c r="AZ454" s="328"/>
      <c r="BC454" s="0"/>
    </row>
    <row r="455" customFormat="false" ht="12.75" hidden="false" customHeight="false" outlineLevel="0" collapsed="false">
      <c r="A455" s="325"/>
      <c r="AJ455" s="328"/>
      <c r="AM455" s="0"/>
      <c r="AN455" s="329"/>
      <c r="AQ455" s="0"/>
      <c r="AR455" s="328"/>
      <c r="AU455" s="0"/>
      <c r="AV455" s="62"/>
      <c r="AY455" s="0"/>
      <c r="AZ455" s="328"/>
      <c r="BC455" s="0"/>
    </row>
    <row r="456" customFormat="false" ht="12.75" hidden="false" customHeight="false" outlineLevel="0" collapsed="false">
      <c r="A456" s="325"/>
      <c r="AJ456" s="328"/>
      <c r="AM456" s="0"/>
      <c r="AN456" s="329"/>
      <c r="AQ456" s="0"/>
      <c r="AR456" s="328"/>
      <c r="AU456" s="0"/>
      <c r="AV456" s="62"/>
      <c r="AY456" s="0"/>
      <c r="AZ456" s="328"/>
      <c r="BC456" s="0"/>
    </row>
    <row r="457" customFormat="false" ht="12.75" hidden="false" customHeight="false" outlineLevel="0" collapsed="false">
      <c r="A457" s="325"/>
      <c r="AJ457" s="328"/>
      <c r="AM457" s="0"/>
      <c r="AN457" s="329"/>
      <c r="AQ457" s="0"/>
      <c r="AR457" s="328"/>
      <c r="AU457" s="0"/>
      <c r="AV457" s="62"/>
      <c r="AY457" s="0"/>
      <c r="AZ457" s="328"/>
      <c r="BC457" s="0"/>
    </row>
    <row r="458" customFormat="false" ht="12.75" hidden="false" customHeight="false" outlineLevel="0" collapsed="false">
      <c r="A458" s="325"/>
      <c r="AJ458" s="328"/>
      <c r="AM458" s="0"/>
      <c r="AN458" s="329"/>
      <c r="AQ458" s="0"/>
      <c r="AR458" s="328"/>
      <c r="AU458" s="0"/>
      <c r="AV458" s="62"/>
      <c r="AY458" s="0"/>
      <c r="AZ458" s="328"/>
      <c r="BC458" s="0"/>
    </row>
    <row r="459" customFormat="false" ht="12.75" hidden="false" customHeight="false" outlineLevel="0" collapsed="false">
      <c r="A459" s="325"/>
      <c r="AJ459" s="328"/>
      <c r="AM459" s="0"/>
      <c r="AN459" s="329"/>
      <c r="AQ459" s="0"/>
      <c r="AR459" s="328"/>
      <c r="AU459" s="0"/>
      <c r="AV459" s="62"/>
      <c r="AY459" s="0"/>
      <c r="AZ459" s="328"/>
      <c r="BC459" s="0"/>
    </row>
    <row r="460" customFormat="false" ht="12.75" hidden="false" customHeight="false" outlineLevel="0" collapsed="false">
      <c r="A460" s="325"/>
      <c r="AJ460" s="328"/>
      <c r="AM460" s="0"/>
      <c r="AN460" s="329"/>
      <c r="AQ460" s="0"/>
      <c r="AR460" s="328"/>
      <c r="AU460" s="0"/>
      <c r="AV460" s="62"/>
      <c r="AY460" s="0"/>
      <c r="AZ460" s="328"/>
      <c r="BC460" s="0"/>
    </row>
    <row r="461" customFormat="false" ht="12.75" hidden="false" customHeight="false" outlineLevel="0" collapsed="false">
      <c r="A461" s="325"/>
      <c r="AJ461" s="328"/>
      <c r="AM461" s="0"/>
      <c r="AN461" s="329"/>
      <c r="AQ461" s="0"/>
      <c r="AR461" s="328"/>
      <c r="AU461" s="0"/>
      <c r="AV461" s="62"/>
      <c r="AY461" s="0"/>
      <c r="AZ461" s="328"/>
      <c r="BC461" s="0"/>
    </row>
    <row r="462" customFormat="false" ht="12.75" hidden="false" customHeight="false" outlineLevel="0" collapsed="false">
      <c r="A462" s="325"/>
      <c r="AJ462" s="328"/>
      <c r="AM462" s="0"/>
      <c r="AN462" s="329"/>
      <c r="AQ462" s="0"/>
      <c r="AR462" s="328"/>
      <c r="AU462" s="0"/>
      <c r="AV462" s="62"/>
      <c r="AY462" s="0"/>
      <c r="AZ462" s="328"/>
      <c r="BC462" s="0"/>
    </row>
    <row r="463" customFormat="false" ht="12.75" hidden="false" customHeight="false" outlineLevel="0" collapsed="false">
      <c r="A463" s="325"/>
      <c r="AJ463" s="328"/>
      <c r="AM463" s="0"/>
      <c r="AN463" s="329"/>
      <c r="AQ463" s="0"/>
      <c r="AR463" s="328"/>
      <c r="AU463" s="0"/>
      <c r="AV463" s="62"/>
      <c r="AY463" s="0"/>
      <c r="AZ463" s="328"/>
      <c r="BC463" s="0"/>
    </row>
    <row r="464" customFormat="false" ht="12.75" hidden="false" customHeight="false" outlineLevel="0" collapsed="false">
      <c r="A464" s="325"/>
      <c r="AJ464" s="328"/>
      <c r="AM464" s="0"/>
      <c r="AN464" s="329"/>
      <c r="AQ464" s="0"/>
      <c r="AR464" s="328"/>
      <c r="AU464" s="0"/>
      <c r="AV464" s="62"/>
      <c r="AY464" s="0"/>
      <c r="AZ464" s="328"/>
      <c r="BC464" s="0"/>
    </row>
    <row r="465" customFormat="false" ht="12.75" hidden="false" customHeight="false" outlineLevel="0" collapsed="false">
      <c r="A465" s="325"/>
      <c r="AJ465" s="328"/>
      <c r="AM465" s="0"/>
      <c r="AN465" s="329"/>
      <c r="AQ465" s="0"/>
      <c r="AR465" s="328"/>
      <c r="AU465" s="0"/>
      <c r="AV465" s="62"/>
      <c r="AY465" s="0"/>
      <c r="AZ465" s="328"/>
      <c r="BC465" s="0"/>
    </row>
    <row r="466" customFormat="false" ht="12.75" hidden="false" customHeight="false" outlineLevel="0" collapsed="false">
      <c r="A466" s="325"/>
      <c r="AJ466" s="328"/>
      <c r="AM466" s="0"/>
      <c r="AN466" s="329"/>
      <c r="AQ466" s="0"/>
      <c r="AR466" s="328"/>
      <c r="AU466" s="0"/>
      <c r="AV466" s="62"/>
      <c r="AY466" s="0"/>
      <c r="AZ466" s="328"/>
      <c r="BC466" s="0"/>
    </row>
    <row r="467" customFormat="false" ht="12.75" hidden="false" customHeight="false" outlineLevel="0" collapsed="false">
      <c r="A467" s="325"/>
      <c r="AJ467" s="328"/>
      <c r="AM467" s="0"/>
      <c r="AN467" s="329"/>
      <c r="AQ467" s="0"/>
      <c r="AR467" s="328"/>
      <c r="AU467" s="0"/>
      <c r="AV467" s="62"/>
      <c r="AY467" s="0"/>
      <c r="AZ467" s="328"/>
      <c r="BC467" s="0"/>
    </row>
    <row r="468" customFormat="false" ht="12.75" hidden="false" customHeight="false" outlineLevel="0" collapsed="false">
      <c r="A468" s="325"/>
      <c r="AJ468" s="328"/>
      <c r="AM468" s="0"/>
      <c r="AN468" s="329"/>
      <c r="AQ468" s="0"/>
      <c r="AR468" s="328"/>
      <c r="AU468" s="0"/>
      <c r="AV468" s="62"/>
      <c r="AY468" s="0"/>
      <c r="AZ468" s="328"/>
      <c r="BC468" s="0"/>
    </row>
    <row r="469" customFormat="false" ht="12.75" hidden="false" customHeight="false" outlineLevel="0" collapsed="false">
      <c r="A469" s="325"/>
      <c r="AJ469" s="328"/>
      <c r="AM469" s="0"/>
      <c r="AN469" s="329"/>
      <c r="AQ469" s="0"/>
      <c r="AR469" s="328"/>
      <c r="AU469" s="0"/>
      <c r="AV469" s="62"/>
      <c r="AY469" s="0"/>
      <c r="AZ469" s="328"/>
      <c r="BC469" s="0"/>
    </row>
    <row r="470" customFormat="false" ht="12.75" hidden="false" customHeight="false" outlineLevel="0" collapsed="false">
      <c r="A470" s="325"/>
      <c r="AJ470" s="328"/>
      <c r="AM470" s="0"/>
      <c r="AN470" s="329"/>
      <c r="AQ470" s="0"/>
      <c r="AR470" s="328"/>
      <c r="AU470" s="0"/>
      <c r="AV470" s="62"/>
      <c r="AY470" s="0"/>
      <c r="AZ470" s="328"/>
      <c r="BC470" s="0"/>
    </row>
    <row r="471" customFormat="false" ht="12.75" hidden="false" customHeight="false" outlineLevel="0" collapsed="false">
      <c r="A471" s="325"/>
      <c r="AJ471" s="328"/>
      <c r="AM471" s="0"/>
      <c r="AN471" s="329"/>
      <c r="AQ471" s="0"/>
      <c r="AR471" s="328"/>
      <c r="AU471" s="0"/>
      <c r="AV471" s="62"/>
      <c r="AY471" s="0"/>
      <c r="AZ471" s="328"/>
      <c r="BC471" s="0"/>
    </row>
    <row r="472" customFormat="false" ht="12.75" hidden="false" customHeight="false" outlineLevel="0" collapsed="false">
      <c r="A472" s="325"/>
      <c r="AJ472" s="328"/>
      <c r="AM472" s="0"/>
      <c r="AN472" s="329"/>
      <c r="AQ472" s="0"/>
      <c r="AR472" s="328"/>
      <c r="AU472" s="0"/>
      <c r="AV472" s="62"/>
      <c r="AY472" s="0"/>
      <c r="AZ472" s="328"/>
      <c r="BC472" s="0"/>
    </row>
    <row r="473" customFormat="false" ht="12.75" hidden="false" customHeight="false" outlineLevel="0" collapsed="false">
      <c r="A473" s="325"/>
      <c r="AJ473" s="328"/>
      <c r="AM473" s="0"/>
      <c r="AN473" s="329"/>
      <c r="AQ473" s="0"/>
      <c r="AR473" s="328"/>
      <c r="AU473" s="0"/>
      <c r="AV473" s="62"/>
      <c r="AY473" s="0"/>
      <c r="AZ473" s="328"/>
      <c r="BC473" s="0"/>
    </row>
    <row r="474" customFormat="false" ht="12.75" hidden="false" customHeight="false" outlineLevel="0" collapsed="false">
      <c r="A474" s="325"/>
      <c r="AJ474" s="328"/>
      <c r="AM474" s="0"/>
      <c r="AN474" s="329"/>
      <c r="AQ474" s="0"/>
      <c r="AR474" s="328"/>
      <c r="AU474" s="0"/>
      <c r="AV474" s="62"/>
      <c r="AY474" s="0"/>
      <c r="AZ474" s="328"/>
      <c r="BC474" s="0"/>
    </row>
    <row r="475" customFormat="false" ht="12.75" hidden="false" customHeight="false" outlineLevel="0" collapsed="false">
      <c r="A475" s="325"/>
      <c r="AJ475" s="328"/>
      <c r="AM475" s="0"/>
      <c r="AN475" s="329"/>
      <c r="AQ475" s="0"/>
      <c r="AR475" s="328"/>
      <c r="AU475" s="0"/>
      <c r="AV475" s="62"/>
      <c r="AY475" s="0"/>
      <c r="AZ475" s="328"/>
      <c r="BC475" s="0"/>
    </row>
    <row r="476" customFormat="false" ht="12.75" hidden="false" customHeight="false" outlineLevel="0" collapsed="false">
      <c r="A476" s="325"/>
      <c r="AJ476" s="328"/>
      <c r="AM476" s="0"/>
      <c r="AN476" s="329"/>
      <c r="AQ476" s="0"/>
      <c r="AR476" s="328"/>
      <c r="AU476" s="0"/>
      <c r="AV476" s="62"/>
      <c r="AY476" s="0"/>
      <c r="AZ476" s="328"/>
      <c r="BC476" s="0"/>
    </row>
    <row r="477" customFormat="false" ht="12.75" hidden="false" customHeight="false" outlineLevel="0" collapsed="false">
      <c r="A477" s="325"/>
      <c r="AJ477" s="328"/>
      <c r="AM477" s="0"/>
      <c r="AN477" s="329"/>
      <c r="AQ477" s="0"/>
      <c r="AR477" s="328"/>
      <c r="AU477" s="0"/>
      <c r="AV477" s="62"/>
      <c r="AY477" s="0"/>
      <c r="AZ477" s="328"/>
      <c r="BC477" s="0"/>
    </row>
    <row r="478" customFormat="false" ht="12.75" hidden="false" customHeight="false" outlineLevel="0" collapsed="false">
      <c r="A478" s="325"/>
      <c r="AJ478" s="328"/>
      <c r="AM478" s="0"/>
      <c r="AN478" s="329"/>
      <c r="AQ478" s="0"/>
      <c r="AR478" s="328"/>
      <c r="AU478" s="0"/>
      <c r="AV478" s="62"/>
      <c r="AY478" s="0"/>
      <c r="AZ478" s="328"/>
      <c r="BC478" s="0"/>
    </row>
    <row r="479" customFormat="false" ht="12.75" hidden="false" customHeight="false" outlineLevel="0" collapsed="false">
      <c r="A479" s="325"/>
      <c r="AJ479" s="328"/>
      <c r="AM479" s="0"/>
      <c r="AN479" s="329"/>
      <c r="AQ479" s="0"/>
      <c r="AR479" s="328"/>
      <c r="AU479" s="0"/>
      <c r="AV479" s="62"/>
      <c r="AY479" s="0"/>
      <c r="AZ479" s="328"/>
      <c r="BC479" s="0"/>
    </row>
    <row r="480" customFormat="false" ht="12.75" hidden="false" customHeight="false" outlineLevel="0" collapsed="false">
      <c r="A480" s="325"/>
      <c r="AJ480" s="328"/>
      <c r="AM480" s="0"/>
      <c r="AN480" s="329"/>
      <c r="AQ480" s="0"/>
      <c r="AR480" s="328"/>
      <c r="AU480" s="0"/>
      <c r="AV480" s="62"/>
      <c r="AY480" s="0"/>
      <c r="AZ480" s="328"/>
      <c r="BC480" s="0"/>
    </row>
    <row r="481" customFormat="false" ht="12.75" hidden="false" customHeight="false" outlineLevel="0" collapsed="false">
      <c r="A481" s="325"/>
      <c r="AJ481" s="328"/>
      <c r="AM481" s="0"/>
      <c r="AN481" s="329"/>
      <c r="AQ481" s="0"/>
      <c r="AR481" s="328"/>
      <c r="AU481" s="0"/>
      <c r="AV481" s="62"/>
      <c r="AY481" s="0"/>
      <c r="AZ481" s="328"/>
      <c r="BC481" s="0"/>
    </row>
    <row r="482" customFormat="false" ht="12.75" hidden="false" customHeight="false" outlineLevel="0" collapsed="false">
      <c r="A482" s="325"/>
      <c r="AJ482" s="328"/>
      <c r="AM482" s="0"/>
      <c r="AN482" s="329"/>
      <c r="AQ482" s="0"/>
      <c r="AR482" s="328"/>
      <c r="AU482" s="0"/>
      <c r="AV482" s="62"/>
      <c r="AY482" s="0"/>
      <c r="AZ482" s="328"/>
      <c r="BC482" s="0"/>
    </row>
    <row r="483" customFormat="false" ht="12.75" hidden="false" customHeight="false" outlineLevel="0" collapsed="false">
      <c r="A483" s="325"/>
      <c r="AJ483" s="328"/>
      <c r="AM483" s="0"/>
      <c r="AN483" s="329"/>
      <c r="AQ483" s="0"/>
      <c r="AR483" s="328"/>
      <c r="AU483" s="0"/>
      <c r="AV483" s="62"/>
      <c r="AY483" s="0"/>
      <c r="AZ483" s="328"/>
      <c r="BC483" s="0"/>
    </row>
    <row r="484" customFormat="false" ht="12.75" hidden="false" customHeight="false" outlineLevel="0" collapsed="false">
      <c r="A484" s="325"/>
      <c r="AJ484" s="328"/>
      <c r="AM484" s="0"/>
      <c r="AN484" s="329"/>
      <c r="AQ484" s="0"/>
      <c r="AR484" s="328"/>
      <c r="AU484" s="0"/>
      <c r="AV484" s="62"/>
      <c r="AY484" s="0"/>
      <c r="AZ484" s="328"/>
      <c r="BC484" s="0"/>
    </row>
    <row r="485" customFormat="false" ht="12.75" hidden="false" customHeight="false" outlineLevel="0" collapsed="false">
      <c r="A485" s="325"/>
      <c r="AJ485" s="328"/>
      <c r="AM485" s="0"/>
      <c r="AN485" s="329"/>
      <c r="AQ485" s="0"/>
      <c r="AR485" s="328"/>
      <c r="AU485" s="0"/>
      <c r="AV485" s="62"/>
      <c r="AY485" s="0"/>
      <c r="AZ485" s="328"/>
      <c r="BC485" s="0"/>
    </row>
    <row r="486" customFormat="false" ht="12.75" hidden="false" customHeight="false" outlineLevel="0" collapsed="false">
      <c r="A486" s="325"/>
      <c r="AJ486" s="328"/>
      <c r="AM486" s="0"/>
      <c r="AN486" s="329"/>
      <c r="AQ486" s="0"/>
      <c r="AR486" s="328"/>
      <c r="AU486" s="0"/>
      <c r="AV486" s="62"/>
      <c r="AY486" s="0"/>
      <c r="AZ486" s="328"/>
      <c r="BC486" s="0"/>
    </row>
    <row r="487" customFormat="false" ht="12.75" hidden="false" customHeight="false" outlineLevel="0" collapsed="false">
      <c r="A487" s="325"/>
      <c r="AJ487" s="328"/>
      <c r="AM487" s="0"/>
      <c r="AN487" s="329"/>
      <c r="AQ487" s="0"/>
      <c r="AR487" s="328"/>
      <c r="AU487" s="0"/>
      <c r="AV487" s="62"/>
      <c r="AY487" s="0"/>
      <c r="AZ487" s="328"/>
      <c r="BC487" s="0"/>
    </row>
    <row r="488" customFormat="false" ht="12.75" hidden="false" customHeight="false" outlineLevel="0" collapsed="false">
      <c r="A488" s="325"/>
      <c r="AJ488" s="328"/>
      <c r="AM488" s="0"/>
      <c r="AN488" s="329"/>
      <c r="AQ488" s="0"/>
      <c r="AR488" s="328"/>
      <c r="AU488" s="0"/>
      <c r="AV488" s="62"/>
      <c r="AY488" s="0"/>
      <c r="AZ488" s="328"/>
      <c r="BC488" s="0"/>
    </row>
    <row r="489" customFormat="false" ht="12.75" hidden="false" customHeight="false" outlineLevel="0" collapsed="false">
      <c r="A489" s="325"/>
      <c r="AJ489" s="328"/>
      <c r="AM489" s="0"/>
      <c r="AN489" s="329"/>
      <c r="AQ489" s="0"/>
      <c r="AR489" s="328"/>
      <c r="AU489" s="0"/>
      <c r="AV489" s="62"/>
      <c r="AY489" s="0"/>
      <c r="AZ489" s="328"/>
      <c r="BC489" s="0"/>
    </row>
    <row r="490" customFormat="false" ht="12.75" hidden="false" customHeight="false" outlineLevel="0" collapsed="false">
      <c r="A490" s="325"/>
      <c r="AJ490" s="328"/>
      <c r="AM490" s="0"/>
      <c r="AN490" s="329"/>
      <c r="AQ490" s="0"/>
      <c r="AR490" s="328"/>
      <c r="AU490" s="0"/>
      <c r="AV490" s="62"/>
      <c r="AY490" s="0"/>
      <c r="AZ490" s="328"/>
      <c r="BC490" s="0"/>
    </row>
    <row r="491" customFormat="false" ht="12.75" hidden="false" customHeight="false" outlineLevel="0" collapsed="false">
      <c r="A491" s="325"/>
      <c r="AJ491" s="328"/>
      <c r="AM491" s="0"/>
      <c r="AN491" s="329"/>
      <c r="AQ491" s="0"/>
      <c r="AR491" s="328"/>
      <c r="AU491" s="0"/>
      <c r="AV491" s="62"/>
      <c r="AY491" s="0"/>
      <c r="AZ491" s="328"/>
      <c r="BC491" s="0"/>
    </row>
    <row r="492" customFormat="false" ht="12.75" hidden="false" customHeight="false" outlineLevel="0" collapsed="false">
      <c r="A492" s="325"/>
      <c r="AJ492" s="328"/>
      <c r="AM492" s="0"/>
      <c r="AN492" s="329"/>
      <c r="AQ492" s="0"/>
      <c r="AR492" s="328"/>
      <c r="AU492" s="0"/>
      <c r="AV492" s="62"/>
      <c r="AY492" s="0"/>
      <c r="AZ492" s="328"/>
      <c r="BC492" s="0"/>
    </row>
    <row r="493" customFormat="false" ht="12.75" hidden="false" customHeight="false" outlineLevel="0" collapsed="false">
      <c r="A493" s="325"/>
      <c r="AJ493" s="328"/>
      <c r="AM493" s="0"/>
      <c r="AN493" s="329"/>
      <c r="AQ493" s="0"/>
      <c r="AR493" s="328"/>
      <c r="AU493" s="0"/>
      <c r="AV493" s="62"/>
      <c r="AY493" s="0"/>
      <c r="AZ493" s="328"/>
      <c r="BC493" s="0"/>
    </row>
    <row r="494" customFormat="false" ht="12.75" hidden="false" customHeight="false" outlineLevel="0" collapsed="false">
      <c r="A494" s="325"/>
      <c r="AJ494" s="328"/>
      <c r="AM494" s="0"/>
      <c r="AN494" s="329"/>
      <c r="AQ494" s="0"/>
      <c r="AR494" s="328"/>
      <c r="AU494" s="0"/>
      <c r="AV494" s="62"/>
      <c r="AY494" s="0"/>
      <c r="AZ494" s="328"/>
      <c r="BC494" s="0"/>
    </row>
    <row r="495" customFormat="false" ht="12.75" hidden="false" customHeight="false" outlineLevel="0" collapsed="false">
      <c r="A495" s="325"/>
      <c r="AJ495" s="328"/>
      <c r="AM495" s="0"/>
      <c r="AN495" s="329"/>
      <c r="AQ495" s="0"/>
      <c r="AR495" s="328"/>
      <c r="AU495" s="0"/>
      <c r="AV495" s="62"/>
      <c r="AY495" s="0"/>
      <c r="AZ495" s="328"/>
      <c r="BC495" s="0"/>
    </row>
    <row r="496" customFormat="false" ht="12.75" hidden="false" customHeight="false" outlineLevel="0" collapsed="false">
      <c r="A496" s="325"/>
      <c r="AJ496" s="328"/>
      <c r="AM496" s="0"/>
      <c r="AN496" s="329"/>
      <c r="AQ496" s="0"/>
      <c r="AR496" s="328"/>
      <c r="AU496" s="0"/>
      <c r="AV496" s="62"/>
      <c r="AY496" s="0"/>
      <c r="AZ496" s="328"/>
      <c r="BC496" s="0"/>
    </row>
    <row r="497" customFormat="false" ht="12.75" hidden="false" customHeight="false" outlineLevel="0" collapsed="false">
      <c r="A497" s="325"/>
      <c r="AJ497" s="328"/>
      <c r="AM497" s="0"/>
      <c r="AN497" s="329"/>
      <c r="AQ497" s="0"/>
      <c r="AR497" s="328"/>
      <c r="AU497" s="0"/>
      <c r="AV497" s="62"/>
      <c r="AY497" s="0"/>
      <c r="AZ497" s="328"/>
      <c r="BC497" s="0"/>
    </row>
    <row r="498" customFormat="false" ht="12.75" hidden="false" customHeight="false" outlineLevel="0" collapsed="false">
      <c r="A498" s="325"/>
      <c r="AJ498" s="328"/>
      <c r="AM498" s="0"/>
      <c r="AN498" s="329"/>
      <c r="AQ498" s="0"/>
      <c r="AR498" s="328"/>
      <c r="AU498" s="0"/>
      <c r="AV498" s="62"/>
      <c r="AY498" s="0"/>
      <c r="AZ498" s="328"/>
      <c r="BC498" s="0"/>
    </row>
    <row r="499" customFormat="false" ht="12.75" hidden="false" customHeight="false" outlineLevel="0" collapsed="false">
      <c r="A499" s="325"/>
      <c r="AJ499" s="328"/>
      <c r="AM499" s="0"/>
      <c r="AN499" s="329"/>
      <c r="AQ499" s="0"/>
      <c r="AR499" s="328"/>
      <c r="AU499" s="0"/>
      <c r="AV499" s="62"/>
      <c r="AY499" s="0"/>
      <c r="AZ499" s="328"/>
      <c r="BC499" s="0"/>
    </row>
    <row r="500" customFormat="false" ht="12.75" hidden="false" customHeight="false" outlineLevel="0" collapsed="false">
      <c r="A500" s="325"/>
      <c r="AJ500" s="328"/>
      <c r="AM500" s="0"/>
      <c r="AN500" s="329"/>
      <c r="AQ500" s="0"/>
      <c r="AR500" s="328"/>
      <c r="AU500" s="0"/>
      <c r="AV500" s="62"/>
      <c r="AY500" s="0"/>
      <c r="AZ500" s="328"/>
      <c r="BC500" s="0"/>
    </row>
    <row r="501" customFormat="false" ht="12.75" hidden="false" customHeight="false" outlineLevel="0" collapsed="false">
      <c r="A501" s="325"/>
      <c r="AJ501" s="328"/>
      <c r="AM501" s="0"/>
      <c r="AN501" s="329"/>
      <c r="AQ501" s="0"/>
      <c r="AR501" s="328"/>
      <c r="AU501" s="0"/>
      <c r="AV501" s="62"/>
      <c r="AY501" s="0"/>
      <c r="AZ501" s="328"/>
      <c r="BC501" s="0"/>
    </row>
    <row r="502" customFormat="false" ht="12.75" hidden="false" customHeight="false" outlineLevel="0" collapsed="false">
      <c r="A502" s="325"/>
      <c r="AJ502" s="328"/>
      <c r="AM502" s="0"/>
      <c r="AN502" s="329"/>
      <c r="AQ502" s="0"/>
      <c r="AR502" s="328"/>
      <c r="AU502" s="0"/>
      <c r="AV502" s="62"/>
      <c r="AY502" s="0"/>
      <c r="AZ502" s="328"/>
      <c r="BC502" s="0"/>
    </row>
    <row r="503" customFormat="false" ht="12.75" hidden="false" customHeight="false" outlineLevel="0" collapsed="false">
      <c r="A503" s="325"/>
      <c r="AJ503" s="328"/>
      <c r="AM503" s="0"/>
      <c r="AN503" s="329"/>
      <c r="AQ503" s="0"/>
      <c r="AR503" s="328"/>
      <c r="AU503" s="0"/>
      <c r="AV503" s="62"/>
      <c r="AY503" s="0"/>
      <c r="AZ503" s="328"/>
      <c r="BC503" s="0"/>
    </row>
    <row r="504" customFormat="false" ht="12.75" hidden="false" customHeight="false" outlineLevel="0" collapsed="false">
      <c r="A504" s="325"/>
      <c r="AJ504" s="328"/>
      <c r="AM504" s="0"/>
      <c r="AN504" s="329"/>
      <c r="AQ504" s="0"/>
      <c r="AR504" s="328"/>
      <c r="AU504" s="0"/>
      <c r="AV504" s="62"/>
      <c r="AY504" s="0"/>
      <c r="AZ504" s="328"/>
      <c r="BC504" s="0"/>
    </row>
    <row r="505" customFormat="false" ht="12.75" hidden="false" customHeight="false" outlineLevel="0" collapsed="false">
      <c r="A505" s="325"/>
      <c r="AJ505" s="328"/>
      <c r="AM505" s="0"/>
      <c r="AN505" s="329"/>
      <c r="AQ505" s="0"/>
      <c r="AR505" s="328"/>
      <c r="AU505" s="0"/>
      <c r="AV505" s="62"/>
      <c r="AY505" s="0"/>
      <c r="AZ505" s="328"/>
      <c r="BC505" s="0"/>
    </row>
    <row r="506" customFormat="false" ht="12.75" hidden="false" customHeight="false" outlineLevel="0" collapsed="false">
      <c r="A506" s="325"/>
      <c r="AJ506" s="328"/>
      <c r="AM506" s="0"/>
      <c r="AN506" s="329"/>
      <c r="AQ506" s="0"/>
      <c r="AR506" s="328"/>
      <c r="AU506" s="0"/>
      <c r="AV506" s="62"/>
      <c r="AY506" s="0"/>
      <c r="AZ506" s="328"/>
      <c r="BC506" s="0"/>
    </row>
    <row r="507" customFormat="false" ht="12.75" hidden="false" customHeight="false" outlineLevel="0" collapsed="false">
      <c r="A507" s="325"/>
      <c r="AJ507" s="328"/>
      <c r="AM507" s="0"/>
      <c r="AN507" s="329"/>
      <c r="AQ507" s="0"/>
      <c r="AR507" s="328"/>
      <c r="AU507" s="0"/>
      <c r="AV507" s="62"/>
      <c r="AY507" s="0"/>
      <c r="AZ507" s="328"/>
      <c r="BC507" s="0"/>
    </row>
    <row r="508" customFormat="false" ht="12.75" hidden="false" customHeight="false" outlineLevel="0" collapsed="false">
      <c r="A508" s="325"/>
      <c r="AJ508" s="328"/>
      <c r="AM508" s="0"/>
      <c r="AN508" s="329"/>
      <c r="AQ508" s="0"/>
      <c r="AR508" s="328"/>
      <c r="AU508" s="0"/>
      <c r="AV508" s="62"/>
      <c r="AY508" s="0"/>
      <c r="AZ508" s="328"/>
      <c r="BC508" s="0"/>
    </row>
    <row r="509" customFormat="false" ht="12.75" hidden="false" customHeight="false" outlineLevel="0" collapsed="false">
      <c r="A509" s="325"/>
      <c r="AJ509" s="328"/>
      <c r="AM509" s="0"/>
      <c r="AN509" s="329"/>
      <c r="AQ509" s="0"/>
      <c r="AR509" s="328"/>
      <c r="AU509" s="0"/>
      <c r="AV509" s="62"/>
      <c r="AY509" s="0"/>
      <c r="AZ509" s="328"/>
      <c r="BC509" s="0"/>
    </row>
    <row r="510" customFormat="false" ht="12.75" hidden="false" customHeight="false" outlineLevel="0" collapsed="false">
      <c r="A510" s="325"/>
      <c r="AJ510" s="328"/>
      <c r="AM510" s="0"/>
      <c r="AN510" s="329"/>
      <c r="AQ510" s="0"/>
      <c r="AR510" s="328"/>
      <c r="AU510" s="0"/>
      <c r="AV510" s="62"/>
      <c r="AY510" s="0"/>
      <c r="AZ510" s="328"/>
      <c r="BC510" s="0"/>
    </row>
    <row r="511" customFormat="false" ht="12.75" hidden="false" customHeight="false" outlineLevel="0" collapsed="false">
      <c r="A511" s="325"/>
      <c r="AJ511" s="328"/>
      <c r="AM511" s="0"/>
      <c r="AN511" s="329"/>
      <c r="AQ511" s="0"/>
      <c r="AR511" s="328"/>
      <c r="AU511" s="0"/>
      <c r="AV511" s="62"/>
      <c r="AY511" s="0"/>
      <c r="AZ511" s="328"/>
      <c r="BC511" s="0"/>
    </row>
    <row r="512" customFormat="false" ht="12.75" hidden="false" customHeight="false" outlineLevel="0" collapsed="false">
      <c r="A512" s="325"/>
      <c r="AJ512" s="328"/>
      <c r="AM512" s="0"/>
      <c r="AN512" s="329"/>
      <c r="AQ512" s="0"/>
      <c r="AR512" s="328"/>
      <c r="AU512" s="0"/>
      <c r="AV512" s="62"/>
      <c r="AY512" s="0"/>
      <c r="AZ512" s="328"/>
      <c r="BC512" s="0"/>
    </row>
    <row r="513" customFormat="false" ht="12.75" hidden="false" customHeight="false" outlineLevel="0" collapsed="false">
      <c r="A513" s="325"/>
      <c r="AJ513" s="328"/>
      <c r="AM513" s="0"/>
      <c r="AN513" s="329"/>
      <c r="AQ513" s="0"/>
      <c r="AR513" s="328"/>
      <c r="AU513" s="0"/>
      <c r="AV513" s="62"/>
      <c r="AY513" s="0"/>
      <c r="AZ513" s="328"/>
      <c r="BC513" s="0"/>
    </row>
    <row r="514" customFormat="false" ht="12.75" hidden="false" customHeight="false" outlineLevel="0" collapsed="false">
      <c r="A514" s="325"/>
      <c r="AJ514" s="328"/>
      <c r="AM514" s="0"/>
      <c r="AN514" s="329"/>
      <c r="AQ514" s="0"/>
      <c r="AR514" s="328"/>
      <c r="AU514" s="0"/>
      <c r="AV514" s="62"/>
      <c r="AY514" s="0"/>
      <c r="AZ514" s="328"/>
      <c r="BC514" s="0"/>
    </row>
    <row r="515" customFormat="false" ht="12.75" hidden="false" customHeight="false" outlineLevel="0" collapsed="false">
      <c r="A515" s="325"/>
      <c r="AJ515" s="328"/>
      <c r="AM515" s="0"/>
      <c r="AN515" s="329"/>
      <c r="AQ515" s="0"/>
      <c r="AR515" s="328"/>
      <c r="AU515" s="0"/>
      <c r="AV515" s="62"/>
      <c r="AY515" s="0"/>
      <c r="AZ515" s="328"/>
      <c r="BC515" s="0"/>
    </row>
    <row r="516" customFormat="false" ht="12.75" hidden="false" customHeight="false" outlineLevel="0" collapsed="false">
      <c r="A516" s="325"/>
      <c r="AJ516" s="328"/>
      <c r="AM516" s="0"/>
      <c r="AN516" s="329"/>
      <c r="AQ516" s="0"/>
      <c r="AR516" s="328"/>
      <c r="AU516" s="0"/>
      <c r="AV516" s="62"/>
      <c r="AY516" s="0"/>
      <c r="AZ516" s="328"/>
      <c r="BC516" s="0"/>
    </row>
    <row r="517" customFormat="false" ht="12.75" hidden="false" customHeight="false" outlineLevel="0" collapsed="false">
      <c r="A517" s="325"/>
      <c r="AJ517" s="328"/>
      <c r="AM517" s="0"/>
      <c r="AN517" s="329"/>
      <c r="AQ517" s="0"/>
      <c r="AR517" s="328"/>
      <c r="AU517" s="0"/>
      <c r="AV517" s="62"/>
      <c r="AY517" s="0"/>
      <c r="AZ517" s="328"/>
      <c r="BC517" s="0"/>
    </row>
    <row r="518" customFormat="false" ht="12.75" hidden="false" customHeight="false" outlineLevel="0" collapsed="false">
      <c r="A518" s="325"/>
      <c r="AJ518" s="328"/>
      <c r="AM518" s="0"/>
      <c r="AN518" s="329"/>
      <c r="AQ518" s="0"/>
      <c r="AR518" s="328"/>
      <c r="AU518" s="0"/>
      <c r="AV518" s="62"/>
      <c r="AY518" s="0"/>
      <c r="AZ518" s="328"/>
      <c r="BC518" s="0"/>
    </row>
    <row r="519" customFormat="false" ht="12.75" hidden="false" customHeight="false" outlineLevel="0" collapsed="false">
      <c r="A519" s="325"/>
      <c r="AJ519" s="328"/>
      <c r="AM519" s="0"/>
      <c r="AN519" s="329"/>
      <c r="AQ519" s="0"/>
      <c r="AR519" s="328"/>
      <c r="AU519" s="0"/>
      <c r="AV519" s="62"/>
      <c r="AY519" s="0"/>
      <c r="AZ519" s="328"/>
      <c r="BC519" s="0"/>
    </row>
    <row r="520" customFormat="false" ht="12.75" hidden="false" customHeight="false" outlineLevel="0" collapsed="false">
      <c r="A520" s="325"/>
      <c r="AJ520" s="328"/>
      <c r="AM520" s="0"/>
      <c r="AN520" s="329"/>
      <c r="AQ520" s="0"/>
      <c r="AR520" s="328"/>
      <c r="AU520" s="0"/>
      <c r="AV520" s="62"/>
      <c r="AY520" s="0"/>
      <c r="AZ520" s="328"/>
      <c r="BC520" s="0"/>
    </row>
    <row r="521" customFormat="false" ht="12.75" hidden="false" customHeight="false" outlineLevel="0" collapsed="false">
      <c r="A521" s="325"/>
      <c r="AJ521" s="328"/>
      <c r="AM521" s="0"/>
      <c r="AN521" s="329"/>
      <c r="AQ521" s="0"/>
      <c r="AR521" s="328"/>
      <c r="AU521" s="0"/>
      <c r="AV521" s="62"/>
      <c r="AY521" s="0"/>
      <c r="AZ521" s="328"/>
      <c r="BC521" s="0"/>
    </row>
    <row r="522" customFormat="false" ht="12.75" hidden="false" customHeight="false" outlineLevel="0" collapsed="false">
      <c r="A522" s="325"/>
      <c r="AJ522" s="328"/>
      <c r="AM522" s="0"/>
      <c r="AN522" s="329"/>
      <c r="AQ522" s="0"/>
      <c r="AR522" s="328"/>
      <c r="AU522" s="0"/>
      <c r="AV522" s="62"/>
      <c r="AY522" s="0"/>
      <c r="AZ522" s="328"/>
      <c r="BC522" s="0"/>
    </row>
    <row r="523" customFormat="false" ht="12.75" hidden="false" customHeight="false" outlineLevel="0" collapsed="false">
      <c r="A523" s="325"/>
      <c r="AJ523" s="328"/>
      <c r="AM523" s="0"/>
      <c r="AN523" s="329"/>
      <c r="AQ523" s="0"/>
      <c r="AR523" s="328"/>
      <c r="AU523" s="0"/>
      <c r="AV523" s="62"/>
      <c r="AY523" s="0"/>
      <c r="AZ523" s="328"/>
      <c r="BC523" s="0"/>
    </row>
    <row r="524" customFormat="false" ht="12.75" hidden="false" customHeight="false" outlineLevel="0" collapsed="false">
      <c r="A524" s="325"/>
      <c r="AJ524" s="328"/>
      <c r="AM524" s="0"/>
      <c r="AN524" s="329"/>
      <c r="AQ524" s="0"/>
      <c r="AR524" s="328"/>
      <c r="AU524" s="0"/>
      <c r="AV524" s="62"/>
      <c r="AY524" s="0"/>
      <c r="AZ524" s="328"/>
      <c r="BC524" s="0"/>
    </row>
    <row r="525" customFormat="false" ht="12.75" hidden="false" customHeight="false" outlineLevel="0" collapsed="false">
      <c r="A525" s="325"/>
      <c r="AJ525" s="328"/>
      <c r="AM525" s="0"/>
      <c r="AN525" s="329"/>
      <c r="AQ525" s="0"/>
      <c r="AR525" s="328"/>
      <c r="AU525" s="0"/>
      <c r="AV525" s="62"/>
      <c r="AY525" s="0"/>
      <c r="AZ525" s="328"/>
      <c r="BC525" s="0"/>
    </row>
    <row r="526" customFormat="false" ht="12.75" hidden="false" customHeight="false" outlineLevel="0" collapsed="false">
      <c r="A526" s="325"/>
      <c r="AJ526" s="328"/>
      <c r="AM526" s="0"/>
      <c r="AN526" s="329"/>
      <c r="AQ526" s="0"/>
      <c r="AR526" s="328"/>
      <c r="AU526" s="0"/>
      <c r="AV526" s="62"/>
      <c r="AY526" s="0"/>
      <c r="AZ526" s="328"/>
      <c r="BC526" s="0"/>
    </row>
    <row r="527" customFormat="false" ht="12.75" hidden="false" customHeight="false" outlineLevel="0" collapsed="false">
      <c r="A527" s="325"/>
      <c r="AJ527" s="328"/>
      <c r="AM527" s="0"/>
      <c r="AN527" s="329"/>
      <c r="AQ527" s="0"/>
      <c r="AR527" s="328"/>
      <c r="AU527" s="0"/>
      <c r="AV527" s="62"/>
      <c r="AY527" s="0"/>
      <c r="AZ527" s="328"/>
      <c r="BC527" s="0"/>
    </row>
    <row r="528" customFormat="false" ht="12.75" hidden="false" customHeight="false" outlineLevel="0" collapsed="false">
      <c r="A528" s="325"/>
      <c r="AJ528" s="328"/>
      <c r="AM528" s="0"/>
      <c r="AN528" s="329"/>
      <c r="AQ528" s="0"/>
      <c r="AR528" s="328"/>
      <c r="AU528" s="0"/>
      <c r="AV528" s="62"/>
      <c r="AY528" s="0"/>
      <c r="AZ528" s="328"/>
      <c r="BC528" s="0"/>
    </row>
    <row r="529" customFormat="false" ht="12.75" hidden="false" customHeight="false" outlineLevel="0" collapsed="false">
      <c r="A529" s="325"/>
      <c r="AJ529" s="328"/>
      <c r="AM529" s="0"/>
      <c r="AN529" s="329"/>
      <c r="AQ529" s="0"/>
      <c r="AR529" s="328"/>
      <c r="AU529" s="0"/>
      <c r="AV529" s="62"/>
      <c r="AY529" s="0"/>
      <c r="AZ529" s="328"/>
      <c r="BC529" s="0"/>
    </row>
    <row r="530" customFormat="false" ht="12.75" hidden="false" customHeight="false" outlineLevel="0" collapsed="false">
      <c r="A530" s="325"/>
      <c r="AJ530" s="328"/>
      <c r="AM530" s="0"/>
      <c r="AN530" s="329"/>
      <c r="AQ530" s="0"/>
      <c r="AR530" s="328"/>
      <c r="AU530" s="0"/>
      <c r="AV530" s="62"/>
      <c r="AY530" s="0"/>
      <c r="AZ530" s="328"/>
      <c r="BC530" s="0"/>
    </row>
    <row r="531" customFormat="false" ht="12.75" hidden="false" customHeight="false" outlineLevel="0" collapsed="false">
      <c r="A531" s="325"/>
      <c r="AJ531" s="328"/>
      <c r="AM531" s="0"/>
      <c r="AN531" s="329"/>
      <c r="AQ531" s="0"/>
      <c r="AR531" s="328"/>
      <c r="AU531" s="0"/>
      <c r="AV531" s="62"/>
      <c r="AY531" s="0"/>
      <c r="AZ531" s="328"/>
      <c r="BC531" s="0"/>
    </row>
    <row r="532" customFormat="false" ht="12.75" hidden="false" customHeight="false" outlineLevel="0" collapsed="false">
      <c r="A532" s="325"/>
      <c r="AJ532" s="328"/>
      <c r="AM532" s="0"/>
      <c r="AN532" s="329"/>
      <c r="AQ532" s="0"/>
      <c r="AR532" s="328"/>
      <c r="AU532" s="0"/>
      <c r="AV532" s="62"/>
      <c r="AY532" s="0"/>
      <c r="AZ532" s="328"/>
      <c r="BC532" s="0"/>
    </row>
    <row r="533" customFormat="false" ht="12.75" hidden="false" customHeight="false" outlineLevel="0" collapsed="false">
      <c r="A533" s="325"/>
      <c r="AJ533" s="328"/>
      <c r="AM533" s="0"/>
      <c r="AN533" s="329"/>
      <c r="AQ533" s="0"/>
      <c r="AR533" s="328"/>
      <c r="AU533" s="0"/>
      <c r="AV533" s="62"/>
      <c r="AY533" s="0"/>
      <c r="AZ533" s="328"/>
      <c r="BC533" s="0"/>
    </row>
    <row r="534" customFormat="false" ht="12.75" hidden="false" customHeight="false" outlineLevel="0" collapsed="false">
      <c r="A534" s="325"/>
      <c r="AJ534" s="328"/>
      <c r="AM534" s="0"/>
      <c r="AN534" s="329"/>
      <c r="AQ534" s="0"/>
      <c r="AR534" s="328"/>
      <c r="AU534" s="0"/>
      <c r="AV534" s="62"/>
      <c r="AY534" s="0"/>
      <c r="AZ534" s="328"/>
      <c r="BC534" s="0"/>
    </row>
    <row r="535" customFormat="false" ht="12.75" hidden="false" customHeight="false" outlineLevel="0" collapsed="false">
      <c r="A535" s="325"/>
      <c r="AJ535" s="328"/>
      <c r="AM535" s="0"/>
      <c r="AN535" s="329"/>
      <c r="AQ535" s="0"/>
      <c r="AR535" s="328"/>
      <c r="AU535" s="0"/>
      <c r="AV535" s="62"/>
      <c r="AY535" s="0"/>
      <c r="AZ535" s="328"/>
      <c r="BC535" s="0"/>
    </row>
    <row r="536" customFormat="false" ht="12.75" hidden="false" customHeight="false" outlineLevel="0" collapsed="false">
      <c r="A536" s="325"/>
      <c r="AJ536" s="328"/>
      <c r="AM536" s="0"/>
      <c r="AN536" s="329"/>
      <c r="AQ536" s="0"/>
      <c r="AR536" s="328"/>
      <c r="AU536" s="0"/>
      <c r="AV536" s="62"/>
      <c r="AY536" s="0"/>
      <c r="AZ536" s="328"/>
      <c r="BC536" s="0"/>
    </row>
    <row r="537" customFormat="false" ht="12.75" hidden="false" customHeight="false" outlineLevel="0" collapsed="false">
      <c r="A537" s="325"/>
      <c r="AJ537" s="328"/>
      <c r="AM537" s="0"/>
      <c r="AN537" s="329"/>
      <c r="AQ537" s="0"/>
      <c r="AR537" s="328"/>
      <c r="AU537" s="0"/>
      <c r="AV537" s="62"/>
      <c r="AY537" s="0"/>
      <c r="AZ537" s="328"/>
      <c r="BC537" s="0"/>
    </row>
    <row r="538" customFormat="false" ht="12.75" hidden="false" customHeight="false" outlineLevel="0" collapsed="false">
      <c r="A538" s="325"/>
      <c r="AJ538" s="328"/>
      <c r="AM538" s="0"/>
      <c r="AN538" s="329"/>
      <c r="AQ538" s="0"/>
      <c r="AR538" s="328"/>
      <c r="AU538" s="0"/>
      <c r="AV538" s="62"/>
      <c r="AY538" s="0"/>
      <c r="AZ538" s="328"/>
      <c r="BC538" s="0"/>
    </row>
    <row r="539" customFormat="false" ht="12.75" hidden="false" customHeight="false" outlineLevel="0" collapsed="false">
      <c r="A539" s="325"/>
      <c r="AJ539" s="328"/>
      <c r="AM539" s="0"/>
      <c r="AN539" s="329"/>
      <c r="AQ539" s="0"/>
      <c r="AR539" s="328"/>
      <c r="AU539" s="0"/>
      <c r="AV539" s="62"/>
      <c r="AY539" s="0"/>
      <c r="AZ539" s="328"/>
      <c r="BC539" s="0"/>
    </row>
    <row r="540" customFormat="false" ht="12.75" hidden="false" customHeight="false" outlineLevel="0" collapsed="false">
      <c r="A540" s="325"/>
      <c r="AJ540" s="328"/>
      <c r="AM540" s="0"/>
      <c r="AN540" s="329"/>
      <c r="AQ540" s="0"/>
      <c r="AR540" s="328"/>
      <c r="AU540" s="0"/>
      <c r="AV540" s="62"/>
      <c r="AY540" s="0"/>
      <c r="AZ540" s="328"/>
      <c r="BC540" s="0"/>
    </row>
    <row r="541" customFormat="false" ht="12.75" hidden="false" customHeight="false" outlineLevel="0" collapsed="false">
      <c r="A541" s="325"/>
      <c r="AJ541" s="328"/>
      <c r="AM541" s="0"/>
      <c r="AN541" s="329"/>
      <c r="AQ541" s="0"/>
      <c r="AR541" s="328"/>
      <c r="AU541" s="0"/>
      <c r="AV541" s="62"/>
      <c r="AY541" s="0"/>
      <c r="AZ541" s="328"/>
      <c r="BC541" s="0"/>
    </row>
    <row r="542" customFormat="false" ht="12.75" hidden="false" customHeight="false" outlineLevel="0" collapsed="false">
      <c r="A542" s="325"/>
      <c r="AJ542" s="328"/>
      <c r="AM542" s="0"/>
      <c r="AN542" s="329"/>
      <c r="AQ542" s="0"/>
      <c r="AR542" s="328"/>
      <c r="AU542" s="0"/>
      <c r="AV542" s="62"/>
      <c r="AY542" s="0"/>
      <c r="AZ542" s="328"/>
      <c r="BC542" s="0"/>
    </row>
    <row r="543" customFormat="false" ht="12.75" hidden="false" customHeight="false" outlineLevel="0" collapsed="false">
      <c r="A543" s="325"/>
      <c r="AJ543" s="328"/>
      <c r="AM543" s="0"/>
      <c r="AN543" s="329"/>
      <c r="AQ543" s="0"/>
      <c r="AR543" s="328"/>
      <c r="AU543" s="0"/>
      <c r="AV543" s="62"/>
      <c r="AY543" s="0"/>
      <c r="AZ543" s="328"/>
      <c r="BC543" s="0"/>
    </row>
    <row r="544" customFormat="false" ht="12.75" hidden="false" customHeight="false" outlineLevel="0" collapsed="false">
      <c r="A544" s="325"/>
      <c r="AJ544" s="328"/>
      <c r="AM544" s="0"/>
      <c r="AN544" s="329"/>
      <c r="AQ544" s="0"/>
      <c r="AR544" s="328"/>
      <c r="AU544" s="0"/>
      <c r="AV544" s="62"/>
      <c r="AY544" s="0"/>
      <c r="AZ544" s="328"/>
      <c r="BC544" s="0"/>
    </row>
    <row r="545" customFormat="false" ht="12.75" hidden="false" customHeight="false" outlineLevel="0" collapsed="false">
      <c r="A545" s="325"/>
      <c r="AJ545" s="328"/>
      <c r="AM545" s="0"/>
      <c r="AN545" s="329"/>
      <c r="AQ545" s="0"/>
      <c r="AR545" s="328"/>
      <c r="AU545" s="0"/>
      <c r="AV545" s="62"/>
      <c r="AY545" s="0"/>
      <c r="AZ545" s="328"/>
      <c r="BC545" s="0"/>
    </row>
    <row r="546" customFormat="false" ht="12.75" hidden="false" customHeight="false" outlineLevel="0" collapsed="false">
      <c r="A546" s="325"/>
      <c r="AJ546" s="328"/>
      <c r="AM546" s="0"/>
      <c r="AN546" s="329"/>
      <c r="AQ546" s="0"/>
      <c r="AR546" s="328"/>
      <c r="AU546" s="0"/>
      <c r="AV546" s="62"/>
      <c r="AY546" s="0"/>
      <c r="AZ546" s="328"/>
      <c r="BC546" s="0"/>
    </row>
    <row r="547" customFormat="false" ht="12.75" hidden="false" customHeight="false" outlineLevel="0" collapsed="false">
      <c r="A547" s="325"/>
      <c r="AJ547" s="328"/>
      <c r="AM547" s="0"/>
      <c r="AN547" s="329"/>
      <c r="AQ547" s="0"/>
      <c r="AR547" s="328"/>
      <c r="AU547" s="0"/>
      <c r="AV547" s="62"/>
      <c r="AY547" s="0"/>
      <c r="AZ547" s="328"/>
      <c r="BC547" s="0"/>
    </row>
    <row r="548" customFormat="false" ht="12.75" hidden="false" customHeight="false" outlineLevel="0" collapsed="false">
      <c r="A548" s="325"/>
      <c r="AJ548" s="328"/>
      <c r="AM548" s="0"/>
      <c r="AN548" s="329"/>
      <c r="AQ548" s="0"/>
      <c r="AR548" s="328"/>
      <c r="AU548" s="0"/>
      <c r="AV548" s="62"/>
      <c r="AY548" s="0"/>
      <c r="AZ548" s="328"/>
      <c r="BC548" s="0"/>
    </row>
    <row r="549" customFormat="false" ht="12.75" hidden="false" customHeight="false" outlineLevel="0" collapsed="false">
      <c r="A549" s="325"/>
      <c r="AJ549" s="328"/>
      <c r="AM549" s="0"/>
      <c r="AN549" s="329"/>
      <c r="AQ549" s="0"/>
      <c r="AR549" s="328"/>
      <c r="AU549" s="0"/>
      <c r="AV549" s="62"/>
      <c r="AY549" s="0"/>
      <c r="AZ549" s="328"/>
      <c r="BC549" s="0"/>
    </row>
    <row r="550" customFormat="false" ht="12.75" hidden="false" customHeight="false" outlineLevel="0" collapsed="false">
      <c r="A550" s="325"/>
      <c r="AJ550" s="328"/>
      <c r="AM550" s="0"/>
      <c r="AN550" s="329"/>
      <c r="AQ550" s="0"/>
      <c r="AR550" s="328"/>
      <c r="AU550" s="0"/>
      <c r="AV550" s="62"/>
      <c r="AY550" s="0"/>
      <c r="AZ550" s="328"/>
      <c r="BC550" s="0"/>
    </row>
    <row r="551" customFormat="false" ht="12.75" hidden="false" customHeight="false" outlineLevel="0" collapsed="false">
      <c r="A551" s="325"/>
      <c r="AJ551" s="328"/>
      <c r="AM551" s="0"/>
      <c r="AN551" s="329"/>
      <c r="AQ551" s="0"/>
      <c r="AR551" s="328"/>
      <c r="AU551" s="0"/>
      <c r="AV551" s="62"/>
      <c r="AY551" s="0"/>
      <c r="AZ551" s="328"/>
      <c r="BC551" s="0"/>
    </row>
    <row r="552" customFormat="false" ht="12.75" hidden="false" customHeight="false" outlineLevel="0" collapsed="false">
      <c r="A552" s="325"/>
      <c r="AQ552" s="0"/>
      <c r="AR552" s="328"/>
      <c r="AY552" s="0"/>
      <c r="AZ552" s="328"/>
    </row>
    <row r="553" customFormat="false" ht="12.75" hidden="false" customHeight="false" outlineLevel="0" collapsed="false">
      <c r="A553" s="325"/>
      <c r="AQ553" s="0"/>
      <c r="AR553" s="328"/>
      <c r="AY553" s="0"/>
      <c r="AZ553" s="328"/>
    </row>
    <row r="554" customFormat="false" ht="12.75" hidden="false" customHeight="false" outlineLevel="0" collapsed="false">
      <c r="A554" s="325"/>
      <c r="AQ554" s="0"/>
      <c r="AR554" s="328"/>
      <c r="AY554" s="0"/>
      <c r="AZ554" s="328"/>
    </row>
    <row r="555" customFormat="false" ht="12.75" hidden="false" customHeight="false" outlineLevel="0" collapsed="false">
      <c r="A555" s="325"/>
      <c r="AR555" s="328"/>
      <c r="AY555" s="0"/>
      <c r="AZ555" s="328"/>
    </row>
    <row r="556" customFormat="false" ht="12.75" hidden="false" customHeight="false" outlineLevel="0" collapsed="false">
      <c r="A556" s="325"/>
      <c r="AR556" s="328"/>
      <c r="AY556" s="0"/>
      <c r="AZ556" s="328"/>
    </row>
    <row r="557" customFormat="false" ht="12.75" hidden="false" customHeight="false" outlineLevel="0" collapsed="false">
      <c r="A557" s="325"/>
      <c r="AR557" s="328"/>
      <c r="AY557" s="0"/>
      <c r="AZ557" s="328"/>
    </row>
    <row r="558" customFormat="false" ht="12.75" hidden="false" customHeight="false" outlineLevel="0" collapsed="false">
      <c r="A558" s="325"/>
      <c r="AR558" s="328"/>
      <c r="AY558" s="0"/>
      <c r="AZ558" s="328"/>
    </row>
    <row r="559" customFormat="false" ht="12.75" hidden="false" customHeight="false" outlineLevel="0" collapsed="false">
      <c r="A559" s="325"/>
      <c r="AR559" s="328"/>
      <c r="AY559" s="0"/>
      <c r="AZ559" s="328"/>
    </row>
    <row r="560" customFormat="false" ht="12.75" hidden="false" customHeight="false" outlineLevel="0" collapsed="false">
      <c r="A560" s="325"/>
      <c r="AR560" s="328"/>
      <c r="AY560" s="0"/>
      <c r="AZ560" s="328"/>
    </row>
    <row r="561" customFormat="false" ht="12.75" hidden="false" customHeight="false" outlineLevel="0" collapsed="false">
      <c r="A561" s="325"/>
      <c r="AY561" s="0"/>
      <c r="AZ561" s="328"/>
    </row>
    <row r="562" customFormat="false" ht="12.75" hidden="false" customHeight="false" outlineLevel="0" collapsed="false">
      <c r="A562" s="325"/>
      <c r="AY562" s="0"/>
      <c r="AZ562" s="328"/>
    </row>
    <row r="563" customFormat="false" ht="12.75" hidden="false" customHeight="false" outlineLevel="0" collapsed="false">
      <c r="A563" s="325"/>
      <c r="AY563" s="0"/>
      <c r="AZ563" s="328"/>
    </row>
    <row r="564" customFormat="false" ht="12.75" hidden="false" customHeight="false" outlineLevel="0" collapsed="false">
      <c r="A564" s="325"/>
      <c r="AY564" s="0"/>
      <c r="AZ564" s="328"/>
    </row>
    <row r="565" customFormat="false" ht="12.75" hidden="false" customHeight="false" outlineLevel="0" collapsed="false">
      <c r="A565" s="325"/>
      <c r="AY565" s="0"/>
      <c r="AZ565" s="328"/>
    </row>
    <row r="566" customFormat="false" ht="12.75" hidden="false" customHeight="false" outlineLevel="0" collapsed="false">
      <c r="A566" s="325"/>
      <c r="AY566" s="0"/>
      <c r="AZ566" s="328"/>
    </row>
    <row r="567" customFormat="false" ht="12.75" hidden="false" customHeight="false" outlineLevel="0" collapsed="false">
      <c r="A567" s="325"/>
      <c r="AY567" s="0"/>
      <c r="AZ567" s="328"/>
    </row>
    <row r="568" customFormat="false" ht="12.75" hidden="false" customHeight="false" outlineLevel="0" collapsed="false">
      <c r="A568" s="325"/>
      <c r="AY568" s="0"/>
      <c r="AZ568" s="328"/>
    </row>
    <row r="569" customFormat="false" ht="12.75" hidden="false" customHeight="false" outlineLevel="0" collapsed="false">
      <c r="A569" s="325"/>
      <c r="AY569" s="0"/>
      <c r="AZ569" s="328"/>
    </row>
    <row r="570" customFormat="false" ht="12.75" hidden="false" customHeight="false" outlineLevel="0" collapsed="false">
      <c r="A570" s="325"/>
      <c r="AY570" s="0"/>
      <c r="AZ570" s="328"/>
    </row>
    <row r="571" customFormat="false" ht="12.75" hidden="false" customHeight="false" outlineLevel="0" collapsed="false">
      <c r="A571" s="325"/>
      <c r="AY571" s="0"/>
      <c r="AZ571" s="328"/>
    </row>
    <row r="572" customFormat="false" ht="12.75" hidden="false" customHeight="false" outlineLevel="0" collapsed="false">
      <c r="A572" s="325"/>
      <c r="AY572" s="0"/>
      <c r="AZ572" s="328"/>
    </row>
    <row r="573" customFormat="false" ht="12.75" hidden="false" customHeight="false" outlineLevel="0" collapsed="false">
      <c r="A573" s="325"/>
      <c r="AY573" s="0"/>
      <c r="AZ573" s="328"/>
    </row>
    <row r="574" customFormat="false" ht="12.75" hidden="false" customHeight="false" outlineLevel="0" collapsed="false">
      <c r="A574" s="325"/>
      <c r="AY574" s="0"/>
      <c r="AZ574" s="328"/>
    </row>
    <row r="575" customFormat="false" ht="12.75" hidden="false" customHeight="false" outlineLevel="0" collapsed="false">
      <c r="A575" s="325"/>
      <c r="AY575" s="0"/>
      <c r="AZ575" s="328"/>
    </row>
    <row r="576" customFormat="false" ht="12.75" hidden="false" customHeight="false" outlineLevel="0" collapsed="false">
      <c r="A576" s="325"/>
    </row>
    <row r="577" customFormat="false" ht="12.75" hidden="false" customHeight="false" outlineLevel="0" collapsed="false">
      <c r="A577" s="325"/>
    </row>
    <row r="578" customFormat="false" ht="12.75" hidden="false" customHeight="false" outlineLevel="0" collapsed="false">
      <c r="A578" s="325"/>
    </row>
    <row r="579" customFormat="false" ht="12.75" hidden="false" customHeight="false" outlineLevel="0" collapsed="false">
      <c r="A579" s="325"/>
    </row>
    <row r="580" customFormat="false" ht="12.75" hidden="false" customHeight="false" outlineLevel="0" collapsed="false">
      <c r="A580" s="325"/>
    </row>
    <row r="581" customFormat="false" ht="12.75" hidden="false" customHeight="false" outlineLevel="0" collapsed="false">
      <c r="A581" s="325"/>
    </row>
    <row r="582" customFormat="false" ht="12.75" hidden="false" customHeight="false" outlineLevel="0" collapsed="false">
      <c r="A582" s="325"/>
    </row>
    <row r="583" customFormat="false" ht="12.75" hidden="false" customHeight="false" outlineLevel="0" collapsed="false">
      <c r="A583" s="325"/>
    </row>
    <row r="584" customFormat="false" ht="12.75" hidden="false" customHeight="false" outlineLevel="0" collapsed="false">
      <c r="A584" s="325"/>
    </row>
    <row r="585" customFormat="false" ht="12.75" hidden="false" customHeight="false" outlineLevel="0" collapsed="false">
      <c r="A585" s="325"/>
    </row>
    <row r="586" customFormat="false" ht="12.75" hidden="false" customHeight="false" outlineLevel="0" collapsed="false">
      <c r="A586" s="325"/>
    </row>
    <row r="587" customFormat="false" ht="12.75" hidden="false" customHeight="false" outlineLevel="0" collapsed="false">
      <c r="A587" s="325"/>
    </row>
    <row r="588" customFormat="false" ht="12.75" hidden="false" customHeight="false" outlineLevel="0" collapsed="false">
      <c r="A588" s="325"/>
    </row>
    <row r="589" customFormat="false" ht="12.75" hidden="false" customHeight="false" outlineLevel="0" collapsed="false">
      <c r="A589" s="325"/>
    </row>
    <row r="590" customFormat="false" ht="12.75" hidden="false" customHeight="false" outlineLevel="0" collapsed="false">
      <c r="A590" s="325"/>
    </row>
    <row r="591" customFormat="false" ht="12.75" hidden="false" customHeight="false" outlineLevel="0" collapsed="false">
      <c r="A591" s="325"/>
    </row>
    <row r="592" customFormat="false" ht="12.75" hidden="false" customHeight="false" outlineLevel="0" collapsed="false">
      <c r="A592" s="325"/>
    </row>
    <row r="593" customFormat="false" ht="12.75" hidden="false" customHeight="false" outlineLevel="0" collapsed="false">
      <c r="A593" s="325"/>
    </row>
    <row r="594" customFormat="false" ht="12.75" hidden="false" customHeight="false" outlineLevel="0" collapsed="false">
      <c r="A594" s="325"/>
    </row>
    <row r="595" customFormat="false" ht="12.75" hidden="false" customHeight="false" outlineLevel="0" collapsed="false">
      <c r="A595" s="325"/>
    </row>
    <row r="596" customFormat="false" ht="12.75" hidden="false" customHeight="false" outlineLevel="0" collapsed="false">
      <c r="A596" s="325"/>
    </row>
    <row r="597" customFormat="false" ht="12.75" hidden="false" customHeight="false" outlineLevel="0" collapsed="false">
      <c r="A597" s="325"/>
    </row>
    <row r="598" customFormat="false" ht="12.75" hidden="false" customHeight="false" outlineLevel="0" collapsed="false">
      <c r="A598" s="325"/>
    </row>
    <row r="599" customFormat="false" ht="12.75" hidden="false" customHeight="false" outlineLevel="0" collapsed="false">
      <c r="A599" s="325"/>
    </row>
    <row r="600" customFormat="false" ht="12.75" hidden="false" customHeight="false" outlineLevel="0" collapsed="false">
      <c r="A600" s="325"/>
    </row>
    <row r="601" customFormat="false" ht="12.75" hidden="false" customHeight="false" outlineLevel="0" collapsed="false">
      <c r="A601" s="325"/>
    </row>
    <row r="602" customFormat="false" ht="12.75" hidden="false" customHeight="false" outlineLevel="0" collapsed="false">
      <c r="A602" s="325"/>
    </row>
    <row r="603" customFormat="false" ht="12.75" hidden="false" customHeight="false" outlineLevel="0" collapsed="false">
      <c r="A603" s="325"/>
    </row>
    <row r="604" customFormat="false" ht="12.75" hidden="false" customHeight="false" outlineLevel="0" collapsed="false">
      <c r="A604" s="325"/>
    </row>
    <row r="605" customFormat="false" ht="12.75" hidden="false" customHeight="false" outlineLevel="0" collapsed="false">
      <c r="A605" s="325"/>
    </row>
    <row r="606" customFormat="false" ht="12.75" hidden="false" customHeight="false" outlineLevel="0" collapsed="false">
      <c r="A606" s="325"/>
    </row>
    <row r="607" customFormat="false" ht="12.75" hidden="false" customHeight="false" outlineLevel="0" collapsed="false">
      <c r="A607" s="325"/>
    </row>
    <row r="608" customFormat="false" ht="12.75" hidden="false" customHeight="false" outlineLevel="0" collapsed="false">
      <c r="A608" s="325"/>
    </row>
    <row r="609" customFormat="false" ht="12.75" hidden="false" customHeight="false" outlineLevel="0" collapsed="false">
      <c r="A609" s="325"/>
    </row>
    <row r="610" customFormat="false" ht="12.75" hidden="false" customHeight="false" outlineLevel="0" collapsed="false">
      <c r="A610" s="325"/>
    </row>
    <row r="611" customFormat="false" ht="12.75" hidden="false" customHeight="false" outlineLevel="0" collapsed="false">
      <c r="A611" s="325"/>
    </row>
    <row r="612" customFormat="false" ht="12.75" hidden="false" customHeight="false" outlineLevel="0" collapsed="false">
      <c r="A612" s="325"/>
    </row>
    <row r="613" customFormat="false" ht="12.75" hidden="false" customHeight="false" outlineLevel="0" collapsed="false">
      <c r="A613" s="325"/>
    </row>
    <row r="614" customFormat="false" ht="12.75" hidden="false" customHeight="false" outlineLevel="0" collapsed="false">
      <c r="A614" s="325"/>
    </row>
    <row r="615" customFormat="false" ht="12.75" hidden="false" customHeight="false" outlineLevel="0" collapsed="false">
      <c r="A615" s="325"/>
    </row>
    <row r="616" customFormat="false" ht="12.75" hidden="false" customHeight="false" outlineLevel="0" collapsed="false">
      <c r="A616" s="325"/>
    </row>
    <row r="617" customFormat="false" ht="12.75" hidden="false" customHeight="false" outlineLevel="0" collapsed="false">
      <c r="A617" s="325"/>
    </row>
    <row r="618" customFormat="false" ht="12.75" hidden="false" customHeight="false" outlineLevel="0" collapsed="false">
      <c r="A618" s="325"/>
    </row>
    <row r="619" customFormat="false" ht="12.75" hidden="false" customHeight="false" outlineLevel="0" collapsed="false">
      <c r="A619" s="325"/>
    </row>
    <row r="620" customFormat="false" ht="12.75" hidden="false" customHeight="false" outlineLevel="0" collapsed="false">
      <c r="A620" s="325"/>
    </row>
    <row r="621" customFormat="false" ht="12.75" hidden="false" customHeight="false" outlineLevel="0" collapsed="false">
      <c r="A621" s="325"/>
    </row>
    <row r="622" customFormat="false" ht="12.75" hidden="false" customHeight="false" outlineLevel="0" collapsed="false">
      <c r="A622" s="325"/>
    </row>
    <row r="623" customFormat="false" ht="12.75" hidden="false" customHeight="false" outlineLevel="0" collapsed="false">
      <c r="A623" s="325"/>
    </row>
    <row r="624" customFormat="false" ht="12.75" hidden="false" customHeight="false" outlineLevel="0" collapsed="false">
      <c r="A624" s="325"/>
    </row>
    <row r="625" customFormat="false" ht="12.75" hidden="false" customHeight="false" outlineLevel="0" collapsed="false">
      <c r="A625" s="325"/>
    </row>
    <row r="626" customFormat="false" ht="12.75" hidden="false" customHeight="false" outlineLevel="0" collapsed="false">
      <c r="A626" s="325"/>
    </row>
    <row r="627" customFormat="false" ht="12.75" hidden="false" customHeight="false" outlineLevel="0" collapsed="false">
      <c r="A627" s="325"/>
    </row>
    <row r="628" customFormat="false" ht="12.75" hidden="false" customHeight="false" outlineLevel="0" collapsed="false">
      <c r="A628" s="325"/>
    </row>
    <row r="629" customFormat="false" ht="12.75" hidden="false" customHeight="false" outlineLevel="0" collapsed="false">
      <c r="A629" s="325"/>
    </row>
    <row r="630" customFormat="false" ht="12.75" hidden="false" customHeight="false" outlineLevel="0" collapsed="false">
      <c r="A630" s="325"/>
    </row>
    <row r="631" customFormat="false" ht="12.75" hidden="false" customHeight="false" outlineLevel="0" collapsed="false">
      <c r="A631" s="325"/>
    </row>
    <row r="632" customFormat="false" ht="12.75" hidden="false" customHeight="false" outlineLevel="0" collapsed="false">
      <c r="A632" s="325"/>
    </row>
    <row r="633" customFormat="false" ht="12.75" hidden="false" customHeight="false" outlineLevel="0" collapsed="false">
      <c r="A633" s="325"/>
    </row>
    <row r="634" customFormat="false" ht="12.75" hidden="false" customHeight="false" outlineLevel="0" collapsed="false">
      <c r="A634" s="325"/>
    </row>
    <row r="635" customFormat="false" ht="12.75" hidden="false" customHeight="false" outlineLevel="0" collapsed="false">
      <c r="A635" s="325"/>
    </row>
    <row r="636" customFormat="false" ht="12.75" hidden="false" customHeight="false" outlineLevel="0" collapsed="false">
      <c r="A636" s="325"/>
    </row>
    <row r="637" customFormat="false" ht="12.75" hidden="false" customHeight="false" outlineLevel="0" collapsed="false">
      <c r="A637" s="325"/>
    </row>
    <row r="638" customFormat="false" ht="12.75" hidden="false" customHeight="false" outlineLevel="0" collapsed="false">
      <c r="A638" s="325"/>
    </row>
    <row r="639" customFormat="false" ht="12.75" hidden="false" customHeight="false" outlineLevel="0" collapsed="false">
      <c r="A639" s="325"/>
    </row>
    <row r="640" customFormat="false" ht="12.75" hidden="false" customHeight="false" outlineLevel="0" collapsed="false">
      <c r="A640" s="325"/>
    </row>
    <row r="641" customFormat="false" ht="12.75" hidden="false" customHeight="false" outlineLevel="0" collapsed="false">
      <c r="A641" s="325"/>
    </row>
    <row r="642" customFormat="false" ht="12.75" hidden="false" customHeight="false" outlineLevel="0" collapsed="false">
      <c r="A642" s="325"/>
    </row>
    <row r="643" customFormat="false" ht="12.75" hidden="false" customHeight="false" outlineLevel="0" collapsed="false">
      <c r="A643" s="325"/>
    </row>
    <row r="644" customFormat="false" ht="12.75" hidden="false" customHeight="false" outlineLevel="0" collapsed="false">
      <c r="A644" s="325"/>
    </row>
    <row r="645" customFormat="false" ht="12.75" hidden="false" customHeight="false" outlineLevel="0" collapsed="false">
      <c r="A645" s="325"/>
    </row>
    <row r="646" customFormat="false" ht="12.75" hidden="false" customHeight="false" outlineLevel="0" collapsed="false">
      <c r="A646" s="325"/>
    </row>
    <row r="647" customFormat="false" ht="12.75" hidden="false" customHeight="false" outlineLevel="0" collapsed="false">
      <c r="A647" s="325"/>
    </row>
    <row r="648" customFormat="false" ht="12.75" hidden="false" customHeight="false" outlineLevel="0" collapsed="false">
      <c r="A648" s="325"/>
    </row>
    <row r="649" customFormat="false" ht="12.75" hidden="false" customHeight="false" outlineLevel="0" collapsed="false">
      <c r="A649" s="325"/>
    </row>
    <row r="650" customFormat="false" ht="12.75" hidden="false" customHeight="false" outlineLevel="0" collapsed="false">
      <c r="A650" s="325"/>
    </row>
    <row r="651" customFormat="false" ht="12.75" hidden="false" customHeight="false" outlineLevel="0" collapsed="false">
      <c r="A651" s="325"/>
    </row>
    <row r="652" customFormat="false" ht="12.75" hidden="false" customHeight="false" outlineLevel="0" collapsed="false">
      <c r="A652" s="325"/>
    </row>
    <row r="653" customFormat="false" ht="12.75" hidden="false" customHeight="false" outlineLevel="0" collapsed="false">
      <c r="A653" s="325"/>
    </row>
    <row r="654" customFormat="false" ht="12.75" hidden="false" customHeight="false" outlineLevel="0" collapsed="false">
      <c r="A654" s="325"/>
    </row>
    <row r="655" customFormat="false" ht="12.75" hidden="false" customHeight="false" outlineLevel="0" collapsed="false">
      <c r="A655" s="325"/>
    </row>
    <row r="656" customFormat="false" ht="12.75" hidden="false" customHeight="false" outlineLevel="0" collapsed="false">
      <c r="A656" s="325"/>
    </row>
    <row r="657" customFormat="false" ht="12.75" hidden="false" customHeight="false" outlineLevel="0" collapsed="false">
      <c r="A657" s="325"/>
    </row>
    <row r="658" customFormat="false" ht="12.75" hidden="false" customHeight="false" outlineLevel="0" collapsed="false">
      <c r="A658" s="325"/>
    </row>
    <row r="659" customFormat="false" ht="12.75" hidden="false" customHeight="false" outlineLevel="0" collapsed="false">
      <c r="A659" s="325"/>
    </row>
    <row r="660" customFormat="false" ht="12.75" hidden="false" customHeight="false" outlineLevel="0" collapsed="false">
      <c r="A660" s="325"/>
    </row>
    <row r="661" customFormat="false" ht="12.75" hidden="false" customHeight="false" outlineLevel="0" collapsed="false">
      <c r="A661" s="325"/>
    </row>
    <row r="662" customFormat="false" ht="12.75" hidden="false" customHeight="false" outlineLevel="0" collapsed="false">
      <c r="A662" s="325"/>
    </row>
    <row r="663" customFormat="false" ht="12.75" hidden="false" customHeight="false" outlineLevel="0" collapsed="false">
      <c r="A663" s="325"/>
    </row>
    <row r="664" customFormat="false" ht="12.75" hidden="false" customHeight="false" outlineLevel="0" collapsed="false">
      <c r="A664" s="325"/>
    </row>
    <row r="665" customFormat="false" ht="12.75" hidden="false" customHeight="false" outlineLevel="0" collapsed="false">
      <c r="A665" s="325"/>
    </row>
    <row r="666" customFormat="false" ht="12.75" hidden="false" customHeight="false" outlineLevel="0" collapsed="false">
      <c r="A666" s="325"/>
    </row>
    <row r="667" customFormat="false" ht="12.75" hidden="false" customHeight="false" outlineLevel="0" collapsed="false">
      <c r="A667" s="325"/>
    </row>
    <row r="668" customFormat="false" ht="12.75" hidden="false" customHeight="false" outlineLevel="0" collapsed="false">
      <c r="A668" s="325"/>
    </row>
    <row r="669" customFormat="false" ht="12.75" hidden="false" customHeight="false" outlineLevel="0" collapsed="false">
      <c r="A669" s="325"/>
    </row>
    <row r="670" customFormat="false" ht="12.75" hidden="false" customHeight="false" outlineLevel="0" collapsed="false">
      <c r="A670" s="325"/>
    </row>
    <row r="671" customFormat="false" ht="12.75" hidden="false" customHeight="false" outlineLevel="0" collapsed="false">
      <c r="A671" s="325"/>
    </row>
    <row r="672" customFormat="false" ht="12.75" hidden="false" customHeight="false" outlineLevel="0" collapsed="false">
      <c r="A672" s="325"/>
    </row>
    <row r="673" customFormat="false" ht="12.75" hidden="false" customHeight="false" outlineLevel="0" collapsed="false">
      <c r="A673" s="325"/>
    </row>
    <row r="674" customFormat="false" ht="12.75" hidden="false" customHeight="false" outlineLevel="0" collapsed="false">
      <c r="A674" s="325"/>
    </row>
    <row r="675" customFormat="false" ht="12.75" hidden="false" customHeight="false" outlineLevel="0" collapsed="false">
      <c r="A675" s="325"/>
    </row>
    <row r="676" customFormat="false" ht="12.75" hidden="false" customHeight="false" outlineLevel="0" collapsed="false">
      <c r="A676" s="325"/>
    </row>
    <row r="677" customFormat="false" ht="12.75" hidden="false" customHeight="false" outlineLevel="0" collapsed="false">
      <c r="A677" s="325"/>
    </row>
    <row r="678" customFormat="false" ht="12.75" hidden="false" customHeight="false" outlineLevel="0" collapsed="false">
      <c r="A678" s="325"/>
    </row>
    <row r="679" customFormat="false" ht="12.75" hidden="false" customHeight="false" outlineLevel="0" collapsed="false">
      <c r="A679" s="325"/>
    </row>
    <row r="680" customFormat="false" ht="12.75" hidden="false" customHeight="false" outlineLevel="0" collapsed="false">
      <c r="A680" s="325"/>
    </row>
    <row r="681" customFormat="false" ht="12.75" hidden="false" customHeight="false" outlineLevel="0" collapsed="false">
      <c r="A681" s="325"/>
    </row>
    <row r="682" customFormat="false" ht="12.75" hidden="false" customHeight="false" outlineLevel="0" collapsed="false">
      <c r="A682" s="325"/>
    </row>
    <row r="683" customFormat="false" ht="12.75" hidden="false" customHeight="false" outlineLevel="0" collapsed="false">
      <c r="A683" s="325"/>
    </row>
    <row r="684" customFormat="false" ht="12.75" hidden="false" customHeight="false" outlineLevel="0" collapsed="false">
      <c r="A684" s="325"/>
    </row>
    <row r="685" customFormat="false" ht="12.75" hidden="false" customHeight="false" outlineLevel="0" collapsed="false">
      <c r="A685" s="325"/>
    </row>
    <row r="686" customFormat="false" ht="12.75" hidden="false" customHeight="false" outlineLevel="0" collapsed="false">
      <c r="A686" s="325"/>
    </row>
    <row r="687" customFormat="false" ht="12.75" hidden="false" customHeight="false" outlineLevel="0" collapsed="false">
      <c r="A687" s="325"/>
    </row>
    <row r="688" customFormat="false" ht="12.75" hidden="false" customHeight="false" outlineLevel="0" collapsed="false">
      <c r="A688" s="325"/>
    </row>
    <row r="689" customFormat="false" ht="12.75" hidden="false" customHeight="false" outlineLevel="0" collapsed="false">
      <c r="A689" s="325"/>
    </row>
    <row r="690" customFormat="false" ht="12.75" hidden="false" customHeight="false" outlineLevel="0" collapsed="false">
      <c r="A690" s="325"/>
    </row>
    <row r="691" customFormat="false" ht="12.75" hidden="false" customHeight="false" outlineLevel="0" collapsed="false">
      <c r="A691" s="325"/>
    </row>
    <row r="692" customFormat="false" ht="12.75" hidden="false" customHeight="false" outlineLevel="0" collapsed="false">
      <c r="A692" s="325"/>
    </row>
    <row r="693" customFormat="false" ht="12.75" hidden="false" customHeight="false" outlineLevel="0" collapsed="false">
      <c r="A693" s="325"/>
    </row>
    <row r="694" customFormat="false" ht="12.75" hidden="false" customHeight="false" outlineLevel="0" collapsed="false">
      <c r="A694" s="325"/>
    </row>
    <row r="695" customFormat="false" ht="12.75" hidden="false" customHeight="false" outlineLevel="0" collapsed="false">
      <c r="A695" s="325"/>
    </row>
    <row r="696" customFormat="false" ht="12.75" hidden="false" customHeight="false" outlineLevel="0" collapsed="false">
      <c r="A696" s="325"/>
    </row>
    <row r="697" customFormat="false" ht="12.75" hidden="false" customHeight="false" outlineLevel="0" collapsed="false">
      <c r="A697" s="325"/>
    </row>
    <row r="698" customFormat="false" ht="12.75" hidden="false" customHeight="false" outlineLevel="0" collapsed="false">
      <c r="A698" s="325"/>
    </row>
    <row r="699" customFormat="false" ht="12.75" hidden="false" customHeight="false" outlineLevel="0" collapsed="false">
      <c r="A699" s="325"/>
    </row>
    <row r="700" customFormat="false" ht="12.75" hidden="false" customHeight="false" outlineLevel="0" collapsed="false">
      <c r="A700" s="325"/>
    </row>
    <row r="701" customFormat="false" ht="12.75" hidden="false" customHeight="false" outlineLevel="0" collapsed="false">
      <c r="A701" s="325"/>
    </row>
    <row r="702" customFormat="false" ht="12.75" hidden="false" customHeight="false" outlineLevel="0" collapsed="false">
      <c r="A702" s="325"/>
    </row>
    <row r="703" customFormat="false" ht="12.75" hidden="false" customHeight="false" outlineLevel="0" collapsed="false">
      <c r="A703" s="325"/>
    </row>
    <row r="704" customFormat="false" ht="12.75" hidden="false" customHeight="false" outlineLevel="0" collapsed="false">
      <c r="A704" s="325"/>
    </row>
    <row r="705" customFormat="false" ht="12.75" hidden="false" customHeight="false" outlineLevel="0" collapsed="false">
      <c r="A705" s="325"/>
    </row>
    <row r="706" customFormat="false" ht="12.75" hidden="false" customHeight="false" outlineLevel="0" collapsed="false">
      <c r="A706" s="325"/>
    </row>
    <row r="707" customFormat="false" ht="12.75" hidden="false" customHeight="false" outlineLevel="0" collapsed="false">
      <c r="A707" s="325"/>
    </row>
    <row r="708" customFormat="false" ht="12.75" hidden="false" customHeight="false" outlineLevel="0" collapsed="false">
      <c r="A708" s="325"/>
    </row>
    <row r="709" customFormat="false" ht="12.75" hidden="false" customHeight="false" outlineLevel="0" collapsed="false">
      <c r="A709" s="325"/>
    </row>
    <row r="710" customFormat="false" ht="12.75" hidden="false" customHeight="false" outlineLevel="0" collapsed="false">
      <c r="A710" s="325"/>
    </row>
    <row r="711" customFormat="false" ht="12.75" hidden="false" customHeight="false" outlineLevel="0" collapsed="false">
      <c r="A711" s="325"/>
    </row>
    <row r="712" customFormat="false" ht="12.75" hidden="false" customHeight="false" outlineLevel="0" collapsed="false">
      <c r="A712" s="325"/>
    </row>
    <row r="713" customFormat="false" ht="12.75" hidden="false" customHeight="false" outlineLevel="0" collapsed="false">
      <c r="A713" s="325"/>
    </row>
    <row r="714" customFormat="false" ht="12.75" hidden="false" customHeight="false" outlineLevel="0" collapsed="false">
      <c r="A714" s="325"/>
    </row>
    <row r="715" customFormat="false" ht="12.75" hidden="false" customHeight="false" outlineLevel="0" collapsed="false">
      <c r="A715" s="325"/>
    </row>
    <row r="716" customFormat="false" ht="12.75" hidden="false" customHeight="false" outlineLevel="0" collapsed="false">
      <c r="A716" s="325"/>
    </row>
    <row r="717" customFormat="false" ht="12.75" hidden="false" customHeight="false" outlineLevel="0" collapsed="false">
      <c r="A717" s="325"/>
    </row>
    <row r="718" customFormat="false" ht="12.75" hidden="false" customHeight="false" outlineLevel="0" collapsed="false">
      <c r="A718" s="325"/>
    </row>
    <row r="719" customFormat="false" ht="12.75" hidden="false" customHeight="false" outlineLevel="0" collapsed="false">
      <c r="A719" s="325"/>
    </row>
    <row r="720" customFormat="false" ht="12.75" hidden="false" customHeight="false" outlineLevel="0" collapsed="false">
      <c r="A720" s="325"/>
    </row>
    <row r="721" customFormat="false" ht="12.75" hidden="false" customHeight="false" outlineLevel="0" collapsed="false">
      <c r="A721" s="325"/>
    </row>
    <row r="722" customFormat="false" ht="12.75" hidden="false" customHeight="false" outlineLevel="0" collapsed="false">
      <c r="A722" s="325"/>
    </row>
    <row r="723" customFormat="false" ht="12.75" hidden="false" customHeight="false" outlineLevel="0" collapsed="false">
      <c r="A723" s="325"/>
    </row>
    <row r="724" customFormat="false" ht="12.75" hidden="false" customHeight="false" outlineLevel="0" collapsed="false">
      <c r="A724" s="325"/>
    </row>
    <row r="725" customFormat="false" ht="12.75" hidden="false" customHeight="false" outlineLevel="0" collapsed="false">
      <c r="A725" s="325"/>
    </row>
    <row r="726" customFormat="false" ht="12.75" hidden="false" customHeight="false" outlineLevel="0" collapsed="false">
      <c r="A726" s="325"/>
    </row>
    <row r="727" customFormat="false" ht="12.75" hidden="false" customHeight="false" outlineLevel="0" collapsed="false">
      <c r="A727" s="325"/>
    </row>
    <row r="728" customFormat="false" ht="12.75" hidden="false" customHeight="false" outlineLevel="0" collapsed="false">
      <c r="A728" s="325"/>
    </row>
    <row r="729" customFormat="false" ht="12.75" hidden="false" customHeight="false" outlineLevel="0" collapsed="false">
      <c r="A729" s="325"/>
    </row>
    <row r="730" customFormat="false" ht="12.75" hidden="false" customHeight="false" outlineLevel="0" collapsed="false">
      <c r="A730" s="325"/>
    </row>
    <row r="731" customFormat="false" ht="12.75" hidden="false" customHeight="false" outlineLevel="0" collapsed="false">
      <c r="A731" s="325"/>
    </row>
    <row r="732" customFormat="false" ht="12.75" hidden="false" customHeight="false" outlineLevel="0" collapsed="false">
      <c r="A732" s="325"/>
    </row>
    <row r="733" customFormat="false" ht="12.75" hidden="false" customHeight="false" outlineLevel="0" collapsed="false">
      <c r="A733" s="325"/>
    </row>
    <row r="734" customFormat="false" ht="12.75" hidden="false" customHeight="false" outlineLevel="0" collapsed="false">
      <c r="A734" s="325"/>
    </row>
    <row r="735" customFormat="false" ht="12.75" hidden="false" customHeight="false" outlineLevel="0" collapsed="false">
      <c r="A735" s="325"/>
    </row>
    <row r="736" customFormat="false" ht="12.75" hidden="false" customHeight="false" outlineLevel="0" collapsed="false">
      <c r="A736" s="325"/>
    </row>
    <row r="737" customFormat="false" ht="12.75" hidden="false" customHeight="false" outlineLevel="0" collapsed="false">
      <c r="A737" s="325"/>
    </row>
    <row r="738" customFormat="false" ht="12.75" hidden="false" customHeight="false" outlineLevel="0" collapsed="false">
      <c r="A738" s="325"/>
    </row>
    <row r="739" customFormat="false" ht="12.75" hidden="false" customHeight="false" outlineLevel="0" collapsed="false">
      <c r="A739" s="325"/>
    </row>
    <row r="740" customFormat="false" ht="12.75" hidden="false" customHeight="false" outlineLevel="0" collapsed="false">
      <c r="A740" s="325"/>
    </row>
    <row r="741" customFormat="false" ht="12.75" hidden="false" customHeight="false" outlineLevel="0" collapsed="false">
      <c r="A741" s="325"/>
    </row>
    <row r="742" customFormat="false" ht="12.75" hidden="false" customHeight="false" outlineLevel="0" collapsed="false">
      <c r="A742" s="325"/>
    </row>
    <row r="743" customFormat="false" ht="12.75" hidden="false" customHeight="false" outlineLevel="0" collapsed="false">
      <c r="A743" s="325"/>
    </row>
    <row r="744" customFormat="false" ht="12.75" hidden="false" customHeight="false" outlineLevel="0" collapsed="false">
      <c r="A744" s="325"/>
    </row>
    <row r="745" customFormat="false" ht="12.75" hidden="false" customHeight="false" outlineLevel="0" collapsed="false">
      <c r="A745" s="325"/>
    </row>
    <row r="746" customFormat="false" ht="12.75" hidden="false" customHeight="false" outlineLevel="0" collapsed="false">
      <c r="A746" s="325"/>
    </row>
    <row r="747" customFormat="false" ht="12.75" hidden="false" customHeight="false" outlineLevel="0" collapsed="false">
      <c r="A747" s="325"/>
    </row>
    <row r="748" customFormat="false" ht="12.75" hidden="false" customHeight="false" outlineLevel="0" collapsed="false">
      <c r="A748" s="325"/>
    </row>
    <row r="749" customFormat="false" ht="12.75" hidden="false" customHeight="false" outlineLevel="0" collapsed="false">
      <c r="A749" s="325"/>
    </row>
    <row r="750" customFormat="false" ht="12.75" hidden="false" customHeight="false" outlineLevel="0" collapsed="false">
      <c r="A750" s="325"/>
    </row>
    <row r="751" customFormat="false" ht="12.75" hidden="false" customHeight="false" outlineLevel="0" collapsed="false">
      <c r="A751" s="325"/>
    </row>
    <row r="752" customFormat="false" ht="12.75" hidden="false" customHeight="false" outlineLevel="0" collapsed="false">
      <c r="A752" s="325"/>
    </row>
    <row r="753" customFormat="false" ht="12.75" hidden="false" customHeight="false" outlineLevel="0" collapsed="false">
      <c r="A753" s="325"/>
    </row>
    <row r="754" customFormat="false" ht="12.75" hidden="false" customHeight="false" outlineLevel="0" collapsed="false">
      <c r="A754" s="325"/>
    </row>
    <row r="755" customFormat="false" ht="12.75" hidden="false" customHeight="false" outlineLevel="0" collapsed="false">
      <c r="A755" s="325"/>
    </row>
    <row r="756" customFormat="false" ht="12.75" hidden="false" customHeight="false" outlineLevel="0" collapsed="false">
      <c r="A756" s="325"/>
    </row>
    <row r="757" customFormat="false" ht="12.75" hidden="false" customHeight="false" outlineLevel="0" collapsed="false">
      <c r="A757" s="325"/>
    </row>
    <row r="758" customFormat="false" ht="12.75" hidden="false" customHeight="false" outlineLevel="0" collapsed="false">
      <c r="A758" s="325"/>
    </row>
    <row r="759" customFormat="false" ht="12.75" hidden="false" customHeight="false" outlineLevel="0" collapsed="false">
      <c r="A759" s="325"/>
    </row>
    <row r="760" customFormat="false" ht="12.75" hidden="false" customHeight="false" outlineLevel="0" collapsed="false">
      <c r="A760" s="325"/>
    </row>
    <row r="761" customFormat="false" ht="12.75" hidden="false" customHeight="false" outlineLevel="0" collapsed="false">
      <c r="A761" s="325"/>
    </row>
    <row r="762" customFormat="false" ht="12.75" hidden="false" customHeight="false" outlineLevel="0" collapsed="false">
      <c r="A762" s="325"/>
    </row>
    <row r="763" customFormat="false" ht="12.75" hidden="false" customHeight="false" outlineLevel="0" collapsed="false">
      <c r="A763" s="325"/>
    </row>
    <row r="764" customFormat="false" ht="12.75" hidden="false" customHeight="false" outlineLevel="0" collapsed="false">
      <c r="A764" s="325"/>
    </row>
    <row r="765" customFormat="false" ht="12.75" hidden="false" customHeight="false" outlineLevel="0" collapsed="false">
      <c r="A765" s="325"/>
    </row>
    <row r="766" customFormat="false" ht="12.75" hidden="false" customHeight="false" outlineLevel="0" collapsed="false">
      <c r="A766" s="325"/>
    </row>
    <row r="767" customFormat="false" ht="12.75" hidden="false" customHeight="false" outlineLevel="0" collapsed="false">
      <c r="A767" s="325"/>
    </row>
    <row r="768" customFormat="false" ht="12.75" hidden="false" customHeight="false" outlineLevel="0" collapsed="false">
      <c r="A768" s="325"/>
    </row>
    <row r="769" customFormat="false" ht="12.75" hidden="false" customHeight="false" outlineLevel="0" collapsed="false">
      <c r="A769" s="325"/>
    </row>
    <row r="770" customFormat="false" ht="12.75" hidden="false" customHeight="false" outlineLevel="0" collapsed="false">
      <c r="A770" s="325"/>
    </row>
    <row r="771" customFormat="false" ht="12.75" hidden="false" customHeight="false" outlineLevel="0" collapsed="false">
      <c r="A771" s="325"/>
    </row>
    <row r="772" customFormat="false" ht="12.75" hidden="false" customHeight="false" outlineLevel="0" collapsed="false">
      <c r="A772" s="325"/>
    </row>
    <row r="773" customFormat="false" ht="12.75" hidden="false" customHeight="false" outlineLevel="0" collapsed="false">
      <c r="A773" s="325"/>
    </row>
    <row r="774" customFormat="false" ht="12.75" hidden="false" customHeight="false" outlineLevel="0" collapsed="false">
      <c r="A774" s="325"/>
    </row>
    <row r="775" customFormat="false" ht="12.75" hidden="false" customHeight="false" outlineLevel="0" collapsed="false">
      <c r="A775" s="325"/>
    </row>
    <row r="776" customFormat="false" ht="12.75" hidden="false" customHeight="false" outlineLevel="0" collapsed="false">
      <c r="A776" s="325"/>
    </row>
    <row r="777" customFormat="false" ht="12.75" hidden="false" customHeight="false" outlineLevel="0" collapsed="false">
      <c r="A777" s="325"/>
    </row>
    <row r="778" customFormat="false" ht="12.75" hidden="false" customHeight="false" outlineLevel="0" collapsed="false">
      <c r="A778" s="325"/>
    </row>
    <row r="779" customFormat="false" ht="12.75" hidden="false" customHeight="false" outlineLevel="0" collapsed="false">
      <c r="A779" s="325"/>
    </row>
    <row r="780" customFormat="false" ht="12.75" hidden="false" customHeight="false" outlineLevel="0" collapsed="false">
      <c r="A780" s="325"/>
    </row>
    <row r="781" customFormat="false" ht="12.75" hidden="false" customHeight="false" outlineLevel="0" collapsed="false">
      <c r="A781" s="325"/>
    </row>
    <row r="782" customFormat="false" ht="12.75" hidden="false" customHeight="false" outlineLevel="0" collapsed="false">
      <c r="A782" s="325"/>
    </row>
    <row r="783" customFormat="false" ht="12.75" hidden="false" customHeight="false" outlineLevel="0" collapsed="false">
      <c r="A783" s="325"/>
    </row>
    <row r="784" customFormat="false" ht="12.75" hidden="false" customHeight="false" outlineLevel="0" collapsed="false">
      <c r="A784" s="325"/>
    </row>
    <row r="785" customFormat="false" ht="12.75" hidden="false" customHeight="false" outlineLevel="0" collapsed="false">
      <c r="A785" s="325"/>
    </row>
    <row r="786" customFormat="false" ht="12.75" hidden="false" customHeight="false" outlineLevel="0" collapsed="false">
      <c r="A786" s="325"/>
    </row>
    <row r="787" customFormat="false" ht="12.75" hidden="false" customHeight="false" outlineLevel="0" collapsed="false">
      <c r="A787" s="325"/>
    </row>
    <row r="788" customFormat="false" ht="12.75" hidden="false" customHeight="false" outlineLevel="0" collapsed="false">
      <c r="A788" s="325"/>
    </row>
    <row r="789" customFormat="false" ht="12.75" hidden="false" customHeight="false" outlineLevel="0" collapsed="false">
      <c r="A789" s="325"/>
    </row>
    <row r="790" customFormat="false" ht="12.75" hidden="false" customHeight="false" outlineLevel="0" collapsed="false">
      <c r="A790" s="325"/>
    </row>
    <row r="791" customFormat="false" ht="12.75" hidden="false" customHeight="false" outlineLevel="0" collapsed="false">
      <c r="A791" s="325"/>
    </row>
    <row r="792" customFormat="false" ht="12.75" hidden="false" customHeight="false" outlineLevel="0" collapsed="false">
      <c r="A792" s="325"/>
    </row>
    <row r="793" customFormat="false" ht="12.75" hidden="false" customHeight="false" outlineLevel="0" collapsed="false">
      <c r="A793" s="325"/>
    </row>
    <row r="794" customFormat="false" ht="12.75" hidden="false" customHeight="false" outlineLevel="0" collapsed="false">
      <c r="A794" s="325"/>
    </row>
    <row r="795" customFormat="false" ht="12.75" hidden="false" customHeight="false" outlineLevel="0" collapsed="false">
      <c r="A795" s="325"/>
    </row>
    <row r="796" customFormat="false" ht="12.75" hidden="false" customHeight="false" outlineLevel="0" collapsed="false">
      <c r="A796" s="325"/>
    </row>
    <row r="797" customFormat="false" ht="12.75" hidden="false" customHeight="false" outlineLevel="0" collapsed="false">
      <c r="A797" s="325"/>
    </row>
    <row r="798" customFormat="false" ht="12.75" hidden="false" customHeight="false" outlineLevel="0" collapsed="false">
      <c r="A798" s="325"/>
    </row>
    <row r="799" customFormat="false" ht="12.75" hidden="false" customHeight="false" outlineLevel="0" collapsed="false">
      <c r="A799" s="325"/>
    </row>
    <row r="800" customFormat="false" ht="12.75" hidden="false" customHeight="false" outlineLevel="0" collapsed="false">
      <c r="A800" s="325"/>
    </row>
    <row r="801" customFormat="false" ht="12.75" hidden="false" customHeight="false" outlineLevel="0" collapsed="false">
      <c r="A801" s="325"/>
    </row>
    <row r="802" customFormat="false" ht="12.75" hidden="false" customHeight="false" outlineLevel="0" collapsed="false">
      <c r="A802" s="325"/>
    </row>
    <row r="803" customFormat="false" ht="12.75" hidden="false" customHeight="false" outlineLevel="0" collapsed="false">
      <c r="A803" s="325"/>
    </row>
    <row r="804" customFormat="false" ht="12.75" hidden="false" customHeight="false" outlineLevel="0" collapsed="false">
      <c r="A804" s="325"/>
    </row>
    <row r="805" customFormat="false" ht="12.75" hidden="false" customHeight="false" outlineLevel="0" collapsed="false">
      <c r="A805" s="325"/>
    </row>
    <row r="806" customFormat="false" ht="12.75" hidden="false" customHeight="false" outlineLevel="0" collapsed="false">
      <c r="A806" s="325"/>
    </row>
    <row r="807" customFormat="false" ht="12.75" hidden="false" customHeight="false" outlineLevel="0" collapsed="false">
      <c r="A807" s="325"/>
    </row>
    <row r="808" customFormat="false" ht="12.75" hidden="false" customHeight="false" outlineLevel="0" collapsed="false">
      <c r="A808" s="325"/>
    </row>
    <row r="809" customFormat="false" ht="12.75" hidden="false" customHeight="false" outlineLevel="0" collapsed="false">
      <c r="A809" s="325"/>
    </row>
    <row r="810" customFormat="false" ht="12.75" hidden="false" customHeight="false" outlineLevel="0" collapsed="false">
      <c r="A810" s="325"/>
    </row>
    <row r="811" customFormat="false" ht="12.75" hidden="false" customHeight="false" outlineLevel="0" collapsed="false">
      <c r="A811" s="325"/>
    </row>
    <row r="812" customFormat="false" ht="12.75" hidden="false" customHeight="false" outlineLevel="0" collapsed="false">
      <c r="A812" s="325"/>
    </row>
    <row r="813" customFormat="false" ht="12.75" hidden="false" customHeight="false" outlineLevel="0" collapsed="false">
      <c r="A813" s="325"/>
    </row>
    <row r="814" customFormat="false" ht="12.75" hidden="false" customHeight="false" outlineLevel="0" collapsed="false">
      <c r="A814" s="325"/>
    </row>
    <row r="815" customFormat="false" ht="12.75" hidden="false" customHeight="false" outlineLevel="0" collapsed="false">
      <c r="A815" s="325"/>
    </row>
    <row r="816" customFormat="false" ht="12.75" hidden="false" customHeight="false" outlineLevel="0" collapsed="false">
      <c r="A816" s="325"/>
    </row>
    <row r="817" customFormat="false" ht="12.75" hidden="false" customHeight="false" outlineLevel="0" collapsed="false">
      <c r="A817" s="325"/>
    </row>
    <row r="818" customFormat="false" ht="12.75" hidden="false" customHeight="false" outlineLevel="0" collapsed="false">
      <c r="A818" s="325"/>
    </row>
    <row r="819" customFormat="false" ht="12.75" hidden="false" customHeight="false" outlineLevel="0" collapsed="false">
      <c r="A819" s="325"/>
    </row>
    <row r="820" customFormat="false" ht="12.75" hidden="false" customHeight="false" outlineLevel="0" collapsed="false">
      <c r="A820" s="325"/>
    </row>
    <row r="821" customFormat="false" ht="12.75" hidden="false" customHeight="false" outlineLevel="0" collapsed="false">
      <c r="A821" s="325"/>
    </row>
    <row r="822" customFormat="false" ht="12.75" hidden="false" customHeight="false" outlineLevel="0" collapsed="false">
      <c r="A822" s="325"/>
    </row>
    <row r="823" customFormat="false" ht="12.75" hidden="false" customHeight="false" outlineLevel="0" collapsed="false">
      <c r="A823" s="325"/>
    </row>
    <row r="824" customFormat="false" ht="12.75" hidden="false" customHeight="false" outlineLevel="0" collapsed="false">
      <c r="A824" s="325"/>
    </row>
    <row r="825" customFormat="false" ht="12.75" hidden="false" customHeight="false" outlineLevel="0" collapsed="false">
      <c r="A825" s="325"/>
    </row>
    <row r="826" customFormat="false" ht="12.75" hidden="false" customHeight="false" outlineLevel="0" collapsed="false">
      <c r="A826" s="325"/>
    </row>
    <row r="827" customFormat="false" ht="12.75" hidden="false" customHeight="false" outlineLevel="0" collapsed="false">
      <c r="A827" s="325"/>
    </row>
    <row r="828" customFormat="false" ht="12.75" hidden="false" customHeight="false" outlineLevel="0" collapsed="false">
      <c r="A828" s="325"/>
    </row>
    <row r="829" customFormat="false" ht="12.75" hidden="false" customHeight="false" outlineLevel="0" collapsed="false">
      <c r="A829" s="325"/>
    </row>
    <row r="830" customFormat="false" ht="12.75" hidden="false" customHeight="false" outlineLevel="0" collapsed="false">
      <c r="A830" s="325"/>
    </row>
    <row r="831" customFormat="false" ht="12.75" hidden="false" customHeight="false" outlineLevel="0" collapsed="false">
      <c r="A831" s="325"/>
    </row>
    <row r="832" customFormat="false" ht="12.75" hidden="false" customHeight="false" outlineLevel="0" collapsed="false">
      <c r="A832" s="325"/>
    </row>
    <row r="833" customFormat="false" ht="12.75" hidden="false" customHeight="false" outlineLevel="0" collapsed="false">
      <c r="A833" s="325"/>
    </row>
    <row r="834" customFormat="false" ht="12.75" hidden="false" customHeight="false" outlineLevel="0" collapsed="false">
      <c r="A834" s="325"/>
    </row>
    <row r="835" customFormat="false" ht="12.75" hidden="false" customHeight="false" outlineLevel="0" collapsed="false">
      <c r="A835" s="325"/>
    </row>
    <row r="836" customFormat="false" ht="12.75" hidden="false" customHeight="false" outlineLevel="0" collapsed="false">
      <c r="A836" s="325"/>
    </row>
    <row r="837" customFormat="false" ht="12.75" hidden="false" customHeight="false" outlineLevel="0" collapsed="false">
      <c r="A837" s="325"/>
    </row>
    <row r="838" customFormat="false" ht="12.75" hidden="false" customHeight="false" outlineLevel="0" collapsed="false">
      <c r="A838" s="325"/>
    </row>
    <row r="839" customFormat="false" ht="12.75" hidden="false" customHeight="false" outlineLevel="0" collapsed="false">
      <c r="A839" s="325"/>
    </row>
    <row r="840" customFormat="false" ht="12.75" hidden="false" customHeight="false" outlineLevel="0" collapsed="false">
      <c r="A840" s="325"/>
    </row>
    <row r="841" customFormat="false" ht="12.75" hidden="false" customHeight="false" outlineLevel="0" collapsed="false">
      <c r="A841" s="325"/>
    </row>
    <row r="842" customFormat="false" ht="12.75" hidden="false" customHeight="false" outlineLevel="0" collapsed="false">
      <c r="A842" s="325"/>
    </row>
    <row r="843" customFormat="false" ht="12.75" hidden="false" customHeight="false" outlineLevel="0" collapsed="false">
      <c r="A843" s="325"/>
    </row>
    <row r="844" customFormat="false" ht="12.75" hidden="false" customHeight="false" outlineLevel="0" collapsed="false">
      <c r="A844" s="325"/>
    </row>
    <row r="845" customFormat="false" ht="12.75" hidden="false" customHeight="false" outlineLevel="0" collapsed="false">
      <c r="A845" s="325"/>
    </row>
    <row r="846" customFormat="false" ht="12.75" hidden="false" customHeight="false" outlineLevel="0" collapsed="false">
      <c r="A846" s="325"/>
    </row>
    <row r="847" customFormat="false" ht="12.75" hidden="false" customHeight="false" outlineLevel="0" collapsed="false">
      <c r="A847" s="325"/>
    </row>
    <row r="848" customFormat="false" ht="12.75" hidden="false" customHeight="false" outlineLevel="0" collapsed="false">
      <c r="A848" s="325"/>
    </row>
    <row r="849" customFormat="false" ht="12.75" hidden="false" customHeight="false" outlineLevel="0" collapsed="false">
      <c r="A849" s="325"/>
    </row>
    <row r="850" customFormat="false" ht="12.75" hidden="false" customHeight="false" outlineLevel="0" collapsed="false">
      <c r="A850" s="325"/>
    </row>
    <row r="851" customFormat="false" ht="12.75" hidden="false" customHeight="false" outlineLevel="0" collapsed="false">
      <c r="A851" s="325"/>
    </row>
    <row r="852" customFormat="false" ht="12.75" hidden="false" customHeight="false" outlineLevel="0" collapsed="false">
      <c r="A852" s="325"/>
    </row>
    <row r="853" customFormat="false" ht="12.75" hidden="false" customHeight="false" outlineLevel="0" collapsed="false">
      <c r="A853" s="325"/>
    </row>
    <row r="854" customFormat="false" ht="12.75" hidden="false" customHeight="false" outlineLevel="0" collapsed="false">
      <c r="A854" s="325"/>
    </row>
    <row r="855" customFormat="false" ht="12.75" hidden="false" customHeight="false" outlineLevel="0" collapsed="false">
      <c r="A855" s="325"/>
    </row>
    <row r="856" customFormat="false" ht="12.75" hidden="false" customHeight="false" outlineLevel="0" collapsed="false">
      <c r="A856" s="325"/>
    </row>
    <row r="857" customFormat="false" ht="12.75" hidden="false" customHeight="false" outlineLevel="0" collapsed="false">
      <c r="A857" s="325"/>
    </row>
    <row r="858" customFormat="false" ht="12.75" hidden="false" customHeight="false" outlineLevel="0" collapsed="false">
      <c r="A858" s="325"/>
    </row>
    <row r="859" customFormat="false" ht="12.75" hidden="false" customHeight="false" outlineLevel="0" collapsed="false">
      <c r="A859" s="325"/>
    </row>
    <row r="860" customFormat="false" ht="12.75" hidden="false" customHeight="false" outlineLevel="0" collapsed="false">
      <c r="A860" s="325"/>
    </row>
    <row r="861" customFormat="false" ht="12.75" hidden="false" customHeight="false" outlineLevel="0" collapsed="false">
      <c r="A861" s="325"/>
    </row>
    <row r="862" customFormat="false" ht="12.75" hidden="false" customHeight="false" outlineLevel="0" collapsed="false">
      <c r="A862" s="325"/>
    </row>
    <row r="863" customFormat="false" ht="12.75" hidden="false" customHeight="false" outlineLevel="0" collapsed="false">
      <c r="A863" s="325"/>
    </row>
    <row r="864" customFormat="false" ht="12.75" hidden="false" customHeight="false" outlineLevel="0" collapsed="false">
      <c r="A864" s="325"/>
    </row>
    <row r="865" customFormat="false" ht="12.75" hidden="false" customHeight="false" outlineLevel="0" collapsed="false">
      <c r="A865" s="325"/>
    </row>
    <row r="866" customFormat="false" ht="12.75" hidden="false" customHeight="false" outlineLevel="0" collapsed="false">
      <c r="A866" s="325"/>
    </row>
    <row r="867" customFormat="false" ht="12.75" hidden="false" customHeight="false" outlineLevel="0" collapsed="false">
      <c r="A867" s="325"/>
    </row>
    <row r="868" customFormat="false" ht="12.75" hidden="false" customHeight="false" outlineLevel="0" collapsed="false">
      <c r="A868" s="325"/>
    </row>
    <row r="869" customFormat="false" ht="12.75" hidden="false" customHeight="false" outlineLevel="0" collapsed="false">
      <c r="A869" s="325"/>
    </row>
    <row r="870" customFormat="false" ht="12.75" hidden="false" customHeight="false" outlineLevel="0" collapsed="false">
      <c r="A870" s="325"/>
    </row>
    <row r="871" customFormat="false" ht="12.75" hidden="false" customHeight="false" outlineLevel="0" collapsed="false">
      <c r="A871" s="325"/>
    </row>
    <row r="872" customFormat="false" ht="12.75" hidden="false" customHeight="false" outlineLevel="0" collapsed="false">
      <c r="A872" s="325"/>
    </row>
    <row r="873" customFormat="false" ht="12.75" hidden="false" customHeight="false" outlineLevel="0" collapsed="false">
      <c r="A873" s="325"/>
    </row>
    <row r="874" customFormat="false" ht="12.75" hidden="false" customHeight="false" outlineLevel="0" collapsed="false">
      <c r="A874" s="325"/>
    </row>
    <row r="875" customFormat="false" ht="12.75" hidden="false" customHeight="false" outlineLevel="0" collapsed="false">
      <c r="A875" s="325"/>
    </row>
    <row r="876" customFormat="false" ht="12.75" hidden="false" customHeight="false" outlineLevel="0" collapsed="false">
      <c r="A876" s="325"/>
    </row>
    <row r="877" customFormat="false" ht="12.75" hidden="false" customHeight="false" outlineLevel="0" collapsed="false">
      <c r="A877" s="325"/>
    </row>
    <row r="878" customFormat="false" ht="12.75" hidden="false" customHeight="false" outlineLevel="0" collapsed="false">
      <c r="A878" s="325"/>
    </row>
    <row r="879" customFormat="false" ht="12.75" hidden="false" customHeight="false" outlineLevel="0" collapsed="false">
      <c r="A879" s="325"/>
    </row>
    <row r="880" customFormat="false" ht="12.75" hidden="false" customHeight="false" outlineLevel="0" collapsed="false">
      <c r="A880" s="325"/>
    </row>
    <row r="881" customFormat="false" ht="12.75" hidden="false" customHeight="false" outlineLevel="0" collapsed="false">
      <c r="A881" s="325"/>
    </row>
    <row r="882" customFormat="false" ht="12.75" hidden="false" customHeight="false" outlineLevel="0" collapsed="false">
      <c r="A882" s="325"/>
    </row>
    <row r="883" customFormat="false" ht="12.75" hidden="false" customHeight="false" outlineLevel="0" collapsed="false">
      <c r="A883" s="325"/>
    </row>
    <row r="884" customFormat="false" ht="12.75" hidden="false" customHeight="false" outlineLevel="0" collapsed="false">
      <c r="A884" s="325"/>
    </row>
    <row r="885" customFormat="false" ht="12.75" hidden="false" customHeight="false" outlineLevel="0" collapsed="false">
      <c r="A885" s="325"/>
    </row>
    <row r="886" customFormat="false" ht="12.75" hidden="false" customHeight="false" outlineLevel="0" collapsed="false">
      <c r="A886" s="325"/>
    </row>
    <row r="887" customFormat="false" ht="12.75" hidden="false" customHeight="false" outlineLevel="0" collapsed="false">
      <c r="A887" s="325"/>
    </row>
    <row r="888" customFormat="false" ht="12.75" hidden="false" customHeight="false" outlineLevel="0" collapsed="false">
      <c r="A888" s="325"/>
    </row>
    <row r="889" customFormat="false" ht="12.75" hidden="false" customHeight="false" outlineLevel="0" collapsed="false">
      <c r="A889" s="325"/>
    </row>
    <row r="890" customFormat="false" ht="12.75" hidden="false" customHeight="false" outlineLevel="0" collapsed="false">
      <c r="A890" s="325"/>
    </row>
    <row r="891" customFormat="false" ht="12.75" hidden="false" customHeight="false" outlineLevel="0" collapsed="false">
      <c r="A891" s="325"/>
    </row>
    <row r="892" customFormat="false" ht="12.75" hidden="false" customHeight="false" outlineLevel="0" collapsed="false">
      <c r="A892" s="325"/>
    </row>
    <row r="893" customFormat="false" ht="12.75" hidden="false" customHeight="false" outlineLevel="0" collapsed="false">
      <c r="A893" s="325"/>
    </row>
    <row r="894" customFormat="false" ht="12.75" hidden="false" customHeight="false" outlineLevel="0" collapsed="false">
      <c r="A894" s="325"/>
    </row>
    <row r="895" customFormat="false" ht="12.75" hidden="false" customHeight="false" outlineLevel="0" collapsed="false">
      <c r="A895" s="325"/>
    </row>
    <row r="896" customFormat="false" ht="12.75" hidden="false" customHeight="false" outlineLevel="0" collapsed="false">
      <c r="A896" s="325"/>
    </row>
    <row r="897" customFormat="false" ht="12.75" hidden="false" customHeight="false" outlineLevel="0" collapsed="false">
      <c r="A897" s="325"/>
    </row>
    <row r="898" customFormat="false" ht="12.75" hidden="false" customHeight="false" outlineLevel="0" collapsed="false">
      <c r="A898" s="325"/>
    </row>
    <row r="899" customFormat="false" ht="12.75" hidden="false" customHeight="false" outlineLevel="0" collapsed="false">
      <c r="A899" s="325"/>
    </row>
    <row r="900" customFormat="false" ht="12.75" hidden="false" customHeight="false" outlineLevel="0" collapsed="false">
      <c r="A900" s="325"/>
    </row>
    <row r="901" customFormat="false" ht="12.75" hidden="false" customHeight="false" outlineLevel="0" collapsed="false">
      <c r="A901" s="325"/>
    </row>
    <row r="902" customFormat="false" ht="12.75" hidden="false" customHeight="false" outlineLevel="0" collapsed="false">
      <c r="A902" s="325"/>
    </row>
    <row r="903" customFormat="false" ht="12.75" hidden="false" customHeight="false" outlineLevel="0" collapsed="false">
      <c r="A903" s="325"/>
    </row>
    <row r="904" customFormat="false" ht="12.75" hidden="false" customHeight="false" outlineLevel="0" collapsed="false">
      <c r="A904" s="325"/>
    </row>
    <row r="905" customFormat="false" ht="12.75" hidden="false" customHeight="false" outlineLevel="0" collapsed="false">
      <c r="A905" s="325"/>
    </row>
    <row r="906" customFormat="false" ht="12.75" hidden="false" customHeight="false" outlineLevel="0" collapsed="false">
      <c r="A906" s="325"/>
    </row>
    <row r="907" customFormat="false" ht="12.75" hidden="false" customHeight="false" outlineLevel="0" collapsed="false">
      <c r="A907" s="325"/>
    </row>
    <row r="908" customFormat="false" ht="12.75" hidden="false" customHeight="false" outlineLevel="0" collapsed="false">
      <c r="A908" s="325"/>
    </row>
    <row r="909" customFormat="false" ht="12.75" hidden="false" customHeight="false" outlineLevel="0" collapsed="false">
      <c r="A909" s="325"/>
    </row>
    <row r="910" customFormat="false" ht="12.75" hidden="false" customHeight="false" outlineLevel="0" collapsed="false">
      <c r="A910" s="325"/>
    </row>
    <row r="911" customFormat="false" ht="12.75" hidden="false" customHeight="false" outlineLevel="0" collapsed="false">
      <c r="A911" s="325"/>
    </row>
    <row r="912" customFormat="false" ht="12.75" hidden="false" customHeight="false" outlineLevel="0" collapsed="false">
      <c r="A912" s="325"/>
    </row>
    <row r="913" customFormat="false" ht="12.75" hidden="false" customHeight="false" outlineLevel="0" collapsed="false">
      <c r="A913" s="325"/>
    </row>
    <row r="914" customFormat="false" ht="12.75" hidden="false" customHeight="false" outlineLevel="0" collapsed="false">
      <c r="A914" s="325"/>
    </row>
    <row r="915" customFormat="false" ht="12.75" hidden="false" customHeight="false" outlineLevel="0" collapsed="false">
      <c r="A915" s="325"/>
    </row>
    <row r="916" customFormat="false" ht="12.75" hidden="false" customHeight="false" outlineLevel="0" collapsed="false">
      <c r="A916" s="325"/>
    </row>
    <row r="917" customFormat="false" ht="12.75" hidden="false" customHeight="false" outlineLevel="0" collapsed="false">
      <c r="A917" s="325"/>
    </row>
    <row r="918" customFormat="false" ht="12.75" hidden="false" customHeight="false" outlineLevel="0" collapsed="false">
      <c r="A918" s="325"/>
    </row>
    <row r="919" customFormat="false" ht="12.75" hidden="false" customHeight="false" outlineLevel="0" collapsed="false">
      <c r="A919" s="325"/>
    </row>
    <row r="920" customFormat="false" ht="12.75" hidden="false" customHeight="false" outlineLevel="0" collapsed="false">
      <c r="A920" s="325"/>
    </row>
    <row r="921" customFormat="false" ht="12.75" hidden="false" customHeight="false" outlineLevel="0" collapsed="false">
      <c r="A921" s="325"/>
    </row>
    <row r="922" customFormat="false" ht="12.75" hidden="false" customHeight="false" outlineLevel="0" collapsed="false">
      <c r="A922" s="325"/>
    </row>
    <row r="923" customFormat="false" ht="12.75" hidden="false" customHeight="false" outlineLevel="0" collapsed="false">
      <c r="A923" s="325"/>
    </row>
    <row r="924" customFormat="false" ht="12.75" hidden="false" customHeight="false" outlineLevel="0" collapsed="false">
      <c r="A924" s="325"/>
    </row>
    <row r="925" customFormat="false" ht="12.75" hidden="false" customHeight="false" outlineLevel="0" collapsed="false">
      <c r="A925" s="325"/>
    </row>
    <row r="926" customFormat="false" ht="12.75" hidden="false" customHeight="false" outlineLevel="0" collapsed="false">
      <c r="A926" s="325"/>
    </row>
    <row r="927" customFormat="false" ht="12.75" hidden="false" customHeight="false" outlineLevel="0" collapsed="false">
      <c r="A927" s="325"/>
    </row>
    <row r="928" customFormat="false" ht="12.75" hidden="false" customHeight="false" outlineLevel="0" collapsed="false">
      <c r="A928" s="325"/>
    </row>
    <row r="929" customFormat="false" ht="12.75" hidden="false" customHeight="false" outlineLevel="0" collapsed="false">
      <c r="A929" s="325"/>
    </row>
    <row r="930" customFormat="false" ht="12.75" hidden="false" customHeight="false" outlineLevel="0" collapsed="false">
      <c r="A930" s="325"/>
    </row>
    <row r="931" customFormat="false" ht="12.75" hidden="false" customHeight="false" outlineLevel="0" collapsed="false">
      <c r="A931" s="325"/>
    </row>
    <row r="932" customFormat="false" ht="12.75" hidden="false" customHeight="false" outlineLevel="0" collapsed="false">
      <c r="A932" s="325"/>
    </row>
    <row r="933" customFormat="false" ht="12.75" hidden="false" customHeight="false" outlineLevel="0" collapsed="false">
      <c r="A933" s="325"/>
    </row>
    <row r="934" customFormat="false" ht="12.75" hidden="false" customHeight="false" outlineLevel="0" collapsed="false">
      <c r="A934" s="325"/>
    </row>
    <row r="935" customFormat="false" ht="12.75" hidden="false" customHeight="false" outlineLevel="0" collapsed="false">
      <c r="A935" s="325"/>
    </row>
    <row r="936" customFormat="false" ht="12.75" hidden="false" customHeight="false" outlineLevel="0" collapsed="false">
      <c r="A936" s="325"/>
    </row>
    <row r="937" customFormat="false" ht="12.75" hidden="false" customHeight="false" outlineLevel="0" collapsed="false">
      <c r="A937" s="325"/>
    </row>
    <row r="938" customFormat="false" ht="12.75" hidden="false" customHeight="false" outlineLevel="0" collapsed="false">
      <c r="A938" s="325"/>
    </row>
    <row r="939" customFormat="false" ht="12.75" hidden="false" customHeight="false" outlineLevel="0" collapsed="false">
      <c r="A939" s="325"/>
    </row>
    <row r="940" customFormat="false" ht="12.75" hidden="false" customHeight="false" outlineLevel="0" collapsed="false">
      <c r="A940" s="325"/>
    </row>
    <row r="941" customFormat="false" ht="12.75" hidden="false" customHeight="false" outlineLevel="0" collapsed="false">
      <c r="A941" s="325"/>
    </row>
    <row r="942" customFormat="false" ht="12.75" hidden="false" customHeight="false" outlineLevel="0" collapsed="false">
      <c r="A942" s="325"/>
    </row>
    <row r="943" customFormat="false" ht="12.75" hidden="false" customHeight="false" outlineLevel="0" collapsed="false">
      <c r="A943" s="325"/>
    </row>
    <row r="944" customFormat="false" ht="12.75" hidden="false" customHeight="false" outlineLevel="0" collapsed="false">
      <c r="A944" s="325"/>
    </row>
    <row r="945" customFormat="false" ht="12.75" hidden="false" customHeight="false" outlineLevel="0" collapsed="false">
      <c r="A945" s="325"/>
    </row>
    <row r="946" customFormat="false" ht="12.75" hidden="false" customHeight="false" outlineLevel="0" collapsed="false">
      <c r="A946" s="325"/>
    </row>
    <row r="947" customFormat="false" ht="12.75" hidden="false" customHeight="false" outlineLevel="0" collapsed="false">
      <c r="A947" s="325"/>
    </row>
    <row r="948" customFormat="false" ht="12.75" hidden="false" customHeight="false" outlineLevel="0" collapsed="false">
      <c r="A948" s="325"/>
    </row>
    <row r="949" customFormat="false" ht="12.75" hidden="false" customHeight="false" outlineLevel="0" collapsed="false">
      <c r="A949" s="325"/>
    </row>
    <row r="950" customFormat="false" ht="12.75" hidden="false" customHeight="false" outlineLevel="0" collapsed="false">
      <c r="A950" s="325"/>
    </row>
    <row r="951" customFormat="false" ht="12.75" hidden="false" customHeight="false" outlineLevel="0" collapsed="false">
      <c r="A951" s="325"/>
    </row>
    <row r="952" customFormat="false" ht="12.75" hidden="false" customHeight="false" outlineLevel="0" collapsed="false">
      <c r="A952" s="325"/>
    </row>
    <row r="953" customFormat="false" ht="12.75" hidden="false" customHeight="false" outlineLevel="0" collapsed="false">
      <c r="A953" s="325"/>
    </row>
    <row r="954" customFormat="false" ht="12.75" hidden="false" customHeight="false" outlineLevel="0" collapsed="false">
      <c r="A954" s="325"/>
    </row>
    <row r="955" customFormat="false" ht="12.75" hidden="false" customHeight="false" outlineLevel="0" collapsed="false">
      <c r="A955" s="325"/>
    </row>
    <row r="956" customFormat="false" ht="12.75" hidden="false" customHeight="false" outlineLevel="0" collapsed="false">
      <c r="A956" s="325"/>
    </row>
    <row r="957" customFormat="false" ht="12.75" hidden="false" customHeight="false" outlineLevel="0" collapsed="false">
      <c r="A957" s="325"/>
    </row>
    <row r="958" customFormat="false" ht="12.75" hidden="false" customHeight="false" outlineLevel="0" collapsed="false">
      <c r="A958" s="325"/>
    </row>
    <row r="959" customFormat="false" ht="12.75" hidden="false" customHeight="false" outlineLevel="0" collapsed="false">
      <c r="A959" s="325"/>
    </row>
    <row r="960" customFormat="false" ht="12.75" hidden="false" customHeight="false" outlineLevel="0" collapsed="false">
      <c r="A960" s="325"/>
    </row>
    <row r="961" customFormat="false" ht="12.75" hidden="false" customHeight="false" outlineLevel="0" collapsed="false">
      <c r="A961" s="325"/>
    </row>
    <row r="962" customFormat="false" ht="12.75" hidden="false" customHeight="false" outlineLevel="0" collapsed="false">
      <c r="A962" s="325"/>
    </row>
    <row r="963" customFormat="false" ht="12.75" hidden="false" customHeight="false" outlineLevel="0" collapsed="false">
      <c r="A963" s="325"/>
    </row>
    <row r="964" customFormat="false" ht="12.75" hidden="false" customHeight="false" outlineLevel="0" collapsed="false">
      <c r="A964" s="325"/>
    </row>
    <row r="965" customFormat="false" ht="12.75" hidden="false" customHeight="false" outlineLevel="0" collapsed="false">
      <c r="A965" s="325"/>
    </row>
    <row r="966" customFormat="false" ht="12.75" hidden="false" customHeight="false" outlineLevel="0" collapsed="false">
      <c r="A966" s="325"/>
    </row>
    <row r="967" customFormat="false" ht="12.75" hidden="false" customHeight="false" outlineLevel="0" collapsed="false">
      <c r="A967" s="325"/>
    </row>
    <row r="968" customFormat="false" ht="12.75" hidden="false" customHeight="false" outlineLevel="0" collapsed="false">
      <c r="A968" s="325"/>
    </row>
    <row r="969" customFormat="false" ht="12.75" hidden="false" customHeight="false" outlineLevel="0" collapsed="false">
      <c r="A969" s="325"/>
    </row>
    <row r="970" customFormat="false" ht="12.75" hidden="false" customHeight="false" outlineLevel="0" collapsed="false">
      <c r="A970" s="325"/>
    </row>
    <row r="971" customFormat="false" ht="12.75" hidden="false" customHeight="false" outlineLevel="0" collapsed="false">
      <c r="A971" s="325"/>
    </row>
    <row r="972" customFormat="false" ht="12.75" hidden="false" customHeight="false" outlineLevel="0" collapsed="false">
      <c r="A972" s="325"/>
    </row>
    <row r="973" customFormat="false" ht="12.75" hidden="false" customHeight="false" outlineLevel="0" collapsed="false">
      <c r="A973" s="325"/>
    </row>
    <row r="974" customFormat="false" ht="12.75" hidden="false" customHeight="false" outlineLevel="0" collapsed="false">
      <c r="A974" s="325"/>
    </row>
    <row r="975" customFormat="false" ht="12.75" hidden="false" customHeight="false" outlineLevel="0" collapsed="false">
      <c r="A975" s="325"/>
    </row>
    <row r="976" customFormat="false" ht="12.75" hidden="false" customHeight="false" outlineLevel="0" collapsed="false">
      <c r="A976" s="325"/>
    </row>
    <row r="977" customFormat="false" ht="12.75" hidden="false" customHeight="false" outlineLevel="0" collapsed="false">
      <c r="A977" s="325"/>
    </row>
    <row r="978" customFormat="false" ht="12.75" hidden="false" customHeight="false" outlineLevel="0" collapsed="false">
      <c r="A978" s="325"/>
    </row>
    <row r="979" customFormat="false" ht="12.75" hidden="false" customHeight="false" outlineLevel="0" collapsed="false">
      <c r="A979" s="325"/>
    </row>
    <row r="980" customFormat="false" ht="12.75" hidden="false" customHeight="false" outlineLevel="0" collapsed="false">
      <c r="A980" s="325"/>
    </row>
    <row r="981" customFormat="false" ht="12.75" hidden="false" customHeight="false" outlineLevel="0" collapsed="false">
      <c r="A981" s="325"/>
    </row>
    <row r="982" customFormat="false" ht="12.75" hidden="false" customHeight="false" outlineLevel="0" collapsed="false">
      <c r="A982" s="325"/>
    </row>
    <row r="983" customFormat="false" ht="12.75" hidden="false" customHeight="false" outlineLevel="0" collapsed="false">
      <c r="A983" s="325"/>
    </row>
    <row r="984" customFormat="false" ht="12.75" hidden="false" customHeight="false" outlineLevel="0" collapsed="false">
      <c r="A984" s="325"/>
    </row>
    <row r="985" customFormat="false" ht="12.75" hidden="false" customHeight="false" outlineLevel="0" collapsed="false">
      <c r="A985" s="325"/>
    </row>
    <row r="986" customFormat="false" ht="12.75" hidden="false" customHeight="false" outlineLevel="0" collapsed="false">
      <c r="A986" s="325"/>
    </row>
    <row r="987" customFormat="false" ht="12.75" hidden="false" customHeight="false" outlineLevel="0" collapsed="false">
      <c r="A987" s="325"/>
    </row>
    <row r="988" customFormat="false" ht="12.75" hidden="false" customHeight="false" outlineLevel="0" collapsed="false">
      <c r="A988" s="325"/>
    </row>
    <row r="989" customFormat="false" ht="12.75" hidden="false" customHeight="false" outlineLevel="0" collapsed="false">
      <c r="A989" s="325"/>
    </row>
    <row r="990" customFormat="false" ht="12.75" hidden="false" customHeight="false" outlineLevel="0" collapsed="false">
      <c r="A990" s="325"/>
    </row>
    <row r="991" customFormat="false" ht="12.75" hidden="false" customHeight="false" outlineLevel="0" collapsed="false">
      <c r="A991" s="325"/>
    </row>
    <row r="992" customFormat="false" ht="12.75" hidden="false" customHeight="false" outlineLevel="0" collapsed="false">
      <c r="A992" s="325"/>
    </row>
    <row r="993" customFormat="false" ht="12.75" hidden="false" customHeight="false" outlineLevel="0" collapsed="false">
      <c r="A993" s="325"/>
    </row>
    <row r="994" customFormat="false" ht="12.75" hidden="false" customHeight="false" outlineLevel="0" collapsed="false">
      <c r="A994" s="325"/>
    </row>
    <row r="995" customFormat="false" ht="12.75" hidden="false" customHeight="false" outlineLevel="0" collapsed="false">
      <c r="A995" s="325"/>
    </row>
    <row r="996" customFormat="false" ht="12.75" hidden="false" customHeight="false" outlineLevel="0" collapsed="false">
      <c r="A996" s="325"/>
    </row>
    <row r="997" customFormat="false" ht="12.75" hidden="false" customHeight="false" outlineLevel="0" collapsed="false">
      <c r="A997" s="325"/>
    </row>
    <row r="998" customFormat="false" ht="12.75" hidden="false" customHeight="false" outlineLevel="0" collapsed="false">
      <c r="A998" s="325"/>
    </row>
    <row r="999" customFormat="false" ht="12.75" hidden="false" customHeight="false" outlineLevel="0" collapsed="false">
      <c r="A999" s="325"/>
    </row>
    <row r="1000" customFormat="false" ht="12.75" hidden="false" customHeight="false" outlineLevel="0" collapsed="false">
      <c r="A1000" s="325"/>
    </row>
    <row r="1001" customFormat="false" ht="12.75" hidden="false" customHeight="false" outlineLevel="0" collapsed="false">
      <c r="A1001" s="325"/>
    </row>
    <row r="1002" customFormat="false" ht="12.75" hidden="false" customHeight="false" outlineLevel="0" collapsed="false">
      <c r="A1002" s="325"/>
    </row>
    <row r="1003" customFormat="false" ht="12.75" hidden="false" customHeight="false" outlineLevel="0" collapsed="false">
      <c r="A1003" s="325"/>
    </row>
    <row r="1004" customFormat="false" ht="12.75" hidden="false" customHeight="false" outlineLevel="0" collapsed="false">
      <c r="A1004" s="325"/>
    </row>
    <row r="1005" customFormat="false" ht="12.75" hidden="false" customHeight="false" outlineLevel="0" collapsed="false">
      <c r="A1005" s="325"/>
    </row>
    <row r="1006" customFormat="false" ht="12.75" hidden="false" customHeight="false" outlineLevel="0" collapsed="false">
      <c r="A1006" s="325"/>
    </row>
    <row r="1007" customFormat="false" ht="12.75" hidden="false" customHeight="false" outlineLevel="0" collapsed="false">
      <c r="A1007" s="325"/>
    </row>
    <row r="1008" customFormat="false" ht="12.75" hidden="false" customHeight="false" outlineLevel="0" collapsed="false">
      <c r="A1008" s="325"/>
    </row>
    <row r="1009" customFormat="false" ht="12.75" hidden="false" customHeight="false" outlineLevel="0" collapsed="false">
      <c r="A1009" s="325"/>
    </row>
    <row r="1010" customFormat="false" ht="12.75" hidden="false" customHeight="false" outlineLevel="0" collapsed="false">
      <c r="A1010" s="325"/>
    </row>
    <row r="1011" customFormat="false" ht="12.75" hidden="false" customHeight="false" outlineLevel="0" collapsed="false">
      <c r="A1011" s="325"/>
    </row>
    <row r="1012" customFormat="false" ht="12.75" hidden="false" customHeight="false" outlineLevel="0" collapsed="false">
      <c r="A1012" s="325"/>
    </row>
    <row r="1013" customFormat="false" ht="12.75" hidden="false" customHeight="false" outlineLevel="0" collapsed="false">
      <c r="A1013" s="325"/>
    </row>
    <row r="1014" customFormat="false" ht="12.75" hidden="false" customHeight="false" outlineLevel="0" collapsed="false">
      <c r="A1014" s="325"/>
    </row>
    <row r="1015" customFormat="false" ht="12.75" hidden="false" customHeight="false" outlineLevel="0" collapsed="false">
      <c r="A1015" s="325"/>
    </row>
    <row r="1016" customFormat="false" ht="12.75" hidden="false" customHeight="false" outlineLevel="0" collapsed="false">
      <c r="A1016" s="325"/>
    </row>
    <row r="1017" customFormat="false" ht="12.75" hidden="false" customHeight="false" outlineLevel="0" collapsed="false">
      <c r="A1017" s="325"/>
    </row>
    <row r="1018" customFormat="false" ht="12.75" hidden="false" customHeight="false" outlineLevel="0" collapsed="false">
      <c r="A1018" s="325"/>
    </row>
    <row r="1019" customFormat="false" ht="12.75" hidden="false" customHeight="false" outlineLevel="0" collapsed="false">
      <c r="A1019" s="325"/>
    </row>
    <row r="1020" customFormat="false" ht="12.75" hidden="false" customHeight="false" outlineLevel="0" collapsed="false">
      <c r="A1020" s="325"/>
    </row>
    <row r="1021" customFormat="false" ht="12.75" hidden="false" customHeight="false" outlineLevel="0" collapsed="false">
      <c r="A1021" s="325"/>
    </row>
    <row r="1022" customFormat="false" ht="12.75" hidden="false" customHeight="false" outlineLevel="0" collapsed="false">
      <c r="A1022" s="325"/>
    </row>
    <row r="1023" customFormat="false" ht="12.75" hidden="false" customHeight="false" outlineLevel="0" collapsed="false">
      <c r="A1023" s="325"/>
    </row>
    <row r="1024" customFormat="false" ht="12.75" hidden="false" customHeight="false" outlineLevel="0" collapsed="false">
      <c r="A1024" s="325"/>
    </row>
    <row r="1025" customFormat="false" ht="12.75" hidden="false" customHeight="false" outlineLevel="0" collapsed="false">
      <c r="A1025" s="325"/>
    </row>
    <row r="1026" customFormat="false" ht="12.75" hidden="false" customHeight="false" outlineLevel="0" collapsed="false">
      <c r="A1026" s="325"/>
    </row>
    <row r="1027" customFormat="false" ht="12.75" hidden="false" customHeight="false" outlineLevel="0" collapsed="false">
      <c r="A1027" s="325"/>
    </row>
    <row r="1028" customFormat="false" ht="12.75" hidden="false" customHeight="false" outlineLevel="0" collapsed="false">
      <c r="A1028" s="325"/>
    </row>
    <row r="1029" customFormat="false" ht="12.75" hidden="false" customHeight="false" outlineLevel="0" collapsed="false">
      <c r="A1029" s="325"/>
    </row>
    <row r="1030" customFormat="false" ht="12.75" hidden="false" customHeight="false" outlineLevel="0" collapsed="false">
      <c r="A1030" s="325"/>
    </row>
    <row r="1031" customFormat="false" ht="12.75" hidden="false" customHeight="false" outlineLevel="0" collapsed="false">
      <c r="A1031" s="325"/>
    </row>
    <row r="1032" customFormat="false" ht="12.75" hidden="false" customHeight="false" outlineLevel="0" collapsed="false">
      <c r="A1032" s="325"/>
    </row>
    <row r="1033" customFormat="false" ht="12.75" hidden="false" customHeight="false" outlineLevel="0" collapsed="false">
      <c r="A1033" s="325"/>
    </row>
    <row r="1034" customFormat="false" ht="12.75" hidden="false" customHeight="false" outlineLevel="0" collapsed="false">
      <c r="A1034" s="325"/>
    </row>
    <row r="1035" customFormat="false" ht="12.75" hidden="false" customHeight="false" outlineLevel="0" collapsed="false">
      <c r="A1035" s="325"/>
    </row>
    <row r="1036" customFormat="false" ht="12.75" hidden="false" customHeight="false" outlineLevel="0" collapsed="false">
      <c r="A1036" s="325"/>
    </row>
    <row r="1037" customFormat="false" ht="12.75" hidden="false" customHeight="false" outlineLevel="0" collapsed="false">
      <c r="A1037" s="325"/>
    </row>
    <row r="1038" customFormat="false" ht="12.75" hidden="false" customHeight="false" outlineLevel="0" collapsed="false">
      <c r="A1038" s="325"/>
    </row>
    <row r="1039" customFormat="false" ht="12.75" hidden="false" customHeight="false" outlineLevel="0" collapsed="false">
      <c r="A1039" s="325"/>
    </row>
    <row r="1040" customFormat="false" ht="12.75" hidden="false" customHeight="false" outlineLevel="0" collapsed="false">
      <c r="A1040" s="325"/>
    </row>
    <row r="1041" customFormat="false" ht="12.75" hidden="false" customHeight="false" outlineLevel="0" collapsed="false">
      <c r="A1041" s="325"/>
    </row>
    <row r="1042" customFormat="false" ht="12.75" hidden="false" customHeight="false" outlineLevel="0" collapsed="false">
      <c r="A1042" s="325"/>
    </row>
    <row r="1043" customFormat="false" ht="12.75" hidden="false" customHeight="false" outlineLevel="0" collapsed="false">
      <c r="A1043" s="325"/>
    </row>
    <row r="1044" customFormat="false" ht="12.75" hidden="false" customHeight="false" outlineLevel="0" collapsed="false">
      <c r="A1044" s="325"/>
    </row>
    <row r="1045" customFormat="false" ht="12.75" hidden="false" customHeight="false" outlineLevel="0" collapsed="false">
      <c r="A1045" s="325"/>
    </row>
    <row r="1046" customFormat="false" ht="12.75" hidden="false" customHeight="false" outlineLevel="0" collapsed="false">
      <c r="A1046" s="325"/>
    </row>
    <row r="1047" customFormat="false" ht="12.75" hidden="false" customHeight="false" outlineLevel="0" collapsed="false">
      <c r="A1047" s="325"/>
    </row>
    <row r="1048" customFormat="false" ht="12.75" hidden="false" customHeight="false" outlineLevel="0" collapsed="false">
      <c r="A1048" s="325"/>
    </row>
    <row r="1049" customFormat="false" ht="12.75" hidden="false" customHeight="false" outlineLevel="0" collapsed="false">
      <c r="A1049" s="325"/>
    </row>
    <row r="1050" customFormat="false" ht="12.75" hidden="false" customHeight="false" outlineLevel="0" collapsed="false">
      <c r="A1050" s="325"/>
    </row>
    <row r="1051" customFormat="false" ht="12.75" hidden="false" customHeight="false" outlineLevel="0" collapsed="false">
      <c r="A1051" s="325"/>
    </row>
    <row r="1052" customFormat="false" ht="12.75" hidden="false" customHeight="false" outlineLevel="0" collapsed="false">
      <c r="A1052" s="325"/>
    </row>
    <row r="1053" customFormat="false" ht="12.75" hidden="false" customHeight="false" outlineLevel="0" collapsed="false">
      <c r="A1053" s="325"/>
    </row>
    <row r="1054" customFormat="false" ht="12.75" hidden="false" customHeight="false" outlineLevel="0" collapsed="false">
      <c r="A1054" s="325"/>
    </row>
    <row r="1055" customFormat="false" ht="12.75" hidden="false" customHeight="false" outlineLevel="0" collapsed="false">
      <c r="A1055" s="325"/>
    </row>
    <row r="1056" customFormat="false" ht="12.75" hidden="false" customHeight="false" outlineLevel="0" collapsed="false">
      <c r="A1056" s="325"/>
    </row>
    <row r="1057" customFormat="false" ht="12.75" hidden="false" customHeight="false" outlineLevel="0" collapsed="false">
      <c r="A1057" s="325"/>
    </row>
    <row r="1058" customFormat="false" ht="12.75" hidden="false" customHeight="false" outlineLevel="0" collapsed="false">
      <c r="A1058" s="325"/>
    </row>
    <row r="1059" customFormat="false" ht="12.75" hidden="false" customHeight="false" outlineLevel="0" collapsed="false">
      <c r="A1059" s="325"/>
    </row>
    <row r="1060" customFormat="false" ht="12.75" hidden="false" customHeight="false" outlineLevel="0" collapsed="false">
      <c r="A1060" s="325"/>
    </row>
    <row r="1061" customFormat="false" ht="12.75" hidden="false" customHeight="false" outlineLevel="0" collapsed="false">
      <c r="A1061" s="325"/>
    </row>
    <row r="1062" customFormat="false" ht="12.75" hidden="false" customHeight="false" outlineLevel="0" collapsed="false">
      <c r="A1062" s="325"/>
    </row>
    <row r="1063" customFormat="false" ht="12.75" hidden="false" customHeight="false" outlineLevel="0" collapsed="false">
      <c r="A1063" s="325"/>
    </row>
    <row r="1064" customFormat="false" ht="12.75" hidden="false" customHeight="false" outlineLevel="0" collapsed="false">
      <c r="A1064" s="325"/>
    </row>
    <row r="1065" customFormat="false" ht="12.75" hidden="false" customHeight="false" outlineLevel="0" collapsed="false">
      <c r="A1065" s="325"/>
    </row>
    <row r="1066" customFormat="false" ht="12.75" hidden="false" customHeight="false" outlineLevel="0" collapsed="false">
      <c r="A1066" s="325"/>
    </row>
    <row r="1067" customFormat="false" ht="12.75" hidden="false" customHeight="false" outlineLevel="0" collapsed="false">
      <c r="A1067" s="325"/>
    </row>
    <row r="1068" customFormat="false" ht="12.75" hidden="false" customHeight="false" outlineLevel="0" collapsed="false">
      <c r="A1068" s="325"/>
    </row>
    <row r="1069" customFormat="false" ht="12.75" hidden="false" customHeight="false" outlineLevel="0" collapsed="false">
      <c r="A1069" s="325"/>
    </row>
    <row r="1070" customFormat="false" ht="12.75" hidden="false" customHeight="false" outlineLevel="0" collapsed="false">
      <c r="A1070" s="325"/>
    </row>
    <row r="1071" customFormat="false" ht="12.75" hidden="false" customHeight="false" outlineLevel="0" collapsed="false">
      <c r="A1071" s="325"/>
    </row>
    <row r="1072" customFormat="false" ht="12.75" hidden="false" customHeight="false" outlineLevel="0" collapsed="false">
      <c r="A1072" s="325"/>
    </row>
    <row r="1073" customFormat="false" ht="12.75" hidden="false" customHeight="false" outlineLevel="0" collapsed="false">
      <c r="A1073" s="325"/>
    </row>
    <row r="1074" customFormat="false" ht="12.75" hidden="false" customHeight="false" outlineLevel="0" collapsed="false">
      <c r="A1074" s="325"/>
    </row>
    <row r="1075" customFormat="false" ht="12.75" hidden="false" customHeight="false" outlineLevel="0" collapsed="false">
      <c r="A1075" s="325"/>
    </row>
    <row r="1076" customFormat="false" ht="12.75" hidden="false" customHeight="false" outlineLevel="0" collapsed="false">
      <c r="A1076" s="325"/>
    </row>
    <row r="1077" customFormat="false" ht="12.75" hidden="false" customHeight="false" outlineLevel="0" collapsed="false">
      <c r="A1077" s="325"/>
    </row>
    <row r="1078" customFormat="false" ht="12.75" hidden="false" customHeight="false" outlineLevel="0" collapsed="false">
      <c r="A1078" s="325"/>
    </row>
    <row r="1079" customFormat="false" ht="12.75" hidden="false" customHeight="false" outlineLevel="0" collapsed="false">
      <c r="A1079" s="325"/>
    </row>
    <row r="1080" customFormat="false" ht="12.75" hidden="false" customHeight="false" outlineLevel="0" collapsed="false">
      <c r="A1080" s="325"/>
    </row>
    <row r="1081" customFormat="false" ht="12.75" hidden="false" customHeight="false" outlineLevel="0" collapsed="false">
      <c r="A1081" s="325"/>
    </row>
    <row r="1082" customFormat="false" ht="12.75" hidden="false" customHeight="false" outlineLevel="0" collapsed="false">
      <c r="A1082" s="325"/>
    </row>
    <row r="1083" customFormat="false" ht="12.75" hidden="false" customHeight="false" outlineLevel="0" collapsed="false">
      <c r="A1083" s="325"/>
    </row>
    <row r="1084" customFormat="false" ht="12.75" hidden="false" customHeight="false" outlineLevel="0" collapsed="false">
      <c r="A1084" s="325"/>
    </row>
    <row r="1085" customFormat="false" ht="12.75" hidden="false" customHeight="false" outlineLevel="0" collapsed="false">
      <c r="A1085" s="325"/>
    </row>
    <row r="1086" customFormat="false" ht="12.75" hidden="false" customHeight="false" outlineLevel="0" collapsed="false">
      <c r="A1086" s="325"/>
    </row>
    <row r="1087" customFormat="false" ht="12.75" hidden="false" customHeight="false" outlineLevel="0" collapsed="false">
      <c r="A1087" s="325"/>
    </row>
    <row r="1088" customFormat="false" ht="12.75" hidden="false" customHeight="false" outlineLevel="0" collapsed="false">
      <c r="A1088" s="325"/>
    </row>
    <row r="1089" customFormat="false" ht="12.75" hidden="false" customHeight="false" outlineLevel="0" collapsed="false">
      <c r="A1089" s="325"/>
    </row>
    <row r="1090" customFormat="false" ht="12.75" hidden="false" customHeight="false" outlineLevel="0" collapsed="false">
      <c r="A1090" s="325"/>
    </row>
    <row r="1091" customFormat="false" ht="12.75" hidden="false" customHeight="false" outlineLevel="0" collapsed="false">
      <c r="A1091" s="325"/>
    </row>
    <row r="1092" customFormat="false" ht="12.75" hidden="false" customHeight="false" outlineLevel="0" collapsed="false">
      <c r="A1092" s="325"/>
    </row>
    <row r="1093" customFormat="false" ht="12.75" hidden="false" customHeight="false" outlineLevel="0" collapsed="false">
      <c r="A1093" s="325"/>
    </row>
    <row r="1094" customFormat="false" ht="12.75" hidden="false" customHeight="false" outlineLevel="0" collapsed="false">
      <c r="A1094" s="325"/>
    </row>
    <row r="1095" customFormat="false" ht="12.75" hidden="false" customHeight="false" outlineLevel="0" collapsed="false">
      <c r="A1095" s="325"/>
    </row>
    <row r="1096" customFormat="false" ht="12.75" hidden="false" customHeight="false" outlineLevel="0" collapsed="false">
      <c r="A1096" s="325"/>
    </row>
    <row r="1097" customFormat="false" ht="12.75" hidden="false" customHeight="false" outlineLevel="0" collapsed="false">
      <c r="A1097" s="325"/>
    </row>
    <row r="1098" customFormat="false" ht="12.75" hidden="false" customHeight="false" outlineLevel="0" collapsed="false">
      <c r="A1098" s="325"/>
    </row>
    <row r="1099" customFormat="false" ht="12.75" hidden="false" customHeight="false" outlineLevel="0" collapsed="false">
      <c r="A1099" s="325"/>
    </row>
    <row r="1100" customFormat="false" ht="12.75" hidden="false" customHeight="false" outlineLevel="0" collapsed="false">
      <c r="A1100" s="325"/>
    </row>
    <row r="1101" customFormat="false" ht="12.75" hidden="false" customHeight="false" outlineLevel="0" collapsed="false">
      <c r="A1101" s="325"/>
    </row>
    <row r="1102" customFormat="false" ht="12.75" hidden="false" customHeight="false" outlineLevel="0" collapsed="false">
      <c r="A1102" s="325"/>
    </row>
    <row r="1103" customFormat="false" ht="12.75" hidden="false" customHeight="false" outlineLevel="0" collapsed="false">
      <c r="A1103" s="325"/>
    </row>
    <row r="1104" customFormat="false" ht="12.75" hidden="false" customHeight="false" outlineLevel="0" collapsed="false">
      <c r="A1104" s="325"/>
    </row>
    <row r="1105" customFormat="false" ht="12.75" hidden="false" customHeight="false" outlineLevel="0" collapsed="false">
      <c r="A1105" s="325"/>
    </row>
    <row r="1106" customFormat="false" ht="12.75" hidden="false" customHeight="false" outlineLevel="0" collapsed="false">
      <c r="A1106" s="325"/>
    </row>
    <row r="1107" customFormat="false" ht="12.75" hidden="false" customHeight="false" outlineLevel="0" collapsed="false">
      <c r="A1107" s="325"/>
    </row>
    <row r="1108" customFormat="false" ht="12.75" hidden="false" customHeight="false" outlineLevel="0" collapsed="false">
      <c r="A1108" s="325"/>
    </row>
    <row r="1109" customFormat="false" ht="12.75" hidden="false" customHeight="false" outlineLevel="0" collapsed="false">
      <c r="A1109" s="325"/>
    </row>
    <row r="1110" customFormat="false" ht="12.75" hidden="false" customHeight="false" outlineLevel="0" collapsed="false">
      <c r="A1110" s="325"/>
    </row>
    <row r="1111" customFormat="false" ht="12.75" hidden="false" customHeight="false" outlineLevel="0" collapsed="false">
      <c r="A1111" s="325"/>
    </row>
    <row r="1112" customFormat="false" ht="12.75" hidden="false" customHeight="false" outlineLevel="0" collapsed="false">
      <c r="A1112" s="325"/>
    </row>
    <row r="1113" customFormat="false" ht="12.75" hidden="false" customHeight="false" outlineLevel="0" collapsed="false">
      <c r="A1113" s="325"/>
    </row>
    <row r="1114" customFormat="false" ht="12.75" hidden="false" customHeight="false" outlineLevel="0" collapsed="false">
      <c r="A1114" s="325"/>
    </row>
    <row r="1115" customFormat="false" ht="12.75" hidden="false" customHeight="false" outlineLevel="0" collapsed="false">
      <c r="A1115" s="325"/>
    </row>
    <row r="1116" customFormat="false" ht="12.75" hidden="false" customHeight="false" outlineLevel="0" collapsed="false">
      <c r="A1116" s="325"/>
    </row>
    <row r="1117" customFormat="false" ht="12.75" hidden="false" customHeight="false" outlineLevel="0" collapsed="false">
      <c r="A1117" s="325"/>
    </row>
    <row r="1118" customFormat="false" ht="12.75" hidden="false" customHeight="false" outlineLevel="0" collapsed="false">
      <c r="A1118" s="325"/>
    </row>
    <row r="1119" customFormat="false" ht="12.75" hidden="false" customHeight="false" outlineLevel="0" collapsed="false">
      <c r="A1119" s="325"/>
    </row>
    <row r="1120" customFormat="false" ht="12.75" hidden="false" customHeight="false" outlineLevel="0" collapsed="false">
      <c r="A1120" s="325"/>
    </row>
    <row r="1121" customFormat="false" ht="12.75" hidden="false" customHeight="false" outlineLevel="0" collapsed="false">
      <c r="A1121" s="325"/>
    </row>
    <row r="1122" customFormat="false" ht="12.75" hidden="false" customHeight="false" outlineLevel="0" collapsed="false">
      <c r="A1122" s="325"/>
    </row>
    <row r="1123" customFormat="false" ht="12.75" hidden="false" customHeight="false" outlineLevel="0" collapsed="false">
      <c r="A1123" s="325"/>
    </row>
    <row r="1124" customFormat="false" ht="12.75" hidden="false" customHeight="false" outlineLevel="0" collapsed="false">
      <c r="A1124" s="325"/>
    </row>
    <row r="1125" customFormat="false" ht="12.75" hidden="false" customHeight="false" outlineLevel="0" collapsed="false">
      <c r="A1125" s="325"/>
    </row>
    <row r="1126" customFormat="false" ht="12.75" hidden="false" customHeight="false" outlineLevel="0" collapsed="false">
      <c r="A1126" s="325"/>
    </row>
    <row r="1127" customFormat="false" ht="12.75" hidden="false" customHeight="false" outlineLevel="0" collapsed="false">
      <c r="A1127" s="325"/>
    </row>
    <row r="1128" customFormat="false" ht="12.75" hidden="false" customHeight="false" outlineLevel="0" collapsed="false">
      <c r="A1128" s="325"/>
    </row>
    <row r="1129" customFormat="false" ht="12.75" hidden="false" customHeight="false" outlineLevel="0" collapsed="false">
      <c r="A1129" s="325"/>
    </row>
    <row r="1130" customFormat="false" ht="12.75" hidden="false" customHeight="false" outlineLevel="0" collapsed="false">
      <c r="A1130" s="325"/>
    </row>
    <row r="1131" customFormat="false" ht="12.75" hidden="false" customHeight="false" outlineLevel="0" collapsed="false">
      <c r="A1131" s="325"/>
    </row>
    <row r="1132" customFormat="false" ht="12.75" hidden="false" customHeight="false" outlineLevel="0" collapsed="false">
      <c r="A1132" s="325"/>
    </row>
    <row r="1133" customFormat="false" ht="12.75" hidden="false" customHeight="false" outlineLevel="0" collapsed="false">
      <c r="A1133" s="325"/>
    </row>
    <row r="1134" customFormat="false" ht="12.75" hidden="false" customHeight="false" outlineLevel="0" collapsed="false">
      <c r="A1134" s="325"/>
    </row>
    <row r="1135" customFormat="false" ht="12.75" hidden="false" customHeight="false" outlineLevel="0" collapsed="false">
      <c r="A1135" s="325"/>
    </row>
    <row r="1136" customFormat="false" ht="12.75" hidden="false" customHeight="false" outlineLevel="0" collapsed="false">
      <c r="A1136" s="325"/>
    </row>
    <row r="1137" customFormat="false" ht="12.75" hidden="false" customHeight="false" outlineLevel="0" collapsed="false">
      <c r="A1137" s="325"/>
    </row>
    <row r="1138" customFormat="false" ht="12.75" hidden="false" customHeight="false" outlineLevel="0" collapsed="false">
      <c r="A1138" s="325"/>
    </row>
    <row r="1139" customFormat="false" ht="12.75" hidden="false" customHeight="false" outlineLevel="0" collapsed="false">
      <c r="A1139" s="325"/>
    </row>
    <row r="1140" customFormat="false" ht="12.75" hidden="false" customHeight="false" outlineLevel="0" collapsed="false">
      <c r="A1140" s="325"/>
    </row>
    <row r="1141" customFormat="false" ht="12.75" hidden="false" customHeight="false" outlineLevel="0" collapsed="false">
      <c r="A1141" s="325"/>
    </row>
    <row r="1142" customFormat="false" ht="12.75" hidden="false" customHeight="false" outlineLevel="0" collapsed="false">
      <c r="A1142" s="325"/>
    </row>
    <row r="1143" customFormat="false" ht="12.75" hidden="false" customHeight="false" outlineLevel="0" collapsed="false">
      <c r="A1143" s="325"/>
    </row>
    <row r="1144" customFormat="false" ht="12.75" hidden="false" customHeight="false" outlineLevel="0" collapsed="false">
      <c r="A1144" s="325"/>
    </row>
    <row r="1145" customFormat="false" ht="12.75" hidden="false" customHeight="false" outlineLevel="0" collapsed="false">
      <c r="A1145" s="325"/>
    </row>
    <row r="1146" customFormat="false" ht="12.75" hidden="false" customHeight="false" outlineLevel="0" collapsed="false">
      <c r="A1146" s="325"/>
    </row>
    <row r="1147" customFormat="false" ht="12.75" hidden="false" customHeight="false" outlineLevel="0" collapsed="false">
      <c r="A1147" s="325"/>
    </row>
    <row r="1148" customFormat="false" ht="12.75" hidden="false" customHeight="false" outlineLevel="0" collapsed="false">
      <c r="A1148" s="325"/>
    </row>
    <row r="1149" customFormat="false" ht="12.75" hidden="false" customHeight="false" outlineLevel="0" collapsed="false">
      <c r="A1149" s="325"/>
    </row>
    <row r="1150" customFormat="false" ht="12.75" hidden="false" customHeight="false" outlineLevel="0" collapsed="false">
      <c r="A1150" s="325"/>
    </row>
    <row r="1151" customFormat="false" ht="12.75" hidden="false" customHeight="false" outlineLevel="0" collapsed="false">
      <c r="A1151" s="325"/>
    </row>
    <row r="1152" customFormat="false" ht="12.75" hidden="false" customHeight="false" outlineLevel="0" collapsed="false">
      <c r="A1152" s="325"/>
    </row>
    <row r="1153" customFormat="false" ht="12.75" hidden="false" customHeight="false" outlineLevel="0" collapsed="false">
      <c r="A1153" s="325"/>
    </row>
    <row r="1154" customFormat="false" ht="12.75" hidden="false" customHeight="false" outlineLevel="0" collapsed="false">
      <c r="A1154" s="325"/>
    </row>
    <row r="1155" customFormat="false" ht="12.75" hidden="false" customHeight="false" outlineLevel="0" collapsed="false">
      <c r="A1155" s="325"/>
    </row>
    <row r="1156" customFormat="false" ht="12.75" hidden="false" customHeight="false" outlineLevel="0" collapsed="false">
      <c r="A1156" s="325"/>
    </row>
    <row r="1157" customFormat="false" ht="12.75" hidden="false" customHeight="false" outlineLevel="0" collapsed="false">
      <c r="A1157" s="325"/>
    </row>
    <row r="1158" customFormat="false" ht="12.75" hidden="false" customHeight="false" outlineLevel="0" collapsed="false">
      <c r="A1158" s="325"/>
    </row>
    <row r="1159" customFormat="false" ht="12.75" hidden="false" customHeight="false" outlineLevel="0" collapsed="false">
      <c r="A1159" s="325"/>
    </row>
    <row r="1160" customFormat="false" ht="12.75" hidden="false" customHeight="false" outlineLevel="0" collapsed="false">
      <c r="A1160" s="325"/>
    </row>
    <row r="1161" customFormat="false" ht="12.75" hidden="false" customHeight="false" outlineLevel="0" collapsed="false">
      <c r="A1161" s="325"/>
    </row>
    <row r="1162" customFormat="false" ht="12.75" hidden="false" customHeight="false" outlineLevel="0" collapsed="false">
      <c r="A1162" s="325"/>
    </row>
    <row r="1163" customFormat="false" ht="12.75" hidden="false" customHeight="false" outlineLevel="0" collapsed="false">
      <c r="A1163" s="325"/>
    </row>
    <row r="1164" customFormat="false" ht="12.75" hidden="false" customHeight="false" outlineLevel="0" collapsed="false">
      <c r="A1164" s="325"/>
    </row>
    <row r="1165" customFormat="false" ht="12.75" hidden="false" customHeight="false" outlineLevel="0" collapsed="false">
      <c r="A1165" s="325"/>
    </row>
    <row r="1166" customFormat="false" ht="12.75" hidden="false" customHeight="false" outlineLevel="0" collapsed="false">
      <c r="A1166" s="325"/>
    </row>
    <row r="1167" customFormat="false" ht="12.75" hidden="false" customHeight="false" outlineLevel="0" collapsed="false">
      <c r="A1167" s="325"/>
    </row>
    <row r="1168" customFormat="false" ht="12.75" hidden="false" customHeight="false" outlineLevel="0" collapsed="false">
      <c r="A1168" s="325"/>
    </row>
    <row r="1169" customFormat="false" ht="12.75" hidden="false" customHeight="false" outlineLevel="0" collapsed="false">
      <c r="A1169" s="325"/>
    </row>
    <row r="1170" customFormat="false" ht="12.75" hidden="false" customHeight="false" outlineLevel="0" collapsed="false">
      <c r="A1170" s="325"/>
    </row>
    <row r="1171" customFormat="false" ht="12.75" hidden="false" customHeight="false" outlineLevel="0" collapsed="false">
      <c r="A1171" s="325"/>
    </row>
    <row r="1172" customFormat="false" ht="12.75" hidden="false" customHeight="false" outlineLevel="0" collapsed="false">
      <c r="A1172" s="325"/>
    </row>
    <row r="1173" customFormat="false" ht="12.75" hidden="false" customHeight="false" outlineLevel="0" collapsed="false">
      <c r="A1173" s="325"/>
    </row>
    <row r="1174" customFormat="false" ht="12.75" hidden="false" customHeight="false" outlineLevel="0" collapsed="false">
      <c r="A1174" s="325"/>
    </row>
    <row r="1175" customFormat="false" ht="12.75" hidden="false" customHeight="false" outlineLevel="0" collapsed="false">
      <c r="A1175" s="325"/>
    </row>
    <row r="1176" customFormat="false" ht="12.75" hidden="false" customHeight="false" outlineLevel="0" collapsed="false">
      <c r="A1176" s="325"/>
    </row>
    <row r="1177" customFormat="false" ht="12.75" hidden="false" customHeight="false" outlineLevel="0" collapsed="false">
      <c r="A1177" s="325"/>
    </row>
    <row r="1178" customFormat="false" ht="12.75" hidden="false" customHeight="false" outlineLevel="0" collapsed="false">
      <c r="A1178" s="325"/>
    </row>
    <row r="1179" customFormat="false" ht="12.75" hidden="false" customHeight="false" outlineLevel="0" collapsed="false">
      <c r="A1179" s="325"/>
    </row>
    <row r="1180" customFormat="false" ht="12.75" hidden="false" customHeight="false" outlineLevel="0" collapsed="false">
      <c r="A1180" s="325"/>
    </row>
    <row r="1181" customFormat="false" ht="12.75" hidden="false" customHeight="false" outlineLevel="0" collapsed="false">
      <c r="A1181" s="325"/>
    </row>
    <row r="1182" customFormat="false" ht="12.75" hidden="false" customHeight="false" outlineLevel="0" collapsed="false">
      <c r="A1182" s="325"/>
    </row>
    <row r="1183" customFormat="false" ht="12.75" hidden="false" customHeight="false" outlineLevel="0" collapsed="false">
      <c r="A1183" s="325"/>
    </row>
    <row r="1184" customFormat="false" ht="12.75" hidden="false" customHeight="false" outlineLevel="0" collapsed="false">
      <c r="A1184" s="325"/>
    </row>
    <row r="1185" customFormat="false" ht="12.75" hidden="false" customHeight="false" outlineLevel="0" collapsed="false">
      <c r="A1185" s="325"/>
    </row>
    <row r="1186" customFormat="false" ht="12.75" hidden="false" customHeight="false" outlineLevel="0" collapsed="false">
      <c r="A1186" s="325"/>
    </row>
    <row r="1187" customFormat="false" ht="12.75" hidden="false" customHeight="false" outlineLevel="0" collapsed="false">
      <c r="A1187" s="325"/>
    </row>
    <row r="1188" customFormat="false" ht="12.75" hidden="false" customHeight="false" outlineLevel="0" collapsed="false">
      <c r="A1188" s="325"/>
    </row>
    <row r="1189" customFormat="false" ht="12.75" hidden="false" customHeight="false" outlineLevel="0" collapsed="false">
      <c r="A1189" s="325"/>
    </row>
    <row r="1190" customFormat="false" ht="12.75" hidden="false" customHeight="false" outlineLevel="0" collapsed="false">
      <c r="A1190" s="325"/>
    </row>
    <row r="1191" customFormat="false" ht="12.75" hidden="false" customHeight="false" outlineLevel="0" collapsed="false">
      <c r="A1191" s="325"/>
    </row>
    <row r="1192" customFormat="false" ht="12.75" hidden="false" customHeight="false" outlineLevel="0" collapsed="false">
      <c r="A1192" s="325"/>
    </row>
    <row r="1193" customFormat="false" ht="12.75" hidden="false" customHeight="false" outlineLevel="0" collapsed="false">
      <c r="A1193" s="325"/>
    </row>
    <row r="1194" customFormat="false" ht="12.75" hidden="false" customHeight="false" outlineLevel="0" collapsed="false">
      <c r="A1194" s="325"/>
    </row>
    <row r="1195" customFormat="false" ht="12.75" hidden="false" customHeight="false" outlineLevel="0" collapsed="false">
      <c r="A1195" s="325"/>
    </row>
    <row r="1196" customFormat="false" ht="12.75" hidden="false" customHeight="false" outlineLevel="0" collapsed="false">
      <c r="A1196" s="325"/>
    </row>
    <row r="1197" customFormat="false" ht="12.75" hidden="false" customHeight="false" outlineLevel="0" collapsed="false">
      <c r="A1197" s="325"/>
    </row>
    <row r="1198" customFormat="false" ht="12.75" hidden="false" customHeight="false" outlineLevel="0" collapsed="false">
      <c r="A1198" s="325"/>
    </row>
    <row r="1199" customFormat="false" ht="12.75" hidden="false" customHeight="false" outlineLevel="0" collapsed="false">
      <c r="A1199" s="325"/>
    </row>
    <row r="1200" customFormat="false" ht="12.75" hidden="false" customHeight="false" outlineLevel="0" collapsed="false">
      <c r="A1200" s="325"/>
    </row>
    <row r="1201" customFormat="false" ht="12.75" hidden="false" customHeight="false" outlineLevel="0" collapsed="false">
      <c r="A1201" s="325"/>
    </row>
    <row r="1202" customFormat="false" ht="12.75" hidden="false" customHeight="false" outlineLevel="0" collapsed="false">
      <c r="A1202" s="325"/>
    </row>
    <row r="1203" customFormat="false" ht="12.75" hidden="false" customHeight="false" outlineLevel="0" collapsed="false">
      <c r="A1203" s="325"/>
    </row>
    <row r="1204" customFormat="false" ht="12.75" hidden="false" customHeight="false" outlineLevel="0" collapsed="false">
      <c r="A1204" s="325"/>
    </row>
    <row r="1205" customFormat="false" ht="12.75" hidden="false" customHeight="false" outlineLevel="0" collapsed="false">
      <c r="A1205" s="325"/>
    </row>
    <row r="1206" customFormat="false" ht="12.75" hidden="false" customHeight="false" outlineLevel="0" collapsed="false">
      <c r="A1206" s="325"/>
    </row>
    <row r="1207" customFormat="false" ht="12.75" hidden="false" customHeight="false" outlineLevel="0" collapsed="false">
      <c r="A1207" s="325"/>
    </row>
    <row r="1208" customFormat="false" ht="12.75" hidden="false" customHeight="false" outlineLevel="0" collapsed="false">
      <c r="A1208" s="325"/>
    </row>
    <row r="1209" customFormat="false" ht="12.75" hidden="false" customHeight="false" outlineLevel="0" collapsed="false">
      <c r="A1209" s="325"/>
    </row>
    <row r="1210" customFormat="false" ht="12.75" hidden="false" customHeight="false" outlineLevel="0" collapsed="false">
      <c r="A1210" s="325"/>
    </row>
    <row r="1211" customFormat="false" ht="12.75" hidden="false" customHeight="false" outlineLevel="0" collapsed="false">
      <c r="A1211" s="325"/>
    </row>
    <row r="1212" customFormat="false" ht="12.75" hidden="false" customHeight="false" outlineLevel="0" collapsed="false">
      <c r="A1212" s="325"/>
    </row>
    <row r="1213" customFormat="false" ht="12.75" hidden="false" customHeight="false" outlineLevel="0" collapsed="false">
      <c r="A1213" s="325"/>
    </row>
    <row r="1214" customFormat="false" ht="12.75" hidden="false" customHeight="false" outlineLevel="0" collapsed="false">
      <c r="A1214" s="325"/>
    </row>
    <row r="1215" customFormat="false" ht="12.75" hidden="false" customHeight="false" outlineLevel="0" collapsed="false">
      <c r="A1215" s="325"/>
    </row>
    <row r="1216" customFormat="false" ht="12.75" hidden="false" customHeight="false" outlineLevel="0" collapsed="false">
      <c r="A1216" s="325"/>
    </row>
    <row r="1217" customFormat="false" ht="12.75" hidden="false" customHeight="false" outlineLevel="0" collapsed="false">
      <c r="A1217" s="325"/>
    </row>
    <row r="1218" customFormat="false" ht="12.75" hidden="false" customHeight="false" outlineLevel="0" collapsed="false">
      <c r="A1218" s="325"/>
    </row>
    <row r="1219" customFormat="false" ht="12.75" hidden="false" customHeight="false" outlineLevel="0" collapsed="false">
      <c r="A1219" s="325"/>
    </row>
    <row r="1220" customFormat="false" ht="12.75" hidden="false" customHeight="false" outlineLevel="0" collapsed="false">
      <c r="A1220" s="325"/>
    </row>
    <row r="1221" customFormat="false" ht="12.75" hidden="false" customHeight="false" outlineLevel="0" collapsed="false">
      <c r="A1221" s="325"/>
    </row>
    <row r="1222" customFormat="false" ht="12.75" hidden="false" customHeight="false" outlineLevel="0" collapsed="false">
      <c r="A1222" s="325"/>
    </row>
    <row r="1223" customFormat="false" ht="12.75" hidden="false" customHeight="false" outlineLevel="0" collapsed="false">
      <c r="A1223" s="325"/>
    </row>
    <row r="1224" customFormat="false" ht="12.75" hidden="false" customHeight="false" outlineLevel="0" collapsed="false">
      <c r="A1224" s="325"/>
    </row>
    <row r="1225" customFormat="false" ht="12.75" hidden="false" customHeight="false" outlineLevel="0" collapsed="false">
      <c r="A1225" s="325"/>
    </row>
    <row r="1226" customFormat="false" ht="12.75" hidden="false" customHeight="false" outlineLevel="0" collapsed="false">
      <c r="A1226" s="325"/>
    </row>
    <row r="1227" customFormat="false" ht="12.75" hidden="false" customHeight="false" outlineLevel="0" collapsed="false">
      <c r="A1227" s="325"/>
    </row>
    <row r="1228" customFormat="false" ht="12.75" hidden="false" customHeight="false" outlineLevel="0" collapsed="false">
      <c r="A1228" s="325"/>
    </row>
    <row r="1229" customFormat="false" ht="12.75" hidden="false" customHeight="false" outlineLevel="0" collapsed="false">
      <c r="A1229" s="325"/>
    </row>
    <row r="1230" customFormat="false" ht="12.75" hidden="false" customHeight="false" outlineLevel="0" collapsed="false">
      <c r="A1230" s="325"/>
    </row>
    <row r="1231" customFormat="false" ht="12.75" hidden="false" customHeight="false" outlineLevel="0" collapsed="false">
      <c r="A1231" s="325"/>
    </row>
    <row r="1232" customFormat="false" ht="12.75" hidden="false" customHeight="false" outlineLevel="0" collapsed="false">
      <c r="A1232" s="325"/>
    </row>
    <row r="1233" customFormat="false" ht="12.75" hidden="false" customHeight="false" outlineLevel="0" collapsed="false">
      <c r="A1233" s="325"/>
    </row>
    <row r="1234" customFormat="false" ht="12.75" hidden="false" customHeight="false" outlineLevel="0" collapsed="false">
      <c r="A1234" s="325"/>
    </row>
    <row r="1235" customFormat="false" ht="12.75" hidden="false" customHeight="false" outlineLevel="0" collapsed="false">
      <c r="A1235" s="325"/>
    </row>
    <row r="1236" customFormat="false" ht="12.75" hidden="false" customHeight="false" outlineLevel="0" collapsed="false">
      <c r="A1236" s="325"/>
    </row>
    <row r="1237" customFormat="false" ht="12.75" hidden="false" customHeight="false" outlineLevel="0" collapsed="false">
      <c r="A1237" s="325"/>
    </row>
    <row r="1238" customFormat="false" ht="12.75" hidden="false" customHeight="false" outlineLevel="0" collapsed="false">
      <c r="A1238" s="325"/>
    </row>
    <row r="1239" customFormat="false" ht="12.75" hidden="false" customHeight="false" outlineLevel="0" collapsed="false">
      <c r="A1239" s="325"/>
    </row>
    <row r="1240" customFormat="false" ht="12.75" hidden="false" customHeight="false" outlineLevel="0" collapsed="false">
      <c r="A1240" s="325"/>
    </row>
    <row r="1241" customFormat="false" ht="12.75" hidden="false" customHeight="false" outlineLevel="0" collapsed="false">
      <c r="A1241" s="325"/>
    </row>
    <row r="1242" customFormat="false" ht="12.75" hidden="false" customHeight="false" outlineLevel="0" collapsed="false">
      <c r="A1242" s="325"/>
    </row>
    <row r="1243" customFormat="false" ht="12.75" hidden="false" customHeight="false" outlineLevel="0" collapsed="false">
      <c r="A1243" s="325"/>
    </row>
    <row r="1244" customFormat="false" ht="12.75" hidden="false" customHeight="false" outlineLevel="0" collapsed="false">
      <c r="A1244" s="325"/>
    </row>
    <row r="1245" customFormat="false" ht="12.75" hidden="false" customHeight="false" outlineLevel="0" collapsed="false">
      <c r="A1245" s="325"/>
    </row>
    <row r="1246" customFormat="false" ht="12.75" hidden="false" customHeight="false" outlineLevel="0" collapsed="false">
      <c r="A1246" s="325"/>
    </row>
    <row r="1247" customFormat="false" ht="12.75" hidden="false" customHeight="false" outlineLevel="0" collapsed="false">
      <c r="A1247" s="325"/>
    </row>
    <row r="1248" customFormat="false" ht="12.75" hidden="false" customHeight="false" outlineLevel="0" collapsed="false">
      <c r="A1248" s="325"/>
    </row>
    <row r="1249" customFormat="false" ht="12.75" hidden="false" customHeight="false" outlineLevel="0" collapsed="false">
      <c r="A1249" s="325"/>
    </row>
    <row r="1250" customFormat="false" ht="12.75" hidden="false" customHeight="false" outlineLevel="0" collapsed="false">
      <c r="A1250" s="325"/>
    </row>
    <row r="1251" customFormat="false" ht="12.75" hidden="false" customHeight="false" outlineLevel="0" collapsed="false">
      <c r="A1251" s="325"/>
    </row>
    <row r="1252" customFormat="false" ht="12.75" hidden="false" customHeight="false" outlineLevel="0" collapsed="false">
      <c r="A1252" s="325"/>
    </row>
    <row r="1253" customFormat="false" ht="12.75" hidden="false" customHeight="false" outlineLevel="0" collapsed="false">
      <c r="A1253" s="325"/>
    </row>
    <row r="1254" customFormat="false" ht="12.75" hidden="false" customHeight="false" outlineLevel="0" collapsed="false">
      <c r="A1254" s="325"/>
    </row>
    <row r="1255" customFormat="false" ht="12.75" hidden="false" customHeight="false" outlineLevel="0" collapsed="false">
      <c r="A1255" s="325"/>
    </row>
    <row r="1256" customFormat="false" ht="12.75" hidden="false" customHeight="false" outlineLevel="0" collapsed="false">
      <c r="A1256" s="325"/>
    </row>
    <row r="1257" customFormat="false" ht="12.75" hidden="false" customHeight="false" outlineLevel="0" collapsed="false">
      <c r="A1257" s="325"/>
    </row>
    <row r="1258" customFormat="false" ht="12.75" hidden="false" customHeight="false" outlineLevel="0" collapsed="false">
      <c r="A1258" s="325"/>
    </row>
    <row r="1259" customFormat="false" ht="12.75" hidden="false" customHeight="false" outlineLevel="0" collapsed="false">
      <c r="A1259" s="325"/>
    </row>
    <row r="1260" customFormat="false" ht="12.75" hidden="false" customHeight="false" outlineLevel="0" collapsed="false">
      <c r="A1260" s="325"/>
    </row>
    <row r="1261" customFormat="false" ht="12.75" hidden="false" customHeight="false" outlineLevel="0" collapsed="false">
      <c r="A1261" s="325"/>
    </row>
    <row r="1262" customFormat="false" ht="12.75" hidden="false" customHeight="false" outlineLevel="0" collapsed="false">
      <c r="A1262" s="325"/>
    </row>
    <row r="1263" customFormat="false" ht="12.75" hidden="false" customHeight="false" outlineLevel="0" collapsed="false">
      <c r="A1263" s="325"/>
    </row>
    <row r="1264" customFormat="false" ht="12.75" hidden="false" customHeight="false" outlineLevel="0" collapsed="false">
      <c r="A1264" s="325"/>
    </row>
    <row r="1265" customFormat="false" ht="12.75" hidden="false" customHeight="false" outlineLevel="0" collapsed="false">
      <c r="A1265" s="325"/>
    </row>
    <row r="1266" customFormat="false" ht="12.75" hidden="false" customHeight="false" outlineLevel="0" collapsed="false">
      <c r="A1266" s="325"/>
    </row>
    <row r="1267" customFormat="false" ht="12.75" hidden="false" customHeight="false" outlineLevel="0" collapsed="false">
      <c r="A1267" s="325"/>
    </row>
    <row r="1268" customFormat="false" ht="12.75" hidden="false" customHeight="false" outlineLevel="0" collapsed="false">
      <c r="A1268" s="325"/>
    </row>
    <row r="1269" customFormat="false" ht="12.75" hidden="false" customHeight="false" outlineLevel="0" collapsed="false">
      <c r="A1269" s="325"/>
    </row>
    <row r="1270" customFormat="false" ht="12.75" hidden="false" customHeight="false" outlineLevel="0" collapsed="false">
      <c r="A1270" s="325"/>
    </row>
    <row r="1271" customFormat="false" ht="12.75" hidden="false" customHeight="false" outlineLevel="0" collapsed="false">
      <c r="A1271" s="325"/>
    </row>
    <row r="1272" customFormat="false" ht="12.75" hidden="false" customHeight="false" outlineLevel="0" collapsed="false">
      <c r="A1272" s="325"/>
    </row>
    <row r="1273" customFormat="false" ht="12.75" hidden="false" customHeight="false" outlineLevel="0" collapsed="false">
      <c r="A1273" s="325"/>
    </row>
    <row r="1274" customFormat="false" ht="12.75" hidden="false" customHeight="false" outlineLevel="0" collapsed="false">
      <c r="A1274" s="325"/>
    </row>
    <row r="1275" customFormat="false" ht="12.75" hidden="false" customHeight="false" outlineLevel="0" collapsed="false">
      <c r="A1275" s="325"/>
    </row>
    <row r="1276" customFormat="false" ht="12.75" hidden="false" customHeight="false" outlineLevel="0" collapsed="false">
      <c r="A1276" s="325"/>
    </row>
    <row r="1277" customFormat="false" ht="12.75" hidden="false" customHeight="false" outlineLevel="0" collapsed="false">
      <c r="A1277" s="325"/>
    </row>
    <row r="1278" customFormat="false" ht="12.75" hidden="false" customHeight="false" outlineLevel="0" collapsed="false">
      <c r="A1278" s="325"/>
    </row>
    <row r="1279" customFormat="false" ht="12.75" hidden="false" customHeight="false" outlineLevel="0" collapsed="false">
      <c r="A1279" s="325"/>
    </row>
    <row r="1280" customFormat="false" ht="12.75" hidden="false" customHeight="false" outlineLevel="0" collapsed="false">
      <c r="A1280" s="325"/>
    </row>
    <row r="1281" customFormat="false" ht="12.75" hidden="false" customHeight="false" outlineLevel="0" collapsed="false">
      <c r="A1281" s="325"/>
    </row>
    <row r="1282" customFormat="false" ht="12.75" hidden="false" customHeight="false" outlineLevel="0" collapsed="false">
      <c r="A1282" s="325"/>
    </row>
    <row r="1283" customFormat="false" ht="12.75" hidden="false" customHeight="false" outlineLevel="0" collapsed="false">
      <c r="A1283" s="325"/>
    </row>
    <row r="1284" customFormat="false" ht="12.75" hidden="false" customHeight="false" outlineLevel="0" collapsed="false">
      <c r="A1284" s="325"/>
    </row>
    <row r="1285" customFormat="false" ht="12.75" hidden="false" customHeight="false" outlineLevel="0" collapsed="false">
      <c r="A1285" s="325"/>
    </row>
    <row r="1286" customFormat="false" ht="12.75" hidden="false" customHeight="false" outlineLevel="0" collapsed="false">
      <c r="A1286" s="325"/>
    </row>
    <row r="1287" customFormat="false" ht="12.75" hidden="false" customHeight="false" outlineLevel="0" collapsed="false">
      <c r="A1287" s="325"/>
    </row>
    <row r="1288" customFormat="false" ht="12.75" hidden="false" customHeight="false" outlineLevel="0" collapsed="false">
      <c r="A1288" s="325"/>
    </row>
    <row r="1289" customFormat="false" ht="12.75" hidden="false" customHeight="false" outlineLevel="0" collapsed="false">
      <c r="A1289" s="325"/>
    </row>
    <row r="1290" customFormat="false" ht="12.75" hidden="false" customHeight="false" outlineLevel="0" collapsed="false">
      <c r="A1290" s="325"/>
    </row>
    <row r="1291" customFormat="false" ht="12.75" hidden="false" customHeight="false" outlineLevel="0" collapsed="false">
      <c r="A1291" s="325"/>
    </row>
    <row r="1292" customFormat="false" ht="12.75" hidden="false" customHeight="false" outlineLevel="0" collapsed="false">
      <c r="A1292" s="325"/>
    </row>
    <row r="1293" customFormat="false" ht="12.75" hidden="false" customHeight="false" outlineLevel="0" collapsed="false">
      <c r="A1293" s="325"/>
    </row>
    <row r="1294" customFormat="false" ht="12.75" hidden="false" customHeight="false" outlineLevel="0" collapsed="false">
      <c r="A1294" s="325"/>
    </row>
    <row r="1295" customFormat="false" ht="12.75" hidden="false" customHeight="false" outlineLevel="0" collapsed="false">
      <c r="A1295" s="325"/>
    </row>
    <row r="1296" customFormat="false" ht="12.75" hidden="false" customHeight="false" outlineLevel="0" collapsed="false">
      <c r="A1296" s="325"/>
    </row>
    <row r="1297" customFormat="false" ht="12.75" hidden="false" customHeight="false" outlineLevel="0" collapsed="false">
      <c r="A1297" s="325"/>
    </row>
    <row r="1298" customFormat="false" ht="12.75" hidden="false" customHeight="false" outlineLevel="0" collapsed="false">
      <c r="A1298" s="325"/>
    </row>
    <row r="1299" customFormat="false" ht="12.75" hidden="false" customHeight="false" outlineLevel="0" collapsed="false">
      <c r="A1299" s="325"/>
    </row>
    <row r="1300" customFormat="false" ht="12.75" hidden="false" customHeight="false" outlineLevel="0" collapsed="false">
      <c r="A1300" s="325"/>
    </row>
    <row r="1301" customFormat="false" ht="12.75" hidden="false" customHeight="false" outlineLevel="0" collapsed="false">
      <c r="A1301" s="325"/>
    </row>
    <row r="1302" customFormat="false" ht="12.75" hidden="false" customHeight="false" outlineLevel="0" collapsed="false">
      <c r="A1302" s="325"/>
    </row>
    <row r="1303" customFormat="false" ht="12.75" hidden="false" customHeight="false" outlineLevel="0" collapsed="false">
      <c r="A1303" s="325"/>
    </row>
    <row r="1304" customFormat="false" ht="12.75" hidden="false" customHeight="false" outlineLevel="0" collapsed="false">
      <c r="A1304" s="325"/>
    </row>
    <row r="1305" customFormat="false" ht="12.75" hidden="false" customHeight="false" outlineLevel="0" collapsed="false">
      <c r="A1305" s="325"/>
    </row>
    <row r="1306" customFormat="false" ht="12.75" hidden="false" customHeight="false" outlineLevel="0" collapsed="false">
      <c r="A1306" s="325"/>
    </row>
    <row r="1307" customFormat="false" ht="12.75" hidden="false" customHeight="false" outlineLevel="0" collapsed="false">
      <c r="A1307" s="325"/>
    </row>
    <row r="1308" customFormat="false" ht="12.75" hidden="false" customHeight="false" outlineLevel="0" collapsed="false">
      <c r="A1308" s="325"/>
    </row>
    <row r="1309" customFormat="false" ht="12.75" hidden="false" customHeight="false" outlineLevel="0" collapsed="false">
      <c r="A1309" s="325"/>
    </row>
    <row r="1310" customFormat="false" ht="12.75" hidden="false" customHeight="false" outlineLevel="0" collapsed="false">
      <c r="A1310" s="325"/>
    </row>
    <row r="1311" customFormat="false" ht="12.75" hidden="false" customHeight="false" outlineLevel="0" collapsed="false">
      <c r="A1311" s="325"/>
    </row>
    <row r="1312" customFormat="false" ht="12.75" hidden="false" customHeight="false" outlineLevel="0" collapsed="false">
      <c r="A1312" s="325"/>
    </row>
    <row r="1313" customFormat="false" ht="12.75" hidden="false" customHeight="false" outlineLevel="0" collapsed="false">
      <c r="A1313" s="325"/>
    </row>
    <row r="1314" customFormat="false" ht="12.75" hidden="false" customHeight="false" outlineLevel="0" collapsed="false">
      <c r="A1314" s="325"/>
    </row>
    <row r="1315" customFormat="false" ht="12.75" hidden="false" customHeight="false" outlineLevel="0" collapsed="false">
      <c r="A1315" s="325"/>
    </row>
    <row r="1316" customFormat="false" ht="12.75" hidden="false" customHeight="false" outlineLevel="0" collapsed="false">
      <c r="A1316" s="325"/>
    </row>
    <row r="1317" customFormat="false" ht="12.75" hidden="false" customHeight="false" outlineLevel="0" collapsed="false">
      <c r="A1317" s="325"/>
    </row>
    <row r="1318" customFormat="false" ht="12.75" hidden="false" customHeight="false" outlineLevel="0" collapsed="false">
      <c r="A1318" s="325"/>
    </row>
    <row r="1319" customFormat="false" ht="12.75" hidden="false" customHeight="false" outlineLevel="0" collapsed="false">
      <c r="A1319" s="325"/>
    </row>
    <row r="1320" customFormat="false" ht="12.75" hidden="false" customHeight="false" outlineLevel="0" collapsed="false">
      <c r="A1320" s="325"/>
    </row>
    <row r="1321" customFormat="false" ht="12.75" hidden="false" customHeight="false" outlineLevel="0" collapsed="false">
      <c r="A1321" s="325"/>
    </row>
    <row r="1322" customFormat="false" ht="12.75" hidden="false" customHeight="false" outlineLevel="0" collapsed="false">
      <c r="A1322" s="325"/>
    </row>
    <row r="1323" customFormat="false" ht="12.75" hidden="false" customHeight="false" outlineLevel="0" collapsed="false">
      <c r="A1323" s="325"/>
    </row>
    <row r="1324" customFormat="false" ht="12.75" hidden="false" customHeight="false" outlineLevel="0" collapsed="false">
      <c r="A1324" s="325"/>
    </row>
    <row r="1325" customFormat="false" ht="12.75" hidden="false" customHeight="false" outlineLevel="0" collapsed="false">
      <c r="A1325" s="325"/>
    </row>
    <row r="1326" customFormat="false" ht="12.75" hidden="false" customHeight="false" outlineLevel="0" collapsed="false">
      <c r="A1326" s="325"/>
    </row>
    <row r="1327" customFormat="false" ht="12.75" hidden="false" customHeight="false" outlineLevel="0" collapsed="false">
      <c r="A1327" s="325"/>
    </row>
    <row r="1328" customFormat="false" ht="12.75" hidden="false" customHeight="false" outlineLevel="0" collapsed="false">
      <c r="A1328" s="325"/>
    </row>
    <row r="1329" customFormat="false" ht="12.75" hidden="false" customHeight="false" outlineLevel="0" collapsed="false">
      <c r="A1329" s="325"/>
    </row>
    <row r="1330" customFormat="false" ht="12.75" hidden="false" customHeight="false" outlineLevel="0" collapsed="false">
      <c r="A1330" s="325"/>
    </row>
    <row r="1331" customFormat="false" ht="12.75" hidden="false" customHeight="false" outlineLevel="0" collapsed="false">
      <c r="A1331" s="325"/>
    </row>
    <row r="1332" customFormat="false" ht="12.75" hidden="false" customHeight="false" outlineLevel="0" collapsed="false">
      <c r="A1332" s="325"/>
    </row>
    <row r="1333" customFormat="false" ht="12.75" hidden="false" customHeight="false" outlineLevel="0" collapsed="false">
      <c r="A1333" s="325"/>
    </row>
    <row r="1334" customFormat="false" ht="12.75" hidden="false" customHeight="false" outlineLevel="0" collapsed="false">
      <c r="A1334" s="325"/>
    </row>
    <row r="1335" customFormat="false" ht="12.75" hidden="false" customHeight="false" outlineLevel="0" collapsed="false">
      <c r="A1335" s="325"/>
    </row>
    <row r="1336" customFormat="false" ht="12.75" hidden="false" customHeight="false" outlineLevel="0" collapsed="false">
      <c r="A1336" s="325"/>
    </row>
    <row r="1337" customFormat="false" ht="12.75" hidden="false" customHeight="false" outlineLevel="0" collapsed="false">
      <c r="A1337" s="325"/>
    </row>
    <row r="1338" customFormat="false" ht="12.75" hidden="false" customHeight="false" outlineLevel="0" collapsed="false">
      <c r="A1338" s="325"/>
    </row>
    <row r="1339" customFormat="false" ht="12.75" hidden="false" customHeight="false" outlineLevel="0" collapsed="false">
      <c r="A1339" s="325"/>
    </row>
    <row r="1340" customFormat="false" ht="12.75" hidden="false" customHeight="false" outlineLevel="0" collapsed="false">
      <c r="A1340" s="325"/>
    </row>
    <row r="1341" customFormat="false" ht="12.75" hidden="false" customHeight="false" outlineLevel="0" collapsed="false">
      <c r="A1341" s="325"/>
    </row>
    <row r="1342" customFormat="false" ht="12.75" hidden="false" customHeight="false" outlineLevel="0" collapsed="false">
      <c r="A1342" s="325"/>
    </row>
    <row r="1343" customFormat="false" ht="12.75" hidden="false" customHeight="false" outlineLevel="0" collapsed="false">
      <c r="A1343" s="325"/>
    </row>
    <row r="1344" customFormat="false" ht="12.75" hidden="false" customHeight="false" outlineLevel="0" collapsed="false">
      <c r="A1344" s="325"/>
    </row>
    <row r="1345" customFormat="false" ht="12.75" hidden="false" customHeight="false" outlineLevel="0" collapsed="false">
      <c r="A1345" s="325"/>
    </row>
    <row r="1346" customFormat="false" ht="12.75" hidden="false" customHeight="false" outlineLevel="0" collapsed="false">
      <c r="A1346" s="325"/>
    </row>
    <row r="1347" customFormat="false" ht="12.75" hidden="false" customHeight="false" outlineLevel="0" collapsed="false">
      <c r="A1347" s="325"/>
    </row>
    <row r="1348" customFormat="false" ht="12.75" hidden="false" customHeight="false" outlineLevel="0" collapsed="false">
      <c r="A1348" s="325"/>
    </row>
    <row r="1349" customFormat="false" ht="12.75" hidden="false" customHeight="false" outlineLevel="0" collapsed="false">
      <c r="A1349" s="325"/>
    </row>
    <row r="1350" customFormat="false" ht="12.75" hidden="false" customHeight="false" outlineLevel="0" collapsed="false">
      <c r="A1350" s="325"/>
    </row>
    <row r="1351" customFormat="false" ht="12.75" hidden="false" customHeight="false" outlineLevel="0" collapsed="false">
      <c r="A1351" s="325"/>
    </row>
    <row r="1352" customFormat="false" ht="12.75" hidden="false" customHeight="false" outlineLevel="0" collapsed="false">
      <c r="A1352" s="325"/>
    </row>
    <row r="1353" customFormat="false" ht="12.75" hidden="false" customHeight="false" outlineLevel="0" collapsed="false">
      <c r="A1353" s="325"/>
    </row>
    <row r="1354" customFormat="false" ht="12.75" hidden="false" customHeight="false" outlineLevel="0" collapsed="false">
      <c r="A1354" s="325"/>
    </row>
    <row r="1355" customFormat="false" ht="12.75" hidden="false" customHeight="false" outlineLevel="0" collapsed="false">
      <c r="A1355" s="325"/>
    </row>
    <row r="1356" customFormat="false" ht="12.75" hidden="false" customHeight="false" outlineLevel="0" collapsed="false">
      <c r="A1356" s="325"/>
    </row>
    <row r="1357" customFormat="false" ht="12.75" hidden="false" customHeight="false" outlineLevel="0" collapsed="false">
      <c r="A1357" s="325"/>
    </row>
    <row r="1358" customFormat="false" ht="12.75" hidden="false" customHeight="false" outlineLevel="0" collapsed="false">
      <c r="A1358" s="325"/>
    </row>
    <row r="1359" customFormat="false" ht="12.75" hidden="false" customHeight="false" outlineLevel="0" collapsed="false">
      <c r="A1359" s="325"/>
    </row>
    <row r="1360" customFormat="false" ht="12.75" hidden="false" customHeight="false" outlineLevel="0" collapsed="false">
      <c r="A1360" s="325"/>
    </row>
    <row r="1361" customFormat="false" ht="12.75" hidden="false" customHeight="false" outlineLevel="0" collapsed="false">
      <c r="A1361" s="325"/>
    </row>
    <row r="1362" customFormat="false" ht="12.75" hidden="false" customHeight="false" outlineLevel="0" collapsed="false">
      <c r="A1362" s="325"/>
    </row>
    <row r="1363" customFormat="false" ht="12.75" hidden="false" customHeight="false" outlineLevel="0" collapsed="false">
      <c r="A1363" s="325"/>
    </row>
    <row r="1364" customFormat="false" ht="12.75" hidden="false" customHeight="false" outlineLevel="0" collapsed="false">
      <c r="A1364" s="325"/>
    </row>
    <row r="1365" customFormat="false" ht="12.75" hidden="false" customHeight="false" outlineLevel="0" collapsed="false">
      <c r="A1365" s="325"/>
    </row>
    <row r="1366" customFormat="false" ht="12.75" hidden="false" customHeight="false" outlineLevel="0" collapsed="false">
      <c r="A1366" s="325"/>
    </row>
    <row r="1367" customFormat="false" ht="12.75" hidden="false" customHeight="false" outlineLevel="0" collapsed="false">
      <c r="A1367" s="325"/>
    </row>
    <row r="1368" customFormat="false" ht="12.75" hidden="false" customHeight="false" outlineLevel="0" collapsed="false">
      <c r="A1368" s="325"/>
    </row>
    <row r="1369" customFormat="false" ht="12.75" hidden="false" customHeight="false" outlineLevel="0" collapsed="false">
      <c r="A1369" s="325"/>
    </row>
    <row r="1370" customFormat="false" ht="12.75" hidden="false" customHeight="false" outlineLevel="0" collapsed="false">
      <c r="A1370" s="325"/>
    </row>
    <row r="1371" customFormat="false" ht="12.75" hidden="false" customHeight="false" outlineLevel="0" collapsed="false">
      <c r="A1371" s="325"/>
    </row>
    <row r="1372" customFormat="false" ht="12.75" hidden="false" customHeight="false" outlineLevel="0" collapsed="false">
      <c r="A1372" s="325"/>
    </row>
    <row r="1373" customFormat="false" ht="12.75" hidden="false" customHeight="false" outlineLevel="0" collapsed="false">
      <c r="A1373" s="325"/>
    </row>
    <row r="1374" customFormat="false" ht="12.75" hidden="false" customHeight="false" outlineLevel="0" collapsed="false">
      <c r="A1374" s="325"/>
    </row>
    <row r="1375" customFormat="false" ht="12.75" hidden="false" customHeight="false" outlineLevel="0" collapsed="false">
      <c r="A1375" s="325"/>
    </row>
    <row r="1376" customFormat="false" ht="12.75" hidden="false" customHeight="false" outlineLevel="0" collapsed="false">
      <c r="A1376" s="325"/>
    </row>
    <row r="1377" customFormat="false" ht="12.75" hidden="false" customHeight="false" outlineLevel="0" collapsed="false">
      <c r="A1377" s="325"/>
    </row>
    <row r="1378" customFormat="false" ht="12.75" hidden="false" customHeight="false" outlineLevel="0" collapsed="false">
      <c r="A1378" s="325"/>
    </row>
    <row r="1379" customFormat="false" ht="12.75" hidden="false" customHeight="false" outlineLevel="0" collapsed="false">
      <c r="A1379" s="325"/>
    </row>
    <row r="1380" customFormat="false" ht="12.75" hidden="false" customHeight="false" outlineLevel="0" collapsed="false">
      <c r="A1380" s="325"/>
    </row>
    <row r="1381" customFormat="false" ht="12.75" hidden="false" customHeight="false" outlineLevel="0" collapsed="false">
      <c r="A1381" s="325"/>
    </row>
    <row r="1382" customFormat="false" ht="12.75" hidden="false" customHeight="false" outlineLevel="0" collapsed="false">
      <c r="A1382" s="325"/>
    </row>
    <row r="1383" customFormat="false" ht="12.75" hidden="false" customHeight="false" outlineLevel="0" collapsed="false">
      <c r="A1383" s="325"/>
    </row>
    <row r="1384" customFormat="false" ht="12.75" hidden="false" customHeight="false" outlineLevel="0" collapsed="false">
      <c r="A1384" s="325"/>
    </row>
    <row r="1385" customFormat="false" ht="12.75" hidden="false" customHeight="false" outlineLevel="0" collapsed="false">
      <c r="A1385" s="325"/>
    </row>
    <row r="1386" customFormat="false" ht="12.75" hidden="false" customHeight="false" outlineLevel="0" collapsed="false">
      <c r="A1386" s="325"/>
    </row>
    <row r="1387" customFormat="false" ht="12.75" hidden="false" customHeight="false" outlineLevel="0" collapsed="false">
      <c r="A1387" s="325"/>
    </row>
    <row r="1388" customFormat="false" ht="12.75" hidden="false" customHeight="false" outlineLevel="0" collapsed="false">
      <c r="A1388" s="325"/>
    </row>
    <row r="1389" customFormat="false" ht="12.75" hidden="false" customHeight="false" outlineLevel="0" collapsed="false">
      <c r="A1389" s="325"/>
    </row>
    <row r="1390" customFormat="false" ht="12.75" hidden="false" customHeight="false" outlineLevel="0" collapsed="false">
      <c r="A1390" s="325"/>
    </row>
    <row r="1391" customFormat="false" ht="12.75" hidden="false" customHeight="false" outlineLevel="0" collapsed="false">
      <c r="A1391" s="325"/>
    </row>
    <row r="1392" customFormat="false" ht="12.75" hidden="false" customHeight="false" outlineLevel="0" collapsed="false">
      <c r="A1392" s="325"/>
    </row>
    <row r="1393" customFormat="false" ht="12.75" hidden="false" customHeight="false" outlineLevel="0" collapsed="false">
      <c r="A1393" s="325"/>
    </row>
    <row r="1394" customFormat="false" ht="12.75" hidden="false" customHeight="false" outlineLevel="0" collapsed="false">
      <c r="A1394" s="325"/>
    </row>
    <row r="1395" customFormat="false" ht="12.75" hidden="false" customHeight="false" outlineLevel="0" collapsed="false">
      <c r="A1395" s="325"/>
    </row>
    <row r="1396" customFormat="false" ht="12.75" hidden="false" customHeight="false" outlineLevel="0" collapsed="false">
      <c r="A1396" s="325"/>
    </row>
    <row r="1397" customFormat="false" ht="12.75" hidden="false" customHeight="false" outlineLevel="0" collapsed="false">
      <c r="A1397" s="325"/>
    </row>
    <row r="1398" customFormat="false" ht="12.75" hidden="false" customHeight="false" outlineLevel="0" collapsed="false">
      <c r="A1398" s="325"/>
    </row>
    <row r="1399" customFormat="false" ht="12.75" hidden="false" customHeight="false" outlineLevel="0" collapsed="false">
      <c r="A1399" s="325"/>
    </row>
    <row r="1400" customFormat="false" ht="12.75" hidden="false" customHeight="false" outlineLevel="0" collapsed="false">
      <c r="A1400" s="325"/>
    </row>
    <row r="1401" customFormat="false" ht="12.75" hidden="false" customHeight="false" outlineLevel="0" collapsed="false">
      <c r="A1401" s="325"/>
    </row>
    <row r="1402" customFormat="false" ht="12.75" hidden="false" customHeight="false" outlineLevel="0" collapsed="false">
      <c r="A1402" s="325"/>
    </row>
    <row r="1403" customFormat="false" ht="12.75" hidden="false" customHeight="false" outlineLevel="0" collapsed="false">
      <c r="A1403" s="325"/>
    </row>
    <row r="1404" customFormat="false" ht="12.75" hidden="false" customHeight="false" outlineLevel="0" collapsed="false">
      <c r="A1404" s="325"/>
    </row>
    <row r="1405" customFormat="false" ht="12.75" hidden="false" customHeight="false" outlineLevel="0" collapsed="false">
      <c r="A1405" s="325"/>
    </row>
    <row r="1406" customFormat="false" ht="12.75" hidden="false" customHeight="false" outlineLevel="0" collapsed="false">
      <c r="A1406" s="325"/>
    </row>
    <row r="1407" customFormat="false" ht="12.75" hidden="false" customHeight="false" outlineLevel="0" collapsed="false">
      <c r="A1407" s="325"/>
    </row>
    <row r="1408" customFormat="false" ht="12.75" hidden="false" customHeight="false" outlineLevel="0" collapsed="false">
      <c r="A1408" s="325"/>
    </row>
    <row r="1409" customFormat="false" ht="12.75" hidden="false" customHeight="false" outlineLevel="0" collapsed="false">
      <c r="A1409" s="325"/>
    </row>
    <row r="1410" customFormat="false" ht="12.75" hidden="false" customHeight="false" outlineLevel="0" collapsed="false">
      <c r="A1410" s="325"/>
    </row>
    <row r="1411" customFormat="false" ht="12.75" hidden="false" customHeight="false" outlineLevel="0" collapsed="false">
      <c r="A1411" s="325"/>
    </row>
    <row r="1412" customFormat="false" ht="12.75" hidden="false" customHeight="false" outlineLevel="0" collapsed="false">
      <c r="A1412" s="325"/>
    </row>
    <row r="1413" customFormat="false" ht="12.75" hidden="false" customHeight="false" outlineLevel="0" collapsed="false">
      <c r="A1413" s="325"/>
    </row>
    <row r="1414" customFormat="false" ht="12.75" hidden="false" customHeight="false" outlineLevel="0" collapsed="false">
      <c r="A1414" s="325"/>
    </row>
    <row r="1415" customFormat="false" ht="12.75" hidden="false" customHeight="false" outlineLevel="0" collapsed="false">
      <c r="A1415" s="325"/>
    </row>
    <row r="1416" customFormat="false" ht="12.75" hidden="false" customHeight="false" outlineLevel="0" collapsed="false">
      <c r="A1416" s="325"/>
    </row>
    <row r="1417" customFormat="false" ht="12.75" hidden="false" customHeight="false" outlineLevel="0" collapsed="false">
      <c r="A1417" s="325"/>
    </row>
    <row r="1418" customFormat="false" ht="12.75" hidden="false" customHeight="false" outlineLevel="0" collapsed="false">
      <c r="A1418" s="325"/>
    </row>
    <row r="1419" customFormat="false" ht="12.75" hidden="false" customHeight="false" outlineLevel="0" collapsed="false">
      <c r="A1419" s="325"/>
    </row>
    <row r="1420" customFormat="false" ht="12.75" hidden="false" customHeight="false" outlineLevel="0" collapsed="false">
      <c r="A1420" s="325"/>
    </row>
    <row r="1421" customFormat="false" ht="12.75" hidden="false" customHeight="false" outlineLevel="0" collapsed="false">
      <c r="A1421" s="325"/>
    </row>
    <row r="1422" customFormat="false" ht="12.75" hidden="false" customHeight="false" outlineLevel="0" collapsed="false">
      <c r="A1422" s="325"/>
    </row>
    <row r="1423" customFormat="false" ht="12.75" hidden="false" customHeight="false" outlineLevel="0" collapsed="false">
      <c r="A1423" s="325"/>
    </row>
    <row r="1424" customFormat="false" ht="12.75" hidden="false" customHeight="false" outlineLevel="0" collapsed="false">
      <c r="A1424" s="325"/>
    </row>
    <row r="1425" customFormat="false" ht="12.75" hidden="false" customHeight="false" outlineLevel="0" collapsed="false">
      <c r="A1425" s="325"/>
    </row>
    <row r="1426" customFormat="false" ht="12.75" hidden="false" customHeight="false" outlineLevel="0" collapsed="false">
      <c r="A1426" s="325"/>
    </row>
    <row r="1427" customFormat="false" ht="12.75" hidden="false" customHeight="false" outlineLevel="0" collapsed="false">
      <c r="A1427" s="325"/>
    </row>
    <row r="1428" customFormat="false" ht="12.75" hidden="false" customHeight="false" outlineLevel="0" collapsed="false">
      <c r="A1428" s="325"/>
    </row>
    <row r="1429" customFormat="false" ht="12.75" hidden="false" customHeight="false" outlineLevel="0" collapsed="false">
      <c r="A1429" s="325"/>
    </row>
    <row r="1430" customFormat="false" ht="12.75" hidden="false" customHeight="false" outlineLevel="0" collapsed="false">
      <c r="A1430" s="325"/>
    </row>
    <row r="1431" customFormat="false" ht="12.75" hidden="false" customHeight="false" outlineLevel="0" collapsed="false">
      <c r="A1431" s="325"/>
    </row>
    <row r="1432" customFormat="false" ht="12.75" hidden="false" customHeight="false" outlineLevel="0" collapsed="false">
      <c r="A1432" s="325"/>
    </row>
    <row r="1433" customFormat="false" ht="12.75" hidden="false" customHeight="false" outlineLevel="0" collapsed="false">
      <c r="A1433" s="325"/>
    </row>
    <row r="1434" customFormat="false" ht="12.75" hidden="false" customHeight="false" outlineLevel="0" collapsed="false">
      <c r="A1434" s="325"/>
    </row>
    <row r="1435" customFormat="false" ht="12.75" hidden="false" customHeight="false" outlineLevel="0" collapsed="false">
      <c r="A1435" s="325"/>
    </row>
    <row r="1436" customFormat="false" ht="12.75" hidden="false" customHeight="false" outlineLevel="0" collapsed="false">
      <c r="A1436" s="325"/>
    </row>
    <row r="1437" customFormat="false" ht="12.75" hidden="false" customHeight="false" outlineLevel="0" collapsed="false">
      <c r="A1437" s="325"/>
    </row>
    <row r="1438" customFormat="false" ht="12.75" hidden="false" customHeight="false" outlineLevel="0" collapsed="false">
      <c r="A1438" s="325"/>
    </row>
    <row r="1439" customFormat="false" ht="12.75" hidden="false" customHeight="false" outlineLevel="0" collapsed="false">
      <c r="A1439" s="325"/>
    </row>
    <row r="1440" customFormat="false" ht="12.75" hidden="false" customHeight="false" outlineLevel="0" collapsed="false">
      <c r="A1440" s="325"/>
    </row>
    <row r="1441" customFormat="false" ht="12.75" hidden="false" customHeight="false" outlineLevel="0" collapsed="false">
      <c r="A1441" s="325"/>
    </row>
    <row r="1442" customFormat="false" ht="12.75" hidden="false" customHeight="false" outlineLevel="0" collapsed="false">
      <c r="A1442" s="325"/>
    </row>
    <row r="1443" customFormat="false" ht="12.75" hidden="false" customHeight="false" outlineLevel="0" collapsed="false">
      <c r="A1443" s="325"/>
    </row>
    <row r="1444" customFormat="false" ht="12.75" hidden="false" customHeight="false" outlineLevel="0" collapsed="false">
      <c r="A1444" s="325"/>
    </row>
    <row r="1445" customFormat="false" ht="12.75" hidden="false" customHeight="false" outlineLevel="0" collapsed="false">
      <c r="A1445" s="325"/>
    </row>
    <row r="1446" customFormat="false" ht="12.75" hidden="false" customHeight="false" outlineLevel="0" collapsed="false">
      <c r="A1446" s="325"/>
    </row>
  </sheetData>
  <mergeCells count="3">
    <mergeCell ref="B4:M4"/>
    <mergeCell ref="O4:Z4"/>
    <mergeCell ref="B6:M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S12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3" topLeftCell="AA4" activePane="bottomRight" state="frozen"/>
      <selection pane="topLeft" activeCell="A1" activeCellId="0" sqref="A1"/>
      <selection pane="topRight" activeCell="AA1" activeCellId="0" sqref="AA1"/>
      <selection pane="bottomLeft" activeCell="A4" activeCellId="0" sqref="A4"/>
      <selection pane="bottomRight" activeCell="AH4" activeCellId="0" sqref="AH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7.14"/>
    <col collapsed="false" customWidth="true" hidden="false" outlineLevel="0" max="2" min="2" style="295" width="4.99"/>
    <col collapsed="false" customWidth="true" hidden="false" outlineLevel="0" max="3" min="3" style="0" width="9.99"/>
    <col collapsed="false" customWidth="true" hidden="false" outlineLevel="0" max="4" min="4" style="0" width="12.42"/>
    <col collapsed="false" customWidth="true" hidden="false" outlineLevel="0" max="5" min="5" style="0" width="9.56"/>
    <col collapsed="false" customWidth="true" hidden="false" outlineLevel="0" max="6" min="6" style="0" width="9.99"/>
    <col collapsed="false" customWidth="true" hidden="false" outlineLevel="0" max="7" min="7" style="0" width="12.42"/>
    <col collapsed="false" customWidth="true" hidden="false" outlineLevel="0" max="8" min="8" style="0" width="9.56"/>
    <col collapsed="false" customWidth="true" hidden="false" outlineLevel="0" max="9" min="9" style="0" width="9.99"/>
    <col collapsed="false" customWidth="true" hidden="false" outlineLevel="0" max="10" min="10" style="0" width="12.42"/>
    <col collapsed="false" customWidth="true" hidden="false" outlineLevel="0" max="11" min="11" style="0" width="9.56"/>
    <col collapsed="false" customWidth="true" hidden="false" outlineLevel="0" max="12" min="12" style="0" width="11.13"/>
    <col collapsed="false" customWidth="true" hidden="false" outlineLevel="0" max="13" min="13" style="0" width="12.42"/>
    <col collapsed="false" customWidth="true" hidden="false" outlineLevel="0" max="14" min="14" style="0" width="9.56"/>
    <col collapsed="false" customWidth="true" hidden="false" outlineLevel="0" max="15" min="15" style="0" width="9.99"/>
    <col collapsed="false" customWidth="true" hidden="false" outlineLevel="0" max="16" min="16" style="0" width="12.42"/>
    <col collapsed="false" customWidth="true" hidden="false" outlineLevel="0" max="17" min="17" style="0" width="9.28"/>
    <col collapsed="false" customWidth="true" hidden="false" outlineLevel="0" max="18" min="18" style="0" width="9.99"/>
    <col collapsed="false" customWidth="true" hidden="false" outlineLevel="0" max="19" min="19" style="0" width="12.42"/>
    <col collapsed="false" customWidth="true" hidden="false" outlineLevel="0" max="20" min="20" style="0" width="9.56"/>
    <col collapsed="false" customWidth="true" hidden="false" outlineLevel="0" max="21" min="21" style="73" width="8.28"/>
    <col collapsed="false" customWidth="true" hidden="false" outlineLevel="0" max="22" min="22" style="73" width="11.99"/>
    <col collapsed="false" customWidth="true" hidden="false" outlineLevel="0" max="24" min="23" style="73" width="12.42"/>
    <col collapsed="false" customWidth="true" hidden="false" outlineLevel="0" max="25" min="25" style="73" width="11.13"/>
    <col collapsed="false" customWidth="true" hidden="false" outlineLevel="0" max="27" min="26" style="73" width="12.42"/>
    <col collapsed="false" customWidth="true" hidden="false" outlineLevel="0" max="28" min="28" style="73" width="11.13"/>
    <col collapsed="false" customWidth="true" hidden="false" outlineLevel="0" max="29" min="29" style="0" width="12.42"/>
    <col collapsed="false" customWidth="true" hidden="false" outlineLevel="0" max="31" min="30" style="0" width="12.28"/>
    <col collapsed="false" customWidth="true" hidden="false" outlineLevel="0" max="33" min="33" style="0" width="9.28"/>
    <col collapsed="false" customWidth="true" hidden="false" outlineLevel="0" max="35" min="35" style="0" width="8.7"/>
    <col collapsed="false" customWidth="true" hidden="false" outlineLevel="0" max="36" min="36" style="0" width="7.99"/>
    <col collapsed="false" customWidth="true" hidden="false" outlineLevel="0" max="39" min="39" style="295" width="9.14"/>
    <col collapsed="false" customWidth="true" hidden="false" outlineLevel="0" max="69" min="69" style="0" width="6.28"/>
    <col collapsed="false" customWidth="true" hidden="false" outlineLevel="0" max="70" min="70" style="0" width="5.56"/>
    <col collapsed="false" customWidth="true" hidden="false" outlineLevel="0" max="71" min="71" style="0" width="7.42"/>
  </cols>
  <sheetData>
    <row r="1" customFormat="false" ht="12.75" hidden="false" customHeight="false" outlineLevel="0" collapsed="false">
      <c r="A1" s="296"/>
      <c r="B1" s="296"/>
      <c r="C1" s="297" t="s">
        <v>1274</v>
      </c>
      <c r="D1" s="297"/>
      <c r="E1" s="297"/>
      <c r="F1" s="297"/>
      <c r="G1" s="297"/>
      <c r="H1" s="297"/>
      <c r="I1" s="297"/>
      <c r="J1" s="297"/>
      <c r="K1" s="297"/>
      <c r="L1" s="298" t="s">
        <v>1275</v>
      </c>
      <c r="M1" s="298"/>
      <c r="N1" s="298"/>
      <c r="O1" s="298"/>
      <c r="P1" s="298"/>
      <c r="Q1" s="298"/>
      <c r="R1" s="298"/>
      <c r="S1" s="298"/>
      <c r="T1" s="298"/>
      <c r="U1" s="299" t="s">
        <v>1276</v>
      </c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300" t="s">
        <v>1277</v>
      </c>
      <c r="AG1" s="300"/>
      <c r="AH1" s="300"/>
      <c r="AI1" s="300"/>
      <c r="AJ1" s="300"/>
      <c r="AK1" s="300"/>
      <c r="AL1" s="300"/>
      <c r="AM1" s="300"/>
      <c r="BQ1" s="301" t="s">
        <v>1278</v>
      </c>
      <c r="BR1" s="301"/>
      <c r="BS1" s="301"/>
    </row>
    <row r="2" customFormat="false" ht="12.75" hidden="false" customHeight="false" outlineLevel="0" collapsed="false">
      <c r="A2" s="302"/>
      <c r="B2" s="303"/>
      <c r="C2" s="304" t="s">
        <v>1279</v>
      </c>
      <c r="D2" s="304" t="s">
        <v>1279</v>
      </c>
      <c r="E2" s="304" t="s">
        <v>1279</v>
      </c>
      <c r="F2" s="304" t="s">
        <v>1280</v>
      </c>
      <c r="G2" s="304" t="s">
        <v>1280</v>
      </c>
      <c r="H2" s="304" t="s">
        <v>1280</v>
      </c>
      <c r="I2" s="304" t="s">
        <v>1281</v>
      </c>
      <c r="J2" s="304" t="s">
        <v>1281</v>
      </c>
      <c r="K2" s="304" t="s">
        <v>1281</v>
      </c>
      <c r="L2" s="305" t="s">
        <v>1279</v>
      </c>
      <c r="M2" s="305" t="s">
        <v>1279</v>
      </c>
      <c r="N2" s="305" t="s">
        <v>1279</v>
      </c>
      <c r="O2" s="305" t="s">
        <v>1280</v>
      </c>
      <c r="P2" s="305" t="s">
        <v>1280</v>
      </c>
      <c r="Q2" s="305" t="s">
        <v>1282</v>
      </c>
      <c r="R2" s="305" t="s">
        <v>1281</v>
      </c>
      <c r="S2" s="305" t="s">
        <v>1281</v>
      </c>
      <c r="T2" s="305" t="s">
        <v>1281</v>
      </c>
      <c r="U2" s="306"/>
      <c r="V2" s="307" t="s">
        <v>1279</v>
      </c>
      <c r="W2" s="307" t="s">
        <v>1279</v>
      </c>
      <c r="X2" s="307" t="s">
        <v>1279</v>
      </c>
      <c r="Y2" s="307" t="s">
        <v>1280</v>
      </c>
      <c r="Z2" s="307" t="s">
        <v>1280</v>
      </c>
      <c r="AA2" s="307" t="s">
        <v>1282</v>
      </c>
      <c r="AB2" s="307" t="s">
        <v>1281</v>
      </c>
      <c r="AC2" s="307" t="s">
        <v>1281</v>
      </c>
      <c r="AD2" s="307" t="s">
        <v>1281</v>
      </c>
      <c r="AE2" s="307" t="s">
        <v>1283</v>
      </c>
      <c r="AF2" s="308" t="s">
        <v>47</v>
      </c>
      <c r="AG2" s="308" t="s">
        <v>47</v>
      </c>
      <c r="AH2" s="308" t="s">
        <v>47</v>
      </c>
      <c r="AI2" s="308" t="s">
        <v>1284</v>
      </c>
      <c r="AJ2" s="308" t="s">
        <v>1284</v>
      </c>
      <c r="AK2" s="308" t="s">
        <v>1284</v>
      </c>
      <c r="AL2" s="308" t="s">
        <v>1285</v>
      </c>
      <c r="AM2" s="309" t="s">
        <v>1286</v>
      </c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Q2" s="311" t="s">
        <v>1287</v>
      </c>
      <c r="BR2" s="311" t="s">
        <v>1280</v>
      </c>
      <c r="BS2" s="312" t="s">
        <v>1281</v>
      </c>
    </row>
    <row r="3" customFormat="false" ht="12.75" hidden="false" customHeight="false" outlineLevel="0" collapsed="false">
      <c r="A3" s="313" t="s">
        <v>1288</v>
      </c>
      <c r="B3" s="314" t="s">
        <v>1289</v>
      </c>
      <c r="C3" s="304" t="s">
        <v>1290</v>
      </c>
      <c r="D3" s="304" t="s">
        <v>1291</v>
      </c>
      <c r="E3" s="304" t="s">
        <v>1292</v>
      </c>
      <c r="F3" s="304" t="s">
        <v>1290</v>
      </c>
      <c r="G3" s="304" t="s">
        <v>1291</v>
      </c>
      <c r="H3" s="304" t="s">
        <v>1292</v>
      </c>
      <c r="I3" s="304" t="s">
        <v>1290</v>
      </c>
      <c r="J3" s="304" t="s">
        <v>1291</v>
      </c>
      <c r="K3" s="304" t="s">
        <v>1292</v>
      </c>
      <c r="L3" s="305" t="s">
        <v>1290</v>
      </c>
      <c r="M3" s="305" t="s">
        <v>1291</v>
      </c>
      <c r="N3" s="305" t="s">
        <v>1292</v>
      </c>
      <c r="O3" s="305" t="s">
        <v>1290</v>
      </c>
      <c r="P3" s="305" t="s">
        <v>1291</v>
      </c>
      <c r="Q3" s="305" t="s">
        <v>1292</v>
      </c>
      <c r="R3" s="305" t="s">
        <v>1290</v>
      </c>
      <c r="S3" s="305" t="s">
        <v>1291</v>
      </c>
      <c r="T3" s="305" t="s">
        <v>1292</v>
      </c>
      <c r="U3" s="307" t="s">
        <v>1293</v>
      </c>
      <c r="V3" s="307" t="s">
        <v>1290</v>
      </c>
      <c r="W3" s="307" t="s">
        <v>1291</v>
      </c>
      <c r="X3" s="307" t="s">
        <v>1292</v>
      </c>
      <c r="Y3" s="307" t="s">
        <v>1290</v>
      </c>
      <c r="Z3" s="307" t="s">
        <v>1291</v>
      </c>
      <c r="AA3" s="307" t="s">
        <v>1292</v>
      </c>
      <c r="AB3" s="307" t="s">
        <v>1290</v>
      </c>
      <c r="AC3" s="307" t="s">
        <v>1291</v>
      </c>
      <c r="AD3" s="307" t="s">
        <v>1292</v>
      </c>
      <c r="AE3" s="307" t="s">
        <v>1294</v>
      </c>
      <c r="AF3" s="308" t="s">
        <v>1295</v>
      </c>
      <c r="AG3" s="308" t="s">
        <v>1296</v>
      </c>
      <c r="AH3" s="308" t="s">
        <v>1297</v>
      </c>
      <c r="AI3" s="308" t="s">
        <v>1295</v>
      </c>
      <c r="AJ3" s="308" t="s">
        <v>1298</v>
      </c>
      <c r="AK3" s="308" t="s">
        <v>1297</v>
      </c>
      <c r="AL3" s="308" t="s">
        <v>1299</v>
      </c>
      <c r="AM3" s="309" t="s">
        <v>65</v>
      </c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Q3" s="311" t="s">
        <v>1300</v>
      </c>
      <c r="BR3" s="311" t="s">
        <v>1300</v>
      </c>
      <c r="BS3" s="312" t="s">
        <v>1301</v>
      </c>
    </row>
    <row r="4" customFormat="false" ht="12.75" hidden="false" customHeight="false" outlineLevel="0" collapsed="false">
      <c r="A4" s="315" t="n">
        <f aca="false">Inputs!P4</f>
        <v>37257</v>
      </c>
      <c r="B4" s="316" t="n">
        <f aca="false">IF(A4="N/A"," ",YEAR(A4))</f>
        <v>2002</v>
      </c>
      <c r="C4" s="317" t="n">
        <f aca="false">IF($A4="N/A"," ",IF(Dayrun2=10,0,IF(Scaler2=1,(VLOOKUP(A4,ScaledPrice2,4)),(VLOOKUP(A4,ScaledPrice2,2)))))</f>
        <v>32.4166677565802</v>
      </c>
      <c r="D4" s="317" t="n">
        <f aca="false">IF(A4="N/A"," ",IF(Dayrun2&gt;=7,0,IF(Scaler2=2,VLOOKUP(A4,ScaledPrice2,2),(VLOOKUP(A4,ScaledPrice2,2))*(2-(VLOOKUP(A4,ScaledPrice2,3))))))</f>
        <v>32.4166677565802</v>
      </c>
      <c r="E4" s="317" t="n">
        <f aca="false">IF($A4="N/A"," ",IF(AND(Dayrun2&gt;=4,Dayrun2&lt;=9),0,VLOOKUP($A4,ScaledPrice2,9)))</f>
        <v>0</v>
      </c>
      <c r="F4" s="317" t="n">
        <f aca="false">IF(A4="N/A"," ",IF(OR(Dayrun2=2,Dayrun2=3,Dayrun2=5,Dayrun2=6,Dayrun2=8,Dayrun2=9),VLOOKUP(A4,ScaledPrice2,IF(Scaler2=1,6,5)),0))</f>
        <v>0</v>
      </c>
      <c r="G4" s="317" t="n">
        <f aca="false">IF(A4="N/A"," ",IF(OR(Dayrun2=2,Dayrun2=3,Dayrun2=5,Dayrun2=6),IF(Scaler2=2,F4,(VLOOKUP(A4,ScaledPrice2,5))*(2-(VLOOKUP(A4,ScaledPrice2,3)))),0))</f>
        <v>0</v>
      </c>
      <c r="H4" s="317" t="n">
        <f aca="false">IF($A4="N/A"," ",IF(OR(Dayrun2=2,Dayrun2=3,Dayrun2=10),VLOOKUP($A4,ScaledPrice2,9),0))</f>
        <v>0</v>
      </c>
      <c r="I4" s="317" t="n">
        <f aca="false">IF(A4="N/A"," ",IF(OR(Dayrun2=3,Dayrun2=6,Dayrun2=9),(VLOOKUP(A4,ScaledPrice2,IF(Scaler2=2,7,8))),0))</f>
        <v>0</v>
      </c>
      <c r="J4" s="317" t="n">
        <f aca="false">IF(A4="N/A"," ",IF(OR(Dayrun2=3,Dayrun2=6),IF(Scaler2=2,I4,(VLOOKUP(A4,ScaledPrice2,7))*(2-(VLOOKUP(A4,ScaledPrice2,3)))),0))</f>
        <v>0</v>
      </c>
      <c r="K4" s="317" t="n">
        <f aca="false">IF($A4="N/A"," ",IF(OR(Dayrun2=3,Dayrun2=10),VLOOKUP($A4,ScaledPrice2,9),0))</f>
        <v>0</v>
      </c>
      <c r="L4" s="318" t="e">
        <f aca="false">IF($A4="N/A"," ",IF(Pricetype2=2,MAX(C4,0),IF(OR(Pricetype2=1,Pricetype2=4),IF(C4=0,0,(EURO(C4,Strikeprice2,0,0,($AH4+IF(Smile=TRUE(),VLOOKUP(MAX(-5,Strikeprice2-C4),Volsmile,2),0)),($A4-DateToday)+15,IF(Pricetype2=1,1,0),0))),C4)))</f>
        <v>#NAME?</v>
      </c>
      <c r="M4" s="318" t="e">
        <f aca="false">IF($A4="N/A"," ",IF(Pricetype2=2,MAX(D4,0),IF(OR(Pricetype2=1,Pricetype2=4),IF(D4=0,0,(EURO(D4,Strikeprice2,0,0,($AH4+IF(Smile=TRUE(),VLOOKUP(MAX(-5,Strikeprice2-D4),Volsmile,2),0)),($A4-DateToday)+15,IF(Pricetype2=1,1,0),0))),D4)))</f>
        <v>#NAME?</v>
      </c>
      <c r="N4" s="318" t="n">
        <f aca="false">IF($A4="N/A"," ",IF(Pricetype2=2,MAX(E4,0),IF(OR(Pricetype2=1,Pricetype2=4),IF(E4=0,0,(EURO(E4,Strikeprice2,0,0,($AK4+IF(Smile=TRUE(),VLOOKUP(MAX(-5,Strikeprice2-E4),Volsmile,2),0)),($A4-DateToday)+15,IF(Pricetype2=1,1,0),0))),E4)))</f>
        <v>0</v>
      </c>
      <c r="O4" s="318" t="n">
        <f aca="false">IF($A4="N/A"," ",IF(Pricetype2=2,MAX(F4,0),IF(OR(Pricetype2=1,Pricetype2=4),IF(F4=0,0,(EURO(F4,Strikeprice2,0,0,($AK4+IF(Smile=TRUE(),VLOOKUP(MAX(-5,Strikeprice2-F4),Volsmile,2),0)),($A4-DateToday)+15,IF(Pricetype2=1,1,0),0))),F4)))</f>
        <v>0</v>
      </c>
      <c r="P4" s="318" t="n">
        <f aca="false">IF($A4="N/A"," ",IF(Pricetype2=2,MAX(G4,0),IF(OR(Pricetype2=1,Pricetype2=4),IF(G4=0,0,(EURO(G4,Strikeprice2,0,0,($AK4+IF(Smile=TRUE(),VLOOKUP(MAX(-5,Strikeprice2-G4),Volsmile,2),0)),($A4-DateToday)+15,IF(Pricetype2=1,1,0),0))),G4)))</f>
        <v>0</v>
      </c>
      <c r="Q4" s="318" t="n">
        <f aca="false">IF($A4="N/A"," ",IF(Pricetype2=2,MAX(H4,0),IF(OR(Pricetype2=1,Pricetype2=4),IF(H4=0,0,(EURO(H4,Strikeprice2,0,0,($AK4+IF(Smile=TRUE(),VLOOKUP(MAX(-5,Strikeprice2-H4),Volsmile,2),0)),($A4-DateToday)+15,IF(Pricetype2=1,1,0),0))),H4)))</f>
        <v>0</v>
      </c>
      <c r="R4" s="318" t="n">
        <f aca="false">IF($A4="N/A"," ",IF(Pricetype2=2,MAX(I4,0),IF(OR(Pricetype2=1,Pricetype2=4),IF(I4=0,0,(EURO(I4,Strikeprice2,0,0,($AK4+IF(Smile=TRUE(),VLOOKUP(MAX(-5,Strikeprice2-I4),Volsmile,2),0)),($A4-DateToday)+15,IF(Pricetype2=1,1,0),0))),I4)))</f>
        <v>0</v>
      </c>
      <c r="S4" s="318" t="n">
        <f aca="false">IF($A4="N/A"," ",IF(Pricetype2=2,MAX(J4,0),IF(OR(Pricetype2=1,Pricetype2=4),IF(J4=0,0,(EURO(J4,Strikeprice2,0,0,($AK4+IF(Smile=TRUE(),VLOOKUP(MAX(-5,Strikeprice2-J4),Volsmile,2),0)),($A4-DateToday)+15,IF(Pricetype2=1,1,0),0))),J4)))</f>
        <v>0</v>
      </c>
      <c r="T4" s="318" t="n">
        <f aca="false">IF($A4="N/A"," ",IF(Pricetype2=2,MAX(K4,0),IF(OR(Pricetype2=1,Pricetype2=4),IF(K4=0,0,(EURO(K4,Strikeprice2,0,0,($AK4+IF(Smile=TRUE(),VLOOKUP(MAX(-5,Strikeprice2-K4),Volsmile,2),0)),($A4-DateToday)+15,IF(Pricetype2=1,1,0),0))),K4)))</f>
        <v>0</v>
      </c>
      <c r="U4" s="319" t="e">
        <f aca="false">IF($A4="N/A"," ",Volume2*$AM4)</f>
        <v>#N/A</v>
      </c>
      <c r="V4" s="320" t="e">
        <f aca="false">IF($A4="N/A"," ",$U4*(8*($BQ4))*L4)</f>
        <v>#N/A</v>
      </c>
      <c r="W4" s="320" t="e">
        <f aca="false">IF($A4="N/A"," ",$U4*(8*($BQ4))*M4)</f>
        <v>#N/A</v>
      </c>
      <c r="X4" s="320" t="e">
        <f aca="false">IF($A4="N/A"," ",$U4*(8*($BQ4))*N4)</f>
        <v>#N/A</v>
      </c>
      <c r="Y4" s="320" t="e">
        <f aca="false">IF($A4="N/A"," ",$U4*(8*($BR4))*O4)</f>
        <v>#N/A</v>
      </c>
      <c r="Z4" s="320" t="e">
        <f aca="false">IF($A4="N/A"," ",$U4*(8*($BR4))*P4)</f>
        <v>#N/A</v>
      </c>
      <c r="AA4" s="320" t="e">
        <f aca="false">IF($A4="N/A"," ",$U4*(8*($BR4))*Q4)</f>
        <v>#N/A</v>
      </c>
      <c r="AB4" s="320" t="e">
        <f aca="false">IF($A4="N/A"," ",$U4*(8*($BS4))*R4)</f>
        <v>#N/A</v>
      </c>
      <c r="AC4" s="320" t="e">
        <f aca="false">IF($A4="N/A"," ",$U4*(8*($BS4))*S4)</f>
        <v>#N/A</v>
      </c>
      <c r="AD4" s="320" t="e">
        <f aca="false">IF($A4="N/A"," ",$U4*(8*($BS4))*T4)</f>
        <v>#N/A</v>
      </c>
      <c r="AE4" s="320" t="e">
        <f aca="false">IF($A4="N/A"," ",SUM(V4:AD4))</f>
        <v>#N/A</v>
      </c>
      <c r="AF4" s="321" t="n">
        <f aca="false">IF($A4="N/A"," ",(VLOOKUP($A4,PowerVolTable,(IF(VolBMO2=2,7,IF(VolBMO2=1,6,8))),FALSE())))</f>
        <v>0.28</v>
      </c>
      <c r="AG4" s="321" t="n">
        <f aca="false">IF($A4="N/A"," ",(VLOOKUP($A4,IntraPowerVol,(IF(VolBMO2=2,3,IF(VolBMO2=1,2,4))),FALSE())*VLOOKUP(MONTH($A4),Volscale,2)))</f>
        <v>0.6</v>
      </c>
      <c r="AH4" s="321" t="n">
        <f aca="false">IF($A4="N/A"," ",IF(VolType2=1,AG4,AF4))</f>
        <v>0.28</v>
      </c>
      <c r="AI4" s="321" t="n">
        <f aca="false">IF($A4="N/A"," ",(VLOOKUP($A4,OffPwrVolTable,(IF(VolBMO2=2,7,IF(VolBMO2=1,6,8))),FALSE())))</f>
        <v>0.14</v>
      </c>
      <c r="AJ4" s="321" t="n">
        <f aca="false">IF($A4="N/A"," ",(VLOOKUP($A4,OffPwrVolTable,(IF(VolBMO2=2,3,IF(VolBMO2=1,2,4))),FALSE())*VLOOKUP(MONTH($A4),Volscale,2)))</f>
        <v>0.36</v>
      </c>
      <c r="AK4" s="321" t="n">
        <f aca="false">IF($A4="N/A"," ",IF(VolType2=1,AJ4,AI4))</f>
        <v>0.14</v>
      </c>
      <c r="AL4" s="321" t="e">
        <f aca="false">IF($A4="N/A"," ",IF(PV=1,0,'Pricing Inputs2'!R37))</f>
        <v>#N/A</v>
      </c>
      <c r="AM4" s="322" t="e">
        <f aca="false">IF($A4="N/A"," ",(1+AL4/2)^(-2*((EOMONTH(A4,0)+20)-DateToday)/365.25))</f>
        <v>#N/A</v>
      </c>
      <c r="BQ4" s="0" t="n">
        <f aca="false">IF($A4="N/A"," ",(VLOOKUP($A4,NumberofDaysTable,2)))</f>
        <v>22</v>
      </c>
      <c r="BR4" s="0" t="n">
        <f aca="false">IF($A4="N/A"," ",(VLOOKUP($A4,NumberofDaysTable,3)))</f>
        <v>4</v>
      </c>
      <c r="BS4" s="0" t="n">
        <f aca="false">IF($A4="N/A"," ",(VLOOKUP($A4,NumberofDaysTable,4)))</f>
        <v>5</v>
      </c>
    </row>
    <row r="5" customFormat="false" ht="12.75" hidden="false" customHeight="false" outlineLevel="0" collapsed="false">
      <c r="A5" s="315" t="n">
        <f aca="false">IF(A4="N/A","N/A",IF(EDATE(A4,1)&gt;Inputs!$P$5,"N/A",EDATE(A4,1)))</f>
        <v>37288</v>
      </c>
      <c r="B5" s="316" t="n">
        <f aca="false">IF(A5="N/A"," ",YEAR(A5))</f>
        <v>2002</v>
      </c>
      <c r="C5" s="317" t="n">
        <f aca="false">IF($A5="N/A"," ",IF(Dayrun2=10,0,IF(Scaler2=1,(VLOOKUP(A5,ScaledPrice2,4)),(VLOOKUP(A5,ScaledPrice2,2)))))</f>
        <v>32.0666654677618</v>
      </c>
      <c r="D5" s="317" t="n">
        <f aca="false">IF(A5="N/A"," ",IF(Dayrun2&gt;=7,0,IF(Scaler2=2,VLOOKUP(A5,ScaledPrice2,2),(VLOOKUP(A5,ScaledPrice2,2))*(2-(VLOOKUP(A5,ScaledPrice2,3))))))</f>
        <v>32.0666654677618</v>
      </c>
      <c r="E5" s="317" t="n">
        <f aca="false">IF($A5="N/A"," ",IF(AND(Dayrun2&gt;=4,Dayrun2&lt;=9),0,VLOOKUP($A5,ScaledPrice2,9)))</f>
        <v>0</v>
      </c>
      <c r="F5" s="317" t="n">
        <f aca="false">IF(A5="N/A"," ",IF(OR(Dayrun2=2,Dayrun2=3,Dayrun2=5,Dayrun2=6,Dayrun2=8,Dayrun2=9),VLOOKUP(A5,ScaledPrice2,IF(Scaler2=1,6,5)),0))</f>
        <v>0</v>
      </c>
      <c r="G5" s="317" t="n">
        <f aca="false">IF(A5="N/A"," ",IF(OR(Dayrun2=2,Dayrun2=3,Dayrun2=5,Dayrun2=6),IF(Scaler2=2,F5,(VLOOKUP(A5,ScaledPrice2,5))*(2-(VLOOKUP(A5,ScaledPrice2,3)))),0))</f>
        <v>0</v>
      </c>
      <c r="H5" s="317" t="n">
        <f aca="false">IF($A5="N/A"," ",IF(OR(Dayrun2=2,Dayrun2=3,Dayrun2=10),VLOOKUP($A5,ScaledPrice2,9),0))</f>
        <v>0</v>
      </c>
      <c r="I5" s="317" t="n">
        <f aca="false">IF(A5="N/A"," ",IF(OR(Dayrun2=3,Dayrun2=6,Dayrun2=9),(VLOOKUP(A5,ScaledPrice2,IF(Scaler2=2,7,8))),0))</f>
        <v>0</v>
      </c>
      <c r="J5" s="317" t="n">
        <f aca="false">IF(A5="N/A"," ",IF(OR(Dayrun2=3,Dayrun2=6),IF(Scaler2=2,I5,(VLOOKUP(A5,ScaledPrice2,7))*(2-(VLOOKUP(A5,ScaledPrice2,3)))),0))</f>
        <v>0</v>
      </c>
      <c r="K5" s="317" t="n">
        <f aca="false">IF($A5="N/A"," ",IF(OR(Dayrun2=3,Dayrun2=10),VLOOKUP($A5,ScaledPrice2,9),0))</f>
        <v>0</v>
      </c>
      <c r="L5" s="318" t="e">
        <f aca="false">IF($A5="N/A"," ",IF(Pricetype2=2,MAX(C5,0),IF(OR(Pricetype2=1,Pricetype2=4),IF(C5=0,0,(EURO(C5,Strikeprice2,0,0,($AH5+IF(Smile=TRUE(),VLOOKUP(MAX(-5,Strikeprice2-C5),Volsmile,2),0)),($A5-DateToday)+15,IF(Pricetype2=1,1,0),0))),C5)))</f>
        <v>#NAME?</v>
      </c>
      <c r="M5" s="318" t="e">
        <f aca="false">IF($A5="N/A"," ",IF(Pricetype2=2,MAX(D5,0),IF(OR(Pricetype2=1,Pricetype2=4),IF(D5=0,0,(EURO(D5,Strikeprice2,0,0,($AH5+IF(Smile=TRUE(),VLOOKUP(MAX(-5,Strikeprice2-D5),Volsmile,2),0)),($A5-DateToday)+15,IF(Pricetype2=1,1,0),0))),D5)))</f>
        <v>#NAME?</v>
      </c>
      <c r="N5" s="318" t="n">
        <f aca="false">IF($A5="N/A"," ",IF(Pricetype2=2,MAX(E5,0),IF(OR(Pricetype2=1,Pricetype2=4),IF(E5=0,0,(EURO(E5,Strikeprice2,0,0,($AK5+IF(Smile=TRUE(),VLOOKUP(MAX(-5,Strikeprice2-E5),Volsmile,2),0)),($A5-DateToday)+15,IF(Pricetype2=1,1,0),0))),E5)))</f>
        <v>0</v>
      </c>
      <c r="O5" s="318" t="n">
        <f aca="false">IF($A5="N/A"," ",IF(Pricetype2=2,MAX(F5,0),IF(OR(Pricetype2=1,Pricetype2=4),IF(F5=0,0,(EURO(F5,Strikeprice2,0,0,($AK5+IF(Smile=TRUE(),VLOOKUP(MAX(-5,Strikeprice2-F5),Volsmile,2),0)),($A5-DateToday)+15,IF(Pricetype2=1,1,0),0))),F5)))</f>
        <v>0</v>
      </c>
      <c r="P5" s="318" t="n">
        <f aca="false">IF($A5="N/A"," ",IF(Pricetype2=2,MAX(G5,0),IF(OR(Pricetype2=1,Pricetype2=4),IF(G5=0,0,(EURO(G5,Strikeprice2,0,0,($AK5+IF(Smile=TRUE(),VLOOKUP(MAX(-5,Strikeprice2-G5),Volsmile,2),0)),($A5-DateToday)+15,IF(Pricetype2=1,1,0),0))),G5)))</f>
        <v>0</v>
      </c>
      <c r="Q5" s="318" t="n">
        <f aca="false">IF($A5="N/A"," ",IF(Pricetype2=2,MAX(H5,0),IF(OR(Pricetype2=1,Pricetype2=4),IF(H5=0,0,(EURO(H5,Strikeprice2,0,0,($AK5+IF(Smile=TRUE(),VLOOKUP(MAX(-5,Strikeprice2-H5),Volsmile,2),0)),($A5-DateToday)+15,IF(Pricetype2=1,1,0),0))),H5)))</f>
        <v>0</v>
      </c>
      <c r="R5" s="318" t="n">
        <f aca="false">IF($A5="N/A"," ",IF(Pricetype2=2,MAX(I5,0),IF(OR(Pricetype2=1,Pricetype2=4),IF(I5=0,0,(EURO(I5,Strikeprice2,0,0,($AK5+IF(Smile=TRUE(),VLOOKUP(MAX(-5,Strikeprice2-I5),Volsmile,2),0)),($A5-DateToday)+15,IF(Pricetype2=1,1,0),0))),I5)))</f>
        <v>0</v>
      </c>
      <c r="S5" s="318" t="n">
        <f aca="false">IF($A5="N/A"," ",IF(Pricetype2=2,MAX(J5,0),IF(OR(Pricetype2=1,Pricetype2=4),IF(J5=0,0,(EURO(J5,Strikeprice2,0,0,($AK5+IF(Smile=TRUE(),VLOOKUP(MAX(-5,Strikeprice2-J5),Volsmile,2),0)),($A5-DateToday)+15,IF(Pricetype2=1,1,0),0))),J5)))</f>
        <v>0</v>
      </c>
      <c r="T5" s="318" t="n">
        <f aca="false">IF($A5="N/A"," ",IF(Pricetype2=2,MAX(K5,0),IF(OR(Pricetype2=1,Pricetype2=4),IF(K5=0,0,(EURO(K5,Strikeprice2,0,0,($AK5+IF(Smile=TRUE(),VLOOKUP(MAX(-5,Strikeprice2-K5),Volsmile,2),0)),($A5-DateToday)+15,IF(Pricetype2=1,1,0),0))),K5)))</f>
        <v>0</v>
      </c>
      <c r="U5" s="319" t="e">
        <f aca="false">IF($A5="N/A"," ",Volume2*$AM5)</f>
        <v>#N/A</v>
      </c>
      <c r="V5" s="320" t="e">
        <f aca="false">IF($A5="N/A"," ",$U5*(8*($BQ5))*L5)</f>
        <v>#N/A</v>
      </c>
      <c r="W5" s="320" t="e">
        <f aca="false">IF($A5="N/A"," ",$U5*(8*($BQ5))*M5)</f>
        <v>#N/A</v>
      </c>
      <c r="X5" s="320" t="e">
        <f aca="false">IF($A5="N/A"," ",$U5*(8*($BQ5))*N5)</f>
        <v>#N/A</v>
      </c>
      <c r="Y5" s="320" t="e">
        <f aca="false">IF($A5="N/A"," ",$U5*(8*($BR5))*O5)</f>
        <v>#N/A</v>
      </c>
      <c r="Z5" s="320" t="e">
        <f aca="false">IF($A5="N/A"," ",$U5*(8*($BR5))*P5)</f>
        <v>#N/A</v>
      </c>
      <c r="AA5" s="320" t="e">
        <f aca="false">IF($A5="N/A"," ",$U5*(8*($BR5))*Q5)</f>
        <v>#N/A</v>
      </c>
      <c r="AB5" s="320" t="e">
        <f aca="false">IF($A5="N/A"," ",$U5*(8*($BS5))*R5)</f>
        <v>#N/A</v>
      </c>
      <c r="AC5" s="320" t="e">
        <f aca="false">IF($A5="N/A"," ",$U5*(8*($BS5))*S5)</f>
        <v>#N/A</v>
      </c>
      <c r="AD5" s="320" t="e">
        <f aca="false">IF($A5="N/A"," ",$U5*(8*($BS5))*T5)</f>
        <v>#N/A</v>
      </c>
      <c r="AE5" s="320" t="e">
        <f aca="false">IF($A5="N/A"," ",SUM(V5:AD5))</f>
        <v>#N/A</v>
      </c>
      <c r="AF5" s="321" t="n">
        <f aca="false">IF(A5="N/A"," ",(VLOOKUP(A5,PowerVolTable,(IF(VolBMO2=2,7,IF(VolBMO2=1,6,8))),FALSE())))</f>
        <v>0.28</v>
      </c>
      <c r="AG5" s="321" t="n">
        <f aca="false">IF(A5="N/A"," ",(VLOOKUP(A5,IntraPowerVol,(IF(VolBMO2=2,3,IF(VolBMO2=1,2,4))),FALSE())*VLOOKUP(MONTH($A5),Volscale,2)))</f>
        <v>0.6</v>
      </c>
      <c r="AH5" s="321" t="n">
        <f aca="false">IF($A5="N/A"," ",IF(VolType2=1,AG5,AF5))</f>
        <v>0.28</v>
      </c>
      <c r="AI5" s="321" t="n">
        <f aca="false">IF($A5="N/A"," ",(VLOOKUP($A5,OffPwrVolTable,(IF(VolBMO2=2,7,IF(VolBMO2=1,6,8))),FALSE())))</f>
        <v>0.14</v>
      </c>
      <c r="AJ5" s="321" t="n">
        <f aca="false">IF($A5="N/A"," ",(VLOOKUP($A5,OffPwrVolTable,(IF(VolBMO2=2,3,IF(VolBMO2=1,2,4))),FALSE())*VLOOKUP(MONTH($A5),Volscale,2)))</f>
        <v>0.36</v>
      </c>
      <c r="AK5" s="321" t="n">
        <f aca="false">IF($A5="N/A"," ",IF(VolType2=1,AJ5,AI5))</f>
        <v>0.14</v>
      </c>
      <c r="AL5" s="321" t="e">
        <f aca="false">IF($A5="N/A"," ",IF(PV=1,0,'Pricing Inputs2'!R38))</f>
        <v>#N/A</v>
      </c>
      <c r="AM5" s="323" t="e">
        <f aca="false">IF($A5="N/A"," ",(1+AL5/2)^(-2*((EOMONTH(A5,0)+20)-DateToday)/365.25))</f>
        <v>#N/A</v>
      </c>
      <c r="BQ5" s="0" t="n">
        <f aca="false">IF($A5="N/A"," ",(VLOOKUP($A5,NumberofDaysTable,2)))</f>
        <v>20</v>
      </c>
      <c r="BR5" s="0" t="n">
        <f aca="false">IF($A5="N/A"," ",(VLOOKUP($A5,NumberofDaysTable,3)))</f>
        <v>4</v>
      </c>
      <c r="BS5" s="0" t="n">
        <f aca="false">IF($A5="N/A"," ",(VLOOKUP($A5,NumberofDaysTable,4)))</f>
        <v>4</v>
      </c>
    </row>
    <row r="6" customFormat="false" ht="12.75" hidden="false" customHeight="false" outlineLevel="0" collapsed="false">
      <c r="A6" s="315" t="n">
        <f aca="false">IF(A5="N/A","N/A",IF(EDATE(A5,1)&gt;Inputs!$P$5,"N/A",EDATE(A5,1)))</f>
        <v>37316</v>
      </c>
      <c r="B6" s="316" t="n">
        <f aca="false">IF(A6="N/A"," ",YEAR(A6))</f>
        <v>2002</v>
      </c>
      <c r="C6" s="317" t="n">
        <f aca="false">IF($A6="N/A"," ",IF(Dayrun2=10,0,IF(Scaler2=1,(VLOOKUP(A6,ScaledPrice2,4)),(VLOOKUP(A6,ScaledPrice2,2)))))</f>
        <v>31.0197670515194</v>
      </c>
      <c r="D6" s="317" t="n">
        <f aca="false">IF(A6="N/A"," ",IF(Dayrun2&gt;=7,0,IF(Scaler2=2,VLOOKUP(A6,ScaledPrice2,2),(VLOOKUP(A6,ScaledPrice2,2))*(2-(VLOOKUP(A6,ScaledPrice2,3))))))</f>
        <v>31.0197670515194</v>
      </c>
      <c r="E6" s="317" t="n">
        <f aca="false">IF($A6="N/A"," ",IF(AND(Dayrun2&gt;=4,Dayrun2&lt;=9),0,VLOOKUP($A6,ScaledPrice2,9)))</f>
        <v>0</v>
      </c>
      <c r="F6" s="317" t="n">
        <f aca="false">IF(A6="N/A"," ",IF(OR(Dayrun2=2,Dayrun2=3,Dayrun2=5,Dayrun2=6,Dayrun2=8,Dayrun2=9),VLOOKUP(A6,ScaledPrice2,IF(Scaler2=1,6,5)),0))</f>
        <v>0</v>
      </c>
      <c r="G6" s="317" t="n">
        <f aca="false">IF(A6="N/A"," ",IF(OR(Dayrun2=2,Dayrun2=3,Dayrun2=5,Dayrun2=6),IF(Scaler2=2,F6,(VLOOKUP(A6,ScaledPrice2,5))*(2-(VLOOKUP(A6,ScaledPrice2,3)))),0))</f>
        <v>0</v>
      </c>
      <c r="H6" s="317" t="n">
        <f aca="false">IF($A6="N/A"," ",IF(OR(Dayrun2=2,Dayrun2=3,Dayrun2=10),VLOOKUP($A6,ScaledPrice2,9),0))</f>
        <v>0</v>
      </c>
      <c r="I6" s="317" t="n">
        <f aca="false">IF(A6="N/A"," ",IF(OR(Dayrun2=3,Dayrun2=6,Dayrun2=9),(VLOOKUP(A6,ScaledPrice2,IF(Scaler2=2,7,8))),0))</f>
        <v>0</v>
      </c>
      <c r="J6" s="317" t="n">
        <f aca="false">IF(A6="N/A"," ",IF(OR(Dayrun2=3,Dayrun2=6),IF(Scaler2=2,I6,(VLOOKUP(A6,ScaledPrice2,7))*(2-(VLOOKUP(A6,ScaledPrice2,3)))),0))</f>
        <v>0</v>
      </c>
      <c r="K6" s="317" t="n">
        <f aca="false">IF($A6="N/A"," ",IF(OR(Dayrun2=3,Dayrun2=10),VLOOKUP($A6,ScaledPrice2,9),0))</f>
        <v>0</v>
      </c>
      <c r="L6" s="318" t="e">
        <f aca="false">IF($A6="N/A"," ",IF(Pricetype2=2,MAX(C6,0),IF(OR(Pricetype2=1,Pricetype2=4),IF(C6=0,0,(EURO(C6,Strikeprice2,0,0,($AH6+IF(Smile=TRUE(),VLOOKUP(MAX(-5,Strikeprice2-C6),Volsmile,2),0)),($A6-DateToday)+15,IF(Pricetype2=1,1,0),0))),C6)))</f>
        <v>#NAME?</v>
      </c>
      <c r="M6" s="318" t="e">
        <f aca="false">IF($A6="N/A"," ",IF(Pricetype2=2,MAX(D6,0),IF(OR(Pricetype2=1,Pricetype2=4),IF(D6=0,0,(EURO(D6,Strikeprice2,0,0,($AH6+IF(Smile=TRUE(),VLOOKUP(MAX(-5,Strikeprice2-D6),Volsmile,2),0)),($A6-DateToday)+15,IF(Pricetype2=1,1,0),0))),D6)))</f>
        <v>#NAME?</v>
      </c>
      <c r="N6" s="318" t="n">
        <f aca="false">IF($A6="N/A"," ",IF(Pricetype2=2,MAX(E6,0),IF(OR(Pricetype2=1,Pricetype2=4),IF(E6=0,0,(EURO(E6,Strikeprice2,0,0,($AK6+IF(Smile=TRUE(),VLOOKUP(MAX(-5,Strikeprice2-E6),Volsmile,2),0)),($A6-DateToday)+15,IF(Pricetype2=1,1,0),0))),E6)))</f>
        <v>0</v>
      </c>
      <c r="O6" s="318" t="n">
        <f aca="false">IF($A6="N/A"," ",IF(Pricetype2=2,MAX(F6,0),IF(OR(Pricetype2=1,Pricetype2=4),IF(F6=0,0,(EURO(F6,Strikeprice2,0,0,($AK6+IF(Smile=TRUE(),VLOOKUP(MAX(-5,Strikeprice2-F6),Volsmile,2),0)),($A6-DateToday)+15,IF(Pricetype2=1,1,0),0))),F6)))</f>
        <v>0</v>
      </c>
      <c r="P6" s="318" t="n">
        <f aca="false">IF($A6="N/A"," ",IF(Pricetype2=2,MAX(G6,0),IF(OR(Pricetype2=1,Pricetype2=4),IF(G6=0,0,(EURO(G6,Strikeprice2,0,0,($AK6+IF(Smile=TRUE(),VLOOKUP(MAX(-5,Strikeprice2-G6),Volsmile,2),0)),($A6-DateToday)+15,IF(Pricetype2=1,1,0),0))),G6)))</f>
        <v>0</v>
      </c>
      <c r="Q6" s="318" t="n">
        <f aca="false">IF($A6="N/A"," ",IF(Pricetype2=2,MAX(H6,0),IF(OR(Pricetype2=1,Pricetype2=4),IF(H6=0,0,(EURO(H6,Strikeprice2,0,0,($AK6+IF(Smile=TRUE(),VLOOKUP(MAX(-5,Strikeprice2-H6),Volsmile,2),0)),($A6-DateToday)+15,IF(Pricetype2=1,1,0),0))),H6)))</f>
        <v>0</v>
      </c>
      <c r="R6" s="318" t="n">
        <f aca="false">IF($A6="N/A"," ",IF(Pricetype2=2,MAX(I6,0),IF(OR(Pricetype2=1,Pricetype2=4),IF(I6=0,0,(EURO(I6,Strikeprice2,0,0,($AK6+IF(Smile=TRUE(),VLOOKUP(MAX(-5,Strikeprice2-I6),Volsmile,2),0)),($A6-DateToday)+15,IF(Pricetype2=1,1,0),0))),I6)))</f>
        <v>0</v>
      </c>
      <c r="S6" s="318" t="n">
        <f aca="false">IF($A6="N/A"," ",IF(Pricetype2=2,MAX(J6,0),IF(OR(Pricetype2=1,Pricetype2=4),IF(J6=0,0,(EURO(J6,Strikeprice2,0,0,($AK6+IF(Smile=TRUE(),VLOOKUP(MAX(-5,Strikeprice2-J6),Volsmile,2),0)),($A6-DateToday)+15,IF(Pricetype2=1,1,0),0))),J6)))</f>
        <v>0</v>
      </c>
      <c r="T6" s="318" t="n">
        <f aca="false">IF($A6="N/A"," ",IF(Pricetype2=2,MAX(K6,0),IF(OR(Pricetype2=1,Pricetype2=4),IF(K6=0,0,(EURO(K6,Strikeprice2,0,0,($AK6+IF(Smile=TRUE(),VLOOKUP(MAX(-5,Strikeprice2-K6),Volsmile,2),0)),($A6-DateToday)+15,IF(Pricetype2=1,1,0),0))),K6)))</f>
        <v>0</v>
      </c>
      <c r="U6" s="319" t="e">
        <f aca="false">IF($A6="N/A"," ",Volume2*$AM6)</f>
        <v>#N/A</v>
      </c>
      <c r="V6" s="320" t="e">
        <f aca="false">IF($A6="N/A"," ",$U6*(8*($BQ6))*L6)</f>
        <v>#N/A</v>
      </c>
      <c r="W6" s="320" t="e">
        <f aca="false">IF($A6="N/A"," ",$U6*(8*($BQ6))*M6)</f>
        <v>#N/A</v>
      </c>
      <c r="X6" s="320" t="e">
        <f aca="false">IF($A6="N/A"," ",$U6*(8*($BQ6))*N6)</f>
        <v>#N/A</v>
      </c>
      <c r="Y6" s="320" t="e">
        <f aca="false">IF($A6="N/A"," ",$U6*(8*($BR6))*O6)</f>
        <v>#N/A</v>
      </c>
      <c r="Z6" s="320" t="e">
        <f aca="false">IF($A6="N/A"," ",$U6*(8*($BR6))*P6)</f>
        <v>#N/A</v>
      </c>
      <c r="AA6" s="320" t="e">
        <f aca="false">IF($A6="N/A"," ",$U6*(8*($BR6))*Q6)</f>
        <v>#N/A</v>
      </c>
      <c r="AB6" s="320" t="e">
        <f aca="false">IF($A6="N/A"," ",$U6*(8*($BS6))*R6)</f>
        <v>#N/A</v>
      </c>
      <c r="AC6" s="320" t="e">
        <f aca="false">IF($A6="N/A"," ",$U6*(8*($BS6))*S6)</f>
        <v>#N/A</v>
      </c>
      <c r="AD6" s="320" t="e">
        <f aca="false">IF($A6="N/A"," ",$U6*(8*($BS6))*T6)</f>
        <v>#N/A</v>
      </c>
      <c r="AE6" s="320" t="e">
        <f aca="false">IF($A6="N/A"," ",SUM(V6:AD6))</f>
        <v>#N/A</v>
      </c>
      <c r="AF6" s="321" t="n">
        <f aca="false">IF(A6="N/A"," ",(VLOOKUP(A6,PowerVolTable,(IF(VolBMO2=2,7,IF(VolBMO2=1,6,8))),FALSE())))</f>
        <v>0.28</v>
      </c>
      <c r="AG6" s="321" t="n">
        <f aca="false">IF(A6="N/A"," ",(VLOOKUP(A6,IntraPowerVol,(IF(VolBMO2=2,3,IF(VolBMO2=1,2,4))),FALSE())*VLOOKUP(MONTH($A6),Volscale,2)))</f>
        <v>0.56</v>
      </c>
      <c r="AH6" s="321" t="n">
        <f aca="false">IF($A6="N/A"," ",IF(VolType2=1,AG6,AF6))</f>
        <v>0.28</v>
      </c>
      <c r="AI6" s="321" t="n">
        <f aca="false">IF($A6="N/A"," ",(VLOOKUP($A6,OffPwrVolTable,(IF(VolBMO2=2,7,IF(VolBMO2=1,6,8))),FALSE())))</f>
        <v>0.14</v>
      </c>
      <c r="AJ6" s="321" t="n">
        <f aca="false">IF($A6="N/A"," ",(VLOOKUP($A6,OffPwrVolTable,(IF(VolBMO2=2,3,IF(VolBMO2=1,2,4))),FALSE())*VLOOKUP(MONTH($A6),Volscale,2)))</f>
        <v>0.336</v>
      </c>
      <c r="AK6" s="321" t="n">
        <f aca="false">IF($A6="N/A"," ",IF(VolType2=1,AJ6,AI6))</f>
        <v>0.14</v>
      </c>
      <c r="AL6" s="321" t="e">
        <f aca="false">IF($A6="N/A"," ",IF(PV=1,0,'Pricing Inputs2'!R39))</f>
        <v>#N/A</v>
      </c>
      <c r="AM6" s="323" t="e">
        <f aca="false">IF($A6="N/A"," ",(1+AL6/2)^(-2*((EOMONTH(A6,0)+20)-DateToday)/365.25))</f>
        <v>#N/A</v>
      </c>
      <c r="BQ6" s="0" t="n">
        <f aca="false">IF($A6="N/A"," ",(VLOOKUP($A6,NumberofDaysTable,2)))</f>
        <v>21</v>
      </c>
      <c r="BR6" s="0" t="n">
        <f aca="false">IF($A6="N/A"," ",(VLOOKUP($A6,NumberofDaysTable,3)))</f>
        <v>5</v>
      </c>
      <c r="BS6" s="0" t="n">
        <f aca="false">IF($A6="N/A"," ",(VLOOKUP($A6,NumberofDaysTable,4)))</f>
        <v>5</v>
      </c>
    </row>
    <row r="7" customFormat="false" ht="12.75" hidden="false" customHeight="false" outlineLevel="0" collapsed="false">
      <c r="A7" s="315" t="n">
        <f aca="false">IF(A6="N/A","N/A",IF(EDATE(A6,1)&gt;Inputs!$P$5,"N/A",EDATE(A6,1)))</f>
        <v>37347</v>
      </c>
      <c r="B7" s="316" t="n">
        <f aca="false">IF(A7="N/A"," ",YEAR(A7))</f>
        <v>2002</v>
      </c>
      <c r="C7" s="317" t="n">
        <f aca="false">IF($A7="N/A"," ",IF(Dayrun2=10,0,IF(Scaler2=1,(VLOOKUP(A7,ScaledPrice2,4)),(VLOOKUP(A7,ScaledPrice2,2)))))</f>
        <v>31.4697678144588</v>
      </c>
      <c r="D7" s="317" t="n">
        <f aca="false">IF(A7="N/A"," ",IF(Dayrun2&gt;=7,0,IF(Scaler2=2,VLOOKUP(A7,ScaledPrice2,2),(VLOOKUP(A7,ScaledPrice2,2))*(2-(VLOOKUP(A7,ScaledPrice2,3))))))</f>
        <v>31.4697678144588</v>
      </c>
      <c r="E7" s="317" t="n">
        <f aca="false">IF($A7="N/A"," ",IF(AND(Dayrun2&gt;=4,Dayrun2&lt;=9),0,VLOOKUP($A7,ScaledPrice2,9)))</f>
        <v>0</v>
      </c>
      <c r="F7" s="317" t="n">
        <f aca="false">IF(A7="N/A"," ",IF(OR(Dayrun2=2,Dayrun2=3,Dayrun2=5,Dayrun2=6,Dayrun2=8,Dayrun2=9),VLOOKUP(A7,ScaledPrice2,IF(Scaler2=1,6,5)),0))</f>
        <v>0</v>
      </c>
      <c r="G7" s="317" t="n">
        <f aca="false">IF(A7="N/A"," ",IF(OR(Dayrun2=2,Dayrun2=3,Dayrun2=5,Dayrun2=6),IF(Scaler2=2,F7,(VLOOKUP(A7,ScaledPrice2,5))*(2-(VLOOKUP(A7,ScaledPrice2,3)))),0))</f>
        <v>0</v>
      </c>
      <c r="H7" s="317" t="n">
        <f aca="false">IF($A7="N/A"," ",IF(OR(Dayrun2=2,Dayrun2=3,Dayrun2=10),VLOOKUP($A7,ScaledPrice2,9),0))</f>
        <v>0</v>
      </c>
      <c r="I7" s="317" t="n">
        <f aca="false">IF(A7="N/A"," ",IF(OR(Dayrun2=3,Dayrun2=6,Dayrun2=9),(VLOOKUP(A7,ScaledPrice2,IF(Scaler2=2,7,8))),0))</f>
        <v>0</v>
      </c>
      <c r="J7" s="317" t="n">
        <f aca="false">IF(A7="N/A"," ",IF(OR(Dayrun2=3,Dayrun2=6),IF(Scaler2=2,I7,(VLOOKUP(A7,ScaledPrice2,7))*(2-(VLOOKUP(A7,ScaledPrice2,3)))),0))</f>
        <v>0</v>
      </c>
      <c r="K7" s="317" t="n">
        <f aca="false">IF($A7="N/A"," ",IF(OR(Dayrun2=3,Dayrun2=10),VLOOKUP($A7,ScaledPrice2,9),0))</f>
        <v>0</v>
      </c>
      <c r="L7" s="318" t="e">
        <f aca="false">IF($A7="N/A"," ",IF(Pricetype2=2,MAX(C7,0),IF(OR(Pricetype2=1,Pricetype2=4),IF(C7=0,0,(EURO(C7,Strikeprice2,0,0,($AH7+IF(Smile=TRUE(),VLOOKUP(MAX(-5,Strikeprice2-C7),Volsmile,2),0)),($A7-DateToday)+15,IF(Pricetype2=1,1,0),0))),C7)))</f>
        <v>#NAME?</v>
      </c>
      <c r="M7" s="318" t="e">
        <f aca="false">IF($A7="N/A"," ",IF(Pricetype2=2,MAX(D7,0),IF(OR(Pricetype2=1,Pricetype2=4),IF(D7=0,0,(EURO(D7,Strikeprice2,0,0,($AH7+IF(Smile=TRUE(),VLOOKUP(MAX(-5,Strikeprice2-D7),Volsmile,2),0)),($A7-DateToday)+15,IF(Pricetype2=1,1,0),0))),D7)))</f>
        <v>#NAME?</v>
      </c>
      <c r="N7" s="318" t="n">
        <f aca="false">IF($A7="N/A"," ",IF(Pricetype2=2,MAX(E7,0),IF(OR(Pricetype2=1,Pricetype2=4),IF(E7=0,0,(EURO(E7,Strikeprice2,0,0,($AK7+IF(Smile=TRUE(),VLOOKUP(MAX(-5,Strikeprice2-E7),Volsmile,2),0)),($A7-DateToday)+15,IF(Pricetype2=1,1,0),0))),E7)))</f>
        <v>0</v>
      </c>
      <c r="O7" s="318" t="n">
        <f aca="false">IF($A7="N/A"," ",IF(Pricetype2=2,MAX(F7,0),IF(OR(Pricetype2=1,Pricetype2=4),IF(F7=0,0,(EURO(F7,Strikeprice2,0,0,($AK7+IF(Smile=TRUE(),VLOOKUP(MAX(-5,Strikeprice2-F7),Volsmile,2),0)),($A7-DateToday)+15,IF(Pricetype2=1,1,0),0))),F7)))</f>
        <v>0</v>
      </c>
      <c r="P7" s="318" t="n">
        <f aca="false">IF($A7="N/A"," ",IF(Pricetype2=2,MAX(G7,0),IF(OR(Pricetype2=1,Pricetype2=4),IF(G7=0,0,(EURO(G7,Strikeprice2,0,0,($AK7+IF(Smile=TRUE(),VLOOKUP(MAX(-5,Strikeprice2-G7),Volsmile,2),0)),($A7-DateToday)+15,IF(Pricetype2=1,1,0),0))),G7)))</f>
        <v>0</v>
      </c>
      <c r="Q7" s="318" t="n">
        <f aca="false">IF($A7="N/A"," ",IF(Pricetype2=2,MAX(H7,0),IF(OR(Pricetype2=1,Pricetype2=4),IF(H7=0,0,(EURO(H7,Strikeprice2,0,0,($AK7+IF(Smile=TRUE(),VLOOKUP(MAX(-5,Strikeprice2-H7),Volsmile,2),0)),($A7-DateToday)+15,IF(Pricetype2=1,1,0),0))),H7)))</f>
        <v>0</v>
      </c>
      <c r="R7" s="318" t="n">
        <f aca="false">IF($A7="N/A"," ",IF(Pricetype2=2,MAX(I7,0),IF(OR(Pricetype2=1,Pricetype2=4),IF(I7=0,0,(EURO(I7,Strikeprice2,0,0,($AK7+IF(Smile=TRUE(),VLOOKUP(MAX(-5,Strikeprice2-I7),Volsmile,2),0)),($A7-DateToday)+15,IF(Pricetype2=1,1,0),0))),I7)))</f>
        <v>0</v>
      </c>
      <c r="S7" s="318" t="n">
        <f aca="false">IF($A7="N/A"," ",IF(Pricetype2=2,MAX(J7,0),IF(OR(Pricetype2=1,Pricetype2=4),IF(J7=0,0,(EURO(J7,Strikeprice2,0,0,($AK7+IF(Smile=TRUE(),VLOOKUP(MAX(-5,Strikeprice2-J7),Volsmile,2),0)),($A7-DateToday)+15,IF(Pricetype2=1,1,0),0))),J7)))</f>
        <v>0</v>
      </c>
      <c r="T7" s="318" t="n">
        <f aca="false">IF($A7="N/A"," ",IF(Pricetype2=2,MAX(K7,0),IF(OR(Pricetype2=1,Pricetype2=4),IF(K7=0,0,(EURO(K7,Strikeprice2,0,0,($AK7+IF(Smile=TRUE(),VLOOKUP(MAX(-5,Strikeprice2-K7),Volsmile,2),0)),($A7-DateToday)+15,IF(Pricetype2=1,1,0),0))),K7)))</f>
        <v>0</v>
      </c>
      <c r="U7" s="319" t="e">
        <f aca="false">IF($A7="N/A"," ",Volume2*$AM7)</f>
        <v>#N/A</v>
      </c>
      <c r="V7" s="320" t="e">
        <f aca="false">IF($A7="N/A"," ",$U7*(8*($BQ7))*L7)</f>
        <v>#N/A</v>
      </c>
      <c r="W7" s="320" t="e">
        <f aca="false">IF($A7="N/A"," ",$U7*(8*($BQ7))*M7)</f>
        <v>#N/A</v>
      </c>
      <c r="X7" s="320" t="e">
        <f aca="false">IF($A7="N/A"," ",$U7*(8*($BQ7))*N7)</f>
        <v>#N/A</v>
      </c>
      <c r="Y7" s="320" t="e">
        <f aca="false">IF($A7="N/A"," ",$U7*(8*($BR7))*O7)</f>
        <v>#N/A</v>
      </c>
      <c r="Z7" s="320" t="e">
        <f aca="false">IF($A7="N/A"," ",$U7*(8*($BR7))*P7)</f>
        <v>#N/A</v>
      </c>
      <c r="AA7" s="320" t="e">
        <f aca="false">IF($A7="N/A"," ",$U7*(8*($BR7))*Q7)</f>
        <v>#N/A</v>
      </c>
      <c r="AB7" s="320" t="e">
        <f aca="false">IF($A7="N/A"," ",$U7*(8*($BS7))*R7)</f>
        <v>#N/A</v>
      </c>
      <c r="AC7" s="320" t="e">
        <f aca="false">IF($A7="N/A"," ",$U7*(8*($BS7))*S7)</f>
        <v>#N/A</v>
      </c>
      <c r="AD7" s="320" t="e">
        <f aca="false">IF($A7="N/A"," ",$U7*(8*($BS7))*T7)</f>
        <v>#N/A</v>
      </c>
      <c r="AE7" s="320" t="e">
        <f aca="false">IF($A7="N/A"," ",SUM(V7:AD7))</f>
        <v>#N/A</v>
      </c>
      <c r="AF7" s="321" t="n">
        <f aca="false">IF(A7="N/A"," ",(VLOOKUP(A7,PowerVolTable,(IF(VolBMO2=2,7,IF(VolBMO2=1,6,8))),FALSE())))</f>
        <v>0.28</v>
      </c>
      <c r="AG7" s="321" t="n">
        <f aca="false">IF(A7="N/A"," ",(VLOOKUP(A7,IntraPowerVol,(IF(VolBMO2=2,3,IF(VolBMO2=1,2,4))),FALSE())*VLOOKUP(MONTH($A7),Volscale,2)))</f>
        <v>0.56</v>
      </c>
      <c r="AH7" s="321" t="n">
        <f aca="false">IF($A7="N/A"," ",IF(VolType2=1,AG7,AF7))</f>
        <v>0.28</v>
      </c>
      <c r="AI7" s="321" t="n">
        <f aca="false">IF($A7="N/A"," ",(VLOOKUP($A7,OffPwrVolTable,(IF(VolBMO2=2,7,IF(VolBMO2=1,6,8))),FALSE())))</f>
        <v>0.14</v>
      </c>
      <c r="AJ7" s="321" t="n">
        <f aca="false">IF($A7="N/A"," ",(VLOOKUP($A7,OffPwrVolTable,(IF(VolBMO2=2,3,IF(VolBMO2=1,2,4))),FALSE())*VLOOKUP(MONTH($A7),Volscale,2)))</f>
        <v>0.336</v>
      </c>
      <c r="AK7" s="321" t="n">
        <f aca="false">IF($A7="N/A"," ",IF(VolType2=1,AJ7,AI7))</f>
        <v>0.14</v>
      </c>
      <c r="AL7" s="321" t="e">
        <f aca="false">IF($A7="N/A"," ",IF(PV=1,0,'Pricing Inputs2'!R40))</f>
        <v>#N/A</v>
      </c>
      <c r="AM7" s="323" t="e">
        <f aca="false">IF($A7="N/A"," ",(1+AL7/2)^(-2*((EOMONTH(A7,0)+20)-DateToday)/365.25))</f>
        <v>#N/A</v>
      </c>
      <c r="BQ7" s="0" t="n">
        <f aca="false">IF($A7="N/A"," ",(VLOOKUP($A7,NumberofDaysTable,2)))</f>
        <v>22</v>
      </c>
      <c r="BR7" s="0" t="n">
        <f aca="false">IF($A7="N/A"," ",(VLOOKUP($A7,NumberofDaysTable,3)))</f>
        <v>4</v>
      </c>
      <c r="BS7" s="0" t="n">
        <f aca="false">IF($A7="N/A"," ",(VLOOKUP($A7,NumberofDaysTable,4)))</f>
        <v>4</v>
      </c>
    </row>
    <row r="8" customFormat="false" ht="12.75" hidden="false" customHeight="false" outlineLevel="0" collapsed="false">
      <c r="A8" s="315" t="n">
        <f aca="false">IF(A7="N/A","N/A",IF(EDATE(A7,1)&gt;Inputs!$P$5,"N/A",EDATE(A7,1)))</f>
        <v>37377</v>
      </c>
      <c r="B8" s="316" t="n">
        <f aca="false">IF(A8="N/A"," ",YEAR(A8))</f>
        <v>2002</v>
      </c>
      <c r="C8" s="317" t="n">
        <f aca="false">IF($A8="N/A"," ",IF(Dayrun2=10,0,IF(Scaler2=1,(VLOOKUP(A8,ScaledPrice2,4)),(VLOOKUP(A8,ScaledPrice2,2)))))</f>
        <v>34.625</v>
      </c>
      <c r="D8" s="317" t="n">
        <f aca="false">IF(A8="N/A"," ",IF(Dayrun2&gt;=7,0,IF(Scaler2=2,VLOOKUP(A8,ScaledPrice2,2),(VLOOKUP(A8,ScaledPrice2,2))*(2-(VLOOKUP(A8,ScaledPrice2,3))))))</f>
        <v>34.625</v>
      </c>
      <c r="E8" s="317" t="n">
        <f aca="false">IF($A8="N/A"," ",IF(AND(Dayrun2&gt;=4,Dayrun2&lt;=9),0,VLOOKUP($A8,ScaledPrice2,9)))</f>
        <v>0</v>
      </c>
      <c r="F8" s="317" t="n">
        <f aca="false">IF(A8="N/A"," ",IF(OR(Dayrun2=2,Dayrun2=3,Dayrun2=5,Dayrun2=6,Dayrun2=8,Dayrun2=9),VLOOKUP(A8,ScaledPrice2,IF(Scaler2=1,6,5)),0))</f>
        <v>0</v>
      </c>
      <c r="G8" s="317" t="n">
        <f aca="false">IF(A8="N/A"," ",IF(OR(Dayrun2=2,Dayrun2=3,Dayrun2=5,Dayrun2=6),IF(Scaler2=2,F8,(VLOOKUP(A8,ScaledPrice2,5))*(2-(VLOOKUP(A8,ScaledPrice2,3)))),0))</f>
        <v>0</v>
      </c>
      <c r="H8" s="317" t="n">
        <f aca="false">IF($A8="N/A"," ",IF(OR(Dayrun2=2,Dayrun2=3,Dayrun2=10),VLOOKUP($A8,ScaledPrice2,9),0))</f>
        <v>0</v>
      </c>
      <c r="I8" s="317" t="n">
        <f aca="false">IF(A8="N/A"," ",IF(OR(Dayrun2=3,Dayrun2=6,Dayrun2=9),(VLOOKUP(A8,ScaledPrice2,IF(Scaler2=2,7,8))),0))</f>
        <v>0</v>
      </c>
      <c r="J8" s="317" t="n">
        <f aca="false">IF(A8="N/A"," ",IF(OR(Dayrun2=3,Dayrun2=6),IF(Scaler2=2,I8,(VLOOKUP(A8,ScaledPrice2,7))*(2-(VLOOKUP(A8,ScaledPrice2,3)))),0))</f>
        <v>0</v>
      </c>
      <c r="K8" s="317" t="n">
        <f aca="false">IF($A8="N/A"," ",IF(OR(Dayrun2=3,Dayrun2=10),VLOOKUP($A8,ScaledPrice2,9),0))</f>
        <v>0</v>
      </c>
      <c r="L8" s="318" t="e">
        <f aca="false">IF($A8="N/A"," ",IF(Pricetype2=2,MAX(C8,0),IF(OR(Pricetype2=1,Pricetype2=4),IF(C8=0,0,(EURO(C8,Strikeprice2,0,0,($AH8+IF(Smile=TRUE(),VLOOKUP(MAX(-5,Strikeprice2-C8),Volsmile,2),0)),($A8-DateToday)+15,IF(Pricetype2=1,1,0),0))),C8)))</f>
        <v>#NAME?</v>
      </c>
      <c r="M8" s="318" t="e">
        <f aca="false">IF($A8="N/A"," ",IF(Pricetype2=2,MAX(D8,0),IF(OR(Pricetype2=1,Pricetype2=4),IF(D8=0,0,(EURO(D8,Strikeprice2,0,0,($AH8+IF(Smile=TRUE(),VLOOKUP(MAX(-5,Strikeprice2-D8),Volsmile,2),0)),($A8-DateToday)+15,IF(Pricetype2=1,1,0),0))),D8)))</f>
        <v>#NAME?</v>
      </c>
      <c r="N8" s="318" t="n">
        <f aca="false">IF($A8="N/A"," ",IF(Pricetype2=2,MAX(E8,0),IF(OR(Pricetype2=1,Pricetype2=4),IF(E8=0,0,(EURO(E8,Strikeprice2,0,0,($AK8+IF(Smile=TRUE(),VLOOKUP(MAX(-5,Strikeprice2-E8),Volsmile,2),0)),($A8-DateToday)+15,IF(Pricetype2=1,1,0),0))),E8)))</f>
        <v>0</v>
      </c>
      <c r="O8" s="318" t="n">
        <f aca="false">IF($A8="N/A"," ",IF(Pricetype2=2,MAX(F8,0),IF(OR(Pricetype2=1,Pricetype2=4),IF(F8=0,0,(EURO(F8,Strikeprice2,0,0,($AK8+IF(Smile=TRUE(),VLOOKUP(MAX(-5,Strikeprice2-F8),Volsmile,2),0)),($A8-DateToday)+15,IF(Pricetype2=1,1,0),0))),F8)))</f>
        <v>0</v>
      </c>
      <c r="P8" s="318" t="n">
        <f aca="false">IF($A8="N/A"," ",IF(Pricetype2=2,MAX(G8,0),IF(OR(Pricetype2=1,Pricetype2=4),IF(G8=0,0,(EURO(G8,Strikeprice2,0,0,($AK8+IF(Smile=TRUE(),VLOOKUP(MAX(-5,Strikeprice2-G8),Volsmile,2),0)),($A8-DateToday)+15,IF(Pricetype2=1,1,0),0))),G8)))</f>
        <v>0</v>
      </c>
      <c r="Q8" s="318" t="n">
        <f aca="false">IF($A8="N/A"," ",IF(Pricetype2=2,MAX(H8,0),IF(OR(Pricetype2=1,Pricetype2=4),IF(H8=0,0,(EURO(H8,Strikeprice2,0,0,($AK8+IF(Smile=TRUE(),VLOOKUP(MAX(-5,Strikeprice2-H8),Volsmile,2),0)),($A8-DateToday)+15,IF(Pricetype2=1,1,0),0))),H8)))</f>
        <v>0</v>
      </c>
      <c r="R8" s="318" t="n">
        <f aca="false">IF($A8="N/A"," ",IF(Pricetype2=2,MAX(I8,0),IF(OR(Pricetype2=1,Pricetype2=4),IF(I8=0,0,(EURO(I8,Strikeprice2,0,0,($AK8+IF(Smile=TRUE(),VLOOKUP(MAX(-5,Strikeprice2-I8),Volsmile,2),0)),($A8-DateToday)+15,IF(Pricetype2=1,1,0),0))),I8)))</f>
        <v>0</v>
      </c>
      <c r="S8" s="318" t="n">
        <f aca="false">IF($A8="N/A"," ",IF(Pricetype2=2,MAX(J8,0),IF(OR(Pricetype2=1,Pricetype2=4),IF(J8=0,0,(EURO(J8,Strikeprice2,0,0,($AK8+IF(Smile=TRUE(),VLOOKUP(MAX(-5,Strikeprice2-J8),Volsmile,2),0)),($A8-DateToday)+15,IF(Pricetype2=1,1,0),0))),J8)))</f>
        <v>0</v>
      </c>
      <c r="T8" s="318" t="n">
        <f aca="false">IF($A8="N/A"," ",IF(Pricetype2=2,MAX(K8,0),IF(OR(Pricetype2=1,Pricetype2=4),IF(K8=0,0,(EURO(K8,Strikeprice2,0,0,($AK8+IF(Smile=TRUE(),VLOOKUP(MAX(-5,Strikeprice2-K8),Volsmile,2),0)),($A8-DateToday)+15,IF(Pricetype2=1,1,0),0))),K8)))</f>
        <v>0</v>
      </c>
      <c r="U8" s="319" t="e">
        <f aca="false">IF($A8="N/A"," ",Volume2*$AM8)</f>
        <v>#N/A</v>
      </c>
      <c r="V8" s="320" t="e">
        <f aca="false">IF($A8="N/A"," ",$U8*(8*($BQ8))*L8)</f>
        <v>#N/A</v>
      </c>
      <c r="W8" s="320" t="e">
        <f aca="false">IF($A8="N/A"," ",$U8*(8*($BQ8))*M8)</f>
        <v>#N/A</v>
      </c>
      <c r="X8" s="320" t="e">
        <f aca="false">IF($A8="N/A"," ",$U8*(8*($BQ8))*N8)</f>
        <v>#N/A</v>
      </c>
      <c r="Y8" s="320" t="e">
        <f aca="false">IF($A8="N/A"," ",$U8*(8*($BR8))*O8)</f>
        <v>#N/A</v>
      </c>
      <c r="Z8" s="320" t="e">
        <f aca="false">IF($A8="N/A"," ",$U8*(8*($BR8))*P8)</f>
        <v>#N/A</v>
      </c>
      <c r="AA8" s="320" t="e">
        <f aca="false">IF($A8="N/A"," ",$U8*(8*($BR8))*Q8)</f>
        <v>#N/A</v>
      </c>
      <c r="AB8" s="320" t="e">
        <f aca="false">IF($A8="N/A"," ",$U8*(8*($BS8))*R8)</f>
        <v>#N/A</v>
      </c>
      <c r="AC8" s="320" t="e">
        <f aca="false">IF($A8="N/A"," ",$U8*(8*($BS8))*S8)</f>
        <v>#N/A</v>
      </c>
      <c r="AD8" s="320" t="e">
        <f aca="false">IF($A8="N/A"," ",$U8*(8*($BS8))*T8)</f>
        <v>#N/A</v>
      </c>
      <c r="AE8" s="320" t="e">
        <f aca="false">IF($A8="N/A"," ",SUM(V8:AD8))</f>
        <v>#N/A</v>
      </c>
      <c r="AF8" s="321" t="n">
        <f aca="false">IF(A8="N/A"," ",(VLOOKUP(A8,PowerVolTable,(IF(VolBMO2=2,7,IF(VolBMO2=1,6,8))),FALSE())))</f>
        <v>0.28</v>
      </c>
      <c r="AG8" s="321" t="n">
        <f aca="false">IF(A8="N/A"," ",(VLOOKUP(A8,IntraPowerVol,(IF(VolBMO2=2,3,IF(VolBMO2=1,2,4))),FALSE())*VLOOKUP(MONTH($A8),Volscale,2)))</f>
        <v>0.56</v>
      </c>
      <c r="AH8" s="321" t="n">
        <f aca="false">IF($A8="N/A"," ",IF(VolType2=1,AG8,AF8))</f>
        <v>0.28</v>
      </c>
      <c r="AI8" s="321" t="n">
        <f aca="false">IF($A8="N/A"," ",(VLOOKUP($A8,OffPwrVolTable,(IF(VolBMO2=2,7,IF(VolBMO2=1,6,8))),FALSE())))</f>
        <v>0.14</v>
      </c>
      <c r="AJ8" s="321" t="n">
        <f aca="false">IF($A8="N/A"," ",(VLOOKUP($A8,OffPwrVolTable,(IF(VolBMO2=2,3,IF(VolBMO2=1,2,4))),FALSE())*VLOOKUP(MONTH($A8),Volscale,2)))</f>
        <v>0.336</v>
      </c>
      <c r="AK8" s="321" t="n">
        <f aca="false">IF($A8="N/A"," ",IF(VolType2=1,AJ8,AI8))</f>
        <v>0.14</v>
      </c>
      <c r="AL8" s="321" t="e">
        <f aca="false">IF($A8="N/A"," ",IF(PV=1,0,'Pricing Inputs2'!R41))</f>
        <v>#N/A</v>
      </c>
      <c r="AM8" s="323" t="e">
        <f aca="false">IF($A8="N/A"," ",(1+AL8/2)^(-2*((EOMONTH(A8,0)+20)-DateToday)/365.25))</f>
        <v>#N/A</v>
      </c>
      <c r="BQ8" s="0" t="n">
        <f aca="false">IF($A8="N/A"," ",(VLOOKUP($A8,NumberofDaysTable,2)))</f>
        <v>22</v>
      </c>
      <c r="BR8" s="0" t="n">
        <f aca="false">IF($A8="N/A"," ",(VLOOKUP($A8,NumberofDaysTable,3)))</f>
        <v>4</v>
      </c>
      <c r="BS8" s="0" t="n">
        <f aca="false">IF($A8="N/A"," ",(VLOOKUP($A8,NumberofDaysTable,4)))</f>
        <v>5</v>
      </c>
    </row>
    <row r="9" customFormat="false" ht="12.75" hidden="false" customHeight="false" outlineLevel="0" collapsed="false">
      <c r="A9" s="315" t="n">
        <f aca="false">IF(A8="N/A","N/A",IF(EDATE(A8,1)&gt;Inputs!$P$5,"N/A",EDATE(A8,1)))</f>
        <v>37408</v>
      </c>
      <c r="B9" s="316" t="n">
        <f aca="false">IF(A9="N/A"," ",YEAR(A9))</f>
        <v>2002</v>
      </c>
      <c r="C9" s="317" t="n">
        <f aca="false">IF($A9="N/A"," ",IF(Dayrun2=10,0,IF(Scaler2=1,(VLOOKUP(A9,ScaledPrice2,4)),(VLOOKUP(A9,ScaledPrice2,2)))))</f>
        <v>44.75</v>
      </c>
      <c r="D9" s="317" t="n">
        <f aca="false">IF(A9="N/A"," ",IF(Dayrun2&gt;=7,0,IF(Scaler2=2,VLOOKUP(A9,ScaledPrice2,2),(VLOOKUP(A9,ScaledPrice2,2))*(2-(VLOOKUP(A9,ScaledPrice2,3))))))</f>
        <v>44.75</v>
      </c>
      <c r="E9" s="317" t="n">
        <f aca="false">IF($A9="N/A"," ",IF(AND(Dayrun2&gt;=4,Dayrun2&lt;=9),0,VLOOKUP($A9,ScaledPrice2,9)))</f>
        <v>0</v>
      </c>
      <c r="F9" s="317" t="n">
        <f aca="false">IF(A9="N/A"," ",IF(OR(Dayrun2=2,Dayrun2=3,Dayrun2=5,Dayrun2=6,Dayrun2=8,Dayrun2=9),VLOOKUP(A9,ScaledPrice2,IF(Scaler2=1,6,5)),0))</f>
        <v>0</v>
      </c>
      <c r="G9" s="317" t="n">
        <f aca="false">IF(A9="N/A"," ",IF(OR(Dayrun2=2,Dayrun2=3,Dayrun2=5,Dayrun2=6),IF(Scaler2=2,F9,(VLOOKUP(A9,ScaledPrice2,5))*(2-(VLOOKUP(A9,ScaledPrice2,3)))),0))</f>
        <v>0</v>
      </c>
      <c r="H9" s="317" t="n">
        <f aca="false">IF($A9="N/A"," ",IF(OR(Dayrun2=2,Dayrun2=3,Dayrun2=10),VLOOKUP($A9,ScaledPrice2,9),0))</f>
        <v>0</v>
      </c>
      <c r="I9" s="317" t="n">
        <f aca="false">IF(A9="N/A"," ",IF(OR(Dayrun2=3,Dayrun2=6,Dayrun2=9),(VLOOKUP(A9,ScaledPrice2,IF(Scaler2=2,7,8))),0))</f>
        <v>0</v>
      </c>
      <c r="J9" s="317" t="n">
        <f aca="false">IF(A9="N/A"," ",IF(OR(Dayrun2=3,Dayrun2=6),IF(Scaler2=2,I9,(VLOOKUP(A9,ScaledPrice2,7))*(2-(VLOOKUP(A9,ScaledPrice2,3)))),0))</f>
        <v>0</v>
      </c>
      <c r="K9" s="317" t="n">
        <f aca="false">IF($A9="N/A"," ",IF(OR(Dayrun2=3,Dayrun2=10),VLOOKUP($A9,ScaledPrice2,9),0))</f>
        <v>0</v>
      </c>
      <c r="L9" s="318" t="e">
        <f aca="false">IF($A9="N/A"," ",IF(Pricetype2=2,MAX(C9,0),IF(OR(Pricetype2=1,Pricetype2=4),IF(C9=0,0,(EURO(C9,Strikeprice2,0,0,($AH9+IF(Smile=TRUE(),VLOOKUP(MAX(-5,Strikeprice2-C9),Volsmile,2),0)),($A9-DateToday)+15,IF(Pricetype2=1,1,0),0))),C9)))</f>
        <v>#NAME?</v>
      </c>
      <c r="M9" s="318" t="e">
        <f aca="false">IF($A9="N/A"," ",IF(Pricetype2=2,MAX(D9,0),IF(OR(Pricetype2=1,Pricetype2=4),IF(D9=0,0,(EURO(D9,Strikeprice2,0,0,($AH9+IF(Smile=TRUE(),VLOOKUP(MAX(-5,Strikeprice2-D9),Volsmile,2),0)),($A9-DateToday)+15,IF(Pricetype2=1,1,0),0))),D9)))</f>
        <v>#NAME?</v>
      </c>
      <c r="N9" s="318" t="n">
        <f aca="false">IF($A9="N/A"," ",IF(Pricetype2=2,MAX(E9,0),IF(OR(Pricetype2=1,Pricetype2=4),IF(E9=0,0,(EURO(E9,Strikeprice2,0,0,($AK9+IF(Smile=TRUE(),VLOOKUP(MAX(-5,Strikeprice2-E9),Volsmile,2),0)),($A9-DateToday)+15,IF(Pricetype2=1,1,0),0))),E9)))</f>
        <v>0</v>
      </c>
      <c r="O9" s="318" t="n">
        <f aca="false">IF($A9="N/A"," ",IF(Pricetype2=2,MAX(F9,0),IF(OR(Pricetype2=1,Pricetype2=4),IF(F9=0,0,(EURO(F9,Strikeprice2,0,0,($AK9+IF(Smile=TRUE(),VLOOKUP(MAX(-5,Strikeprice2-F9),Volsmile,2),0)),($A9-DateToday)+15,IF(Pricetype2=1,1,0),0))),F9)))</f>
        <v>0</v>
      </c>
      <c r="P9" s="318" t="n">
        <f aca="false">IF($A9="N/A"," ",IF(Pricetype2=2,MAX(G9,0),IF(OR(Pricetype2=1,Pricetype2=4),IF(G9=0,0,(EURO(G9,Strikeprice2,0,0,($AK9+IF(Smile=TRUE(),VLOOKUP(MAX(-5,Strikeprice2-G9),Volsmile,2),0)),($A9-DateToday)+15,IF(Pricetype2=1,1,0),0))),G9)))</f>
        <v>0</v>
      </c>
      <c r="Q9" s="318" t="n">
        <f aca="false">IF($A9="N/A"," ",IF(Pricetype2=2,MAX(H9,0),IF(OR(Pricetype2=1,Pricetype2=4),IF(H9=0,0,(EURO(H9,Strikeprice2,0,0,($AK9+IF(Smile=TRUE(),VLOOKUP(MAX(-5,Strikeprice2-H9),Volsmile,2),0)),($A9-DateToday)+15,IF(Pricetype2=1,1,0),0))),H9)))</f>
        <v>0</v>
      </c>
      <c r="R9" s="318" t="n">
        <f aca="false">IF($A9="N/A"," ",IF(Pricetype2=2,MAX(I9,0),IF(OR(Pricetype2=1,Pricetype2=4),IF(I9=0,0,(EURO(I9,Strikeprice2,0,0,($AK9+IF(Smile=TRUE(),VLOOKUP(MAX(-5,Strikeprice2-I9),Volsmile,2),0)),($A9-DateToday)+15,IF(Pricetype2=1,1,0),0))),I9)))</f>
        <v>0</v>
      </c>
      <c r="S9" s="318" t="n">
        <f aca="false">IF($A9="N/A"," ",IF(Pricetype2=2,MAX(J9,0),IF(OR(Pricetype2=1,Pricetype2=4),IF(J9=0,0,(EURO(J9,Strikeprice2,0,0,($AK9+IF(Smile=TRUE(),VLOOKUP(MAX(-5,Strikeprice2-J9),Volsmile,2),0)),($A9-DateToday)+15,IF(Pricetype2=1,1,0),0))),J9)))</f>
        <v>0</v>
      </c>
      <c r="T9" s="318" t="n">
        <f aca="false">IF($A9="N/A"," ",IF(Pricetype2=2,MAX(K9,0),IF(OR(Pricetype2=1,Pricetype2=4),IF(K9=0,0,(EURO(K9,Strikeprice2,0,0,($AK9+IF(Smile=TRUE(),VLOOKUP(MAX(-5,Strikeprice2-K9),Volsmile,2),0)),($A9-DateToday)+15,IF(Pricetype2=1,1,0),0))),K9)))</f>
        <v>0</v>
      </c>
      <c r="U9" s="319" t="e">
        <f aca="false">IF($A9="N/A"," ",Volume2*$AM9)</f>
        <v>#N/A</v>
      </c>
      <c r="V9" s="320" t="e">
        <f aca="false">IF($A9="N/A"," ",$U9*(8*($BQ9))*L9)</f>
        <v>#N/A</v>
      </c>
      <c r="W9" s="320" t="e">
        <f aca="false">IF($A9="N/A"," ",$U9*(8*($BQ9))*M9)</f>
        <v>#N/A</v>
      </c>
      <c r="X9" s="320" t="e">
        <f aca="false">IF($A9="N/A"," ",$U9*(8*($BQ9))*N9)</f>
        <v>#N/A</v>
      </c>
      <c r="Y9" s="320" t="e">
        <f aca="false">IF($A9="N/A"," ",$U9*(8*($BR9))*O9)</f>
        <v>#N/A</v>
      </c>
      <c r="Z9" s="320" t="e">
        <f aca="false">IF($A9="N/A"," ",$U9*(8*($BR9))*P9)</f>
        <v>#N/A</v>
      </c>
      <c r="AA9" s="320" t="e">
        <f aca="false">IF($A9="N/A"," ",$U9*(8*($BR9))*Q9)</f>
        <v>#N/A</v>
      </c>
      <c r="AB9" s="320" t="e">
        <f aca="false">IF($A9="N/A"," ",$U9*(8*($BS9))*R9)</f>
        <v>#N/A</v>
      </c>
      <c r="AC9" s="320" t="e">
        <f aca="false">IF($A9="N/A"," ",$U9*(8*($BS9))*S9)</f>
        <v>#N/A</v>
      </c>
      <c r="AD9" s="320" t="e">
        <f aca="false">IF($A9="N/A"," ",$U9*(8*($BS9))*T9)</f>
        <v>#N/A</v>
      </c>
      <c r="AE9" s="320" t="e">
        <f aca="false">IF($A9="N/A"," ",SUM(V9:AD9))</f>
        <v>#N/A</v>
      </c>
      <c r="AF9" s="321" t="n">
        <f aca="false">IF(A9="N/A"," ",(VLOOKUP(A9,PowerVolTable,(IF(VolBMO2=2,7,IF(VolBMO2=1,6,8))),FALSE())))</f>
        <v>0.28</v>
      </c>
      <c r="AG9" s="321" t="n">
        <f aca="false">IF(A9="N/A"," ",(VLOOKUP(A9,IntraPowerVol,(IF(VolBMO2=2,3,IF(VolBMO2=1,2,4))),FALSE())*VLOOKUP(MONTH($A9),Volscale,2)))</f>
        <v>0.6</v>
      </c>
      <c r="AH9" s="321" t="n">
        <f aca="false">IF($A9="N/A"," ",IF(VolType2=1,AG9,AF9))</f>
        <v>0.28</v>
      </c>
      <c r="AI9" s="321" t="n">
        <f aca="false">IF($A9="N/A"," ",(VLOOKUP($A9,OffPwrVolTable,(IF(VolBMO2=2,7,IF(VolBMO2=1,6,8))),FALSE())))</f>
        <v>0.14</v>
      </c>
      <c r="AJ9" s="321" t="n">
        <f aca="false">IF($A9="N/A"," ",(VLOOKUP($A9,OffPwrVolTable,(IF(VolBMO2=2,3,IF(VolBMO2=1,2,4))),FALSE())*VLOOKUP(MONTH($A9),Volscale,2)))</f>
        <v>0.36</v>
      </c>
      <c r="AK9" s="321" t="n">
        <f aca="false">IF($A9="N/A"," ",IF(VolType2=1,AJ9,AI9))</f>
        <v>0.14</v>
      </c>
      <c r="AL9" s="321" t="e">
        <f aca="false">IF($A9="N/A"," ",IF(PV=1,0,'Pricing Inputs2'!R42))</f>
        <v>#N/A</v>
      </c>
      <c r="AM9" s="323" t="e">
        <f aca="false">IF($A9="N/A"," ",(1+AL9/2)^(-2*((EOMONTH(A9,0)+20)-DateToday)/365.25))</f>
        <v>#N/A</v>
      </c>
      <c r="BQ9" s="0" t="n">
        <f aca="false">IF($A9="N/A"," ",(VLOOKUP($A9,NumberofDaysTable,2)))</f>
        <v>20</v>
      </c>
      <c r="BR9" s="0" t="n">
        <f aca="false">IF($A9="N/A"," ",(VLOOKUP($A9,NumberofDaysTable,3)))</f>
        <v>5</v>
      </c>
      <c r="BS9" s="0" t="n">
        <f aca="false">IF($A9="N/A"," ",(VLOOKUP($A9,NumberofDaysTable,4)))</f>
        <v>5</v>
      </c>
    </row>
    <row r="10" customFormat="false" ht="12.75" hidden="false" customHeight="false" outlineLevel="0" collapsed="false">
      <c r="A10" s="315" t="n">
        <f aca="false">IF(A9="N/A","N/A",IF(EDATE(A9,1)&gt;Inputs!$P$5,"N/A",EDATE(A9,1)))</f>
        <v>37438</v>
      </c>
      <c r="B10" s="316" t="n">
        <f aca="false">IF(A10="N/A"," ",YEAR(A10))</f>
        <v>2002</v>
      </c>
      <c r="C10" s="317" t="n">
        <f aca="false">IF($A10="N/A"," ",IF(Dayrun2=10,0,IF(Scaler2=1,(VLOOKUP(A10,ScaledPrice2,4)),(VLOOKUP(A10,ScaledPrice2,2)))))</f>
        <v>62.25</v>
      </c>
      <c r="D10" s="317" t="n">
        <f aca="false">IF(A10="N/A"," ",IF(Dayrun2&gt;=7,0,IF(Scaler2=2,VLOOKUP(A10,ScaledPrice2,2),(VLOOKUP(A10,ScaledPrice2,2))*(2-(VLOOKUP(A10,ScaledPrice2,3))))))</f>
        <v>62.25</v>
      </c>
      <c r="E10" s="317" t="n">
        <f aca="false">IF($A10="N/A"," ",IF(AND(Dayrun2&gt;=4,Dayrun2&lt;=9),0,VLOOKUP($A10,ScaledPrice2,9)))</f>
        <v>0</v>
      </c>
      <c r="F10" s="317" t="n">
        <f aca="false">IF(A10="N/A"," ",IF(OR(Dayrun2=2,Dayrun2=3,Dayrun2=5,Dayrun2=6,Dayrun2=8,Dayrun2=9),VLOOKUP(A10,ScaledPrice2,IF(Scaler2=1,6,5)),0))</f>
        <v>0</v>
      </c>
      <c r="G10" s="317" t="n">
        <f aca="false">IF(A10="N/A"," ",IF(OR(Dayrun2=2,Dayrun2=3,Dayrun2=5,Dayrun2=6),IF(Scaler2=2,F10,(VLOOKUP(A10,ScaledPrice2,5))*(2-(VLOOKUP(A10,ScaledPrice2,3)))),0))</f>
        <v>0</v>
      </c>
      <c r="H10" s="317" t="n">
        <f aca="false">IF($A10="N/A"," ",IF(OR(Dayrun2=2,Dayrun2=3,Dayrun2=10),VLOOKUP($A10,ScaledPrice2,9),0))</f>
        <v>0</v>
      </c>
      <c r="I10" s="317" t="n">
        <f aca="false">IF(A10="N/A"," ",IF(OR(Dayrun2=3,Dayrun2=6,Dayrun2=9),(VLOOKUP(A10,ScaledPrice2,IF(Scaler2=2,7,8))),0))</f>
        <v>0</v>
      </c>
      <c r="J10" s="317" t="n">
        <f aca="false">IF(A10="N/A"," ",IF(OR(Dayrun2=3,Dayrun2=6),IF(Scaler2=2,I10,(VLOOKUP(A10,ScaledPrice2,7))*(2-(VLOOKUP(A10,ScaledPrice2,3)))),0))</f>
        <v>0</v>
      </c>
      <c r="K10" s="317" t="n">
        <f aca="false">IF($A10="N/A"," ",IF(OR(Dayrun2=3,Dayrun2=10),VLOOKUP($A10,ScaledPrice2,9),0))</f>
        <v>0</v>
      </c>
      <c r="L10" s="318" t="e">
        <f aca="false">IF($A10="N/A"," ",IF(Pricetype2=2,MAX(C10,0),IF(OR(Pricetype2=1,Pricetype2=4),IF(C10=0,0,(EURO(C10,Strikeprice2,0,0,($AH10+IF(Smile=TRUE(),VLOOKUP(MAX(-5,Strikeprice2-C10),Volsmile,2),0)),($A10-DateToday)+15,IF(Pricetype2=1,1,0),0))),C10)))</f>
        <v>#NAME?</v>
      </c>
      <c r="M10" s="318" t="e">
        <f aca="false">IF($A10="N/A"," ",IF(Pricetype2=2,MAX(D10,0),IF(OR(Pricetype2=1,Pricetype2=4),IF(D10=0,0,(EURO(D10,Strikeprice2,0,0,($AH10+IF(Smile=TRUE(),VLOOKUP(MAX(-5,Strikeprice2-D10),Volsmile,2),0)),($A10-DateToday)+15,IF(Pricetype2=1,1,0),0))),D10)))</f>
        <v>#NAME?</v>
      </c>
      <c r="N10" s="318" t="n">
        <f aca="false">IF($A10="N/A"," ",IF(Pricetype2=2,MAX(E10,0),IF(OR(Pricetype2=1,Pricetype2=4),IF(E10=0,0,(EURO(E10,Strikeprice2,0,0,($AK10+IF(Smile=TRUE(),VLOOKUP(MAX(-5,Strikeprice2-E10),Volsmile,2),0)),($A10-DateToday)+15,IF(Pricetype2=1,1,0),0))),E10)))</f>
        <v>0</v>
      </c>
      <c r="O10" s="318" t="n">
        <f aca="false">IF($A10="N/A"," ",IF(Pricetype2=2,MAX(F10,0),IF(OR(Pricetype2=1,Pricetype2=4),IF(F10=0,0,(EURO(F10,Strikeprice2,0,0,($AK10+IF(Smile=TRUE(),VLOOKUP(MAX(-5,Strikeprice2-F10),Volsmile,2),0)),($A10-DateToday)+15,IF(Pricetype2=1,1,0),0))),F10)))</f>
        <v>0</v>
      </c>
      <c r="P10" s="318" t="n">
        <f aca="false">IF($A10="N/A"," ",IF(Pricetype2=2,MAX(G10,0),IF(OR(Pricetype2=1,Pricetype2=4),IF(G10=0,0,(EURO(G10,Strikeprice2,0,0,($AK10+IF(Smile=TRUE(),VLOOKUP(MAX(-5,Strikeprice2-G10),Volsmile,2),0)),($A10-DateToday)+15,IF(Pricetype2=1,1,0),0))),G10)))</f>
        <v>0</v>
      </c>
      <c r="Q10" s="318" t="n">
        <f aca="false">IF($A10="N/A"," ",IF(Pricetype2=2,MAX(H10,0),IF(OR(Pricetype2=1,Pricetype2=4),IF(H10=0,0,(EURO(H10,Strikeprice2,0,0,($AK10+IF(Smile=TRUE(),VLOOKUP(MAX(-5,Strikeprice2-H10),Volsmile,2),0)),($A10-DateToday)+15,IF(Pricetype2=1,1,0),0))),H10)))</f>
        <v>0</v>
      </c>
      <c r="R10" s="318" t="n">
        <f aca="false">IF($A10="N/A"," ",IF(Pricetype2=2,MAX(I10,0),IF(OR(Pricetype2=1,Pricetype2=4),IF(I10=0,0,(EURO(I10,Strikeprice2,0,0,($AK10+IF(Smile=TRUE(),VLOOKUP(MAX(-5,Strikeprice2-I10),Volsmile,2),0)),($A10-DateToday)+15,IF(Pricetype2=1,1,0),0))),I10)))</f>
        <v>0</v>
      </c>
      <c r="S10" s="318" t="n">
        <f aca="false">IF($A10="N/A"," ",IF(Pricetype2=2,MAX(J10,0),IF(OR(Pricetype2=1,Pricetype2=4),IF(J10=0,0,(EURO(J10,Strikeprice2,0,0,($AK10+IF(Smile=TRUE(),VLOOKUP(MAX(-5,Strikeprice2-J10),Volsmile,2),0)),($A10-DateToday)+15,IF(Pricetype2=1,1,0),0))),J10)))</f>
        <v>0</v>
      </c>
      <c r="T10" s="318" t="n">
        <f aca="false">IF($A10="N/A"," ",IF(Pricetype2=2,MAX(K10,0),IF(OR(Pricetype2=1,Pricetype2=4),IF(K10=0,0,(EURO(K10,Strikeprice2,0,0,($AK10+IF(Smile=TRUE(),VLOOKUP(MAX(-5,Strikeprice2-K10),Volsmile,2),0)),($A10-DateToday)+15,IF(Pricetype2=1,1,0),0))),K10)))</f>
        <v>0</v>
      </c>
      <c r="U10" s="319" t="e">
        <f aca="false">IF($A10="N/A"," ",Volume2*$AM10)</f>
        <v>#N/A</v>
      </c>
      <c r="V10" s="320" t="e">
        <f aca="false">IF($A10="N/A"," ",$U10*(8*($BQ10))*L10)</f>
        <v>#N/A</v>
      </c>
      <c r="W10" s="320" t="e">
        <f aca="false">IF($A10="N/A"," ",$U10*(8*($BQ10))*M10)</f>
        <v>#N/A</v>
      </c>
      <c r="X10" s="320" t="e">
        <f aca="false">IF($A10="N/A"," ",$U10*(8*($BQ10))*N10)</f>
        <v>#N/A</v>
      </c>
      <c r="Y10" s="320" t="e">
        <f aca="false">IF($A10="N/A"," ",$U10*(8*($BR10))*O10)</f>
        <v>#N/A</v>
      </c>
      <c r="Z10" s="320" t="e">
        <f aca="false">IF($A10="N/A"," ",$U10*(8*($BR10))*P10)</f>
        <v>#N/A</v>
      </c>
      <c r="AA10" s="320" t="e">
        <f aca="false">IF($A10="N/A"," ",$U10*(8*($BR10))*Q10)</f>
        <v>#N/A</v>
      </c>
      <c r="AB10" s="320" t="e">
        <f aca="false">IF($A10="N/A"," ",$U10*(8*($BS10))*R10)</f>
        <v>#N/A</v>
      </c>
      <c r="AC10" s="320" t="e">
        <f aca="false">IF($A10="N/A"," ",$U10*(8*($BS10))*S10)</f>
        <v>#N/A</v>
      </c>
      <c r="AD10" s="320" t="e">
        <f aca="false">IF($A10="N/A"," ",$U10*(8*($BS10))*T10)</f>
        <v>#N/A</v>
      </c>
      <c r="AE10" s="320" t="e">
        <f aca="false">IF($A10="N/A"," ",SUM(V10:AD10))</f>
        <v>#N/A</v>
      </c>
      <c r="AF10" s="321" t="n">
        <f aca="false">IF(A10="N/A"," ",(VLOOKUP(A10,PowerVolTable,(IF(VolBMO2=2,7,IF(VolBMO2=1,6,8))),FALSE())))</f>
        <v>0.36</v>
      </c>
      <c r="AG10" s="321" t="n">
        <f aca="false">IF(A10="N/A"," ",(VLOOKUP(A10,IntraPowerVol,(IF(VolBMO2=2,3,IF(VolBMO2=1,2,4))),FALSE())*VLOOKUP(MONTH($A10),Volscale,2)))</f>
        <v>0.72</v>
      </c>
      <c r="AH10" s="321" t="n">
        <f aca="false">IF($A10="N/A"," ",IF(VolType2=1,AG10,AF10))</f>
        <v>0.36</v>
      </c>
      <c r="AI10" s="321" t="n">
        <f aca="false">IF($A10="N/A"," ",(VLOOKUP($A10,OffPwrVolTable,(IF(VolBMO2=2,7,IF(VolBMO2=1,6,8))),FALSE())))</f>
        <v>0.18</v>
      </c>
      <c r="AJ10" s="321" t="n">
        <f aca="false">IF($A10="N/A"," ",(VLOOKUP($A10,OffPwrVolTable,(IF(VolBMO2=2,3,IF(VolBMO2=1,2,4))),FALSE())*VLOOKUP(MONTH($A10),Volscale,2)))</f>
        <v>0.432</v>
      </c>
      <c r="AK10" s="321" t="n">
        <f aca="false">IF($A10="N/A"," ",IF(VolType2=1,AJ10,AI10))</f>
        <v>0.18</v>
      </c>
      <c r="AL10" s="321" t="e">
        <f aca="false">IF($A10="N/A"," ",IF(PV=1,0,'Pricing Inputs2'!R43))</f>
        <v>#N/A</v>
      </c>
      <c r="AM10" s="323" t="e">
        <f aca="false">IF($A10="N/A"," ",(1+AL10/2)^(-2*((EOMONTH(A10,0)+20)-DateToday)/365.25))</f>
        <v>#N/A</v>
      </c>
      <c r="BQ10" s="0" t="n">
        <f aca="false">IF($A10="N/A"," ",(VLOOKUP($A10,NumberofDaysTable,2)))</f>
        <v>22</v>
      </c>
      <c r="BR10" s="0" t="n">
        <f aca="false">IF($A10="N/A"," ",(VLOOKUP($A10,NumberofDaysTable,3)))</f>
        <v>4</v>
      </c>
      <c r="BS10" s="0" t="n">
        <f aca="false">IF($A10="N/A"," ",(VLOOKUP($A10,NumberofDaysTable,4)))</f>
        <v>5</v>
      </c>
    </row>
    <row r="11" customFormat="false" ht="12.75" hidden="false" customHeight="false" outlineLevel="0" collapsed="false">
      <c r="A11" s="315" t="n">
        <f aca="false">IF(A10="N/A","N/A",IF(EDATE(A10,1)&gt;Inputs!$P$5,"N/A",EDATE(A10,1)))</f>
        <v>37469</v>
      </c>
      <c r="B11" s="316" t="n">
        <f aca="false">IF(A11="N/A"," ",YEAR(A11))</f>
        <v>2002</v>
      </c>
      <c r="C11" s="317" t="n">
        <f aca="false">IF($A11="N/A"," ",IF(Dayrun2=10,0,IF(Scaler2=1,(VLOOKUP(A11,ScaledPrice2,4)),(VLOOKUP(A11,ScaledPrice2,2)))))</f>
        <v>62.25</v>
      </c>
      <c r="D11" s="317" t="n">
        <f aca="false">IF(A11="N/A"," ",IF(Dayrun2&gt;=7,0,IF(Scaler2=2,VLOOKUP(A11,ScaledPrice2,2),(VLOOKUP(A11,ScaledPrice2,2))*(2-(VLOOKUP(A11,ScaledPrice2,3))))))</f>
        <v>62.25</v>
      </c>
      <c r="E11" s="317" t="n">
        <f aca="false">IF($A11="N/A"," ",IF(AND(Dayrun2&gt;=4,Dayrun2&lt;=9),0,VLOOKUP($A11,ScaledPrice2,9)))</f>
        <v>0</v>
      </c>
      <c r="F11" s="317" t="n">
        <f aca="false">IF(A11="N/A"," ",IF(OR(Dayrun2=2,Dayrun2=3,Dayrun2=5,Dayrun2=6,Dayrun2=8,Dayrun2=9),VLOOKUP(A11,ScaledPrice2,IF(Scaler2=1,6,5)),0))</f>
        <v>0</v>
      </c>
      <c r="G11" s="317" t="n">
        <f aca="false">IF(A11="N/A"," ",IF(OR(Dayrun2=2,Dayrun2=3,Dayrun2=5,Dayrun2=6),IF(Scaler2=2,F11,(VLOOKUP(A11,ScaledPrice2,5))*(2-(VLOOKUP(A11,ScaledPrice2,3)))),0))</f>
        <v>0</v>
      </c>
      <c r="H11" s="317" t="n">
        <f aca="false">IF($A11="N/A"," ",IF(OR(Dayrun2=2,Dayrun2=3,Dayrun2=10),VLOOKUP($A11,ScaledPrice2,9),0))</f>
        <v>0</v>
      </c>
      <c r="I11" s="317" t="n">
        <f aca="false">IF(A11="N/A"," ",IF(OR(Dayrun2=3,Dayrun2=6,Dayrun2=9),(VLOOKUP(A11,ScaledPrice2,IF(Scaler2=2,7,8))),0))</f>
        <v>0</v>
      </c>
      <c r="J11" s="317" t="n">
        <f aca="false">IF(A11="N/A"," ",IF(OR(Dayrun2=3,Dayrun2=6),IF(Scaler2=2,I11,(VLOOKUP(A11,ScaledPrice2,7))*(2-(VLOOKUP(A11,ScaledPrice2,3)))),0))</f>
        <v>0</v>
      </c>
      <c r="K11" s="317" t="n">
        <f aca="false">IF($A11="N/A"," ",IF(OR(Dayrun2=3,Dayrun2=10),VLOOKUP($A11,ScaledPrice2,9),0))</f>
        <v>0</v>
      </c>
      <c r="L11" s="318" t="e">
        <f aca="false">IF($A11="N/A"," ",IF(Pricetype2=2,MAX(C11,0),IF(OR(Pricetype2=1,Pricetype2=4),IF(C11=0,0,(EURO(C11,Strikeprice2,0,0,($AH11+IF(Smile=TRUE(),VLOOKUP(MAX(-5,Strikeprice2-C11),Volsmile,2),0)),($A11-DateToday)+15,IF(Pricetype2=1,1,0),0))),C11)))</f>
        <v>#NAME?</v>
      </c>
      <c r="M11" s="318" t="e">
        <f aca="false">IF($A11="N/A"," ",IF(Pricetype2=2,MAX(D11,0),IF(OR(Pricetype2=1,Pricetype2=4),IF(D11=0,0,(EURO(D11,Strikeprice2,0,0,($AH11+IF(Smile=TRUE(),VLOOKUP(MAX(-5,Strikeprice2-D11),Volsmile,2),0)),($A11-DateToday)+15,IF(Pricetype2=1,1,0),0))),D11)))</f>
        <v>#NAME?</v>
      </c>
      <c r="N11" s="318" t="n">
        <f aca="false">IF($A11="N/A"," ",IF(Pricetype2=2,MAX(E11,0),IF(OR(Pricetype2=1,Pricetype2=4),IF(E11=0,0,(EURO(E11,Strikeprice2,0,0,($AK11+IF(Smile=TRUE(),VLOOKUP(MAX(-5,Strikeprice2-E11),Volsmile,2),0)),($A11-DateToday)+15,IF(Pricetype2=1,1,0),0))),E11)))</f>
        <v>0</v>
      </c>
      <c r="O11" s="318" t="n">
        <f aca="false">IF($A11="N/A"," ",IF(Pricetype2=2,MAX(F11,0),IF(OR(Pricetype2=1,Pricetype2=4),IF(F11=0,0,(EURO(F11,Strikeprice2,0,0,($AK11+IF(Smile=TRUE(),VLOOKUP(MAX(-5,Strikeprice2-F11),Volsmile,2),0)),($A11-DateToday)+15,IF(Pricetype2=1,1,0),0))),F11)))</f>
        <v>0</v>
      </c>
      <c r="P11" s="318" t="n">
        <f aca="false">IF($A11="N/A"," ",IF(Pricetype2=2,MAX(G11,0),IF(OR(Pricetype2=1,Pricetype2=4),IF(G11=0,0,(EURO(G11,Strikeprice2,0,0,($AK11+IF(Smile=TRUE(),VLOOKUP(MAX(-5,Strikeprice2-G11),Volsmile,2),0)),($A11-DateToday)+15,IF(Pricetype2=1,1,0),0))),G11)))</f>
        <v>0</v>
      </c>
      <c r="Q11" s="318" t="n">
        <f aca="false">IF($A11="N/A"," ",IF(Pricetype2=2,MAX(H11,0),IF(OR(Pricetype2=1,Pricetype2=4),IF(H11=0,0,(EURO(H11,Strikeprice2,0,0,($AK11+IF(Smile=TRUE(),VLOOKUP(MAX(-5,Strikeprice2-H11),Volsmile,2),0)),($A11-DateToday)+15,IF(Pricetype2=1,1,0),0))),H11)))</f>
        <v>0</v>
      </c>
      <c r="R11" s="318" t="n">
        <f aca="false">IF($A11="N/A"," ",IF(Pricetype2=2,MAX(I11,0),IF(OR(Pricetype2=1,Pricetype2=4),IF(I11=0,0,(EURO(I11,Strikeprice2,0,0,($AK11+IF(Smile=TRUE(),VLOOKUP(MAX(-5,Strikeprice2-I11),Volsmile,2),0)),($A11-DateToday)+15,IF(Pricetype2=1,1,0),0))),I11)))</f>
        <v>0</v>
      </c>
      <c r="S11" s="318" t="n">
        <f aca="false">IF($A11="N/A"," ",IF(Pricetype2=2,MAX(J11,0),IF(OR(Pricetype2=1,Pricetype2=4),IF(J11=0,0,(EURO(J11,Strikeprice2,0,0,($AK11+IF(Smile=TRUE(),VLOOKUP(MAX(-5,Strikeprice2-J11),Volsmile,2),0)),($A11-DateToday)+15,IF(Pricetype2=1,1,0),0))),J11)))</f>
        <v>0</v>
      </c>
      <c r="T11" s="318" t="n">
        <f aca="false">IF($A11="N/A"," ",IF(Pricetype2=2,MAX(K11,0),IF(OR(Pricetype2=1,Pricetype2=4),IF(K11=0,0,(EURO(K11,Strikeprice2,0,0,($AK11+IF(Smile=TRUE(),VLOOKUP(MAX(-5,Strikeprice2-K11),Volsmile,2),0)),($A11-DateToday)+15,IF(Pricetype2=1,1,0),0))),K11)))</f>
        <v>0</v>
      </c>
      <c r="U11" s="319" t="e">
        <f aca="false">IF($A11="N/A"," ",Volume2*$AM11)</f>
        <v>#N/A</v>
      </c>
      <c r="V11" s="320" t="e">
        <f aca="false">IF($A11="N/A"," ",$U11*(8*($BQ11))*L11)</f>
        <v>#N/A</v>
      </c>
      <c r="W11" s="320" t="e">
        <f aca="false">IF($A11="N/A"," ",$U11*(8*($BQ11))*M11)</f>
        <v>#N/A</v>
      </c>
      <c r="X11" s="320" t="e">
        <f aca="false">IF($A11="N/A"," ",$U11*(8*($BQ11))*N11)</f>
        <v>#N/A</v>
      </c>
      <c r="Y11" s="320" t="e">
        <f aca="false">IF($A11="N/A"," ",$U11*(8*($BR11))*O11)</f>
        <v>#N/A</v>
      </c>
      <c r="Z11" s="320" t="e">
        <f aca="false">IF($A11="N/A"," ",$U11*(8*($BR11))*P11)</f>
        <v>#N/A</v>
      </c>
      <c r="AA11" s="320" t="e">
        <f aca="false">IF($A11="N/A"," ",$U11*(8*($BR11))*Q11)</f>
        <v>#N/A</v>
      </c>
      <c r="AB11" s="320" t="e">
        <f aca="false">IF($A11="N/A"," ",$U11*(8*($BS11))*R11)</f>
        <v>#N/A</v>
      </c>
      <c r="AC11" s="320" t="e">
        <f aca="false">IF($A11="N/A"," ",$U11*(8*($BS11))*S11)</f>
        <v>#N/A</v>
      </c>
      <c r="AD11" s="320" t="e">
        <f aca="false">IF($A11="N/A"," ",$U11*(8*($BS11))*T11)</f>
        <v>#N/A</v>
      </c>
      <c r="AE11" s="320" t="e">
        <f aca="false">IF($A11="N/A"," ",SUM(V11:AD11))</f>
        <v>#N/A</v>
      </c>
      <c r="AF11" s="321" t="n">
        <f aca="false">IF(A11="N/A"," ",(VLOOKUP(A11,PowerVolTable,(IF(VolBMO2=2,7,IF(VolBMO2=1,6,8))),FALSE())))</f>
        <v>0.36</v>
      </c>
      <c r="AG11" s="321" t="n">
        <f aca="false">IF(A11="N/A"," ",(VLOOKUP(A11,IntraPowerVol,(IF(VolBMO2=2,3,IF(VolBMO2=1,2,4))),FALSE())*VLOOKUP(MONTH($A11),Volscale,2)))</f>
        <v>0.72</v>
      </c>
      <c r="AH11" s="321" t="n">
        <f aca="false">IF($A11="N/A"," ",IF(VolType2=1,AG11,AF11))</f>
        <v>0.36</v>
      </c>
      <c r="AI11" s="321" t="n">
        <f aca="false">IF($A11="N/A"," ",(VLOOKUP($A11,OffPwrVolTable,(IF(VolBMO2=2,7,IF(VolBMO2=1,6,8))),FALSE())))</f>
        <v>0.18</v>
      </c>
      <c r="AJ11" s="321" t="n">
        <f aca="false">IF($A11="N/A"," ",(VLOOKUP($A11,OffPwrVolTable,(IF(VolBMO2=2,3,IF(VolBMO2=1,2,4))),FALSE())*VLOOKUP(MONTH($A11),Volscale,2)))</f>
        <v>0.432</v>
      </c>
      <c r="AK11" s="321" t="n">
        <f aca="false">IF($A11="N/A"," ",IF(VolType2=1,AJ11,AI11))</f>
        <v>0.18</v>
      </c>
      <c r="AL11" s="321" t="e">
        <f aca="false">IF($A11="N/A"," ",IF(PV=1,0,'Pricing Inputs2'!R44))</f>
        <v>#N/A</v>
      </c>
      <c r="AM11" s="323" t="e">
        <f aca="false">IF($A11="N/A"," ",(1+AL11/2)^(-2*((EOMONTH(A11,0)+20)-DateToday)/365.25))</f>
        <v>#N/A</v>
      </c>
      <c r="BQ11" s="0" t="n">
        <f aca="false">IF($A11="N/A"," ",(VLOOKUP($A11,NumberofDaysTable,2)))</f>
        <v>22</v>
      </c>
      <c r="BR11" s="0" t="n">
        <f aca="false">IF($A11="N/A"," ",(VLOOKUP($A11,NumberofDaysTable,3)))</f>
        <v>5</v>
      </c>
      <c r="BS11" s="0" t="n">
        <f aca="false">IF($A11="N/A"," ",(VLOOKUP($A11,NumberofDaysTable,4)))</f>
        <v>4</v>
      </c>
    </row>
    <row r="12" customFormat="false" ht="12.75" hidden="false" customHeight="false" outlineLevel="0" collapsed="false">
      <c r="A12" s="315" t="n">
        <f aca="false">IF(A11="N/A","N/A",IF(EDATE(A11,1)&gt;Inputs!$P$5,"N/A",EDATE(A11,1)))</f>
        <v>37500</v>
      </c>
      <c r="B12" s="316" t="n">
        <f aca="false">IF(A12="N/A"," ",YEAR(A12))</f>
        <v>2002</v>
      </c>
      <c r="C12" s="317" t="n">
        <f aca="false">IF($A12="N/A"," ",IF(Dayrun2=10,0,IF(Scaler2=1,(VLOOKUP(A12,ScaledPrice2,4)),(VLOOKUP(A12,ScaledPrice2,2)))))</f>
        <v>29.25</v>
      </c>
      <c r="D12" s="317" t="n">
        <f aca="false">IF(A12="N/A"," ",IF(Dayrun2&gt;=7,0,IF(Scaler2=2,VLOOKUP(A12,ScaledPrice2,2),(VLOOKUP(A12,ScaledPrice2,2))*(2-(VLOOKUP(A12,ScaledPrice2,3))))))</f>
        <v>29.25</v>
      </c>
      <c r="E12" s="317" t="n">
        <f aca="false">IF($A12="N/A"," ",IF(AND(Dayrun2&gt;=4,Dayrun2&lt;=9),0,VLOOKUP($A12,ScaledPrice2,9)))</f>
        <v>0</v>
      </c>
      <c r="F12" s="317" t="n">
        <f aca="false">IF(A12="N/A"," ",IF(OR(Dayrun2=2,Dayrun2=3,Dayrun2=5,Dayrun2=6,Dayrun2=8,Dayrun2=9),VLOOKUP(A12,ScaledPrice2,IF(Scaler2=1,6,5)),0))</f>
        <v>0</v>
      </c>
      <c r="G12" s="317" t="n">
        <f aca="false">IF(A12="N/A"," ",IF(OR(Dayrun2=2,Dayrun2=3,Dayrun2=5,Dayrun2=6),IF(Scaler2=2,F12,(VLOOKUP(A12,ScaledPrice2,5))*(2-(VLOOKUP(A12,ScaledPrice2,3)))),0))</f>
        <v>0</v>
      </c>
      <c r="H12" s="317" t="n">
        <f aca="false">IF($A12="N/A"," ",IF(OR(Dayrun2=2,Dayrun2=3,Dayrun2=10),VLOOKUP($A12,ScaledPrice2,9),0))</f>
        <v>0</v>
      </c>
      <c r="I12" s="317" t="n">
        <f aca="false">IF(A12="N/A"," ",IF(OR(Dayrun2=3,Dayrun2=6,Dayrun2=9),(VLOOKUP(A12,ScaledPrice2,IF(Scaler2=2,7,8))),0))</f>
        <v>0</v>
      </c>
      <c r="J12" s="317" t="n">
        <f aca="false">IF(A12="N/A"," ",IF(OR(Dayrun2=3,Dayrun2=6),IF(Scaler2=2,I12,(VLOOKUP(A12,ScaledPrice2,7))*(2-(VLOOKUP(A12,ScaledPrice2,3)))),0))</f>
        <v>0</v>
      </c>
      <c r="K12" s="317" t="n">
        <f aca="false">IF($A12="N/A"," ",IF(OR(Dayrun2=3,Dayrun2=10),VLOOKUP($A12,ScaledPrice2,9),0))</f>
        <v>0</v>
      </c>
      <c r="L12" s="318" t="e">
        <f aca="false">IF($A12="N/A"," ",IF(Pricetype2=2,MAX(C12,0),IF(OR(Pricetype2=1,Pricetype2=4),IF(C12=0,0,(EURO(C12,Strikeprice2,0,0,($AH12+IF(Smile=TRUE(),VLOOKUP(MAX(-5,Strikeprice2-C12),Volsmile,2),0)),($A12-DateToday)+15,IF(Pricetype2=1,1,0),0))),C12)))</f>
        <v>#NAME?</v>
      </c>
      <c r="M12" s="318" t="e">
        <f aca="false">IF($A12="N/A"," ",IF(Pricetype2=2,MAX(D12,0),IF(OR(Pricetype2=1,Pricetype2=4),IF(D12=0,0,(EURO(D12,Strikeprice2,0,0,($AH12+IF(Smile=TRUE(),VLOOKUP(MAX(-5,Strikeprice2-D12),Volsmile,2),0)),($A12-DateToday)+15,IF(Pricetype2=1,1,0),0))),D12)))</f>
        <v>#NAME?</v>
      </c>
      <c r="N12" s="318" t="n">
        <f aca="false">IF($A12="N/A"," ",IF(Pricetype2=2,MAX(E12,0),IF(OR(Pricetype2=1,Pricetype2=4),IF(E12=0,0,(EURO(E12,Strikeprice2,0,0,($AK12+IF(Smile=TRUE(),VLOOKUP(MAX(-5,Strikeprice2-E12),Volsmile,2),0)),($A12-DateToday)+15,IF(Pricetype2=1,1,0),0))),E12)))</f>
        <v>0</v>
      </c>
      <c r="O12" s="318" t="n">
        <f aca="false">IF($A12="N/A"," ",IF(Pricetype2=2,MAX(F12,0),IF(OR(Pricetype2=1,Pricetype2=4),IF(F12=0,0,(EURO(F12,Strikeprice2,0,0,($AK12+IF(Smile=TRUE(),VLOOKUP(MAX(-5,Strikeprice2-F12),Volsmile,2),0)),($A12-DateToday)+15,IF(Pricetype2=1,1,0),0))),F12)))</f>
        <v>0</v>
      </c>
      <c r="P12" s="318" t="n">
        <f aca="false">IF($A12="N/A"," ",IF(Pricetype2=2,MAX(G12,0),IF(OR(Pricetype2=1,Pricetype2=4),IF(G12=0,0,(EURO(G12,Strikeprice2,0,0,($AK12+IF(Smile=TRUE(),VLOOKUP(MAX(-5,Strikeprice2-G12),Volsmile,2),0)),($A12-DateToday)+15,IF(Pricetype2=1,1,0),0))),G12)))</f>
        <v>0</v>
      </c>
      <c r="Q12" s="318" t="n">
        <f aca="false">IF($A12="N/A"," ",IF(Pricetype2=2,MAX(H12,0),IF(OR(Pricetype2=1,Pricetype2=4),IF(H12=0,0,(EURO(H12,Strikeprice2,0,0,($AK12+IF(Smile=TRUE(),VLOOKUP(MAX(-5,Strikeprice2-H12),Volsmile,2),0)),($A12-DateToday)+15,IF(Pricetype2=1,1,0),0))),H12)))</f>
        <v>0</v>
      </c>
      <c r="R12" s="318" t="n">
        <f aca="false">IF($A12="N/A"," ",IF(Pricetype2=2,MAX(I12,0),IF(OR(Pricetype2=1,Pricetype2=4),IF(I12=0,0,(EURO(I12,Strikeprice2,0,0,($AK12+IF(Smile=TRUE(),VLOOKUP(MAX(-5,Strikeprice2-I12),Volsmile,2),0)),($A12-DateToday)+15,IF(Pricetype2=1,1,0),0))),I12)))</f>
        <v>0</v>
      </c>
      <c r="S12" s="318" t="n">
        <f aca="false">IF($A12="N/A"," ",IF(Pricetype2=2,MAX(J12,0),IF(OR(Pricetype2=1,Pricetype2=4),IF(J12=0,0,(EURO(J12,Strikeprice2,0,0,($AK12+IF(Smile=TRUE(),VLOOKUP(MAX(-5,Strikeprice2-J12),Volsmile,2),0)),($A12-DateToday)+15,IF(Pricetype2=1,1,0),0))),J12)))</f>
        <v>0</v>
      </c>
      <c r="T12" s="318" t="n">
        <f aca="false">IF($A12="N/A"," ",IF(Pricetype2=2,MAX(K12,0),IF(OR(Pricetype2=1,Pricetype2=4),IF(K12=0,0,(EURO(K12,Strikeprice2,0,0,($AK12+IF(Smile=TRUE(),VLOOKUP(MAX(-5,Strikeprice2-K12),Volsmile,2),0)),($A12-DateToday)+15,IF(Pricetype2=1,1,0),0))),K12)))</f>
        <v>0</v>
      </c>
      <c r="U12" s="319" t="e">
        <f aca="false">IF($A12="N/A"," ",Volume2*$AM12)</f>
        <v>#N/A</v>
      </c>
      <c r="V12" s="320" t="e">
        <f aca="false">IF($A12="N/A"," ",$U12*(8*($BQ12))*L12)</f>
        <v>#N/A</v>
      </c>
      <c r="W12" s="320" t="e">
        <f aca="false">IF($A12="N/A"," ",$U12*(8*($BQ12))*M12)</f>
        <v>#N/A</v>
      </c>
      <c r="X12" s="320" t="e">
        <f aca="false">IF($A12="N/A"," ",$U12*(8*($BQ12))*N12)</f>
        <v>#N/A</v>
      </c>
      <c r="Y12" s="320" t="e">
        <f aca="false">IF($A12="N/A"," ",$U12*(8*($BR12))*O12)</f>
        <v>#N/A</v>
      </c>
      <c r="Z12" s="320" t="e">
        <f aca="false">IF($A12="N/A"," ",$U12*(8*($BR12))*P12)</f>
        <v>#N/A</v>
      </c>
      <c r="AA12" s="320" t="e">
        <f aca="false">IF($A12="N/A"," ",$U12*(8*($BR12))*Q12)</f>
        <v>#N/A</v>
      </c>
      <c r="AB12" s="320" t="e">
        <f aca="false">IF($A12="N/A"," ",$U12*(8*($BS12))*R12)</f>
        <v>#N/A</v>
      </c>
      <c r="AC12" s="320" t="e">
        <f aca="false">IF($A12="N/A"," ",$U12*(8*($BS12))*S12)</f>
        <v>#N/A</v>
      </c>
      <c r="AD12" s="320" t="e">
        <f aca="false">IF($A12="N/A"," ",$U12*(8*($BS12))*T12)</f>
        <v>#N/A</v>
      </c>
      <c r="AE12" s="320" t="e">
        <f aca="false">IF($A12="N/A"," ",SUM(V12:AD12))</f>
        <v>#N/A</v>
      </c>
      <c r="AF12" s="321" t="n">
        <f aca="false">IF(A12="N/A"," ",(VLOOKUP(A12,PowerVolTable,(IF(VolBMO2=2,7,IF(VolBMO2=1,6,8))),FALSE())))</f>
        <v>0.24</v>
      </c>
      <c r="AG12" s="321" t="n">
        <f aca="false">IF(A12="N/A"," ",(VLOOKUP(A12,IntraPowerVol,(IF(VolBMO2=2,3,IF(VolBMO2=1,2,4))),FALSE())*VLOOKUP(MONTH($A12),Volscale,2)))</f>
        <v>0.4</v>
      </c>
      <c r="AH12" s="321" t="n">
        <f aca="false">IF($A12="N/A"," ",IF(VolType2=1,AG12,AF12))</f>
        <v>0.24</v>
      </c>
      <c r="AI12" s="321" t="n">
        <f aca="false">IF($A12="N/A"," ",(VLOOKUP($A12,OffPwrVolTable,(IF(VolBMO2=2,7,IF(VolBMO2=1,6,8))),FALSE())))</f>
        <v>0.12</v>
      </c>
      <c r="AJ12" s="321" t="n">
        <f aca="false">IF($A12="N/A"," ",(VLOOKUP($A12,OffPwrVolTable,(IF(VolBMO2=2,3,IF(VolBMO2=1,2,4))),FALSE())*VLOOKUP(MONTH($A12),Volscale,2)))</f>
        <v>0.24</v>
      </c>
      <c r="AK12" s="321" t="n">
        <f aca="false">IF($A12="N/A"," ",IF(VolType2=1,AJ12,AI12))</f>
        <v>0.12</v>
      </c>
      <c r="AL12" s="321" t="e">
        <f aca="false">IF($A12="N/A"," ",IF(PV=1,0,'Pricing Inputs2'!R45))</f>
        <v>#N/A</v>
      </c>
      <c r="AM12" s="323" t="e">
        <f aca="false">IF($A12="N/A"," ",(1+AL12/2)^(-2*((EOMONTH(A12,0)+20)-DateToday)/365.25))</f>
        <v>#N/A</v>
      </c>
      <c r="BQ12" s="0" t="n">
        <f aca="false">IF($A12="N/A"," ",(VLOOKUP($A12,NumberofDaysTable,2)))</f>
        <v>20</v>
      </c>
      <c r="BR12" s="0" t="n">
        <f aca="false">IF($A12="N/A"," ",(VLOOKUP($A12,NumberofDaysTable,3)))</f>
        <v>4</v>
      </c>
      <c r="BS12" s="0" t="n">
        <f aca="false">IF($A12="N/A"," ",(VLOOKUP($A12,NumberofDaysTable,4)))</f>
        <v>6</v>
      </c>
    </row>
    <row r="13" customFormat="false" ht="12.75" hidden="false" customHeight="false" outlineLevel="0" collapsed="false">
      <c r="A13" s="315" t="n">
        <f aca="false">IF(A12="N/A","N/A",IF(EDATE(A12,1)&gt;Inputs!$P$5,"N/A",EDATE(A12,1)))</f>
        <v>37530</v>
      </c>
      <c r="B13" s="316" t="n">
        <f aca="false">IF(A13="N/A"," ",YEAR(A13))</f>
        <v>2002</v>
      </c>
      <c r="C13" s="317" t="n">
        <f aca="false">IF($A13="N/A"," ",IF(Dayrun2=10,0,IF(Scaler2=1,(VLOOKUP(A13,ScaledPrice2,4)),(VLOOKUP(A13,ScaledPrice2,2)))))</f>
        <v>29.5562492907047</v>
      </c>
      <c r="D13" s="317" t="n">
        <f aca="false">IF(A13="N/A"," ",IF(Dayrun2&gt;=7,0,IF(Scaler2=2,VLOOKUP(A13,ScaledPrice2,2),(VLOOKUP(A13,ScaledPrice2,2))*(2-(VLOOKUP(A13,ScaledPrice2,3))))))</f>
        <v>29.5562492907047</v>
      </c>
      <c r="E13" s="317" t="n">
        <f aca="false">IF($A13="N/A"," ",IF(AND(Dayrun2&gt;=4,Dayrun2&lt;=9),0,VLOOKUP($A13,ScaledPrice2,9)))</f>
        <v>0</v>
      </c>
      <c r="F13" s="317" t="n">
        <f aca="false">IF(A13="N/A"," ",IF(OR(Dayrun2=2,Dayrun2=3,Dayrun2=5,Dayrun2=6,Dayrun2=8,Dayrun2=9),VLOOKUP(A13,ScaledPrice2,IF(Scaler2=1,6,5)),0))</f>
        <v>0</v>
      </c>
      <c r="G13" s="317" t="n">
        <f aca="false">IF(A13="N/A"," ",IF(OR(Dayrun2=2,Dayrun2=3,Dayrun2=5,Dayrun2=6),IF(Scaler2=2,F13,(VLOOKUP(A13,ScaledPrice2,5))*(2-(VLOOKUP(A13,ScaledPrice2,3)))),0))</f>
        <v>0</v>
      </c>
      <c r="H13" s="317" t="n">
        <f aca="false">IF($A13="N/A"," ",IF(OR(Dayrun2=2,Dayrun2=3,Dayrun2=10),VLOOKUP($A13,ScaledPrice2,9),0))</f>
        <v>0</v>
      </c>
      <c r="I13" s="317" t="n">
        <f aca="false">IF(A13="N/A"," ",IF(OR(Dayrun2=3,Dayrun2=6,Dayrun2=9),(VLOOKUP(A13,ScaledPrice2,IF(Scaler2=2,7,8))),0))</f>
        <v>0</v>
      </c>
      <c r="J13" s="317" t="n">
        <f aca="false">IF(A13="N/A"," ",IF(OR(Dayrun2=3,Dayrun2=6),IF(Scaler2=2,I13,(VLOOKUP(A13,ScaledPrice2,7))*(2-(VLOOKUP(A13,ScaledPrice2,3)))),0))</f>
        <v>0</v>
      </c>
      <c r="K13" s="317" t="n">
        <f aca="false">IF($A13="N/A"," ",IF(OR(Dayrun2=3,Dayrun2=10),VLOOKUP($A13,ScaledPrice2,9),0))</f>
        <v>0</v>
      </c>
      <c r="L13" s="318" t="e">
        <f aca="false">IF($A13="N/A"," ",IF(Pricetype2=2,MAX(C13,0),IF(OR(Pricetype2=1,Pricetype2=4),IF(C13=0,0,(EURO(C13,Strikeprice2,0,0,($AH13+IF(Smile=TRUE(),VLOOKUP(MAX(-5,Strikeprice2-C13),Volsmile,2),0)),($A13-DateToday)+15,IF(Pricetype2=1,1,0),0))),C13)))</f>
        <v>#NAME?</v>
      </c>
      <c r="M13" s="318" t="e">
        <f aca="false">IF($A13="N/A"," ",IF(Pricetype2=2,MAX(D13,0),IF(OR(Pricetype2=1,Pricetype2=4),IF(D13=0,0,(EURO(D13,Strikeprice2,0,0,($AH13+IF(Smile=TRUE(),VLOOKUP(MAX(-5,Strikeprice2-D13),Volsmile,2),0)),($A13-DateToday)+15,IF(Pricetype2=1,1,0),0))),D13)))</f>
        <v>#NAME?</v>
      </c>
      <c r="N13" s="318" t="n">
        <f aca="false">IF($A13="N/A"," ",IF(Pricetype2=2,MAX(E13,0),IF(OR(Pricetype2=1,Pricetype2=4),IF(E13=0,0,(EURO(E13,Strikeprice2,0,0,($AK13+IF(Smile=TRUE(),VLOOKUP(MAX(-5,Strikeprice2-E13),Volsmile,2),0)),($A13-DateToday)+15,IF(Pricetype2=1,1,0),0))),E13)))</f>
        <v>0</v>
      </c>
      <c r="O13" s="318" t="n">
        <f aca="false">IF($A13="N/A"," ",IF(Pricetype2=2,MAX(F13,0),IF(OR(Pricetype2=1,Pricetype2=4),IF(F13=0,0,(EURO(F13,Strikeprice2,0,0,($AK13+IF(Smile=TRUE(),VLOOKUP(MAX(-5,Strikeprice2-F13),Volsmile,2),0)),($A13-DateToday)+15,IF(Pricetype2=1,1,0),0))),F13)))</f>
        <v>0</v>
      </c>
      <c r="P13" s="318" t="n">
        <f aca="false">IF($A13="N/A"," ",IF(Pricetype2=2,MAX(G13,0),IF(OR(Pricetype2=1,Pricetype2=4),IF(G13=0,0,(EURO(G13,Strikeprice2,0,0,($AK13+IF(Smile=TRUE(),VLOOKUP(MAX(-5,Strikeprice2-G13),Volsmile,2),0)),($A13-DateToday)+15,IF(Pricetype2=1,1,0),0))),G13)))</f>
        <v>0</v>
      </c>
      <c r="Q13" s="318" t="n">
        <f aca="false">IF($A13="N/A"," ",IF(Pricetype2=2,MAX(H13,0),IF(OR(Pricetype2=1,Pricetype2=4),IF(H13=0,0,(EURO(H13,Strikeprice2,0,0,($AK13+IF(Smile=TRUE(),VLOOKUP(MAX(-5,Strikeprice2-H13),Volsmile,2),0)),($A13-DateToday)+15,IF(Pricetype2=1,1,0),0))),H13)))</f>
        <v>0</v>
      </c>
      <c r="R13" s="318" t="n">
        <f aca="false">IF($A13="N/A"," ",IF(Pricetype2=2,MAX(I13,0),IF(OR(Pricetype2=1,Pricetype2=4),IF(I13=0,0,(EURO(I13,Strikeprice2,0,0,($AK13+IF(Smile=TRUE(),VLOOKUP(MAX(-5,Strikeprice2-I13),Volsmile,2),0)),($A13-DateToday)+15,IF(Pricetype2=1,1,0),0))),I13)))</f>
        <v>0</v>
      </c>
      <c r="S13" s="318" t="n">
        <f aca="false">IF($A13="N/A"," ",IF(Pricetype2=2,MAX(J13,0),IF(OR(Pricetype2=1,Pricetype2=4),IF(J13=0,0,(EURO(J13,Strikeprice2,0,0,($AK13+IF(Smile=TRUE(),VLOOKUP(MAX(-5,Strikeprice2-J13),Volsmile,2),0)),($A13-DateToday)+15,IF(Pricetype2=1,1,0),0))),J13)))</f>
        <v>0</v>
      </c>
      <c r="T13" s="318" t="n">
        <f aca="false">IF($A13="N/A"," ",IF(Pricetype2=2,MAX(K13,0),IF(OR(Pricetype2=1,Pricetype2=4),IF(K13=0,0,(EURO(K13,Strikeprice2,0,0,($AK13+IF(Smile=TRUE(),VLOOKUP(MAX(-5,Strikeprice2-K13),Volsmile,2),0)),($A13-DateToday)+15,IF(Pricetype2=1,1,0),0))),K13)))</f>
        <v>0</v>
      </c>
      <c r="U13" s="319" t="e">
        <f aca="false">IF($A13="N/A"," ",Volume2*$AM13)</f>
        <v>#N/A</v>
      </c>
      <c r="V13" s="320" t="e">
        <f aca="false">IF($A13="N/A"," ",$U13*(8*($BQ13))*L13)</f>
        <v>#N/A</v>
      </c>
      <c r="W13" s="320" t="e">
        <f aca="false">IF($A13="N/A"," ",$U13*(8*($BQ13))*M13)</f>
        <v>#N/A</v>
      </c>
      <c r="X13" s="320" t="e">
        <f aca="false">IF($A13="N/A"," ",$U13*(8*($BQ13))*N13)</f>
        <v>#N/A</v>
      </c>
      <c r="Y13" s="320" t="e">
        <f aca="false">IF($A13="N/A"," ",$U13*(8*($BR13))*O13)</f>
        <v>#N/A</v>
      </c>
      <c r="Z13" s="320" t="e">
        <f aca="false">IF($A13="N/A"," ",$U13*(8*($BR13))*P13)</f>
        <v>#N/A</v>
      </c>
      <c r="AA13" s="320" t="e">
        <f aca="false">IF($A13="N/A"," ",$U13*(8*($BR13))*Q13)</f>
        <v>#N/A</v>
      </c>
      <c r="AB13" s="320" t="e">
        <f aca="false">IF($A13="N/A"," ",$U13*(8*($BS13))*R13)</f>
        <v>#N/A</v>
      </c>
      <c r="AC13" s="320" t="e">
        <f aca="false">IF($A13="N/A"," ",$U13*(8*($BS13))*S13)</f>
        <v>#N/A</v>
      </c>
      <c r="AD13" s="320" t="e">
        <f aca="false">IF($A13="N/A"," ",$U13*(8*($BS13))*T13)</f>
        <v>#N/A</v>
      </c>
      <c r="AE13" s="320" t="e">
        <f aca="false">IF($A13="N/A"," ",SUM(V13:AD13))</f>
        <v>#N/A</v>
      </c>
      <c r="AF13" s="321" t="n">
        <f aca="false">IF(A13="N/A"," ",(VLOOKUP(A13,PowerVolTable,(IF(VolBMO2=2,7,IF(VolBMO2=1,6,8))),FALSE())))</f>
        <v>0.24</v>
      </c>
      <c r="AG13" s="321" t="n">
        <f aca="false">IF(A13="N/A"," ",(VLOOKUP(A13,IntraPowerVol,(IF(VolBMO2=2,3,IF(VolBMO2=1,2,4))),FALSE())*VLOOKUP(MONTH($A13),Volscale,2)))</f>
        <v>0.4</v>
      </c>
      <c r="AH13" s="321" t="n">
        <f aca="false">IF($A13="N/A"," ",IF(VolType2=1,AG13,AF13))</f>
        <v>0.24</v>
      </c>
      <c r="AI13" s="321" t="n">
        <f aca="false">IF($A13="N/A"," ",(VLOOKUP($A13,OffPwrVolTable,(IF(VolBMO2=2,7,IF(VolBMO2=1,6,8))),FALSE())))</f>
        <v>0.12</v>
      </c>
      <c r="AJ13" s="321" t="n">
        <f aca="false">IF($A13="N/A"," ",(VLOOKUP($A13,OffPwrVolTable,(IF(VolBMO2=2,3,IF(VolBMO2=1,2,4))),FALSE())*VLOOKUP(MONTH($A13),Volscale,2)))</f>
        <v>0.24</v>
      </c>
      <c r="AK13" s="321" t="n">
        <f aca="false">IF($A13="N/A"," ",IF(VolType2=1,AJ13,AI13))</f>
        <v>0.12</v>
      </c>
      <c r="AL13" s="321" t="e">
        <f aca="false">IF($A13="N/A"," ",IF(PV=1,0,'Pricing Inputs2'!R46))</f>
        <v>#N/A</v>
      </c>
      <c r="AM13" s="323" t="e">
        <f aca="false">IF($A13="N/A"," ",(1+AL13/2)^(-2*((EOMONTH(A13,0)+20)-DateToday)/365.25))</f>
        <v>#N/A</v>
      </c>
      <c r="BQ13" s="0" t="n">
        <f aca="false">IF($A13="N/A"," ",(VLOOKUP($A13,NumberofDaysTable,2)))</f>
        <v>23</v>
      </c>
      <c r="BR13" s="0" t="n">
        <f aca="false">IF($A13="N/A"," ",(VLOOKUP($A13,NumberofDaysTable,3)))</f>
        <v>4</v>
      </c>
      <c r="BS13" s="0" t="n">
        <f aca="false">IF($A13="N/A"," ",(VLOOKUP($A13,NumberofDaysTable,4)))</f>
        <v>4</v>
      </c>
    </row>
    <row r="14" customFormat="false" ht="12.75" hidden="false" customHeight="false" outlineLevel="0" collapsed="false">
      <c r="A14" s="315" t="n">
        <f aca="false">IF(A13="N/A","N/A",IF(EDATE(A13,1)&gt;Inputs!$P$5,"N/A",EDATE(A13,1)))</f>
        <v>37561</v>
      </c>
      <c r="B14" s="316" t="n">
        <f aca="false">IF(A14="N/A"," ",YEAR(A14))</f>
        <v>2002</v>
      </c>
      <c r="C14" s="317" t="n">
        <f aca="false">IF($A14="N/A"," ",IF(Dayrun2=10,0,IF(Scaler2=1,(VLOOKUP(A14,ScaledPrice2,4)),(VLOOKUP(A14,ScaledPrice2,2)))))</f>
        <v>29.7562519609928</v>
      </c>
      <c r="D14" s="317" t="n">
        <f aca="false">IF(A14="N/A"," ",IF(Dayrun2&gt;=7,0,IF(Scaler2=2,VLOOKUP(A14,ScaledPrice2,2),(VLOOKUP(A14,ScaledPrice2,2))*(2-(VLOOKUP(A14,ScaledPrice2,3))))))</f>
        <v>29.7562519609928</v>
      </c>
      <c r="E14" s="317" t="n">
        <f aca="false">IF($A14="N/A"," ",IF(AND(Dayrun2&gt;=4,Dayrun2&lt;=9),0,VLOOKUP($A14,ScaledPrice2,9)))</f>
        <v>0</v>
      </c>
      <c r="F14" s="317" t="n">
        <f aca="false">IF(A14="N/A"," ",IF(OR(Dayrun2=2,Dayrun2=3,Dayrun2=5,Dayrun2=6,Dayrun2=8,Dayrun2=9),VLOOKUP(A14,ScaledPrice2,IF(Scaler2=1,6,5)),0))</f>
        <v>0</v>
      </c>
      <c r="G14" s="317" t="n">
        <f aca="false">IF(A14="N/A"," ",IF(OR(Dayrun2=2,Dayrun2=3,Dayrun2=5,Dayrun2=6),IF(Scaler2=2,F14,(VLOOKUP(A14,ScaledPrice2,5))*(2-(VLOOKUP(A14,ScaledPrice2,3)))),0))</f>
        <v>0</v>
      </c>
      <c r="H14" s="317" t="n">
        <f aca="false">IF($A14="N/A"," ",IF(OR(Dayrun2=2,Dayrun2=3,Dayrun2=10),VLOOKUP($A14,ScaledPrice2,9),0))</f>
        <v>0</v>
      </c>
      <c r="I14" s="317" t="n">
        <f aca="false">IF(A14="N/A"," ",IF(OR(Dayrun2=3,Dayrun2=6,Dayrun2=9),(VLOOKUP(A14,ScaledPrice2,IF(Scaler2=2,7,8))),0))</f>
        <v>0</v>
      </c>
      <c r="J14" s="317" t="n">
        <f aca="false">IF(A14="N/A"," ",IF(OR(Dayrun2=3,Dayrun2=6),IF(Scaler2=2,I14,(VLOOKUP(A14,ScaledPrice2,7))*(2-(VLOOKUP(A14,ScaledPrice2,3)))),0))</f>
        <v>0</v>
      </c>
      <c r="K14" s="317" t="n">
        <f aca="false">IF($A14="N/A"," ",IF(OR(Dayrun2=3,Dayrun2=10),VLOOKUP($A14,ScaledPrice2,9),0))</f>
        <v>0</v>
      </c>
      <c r="L14" s="318" t="e">
        <f aca="false">IF($A14="N/A"," ",IF(Pricetype2=2,MAX(C14,0),IF(OR(Pricetype2=1,Pricetype2=4),IF(C14=0,0,(EURO(C14,Strikeprice2,0,0,($AH14+IF(Smile=TRUE(),VLOOKUP(MAX(-5,Strikeprice2-C14),Volsmile,2),0)),($A14-DateToday)+15,IF(Pricetype2=1,1,0),0))),C14)))</f>
        <v>#NAME?</v>
      </c>
      <c r="M14" s="318" t="e">
        <f aca="false">IF($A14="N/A"," ",IF(Pricetype2=2,MAX(D14,0),IF(OR(Pricetype2=1,Pricetype2=4),IF(D14=0,0,(EURO(D14,Strikeprice2,0,0,($AH14+IF(Smile=TRUE(),VLOOKUP(MAX(-5,Strikeprice2-D14),Volsmile,2),0)),($A14-DateToday)+15,IF(Pricetype2=1,1,0),0))),D14)))</f>
        <v>#NAME?</v>
      </c>
      <c r="N14" s="318" t="n">
        <f aca="false">IF($A14="N/A"," ",IF(Pricetype2=2,MAX(E14,0),IF(OR(Pricetype2=1,Pricetype2=4),IF(E14=0,0,(EURO(E14,Strikeprice2,0,0,($AK14+IF(Smile=TRUE(),VLOOKUP(MAX(-5,Strikeprice2-E14),Volsmile,2),0)),($A14-DateToday)+15,IF(Pricetype2=1,1,0),0))),E14)))</f>
        <v>0</v>
      </c>
      <c r="O14" s="318" t="n">
        <f aca="false">IF($A14="N/A"," ",IF(Pricetype2=2,MAX(F14,0),IF(OR(Pricetype2=1,Pricetype2=4),IF(F14=0,0,(EURO(F14,Strikeprice2,0,0,($AK14+IF(Smile=TRUE(),VLOOKUP(MAX(-5,Strikeprice2-F14),Volsmile,2),0)),($A14-DateToday)+15,IF(Pricetype2=1,1,0),0))),F14)))</f>
        <v>0</v>
      </c>
      <c r="P14" s="318" t="n">
        <f aca="false">IF($A14="N/A"," ",IF(Pricetype2=2,MAX(G14,0),IF(OR(Pricetype2=1,Pricetype2=4),IF(G14=0,0,(EURO(G14,Strikeprice2,0,0,($AK14+IF(Smile=TRUE(),VLOOKUP(MAX(-5,Strikeprice2-G14),Volsmile,2),0)),($A14-DateToday)+15,IF(Pricetype2=1,1,0),0))),G14)))</f>
        <v>0</v>
      </c>
      <c r="Q14" s="318" t="n">
        <f aca="false">IF($A14="N/A"," ",IF(Pricetype2=2,MAX(H14,0),IF(OR(Pricetype2=1,Pricetype2=4),IF(H14=0,0,(EURO(H14,Strikeprice2,0,0,($AK14+IF(Smile=TRUE(),VLOOKUP(MAX(-5,Strikeprice2-H14),Volsmile,2),0)),($A14-DateToday)+15,IF(Pricetype2=1,1,0),0))),H14)))</f>
        <v>0</v>
      </c>
      <c r="R14" s="318" t="n">
        <f aca="false">IF($A14="N/A"," ",IF(Pricetype2=2,MAX(I14,0),IF(OR(Pricetype2=1,Pricetype2=4),IF(I14=0,0,(EURO(I14,Strikeprice2,0,0,($AK14+IF(Smile=TRUE(),VLOOKUP(MAX(-5,Strikeprice2-I14),Volsmile,2),0)),($A14-DateToday)+15,IF(Pricetype2=1,1,0),0))),I14)))</f>
        <v>0</v>
      </c>
      <c r="S14" s="318" t="n">
        <f aca="false">IF($A14="N/A"," ",IF(Pricetype2=2,MAX(J14,0),IF(OR(Pricetype2=1,Pricetype2=4),IF(J14=0,0,(EURO(J14,Strikeprice2,0,0,($AK14+IF(Smile=TRUE(),VLOOKUP(MAX(-5,Strikeprice2-J14),Volsmile,2),0)),($A14-DateToday)+15,IF(Pricetype2=1,1,0),0))),J14)))</f>
        <v>0</v>
      </c>
      <c r="T14" s="318" t="n">
        <f aca="false">IF($A14="N/A"," ",IF(Pricetype2=2,MAX(K14,0),IF(OR(Pricetype2=1,Pricetype2=4),IF(K14=0,0,(EURO(K14,Strikeprice2,0,0,($AK14+IF(Smile=TRUE(),VLOOKUP(MAX(-5,Strikeprice2-K14),Volsmile,2),0)),($A14-DateToday)+15,IF(Pricetype2=1,1,0),0))),K14)))</f>
        <v>0</v>
      </c>
      <c r="U14" s="319" t="e">
        <f aca="false">IF($A14="N/A"," ",Volume2*$AM14)</f>
        <v>#N/A</v>
      </c>
      <c r="V14" s="320" t="e">
        <f aca="false">IF($A14="N/A"," ",$U14*(8*($BQ14))*L14)</f>
        <v>#N/A</v>
      </c>
      <c r="W14" s="320" t="e">
        <f aca="false">IF($A14="N/A"," ",$U14*(8*($BQ14))*M14)</f>
        <v>#N/A</v>
      </c>
      <c r="X14" s="320" t="e">
        <f aca="false">IF($A14="N/A"," ",$U14*(8*($BQ14))*N14)</f>
        <v>#N/A</v>
      </c>
      <c r="Y14" s="320" t="e">
        <f aca="false">IF($A14="N/A"," ",$U14*(8*($BR14))*O14)</f>
        <v>#N/A</v>
      </c>
      <c r="Z14" s="320" t="e">
        <f aca="false">IF($A14="N/A"," ",$U14*(8*($BR14))*P14)</f>
        <v>#N/A</v>
      </c>
      <c r="AA14" s="320" t="e">
        <f aca="false">IF($A14="N/A"," ",$U14*(8*($BR14))*Q14)</f>
        <v>#N/A</v>
      </c>
      <c r="AB14" s="320" t="e">
        <f aca="false">IF($A14="N/A"," ",$U14*(8*($BS14))*R14)</f>
        <v>#N/A</v>
      </c>
      <c r="AC14" s="320" t="e">
        <f aca="false">IF($A14="N/A"," ",$U14*(8*($BS14))*S14)</f>
        <v>#N/A</v>
      </c>
      <c r="AD14" s="320" t="e">
        <f aca="false">IF($A14="N/A"," ",$U14*(8*($BS14))*T14)</f>
        <v>#N/A</v>
      </c>
      <c r="AE14" s="320" t="e">
        <f aca="false">IF($A14="N/A"," ",SUM(V14:AD14))</f>
        <v>#N/A</v>
      </c>
      <c r="AF14" s="321" t="n">
        <f aca="false">IF(A14="N/A"," ",(VLOOKUP(A14,PowerVolTable,(IF(VolBMO2=2,7,IF(VolBMO2=1,6,8))),FALSE())))</f>
        <v>0.24</v>
      </c>
      <c r="AG14" s="321" t="n">
        <f aca="false">IF(A14="N/A"," ",(VLOOKUP(A14,IntraPowerVol,(IF(VolBMO2=2,3,IF(VolBMO2=1,2,4))),FALSE())*VLOOKUP(MONTH($A14),Volscale,2)))</f>
        <v>0.4</v>
      </c>
      <c r="AH14" s="321" t="n">
        <f aca="false">IF($A14="N/A"," ",IF(VolType2=1,AG14,AF14))</f>
        <v>0.24</v>
      </c>
      <c r="AI14" s="321" t="n">
        <f aca="false">IF($A14="N/A"," ",(VLOOKUP($A14,OffPwrVolTable,(IF(VolBMO2=2,7,IF(VolBMO2=1,6,8))),FALSE())))</f>
        <v>0.12</v>
      </c>
      <c r="AJ14" s="321" t="n">
        <f aca="false">IF($A14="N/A"," ",(VLOOKUP($A14,OffPwrVolTable,(IF(VolBMO2=2,3,IF(VolBMO2=1,2,4))),FALSE())*VLOOKUP(MONTH($A14),Volscale,2)))</f>
        <v>0.24</v>
      </c>
      <c r="AK14" s="321" t="n">
        <f aca="false">IF($A14="N/A"," ",IF(VolType2=1,AJ14,AI14))</f>
        <v>0.12</v>
      </c>
      <c r="AL14" s="321" t="e">
        <f aca="false">IF($A14="N/A"," ",IF(PV=1,0,'Pricing Inputs2'!R47))</f>
        <v>#N/A</v>
      </c>
      <c r="AM14" s="323" t="e">
        <f aca="false">IF($A14="N/A"," ",(1+AL14/2)^(-2*((EOMONTH(A14,0)+20)-DateToday)/365.25))</f>
        <v>#N/A</v>
      </c>
      <c r="BQ14" s="0" t="n">
        <f aca="false">IF($A14="N/A"," ",(VLOOKUP($A14,NumberofDaysTable,2)))</f>
        <v>20</v>
      </c>
      <c r="BR14" s="0" t="n">
        <f aca="false">IF($A14="N/A"," ",(VLOOKUP($A14,NumberofDaysTable,3)))</f>
        <v>5</v>
      </c>
      <c r="BS14" s="0" t="n">
        <f aca="false">IF($A14="N/A"," ",(VLOOKUP($A14,NumberofDaysTable,4)))</f>
        <v>5</v>
      </c>
    </row>
    <row r="15" customFormat="false" ht="12.75" hidden="false" customHeight="false" outlineLevel="0" collapsed="false">
      <c r="A15" s="315" t="n">
        <f aca="false">IF(A14="N/A","N/A",IF(EDATE(A14,1)&gt;Inputs!$P$5,"N/A",EDATE(A14,1)))</f>
        <v>37591</v>
      </c>
      <c r="B15" s="316" t="n">
        <f aca="false">IF(A15="N/A"," ",YEAR(A15))</f>
        <v>2002</v>
      </c>
      <c r="C15" s="317" t="n">
        <f aca="false">IF($A15="N/A"," ",IF(Dayrun2=10,0,IF(Scaler2=1,(VLOOKUP(A15,ScaledPrice2,4)),(VLOOKUP(A15,ScaledPrice2,2)))))</f>
        <v>29.956248909235</v>
      </c>
      <c r="D15" s="317" t="n">
        <f aca="false">IF(A15="N/A"," ",IF(Dayrun2&gt;=7,0,IF(Scaler2=2,VLOOKUP(A15,ScaledPrice2,2),(VLOOKUP(A15,ScaledPrice2,2))*(2-(VLOOKUP(A15,ScaledPrice2,3))))))</f>
        <v>29.956248909235</v>
      </c>
      <c r="E15" s="317" t="n">
        <f aca="false">IF($A15="N/A"," ",IF(AND(Dayrun2&gt;=4,Dayrun2&lt;=9),0,VLOOKUP($A15,ScaledPrice2,9)))</f>
        <v>0</v>
      </c>
      <c r="F15" s="317" t="n">
        <f aca="false">IF(A15="N/A"," ",IF(OR(Dayrun2=2,Dayrun2=3,Dayrun2=5,Dayrun2=6,Dayrun2=8,Dayrun2=9),VLOOKUP(A15,ScaledPrice2,IF(Scaler2=1,6,5)),0))</f>
        <v>0</v>
      </c>
      <c r="G15" s="317" t="n">
        <f aca="false">IF(A15="N/A"," ",IF(OR(Dayrun2=2,Dayrun2=3,Dayrun2=5,Dayrun2=6),IF(Scaler2=2,F15,(VLOOKUP(A15,ScaledPrice2,5))*(2-(VLOOKUP(A15,ScaledPrice2,3)))),0))</f>
        <v>0</v>
      </c>
      <c r="H15" s="317" t="n">
        <f aca="false">IF($A15="N/A"," ",IF(OR(Dayrun2=2,Dayrun2=3,Dayrun2=10),VLOOKUP($A15,ScaledPrice2,9),0))</f>
        <v>0</v>
      </c>
      <c r="I15" s="317" t="n">
        <f aca="false">IF(A15="N/A"," ",IF(OR(Dayrun2=3,Dayrun2=6,Dayrun2=9),(VLOOKUP(A15,ScaledPrice2,IF(Scaler2=2,7,8))),0))</f>
        <v>0</v>
      </c>
      <c r="J15" s="317" t="n">
        <f aca="false">IF(A15="N/A"," ",IF(OR(Dayrun2=3,Dayrun2=6),IF(Scaler2=2,I15,(VLOOKUP(A15,ScaledPrice2,7))*(2-(VLOOKUP(A15,ScaledPrice2,3)))),0))</f>
        <v>0</v>
      </c>
      <c r="K15" s="317" t="n">
        <f aca="false">IF($A15="N/A"," ",IF(OR(Dayrun2=3,Dayrun2=10),VLOOKUP($A15,ScaledPrice2,9),0))</f>
        <v>0</v>
      </c>
      <c r="L15" s="318" t="e">
        <f aca="false">IF($A15="N/A"," ",IF(Pricetype2=2,MAX(C15,0),IF(OR(Pricetype2=1,Pricetype2=4),IF(C15=0,0,(EURO(C15,Strikeprice2,0,0,($AH15+IF(Smile=TRUE(),VLOOKUP(MAX(-5,Strikeprice2-C15),Volsmile,2),0)),($A15-DateToday)+15,IF(Pricetype2=1,1,0),0))),C15)))</f>
        <v>#NAME?</v>
      </c>
      <c r="M15" s="318" t="e">
        <f aca="false">IF($A15="N/A"," ",IF(Pricetype2=2,MAX(D15,0),IF(OR(Pricetype2=1,Pricetype2=4),IF(D15=0,0,(EURO(D15,Strikeprice2,0,0,($AH15+IF(Smile=TRUE(),VLOOKUP(MAX(-5,Strikeprice2-D15),Volsmile,2),0)),($A15-DateToday)+15,IF(Pricetype2=1,1,0),0))),D15)))</f>
        <v>#NAME?</v>
      </c>
      <c r="N15" s="318" t="n">
        <f aca="false">IF($A15="N/A"," ",IF(Pricetype2=2,MAX(E15,0),IF(OR(Pricetype2=1,Pricetype2=4),IF(E15=0,0,(EURO(E15,Strikeprice2,0,0,($AK15+IF(Smile=TRUE(),VLOOKUP(MAX(-5,Strikeprice2-E15),Volsmile,2),0)),($A15-DateToday)+15,IF(Pricetype2=1,1,0),0))),E15)))</f>
        <v>0</v>
      </c>
      <c r="O15" s="318" t="n">
        <f aca="false">IF($A15="N/A"," ",IF(Pricetype2=2,MAX(F15,0),IF(OR(Pricetype2=1,Pricetype2=4),IF(F15=0,0,(EURO(F15,Strikeprice2,0,0,($AK15+IF(Smile=TRUE(),VLOOKUP(MAX(-5,Strikeprice2-F15),Volsmile,2),0)),($A15-DateToday)+15,IF(Pricetype2=1,1,0),0))),F15)))</f>
        <v>0</v>
      </c>
      <c r="P15" s="318" t="n">
        <f aca="false">IF($A15="N/A"," ",IF(Pricetype2=2,MAX(G15,0),IF(OR(Pricetype2=1,Pricetype2=4),IF(G15=0,0,(EURO(G15,Strikeprice2,0,0,($AK15+IF(Smile=TRUE(),VLOOKUP(MAX(-5,Strikeprice2-G15),Volsmile,2),0)),($A15-DateToday)+15,IF(Pricetype2=1,1,0),0))),G15)))</f>
        <v>0</v>
      </c>
      <c r="Q15" s="318" t="n">
        <f aca="false">IF($A15="N/A"," ",IF(Pricetype2=2,MAX(H15,0),IF(OR(Pricetype2=1,Pricetype2=4),IF(H15=0,0,(EURO(H15,Strikeprice2,0,0,($AK15+IF(Smile=TRUE(),VLOOKUP(MAX(-5,Strikeprice2-H15),Volsmile,2),0)),($A15-DateToday)+15,IF(Pricetype2=1,1,0),0))),H15)))</f>
        <v>0</v>
      </c>
      <c r="R15" s="318" t="n">
        <f aca="false">IF($A15="N/A"," ",IF(Pricetype2=2,MAX(I15,0),IF(OR(Pricetype2=1,Pricetype2=4),IF(I15=0,0,(EURO(I15,Strikeprice2,0,0,($AK15+IF(Smile=TRUE(),VLOOKUP(MAX(-5,Strikeprice2-I15),Volsmile,2),0)),($A15-DateToday)+15,IF(Pricetype2=1,1,0),0))),I15)))</f>
        <v>0</v>
      </c>
      <c r="S15" s="318" t="n">
        <f aca="false">IF($A15="N/A"," ",IF(Pricetype2=2,MAX(J15,0),IF(OR(Pricetype2=1,Pricetype2=4),IF(J15=0,0,(EURO(J15,Strikeprice2,0,0,($AK15+IF(Smile=TRUE(),VLOOKUP(MAX(-5,Strikeprice2-J15),Volsmile,2),0)),($A15-DateToday)+15,IF(Pricetype2=1,1,0),0))),J15)))</f>
        <v>0</v>
      </c>
      <c r="T15" s="318" t="n">
        <f aca="false">IF($A15="N/A"," ",IF(Pricetype2=2,MAX(K15,0),IF(OR(Pricetype2=1,Pricetype2=4),IF(K15=0,0,(EURO(K15,Strikeprice2,0,0,($AK15+IF(Smile=TRUE(),VLOOKUP(MAX(-5,Strikeprice2-K15),Volsmile,2),0)),($A15-DateToday)+15,IF(Pricetype2=1,1,0),0))),K15)))</f>
        <v>0</v>
      </c>
      <c r="U15" s="319" t="e">
        <f aca="false">IF($A15="N/A"," ",Volume2*$AM15)</f>
        <v>#N/A</v>
      </c>
      <c r="V15" s="320" t="e">
        <f aca="false">IF($A15="N/A"," ",$U15*(8*($BQ15))*L15)</f>
        <v>#N/A</v>
      </c>
      <c r="W15" s="320" t="e">
        <f aca="false">IF($A15="N/A"," ",$U15*(8*($BQ15))*M15)</f>
        <v>#N/A</v>
      </c>
      <c r="X15" s="320" t="e">
        <f aca="false">IF($A15="N/A"," ",$U15*(8*($BQ15))*N15)</f>
        <v>#N/A</v>
      </c>
      <c r="Y15" s="320" t="e">
        <f aca="false">IF($A15="N/A"," ",$U15*(8*($BR15))*O15)</f>
        <v>#N/A</v>
      </c>
      <c r="Z15" s="320" t="e">
        <f aca="false">IF($A15="N/A"," ",$U15*(8*($BR15))*P15)</f>
        <v>#N/A</v>
      </c>
      <c r="AA15" s="320" t="e">
        <f aca="false">IF($A15="N/A"," ",$U15*(8*($BR15))*Q15)</f>
        <v>#N/A</v>
      </c>
      <c r="AB15" s="320" t="e">
        <f aca="false">IF($A15="N/A"," ",$U15*(8*($BS15))*R15)</f>
        <v>#N/A</v>
      </c>
      <c r="AC15" s="320" t="e">
        <f aca="false">IF($A15="N/A"," ",$U15*(8*($BS15))*S15)</f>
        <v>#N/A</v>
      </c>
      <c r="AD15" s="320" t="e">
        <f aca="false">IF($A15="N/A"," ",$U15*(8*($BS15))*T15)</f>
        <v>#N/A</v>
      </c>
      <c r="AE15" s="320" t="e">
        <f aca="false">IF($A15="N/A"," ",SUM(V15:AD15))</f>
        <v>#N/A</v>
      </c>
      <c r="AF15" s="321" t="n">
        <f aca="false">IF(A15="N/A"," ",(VLOOKUP(A15,PowerVolTable,(IF(VolBMO2=2,7,IF(VolBMO2=1,6,8))),FALSE())))</f>
        <v>0.24</v>
      </c>
      <c r="AG15" s="321" t="n">
        <f aca="false">IF(A15="N/A"," ",(VLOOKUP(A15,IntraPowerVol,(IF(VolBMO2=2,3,IF(VolBMO2=1,2,4))),FALSE())*VLOOKUP(MONTH($A15),Volscale,2)))</f>
        <v>0.4</v>
      </c>
      <c r="AH15" s="321" t="n">
        <f aca="false">IF($A15="N/A"," ",IF(VolType2=1,AG15,AF15))</f>
        <v>0.24</v>
      </c>
      <c r="AI15" s="321" t="n">
        <f aca="false">IF($A15="N/A"," ",(VLOOKUP($A15,OffPwrVolTable,(IF(VolBMO2=2,7,IF(VolBMO2=1,6,8))),FALSE())))</f>
        <v>0.12</v>
      </c>
      <c r="AJ15" s="321" t="n">
        <f aca="false">IF($A15="N/A"," ",(VLOOKUP($A15,OffPwrVolTable,(IF(VolBMO2=2,3,IF(VolBMO2=1,2,4))),FALSE())*VLOOKUP(MONTH($A15),Volscale,2)))</f>
        <v>0.24</v>
      </c>
      <c r="AK15" s="321" t="n">
        <f aca="false">IF($A15="N/A"," ",IF(VolType2=1,AJ15,AI15))</f>
        <v>0.12</v>
      </c>
      <c r="AL15" s="321" t="e">
        <f aca="false">IF($A15="N/A"," ",IF(PV=1,0,'Pricing Inputs2'!R48))</f>
        <v>#N/A</v>
      </c>
      <c r="AM15" s="323" t="e">
        <f aca="false">IF($A15="N/A"," ",(1+AL15/2)^(-2*((EOMONTH(A15,0)+20)-DateToday)/365.25))</f>
        <v>#N/A</v>
      </c>
      <c r="BQ15" s="0" t="n">
        <f aca="false">IF($A15="N/A"," ",(VLOOKUP($A15,NumberofDaysTable,2)))</f>
        <v>21</v>
      </c>
      <c r="BR15" s="0" t="n">
        <f aca="false">IF($A15="N/A"," ",(VLOOKUP($A15,NumberofDaysTable,3)))</f>
        <v>4</v>
      </c>
      <c r="BS15" s="0" t="n">
        <f aca="false">IF($A15="N/A"," ",(VLOOKUP($A15,NumberofDaysTable,4)))</f>
        <v>6</v>
      </c>
    </row>
    <row r="16" customFormat="false" ht="12.75" hidden="false" customHeight="false" outlineLevel="0" collapsed="false">
      <c r="A16" s="315" t="n">
        <f aca="false">IF(A15="N/A","N/A",IF(EDATE(A15,1)&gt;Inputs!$P$5,"N/A",EDATE(A15,1)))</f>
        <v>37622</v>
      </c>
      <c r="B16" s="316" t="n">
        <f aca="false">IF(A16="N/A"," ",YEAR(A16))</f>
        <v>2003</v>
      </c>
      <c r="C16" s="317" t="n">
        <f aca="false">IF($A16="N/A"," ",IF(Dayrun2=10,0,IF(Scaler2=1,(VLOOKUP(A16,ScaledPrice2,4)),(VLOOKUP(A16,ScaledPrice2,2)))))</f>
        <v>33.2857153756278</v>
      </c>
      <c r="D16" s="317" t="n">
        <f aca="false">IF(A16="N/A"," ",IF(Dayrun2&gt;=7,0,IF(Scaler2=2,VLOOKUP(A16,ScaledPrice2,2),(VLOOKUP(A16,ScaledPrice2,2))*(2-(VLOOKUP(A16,ScaledPrice2,3))))))</f>
        <v>33.2857153756278</v>
      </c>
      <c r="E16" s="317" t="n">
        <f aca="false">IF($A16="N/A"," ",IF(AND(Dayrun2&gt;=4,Dayrun2&lt;=9),0,VLOOKUP($A16,ScaledPrice2,9)))</f>
        <v>0</v>
      </c>
      <c r="F16" s="317" t="n">
        <f aca="false">IF(A16="N/A"," ",IF(OR(Dayrun2=2,Dayrun2=3,Dayrun2=5,Dayrun2=6,Dayrun2=8,Dayrun2=9),VLOOKUP(A16,ScaledPrice2,IF(Scaler2=1,6,5)),0))</f>
        <v>0</v>
      </c>
      <c r="G16" s="317" t="n">
        <f aca="false">IF(A16="N/A"," ",IF(OR(Dayrun2=2,Dayrun2=3,Dayrun2=5,Dayrun2=6),IF(Scaler2=2,F16,(VLOOKUP(A16,ScaledPrice2,5))*(2-(VLOOKUP(A16,ScaledPrice2,3)))),0))</f>
        <v>0</v>
      </c>
      <c r="H16" s="317" t="n">
        <f aca="false">IF($A16="N/A"," ",IF(OR(Dayrun2=2,Dayrun2=3,Dayrun2=10),VLOOKUP($A16,ScaledPrice2,9),0))</f>
        <v>0</v>
      </c>
      <c r="I16" s="317" t="n">
        <f aca="false">IF(A16="N/A"," ",IF(OR(Dayrun2=3,Dayrun2=6,Dayrun2=9),(VLOOKUP(A16,ScaledPrice2,IF(Scaler2=2,7,8))),0))</f>
        <v>0</v>
      </c>
      <c r="J16" s="317" t="n">
        <f aca="false">IF(A16="N/A"," ",IF(OR(Dayrun2=3,Dayrun2=6),IF(Scaler2=2,I16,(VLOOKUP(A16,ScaledPrice2,7))*(2-(VLOOKUP(A16,ScaledPrice2,3)))),0))</f>
        <v>0</v>
      </c>
      <c r="K16" s="317" t="n">
        <f aca="false">IF($A16="N/A"," ",IF(OR(Dayrun2=3,Dayrun2=10),VLOOKUP($A16,ScaledPrice2,9),0))</f>
        <v>0</v>
      </c>
      <c r="L16" s="318" t="e">
        <f aca="false">IF($A16="N/A"," ",IF(Pricetype2=2,MAX(C16,0),IF(OR(Pricetype2=1,Pricetype2=4),IF(C16=0,0,(EURO(C16,Strikeprice2,0,0,($AH16+IF(Smile=TRUE(),VLOOKUP(MAX(-5,Strikeprice2-C16),Volsmile,2),0)),($A16-DateToday)+15,IF(Pricetype2=1,1,0),0))),C16)))</f>
        <v>#NAME?</v>
      </c>
      <c r="M16" s="318" t="e">
        <f aca="false">IF($A16="N/A"," ",IF(Pricetype2=2,MAX(D16,0),IF(OR(Pricetype2=1,Pricetype2=4),IF(D16=0,0,(EURO(D16,Strikeprice2,0,0,($AH16+IF(Smile=TRUE(),VLOOKUP(MAX(-5,Strikeprice2-D16),Volsmile,2),0)),($A16-DateToday)+15,IF(Pricetype2=1,1,0),0))),D16)))</f>
        <v>#NAME?</v>
      </c>
      <c r="N16" s="318" t="n">
        <f aca="false">IF($A16="N/A"," ",IF(Pricetype2=2,MAX(E16,0),IF(OR(Pricetype2=1,Pricetype2=4),IF(E16=0,0,(EURO(E16,Strikeprice2,0,0,($AK16+IF(Smile=TRUE(),VLOOKUP(MAX(-5,Strikeprice2-E16),Volsmile,2),0)),($A16-DateToday)+15,IF(Pricetype2=1,1,0),0))),E16)))</f>
        <v>0</v>
      </c>
      <c r="O16" s="318" t="n">
        <f aca="false">IF($A16="N/A"," ",IF(Pricetype2=2,MAX(F16,0),IF(OR(Pricetype2=1,Pricetype2=4),IF(F16=0,0,(EURO(F16,Strikeprice2,0,0,($AK16+IF(Smile=TRUE(),VLOOKUP(MAX(-5,Strikeprice2-F16),Volsmile,2),0)),($A16-DateToday)+15,IF(Pricetype2=1,1,0),0))),F16)))</f>
        <v>0</v>
      </c>
      <c r="P16" s="318" t="n">
        <f aca="false">IF($A16="N/A"," ",IF(Pricetype2=2,MAX(G16,0),IF(OR(Pricetype2=1,Pricetype2=4),IF(G16=0,0,(EURO(G16,Strikeprice2,0,0,($AK16+IF(Smile=TRUE(),VLOOKUP(MAX(-5,Strikeprice2-G16),Volsmile,2),0)),($A16-DateToday)+15,IF(Pricetype2=1,1,0),0))),G16)))</f>
        <v>0</v>
      </c>
      <c r="Q16" s="318" t="n">
        <f aca="false">IF($A16="N/A"," ",IF(Pricetype2=2,MAX(H16,0),IF(OR(Pricetype2=1,Pricetype2=4),IF(H16=0,0,(EURO(H16,Strikeprice2,0,0,($AK16+IF(Smile=TRUE(),VLOOKUP(MAX(-5,Strikeprice2-H16),Volsmile,2),0)),($A16-DateToday)+15,IF(Pricetype2=1,1,0),0))),H16)))</f>
        <v>0</v>
      </c>
      <c r="R16" s="318" t="n">
        <f aca="false">IF($A16="N/A"," ",IF(Pricetype2=2,MAX(I16,0),IF(OR(Pricetype2=1,Pricetype2=4),IF(I16=0,0,(EURO(I16,Strikeprice2,0,0,($AK16+IF(Smile=TRUE(),VLOOKUP(MAX(-5,Strikeprice2-I16),Volsmile,2),0)),($A16-DateToday)+15,IF(Pricetype2=1,1,0),0))),I16)))</f>
        <v>0</v>
      </c>
      <c r="S16" s="318" t="n">
        <f aca="false">IF($A16="N/A"," ",IF(Pricetype2=2,MAX(J16,0),IF(OR(Pricetype2=1,Pricetype2=4),IF(J16=0,0,(EURO(J16,Strikeprice2,0,0,($AK16+IF(Smile=TRUE(),VLOOKUP(MAX(-5,Strikeprice2-J16),Volsmile,2),0)),($A16-DateToday)+15,IF(Pricetype2=1,1,0),0))),J16)))</f>
        <v>0</v>
      </c>
      <c r="T16" s="318" t="n">
        <f aca="false">IF($A16="N/A"," ",IF(Pricetype2=2,MAX(K16,0),IF(OR(Pricetype2=1,Pricetype2=4),IF(K16=0,0,(EURO(K16,Strikeprice2,0,0,($AK16+IF(Smile=TRUE(),VLOOKUP(MAX(-5,Strikeprice2-K16),Volsmile,2),0)),($A16-DateToday)+15,IF(Pricetype2=1,1,0),0))),K16)))</f>
        <v>0</v>
      </c>
      <c r="U16" s="319" t="e">
        <f aca="false">IF($A16="N/A"," ",Volume2*$AM16)</f>
        <v>#N/A</v>
      </c>
      <c r="V16" s="320" t="e">
        <f aca="false">IF($A16="N/A"," ",$U16*(8*($BQ16))*L16)</f>
        <v>#N/A</v>
      </c>
      <c r="W16" s="320" t="e">
        <f aca="false">IF($A16="N/A"," ",$U16*(8*($BQ16))*M16)</f>
        <v>#N/A</v>
      </c>
      <c r="X16" s="320" t="e">
        <f aca="false">IF($A16="N/A"," ",$U16*(8*($BQ16))*N16)</f>
        <v>#N/A</v>
      </c>
      <c r="Y16" s="320" t="e">
        <f aca="false">IF($A16="N/A"," ",$U16*(8*($BR16))*O16)</f>
        <v>#N/A</v>
      </c>
      <c r="Z16" s="320" t="e">
        <f aca="false">IF($A16="N/A"," ",$U16*(8*($BR16))*P16)</f>
        <v>#N/A</v>
      </c>
      <c r="AA16" s="320" t="e">
        <f aca="false">IF($A16="N/A"," ",$U16*(8*($BR16))*Q16)</f>
        <v>#N/A</v>
      </c>
      <c r="AB16" s="320" t="e">
        <f aca="false">IF($A16="N/A"," ",$U16*(8*($BS16))*R16)</f>
        <v>#N/A</v>
      </c>
      <c r="AC16" s="320" t="e">
        <f aca="false">IF($A16="N/A"," ",$U16*(8*($BS16))*S16)</f>
        <v>#N/A</v>
      </c>
      <c r="AD16" s="320" t="e">
        <f aca="false">IF($A16="N/A"," ",$U16*(8*($BS16))*T16)</f>
        <v>#N/A</v>
      </c>
      <c r="AE16" s="320" t="e">
        <f aca="false">IF($A16="N/A"," ",SUM(V16:AD16))</f>
        <v>#N/A</v>
      </c>
      <c r="AF16" s="321" t="n">
        <f aca="false">IF(A16="N/A"," ",(VLOOKUP(A16,PowerVolTable,(IF(VolBMO2=2,7,IF(VolBMO2=1,6,8))),FALSE())))</f>
        <v>0.24</v>
      </c>
      <c r="AG16" s="321" t="n">
        <f aca="false">IF(A16="N/A"," ",(VLOOKUP(A16,IntraPowerVol,(IF(VolBMO2=2,3,IF(VolBMO2=1,2,4))),FALSE())*VLOOKUP(MONTH($A16),Volscale,2)))</f>
        <v>0.36</v>
      </c>
      <c r="AH16" s="321" t="n">
        <f aca="false">IF($A16="N/A"," ",IF(VolType2=1,AG16,AF16))</f>
        <v>0.24</v>
      </c>
      <c r="AI16" s="321" t="n">
        <f aca="false">IF($A16="N/A"," ",(VLOOKUP($A16,OffPwrVolTable,(IF(VolBMO2=2,7,IF(VolBMO2=1,6,8))),FALSE())))</f>
        <v>0.12</v>
      </c>
      <c r="AJ16" s="321" t="n">
        <f aca="false">IF($A16="N/A"," ",(VLOOKUP($A16,OffPwrVolTable,(IF(VolBMO2=2,3,IF(VolBMO2=1,2,4))),FALSE())*VLOOKUP(MONTH($A16),Volscale,2)))</f>
        <v>0.216</v>
      </c>
      <c r="AK16" s="321" t="n">
        <f aca="false">IF($A16="N/A"," ",IF(VolType2=1,AJ16,AI16))</f>
        <v>0.12</v>
      </c>
      <c r="AL16" s="321" t="e">
        <f aca="false">IF($A16="N/A"," ",IF(PV=1,0,'Pricing Inputs2'!R49))</f>
        <v>#N/A</v>
      </c>
      <c r="AM16" s="323" t="e">
        <f aca="false">IF($A16="N/A"," ",(1+AL16/2)^(-2*((EOMONTH(A16,0)+20)-DateToday)/365.25))</f>
        <v>#N/A</v>
      </c>
      <c r="BQ16" s="0" t="n">
        <f aca="false">IF($A16="N/A"," ",(VLOOKUP($A16,NumberofDaysTable,2)))</f>
        <v>22</v>
      </c>
      <c r="BR16" s="0" t="n">
        <f aca="false">IF($A16="N/A"," ",(VLOOKUP($A16,NumberofDaysTable,3)))</f>
        <v>4</v>
      </c>
      <c r="BS16" s="0" t="n">
        <f aca="false">IF($A16="N/A"," ",(VLOOKUP($A16,NumberofDaysTable,4)))</f>
        <v>5</v>
      </c>
    </row>
    <row r="17" customFormat="false" ht="12.75" hidden="false" customHeight="false" outlineLevel="0" collapsed="false">
      <c r="A17" s="315" t="n">
        <f aca="false">IF(A16="N/A","N/A",IF(EDATE(A16,1)&gt;Inputs!$P$5,"N/A",EDATE(A16,1)))</f>
        <v>37653</v>
      </c>
      <c r="B17" s="316" t="n">
        <f aca="false">IF(A17="N/A"," ",YEAR(A17))</f>
        <v>2003</v>
      </c>
      <c r="C17" s="317" t="n">
        <f aca="false">IF($A17="N/A"," ",IF(Dayrun2=10,0,IF(Scaler2=1,(VLOOKUP(A17,ScaledPrice2,4)),(VLOOKUP(A17,ScaledPrice2,2)))))</f>
        <v>32.6857130868094</v>
      </c>
      <c r="D17" s="317" t="n">
        <f aca="false">IF(A17="N/A"," ",IF(Dayrun2&gt;=7,0,IF(Scaler2=2,VLOOKUP(A17,ScaledPrice2,2),(VLOOKUP(A17,ScaledPrice2,2))*(2-(VLOOKUP(A17,ScaledPrice2,3))))))</f>
        <v>32.6857130868094</v>
      </c>
      <c r="E17" s="317" t="n">
        <f aca="false">IF($A17="N/A"," ",IF(AND(Dayrun2&gt;=4,Dayrun2&lt;=9),0,VLOOKUP($A17,ScaledPrice2,9)))</f>
        <v>0</v>
      </c>
      <c r="F17" s="317" t="n">
        <f aca="false">IF(A17="N/A"," ",IF(OR(Dayrun2=2,Dayrun2=3,Dayrun2=5,Dayrun2=6,Dayrun2=8,Dayrun2=9),VLOOKUP(A17,ScaledPrice2,IF(Scaler2=1,6,5)),0))</f>
        <v>0</v>
      </c>
      <c r="G17" s="317" t="n">
        <f aca="false">IF(A17="N/A"," ",IF(OR(Dayrun2=2,Dayrun2=3,Dayrun2=5,Dayrun2=6),IF(Scaler2=2,F17,(VLOOKUP(A17,ScaledPrice2,5))*(2-(VLOOKUP(A17,ScaledPrice2,3)))),0))</f>
        <v>0</v>
      </c>
      <c r="H17" s="317" t="n">
        <f aca="false">IF($A17="N/A"," ",IF(OR(Dayrun2=2,Dayrun2=3,Dayrun2=10),VLOOKUP($A17,ScaledPrice2,9),0))</f>
        <v>0</v>
      </c>
      <c r="I17" s="317" t="n">
        <f aca="false">IF(A17="N/A"," ",IF(OR(Dayrun2=3,Dayrun2=6,Dayrun2=9),(VLOOKUP(A17,ScaledPrice2,IF(Scaler2=2,7,8))),0))</f>
        <v>0</v>
      </c>
      <c r="J17" s="317" t="n">
        <f aca="false">IF(A17="N/A"," ",IF(OR(Dayrun2=3,Dayrun2=6),IF(Scaler2=2,I17,(VLOOKUP(A17,ScaledPrice2,7))*(2-(VLOOKUP(A17,ScaledPrice2,3)))),0))</f>
        <v>0</v>
      </c>
      <c r="K17" s="317" t="n">
        <f aca="false">IF($A17="N/A"," ",IF(OR(Dayrun2=3,Dayrun2=10),VLOOKUP($A17,ScaledPrice2,9),0))</f>
        <v>0</v>
      </c>
      <c r="L17" s="318" t="e">
        <f aca="false">IF($A17="N/A"," ",IF(Pricetype2=2,MAX(C17,0),IF(OR(Pricetype2=1,Pricetype2=4),IF(C17=0,0,(EURO(C17,Strikeprice2,0,0,($AH17+IF(Smile=TRUE(),VLOOKUP(MAX(-5,Strikeprice2-C17),Volsmile,2),0)),($A17-DateToday)+15,IF(Pricetype2=1,1,0),0))),C17)))</f>
        <v>#NAME?</v>
      </c>
      <c r="M17" s="318" t="e">
        <f aca="false">IF($A17="N/A"," ",IF(Pricetype2=2,MAX(D17,0),IF(OR(Pricetype2=1,Pricetype2=4),IF(D17=0,0,(EURO(D17,Strikeprice2,0,0,($AH17+IF(Smile=TRUE(),VLOOKUP(MAX(-5,Strikeprice2-D17),Volsmile,2),0)),($A17-DateToday)+15,IF(Pricetype2=1,1,0),0))),D17)))</f>
        <v>#NAME?</v>
      </c>
      <c r="N17" s="318" t="n">
        <f aca="false">IF($A17="N/A"," ",IF(Pricetype2=2,MAX(E17,0),IF(OR(Pricetype2=1,Pricetype2=4),IF(E17=0,0,(EURO(E17,Strikeprice2,0,0,($AK17+IF(Smile=TRUE(),VLOOKUP(MAX(-5,Strikeprice2-E17),Volsmile,2),0)),($A17-DateToday)+15,IF(Pricetype2=1,1,0),0))),E17)))</f>
        <v>0</v>
      </c>
      <c r="O17" s="318" t="n">
        <f aca="false">IF($A17="N/A"," ",IF(Pricetype2=2,MAX(F17,0),IF(OR(Pricetype2=1,Pricetype2=4),IF(F17=0,0,(EURO(F17,Strikeprice2,0,0,($AK17+IF(Smile=TRUE(),VLOOKUP(MAX(-5,Strikeprice2-F17),Volsmile,2),0)),($A17-DateToday)+15,IF(Pricetype2=1,1,0),0))),F17)))</f>
        <v>0</v>
      </c>
      <c r="P17" s="318" t="n">
        <f aca="false">IF($A17="N/A"," ",IF(Pricetype2=2,MAX(G17,0),IF(OR(Pricetype2=1,Pricetype2=4),IF(G17=0,0,(EURO(G17,Strikeprice2,0,0,($AK17+IF(Smile=TRUE(),VLOOKUP(MAX(-5,Strikeprice2-G17),Volsmile,2),0)),($A17-DateToday)+15,IF(Pricetype2=1,1,0),0))),G17)))</f>
        <v>0</v>
      </c>
      <c r="Q17" s="318" t="n">
        <f aca="false">IF($A17="N/A"," ",IF(Pricetype2=2,MAX(H17,0),IF(OR(Pricetype2=1,Pricetype2=4),IF(H17=0,0,(EURO(H17,Strikeprice2,0,0,($AK17+IF(Smile=TRUE(),VLOOKUP(MAX(-5,Strikeprice2-H17),Volsmile,2),0)),($A17-DateToday)+15,IF(Pricetype2=1,1,0),0))),H17)))</f>
        <v>0</v>
      </c>
      <c r="R17" s="318" t="n">
        <f aca="false">IF($A17="N/A"," ",IF(Pricetype2=2,MAX(I17,0),IF(OR(Pricetype2=1,Pricetype2=4),IF(I17=0,0,(EURO(I17,Strikeprice2,0,0,($AK17+IF(Smile=TRUE(),VLOOKUP(MAX(-5,Strikeprice2-I17),Volsmile,2),0)),($A17-DateToday)+15,IF(Pricetype2=1,1,0),0))),I17)))</f>
        <v>0</v>
      </c>
      <c r="S17" s="318" t="n">
        <f aca="false">IF($A17="N/A"," ",IF(Pricetype2=2,MAX(J17,0),IF(OR(Pricetype2=1,Pricetype2=4),IF(J17=0,0,(EURO(J17,Strikeprice2,0,0,($AK17+IF(Smile=TRUE(),VLOOKUP(MAX(-5,Strikeprice2-J17),Volsmile,2),0)),($A17-DateToday)+15,IF(Pricetype2=1,1,0),0))),J17)))</f>
        <v>0</v>
      </c>
      <c r="T17" s="318" t="n">
        <f aca="false">IF($A17="N/A"," ",IF(Pricetype2=2,MAX(K17,0),IF(OR(Pricetype2=1,Pricetype2=4),IF(K17=0,0,(EURO(K17,Strikeprice2,0,0,($AK17+IF(Smile=TRUE(),VLOOKUP(MAX(-5,Strikeprice2-K17),Volsmile,2),0)),($A17-DateToday)+15,IF(Pricetype2=1,1,0),0))),K17)))</f>
        <v>0</v>
      </c>
      <c r="U17" s="319" t="e">
        <f aca="false">IF($A17="N/A"," ",Volume2*$AM17)</f>
        <v>#N/A</v>
      </c>
      <c r="V17" s="320" t="e">
        <f aca="false">IF($A17="N/A"," ",$U17*(8*($BQ17))*L17)</f>
        <v>#N/A</v>
      </c>
      <c r="W17" s="320" t="e">
        <f aca="false">IF($A17="N/A"," ",$U17*(8*($BQ17))*M17)</f>
        <v>#N/A</v>
      </c>
      <c r="X17" s="320" t="e">
        <f aca="false">IF($A17="N/A"," ",$U17*(8*($BQ17))*N17)</f>
        <v>#N/A</v>
      </c>
      <c r="Y17" s="320" t="e">
        <f aca="false">IF($A17="N/A"," ",$U17*(8*($BR17))*O17)</f>
        <v>#N/A</v>
      </c>
      <c r="Z17" s="320" t="e">
        <f aca="false">IF($A17="N/A"," ",$U17*(8*($BR17))*P17)</f>
        <v>#N/A</v>
      </c>
      <c r="AA17" s="320" t="e">
        <f aca="false">IF($A17="N/A"," ",$U17*(8*($BR17))*Q17)</f>
        <v>#N/A</v>
      </c>
      <c r="AB17" s="320" t="e">
        <f aca="false">IF($A17="N/A"," ",$U17*(8*($BS17))*R17)</f>
        <v>#N/A</v>
      </c>
      <c r="AC17" s="320" t="e">
        <f aca="false">IF($A17="N/A"," ",$U17*(8*($BS17))*S17)</f>
        <v>#N/A</v>
      </c>
      <c r="AD17" s="320" t="e">
        <f aca="false">IF($A17="N/A"," ",$U17*(8*($BS17))*T17)</f>
        <v>#N/A</v>
      </c>
      <c r="AE17" s="320" t="e">
        <f aca="false">IF($A17="N/A"," ",SUM(V17:AD17))</f>
        <v>#N/A</v>
      </c>
      <c r="AF17" s="321" t="n">
        <f aca="false">IF(A17="N/A"," ",(VLOOKUP(A17,PowerVolTable,(IF(VolBMO2=2,7,IF(VolBMO2=1,6,8))),FALSE())))</f>
        <v>0.24</v>
      </c>
      <c r="AG17" s="321" t="n">
        <f aca="false">IF(A17="N/A"," ",(VLOOKUP(A17,IntraPowerVol,(IF(VolBMO2=2,3,IF(VolBMO2=1,2,4))),FALSE())*VLOOKUP(MONTH($A17),Volscale,2)))</f>
        <v>0.36</v>
      </c>
      <c r="AH17" s="321" t="n">
        <f aca="false">IF($A17="N/A"," ",IF(VolType2=1,AG17,AF17))</f>
        <v>0.24</v>
      </c>
      <c r="AI17" s="321" t="n">
        <f aca="false">IF($A17="N/A"," ",(VLOOKUP($A17,OffPwrVolTable,(IF(VolBMO2=2,7,IF(VolBMO2=1,6,8))),FALSE())))</f>
        <v>0.12</v>
      </c>
      <c r="AJ17" s="321" t="n">
        <f aca="false">IF($A17="N/A"," ",(VLOOKUP($A17,OffPwrVolTable,(IF(VolBMO2=2,3,IF(VolBMO2=1,2,4))),FALSE())*VLOOKUP(MONTH($A17),Volscale,2)))</f>
        <v>0.216</v>
      </c>
      <c r="AK17" s="321" t="n">
        <f aca="false">IF($A17="N/A"," ",IF(VolType2=1,AJ17,AI17))</f>
        <v>0.12</v>
      </c>
      <c r="AL17" s="321" t="e">
        <f aca="false">IF($A17="N/A"," ",IF(PV=1,0,'Pricing Inputs2'!R50))</f>
        <v>#N/A</v>
      </c>
      <c r="AM17" s="323" t="e">
        <f aca="false">IF($A17="N/A"," ",(1+AL17/2)^(-2*((EOMONTH(A17,0)+20)-DateToday)/365.25))</f>
        <v>#N/A</v>
      </c>
      <c r="BQ17" s="0" t="n">
        <f aca="false">IF($A17="N/A"," ",(VLOOKUP($A17,NumberofDaysTable,2)))</f>
        <v>20</v>
      </c>
      <c r="BR17" s="0" t="n">
        <f aca="false">IF($A17="N/A"," ",(VLOOKUP($A17,NumberofDaysTable,3)))</f>
        <v>4</v>
      </c>
      <c r="BS17" s="0" t="n">
        <f aca="false">IF($A17="N/A"," ",(VLOOKUP($A17,NumberofDaysTable,4)))</f>
        <v>4</v>
      </c>
    </row>
    <row r="18" customFormat="false" ht="12.75" hidden="false" customHeight="false" outlineLevel="0" collapsed="false">
      <c r="A18" s="315" t="n">
        <f aca="false">IF(A17="N/A","N/A",IF(EDATE(A17,1)&gt;Inputs!$P$5,"N/A",EDATE(A17,1)))</f>
        <v>37681</v>
      </c>
      <c r="B18" s="316" t="n">
        <f aca="false">IF(A18="N/A"," ",YEAR(A18))</f>
        <v>2003</v>
      </c>
      <c r="C18" s="317" t="n">
        <f aca="false">IF($A18="N/A"," ",IF(Dayrun2=10,0,IF(Scaler2=1,(VLOOKUP(A18,ScaledPrice2,4)),(VLOOKUP(A18,ScaledPrice2,2)))))</f>
        <v>31.6476779316747</v>
      </c>
      <c r="D18" s="317" t="n">
        <f aca="false">IF(A18="N/A"," ",IF(Dayrun2&gt;=7,0,IF(Scaler2=2,VLOOKUP(A18,ScaledPrice2,2),(VLOOKUP(A18,ScaledPrice2,2))*(2-(VLOOKUP(A18,ScaledPrice2,3))))))</f>
        <v>31.6476779316747</v>
      </c>
      <c r="E18" s="317" t="n">
        <f aca="false">IF($A18="N/A"," ",IF(AND(Dayrun2&gt;=4,Dayrun2&lt;=9),0,VLOOKUP($A18,ScaledPrice2,9)))</f>
        <v>0</v>
      </c>
      <c r="F18" s="317" t="n">
        <f aca="false">IF(A18="N/A"," ",IF(OR(Dayrun2=2,Dayrun2=3,Dayrun2=5,Dayrun2=6,Dayrun2=8,Dayrun2=9),VLOOKUP(A18,ScaledPrice2,IF(Scaler2=1,6,5)),0))</f>
        <v>0</v>
      </c>
      <c r="G18" s="317" t="n">
        <f aca="false">IF(A18="N/A"," ",IF(OR(Dayrun2=2,Dayrun2=3,Dayrun2=5,Dayrun2=6),IF(Scaler2=2,F18,(VLOOKUP(A18,ScaledPrice2,5))*(2-(VLOOKUP(A18,ScaledPrice2,3)))),0))</f>
        <v>0</v>
      </c>
      <c r="H18" s="317" t="n">
        <f aca="false">IF($A18="N/A"," ",IF(OR(Dayrun2=2,Dayrun2=3,Dayrun2=10),VLOOKUP($A18,ScaledPrice2,9),0))</f>
        <v>0</v>
      </c>
      <c r="I18" s="317" t="n">
        <f aca="false">IF(A18="N/A"," ",IF(OR(Dayrun2=3,Dayrun2=6,Dayrun2=9),(VLOOKUP(A18,ScaledPrice2,IF(Scaler2=2,7,8))),0))</f>
        <v>0</v>
      </c>
      <c r="J18" s="317" t="n">
        <f aca="false">IF(A18="N/A"," ",IF(OR(Dayrun2=3,Dayrun2=6),IF(Scaler2=2,I18,(VLOOKUP(A18,ScaledPrice2,7))*(2-(VLOOKUP(A18,ScaledPrice2,3)))),0))</f>
        <v>0</v>
      </c>
      <c r="K18" s="317" t="n">
        <f aca="false">IF($A18="N/A"," ",IF(OR(Dayrun2=3,Dayrun2=10),VLOOKUP($A18,ScaledPrice2,9),0))</f>
        <v>0</v>
      </c>
      <c r="L18" s="318" t="e">
        <f aca="false">IF($A18="N/A"," ",IF(Pricetype2=2,MAX(C18,0),IF(OR(Pricetype2=1,Pricetype2=4),IF(C18=0,0,(EURO(C18,Strikeprice2,0,0,($AH18+IF(Smile=TRUE(),VLOOKUP(MAX(-5,Strikeprice2-C18),Volsmile,2),0)),($A18-DateToday)+15,IF(Pricetype2=1,1,0),0))),C18)))</f>
        <v>#NAME?</v>
      </c>
      <c r="M18" s="318" t="e">
        <f aca="false">IF($A18="N/A"," ",IF(Pricetype2=2,MAX(D18,0),IF(OR(Pricetype2=1,Pricetype2=4),IF(D18=0,0,(EURO(D18,Strikeprice2,0,0,($AH18+IF(Smile=TRUE(),VLOOKUP(MAX(-5,Strikeprice2-D18),Volsmile,2),0)),($A18-DateToday)+15,IF(Pricetype2=1,1,0),0))),D18)))</f>
        <v>#NAME?</v>
      </c>
      <c r="N18" s="318" t="n">
        <f aca="false">IF($A18="N/A"," ",IF(Pricetype2=2,MAX(E18,0),IF(OR(Pricetype2=1,Pricetype2=4),IF(E18=0,0,(EURO(E18,Strikeprice2,0,0,($AK18+IF(Smile=TRUE(),VLOOKUP(MAX(-5,Strikeprice2-E18),Volsmile,2),0)),($A18-DateToday)+15,IF(Pricetype2=1,1,0),0))),E18)))</f>
        <v>0</v>
      </c>
      <c r="O18" s="318" t="n">
        <f aca="false">IF($A18="N/A"," ",IF(Pricetype2=2,MAX(F18,0),IF(OR(Pricetype2=1,Pricetype2=4),IF(F18=0,0,(EURO(F18,Strikeprice2,0,0,($AK18+IF(Smile=TRUE(),VLOOKUP(MAX(-5,Strikeprice2-F18),Volsmile,2),0)),($A18-DateToday)+15,IF(Pricetype2=1,1,0),0))),F18)))</f>
        <v>0</v>
      </c>
      <c r="P18" s="318" t="n">
        <f aca="false">IF($A18="N/A"," ",IF(Pricetype2=2,MAX(G18,0),IF(OR(Pricetype2=1,Pricetype2=4),IF(G18=0,0,(EURO(G18,Strikeprice2,0,0,($AK18+IF(Smile=TRUE(),VLOOKUP(MAX(-5,Strikeprice2-G18),Volsmile,2),0)),($A18-DateToday)+15,IF(Pricetype2=1,1,0),0))),G18)))</f>
        <v>0</v>
      </c>
      <c r="Q18" s="318" t="n">
        <f aca="false">IF($A18="N/A"," ",IF(Pricetype2=2,MAX(H18,0),IF(OR(Pricetype2=1,Pricetype2=4),IF(H18=0,0,(EURO(H18,Strikeprice2,0,0,($AK18+IF(Smile=TRUE(),VLOOKUP(MAX(-5,Strikeprice2-H18),Volsmile,2),0)),($A18-DateToday)+15,IF(Pricetype2=1,1,0),0))),H18)))</f>
        <v>0</v>
      </c>
      <c r="R18" s="318" t="n">
        <f aca="false">IF($A18="N/A"," ",IF(Pricetype2=2,MAX(I18,0),IF(OR(Pricetype2=1,Pricetype2=4),IF(I18=0,0,(EURO(I18,Strikeprice2,0,0,($AK18+IF(Smile=TRUE(),VLOOKUP(MAX(-5,Strikeprice2-I18),Volsmile,2),0)),($A18-DateToday)+15,IF(Pricetype2=1,1,0),0))),I18)))</f>
        <v>0</v>
      </c>
      <c r="S18" s="318" t="n">
        <f aca="false">IF($A18="N/A"," ",IF(Pricetype2=2,MAX(J18,0),IF(OR(Pricetype2=1,Pricetype2=4),IF(J18=0,0,(EURO(J18,Strikeprice2,0,0,($AK18+IF(Smile=TRUE(),VLOOKUP(MAX(-5,Strikeprice2-J18),Volsmile,2),0)),($A18-DateToday)+15,IF(Pricetype2=1,1,0),0))),J18)))</f>
        <v>0</v>
      </c>
      <c r="T18" s="318" t="n">
        <f aca="false">IF($A18="N/A"," ",IF(Pricetype2=2,MAX(K18,0),IF(OR(Pricetype2=1,Pricetype2=4),IF(K18=0,0,(EURO(K18,Strikeprice2,0,0,($AK18+IF(Smile=TRUE(),VLOOKUP(MAX(-5,Strikeprice2-K18),Volsmile,2),0)),($A18-DateToday)+15,IF(Pricetype2=1,1,0),0))),K18)))</f>
        <v>0</v>
      </c>
      <c r="U18" s="319" t="e">
        <f aca="false">IF($A18="N/A"," ",Volume2*$AM18)</f>
        <v>#N/A</v>
      </c>
      <c r="V18" s="320" t="e">
        <f aca="false">IF($A18="N/A"," ",$U18*(8*($BQ18))*L18)</f>
        <v>#N/A</v>
      </c>
      <c r="W18" s="320" t="e">
        <f aca="false">IF($A18="N/A"," ",$U18*(8*($BQ18))*M18)</f>
        <v>#N/A</v>
      </c>
      <c r="X18" s="320" t="e">
        <f aca="false">IF($A18="N/A"," ",$U18*(8*($BQ18))*N18)</f>
        <v>#N/A</v>
      </c>
      <c r="Y18" s="320" t="e">
        <f aca="false">IF($A18="N/A"," ",$U18*(8*($BR18))*O18)</f>
        <v>#N/A</v>
      </c>
      <c r="Z18" s="320" t="e">
        <f aca="false">IF($A18="N/A"," ",$U18*(8*($BR18))*P18)</f>
        <v>#N/A</v>
      </c>
      <c r="AA18" s="320" t="e">
        <f aca="false">IF($A18="N/A"," ",$U18*(8*($BR18))*Q18)</f>
        <v>#N/A</v>
      </c>
      <c r="AB18" s="320" t="e">
        <f aca="false">IF($A18="N/A"," ",$U18*(8*($BS18))*R18)</f>
        <v>#N/A</v>
      </c>
      <c r="AC18" s="320" t="e">
        <f aca="false">IF($A18="N/A"," ",$U18*(8*($BS18))*S18)</f>
        <v>#N/A</v>
      </c>
      <c r="AD18" s="320" t="e">
        <f aca="false">IF($A18="N/A"," ",$U18*(8*($BS18))*T18)</f>
        <v>#N/A</v>
      </c>
      <c r="AE18" s="320" t="e">
        <f aca="false">IF($A18="N/A"," ",SUM(V18:AD18))</f>
        <v>#N/A</v>
      </c>
      <c r="AF18" s="321" t="n">
        <f aca="false">IF(A18="N/A"," ",(VLOOKUP(A18,PowerVolTable,(IF(VolBMO2=2,7,IF(VolBMO2=1,6,8))),FALSE())))</f>
        <v>0.24</v>
      </c>
      <c r="AG18" s="321" t="n">
        <f aca="false">IF(A18="N/A"," ",(VLOOKUP(A18,IntraPowerVol,(IF(VolBMO2=2,3,IF(VolBMO2=1,2,4))),FALSE())*VLOOKUP(MONTH($A18),Volscale,2)))</f>
        <v>0.36</v>
      </c>
      <c r="AH18" s="321" t="n">
        <f aca="false">IF($A18="N/A"," ",IF(VolType2=1,AG18,AF18))</f>
        <v>0.24</v>
      </c>
      <c r="AI18" s="321" t="n">
        <f aca="false">IF($A18="N/A"," ",(VLOOKUP($A18,OffPwrVolTable,(IF(VolBMO2=2,7,IF(VolBMO2=1,6,8))),FALSE())))</f>
        <v>0.12</v>
      </c>
      <c r="AJ18" s="321" t="n">
        <f aca="false">IF($A18="N/A"," ",(VLOOKUP($A18,OffPwrVolTable,(IF(VolBMO2=2,3,IF(VolBMO2=1,2,4))),FALSE())*VLOOKUP(MONTH($A18),Volscale,2)))</f>
        <v>0.216</v>
      </c>
      <c r="AK18" s="321" t="n">
        <f aca="false">IF($A18="N/A"," ",IF(VolType2=1,AJ18,AI18))</f>
        <v>0.12</v>
      </c>
      <c r="AL18" s="321" t="e">
        <f aca="false">IF($A18="N/A"," ",IF(PV=1,0,'Pricing Inputs2'!R51))</f>
        <v>#N/A</v>
      </c>
      <c r="AM18" s="323" t="e">
        <f aca="false">IF($A18="N/A"," ",(1+AL18/2)^(-2*((EOMONTH(A18,0)+20)-DateToday)/365.25))</f>
        <v>#N/A</v>
      </c>
      <c r="BQ18" s="0" t="n">
        <f aca="false">IF($A18="N/A"," ",(VLOOKUP($A18,NumberofDaysTable,2)))</f>
        <v>21</v>
      </c>
      <c r="BR18" s="0" t="n">
        <f aca="false">IF($A18="N/A"," ",(VLOOKUP($A18,NumberofDaysTable,3)))</f>
        <v>5</v>
      </c>
      <c r="BS18" s="0" t="n">
        <f aca="false">IF($A18="N/A"," ",(VLOOKUP($A18,NumberofDaysTable,4)))</f>
        <v>5</v>
      </c>
    </row>
    <row r="19" customFormat="false" ht="12.75" hidden="false" customHeight="false" outlineLevel="0" collapsed="false">
      <c r="A19" s="315" t="n">
        <f aca="false">IF(A18="N/A","N/A",IF(EDATE(A18,1)&gt;Inputs!$P$5,"N/A",EDATE(A18,1)))</f>
        <v>37712</v>
      </c>
      <c r="B19" s="316" t="n">
        <f aca="false">IF(A19="N/A"," ",YEAR(A19))</f>
        <v>2003</v>
      </c>
      <c r="C19" s="317" t="n">
        <f aca="false">IF($A19="N/A"," ",IF(Dayrun2=10,0,IF(Scaler2=1,(VLOOKUP(A19,ScaledPrice2,4)),(VLOOKUP(A19,ScaledPrice2,2)))))</f>
        <v>31.8476710652196</v>
      </c>
      <c r="D19" s="317" t="n">
        <f aca="false">IF(A19="N/A"," ",IF(Dayrun2&gt;=7,0,IF(Scaler2=2,VLOOKUP(A19,ScaledPrice2,2),(VLOOKUP(A19,ScaledPrice2,2))*(2-(VLOOKUP(A19,ScaledPrice2,3))))))</f>
        <v>31.8476710652196</v>
      </c>
      <c r="E19" s="317" t="n">
        <f aca="false">IF($A19="N/A"," ",IF(AND(Dayrun2&gt;=4,Dayrun2&lt;=9),0,VLOOKUP($A19,ScaledPrice2,9)))</f>
        <v>0</v>
      </c>
      <c r="F19" s="317" t="n">
        <f aca="false">IF(A19="N/A"," ",IF(OR(Dayrun2=2,Dayrun2=3,Dayrun2=5,Dayrun2=6,Dayrun2=8,Dayrun2=9),VLOOKUP(A19,ScaledPrice2,IF(Scaler2=1,6,5)),0))</f>
        <v>0</v>
      </c>
      <c r="G19" s="317" t="n">
        <f aca="false">IF(A19="N/A"," ",IF(OR(Dayrun2=2,Dayrun2=3,Dayrun2=5,Dayrun2=6),IF(Scaler2=2,F19,(VLOOKUP(A19,ScaledPrice2,5))*(2-(VLOOKUP(A19,ScaledPrice2,3)))),0))</f>
        <v>0</v>
      </c>
      <c r="H19" s="317" t="n">
        <f aca="false">IF($A19="N/A"," ",IF(OR(Dayrun2=2,Dayrun2=3,Dayrun2=10),VLOOKUP($A19,ScaledPrice2,9),0))</f>
        <v>0</v>
      </c>
      <c r="I19" s="317" t="n">
        <f aca="false">IF(A19="N/A"," ",IF(OR(Dayrun2=3,Dayrun2=6,Dayrun2=9),(VLOOKUP(A19,ScaledPrice2,IF(Scaler2=2,7,8))),0))</f>
        <v>0</v>
      </c>
      <c r="J19" s="317" t="n">
        <f aca="false">IF(A19="N/A"," ",IF(OR(Dayrun2=3,Dayrun2=6),IF(Scaler2=2,I19,(VLOOKUP(A19,ScaledPrice2,7))*(2-(VLOOKUP(A19,ScaledPrice2,3)))),0))</f>
        <v>0</v>
      </c>
      <c r="K19" s="317" t="n">
        <f aca="false">IF($A19="N/A"," ",IF(OR(Dayrun2=3,Dayrun2=10),VLOOKUP($A19,ScaledPrice2,9),0))</f>
        <v>0</v>
      </c>
      <c r="L19" s="318" t="e">
        <f aca="false">IF($A19="N/A"," ",IF(Pricetype2=2,MAX(C19,0),IF(OR(Pricetype2=1,Pricetype2=4),IF(C19=0,0,(EURO(C19,Strikeprice2,0,0,($AH19+IF(Smile=TRUE(),VLOOKUP(MAX(-5,Strikeprice2-C19),Volsmile,2),0)),($A19-DateToday)+15,IF(Pricetype2=1,1,0),0))),C19)))</f>
        <v>#NAME?</v>
      </c>
      <c r="M19" s="318" t="e">
        <f aca="false">IF($A19="N/A"," ",IF(Pricetype2=2,MAX(D19,0),IF(OR(Pricetype2=1,Pricetype2=4),IF(D19=0,0,(EURO(D19,Strikeprice2,0,0,($AH19+IF(Smile=TRUE(),VLOOKUP(MAX(-5,Strikeprice2-D19),Volsmile,2),0)),($A19-DateToday)+15,IF(Pricetype2=1,1,0),0))),D19)))</f>
        <v>#NAME?</v>
      </c>
      <c r="N19" s="318" t="n">
        <f aca="false">IF($A19="N/A"," ",IF(Pricetype2=2,MAX(E19,0),IF(OR(Pricetype2=1,Pricetype2=4),IF(E19=0,0,(EURO(E19,Strikeprice2,0,0,($AK19+IF(Smile=TRUE(),VLOOKUP(MAX(-5,Strikeprice2-E19),Volsmile,2),0)),($A19-DateToday)+15,IF(Pricetype2=1,1,0),0))),E19)))</f>
        <v>0</v>
      </c>
      <c r="O19" s="318" t="n">
        <f aca="false">IF($A19="N/A"," ",IF(Pricetype2=2,MAX(F19,0),IF(OR(Pricetype2=1,Pricetype2=4),IF(F19=0,0,(EURO(F19,Strikeprice2,0,0,($AK19+IF(Smile=TRUE(),VLOOKUP(MAX(-5,Strikeprice2-F19),Volsmile,2),0)),($A19-DateToday)+15,IF(Pricetype2=1,1,0),0))),F19)))</f>
        <v>0</v>
      </c>
      <c r="P19" s="318" t="n">
        <f aca="false">IF($A19="N/A"," ",IF(Pricetype2=2,MAX(G19,0),IF(OR(Pricetype2=1,Pricetype2=4),IF(G19=0,0,(EURO(G19,Strikeprice2,0,0,($AK19+IF(Smile=TRUE(),VLOOKUP(MAX(-5,Strikeprice2-G19),Volsmile,2),0)),($A19-DateToday)+15,IF(Pricetype2=1,1,0),0))),G19)))</f>
        <v>0</v>
      </c>
      <c r="Q19" s="318" t="n">
        <f aca="false">IF($A19="N/A"," ",IF(Pricetype2=2,MAX(H19,0),IF(OR(Pricetype2=1,Pricetype2=4),IF(H19=0,0,(EURO(H19,Strikeprice2,0,0,($AK19+IF(Smile=TRUE(),VLOOKUP(MAX(-5,Strikeprice2-H19),Volsmile,2),0)),($A19-DateToday)+15,IF(Pricetype2=1,1,0),0))),H19)))</f>
        <v>0</v>
      </c>
      <c r="R19" s="318" t="n">
        <f aca="false">IF($A19="N/A"," ",IF(Pricetype2=2,MAX(I19,0),IF(OR(Pricetype2=1,Pricetype2=4),IF(I19=0,0,(EURO(I19,Strikeprice2,0,0,($AK19+IF(Smile=TRUE(),VLOOKUP(MAX(-5,Strikeprice2-I19),Volsmile,2),0)),($A19-DateToday)+15,IF(Pricetype2=1,1,0),0))),I19)))</f>
        <v>0</v>
      </c>
      <c r="S19" s="318" t="n">
        <f aca="false">IF($A19="N/A"," ",IF(Pricetype2=2,MAX(J19,0),IF(OR(Pricetype2=1,Pricetype2=4),IF(J19=0,0,(EURO(J19,Strikeprice2,0,0,($AK19+IF(Smile=TRUE(),VLOOKUP(MAX(-5,Strikeprice2-J19),Volsmile,2),0)),($A19-DateToday)+15,IF(Pricetype2=1,1,0),0))),J19)))</f>
        <v>0</v>
      </c>
      <c r="T19" s="318" t="n">
        <f aca="false">IF($A19="N/A"," ",IF(Pricetype2=2,MAX(K19,0),IF(OR(Pricetype2=1,Pricetype2=4),IF(K19=0,0,(EURO(K19,Strikeprice2,0,0,($AK19+IF(Smile=TRUE(),VLOOKUP(MAX(-5,Strikeprice2-K19),Volsmile,2),0)),($A19-DateToday)+15,IF(Pricetype2=1,1,0),0))),K19)))</f>
        <v>0</v>
      </c>
      <c r="U19" s="319" t="e">
        <f aca="false">IF($A19="N/A"," ",Volume2*$AM19)</f>
        <v>#N/A</v>
      </c>
      <c r="V19" s="320" t="e">
        <f aca="false">IF($A19="N/A"," ",$U19*(8*($BQ19))*L19)</f>
        <v>#N/A</v>
      </c>
      <c r="W19" s="320" t="e">
        <f aca="false">IF($A19="N/A"," ",$U19*(8*($BQ19))*M19)</f>
        <v>#N/A</v>
      </c>
      <c r="X19" s="320" t="e">
        <f aca="false">IF($A19="N/A"," ",$U19*(8*($BQ19))*N19)</f>
        <v>#N/A</v>
      </c>
      <c r="Y19" s="320" t="e">
        <f aca="false">IF($A19="N/A"," ",$U19*(8*($BR19))*O19)</f>
        <v>#N/A</v>
      </c>
      <c r="Z19" s="320" t="e">
        <f aca="false">IF($A19="N/A"," ",$U19*(8*($BR19))*P19)</f>
        <v>#N/A</v>
      </c>
      <c r="AA19" s="320" t="e">
        <f aca="false">IF($A19="N/A"," ",$U19*(8*($BR19))*Q19)</f>
        <v>#N/A</v>
      </c>
      <c r="AB19" s="320" t="e">
        <f aca="false">IF($A19="N/A"," ",$U19*(8*($BS19))*R19)</f>
        <v>#N/A</v>
      </c>
      <c r="AC19" s="320" t="e">
        <f aca="false">IF($A19="N/A"," ",$U19*(8*($BS19))*S19)</f>
        <v>#N/A</v>
      </c>
      <c r="AD19" s="320" t="e">
        <f aca="false">IF($A19="N/A"," ",$U19*(8*($BS19))*T19)</f>
        <v>#N/A</v>
      </c>
      <c r="AE19" s="320" t="e">
        <f aca="false">IF($A19="N/A"," ",SUM(V19:AD19))</f>
        <v>#N/A</v>
      </c>
      <c r="AF19" s="321" t="n">
        <f aca="false">IF(A19="N/A"," ",(VLOOKUP(A19,PowerVolTable,(IF(VolBMO2=2,7,IF(VolBMO2=1,6,8))),FALSE())))</f>
        <v>0.24</v>
      </c>
      <c r="AG19" s="321" t="n">
        <f aca="false">IF(A19="N/A"," ",(VLOOKUP(A19,IntraPowerVol,(IF(VolBMO2=2,3,IF(VolBMO2=1,2,4))),FALSE())*VLOOKUP(MONTH($A19),Volscale,2)))</f>
        <v>0.36</v>
      </c>
      <c r="AH19" s="321" t="n">
        <f aca="false">IF($A19="N/A"," ",IF(VolType2=1,AG19,AF19))</f>
        <v>0.24</v>
      </c>
      <c r="AI19" s="321" t="n">
        <f aca="false">IF($A19="N/A"," ",(VLOOKUP($A19,OffPwrVolTable,(IF(VolBMO2=2,7,IF(VolBMO2=1,6,8))),FALSE())))</f>
        <v>0.12</v>
      </c>
      <c r="AJ19" s="321" t="n">
        <f aca="false">IF($A19="N/A"," ",(VLOOKUP($A19,OffPwrVolTable,(IF(VolBMO2=2,3,IF(VolBMO2=1,2,4))),FALSE())*VLOOKUP(MONTH($A19),Volscale,2)))</f>
        <v>0.216</v>
      </c>
      <c r="AK19" s="321" t="n">
        <f aca="false">IF($A19="N/A"," ",IF(VolType2=1,AJ19,AI19))</f>
        <v>0.12</v>
      </c>
      <c r="AL19" s="321" t="e">
        <f aca="false">IF($A19="N/A"," ",IF(PV=1,0,'Pricing Inputs2'!R52))</f>
        <v>#N/A</v>
      </c>
      <c r="AM19" s="323" t="e">
        <f aca="false">IF($A19="N/A"," ",(1+AL19/2)^(-2*((EOMONTH(A19,0)+20)-DateToday)/365.25))</f>
        <v>#N/A</v>
      </c>
      <c r="BQ19" s="0" t="n">
        <f aca="false">IF($A19="N/A"," ",(VLOOKUP($A19,NumberofDaysTable,2)))</f>
        <v>22</v>
      </c>
      <c r="BR19" s="0" t="n">
        <f aca="false">IF($A19="N/A"," ",(VLOOKUP($A19,NumberofDaysTable,3)))</f>
        <v>4</v>
      </c>
      <c r="BS19" s="0" t="n">
        <f aca="false">IF($A19="N/A"," ",(VLOOKUP($A19,NumberofDaysTable,4)))</f>
        <v>4</v>
      </c>
    </row>
    <row r="20" customFormat="false" ht="12.75" hidden="false" customHeight="false" outlineLevel="0" collapsed="false">
      <c r="A20" s="315" t="n">
        <f aca="false">IF(A19="N/A","N/A",IF(EDATE(A19,1)&gt;Inputs!$P$5,"N/A",EDATE(A19,1)))</f>
        <v>37742</v>
      </c>
      <c r="B20" s="316" t="n">
        <f aca="false">IF(A20="N/A"," ",YEAR(A20))</f>
        <v>2003</v>
      </c>
      <c r="C20" s="317" t="n">
        <f aca="false">IF($A20="N/A"," ",IF(Dayrun2=10,0,IF(Scaler2=1,(VLOOKUP(A20,ScaledPrice2,4)),(VLOOKUP(A20,ScaledPrice2,2)))))</f>
        <v>35.125</v>
      </c>
      <c r="D20" s="317" t="n">
        <f aca="false">IF(A20="N/A"," ",IF(Dayrun2&gt;=7,0,IF(Scaler2=2,VLOOKUP(A20,ScaledPrice2,2),(VLOOKUP(A20,ScaledPrice2,2))*(2-(VLOOKUP(A20,ScaledPrice2,3))))))</f>
        <v>35.125</v>
      </c>
      <c r="E20" s="317" t="n">
        <f aca="false">IF($A20="N/A"," ",IF(AND(Dayrun2&gt;=4,Dayrun2&lt;=9),0,VLOOKUP($A20,ScaledPrice2,9)))</f>
        <v>0</v>
      </c>
      <c r="F20" s="317" t="n">
        <f aca="false">IF(A20="N/A"," ",IF(OR(Dayrun2=2,Dayrun2=3,Dayrun2=5,Dayrun2=6,Dayrun2=8,Dayrun2=9),VLOOKUP(A20,ScaledPrice2,IF(Scaler2=1,6,5)),0))</f>
        <v>0</v>
      </c>
      <c r="G20" s="317" t="n">
        <f aca="false">IF(A20="N/A"," ",IF(OR(Dayrun2=2,Dayrun2=3,Dayrun2=5,Dayrun2=6),IF(Scaler2=2,F20,(VLOOKUP(A20,ScaledPrice2,5))*(2-(VLOOKUP(A20,ScaledPrice2,3)))),0))</f>
        <v>0</v>
      </c>
      <c r="H20" s="317" t="n">
        <f aca="false">IF($A20="N/A"," ",IF(OR(Dayrun2=2,Dayrun2=3,Dayrun2=10),VLOOKUP($A20,ScaledPrice2,9),0))</f>
        <v>0</v>
      </c>
      <c r="I20" s="317" t="n">
        <f aca="false">IF(A20="N/A"," ",IF(OR(Dayrun2=3,Dayrun2=6,Dayrun2=9),(VLOOKUP(A20,ScaledPrice2,IF(Scaler2=2,7,8))),0))</f>
        <v>0</v>
      </c>
      <c r="J20" s="317" t="n">
        <f aca="false">IF(A20="N/A"," ",IF(OR(Dayrun2=3,Dayrun2=6),IF(Scaler2=2,I20,(VLOOKUP(A20,ScaledPrice2,7))*(2-(VLOOKUP(A20,ScaledPrice2,3)))),0))</f>
        <v>0</v>
      </c>
      <c r="K20" s="317" t="n">
        <f aca="false">IF($A20="N/A"," ",IF(OR(Dayrun2=3,Dayrun2=10),VLOOKUP($A20,ScaledPrice2,9),0))</f>
        <v>0</v>
      </c>
      <c r="L20" s="318" t="e">
        <f aca="false">IF($A20="N/A"," ",IF(Pricetype2=2,MAX(C20,0),IF(OR(Pricetype2=1,Pricetype2=4),IF(C20=0,0,(EURO(C20,Strikeprice2,0,0,($AH20+IF(Smile=TRUE(),VLOOKUP(MAX(-5,Strikeprice2-C20),Volsmile,2),0)),($A20-DateToday)+15,IF(Pricetype2=1,1,0),0))),C20)))</f>
        <v>#NAME?</v>
      </c>
      <c r="M20" s="318" t="e">
        <f aca="false">IF($A20="N/A"," ",IF(Pricetype2=2,MAX(D20,0),IF(OR(Pricetype2=1,Pricetype2=4),IF(D20=0,0,(EURO(D20,Strikeprice2,0,0,($AH20+IF(Smile=TRUE(),VLOOKUP(MAX(-5,Strikeprice2-D20),Volsmile,2),0)),($A20-DateToday)+15,IF(Pricetype2=1,1,0),0))),D20)))</f>
        <v>#NAME?</v>
      </c>
      <c r="N20" s="318" t="n">
        <f aca="false">IF($A20="N/A"," ",IF(Pricetype2=2,MAX(E20,0),IF(OR(Pricetype2=1,Pricetype2=4),IF(E20=0,0,(EURO(E20,Strikeprice2,0,0,($AK20+IF(Smile=TRUE(),VLOOKUP(MAX(-5,Strikeprice2-E20),Volsmile,2),0)),($A20-DateToday)+15,IF(Pricetype2=1,1,0),0))),E20)))</f>
        <v>0</v>
      </c>
      <c r="O20" s="318" t="n">
        <f aca="false">IF($A20="N/A"," ",IF(Pricetype2=2,MAX(F20,0),IF(OR(Pricetype2=1,Pricetype2=4),IF(F20=0,0,(EURO(F20,Strikeprice2,0,0,($AK20+IF(Smile=TRUE(),VLOOKUP(MAX(-5,Strikeprice2-F20),Volsmile,2),0)),($A20-DateToday)+15,IF(Pricetype2=1,1,0),0))),F20)))</f>
        <v>0</v>
      </c>
      <c r="P20" s="318" t="n">
        <f aca="false">IF($A20="N/A"," ",IF(Pricetype2=2,MAX(G20,0),IF(OR(Pricetype2=1,Pricetype2=4),IF(G20=0,0,(EURO(G20,Strikeprice2,0,0,($AK20+IF(Smile=TRUE(),VLOOKUP(MAX(-5,Strikeprice2-G20),Volsmile,2),0)),($A20-DateToday)+15,IF(Pricetype2=1,1,0),0))),G20)))</f>
        <v>0</v>
      </c>
      <c r="Q20" s="318" t="n">
        <f aca="false">IF($A20="N/A"," ",IF(Pricetype2=2,MAX(H20,0),IF(OR(Pricetype2=1,Pricetype2=4),IF(H20=0,0,(EURO(H20,Strikeprice2,0,0,($AK20+IF(Smile=TRUE(),VLOOKUP(MAX(-5,Strikeprice2-H20),Volsmile,2),0)),($A20-DateToday)+15,IF(Pricetype2=1,1,0),0))),H20)))</f>
        <v>0</v>
      </c>
      <c r="R20" s="318" t="n">
        <f aca="false">IF($A20="N/A"," ",IF(Pricetype2=2,MAX(I20,0),IF(OR(Pricetype2=1,Pricetype2=4),IF(I20=0,0,(EURO(I20,Strikeprice2,0,0,($AK20+IF(Smile=TRUE(),VLOOKUP(MAX(-5,Strikeprice2-I20),Volsmile,2),0)),($A20-DateToday)+15,IF(Pricetype2=1,1,0),0))),I20)))</f>
        <v>0</v>
      </c>
      <c r="S20" s="318" t="n">
        <f aca="false">IF($A20="N/A"," ",IF(Pricetype2=2,MAX(J20,0),IF(OR(Pricetype2=1,Pricetype2=4),IF(J20=0,0,(EURO(J20,Strikeprice2,0,0,($AK20+IF(Smile=TRUE(),VLOOKUP(MAX(-5,Strikeprice2-J20),Volsmile,2),0)),($A20-DateToday)+15,IF(Pricetype2=1,1,0),0))),J20)))</f>
        <v>0</v>
      </c>
      <c r="T20" s="318" t="n">
        <f aca="false">IF($A20="N/A"," ",IF(Pricetype2=2,MAX(K20,0),IF(OR(Pricetype2=1,Pricetype2=4),IF(K20=0,0,(EURO(K20,Strikeprice2,0,0,($AK20+IF(Smile=TRUE(),VLOOKUP(MAX(-5,Strikeprice2-K20),Volsmile,2),0)),($A20-DateToday)+15,IF(Pricetype2=1,1,0),0))),K20)))</f>
        <v>0</v>
      </c>
      <c r="U20" s="319" t="e">
        <f aca="false">IF($A20="N/A"," ",Volume2*$AM20)</f>
        <v>#N/A</v>
      </c>
      <c r="V20" s="320" t="e">
        <f aca="false">IF($A20="N/A"," ",$U20*(8*($BQ20))*L20)</f>
        <v>#N/A</v>
      </c>
      <c r="W20" s="320" t="e">
        <f aca="false">IF($A20="N/A"," ",$U20*(8*($BQ20))*M20)</f>
        <v>#N/A</v>
      </c>
      <c r="X20" s="320" t="e">
        <f aca="false">IF($A20="N/A"," ",$U20*(8*($BQ20))*N20)</f>
        <v>#N/A</v>
      </c>
      <c r="Y20" s="320" t="e">
        <f aca="false">IF($A20="N/A"," ",$U20*(8*($BR20))*O20)</f>
        <v>#N/A</v>
      </c>
      <c r="Z20" s="320" t="e">
        <f aca="false">IF($A20="N/A"," ",$U20*(8*($BR20))*P20)</f>
        <v>#N/A</v>
      </c>
      <c r="AA20" s="320" t="e">
        <f aca="false">IF($A20="N/A"," ",$U20*(8*($BR20))*Q20)</f>
        <v>#N/A</v>
      </c>
      <c r="AB20" s="320" t="e">
        <f aca="false">IF($A20="N/A"," ",$U20*(8*($BS20))*R20)</f>
        <v>#N/A</v>
      </c>
      <c r="AC20" s="320" t="e">
        <f aca="false">IF($A20="N/A"," ",$U20*(8*($BS20))*S20)</f>
        <v>#N/A</v>
      </c>
      <c r="AD20" s="320" t="e">
        <f aca="false">IF($A20="N/A"," ",$U20*(8*($BS20))*T20)</f>
        <v>#N/A</v>
      </c>
      <c r="AE20" s="320" t="e">
        <f aca="false">IF($A20="N/A"," ",SUM(V20:AD20))</f>
        <v>#N/A</v>
      </c>
      <c r="AF20" s="321" t="n">
        <f aca="false">IF(A20="N/A"," ",(VLOOKUP(A20,PowerVolTable,(IF(VolBMO2=2,7,IF(VolBMO2=1,6,8))),FALSE())))</f>
        <v>0.28</v>
      </c>
      <c r="AG20" s="321" t="n">
        <f aca="false">IF(A20="N/A"," ",(VLOOKUP(A20,IntraPowerVol,(IF(VolBMO2=2,3,IF(VolBMO2=1,2,4))),FALSE())*VLOOKUP(MONTH($A20),Volscale,2)))</f>
        <v>0.36</v>
      </c>
      <c r="AH20" s="321" t="n">
        <f aca="false">IF($A20="N/A"," ",IF(VolType2=1,AG20,AF20))</f>
        <v>0.28</v>
      </c>
      <c r="AI20" s="321" t="n">
        <f aca="false">IF($A20="N/A"," ",(VLOOKUP($A20,OffPwrVolTable,(IF(VolBMO2=2,7,IF(VolBMO2=1,6,8))),FALSE())))</f>
        <v>0.14</v>
      </c>
      <c r="AJ20" s="321" t="n">
        <f aca="false">IF($A20="N/A"," ",(VLOOKUP($A20,OffPwrVolTable,(IF(VolBMO2=2,3,IF(VolBMO2=1,2,4))),FALSE())*VLOOKUP(MONTH($A20),Volscale,2)))</f>
        <v>0.216</v>
      </c>
      <c r="AK20" s="321" t="n">
        <f aca="false">IF($A20="N/A"," ",IF(VolType2=1,AJ20,AI20))</f>
        <v>0.14</v>
      </c>
      <c r="AL20" s="321" t="e">
        <f aca="false">IF($A20="N/A"," ",IF(PV=1,0,'Pricing Inputs2'!R53))</f>
        <v>#N/A</v>
      </c>
      <c r="AM20" s="323" t="e">
        <f aca="false">IF($A20="N/A"," ",(1+AL20/2)^(-2*((EOMONTH(A20,0)+20)-DateToday)/365.25))</f>
        <v>#N/A</v>
      </c>
      <c r="BQ20" s="0" t="n">
        <f aca="false">IF($A20="N/A"," ",(VLOOKUP($A20,NumberofDaysTable,2)))</f>
        <v>21</v>
      </c>
      <c r="BR20" s="0" t="n">
        <f aca="false">IF($A20="N/A"," ",(VLOOKUP($A20,NumberofDaysTable,3)))</f>
        <v>5</v>
      </c>
      <c r="BS20" s="0" t="n">
        <f aca="false">IF($A20="N/A"," ",(VLOOKUP($A20,NumberofDaysTable,4)))</f>
        <v>5</v>
      </c>
    </row>
    <row r="21" customFormat="false" ht="12.75" hidden="false" customHeight="false" outlineLevel="0" collapsed="false">
      <c r="A21" s="315" t="n">
        <f aca="false">IF(A20="N/A","N/A",IF(EDATE(A20,1)&gt;Inputs!$P$5,"N/A",EDATE(A20,1)))</f>
        <v>37773</v>
      </c>
      <c r="B21" s="316" t="n">
        <f aca="false">IF(A21="N/A"," ",YEAR(A21))</f>
        <v>2003</v>
      </c>
      <c r="C21" s="317" t="n">
        <f aca="false">IF($A21="N/A"," ",IF(Dayrun2=10,0,IF(Scaler2=1,(VLOOKUP(A21,ScaledPrice2,4)),(VLOOKUP(A21,ScaledPrice2,2)))))</f>
        <v>43.5</v>
      </c>
      <c r="D21" s="317" t="n">
        <f aca="false">IF(A21="N/A"," ",IF(Dayrun2&gt;=7,0,IF(Scaler2=2,VLOOKUP(A21,ScaledPrice2,2),(VLOOKUP(A21,ScaledPrice2,2))*(2-(VLOOKUP(A21,ScaledPrice2,3))))))</f>
        <v>43.5</v>
      </c>
      <c r="E21" s="317" t="n">
        <f aca="false">IF($A21="N/A"," ",IF(AND(Dayrun2&gt;=4,Dayrun2&lt;=9),0,VLOOKUP($A21,ScaledPrice2,9)))</f>
        <v>0</v>
      </c>
      <c r="F21" s="317" t="n">
        <f aca="false">IF(A21="N/A"," ",IF(OR(Dayrun2=2,Dayrun2=3,Dayrun2=5,Dayrun2=6,Dayrun2=8,Dayrun2=9),VLOOKUP(A21,ScaledPrice2,IF(Scaler2=1,6,5)),0))</f>
        <v>0</v>
      </c>
      <c r="G21" s="317" t="n">
        <f aca="false">IF(A21="N/A"," ",IF(OR(Dayrun2=2,Dayrun2=3,Dayrun2=5,Dayrun2=6),IF(Scaler2=2,F21,(VLOOKUP(A21,ScaledPrice2,5))*(2-(VLOOKUP(A21,ScaledPrice2,3)))),0))</f>
        <v>0</v>
      </c>
      <c r="H21" s="317" t="n">
        <f aca="false">IF($A21="N/A"," ",IF(OR(Dayrun2=2,Dayrun2=3,Dayrun2=10),VLOOKUP($A21,ScaledPrice2,9),0))</f>
        <v>0</v>
      </c>
      <c r="I21" s="317" t="n">
        <f aca="false">IF(A21="N/A"," ",IF(OR(Dayrun2=3,Dayrun2=6,Dayrun2=9),(VLOOKUP(A21,ScaledPrice2,IF(Scaler2=2,7,8))),0))</f>
        <v>0</v>
      </c>
      <c r="J21" s="317" t="n">
        <f aca="false">IF(A21="N/A"," ",IF(OR(Dayrun2=3,Dayrun2=6),IF(Scaler2=2,I21,(VLOOKUP(A21,ScaledPrice2,7))*(2-(VLOOKUP(A21,ScaledPrice2,3)))),0))</f>
        <v>0</v>
      </c>
      <c r="K21" s="317" t="n">
        <f aca="false">IF($A21="N/A"," ",IF(OR(Dayrun2=3,Dayrun2=10),VLOOKUP($A21,ScaledPrice2,9),0))</f>
        <v>0</v>
      </c>
      <c r="L21" s="318" t="e">
        <f aca="false">IF($A21="N/A"," ",IF(Pricetype2=2,MAX(C21,0),IF(OR(Pricetype2=1,Pricetype2=4),IF(C21=0,0,(EURO(C21,Strikeprice2,0,0,($AH21+IF(Smile=TRUE(),VLOOKUP(MAX(-5,Strikeprice2-C21),Volsmile,2),0)),($A21-DateToday)+15,IF(Pricetype2=1,1,0),0))),C21)))</f>
        <v>#NAME?</v>
      </c>
      <c r="M21" s="318" t="e">
        <f aca="false">IF($A21="N/A"," ",IF(Pricetype2=2,MAX(D21,0),IF(OR(Pricetype2=1,Pricetype2=4),IF(D21=0,0,(EURO(D21,Strikeprice2,0,0,($AH21+IF(Smile=TRUE(),VLOOKUP(MAX(-5,Strikeprice2-D21),Volsmile,2),0)),($A21-DateToday)+15,IF(Pricetype2=1,1,0),0))),D21)))</f>
        <v>#NAME?</v>
      </c>
      <c r="N21" s="318" t="n">
        <f aca="false">IF($A21="N/A"," ",IF(Pricetype2=2,MAX(E21,0),IF(OR(Pricetype2=1,Pricetype2=4),IF(E21=0,0,(EURO(E21,Strikeprice2,0,0,($AK21+IF(Smile=TRUE(),VLOOKUP(MAX(-5,Strikeprice2-E21),Volsmile,2),0)),($A21-DateToday)+15,IF(Pricetype2=1,1,0),0))),E21)))</f>
        <v>0</v>
      </c>
      <c r="O21" s="318" t="n">
        <f aca="false">IF($A21="N/A"," ",IF(Pricetype2=2,MAX(F21,0),IF(OR(Pricetype2=1,Pricetype2=4),IF(F21=0,0,(EURO(F21,Strikeprice2,0,0,($AK21+IF(Smile=TRUE(),VLOOKUP(MAX(-5,Strikeprice2-F21),Volsmile,2),0)),($A21-DateToday)+15,IF(Pricetype2=1,1,0),0))),F21)))</f>
        <v>0</v>
      </c>
      <c r="P21" s="318" t="n">
        <f aca="false">IF($A21="N/A"," ",IF(Pricetype2=2,MAX(G21,0),IF(OR(Pricetype2=1,Pricetype2=4),IF(G21=0,0,(EURO(G21,Strikeprice2,0,0,($AK21+IF(Smile=TRUE(),VLOOKUP(MAX(-5,Strikeprice2-G21),Volsmile,2),0)),($A21-DateToday)+15,IF(Pricetype2=1,1,0),0))),G21)))</f>
        <v>0</v>
      </c>
      <c r="Q21" s="318" t="n">
        <f aca="false">IF($A21="N/A"," ",IF(Pricetype2=2,MAX(H21,0),IF(OR(Pricetype2=1,Pricetype2=4),IF(H21=0,0,(EURO(H21,Strikeprice2,0,0,($AK21+IF(Smile=TRUE(),VLOOKUP(MAX(-5,Strikeprice2-H21),Volsmile,2),0)),($A21-DateToday)+15,IF(Pricetype2=1,1,0),0))),H21)))</f>
        <v>0</v>
      </c>
      <c r="R21" s="318" t="n">
        <f aca="false">IF($A21="N/A"," ",IF(Pricetype2=2,MAX(I21,0),IF(OR(Pricetype2=1,Pricetype2=4),IF(I21=0,0,(EURO(I21,Strikeprice2,0,0,($AK21+IF(Smile=TRUE(),VLOOKUP(MAX(-5,Strikeprice2-I21),Volsmile,2),0)),($A21-DateToday)+15,IF(Pricetype2=1,1,0),0))),I21)))</f>
        <v>0</v>
      </c>
      <c r="S21" s="318" t="n">
        <f aca="false">IF($A21="N/A"," ",IF(Pricetype2=2,MAX(J21,0),IF(OR(Pricetype2=1,Pricetype2=4),IF(J21=0,0,(EURO(J21,Strikeprice2,0,0,($AK21+IF(Smile=TRUE(),VLOOKUP(MAX(-5,Strikeprice2-J21),Volsmile,2),0)),($A21-DateToday)+15,IF(Pricetype2=1,1,0),0))),J21)))</f>
        <v>0</v>
      </c>
      <c r="T21" s="318" t="n">
        <f aca="false">IF($A21="N/A"," ",IF(Pricetype2=2,MAX(K21,0),IF(OR(Pricetype2=1,Pricetype2=4),IF(K21=0,0,(EURO(K21,Strikeprice2,0,0,($AK21+IF(Smile=TRUE(),VLOOKUP(MAX(-5,Strikeprice2-K21),Volsmile,2),0)),($A21-DateToday)+15,IF(Pricetype2=1,1,0),0))),K21)))</f>
        <v>0</v>
      </c>
      <c r="U21" s="319" t="e">
        <f aca="false">IF($A21="N/A"," ",Volume2*$AM21)</f>
        <v>#N/A</v>
      </c>
      <c r="V21" s="320" t="e">
        <f aca="false">IF($A21="N/A"," ",$U21*(8*($BQ21))*L21)</f>
        <v>#N/A</v>
      </c>
      <c r="W21" s="320" t="e">
        <f aca="false">IF($A21="N/A"," ",$U21*(8*($BQ21))*M21)</f>
        <v>#N/A</v>
      </c>
      <c r="X21" s="320" t="e">
        <f aca="false">IF($A21="N/A"," ",$U21*(8*($BQ21))*N21)</f>
        <v>#N/A</v>
      </c>
      <c r="Y21" s="320" t="e">
        <f aca="false">IF($A21="N/A"," ",$U21*(8*($BR21))*O21)</f>
        <v>#N/A</v>
      </c>
      <c r="Z21" s="320" t="e">
        <f aca="false">IF($A21="N/A"," ",$U21*(8*($BR21))*P21)</f>
        <v>#N/A</v>
      </c>
      <c r="AA21" s="320" t="e">
        <f aca="false">IF($A21="N/A"," ",$U21*(8*($BR21))*Q21)</f>
        <v>#N/A</v>
      </c>
      <c r="AB21" s="320" t="e">
        <f aca="false">IF($A21="N/A"," ",$U21*(8*($BS21))*R21)</f>
        <v>#N/A</v>
      </c>
      <c r="AC21" s="320" t="e">
        <f aca="false">IF($A21="N/A"," ",$U21*(8*($BS21))*S21)</f>
        <v>#N/A</v>
      </c>
      <c r="AD21" s="320" t="e">
        <f aca="false">IF($A21="N/A"," ",$U21*(8*($BS21))*T21)</f>
        <v>#N/A</v>
      </c>
      <c r="AE21" s="320" t="e">
        <f aca="false">IF($A21="N/A"," ",SUM(V21:AD21))</f>
        <v>#N/A</v>
      </c>
      <c r="AF21" s="321" t="n">
        <f aca="false">IF(A21="N/A"," ",(VLOOKUP(A21,PowerVolTable,(IF(VolBMO2=2,7,IF(VolBMO2=1,6,8))),FALSE())))</f>
        <v>0.28</v>
      </c>
      <c r="AG21" s="321" t="n">
        <f aca="false">IF(A21="N/A"," ",(VLOOKUP(A21,IntraPowerVol,(IF(VolBMO2=2,3,IF(VolBMO2=1,2,4))),FALSE())*VLOOKUP(MONTH($A21),Volscale,2)))</f>
        <v>0.44</v>
      </c>
      <c r="AH21" s="321" t="n">
        <f aca="false">IF($A21="N/A"," ",IF(VolType2=1,AG21,AF21))</f>
        <v>0.28</v>
      </c>
      <c r="AI21" s="321" t="n">
        <f aca="false">IF($A21="N/A"," ",(VLOOKUP($A21,OffPwrVolTable,(IF(VolBMO2=2,7,IF(VolBMO2=1,6,8))),FALSE())))</f>
        <v>0.14</v>
      </c>
      <c r="AJ21" s="321" t="n">
        <f aca="false">IF($A21="N/A"," ",(VLOOKUP($A21,OffPwrVolTable,(IF(VolBMO2=2,3,IF(VolBMO2=1,2,4))),FALSE())*VLOOKUP(MONTH($A21),Volscale,2)))</f>
        <v>0.264</v>
      </c>
      <c r="AK21" s="321" t="n">
        <f aca="false">IF($A21="N/A"," ",IF(VolType2=1,AJ21,AI21))</f>
        <v>0.14</v>
      </c>
      <c r="AL21" s="321" t="e">
        <f aca="false">IF($A21="N/A"," ",IF(PV=1,0,'Pricing Inputs2'!R54))</f>
        <v>#N/A</v>
      </c>
      <c r="AM21" s="323" t="e">
        <f aca="false">IF($A21="N/A"," ",(1+AL21/2)^(-2*((EOMONTH(A21,0)+20)-DateToday)/365.25))</f>
        <v>#N/A</v>
      </c>
      <c r="BQ21" s="0" t="n">
        <f aca="false">IF($A21="N/A"," ",(VLOOKUP($A21,NumberofDaysTable,2)))</f>
        <v>21</v>
      </c>
      <c r="BR21" s="0" t="n">
        <f aca="false">IF($A21="N/A"," ",(VLOOKUP($A21,NumberofDaysTable,3)))</f>
        <v>4</v>
      </c>
      <c r="BS21" s="0" t="n">
        <f aca="false">IF($A21="N/A"," ",(VLOOKUP($A21,NumberofDaysTable,4)))</f>
        <v>5</v>
      </c>
    </row>
    <row r="22" customFormat="false" ht="12.75" hidden="false" customHeight="false" outlineLevel="0" collapsed="false">
      <c r="A22" s="315" t="n">
        <f aca="false">IF(A21="N/A","N/A",IF(EDATE(A21,1)&gt;Inputs!$P$5,"N/A",EDATE(A21,1)))</f>
        <v>37803</v>
      </c>
      <c r="B22" s="316" t="n">
        <f aca="false">IF(A22="N/A"," ",YEAR(A22))</f>
        <v>2003</v>
      </c>
      <c r="C22" s="317" t="n">
        <f aca="false">IF($A22="N/A"," ",IF(Dayrun2=10,0,IF(Scaler2=1,(VLOOKUP(A22,ScaledPrice2,4)),(VLOOKUP(A22,ScaledPrice2,2)))))</f>
        <v>54.5</v>
      </c>
      <c r="D22" s="317" t="n">
        <f aca="false">IF(A22="N/A"," ",IF(Dayrun2&gt;=7,0,IF(Scaler2=2,VLOOKUP(A22,ScaledPrice2,2),(VLOOKUP(A22,ScaledPrice2,2))*(2-(VLOOKUP(A22,ScaledPrice2,3))))))</f>
        <v>54.5</v>
      </c>
      <c r="E22" s="317" t="n">
        <f aca="false">IF($A22="N/A"," ",IF(AND(Dayrun2&gt;=4,Dayrun2&lt;=9),0,VLOOKUP($A22,ScaledPrice2,9)))</f>
        <v>0</v>
      </c>
      <c r="F22" s="317" t="n">
        <f aca="false">IF(A22="N/A"," ",IF(OR(Dayrun2=2,Dayrun2=3,Dayrun2=5,Dayrun2=6,Dayrun2=8,Dayrun2=9),VLOOKUP(A22,ScaledPrice2,IF(Scaler2=1,6,5)),0))</f>
        <v>0</v>
      </c>
      <c r="G22" s="317" t="n">
        <f aca="false">IF(A22="N/A"," ",IF(OR(Dayrun2=2,Dayrun2=3,Dayrun2=5,Dayrun2=6),IF(Scaler2=2,F22,(VLOOKUP(A22,ScaledPrice2,5))*(2-(VLOOKUP(A22,ScaledPrice2,3)))),0))</f>
        <v>0</v>
      </c>
      <c r="H22" s="317" t="n">
        <f aca="false">IF($A22="N/A"," ",IF(OR(Dayrun2=2,Dayrun2=3,Dayrun2=10),VLOOKUP($A22,ScaledPrice2,9),0))</f>
        <v>0</v>
      </c>
      <c r="I22" s="317" t="n">
        <f aca="false">IF(A22="N/A"," ",IF(OR(Dayrun2=3,Dayrun2=6,Dayrun2=9),(VLOOKUP(A22,ScaledPrice2,IF(Scaler2=2,7,8))),0))</f>
        <v>0</v>
      </c>
      <c r="J22" s="317" t="n">
        <f aca="false">IF(A22="N/A"," ",IF(OR(Dayrun2=3,Dayrun2=6),IF(Scaler2=2,I22,(VLOOKUP(A22,ScaledPrice2,7))*(2-(VLOOKUP(A22,ScaledPrice2,3)))),0))</f>
        <v>0</v>
      </c>
      <c r="K22" s="317" t="n">
        <f aca="false">IF($A22="N/A"," ",IF(OR(Dayrun2=3,Dayrun2=10),VLOOKUP($A22,ScaledPrice2,9),0))</f>
        <v>0</v>
      </c>
      <c r="L22" s="318" t="e">
        <f aca="false">IF($A22="N/A"," ",IF(Pricetype2=2,MAX(C22,0),IF(OR(Pricetype2=1,Pricetype2=4),IF(C22=0,0,(EURO(C22,Strikeprice2,0,0,($AH22+IF(Smile=TRUE(),VLOOKUP(MAX(-5,Strikeprice2-C22),Volsmile,2),0)),($A22-DateToday)+15,IF(Pricetype2=1,1,0),0))),C22)))</f>
        <v>#NAME?</v>
      </c>
      <c r="M22" s="318" t="e">
        <f aca="false">IF($A22="N/A"," ",IF(Pricetype2=2,MAX(D22,0),IF(OR(Pricetype2=1,Pricetype2=4),IF(D22=0,0,(EURO(D22,Strikeprice2,0,0,($AH22+IF(Smile=TRUE(),VLOOKUP(MAX(-5,Strikeprice2-D22),Volsmile,2),0)),($A22-DateToday)+15,IF(Pricetype2=1,1,0),0))),D22)))</f>
        <v>#NAME?</v>
      </c>
      <c r="N22" s="318" t="n">
        <f aca="false">IF($A22="N/A"," ",IF(Pricetype2=2,MAX(E22,0),IF(OR(Pricetype2=1,Pricetype2=4),IF(E22=0,0,(EURO(E22,Strikeprice2,0,0,($AK22+IF(Smile=TRUE(),VLOOKUP(MAX(-5,Strikeprice2-E22),Volsmile,2),0)),($A22-DateToday)+15,IF(Pricetype2=1,1,0),0))),E22)))</f>
        <v>0</v>
      </c>
      <c r="O22" s="318" t="n">
        <f aca="false">IF($A22="N/A"," ",IF(Pricetype2=2,MAX(F22,0),IF(OR(Pricetype2=1,Pricetype2=4),IF(F22=0,0,(EURO(F22,Strikeprice2,0,0,($AK22+IF(Smile=TRUE(),VLOOKUP(MAX(-5,Strikeprice2-F22),Volsmile,2),0)),($A22-DateToday)+15,IF(Pricetype2=1,1,0),0))),F22)))</f>
        <v>0</v>
      </c>
      <c r="P22" s="318" t="n">
        <f aca="false">IF($A22="N/A"," ",IF(Pricetype2=2,MAX(G22,0),IF(OR(Pricetype2=1,Pricetype2=4),IF(G22=0,0,(EURO(G22,Strikeprice2,0,0,($AK22+IF(Smile=TRUE(),VLOOKUP(MAX(-5,Strikeprice2-G22),Volsmile,2),0)),($A22-DateToday)+15,IF(Pricetype2=1,1,0),0))),G22)))</f>
        <v>0</v>
      </c>
      <c r="Q22" s="318" t="n">
        <f aca="false">IF($A22="N/A"," ",IF(Pricetype2=2,MAX(H22,0),IF(OR(Pricetype2=1,Pricetype2=4),IF(H22=0,0,(EURO(H22,Strikeprice2,0,0,($AK22+IF(Smile=TRUE(),VLOOKUP(MAX(-5,Strikeprice2-H22),Volsmile,2),0)),($A22-DateToday)+15,IF(Pricetype2=1,1,0),0))),H22)))</f>
        <v>0</v>
      </c>
      <c r="R22" s="318" t="n">
        <f aca="false">IF($A22="N/A"," ",IF(Pricetype2=2,MAX(I22,0),IF(OR(Pricetype2=1,Pricetype2=4),IF(I22=0,0,(EURO(I22,Strikeprice2,0,0,($AK22+IF(Smile=TRUE(),VLOOKUP(MAX(-5,Strikeprice2-I22),Volsmile,2),0)),($A22-DateToday)+15,IF(Pricetype2=1,1,0),0))),I22)))</f>
        <v>0</v>
      </c>
      <c r="S22" s="318" t="n">
        <f aca="false">IF($A22="N/A"," ",IF(Pricetype2=2,MAX(J22,0),IF(OR(Pricetype2=1,Pricetype2=4),IF(J22=0,0,(EURO(J22,Strikeprice2,0,0,($AK22+IF(Smile=TRUE(),VLOOKUP(MAX(-5,Strikeprice2-J22),Volsmile,2),0)),($A22-DateToday)+15,IF(Pricetype2=1,1,0),0))),J22)))</f>
        <v>0</v>
      </c>
      <c r="T22" s="318" t="n">
        <f aca="false">IF($A22="N/A"," ",IF(Pricetype2=2,MAX(K22,0),IF(OR(Pricetype2=1,Pricetype2=4),IF(K22=0,0,(EURO(K22,Strikeprice2,0,0,($AK22+IF(Smile=TRUE(),VLOOKUP(MAX(-5,Strikeprice2-K22),Volsmile,2),0)),($A22-DateToday)+15,IF(Pricetype2=1,1,0),0))),K22)))</f>
        <v>0</v>
      </c>
      <c r="U22" s="319" t="e">
        <f aca="false">IF($A22="N/A"," ",Volume2*$AM22)</f>
        <v>#N/A</v>
      </c>
      <c r="V22" s="320" t="e">
        <f aca="false">IF($A22="N/A"," ",$U22*(8*($BQ22))*L22)</f>
        <v>#N/A</v>
      </c>
      <c r="W22" s="320" t="e">
        <f aca="false">IF($A22="N/A"," ",$U22*(8*($BQ22))*M22)</f>
        <v>#N/A</v>
      </c>
      <c r="X22" s="320" t="e">
        <f aca="false">IF($A22="N/A"," ",$U22*(8*($BQ22))*N22)</f>
        <v>#N/A</v>
      </c>
      <c r="Y22" s="320" t="e">
        <f aca="false">IF($A22="N/A"," ",$U22*(8*($BR22))*O22)</f>
        <v>#N/A</v>
      </c>
      <c r="Z22" s="320" t="e">
        <f aca="false">IF($A22="N/A"," ",$U22*(8*($BR22))*P22)</f>
        <v>#N/A</v>
      </c>
      <c r="AA22" s="320" t="e">
        <f aca="false">IF($A22="N/A"," ",$U22*(8*($BR22))*Q22)</f>
        <v>#N/A</v>
      </c>
      <c r="AB22" s="320" t="e">
        <f aca="false">IF($A22="N/A"," ",$U22*(8*($BS22))*R22)</f>
        <v>#N/A</v>
      </c>
      <c r="AC22" s="320" t="e">
        <f aca="false">IF($A22="N/A"," ",$U22*(8*($BS22))*S22)</f>
        <v>#N/A</v>
      </c>
      <c r="AD22" s="320" t="e">
        <f aca="false">IF($A22="N/A"," ",$U22*(8*($BS22))*T22)</f>
        <v>#N/A</v>
      </c>
      <c r="AE22" s="320" t="e">
        <f aca="false">IF($A22="N/A"," ",SUM(V22:AD22))</f>
        <v>#N/A</v>
      </c>
      <c r="AF22" s="321" t="n">
        <f aca="false">IF(A22="N/A"," ",(VLOOKUP(A22,PowerVolTable,(IF(VolBMO2=2,7,IF(VolBMO2=1,6,8))),FALSE())))</f>
        <v>0.312</v>
      </c>
      <c r="AG22" s="321" t="n">
        <f aca="false">IF(A22="N/A"," ",(VLOOKUP(A22,IntraPowerVol,(IF(VolBMO2=2,3,IF(VolBMO2=1,2,4))),FALSE())*VLOOKUP(MONTH($A22),Volscale,2)))</f>
        <v>0.56</v>
      </c>
      <c r="AH22" s="321" t="n">
        <f aca="false">IF($A22="N/A"," ",IF(VolType2=1,AG22,AF22))</f>
        <v>0.312</v>
      </c>
      <c r="AI22" s="321" t="n">
        <f aca="false">IF($A22="N/A"," ",(VLOOKUP($A22,OffPwrVolTable,(IF(VolBMO2=2,7,IF(VolBMO2=1,6,8))),FALSE())))</f>
        <v>0.156</v>
      </c>
      <c r="AJ22" s="321" t="n">
        <f aca="false">IF($A22="N/A"," ",(VLOOKUP($A22,OffPwrVolTable,(IF(VolBMO2=2,3,IF(VolBMO2=1,2,4))),FALSE())*VLOOKUP(MONTH($A22),Volscale,2)))</f>
        <v>0.336</v>
      </c>
      <c r="AK22" s="321" t="n">
        <f aca="false">IF($A22="N/A"," ",IF(VolType2=1,AJ22,AI22))</f>
        <v>0.156</v>
      </c>
      <c r="AL22" s="321" t="e">
        <f aca="false">IF($A22="N/A"," ",IF(PV=1,0,'Pricing Inputs2'!R55))</f>
        <v>#N/A</v>
      </c>
      <c r="AM22" s="323" t="e">
        <f aca="false">IF($A22="N/A"," ",(1+AL22/2)^(-2*((EOMONTH(A22,0)+20)-DateToday)/365.25))</f>
        <v>#N/A</v>
      </c>
      <c r="BQ22" s="0" t="n">
        <f aca="false">IF($A22="N/A"," ",(VLOOKUP($A22,NumberofDaysTable,2)))</f>
        <v>22</v>
      </c>
      <c r="BR22" s="0" t="n">
        <f aca="false">IF($A22="N/A"," ",(VLOOKUP($A22,NumberofDaysTable,3)))</f>
        <v>4</v>
      </c>
      <c r="BS22" s="0" t="n">
        <f aca="false">IF($A22="N/A"," ",(VLOOKUP($A22,NumberofDaysTable,4)))</f>
        <v>5</v>
      </c>
    </row>
    <row r="23" customFormat="false" ht="12.75" hidden="false" customHeight="false" outlineLevel="0" collapsed="false">
      <c r="A23" s="315" t="n">
        <f aca="false">IF(A22="N/A","N/A",IF(EDATE(A22,1)&gt;Inputs!$P$5,"N/A",EDATE(A22,1)))</f>
        <v>37834</v>
      </c>
      <c r="B23" s="316" t="n">
        <f aca="false">IF(A23="N/A"," ",YEAR(A23))</f>
        <v>2003</v>
      </c>
      <c r="C23" s="317" t="n">
        <f aca="false">IF($A23="N/A"," ",IF(Dayrun2=10,0,IF(Scaler2=1,(VLOOKUP(A23,ScaledPrice2,4)),(VLOOKUP(A23,ScaledPrice2,2)))))</f>
        <v>54.5</v>
      </c>
      <c r="D23" s="317" t="n">
        <f aca="false">IF(A23="N/A"," ",IF(Dayrun2&gt;=7,0,IF(Scaler2=2,VLOOKUP(A23,ScaledPrice2,2),(VLOOKUP(A23,ScaledPrice2,2))*(2-(VLOOKUP(A23,ScaledPrice2,3))))))</f>
        <v>54.5</v>
      </c>
      <c r="E23" s="317" t="n">
        <f aca="false">IF($A23="N/A"," ",IF(AND(Dayrun2&gt;=4,Dayrun2&lt;=9),0,VLOOKUP($A23,ScaledPrice2,9)))</f>
        <v>0</v>
      </c>
      <c r="F23" s="317" t="n">
        <f aca="false">IF(A23="N/A"," ",IF(OR(Dayrun2=2,Dayrun2=3,Dayrun2=5,Dayrun2=6,Dayrun2=8,Dayrun2=9),VLOOKUP(A23,ScaledPrice2,IF(Scaler2=1,6,5)),0))</f>
        <v>0</v>
      </c>
      <c r="G23" s="317" t="n">
        <f aca="false">IF(A23="N/A"," ",IF(OR(Dayrun2=2,Dayrun2=3,Dayrun2=5,Dayrun2=6),IF(Scaler2=2,F23,(VLOOKUP(A23,ScaledPrice2,5))*(2-(VLOOKUP(A23,ScaledPrice2,3)))),0))</f>
        <v>0</v>
      </c>
      <c r="H23" s="317" t="n">
        <f aca="false">IF($A23="N/A"," ",IF(OR(Dayrun2=2,Dayrun2=3,Dayrun2=10),VLOOKUP($A23,ScaledPrice2,9),0))</f>
        <v>0</v>
      </c>
      <c r="I23" s="317" t="n">
        <f aca="false">IF(A23="N/A"," ",IF(OR(Dayrun2=3,Dayrun2=6,Dayrun2=9),(VLOOKUP(A23,ScaledPrice2,IF(Scaler2=2,7,8))),0))</f>
        <v>0</v>
      </c>
      <c r="J23" s="317" t="n">
        <f aca="false">IF(A23="N/A"," ",IF(OR(Dayrun2=3,Dayrun2=6),IF(Scaler2=2,I23,(VLOOKUP(A23,ScaledPrice2,7))*(2-(VLOOKUP(A23,ScaledPrice2,3)))),0))</f>
        <v>0</v>
      </c>
      <c r="K23" s="317" t="n">
        <f aca="false">IF($A23="N/A"," ",IF(OR(Dayrun2=3,Dayrun2=10),VLOOKUP($A23,ScaledPrice2,9),0))</f>
        <v>0</v>
      </c>
      <c r="L23" s="318" t="e">
        <f aca="false">IF($A23="N/A"," ",IF(Pricetype2=2,MAX(C23,0),IF(OR(Pricetype2=1,Pricetype2=4),IF(C23=0,0,(EURO(C23,Strikeprice2,0,0,($AH23+IF(Smile=TRUE(),VLOOKUP(MAX(-5,Strikeprice2-C23),Volsmile,2),0)),($A23-DateToday)+15,IF(Pricetype2=1,1,0),0))),C23)))</f>
        <v>#NAME?</v>
      </c>
      <c r="M23" s="318" t="e">
        <f aca="false">IF($A23="N/A"," ",IF(Pricetype2=2,MAX(D23,0),IF(OR(Pricetype2=1,Pricetype2=4),IF(D23=0,0,(EURO(D23,Strikeprice2,0,0,($AH23+IF(Smile=TRUE(),VLOOKUP(MAX(-5,Strikeprice2-D23),Volsmile,2),0)),($A23-DateToday)+15,IF(Pricetype2=1,1,0),0))),D23)))</f>
        <v>#NAME?</v>
      </c>
      <c r="N23" s="318" t="n">
        <f aca="false">IF($A23="N/A"," ",IF(Pricetype2=2,MAX(E23,0),IF(OR(Pricetype2=1,Pricetype2=4),IF(E23=0,0,(EURO(E23,Strikeprice2,0,0,($AK23+IF(Smile=TRUE(),VLOOKUP(MAX(-5,Strikeprice2-E23),Volsmile,2),0)),($A23-DateToday)+15,IF(Pricetype2=1,1,0),0))),E23)))</f>
        <v>0</v>
      </c>
      <c r="O23" s="318" t="n">
        <f aca="false">IF($A23="N/A"," ",IF(Pricetype2=2,MAX(F23,0),IF(OR(Pricetype2=1,Pricetype2=4),IF(F23=0,0,(EURO(F23,Strikeprice2,0,0,($AK23+IF(Smile=TRUE(),VLOOKUP(MAX(-5,Strikeprice2-F23),Volsmile,2),0)),($A23-DateToday)+15,IF(Pricetype2=1,1,0),0))),F23)))</f>
        <v>0</v>
      </c>
      <c r="P23" s="318" t="n">
        <f aca="false">IF($A23="N/A"," ",IF(Pricetype2=2,MAX(G23,0),IF(OR(Pricetype2=1,Pricetype2=4),IF(G23=0,0,(EURO(G23,Strikeprice2,0,0,($AK23+IF(Smile=TRUE(),VLOOKUP(MAX(-5,Strikeprice2-G23),Volsmile,2),0)),($A23-DateToday)+15,IF(Pricetype2=1,1,0),0))),G23)))</f>
        <v>0</v>
      </c>
      <c r="Q23" s="318" t="n">
        <f aca="false">IF($A23="N/A"," ",IF(Pricetype2=2,MAX(H23,0),IF(OR(Pricetype2=1,Pricetype2=4),IF(H23=0,0,(EURO(H23,Strikeprice2,0,0,($AK23+IF(Smile=TRUE(),VLOOKUP(MAX(-5,Strikeprice2-H23),Volsmile,2),0)),($A23-DateToday)+15,IF(Pricetype2=1,1,0),0))),H23)))</f>
        <v>0</v>
      </c>
      <c r="R23" s="318" t="n">
        <f aca="false">IF($A23="N/A"," ",IF(Pricetype2=2,MAX(I23,0),IF(OR(Pricetype2=1,Pricetype2=4),IF(I23=0,0,(EURO(I23,Strikeprice2,0,0,($AK23+IF(Smile=TRUE(),VLOOKUP(MAX(-5,Strikeprice2-I23),Volsmile,2),0)),($A23-DateToday)+15,IF(Pricetype2=1,1,0),0))),I23)))</f>
        <v>0</v>
      </c>
      <c r="S23" s="318" t="n">
        <f aca="false">IF($A23="N/A"," ",IF(Pricetype2=2,MAX(J23,0),IF(OR(Pricetype2=1,Pricetype2=4),IF(J23=0,0,(EURO(J23,Strikeprice2,0,0,($AK23+IF(Smile=TRUE(),VLOOKUP(MAX(-5,Strikeprice2-J23),Volsmile,2),0)),($A23-DateToday)+15,IF(Pricetype2=1,1,0),0))),J23)))</f>
        <v>0</v>
      </c>
      <c r="T23" s="318" t="n">
        <f aca="false">IF($A23="N/A"," ",IF(Pricetype2=2,MAX(K23,0),IF(OR(Pricetype2=1,Pricetype2=4),IF(K23=0,0,(EURO(K23,Strikeprice2,0,0,($AK23+IF(Smile=TRUE(),VLOOKUP(MAX(-5,Strikeprice2-K23),Volsmile,2),0)),($A23-DateToday)+15,IF(Pricetype2=1,1,0),0))),K23)))</f>
        <v>0</v>
      </c>
      <c r="U23" s="319" t="e">
        <f aca="false">IF($A23="N/A"," ",Volume2*$AM23)</f>
        <v>#N/A</v>
      </c>
      <c r="V23" s="320" t="e">
        <f aca="false">IF($A23="N/A"," ",$U23*(8*($BQ23))*L23)</f>
        <v>#N/A</v>
      </c>
      <c r="W23" s="320" t="e">
        <f aca="false">IF($A23="N/A"," ",$U23*(8*($BQ23))*M23)</f>
        <v>#N/A</v>
      </c>
      <c r="X23" s="320" t="e">
        <f aca="false">IF($A23="N/A"," ",$U23*(8*($BQ23))*N23)</f>
        <v>#N/A</v>
      </c>
      <c r="Y23" s="320" t="e">
        <f aca="false">IF($A23="N/A"," ",$U23*(8*($BR23))*O23)</f>
        <v>#N/A</v>
      </c>
      <c r="Z23" s="320" t="e">
        <f aca="false">IF($A23="N/A"," ",$U23*(8*($BR23))*P23)</f>
        <v>#N/A</v>
      </c>
      <c r="AA23" s="320" t="e">
        <f aca="false">IF($A23="N/A"," ",$U23*(8*($BR23))*Q23)</f>
        <v>#N/A</v>
      </c>
      <c r="AB23" s="320" t="e">
        <f aca="false">IF($A23="N/A"," ",$U23*(8*($BS23))*R23)</f>
        <v>#N/A</v>
      </c>
      <c r="AC23" s="320" t="e">
        <f aca="false">IF($A23="N/A"," ",$U23*(8*($BS23))*S23)</f>
        <v>#N/A</v>
      </c>
      <c r="AD23" s="320" t="e">
        <f aca="false">IF($A23="N/A"," ",$U23*(8*($BS23))*T23)</f>
        <v>#N/A</v>
      </c>
      <c r="AE23" s="320" t="e">
        <f aca="false">IF($A23="N/A"," ",SUM(V23:AD23))</f>
        <v>#N/A</v>
      </c>
      <c r="AF23" s="321" t="n">
        <f aca="false">IF(A23="N/A"," ",(VLOOKUP(A23,PowerVolTable,(IF(VolBMO2=2,7,IF(VolBMO2=1,6,8))),FALSE())))</f>
        <v>0.312</v>
      </c>
      <c r="AG23" s="321" t="n">
        <f aca="false">IF(A23="N/A"," ",(VLOOKUP(A23,IntraPowerVol,(IF(VolBMO2=2,3,IF(VolBMO2=1,2,4))),FALSE())*VLOOKUP(MONTH($A23),Volscale,2)))</f>
        <v>0.56</v>
      </c>
      <c r="AH23" s="321" t="n">
        <f aca="false">IF($A23="N/A"," ",IF(VolType2=1,AG23,AF23))</f>
        <v>0.312</v>
      </c>
      <c r="AI23" s="321" t="n">
        <f aca="false">IF($A23="N/A"," ",(VLOOKUP($A23,OffPwrVolTable,(IF(VolBMO2=2,7,IF(VolBMO2=1,6,8))),FALSE())))</f>
        <v>0.156</v>
      </c>
      <c r="AJ23" s="321" t="n">
        <f aca="false">IF($A23="N/A"," ",(VLOOKUP($A23,OffPwrVolTable,(IF(VolBMO2=2,3,IF(VolBMO2=1,2,4))),FALSE())*VLOOKUP(MONTH($A23),Volscale,2)))</f>
        <v>0.336</v>
      </c>
      <c r="AK23" s="321" t="n">
        <f aca="false">IF($A23="N/A"," ",IF(VolType2=1,AJ23,AI23))</f>
        <v>0.156</v>
      </c>
      <c r="AL23" s="321" t="e">
        <f aca="false">IF($A23="N/A"," ",IF(PV=1,0,'Pricing Inputs2'!R56))</f>
        <v>#N/A</v>
      </c>
      <c r="AM23" s="323" t="e">
        <f aca="false">IF($A23="N/A"," ",(1+AL23/2)^(-2*((EOMONTH(A23,0)+20)-DateToday)/365.25))</f>
        <v>#N/A</v>
      </c>
      <c r="BQ23" s="0" t="n">
        <f aca="false">IF($A23="N/A"," ",(VLOOKUP($A23,NumberofDaysTable,2)))</f>
        <v>21</v>
      </c>
      <c r="BR23" s="0" t="n">
        <f aca="false">IF($A23="N/A"," ",(VLOOKUP($A23,NumberofDaysTable,3)))</f>
        <v>5</v>
      </c>
      <c r="BS23" s="0" t="n">
        <f aca="false">IF($A23="N/A"," ",(VLOOKUP($A23,NumberofDaysTable,4)))</f>
        <v>5</v>
      </c>
    </row>
    <row r="24" customFormat="false" ht="12.75" hidden="false" customHeight="false" outlineLevel="0" collapsed="false">
      <c r="A24" s="315" t="n">
        <f aca="false">IF(A23="N/A","N/A",IF(EDATE(A23,1)&gt;Inputs!$P$5,"N/A",EDATE(A23,1)))</f>
        <v>37865</v>
      </c>
      <c r="B24" s="316" t="n">
        <f aca="false">IF(A24="N/A"," ",YEAR(A24))</f>
        <v>2003</v>
      </c>
      <c r="C24" s="317" t="n">
        <f aca="false">IF($A24="N/A"," ",IF(Dayrun2=10,0,IF(Scaler2=1,(VLOOKUP(A24,ScaledPrice2,4)),(VLOOKUP(A24,ScaledPrice2,2)))))</f>
        <v>30</v>
      </c>
      <c r="D24" s="317" t="n">
        <f aca="false">IF(A24="N/A"," ",IF(Dayrun2&gt;=7,0,IF(Scaler2=2,VLOOKUP(A24,ScaledPrice2,2),(VLOOKUP(A24,ScaledPrice2,2))*(2-(VLOOKUP(A24,ScaledPrice2,3))))))</f>
        <v>30</v>
      </c>
      <c r="E24" s="317" t="n">
        <f aca="false">IF($A24="N/A"," ",IF(AND(Dayrun2&gt;=4,Dayrun2&lt;=9),0,VLOOKUP($A24,ScaledPrice2,9)))</f>
        <v>0</v>
      </c>
      <c r="F24" s="317" t="n">
        <f aca="false">IF(A24="N/A"," ",IF(OR(Dayrun2=2,Dayrun2=3,Dayrun2=5,Dayrun2=6,Dayrun2=8,Dayrun2=9),VLOOKUP(A24,ScaledPrice2,IF(Scaler2=1,6,5)),0))</f>
        <v>0</v>
      </c>
      <c r="G24" s="317" t="n">
        <f aca="false">IF(A24="N/A"," ",IF(OR(Dayrun2=2,Dayrun2=3,Dayrun2=5,Dayrun2=6),IF(Scaler2=2,F24,(VLOOKUP(A24,ScaledPrice2,5))*(2-(VLOOKUP(A24,ScaledPrice2,3)))),0))</f>
        <v>0</v>
      </c>
      <c r="H24" s="317" t="n">
        <f aca="false">IF($A24="N/A"," ",IF(OR(Dayrun2=2,Dayrun2=3,Dayrun2=10),VLOOKUP($A24,ScaledPrice2,9),0))</f>
        <v>0</v>
      </c>
      <c r="I24" s="317" t="n">
        <f aca="false">IF(A24="N/A"," ",IF(OR(Dayrun2=3,Dayrun2=6,Dayrun2=9),(VLOOKUP(A24,ScaledPrice2,IF(Scaler2=2,7,8))),0))</f>
        <v>0</v>
      </c>
      <c r="J24" s="317" t="n">
        <f aca="false">IF(A24="N/A"," ",IF(OR(Dayrun2=3,Dayrun2=6),IF(Scaler2=2,I24,(VLOOKUP(A24,ScaledPrice2,7))*(2-(VLOOKUP(A24,ScaledPrice2,3)))),0))</f>
        <v>0</v>
      </c>
      <c r="K24" s="317" t="n">
        <f aca="false">IF($A24="N/A"," ",IF(OR(Dayrun2=3,Dayrun2=10),VLOOKUP($A24,ScaledPrice2,9),0))</f>
        <v>0</v>
      </c>
      <c r="L24" s="318" t="e">
        <f aca="false">IF($A24="N/A"," ",IF(Pricetype2=2,MAX(C24,0),IF(OR(Pricetype2=1,Pricetype2=4),IF(C24=0,0,(EURO(C24,Strikeprice2,0,0,($AH24+IF(Smile=TRUE(),VLOOKUP(MAX(-5,Strikeprice2-C24),Volsmile,2),0)),($A24-DateToday)+15,IF(Pricetype2=1,1,0),0))),C24)))</f>
        <v>#NAME?</v>
      </c>
      <c r="M24" s="318" t="e">
        <f aca="false">IF($A24="N/A"," ",IF(Pricetype2=2,MAX(D24,0),IF(OR(Pricetype2=1,Pricetype2=4),IF(D24=0,0,(EURO(D24,Strikeprice2,0,0,($AH24+IF(Smile=TRUE(),VLOOKUP(MAX(-5,Strikeprice2-D24),Volsmile,2),0)),($A24-DateToday)+15,IF(Pricetype2=1,1,0),0))),D24)))</f>
        <v>#NAME?</v>
      </c>
      <c r="N24" s="318" t="n">
        <f aca="false">IF($A24="N/A"," ",IF(Pricetype2=2,MAX(E24,0),IF(OR(Pricetype2=1,Pricetype2=4),IF(E24=0,0,(EURO(E24,Strikeprice2,0,0,($AK24+IF(Smile=TRUE(),VLOOKUP(MAX(-5,Strikeprice2-E24),Volsmile,2),0)),($A24-DateToday)+15,IF(Pricetype2=1,1,0),0))),E24)))</f>
        <v>0</v>
      </c>
      <c r="O24" s="318" t="n">
        <f aca="false">IF($A24="N/A"," ",IF(Pricetype2=2,MAX(F24,0),IF(OR(Pricetype2=1,Pricetype2=4),IF(F24=0,0,(EURO(F24,Strikeprice2,0,0,($AK24+IF(Smile=TRUE(),VLOOKUP(MAX(-5,Strikeprice2-F24),Volsmile,2),0)),($A24-DateToday)+15,IF(Pricetype2=1,1,0),0))),F24)))</f>
        <v>0</v>
      </c>
      <c r="P24" s="318" t="n">
        <f aca="false">IF($A24="N/A"," ",IF(Pricetype2=2,MAX(G24,0),IF(OR(Pricetype2=1,Pricetype2=4),IF(G24=0,0,(EURO(G24,Strikeprice2,0,0,($AK24+IF(Smile=TRUE(),VLOOKUP(MAX(-5,Strikeprice2-G24),Volsmile,2),0)),($A24-DateToday)+15,IF(Pricetype2=1,1,0),0))),G24)))</f>
        <v>0</v>
      </c>
      <c r="Q24" s="318" t="n">
        <f aca="false">IF($A24="N/A"," ",IF(Pricetype2=2,MAX(H24,0),IF(OR(Pricetype2=1,Pricetype2=4),IF(H24=0,0,(EURO(H24,Strikeprice2,0,0,($AK24+IF(Smile=TRUE(),VLOOKUP(MAX(-5,Strikeprice2-H24),Volsmile,2),0)),($A24-DateToday)+15,IF(Pricetype2=1,1,0),0))),H24)))</f>
        <v>0</v>
      </c>
      <c r="R24" s="318" t="n">
        <f aca="false">IF($A24="N/A"," ",IF(Pricetype2=2,MAX(I24,0),IF(OR(Pricetype2=1,Pricetype2=4),IF(I24=0,0,(EURO(I24,Strikeprice2,0,0,($AK24+IF(Smile=TRUE(),VLOOKUP(MAX(-5,Strikeprice2-I24),Volsmile,2),0)),($A24-DateToday)+15,IF(Pricetype2=1,1,0),0))),I24)))</f>
        <v>0</v>
      </c>
      <c r="S24" s="318" t="n">
        <f aca="false">IF($A24="N/A"," ",IF(Pricetype2=2,MAX(J24,0),IF(OR(Pricetype2=1,Pricetype2=4),IF(J24=0,0,(EURO(J24,Strikeprice2,0,0,($AK24+IF(Smile=TRUE(),VLOOKUP(MAX(-5,Strikeprice2-J24),Volsmile,2),0)),($A24-DateToday)+15,IF(Pricetype2=1,1,0),0))),J24)))</f>
        <v>0</v>
      </c>
      <c r="T24" s="318" t="n">
        <f aca="false">IF($A24="N/A"," ",IF(Pricetype2=2,MAX(K24,0),IF(OR(Pricetype2=1,Pricetype2=4),IF(K24=0,0,(EURO(K24,Strikeprice2,0,0,($AK24+IF(Smile=TRUE(),VLOOKUP(MAX(-5,Strikeprice2-K24),Volsmile,2),0)),($A24-DateToday)+15,IF(Pricetype2=1,1,0),0))),K24)))</f>
        <v>0</v>
      </c>
      <c r="U24" s="319" t="e">
        <f aca="false">IF($A24="N/A"," ",Volume2*$AM24)</f>
        <v>#N/A</v>
      </c>
      <c r="V24" s="320" t="e">
        <f aca="false">IF($A24="N/A"," ",$U24*(8*($BQ24))*L24)</f>
        <v>#N/A</v>
      </c>
      <c r="W24" s="320" t="e">
        <f aca="false">IF($A24="N/A"," ",$U24*(8*($BQ24))*M24)</f>
        <v>#N/A</v>
      </c>
      <c r="X24" s="320" t="e">
        <f aca="false">IF($A24="N/A"," ",$U24*(8*($BQ24))*N24)</f>
        <v>#N/A</v>
      </c>
      <c r="Y24" s="320" t="e">
        <f aca="false">IF($A24="N/A"," ",$U24*(8*($BR24))*O24)</f>
        <v>#N/A</v>
      </c>
      <c r="Z24" s="320" t="e">
        <f aca="false">IF($A24="N/A"," ",$U24*(8*($BR24))*P24)</f>
        <v>#N/A</v>
      </c>
      <c r="AA24" s="320" t="e">
        <f aca="false">IF($A24="N/A"," ",$U24*(8*($BR24))*Q24)</f>
        <v>#N/A</v>
      </c>
      <c r="AB24" s="320" t="e">
        <f aca="false">IF($A24="N/A"," ",$U24*(8*($BS24))*R24)</f>
        <v>#N/A</v>
      </c>
      <c r="AC24" s="320" t="e">
        <f aca="false">IF($A24="N/A"," ",$U24*(8*($BS24))*S24)</f>
        <v>#N/A</v>
      </c>
      <c r="AD24" s="320" t="e">
        <f aca="false">IF($A24="N/A"," ",$U24*(8*($BS24))*T24)</f>
        <v>#N/A</v>
      </c>
      <c r="AE24" s="320" t="e">
        <f aca="false">IF($A24="N/A"," ",SUM(V24:AD24))</f>
        <v>#N/A</v>
      </c>
      <c r="AF24" s="321" t="n">
        <f aca="false">IF(A24="N/A"," ",(VLOOKUP(A24,PowerVolTable,(IF(VolBMO2=2,7,IF(VolBMO2=1,6,8))),FALSE())))</f>
        <v>0.2</v>
      </c>
      <c r="AG24" s="321" t="n">
        <f aca="false">IF(A24="N/A"," ",(VLOOKUP(A24,IntraPowerVol,(IF(VolBMO2=2,3,IF(VolBMO2=1,2,4))),FALSE())*VLOOKUP(MONTH($A24),Volscale,2)))</f>
        <v>0.28</v>
      </c>
      <c r="AH24" s="321" t="n">
        <f aca="false">IF($A24="N/A"," ",IF(VolType2=1,AG24,AF24))</f>
        <v>0.2</v>
      </c>
      <c r="AI24" s="321" t="n">
        <f aca="false">IF($A24="N/A"," ",(VLOOKUP($A24,OffPwrVolTable,(IF(VolBMO2=2,7,IF(VolBMO2=1,6,8))),FALSE())))</f>
        <v>0.1</v>
      </c>
      <c r="AJ24" s="321" t="n">
        <f aca="false">IF($A24="N/A"," ",(VLOOKUP($A24,OffPwrVolTable,(IF(VolBMO2=2,3,IF(VolBMO2=1,2,4))),FALSE())*VLOOKUP(MONTH($A24),Volscale,2)))</f>
        <v>0.168</v>
      </c>
      <c r="AK24" s="321" t="n">
        <f aca="false">IF($A24="N/A"," ",IF(VolType2=1,AJ24,AI24))</f>
        <v>0.1</v>
      </c>
      <c r="AL24" s="321" t="e">
        <f aca="false">IF($A24="N/A"," ",IF(PV=1,0,'Pricing Inputs2'!R57))</f>
        <v>#N/A</v>
      </c>
      <c r="AM24" s="323" t="e">
        <f aca="false">IF($A24="N/A"," ",(1+AL24/2)^(-2*((EOMONTH(A24,0)+20)-DateToday)/365.25))</f>
        <v>#N/A</v>
      </c>
      <c r="BQ24" s="0" t="n">
        <f aca="false">IF($A24="N/A"," ",(VLOOKUP($A24,NumberofDaysTable,2)))</f>
        <v>21</v>
      </c>
      <c r="BR24" s="0" t="n">
        <f aca="false">IF($A24="N/A"," ",(VLOOKUP($A24,NumberofDaysTable,3)))</f>
        <v>4</v>
      </c>
      <c r="BS24" s="0" t="n">
        <f aca="false">IF($A24="N/A"," ",(VLOOKUP($A24,NumberofDaysTable,4)))</f>
        <v>5</v>
      </c>
    </row>
    <row r="25" customFormat="false" ht="12.75" hidden="false" customHeight="false" outlineLevel="0" collapsed="false">
      <c r="A25" s="315" t="n">
        <f aca="false">IF(A24="N/A","N/A",IF(EDATE(A24,1)&gt;Inputs!$P$5,"N/A",EDATE(A24,1)))</f>
        <v>37895</v>
      </c>
      <c r="B25" s="316" t="n">
        <f aca="false">IF(A25="N/A"," ",YEAR(A25))</f>
        <v>2003</v>
      </c>
      <c r="C25" s="317" t="n">
        <f aca="false">IF($A25="N/A"," ",IF(Dayrun2=10,0,IF(Scaler2=1,(VLOOKUP(A25,ScaledPrice2,4)),(VLOOKUP(A25,ScaledPrice2,2)))))</f>
        <v>30.4015640020371</v>
      </c>
      <c r="D25" s="317" t="n">
        <f aca="false">IF(A25="N/A"," ",IF(Dayrun2&gt;=7,0,IF(Scaler2=2,VLOOKUP(A25,ScaledPrice2,2),(VLOOKUP(A25,ScaledPrice2,2))*(2-(VLOOKUP(A25,ScaledPrice2,3))))))</f>
        <v>30.4015640020371</v>
      </c>
      <c r="E25" s="317" t="n">
        <f aca="false">IF($A25="N/A"," ",IF(AND(Dayrun2&gt;=4,Dayrun2&lt;=9),0,VLOOKUP($A25,ScaledPrice2,9)))</f>
        <v>0</v>
      </c>
      <c r="F25" s="317" t="n">
        <f aca="false">IF(A25="N/A"," ",IF(OR(Dayrun2=2,Dayrun2=3,Dayrun2=5,Dayrun2=6,Dayrun2=8,Dayrun2=9),VLOOKUP(A25,ScaledPrice2,IF(Scaler2=1,6,5)),0))</f>
        <v>0</v>
      </c>
      <c r="G25" s="317" t="n">
        <f aca="false">IF(A25="N/A"," ",IF(OR(Dayrun2=2,Dayrun2=3,Dayrun2=5,Dayrun2=6),IF(Scaler2=2,F25,(VLOOKUP(A25,ScaledPrice2,5))*(2-(VLOOKUP(A25,ScaledPrice2,3)))),0))</f>
        <v>0</v>
      </c>
      <c r="H25" s="317" t="n">
        <f aca="false">IF($A25="N/A"," ",IF(OR(Dayrun2=2,Dayrun2=3,Dayrun2=10),VLOOKUP($A25,ScaledPrice2,9),0))</f>
        <v>0</v>
      </c>
      <c r="I25" s="317" t="n">
        <f aca="false">IF(A25="N/A"," ",IF(OR(Dayrun2=3,Dayrun2=6,Dayrun2=9),(VLOOKUP(A25,ScaledPrice2,IF(Scaler2=2,7,8))),0))</f>
        <v>0</v>
      </c>
      <c r="J25" s="317" t="n">
        <f aca="false">IF(A25="N/A"," ",IF(OR(Dayrun2=3,Dayrun2=6),IF(Scaler2=2,I25,(VLOOKUP(A25,ScaledPrice2,7))*(2-(VLOOKUP(A25,ScaledPrice2,3)))),0))</f>
        <v>0</v>
      </c>
      <c r="K25" s="317" t="n">
        <f aca="false">IF($A25="N/A"," ",IF(OR(Dayrun2=3,Dayrun2=10),VLOOKUP($A25,ScaledPrice2,9),0))</f>
        <v>0</v>
      </c>
      <c r="L25" s="318" t="e">
        <f aca="false">IF($A25="N/A"," ",IF(Pricetype2=2,MAX(C25,0),IF(OR(Pricetype2=1,Pricetype2=4),IF(C25=0,0,(EURO(C25,Strikeprice2,0,0,($AH25+IF(Smile=TRUE(),VLOOKUP(MAX(-5,Strikeprice2-C25),Volsmile,2),0)),($A25-DateToday)+15,IF(Pricetype2=1,1,0),0))),C25)))</f>
        <v>#NAME?</v>
      </c>
      <c r="M25" s="318" t="e">
        <f aca="false">IF($A25="N/A"," ",IF(Pricetype2=2,MAX(D25,0),IF(OR(Pricetype2=1,Pricetype2=4),IF(D25=0,0,(EURO(D25,Strikeprice2,0,0,($AH25+IF(Smile=TRUE(),VLOOKUP(MAX(-5,Strikeprice2-D25),Volsmile,2),0)),($A25-DateToday)+15,IF(Pricetype2=1,1,0),0))),D25)))</f>
        <v>#NAME?</v>
      </c>
      <c r="N25" s="318" t="n">
        <f aca="false">IF($A25="N/A"," ",IF(Pricetype2=2,MAX(E25,0),IF(OR(Pricetype2=1,Pricetype2=4),IF(E25=0,0,(EURO(E25,Strikeprice2,0,0,($AK25+IF(Smile=TRUE(),VLOOKUP(MAX(-5,Strikeprice2-E25),Volsmile,2),0)),($A25-DateToday)+15,IF(Pricetype2=1,1,0),0))),E25)))</f>
        <v>0</v>
      </c>
      <c r="O25" s="318" t="n">
        <f aca="false">IF($A25="N/A"," ",IF(Pricetype2=2,MAX(F25,0),IF(OR(Pricetype2=1,Pricetype2=4),IF(F25=0,0,(EURO(F25,Strikeprice2,0,0,($AK25+IF(Smile=TRUE(),VLOOKUP(MAX(-5,Strikeprice2-F25),Volsmile,2),0)),($A25-DateToday)+15,IF(Pricetype2=1,1,0),0))),F25)))</f>
        <v>0</v>
      </c>
      <c r="P25" s="318" t="n">
        <f aca="false">IF($A25="N/A"," ",IF(Pricetype2=2,MAX(G25,0),IF(OR(Pricetype2=1,Pricetype2=4),IF(G25=0,0,(EURO(G25,Strikeprice2,0,0,($AK25+IF(Smile=TRUE(),VLOOKUP(MAX(-5,Strikeprice2-G25),Volsmile,2),0)),($A25-DateToday)+15,IF(Pricetype2=1,1,0),0))),G25)))</f>
        <v>0</v>
      </c>
      <c r="Q25" s="318" t="n">
        <f aca="false">IF($A25="N/A"," ",IF(Pricetype2=2,MAX(H25,0),IF(OR(Pricetype2=1,Pricetype2=4),IF(H25=0,0,(EURO(H25,Strikeprice2,0,0,($AK25+IF(Smile=TRUE(),VLOOKUP(MAX(-5,Strikeprice2-H25),Volsmile,2),0)),($A25-DateToday)+15,IF(Pricetype2=1,1,0),0))),H25)))</f>
        <v>0</v>
      </c>
      <c r="R25" s="318" t="n">
        <f aca="false">IF($A25="N/A"," ",IF(Pricetype2=2,MAX(I25,0),IF(OR(Pricetype2=1,Pricetype2=4),IF(I25=0,0,(EURO(I25,Strikeprice2,0,0,($AK25+IF(Smile=TRUE(),VLOOKUP(MAX(-5,Strikeprice2-I25),Volsmile,2),0)),($A25-DateToday)+15,IF(Pricetype2=1,1,0),0))),I25)))</f>
        <v>0</v>
      </c>
      <c r="S25" s="318" t="n">
        <f aca="false">IF($A25="N/A"," ",IF(Pricetype2=2,MAX(J25,0),IF(OR(Pricetype2=1,Pricetype2=4),IF(J25=0,0,(EURO(J25,Strikeprice2,0,0,($AK25+IF(Smile=TRUE(),VLOOKUP(MAX(-5,Strikeprice2-J25),Volsmile,2),0)),($A25-DateToday)+15,IF(Pricetype2=1,1,0),0))),J25)))</f>
        <v>0</v>
      </c>
      <c r="T25" s="318" t="n">
        <f aca="false">IF($A25="N/A"," ",IF(Pricetype2=2,MAX(K25,0),IF(OR(Pricetype2=1,Pricetype2=4),IF(K25=0,0,(EURO(K25,Strikeprice2,0,0,($AK25+IF(Smile=TRUE(),VLOOKUP(MAX(-5,Strikeprice2-K25),Volsmile,2),0)),($A25-DateToday)+15,IF(Pricetype2=1,1,0),0))),K25)))</f>
        <v>0</v>
      </c>
      <c r="U25" s="319" t="e">
        <f aca="false">IF($A25="N/A"," ",Volume2*$AM25)</f>
        <v>#N/A</v>
      </c>
      <c r="V25" s="320" t="e">
        <f aca="false">IF($A25="N/A"," ",$U25*(8*($BQ25))*L25)</f>
        <v>#N/A</v>
      </c>
      <c r="W25" s="320" t="e">
        <f aca="false">IF($A25="N/A"," ",$U25*(8*($BQ25))*M25)</f>
        <v>#N/A</v>
      </c>
      <c r="X25" s="320" t="e">
        <f aca="false">IF($A25="N/A"," ",$U25*(8*($BQ25))*N25)</f>
        <v>#N/A</v>
      </c>
      <c r="Y25" s="320" t="e">
        <f aca="false">IF($A25="N/A"," ",$U25*(8*($BR25))*O25)</f>
        <v>#N/A</v>
      </c>
      <c r="Z25" s="320" t="e">
        <f aca="false">IF($A25="N/A"," ",$U25*(8*($BR25))*P25)</f>
        <v>#N/A</v>
      </c>
      <c r="AA25" s="320" t="e">
        <f aca="false">IF($A25="N/A"," ",$U25*(8*($BR25))*Q25)</f>
        <v>#N/A</v>
      </c>
      <c r="AB25" s="320" t="e">
        <f aca="false">IF($A25="N/A"," ",$U25*(8*($BS25))*R25)</f>
        <v>#N/A</v>
      </c>
      <c r="AC25" s="320" t="e">
        <f aca="false">IF($A25="N/A"," ",$U25*(8*($BS25))*S25)</f>
        <v>#N/A</v>
      </c>
      <c r="AD25" s="320" t="e">
        <f aca="false">IF($A25="N/A"," ",$U25*(8*($BS25))*T25)</f>
        <v>#N/A</v>
      </c>
      <c r="AE25" s="320" t="e">
        <f aca="false">IF($A25="N/A"," ",SUM(V25:AD25))</f>
        <v>#N/A</v>
      </c>
      <c r="AF25" s="321" t="n">
        <f aca="false">IF(A25="N/A"," ",(VLOOKUP(A25,PowerVolTable,(IF(VolBMO2=2,7,IF(VolBMO2=1,6,8))),FALSE())))</f>
        <v>0.2</v>
      </c>
      <c r="AG25" s="321" t="n">
        <f aca="false">IF(A25="N/A"," ",(VLOOKUP(A25,IntraPowerVol,(IF(VolBMO2=2,3,IF(VolBMO2=1,2,4))),FALSE())*VLOOKUP(MONTH($A25),Volscale,2)))</f>
        <v>0.28</v>
      </c>
      <c r="AH25" s="321" t="n">
        <f aca="false">IF($A25="N/A"," ",IF(VolType2=1,AG25,AF25))</f>
        <v>0.2</v>
      </c>
      <c r="AI25" s="321" t="n">
        <f aca="false">IF($A25="N/A"," ",(VLOOKUP($A25,OffPwrVolTable,(IF(VolBMO2=2,7,IF(VolBMO2=1,6,8))),FALSE())))</f>
        <v>0.1</v>
      </c>
      <c r="AJ25" s="321" t="n">
        <f aca="false">IF($A25="N/A"," ",(VLOOKUP($A25,OffPwrVolTable,(IF(VolBMO2=2,3,IF(VolBMO2=1,2,4))),FALSE())*VLOOKUP(MONTH($A25),Volscale,2)))</f>
        <v>0.168</v>
      </c>
      <c r="AK25" s="321" t="n">
        <f aca="false">IF($A25="N/A"," ",IF(VolType2=1,AJ25,AI25))</f>
        <v>0.1</v>
      </c>
      <c r="AL25" s="321" t="e">
        <f aca="false">IF($A25="N/A"," ",IF(PV=1,0,'Pricing Inputs2'!R58))</f>
        <v>#N/A</v>
      </c>
      <c r="AM25" s="323" t="e">
        <f aca="false">IF($A25="N/A"," ",(1+AL25/2)^(-2*((EOMONTH(A25,0)+20)-DateToday)/365.25))</f>
        <v>#N/A</v>
      </c>
      <c r="BQ25" s="0" t="n">
        <f aca="false">IF($A25="N/A"," ",(VLOOKUP($A25,NumberofDaysTable,2)))</f>
        <v>23</v>
      </c>
      <c r="BR25" s="0" t="n">
        <f aca="false">IF($A25="N/A"," ",(VLOOKUP($A25,NumberofDaysTable,3)))</f>
        <v>4</v>
      </c>
      <c r="BS25" s="0" t="n">
        <f aca="false">IF($A25="N/A"," ",(VLOOKUP($A25,NumberofDaysTable,4)))</f>
        <v>4</v>
      </c>
    </row>
    <row r="26" customFormat="false" ht="12.75" hidden="false" customHeight="false" outlineLevel="0" collapsed="false">
      <c r="A26" s="315" t="n">
        <f aca="false">IF(A25="N/A","N/A",IF(EDATE(A25,1)&gt;Inputs!$P$5,"N/A",EDATE(A25,1)))</f>
        <v>37926</v>
      </c>
      <c r="B26" s="316" t="n">
        <f aca="false">IF(A26="N/A"," ",YEAR(A26))</f>
        <v>2003</v>
      </c>
      <c r="C26" s="317" t="n">
        <f aca="false">IF($A26="N/A"," ",IF(Dayrun2=10,0,IF(Scaler2=1,(VLOOKUP(A26,ScaledPrice2,4)),(VLOOKUP(A26,ScaledPrice2,2)))))</f>
        <v>30.5015624761581</v>
      </c>
      <c r="D26" s="317" t="n">
        <f aca="false">IF(A26="N/A"," ",IF(Dayrun2&gt;=7,0,IF(Scaler2=2,VLOOKUP(A26,ScaledPrice2,2),(VLOOKUP(A26,ScaledPrice2,2))*(2-(VLOOKUP(A26,ScaledPrice2,3))))))</f>
        <v>30.5015624761581</v>
      </c>
      <c r="E26" s="317" t="n">
        <f aca="false">IF($A26="N/A"," ",IF(AND(Dayrun2&gt;=4,Dayrun2&lt;=9),0,VLOOKUP($A26,ScaledPrice2,9)))</f>
        <v>0</v>
      </c>
      <c r="F26" s="317" t="n">
        <f aca="false">IF(A26="N/A"," ",IF(OR(Dayrun2=2,Dayrun2=3,Dayrun2=5,Dayrun2=6,Dayrun2=8,Dayrun2=9),VLOOKUP(A26,ScaledPrice2,IF(Scaler2=1,6,5)),0))</f>
        <v>0</v>
      </c>
      <c r="G26" s="317" t="n">
        <f aca="false">IF(A26="N/A"," ",IF(OR(Dayrun2=2,Dayrun2=3,Dayrun2=5,Dayrun2=6),IF(Scaler2=2,F26,(VLOOKUP(A26,ScaledPrice2,5))*(2-(VLOOKUP(A26,ScaledPrice2,3)))),0))</f>
        <v>0</v>
      </c>
      <c r="H26" s="317" t="n">
        <f aca="false">IF($A26="N/A"," ",IF(OR(Dayrun2=2,Dayrun2=3,Dayrun2=10),VLOOKUP($A26,ScaledPrice2,9),0))</f>
        <v>0</v>
      </c>
      <c r="I26" s="317" t="n">
        <f aca="false">IF(A26="N/A"," ",IF(OR(Dayrun2=3,Dayrun2=6,Dayrun2=9),(VLOOKUP(A26,ScaledPrice2,IF(Scaler2=2,7,8))),0))</f>
        <v>0</v>
      </c>
      <c r="J26" s="317" t="n">
        <f aca="false">IF(A26="N/A"," ",IF(OR(Dayrun2=3,Dayrun2=6),IF(Scaler2=2,I26,(VLOOKUP(A26,ScaledPrice2,7))*(2-(VLOOKUP(A26,ScaledPrice2,3)))),0))</f>
        <v>0</v>
      </c>
      <c r="K26" s="317" t="n">
        <f aca="false">IF($A26="N/A"," ",IF(OR(Dayrun2=3,Dayrun2=10),VLOOKUP($A26,ScaledPrice2,9),0))</f>
        <v>0</v>
      </c>
      <c r="L26" s="318" t="e">
        <f aca="false">IF($A26="N/A"," ",IF(Pricetype2=2,MAX(C26,0),IF(OR(Pricetype2=1,Pricetype2=4),IF(C26=0,0,(EURO(C26,Strikeprice2,0,0,($AH26+IF(Smile=TRUE(),VLOOKUP(MAX(-5,Strikeprice2-C26),Volsmile,2),0)),($A26-DateToday)+15,IF(Pricetype2=1,1,0),0))),C26)))</f>
        <v>#NAME?</v>
      </c>
      <c r="M26" s="318" t="e">
        <f aca="false">IF($A26="N/A"," ",IF(Pricetype2=2,MAX(D26,0),IF(OR(Pricetype2=1,Pricetype2=4),IF(D26=0,0,(EURO(D26,Strikeprice2,0,0,($AH26+IF(Smile=TRUE(),VLOOKUP(MAX(-5,Strikeprice2-D26),Volsmile,2),0)),($A26-DateToday)+15,IF(Pricetype2=1,1,0),0))),D26)))</f>
        <v>#NAME?</v>
      </c>
      <c r="N26" s="318" t="n">
        <f aca="false">IF($A26="N/A"," ",IF(Pricetype2=2,MAX(E26,0),IF(OR(Pricetype2=1,Pricetype2=4),IF(E26=0,0,(EURO(E26,Strikeprice2,0,0,($AK26+IF(Smile=TRUE(),VLOOKUP(MAX(-5,Strikeprice2-E26),Volsmile,2),0)),($A26-DateToday)+15,IF(Pricetype2=1,1,0),0))),E26)))</f>
        <v>0</v>
      </c>
      <c r="O26" s="318" t="n">
        <f aca="false">IF($A26="N/A"," ",IF(Pricetype2=2,MAX(F26,0),IF(OR(Pricetype2=1,Pricetype2=4),IF(F26=0,0,(EURO(F26,Strikeprice2,0,0,($AK26+IF(Smile=TRUE(),VLOOKUP(MAX(-5,Strikeprice2-F26),Volsmile,2),0)),($A26-DateToday)+15,IF(Pricetype2=1,1,0),0))),F26)))</f>
        <v>0</v>
      </c>
      <c r="P26" s="318" t="n">
        <f aca="false">IF($A26="N/A"," ",IF(Pricetype2=2,MAX(G26,0),IF(OR(Pricetype2=1,Pricetype2=4),IF(G26=0,0,(EURO(G26,Strikeprice2,0,0,($AK26+IF(Smile=TRUE(),VLOOKUP(MAX(-5,Strikeprice2-G26),Volsmile,2),0)),($A26-DateToday)+15,IF(Pricetype2=1,1,0),0))),G26)))</f>
        <v>0</v>
      </c>
      <c r="Q26" s="318" t="n">
        <f aca="false">IF($A26="N/A"," ",IF(Pricetype2=2,MAX(H26,0),IF(OR(Pricetype2=1,Pricetype2=4),IF(H26=0,0,(EURO(H26,Strikeprice2,0,0,($AK26+IF(Smile=TRUE(),VLOOKUP(MAX(-5,Strikeprice2-H26),Volsmile,2),0)),($A26-DateToday)+15,IF(Pricetype2=1,1,0),0))),H26)))</f>
        <v>0</v>
      </c>
      <c r="R26" s="318" t="n">
        <f aca="false">IF($A26="N/A"," ",IF(Pricetype2=2,MAX(I26,0),IF(OR(Pricetype2=1,Pricetype2=4),IF(I26=0,0,(EURO(I26,Strikeprice2,0,0,($AK26+IF(Smile=TRUE(),VLOOKUP(MAX(-5,Strikeprice2-I26),Volsmile,2),0)),($A26-DateToday)+15,IF(Pricetype2=1,1,0),0))),I26)))</f>
        <v>0</v>
      </c>
      <c r="S26" s="318" t="n">
        <f aca="false">IF($A26="N/A"," ",IF(Pricetype2=2,MAX(J26,0),IF(OR(Pricetype2=1,Pricetype2=4),IF(J26=0,0,(EURO(J26,Strikeprice2,0,0,($AK26+IF(Smile=TRUE(),VLOOKUP(MAX(-5,Strikeprice2-J26),Volsmile,2),0)),($A26-DateToday)+15,IF(Pricetype2=1,1,0),0))),J26)))</f>
        <v>0</v>
      </c>
      <c r="T26" s="318" t="n">
        <f aca="false">IF($A26="N/A"," ",IF(Pricetype2=2,MAX(K26,0),IF(OR(Pricetype2=1,Pricetype2=4),IF(K26=0,0,(EURO(K26,Strikeprice2,0,0,($AK26+IF(Smile=TRUE(),VLOOKUP(MAX(-5,Strikeprice2-K26),Volsmile,2),0)),($A26-DateToday)+15,IF(Pricetype2=1,1,0),0))),K26)))</f>
        <v>0</v>
      </c>
      <c r="U26" s="319" t="e">
        <f aca="false">IF($A26="N/A"," ",Volume2*$AM26)</f>
        <v>#N/A</v>
      </c>
      <c r="V26" s="320" t="e">
        <f aca="false">IF($A26="N/A"," ",$U26*(8*($BQ26))*L26)</f>
        <v>#N/A</v>
      </c>
      <c r="W26" s="320" t="e">
        <f aca="false">IF($A26="N/A"," ",$U26*(8*($BQ26))*M26)</f>
        <v>#N/A</v>
      </c>
      <c r="X26" s="320" t="e">
        <f aca="false">IF($A26="N/A"," ",$U26*(8*($BQ26))*N26)</f>
        <v>#N/A</v>
      </c>
      <c r="Y26" s="320" t="e">
        <f aca="false">IF($A26="N/A"," ",$U26*(8*($BR26))*O26)</f>
        <v>#N/A</v>
      </c>
      <c r="Z26" s="320" t="e">
        <f aca="false">IF($A26="N/A"," ",$U26*(8*($BR26))*P26)</f>
        <v>#N/A</v>
      </c>
      <c r="AA26" s="320" t="e">
        <f aca="false">IF($A26="N/A"," ",$U26*(8*($BR26))*Q26)</f>
        <v>#N/A</v>
      </c>
      <c r="AB26" s="320" t="e">
        <f aca="false">IF($A26="N/A"," ",$U26*(8*($BS26))*R26)</f>
        <v>#N/A</v>
      </c>
      <c r="AC26" s="320" t="e">
        <f aca="false">IF($A26="N/A"," ",$U26*(8*($BS26))*S26)</f>
        <v>#N/A</v>
      </c>
      <c r="AD26" s="320" t="e">
        <f aca="false">IF($A26="N/A"," ",$U26*(8*($BS26))*T26)</f>
        <v>#N/A</v>
      </c>
      <c r="AE26" s="320" t="e">
        <f aca="false">IF($A26="N/A"," ",SUM(V26:AD26))</f>
        <v>#N/A</v>
      </c>
      <c r="AF26" s="321" t="n">
        <f aca="false">IF(A26="N/A"," ",(VLOOKUP(A26,PowerVolTable,(IF(VolBMO2=2,7,IF(VolBMO2=1,6,8))),FALSE())))</f>
        <v>0.2</v>
      </c>
      <c r="AG26" s="321" t="n">
        <f aca="false">IF(A26="N/A"," ",(VLOOKUP(A26,IntraPowerVol,(IF(VolBMO2=2,3,IF(VolBMO2=1,2,4))),FALSE())*VLOOKUP(MONTH($A26),Volscale,2)))</f>
        <v>0.28</v>
      </c>
      <c r="AH26" s="321" t="n">
        <f aca="false">IF($A26="N/A"," ",IF(VolType2=1,AG26,AF26))</f>
        <v>0.2</v>
      </c>
      <c r="AI26" s="321" t="n">
        <f aca="false">IF($A26="N/A"," ",(VLOOKUP($A26,OffPwrVolTable,(IF(VolBMO2=2,7,IF(VolBMO2=1,6,8))),FALSE())))</f>
        <v>0.1</v>
      </c>
      <c r="AJ26" s="321" t="n">
        <f aca="false">IF($A26="N/A"," ",(VLOOKUP($A26,OffPwrVolTable,(IF(VolBMO2=2,3,IF(VolBMO2=1,2,4))),FALSE())*VLOOKUP(MONTH($A26),Volscale,2)))</f>
        <v>0.168</v>
      </c>
      <c r="AK26" s="321" t="n">
        <f aca="false">IF($A26="N/A"," ",IF(VolType2=1,AJ26,AI26))</f>
        <v>0.1</v>
      </c>
      <c r="AL26" s="321" t="e">
        <f aca="false">IF($A26="N/A"," ",IF(PV=1,0,'Pricing Inputs2'!R59))</f>
        <v>#N/A</v>
      </c>
      <c r="AM26" s="323" t="e">
        <f aca="false">IF($A26="N/A"," ",(1+AL26/2)^(-2*((EOMONTH(A26,0)+20)-DateToday)/365.25))</f>
        <v>#N/A</v>
      </c>
      <c r="BQ26" s="0" t="n">
        <f aca="false">IF($A26="N/A"," ",(VLOOKUP($A26,NumberofDaysTable,2)))</f>
        <v>19</v>
      </c>
      <c r="BR26" s="0" t="n">
        <f aca="false">IF($A26="N/A"," ",(VLOOKUP($A26,NumberofDaysTable,3)))</f>
        <v>5</v>
      </c>
      <c r="BS26" s="0" t="n">
        <f aca="false">IF($A26="N/A"," ",(VLOOKUP($A26,NumberofDaysTable,4)))</f>
        <v>6</v>
      </c>
    </row>
    <row r="27" customFormat="false" ht="12.75" hidden="false" customHeight="false" outlineLevel="0" collapsed="false">
      <c r="A27" s="315" t="n">
        <f aca="false">IF(A26="N/A","N/A",IF(EDATE(A26,1)&gt;Inputs!$P$5,"N/A",EDATE(A26,1)))</f>
        <v>37956</v>
      </c>
      <c r="B27" s="316" t="n">
        <f aca="false">IF(A27="N/A"," ",YEAR(A27))</f>
        <v>2003</v>
      </c>
      <c r="C27" s="317" t="n">
        <f aca="false">IF($A27="N/A"," ",IF(Dayrun2=10,0,IF(Scaler2=1,(VLOOKUP(A27,ScaledPrice2,4)),(VLOOKUP(A27,ScaledPrice2,2)))))</f>
        <v>30.6015609502792</v>
      </c>
      <c r="D27" s="317" t="n">
        <f aca="false">IF(A27="N/A"," ",IF(Dayrun2&gt;=7,0,IF(Scaler2=2,VLOOKUP(A27,ScaledPrice2,2),(VLOOKUP(A27,ScaledPrice2,2))*(2-(VLOOKUP(A27,ScaledPrice2,3))))))</f>
        <v>30.6015609502792</v>
      </c>
      <c r="E27" s="317" t="n">
        <f aca="false">IF($A27="N/A"," ",IF(AND(Dayrun2&gt;=4,Dayrun2&lt;=9),0,VLOOKUP($A27,ScaledPrice2,9)))</f>
        <v>0</v>
      </c>
      <c r="F27" s="317" t="n">
        <f aca="false">IF(A27="N/A"," ",IF(OR(Dayrun2=2,Dayrun2=3,Dayrun2=5,Dayrun2=6,Dayrun2=8,Dayrun2=9),VLOOKUP(A27,ScaledPrice2,IF(Scaler2=1,6,5)),0))</f>
        <v>0</v>
      </c>
      <c r="G27" s="317" t="n">
        <f aca="false">IF(A27="N/A"," ",IF(OR(Dayrun2=2,Dayrun2=3,Dayrun2=5,Dayrun2=6),IF(Scaler2=2,F27,(VLOOKUP(A27,ScaledPrice2,5))*(2-(VLOOKUP(A27,ScaledPrice2,3)))),0))</f>
        <v>0</v>
      </c>
      <c r="H27" s="317" t="n">
        <f aca="false">IF($A27="N/A"," ",IF(OR(Dayrun2=2,Dayrun2=3,Dayrun2=10),VLOOKUP($A27,ScaledPrice2,9),0))</f>
        <v>0</v>
      </c>
      <c r="I27" s="317" t="n">
        <f aca="false">IF(A27="N/A"," ",IF(OR(Dayrun2=3,Dayrun2=6,Dayrun2=9),(VLOOKUP(A27,ScaledPrice2,IF(Scaler2=2,7,8))),0))</f>
        <v>0</v>
      </c>
      <c r="J27" s="317" t="n">
        <f aca="false">IF(A27="N/A"," ",IF(OR(Dayrun2=3,Dayrun2=6),IF(Scaler2=2,I27,(VLOOKUP(A27,ScaledPrice2,7))*(2-(VLOOKUP(A27,ScaledPrice2,3)))),0))</f>
        <v>0</v>
      </c>
      <c r="K27" s="317" t="n">
        <f aca="false">IF($A27="N/A"," ",IF(OR(Dayrun2=3,Dayrun2=10),VLOOKUP($A27,ScaledPrice2,9),0))</f>
        <v>0</v>
      </c>
      <c r="L27" s="318" t="e">
        <f aca="false">IF($A27="N/A"," ",IF(Pricetype2=2,MAX(C27,0),IF(OR(Pricetype2=1,Pricetype2=4),IF(C27=0,0,(EURO(C27,Strikeprice2,0,0,($AH27+IF(Smile=TRUE(),VLOOKUP(MAX(-5,Strikeprice2-C27),Volsmile,2),0)),($A27-DateToday)+15,IF(Pricetype2=1,1,0),0))),C27)))</f>
        <v>#NAME?</v>
      </c>
      <c r="M27" s="318" t="e">
        <f aca="false">IF($A27="N/A"," ",IF(Pricetype2=2,MAX(D27,0),IF(OR(Pricetype2=1,Pricetype2=4),IF(D27=0,0,(EURO(D27,Strikeprice2,0,0,($AH27+IF(Smile=TRUE(),VLOOKUP(MAX(-5,Strikeprice2-D27),Volsmile,2),0)),($A27-DateToday)+15,IF(Pricetype2=1,1,0),0))),D27)))</f>
        <v>#NAME?</v>
      </c>
      <c r="N27" s="318" t="n">
        <f aca="false">IF($A27="N/A"," ",IF(Pricetype2=2,MAX(E27,0),IF(OR(Pricetype2=1,Pricetype2=4),IF(E27=0,0,(EURO(E27,Strikeprice2,0,0,($AK27+IF(Smile=TRUE(),VLOOKUP(MAX(-5,Strikeprice2-E27),Volsmile,2),0)),($A27-DateToday)+15,IF(Pricetype2=1,1,0),0))),E27)))</f>
        <v>0</v>
      </c>
      <c r="O27" s="318" t="n">
        <f aca="false">IF($A27="N/A"," ",IF(Pricetype2=2,MAX(F27,0),IF(OR(Pricetype2=1,Pricetype2=4),IF(F27=0,0,(EURO(F27,Strikeprice2,0,0,($AK27+IF(Smile=TRUE(),VLOOKUP(MAX(-5,Strikeprice2-F27),Volsmile,2),0)),($A27-DateToday)+15,IF(Pricetype2=1,1,0),0))),F27)))</f>
        <v>0</v>
      </c>
      <c r="P27" s="318" t="n">
        <f aca="false">IF($A27="N/A"," ",IF(Pricetype2=2,MAX(G27,0),IF(OR(Pricetype2=1,Pricetype2=4),IF(G27=0,0,(EURO(G27,Strikeprice2,0,0,($AK27+IF(Smile=TRUE(),VLOOKUP(MAX(-5,Strikeprice2-G27),Volsmile,2),0)),($A27-DateToday)+15,IF(Pricetype2=1,1,0),0))),G27)))</f>
        <v>0</v>
      </c>
      <c r="Q27" s="318" t="n">
        <f aca="false">IF($A27="N/A"," ",IF(Pricetype2=2,MAX(H27,0),IF(OR(Pricetype2=1,Pricetype2=4),IF(H27=0,0,(EURO(H27,Strikeprice2,0,0,($AK27+IF(Smile=TRUE(),VLOOKUP(MAX(-5,Strikeprice2-H27),Volsmile,2),0)),($A27-DateToday)+15,IF(Pricetype2=1,1,0),0))),H27)))</f>
        <v>0</v>
      </c>
      <c r="R27" s="318" t="n">
        <f aca="false">IF($A27="N/A"," ",IF(Pricetype2=2,MAX(I27,0),IF(OR(Pricetype2=1,Pricetype2=4),IF(I27=0,0,(EURO(I27,Strikeprice2,0,0,($AK27+IF(Smile=TRUE(),VLOOKUP(MAX(-5,Strikeprice2-I27),Volsmile,2),0)),($A27-DateToday)+15,IF(Pricetype2=1,1,0),0))),I27)))</f>
        <v>0</v>
      </c>
      <c r="S27" s="318" t="n">
        <f aca="false">IF($A27="N/A"," ",IF(Pricetype2=2,MAX(J27,0),IF(OR(Pricetype2=1,Pricetype2=4),IF(J27=0,0,(EURO(J27,Strikeprice2,0,0,($AK27+IF(Smile=TRUE(),VLOOKUP(MAX(-5,Strikeprice2-J27),Volsmile,2),0)),($A27-DateToday)+15,IF(Pricetype2=1,1,0),0))),J27)))</f>
        <v>0</v>
      </c>
      <c r="T27" s="318" t="n">
        <f aca="false">IF($A27="N/A"," ",IF(Pricetype2=2,MAX(K27,0),IF(OR(Pricetype2=1,Pricetype2=4),IF(K27=0,0,(EURO(K27,Strikeprice2,0,0,($AK27+IF(Smile=TRUE(),VLOOKUP(MAX(-5,Strikeprice2-K27),Volsmile,2),0)),($A27-DateToday)+15,IF(Pricetype2=1,1,0),0))),K27)))</f>
        <v>0</v>
      </c>
      <c r="U27" s="319" t="e">
        <f aca="false">IF($A27="N/A"," ",Volume2*$AM27)</f>
        <v>#N/A</v>
      </c>
      <c r="V27" s="320" t="e">
        <f aca="false">IF($A27="N/A"," ",$U27*(8*($BQ27))*L27)</f>
        <v>#N/A</v>
      </c>
      <c r="W27" s="320" t="e">
        <f aca="false">IF($A27="N/A"," ",$U27*(8*($BQ27))*M27)</f>
        <v>#N/A</v>
      </c>
      <c r="X27" s="320" t="e">
        <f aca="false">IF($A27="N/A"," ",$U27*(8*($BQ27))*N27)</f>
        <v>#N/A</v>
      </c>
      <c r="Y27" s="320" t="e">
        <f aca="false">IF($A27="N/A"," ",$U27*(8*($BR27))*O27)</f>
        <v>#N/A</v>
      </c>
      <c r="Z27" s="320" t="e">
        <f aca="false">IF($A27="N/A"," ",$U27*(8*($BR27))*P27)</f>
        <v>#N/A</v>
      </c>
      <c r="AA27" s="320" t="e">
        <f aca="false">IF($A27="N/A"," ",$U27*(8*($BR27))*Q27)</f>
        <v>#N/A</v>
      </c>
      <c r="AB27" s="320" t="e">
        <f aca="false">IF($A27="N/A"," ",$U27*(8*($BS27))*R27)</f>
        <v>#N/A</v>
      </c>
      <c r="AC27" s="320" t="e">
        <f aca="false">IF($A27="N/A"," ",$U27*(8*($BS27))*S27)</f>
        <v>#N/A</v>
      </c>
      <c r="AD27" s="320" t="e">
        <f aca="false">IF($A27="N/A"," ",$U27*(8*($BS27))*T27)</f>
        <v>#N/A</v>
      </c>
      <c r="AE27" s="320" t="e">
        <f aca="false">IF($A27="N/A"," ",SUM(V27:AD27))</f>
        <v>#N/A</v>
      </c>
      <c r="AF27" s="321" t="n">
        <f aca="false">IF(A27="N/A"," ",(VLOOKUP(A27,PowerVolTable,(IF(VolBMO2=2,7,IF(VolBMO2=1,6,8))),FALSE())))</f>
        <v>0.2</v>
      </c>
      <c r="AG27" s="321" t="n">
        <f aca="false">IF(A27="N/A"," ",(VLOOKUP(A27,IntraPowerVol,(IF(VolBMO2=2,3,IF(VolBMO2=1,2,4))),FALSE())*VLOOKUP(MONTH($A27),Volscale,2)))</f>
        <v>0.28</v>
      </c>
      <c r="AH27" s="321" t="n">
        <f aca="false">IF($A27="N/A"," ",IF(VolType2=1,AG27,AF27))</f>
        <v>0.2</v>
      </c>
      <c r="AI27" s="321" t="n">
        <f aca="false">IF($A27="N/A"," ",(VLOOKUP($A27,OffPwrVolTable,(IF(VolBMO2=2,7,IF(VolBMO2=1,6,8))),FALSE())))</f>
        <v>0.1</v>
      </c>
      <c r="AJ27" s="321" t="n">
        <f aca="false">IF($A27="N/A"," ",(VLOOKUP($A27,OffPwrVolTable,(IF(VolBMO2=2,3,IF(VolBMO2=1,2,4))),FALSE())*VLOOKUP(MONTH($A27),Volscale,2)))</f>
        <v>0.168</v>
      </c>
      <c r="AK27" s="321" t="n">
        <f aca="false">IF($A27="N/A"," ",IF(VolType2=1,AJ27,AI27))</f>
        <v>0.1</v>
      </c>
      <c r="AL27" s="321" t="e">
        <f aca="false">IF($A27="N/A"," ",IF(PV=1,0,'Pricing Inputs2'!R60))</f>
        <v>#N/A</v>
      </c>
      <c r="AM27" s="323" t="e">
        <f aca="false">IF($A27="N/A"," ",(1+AL27/2)^(-2*((EOMONTH(A27,0)+20)-DateToday)/365.25))</f>
        <v>#N/A</v>
      </c>
      <c r="BQ27" s="0" t="n">
        <f aca="false">IF($A27="N/A"," ",(VLOOKUP($A27,NumberofDaysTable,2)))</f>
        <v>22</v>
      </c>
      <c r="BR27" s="0" t="n">
        <f aca="false">IF($A27="N/A"," ",(VLOOKUP($A27,NumberofDaysTable,3)))</f>
        <v>4</v>
      </c>
      <c r="BS27" s="0" t="n">
        <f aca="false">IF($A27="N/A"," ",(VLOOKUP($A27,NumberofDaysTable,4)))</f>
        <v>5</v>
      </c>
    </row>
    <row r="28" customFormat="false" ht="12.75" hidden="false" customHeight="false" outlineLevel="0" collapsed="false">
      <c r="A28" s="315" t="n">
        <f aca="false">IF(A27="N/A","N/A",IF(EDATE(A27,1)&gt;Inputs!$P$5,"N/A",EDATE(A27,1)))</f>
        <v>37987</v>
      </c>
      <c r="B28" s="316" t="n">
        <f aca="false">IF(A28="N/A"," ",YEAR(A28))</f>
        <v>2004</v>
      </c>
      <c r="C28" s="317" t="n">
        <f aca="false">IF($A28="N/A"," ",IF(Dayrun2=10,0,IF(Scaler2=1,(VLOOKUP(A28,ScaledPrice2,4)),(VLOOKUP(A28,ScaledPrice2,2)))))</f>
        <v>34.3357146126883</v>
      </c>
      <c r="D28" s="317" t="n">
        <f aca="false">IF(A28="N/A"," ",IF(Dayrun2&gt;=7,0,IF(Scaler2=2,VLOOKUP(A28,ScaledPrice2,2),(VLOOKUP(A28,ScaledPrice2,2))*(2-(VLOOKUP(A28,ScaledPrice2,3))))))</f>
        <v>34.3357146126883</v>
      </c>
      <c r="E28" s="317" t="n">
        <f aca="false">IF($A28="N/A"," ",IF(AND(Dayrun2&gt;=4,Dayrun2&lt;=9),0,VLOOKUP($A28,ScaledPrice2,9)))</f>
        <v>0</v>
      </c>
      <c r="F28" s="317" t="n">
        <f aca="false">IF(A28="N/A"," ",IF(OR(Dayrun2=2,Dayrun2=3,Dayrun2=5,Dayrun2=6,Dayrun2=8,Dayrun2=9),VLOOKUP(A28,ScaledPrice2,IF(Scaler2=1,6,5)),0))</f>
        <v>0</v>
      </c>
      <c r="G28" s="317" t="n">
        <f aca="false">IF(A28="N/A"," ",IF(OR(Dayrun2=2,Dayrun2=3,Dayrun2=5,Dayrun2=6),IF(Scaler2=2,F28,(VLOOKUP(A28,ScaledPrice2,5))*(2-(VLOOKUP(A28,ScaledPrice2,3)))),0))</f>
        <v>0</v>
      </c>
      <c r="H28" s="317" t="n">
        <f aca="false">IF($A28="N/A"," ",IF(OR(Dayrun2=2,Dayrun2=3,Dayrun2=10),VLOOKUP($A28,ScaledPrice2,9),0))</f>
        <v>0</v>
      </c>
      <c r="I28" s="317" t="n">
        <f aca="false">IF(A28="N/A"," ",IF(OR(Dayrun2=3,Dayrun2=6,Dayrun2=9),(VLOOKUP(A28,ScaledPrice2,IF(Scaler2=2,7,8))),0))</f>
        <v>0</v>
      </c>
      <c r="J28" s="317" t="n">
        <f aca="false">IF(A28="N/A"," ",IF(OR(Dayrun2=3,Dayrun2=6),IF(Scaler2=2,I28,(VLOOKUP(A28,ScaledPrice2,7))*(2-(VLOOKUP(A28,ScaledPrice2,3)))),0))</f>
        <v>0</v>
      </c>
      <c r="K28" s="317" t="n">
        <f aca="false">IF($A28="N/A"," ",IF(OR(Dayrun2=3,Dayrun2=10),VLOOKUP($A28,ScaledPrice2,9),0))</f>
        <v>0</v>
      </c>
      <c r="L28" s="318" t="e">
        <f aca="false">IF($A28="N/A"," ",IF(Pricetype2=2,MAX(C28,0),IF(OR(Pricetype2=1,Pricetype2=4),IF(C28=0,0,(EURO(C28,Strikeprice2,0,0,($AH28+IF(Smile=TRUE(),VLOOKUP(MAX(-5,Strikeprice2-C28),Volsmile,2),0)),($A28-DateToday)+15,IF(Pricetype2=1,1,0),0))),C28)))</f>
        <v>#NAME?</v>
      </c>
      <c r="M28" s="318" t="e">
        <f aca="false">IF($A28="N/A"," ",IF(Pricetype2=2,MAX(D28,0),IF(OR(Pricetype2=1,Pricetype2=4),IF(D28=0,0,(EURO(D28,Strikeprice2,0,0,($AH28+IF(Smile=TRUE(),VLOOKUP(MAX(-5,Strikeprice2-D28),Volsmile,2),0)),($A28-DateToday)+15,IF(Pricetype2=1,1,0),0))),D28)))</f>
        <v>#NAME?</v>
      </c>
      <c r="N28" s="318" t="n">
        <f aca="false">IF($A28="N/A"," ",IF(Pricetype2=2,MAX(E28,0),IF(OR(Pricetype2=1,Pricetype2=4),IF(E28=0,0,(EURO(E28,Strikeprice2,0,0,($AK28+IF(Smile=TRUE(),VLOOKUP(MAX(-5,Strikeprice2-E28),Volsmile,2),0)),($A28-DateToday)+15,IF(Pricetype2=1,1,0),0))),E28)))</f>
        <v>0</v>
      </c>
      <c r="O28" s="318" t="n">
        <f aca="false">IF($A28="N/A"," ",IF(Pricetype2=2,MAX(F28,0),IF(OR(Pricetype2=1,Pricetype2=4),IF(F28=0,0,(EURO(F28,Strikeprice2,0,0,($AK28+IF(Smile=TRUE(),VLOOKUP(MAX(-5,Strikeprice2-F28),Volsmile,2),0)),($A28-DateToday)+15,IF(Pricetype2=1,1,0),0))),F28)))</f>
        <v>0</v>
      </c>
      <c r="P28" s="318" t="n">
        <f aca="false">IF($A28="N/A"," ",IF(Pricetype2=2,MAX(G28,0),IF(OR(Pricetype2=1,Pricetype2=4),IF(G28=0,0,(EURO(G28,Strikeprice2,0,0,($AK28+IF(Smile=TRUE(),VLOOKUP(MAX(-5,Strikeprice2-G28),Volsmile,2),0)),($A28-DateToday)+15,IF(Pricetype2=1,1,0),0))),G28)))</f>
        <v>0</v>
      </c>
      <c r="Q28" s="318" t="n">
        <f aca="false">IF($A28="N/A"," ",IF(Pricetype2=2,MAX(H28,0),IF(OR(Pricetype2=1,Pricetype2=4),IF(H28=0,0,(EURO(H28,Strikeprice2,0,0,($AK28+IF(Smile=TRUE(),VLOOKUP(MAX(-5,Strikeprice2-H28),Volsmile,2),0)),($A28-DateToday)+15,IF(Pricetype2=1,1,0),0))),H28)))</f>
        <v>0</v>
      </c>
      <c r="R28" s="318" t="n">
        <f aca="false">IF($A28="N/A"," ",IF(Pricetype2=2,MAX(I28,0),IF(OR(Pricetype2=1,Pricetype2=4),IF(I28=0,0,(EURO(I28,Strikeprice2,0,0,($AK28+IF(Smile=TRUE(),VLOOKUP(MAX(-5,Strikeprice2-I28),Volsmile,2),0)),($A28-DateToday)+15,IF(Pricetype2=1,1,0),0))),I28)))</f>
        <v>0</v>
      </c>
      <c r="S28" s="318" t="n">
        <f aca="false">IF($A28="N/A"," ",IF(Pricetype2=2,MAX(J28,0),IF(OR(Pricetype2=1,Pricetype2=4),IF(J28=0,0,(EURO(J28,Strikeprice2,0,0,($AK28+IF(Smile=TRUE(),VLOOKUP(MAX(-5,Strikeprice2-J28),Volsmile,2),0)),($A28-DateToday)+15,IF(Pricetype2=1,1,0),0))),J28)))</f>
        <v>0</v>
      </c>
      <c r="T28" s="318" t="n">
        <f aca="false">IF($A28="N/A"," ",IF(Pricetype2=2,MAX(K28,0),IF(OR(Pricetype2=1,Pricetype2=4),IF(K28=0,0,(EURO(K28,Strikeprice2,0,0,($AK28+IF(Smile=TRUE(),VLOOKUP(MAX(-5,Strikeprice2-K28),Volsmile,2),0)),($A28-DateToday)+15,IF(Pricetype2=1,1,0),0))),K28)))</f>
        <v>0</v>
      </c>
      <c r="U28" s="319" t="e">
        <f aca="false">IF($A28="N/A"," ",Volume2*$AM28)</f>
        <v>#N/A</v>
      </c>
      <c r="V28" s="320" t="e">
        <f aca="false">IF($A28="N/A"," ",$U28*(8*($BQ28))*L28)</f>
        <v>#N/A</v>
      </c>
      <c r="W28" s="320" t="e">
        <f aca="false">IF($A28="N/A"," ",$U28*(8*($BQ28))*M28)</f>
        <v>#N/A</v>
      </c>
      <c r="X28" s="320" t="e">
        <f aca="false">IF($A28="N/A"," ",$U28*(8*($BQ28))*N28)</f>
        <v>#N/A</v>
      </c>
      <c r="Y28" s="320" t="e">
        <f aca="false">IF($A28="N/A"," ",$U28*(8*($BR28))*O28)</f>
        <v>#N/A</v>
      </c>
      <c r="Z28" s="320" t="e">
        <f aca="false">IF($A28="N/A"," ",$U28*(8*($BR28))*P28)</f>
        <v>#N/A</v>
      </c>
      <c r="AA28" s="320" t="e">
        <f aca="false">IF($A28="N/A"," ",$U28*(8*($BR28))*Q28)</f>
        <v>#N/A</v>
      </c>
      <c r="AB28" s="320" t="e">
        <f aca="false">IF($A28="N/A"," ",$U28*(8*($BS28))*R28)</f>
        <v>#N/A</v>
      </c>
      <c r="AC28" s="320" t="e">
        <f aca="false">IF($A28="N/A"," ",$U28*(8*($BS28))*S28)</f>
        <v>#N/A</v>
      </c>
      <c r="AD28" s="320" t="e">
        <f aca="false">IF($A28="N/A"," ",$U28*(8*($BS28))*T28)</f>
        <v>#N/A</v>
      </c>
      <c r="AE28" s="320" t="e">
        <f aca="false">IF($A28="N/A"," ",SUM(V28:AD28))</f>
        <v>#N/A</v>
      </c>
      <c r="AF28" s="321" t="n">
        <f aca="false">IF(A28="N/A"," ",(VLOOKUP(A28,PowerVolTable,(IF(VolBMO2=2,7,IF(VolBMO2=1,6,8))),FALSE())))</f>
        <v>0.16</v>
      </c>
      <c r="AG28" s="321" t="n">
        <f aca="false">IF(A28="N/A"," ",(VLOOKUP(A28,IntraPowerVol,(IF(VolBMO2=2,3,IF(VolBMO2=1,2,4))),FALSE())*VLOOKUP(MONTH($A28),Volscale,2)))</f>
        <v>0.28</v>
      </c>
      <c r="AH28" s="321" t="n">
        <f aca="false">IF($A28="N/A"," ",IF(VolType2=1,AG28,AF28))</f>
        <v>0.16</v>
      </c>
      <c r="AI28" s="321" t="n">
        <f aca="false">IF($A28="N/A"," ",(VLOOKUP($A28,OffPwrVolTable,(IF(VolBMO2=2,7,IF(VolBMO2=1,6,8))),FALSE())))</f>
        <v>0.08</v>
      </c>
      <c r="AJ28" s="321" t="n">
        <f aca="false">IF($A28="N/A"," ",(VLOOKUP($A28,OffPwrVolTable,(IF(VolBMO2=2,3,IF(VolBMO2=1,2,4))),FALSE())*VLOOKUP(MONTH($A28),Volscale,2)))</f>
        <v>0.168</v>
      </c>
      <c r="AK28" s="321" t="n">
        <f aca="false">IF($A28="N/A"," ",IF(VolType2=1,AJ28,AI28))</f>
        <v>0.08</v>
      </c>
      <c r="AL28" s="321" t="e">
        <f aca="false">IF($A28="N/A"," ",IF(PV=1,0,'Pricing Inputs2'!R61))</f>
        <v>#N/A</v>
      </c>
      <c r="AM28" s="323" t="e">
        <f aca="false">IF($A28="N/A"," ",(1+AL28/2)^(-2*((EOMONTH(A28,0)+20)-DateToday)/365.25))</f>
        <v>#N/A</v>
      </c>
      <c r="BQ28" s="0" t="n">
        <f aca="false">IF($A28="N/A"," ",(VLOOKUP($A28,NumberofDaysTable,2)))</f>
        <v>21</v>
      </c>
      <c r="BR28" s="0" t="n">
        <f aca="false">IF($A28="N/A"," ",(VLOOKUP($A28,NumberofDaysTable,3)))</f>
        <v>5</v>
      </c>
      <c r="BS28" s="0" t="n">
        <f aca="false">IF($A28="N/A"," ",(VLOOKUP($A28,NumberofDaysTable,4)))</f>
        <v>5</v>
      </c>
    </row>
    <row r="29" customFormat="false" ht="12.75" hidden="false" customHeight="false" outlineLevel="0" collapsed="false">
      <c r="A29" s="315" t="n">
        <f aca="false">IF(A28="N/A","N/A",IF(EDATE(A28,1)&gt;Inputs!$P$5,"N/A",EDATE(A28,1)))</f>
        <v>38018</v>
      </c>
      <c r="B29" s="316" t="n">
        <f aca="false">IF(A29="N/A"," ",YEAR(A29))</f>
        <v>2004</v>
      </c>
      <c r="C29" s="317" t="n">
        <f aca="false">IF($A29="N/A"," ",IF(Dayrun2=10,0,IF(Scaler2=1,(VLOOKUP(A29,ScaledPrice2,4)),(VLOOKUP(A29,ScaledPrice2,2)))))</f>
        <v>33.7357085091727</v>
      </c>
      <c r="D29" s="317" t="n">
        <f aca="false">IF(A29="N/A"," ",IF(Dayrun2&gt;=7,0,IF(Scaler2=2,VLOOKUP(A29,ScaledPrice2,2),(VLOOKUP(A29,ScaledPrice2,2))*(2-(VLOOKUP(A29,ScaledPrice2,3))))))</f>
        <v>33.7357085091727</v>
      </c>
      <c r="E29" s="317" t="n">
        <f aca="false">IF($A29="N/A"," ",IF(AND(Dayrun2&gt;=4,Dayrun2&lt;=9),0,VLOOKUP($A29,ScaledPrice2,9)))</f>
        <v>0</v>
      </c>
      <c r="F29" s="317" t="n">
        <f aca="false">IF(A29="N/A"," ",IF(OR(Dayrun2=2,Dayrun2=3,Dayrun2=5,Dayrun2=6,Dayrun2=8,Dayrun2=9),VLOOKUP(A29,ScaledPrice2,IF(Scaler2=1,6,5)),0))</f>
        <v>0</v>
      </c>
      <c r="G29" s="317" t="n">
        <f aca="false">IF(A29="N/A"," ",IF(OR(Dayrun2=2,Dayrun2=3,Dayrun2=5,Dayrun2=6),IF(Scaler2=2,F29,(VLOOKUP(A29,ScaledPrice2,5))*(2-(VLOOKUP(A29,ScaledPrice2,3)))),0))</f>
        <v>0</v>
      </c>
      <c r="H29" s="317" t="n">
        <f aca="false">IF($A29="N/A"," ",IF(OR(Dayrun2=2,Dayrun2=3,Dayrun2=10),VLOOKUP($A29,ScaledPrice2,9),0))</f>
        <v>0</v>
      </c>
      <c r="I29" s="317" t="n">
        <f aca="false">IF(A29="N/A"," ",IF(OR(Dayrun2=3,Dayrun2=6,Dayrun2=9),(VLOOKUP(A29,ScaledPrice2,IF(Scaler2=2,7,8))),0))</f>
        <v>0</v>
      </c>
      <c r="J29" s="317" t="n">
        <f aca="false">IF(A29="N/A"," ",IF(OR(Dayrun2=3,Dayrun2=6),IF(Scaler2=2,I29,(VLOOKUP(A29,ScaledPrice2,7))*(2-(VLOOKUP(A29,ScaledPrice2,3)))),0))</f>
        <v>0</v>
      </c>
      <c r="K29" s="317" t="n">
        <f aca="false">IF($A29="N/A"," ",IF(OR(Dayrun2=3,Dayrun2=10),VLOOKUP($A29,ScaledPrice2,9),0))</f>
        <v>0</v>
      </c>
      <c r="L29" s="318" t="e">
        <f aca="false">IF($A29="N/A"," ",IF(Pricetype2=2,MAX(C29,0),IF(OR(Pricetype2=1,Pricetype2=4),IF(C29=0,0,(EURO(C29,Strikeprice2,0,0,($AH29+IF(Smile=TRUE(),VLOOKUP(MAX(-5,Strikeprice2-C29),Volsmile,2),0)),($A29-DateToday)+15,IF(Pricetype2=1,1,0),0))),C29)))</f>
        <v>#NAME?</v>
      </c>
      <c r="M29" s="318" t="e">
        <f aca="false">IF($A29="N/A"," ",IF(Pricetype2=2,MAX(D29,0),IF(OR(Pricetype2=1,Pricetype2=4),IF(D29=0,0,(EURO(D29,Strikeprice2,0,0,($AH29+IF(Smile=TRUE(),VLOOKUP(MAX(-5,Strikeprice2-D29),Volsmile,2),0)),($A29-DateToday)+15,IF(Pricetype2=1,1,0),0))),D29)))</f>
        <v>#NAME?</v>
      </c>
      <c r="N29" s="318" t="n">
        <f aca="false">IF($A29="N/A"," ",IF(Pricetype2=2,MAX(E29,0),IF(OR(Pricetype2=1,Pricetype2=4),IF(E29=0,0,(EURO(E29,Strikeprice2,0,0,($AK29+IF(Smile=TRUE(),VLOOKUP(MAX(-5,Strikeprice2-E29),Volsmile,2),0)),($A29-DateToday)+15,IF(Pricetype2=1,1,0),0))),E29)))</f>
        <v>0</v>
      </c>
      <c r="O29" s="318" t="n">
        <f aca="false">IF($A29="N/A"," ",IF(Pricetype2=2,MAX(F29,0),IF(OR(Pricetype2=1,Pricetype2=4),IF(F29=0,0,(EURO(F29,Strikeprice2,0,0,($AK29+IF(Smile=TRUE(),VLOOKUP(MAX(-5,Strikeprice2-F29),Volsmile,2),0)),($A29-DateToday)+15,IF(Pricetype2=1,1,0),0))),F29)))</f>
        <v>0</v>
      </c>
      <c r="P29" s="318" t="n">
        <f aca="false">IF($A29="N/A"," ",IF(Pricetype2=2,MAX(G29,0),IF(OR(Pricetype2=1,Pricetype2=4),IF(G29=0,0,(EURO(G29,Strikeprice2,0,0,($AK29+IF(Smile=TRUE(),VLOOKUP(MAX(-5,Strikeprice2-G29),Volsmile,2),0)),($A29-DateToday)+15,IF(Pricetype2=1,1,0),0))),G29)))</f>
        <v>0</v>
      </c>
      <c r="Q29" s="318" t="n">
        <f aca="false">IF($A29="N/A"," ",IF(Pricetype2=2,MAX(H29,0),IF(OR(Pricetype2=1,Pricetype2=4),IF(H29=0,0,(EURO(H29,Strikeprice2,0,0,($AK29+IF(Smile=TRUE(),VLOOKUP(MAX(-5,Strikeprice2-H29),Volsmile,2),0)),($A29-DateToday)+15,IF(Pricetype2=1,1,0),0))),H29)))</f>
        <v>0</v>
      </c>
      <c r="R29" s="318" t="n">
        <f aca="false">IF($A29="N/A"," ",IF(Pricetype2=2,MAX(I29,0),IF(OR(Pricetype2=1,Pricetype2=4),IF(I29=0,0,(EURO(I29,Strikeprice2,0,0,($AK29+IF(Smile=TRUE(),VLOOKUP(MAX(-5,Strikeprice2-I29),Volsmile,2),0)),($A29-DateToday)+15,IF(Pricetype2=1,1,0),0))),I29)))</f>
        <v>0</v>
      </c>
      <c r="S29" s="318" t="n">
        <f aca="false">IF($A29="N/A"," ",IF(Pricetype2=2,MAX(J29,0),IF(OR(Pricetype2=1,Pricetype2=4),IF(J29=0,0,(EURO(J29,Strikeprice2,0,0,($AK29+IF(Smile=TRUE(),VLOOKUP(MAX(-5,Strikeprice2-J29),Volsmile,2),0)),($A29-DateToday)+15,IF(Pricetype2=1,1,0),0))),J29)))</f>
        <v>0</v>
      </c>
      <c r="T29" s="318" t="n">
        <f aca="false">IF($A29="N/A"," ",IF(Pricetype2=2,MAX(K29,0),IF(OR(Pricetype2=1,Pricetype2=4),IF(K29=0,0,(EURO(K29,Strikeprice2,0,0,($AK29+IF(Smile=TRUE(),VLOOKUP(MAX(-5,Strikeprice2-K29),Volsmile,2),0)),($A29-DateToday)+15,IF(Pricetype2=1,1,0),0))),K29)))</f>
        <v>0</v>
      </c>
      <c r="U29" s="319" t="e">
        <f aca="false">IF($A29="N/A"," ",Volume2*$AM29)</f>
        <v>#N/A</v>
      </c>
      <c r="V29" s="320" t="e">
        <f aca="false">IF($A29="N/A"," ",$U29*(8*($BQ29))*L29)</f>
        <v>#N/A</v>
      </c>
      <c r="W29" s="320" t="e">
        <f aca="false">IF($A29="N/A"," ",$U29*(8*($BQ29))*M29)</f>
        <v>#N/A</v>
      </c>
      <c r="X29" s="320" t="e">
        <f aca="false">IF($A29="N/A"," ",$U29*(8*($BQ29))*N29)</f>
        <v>#N/A</v>
      </c>
      <c r="Y29" s="320" t="e">
        <f aca="false">IF($A29="N/A"," ",$U29*(8*($BR29))*O29)</f>
        <v>#N/A</v>
      </c>
      <c r="Z29" s="320" t="e">
        <f aca="false">IF($A29="N/A"," ",$U29*(8*($BR29))*P29)</f>
        <v>#N/A</v>
      </c>
      <c r="AA29" s="320" t="e">
        <f aca="false">IF($A29="N/A"," ",$U29*(8*($BR29))*Q29)</f>
        <v>#N/A</v>
      </c>
      <c r="AB29" s="320" t="e">
        <f aca="false">IF($A29="N/A"," ",$U29*(8*($BS29))*R29)</f>
        <v>#N/A</v>
      </c>
      <c r="AC29" s="320" t="e">
        <f aca="false">IF($A29="N/A"," ",$U29*(8*($BS29))*S29)</f>
        <v>#N/A</v>
      </c>
      <c r="AD29" s="320" t="e">
        <f aca="false">IF($A29="N/A"," ",$U29*(8*($BS29))*T29)</f>
        <v>#N/A</v>
      </c>
      <c r="AE29" s="320" t="e">
        <f aca="false">IF($A29="N/A"," ",SUM(V29:AD29))</f>
        <v>#N/A</v>
      </c>
      <c r="AF29" s="321" t="n">
        <f aca="false">IF(A29="N/A"," ",(VLOOKUP(A29,PowerVolTable,(IF(VolBMO2=2,7,IF(VolBMO2=1,6,8))),FALSE())))</f>
        <v>0.16</v>
      </c>
      <c r="AG29" s="321" t="n">
        <f aca="false">IF(A29="N/A"," ",(VLOOKUP(A29,IntraPowerVol,(IF(VolBMO2=2,3,IF(VolBMO2=1,2,4))),FALSE())*VLOOKUP(MONTH($A29),Volscale,2)))</f>
        <v>0.28</v>
      </c>
      <c r="AH29" s="321" t="n">
        <f aca="false">IF($A29="N/A"," ",IF(VolType2=1,AG29,AF29))</f>
        <v>0.16</v>
      </c>
      <c r="AI29" s="321" t="n">
        <f aca="false">IF($A29="N/A"," ",(VLOOKUP($A29,OffPwrVolTable,(IF(VolBMO2=2,7,IF(VolBMO2=1,6,8))),FALSE())))</f>
        <v>0.08</v>
      </c>
      <c r="AJ29" s="321" t="n">
        <f aca="false">IF($A29="N/A"," ",(VLOOKUP($A29,OffPwrVolTable,(IF(VolBMO2=2,3,IF(VolBMO2=1,2,4))),FALSE())*VLOOKUP(MONTH($A29),Volscale,2)))</f>
        <v>0.168</v>
      </c>
      <c r="AK29" s="321" t="n">
        <f aca="false">IF($A29="N/A"," ",IF(VolType2=1,AJ29,AI29))</f>
        <v>0.08</v>
      </c>
      <c r="AL29" s="321" t="e">
        <f aca="false">IF($A29="N/A"," ",IF(PV=1,0,'Pricing Inputs2'!R62))</f>
        <v>#N/A</v>
      </c>
      <c r="AM29" s="323" t="e">
        <f aca="false">IF($A29="N/A"," ",(1+AL29/2)^(-2*((EOMONTH(A29,0)+20)-DateToday)/365.25))</f>
        <v>#N/A</v>
      </c>
      <c r="BQ29" s="0" t="n">
        <f aca="false">IF($A29="N/A"," ",(VLOOKUP($A29,NumberofDaysTable,2)))</f>
        <v>20</v>
      </c>
      <c r="BR29" s="0" t="n">
        <f aca="false">IF($A29="N/A"," ",(VLOOKUP($A29,NumberofDaysTable,3)))</f>
        <v>4</v>
      </c>
      <c r="BS29" s="0" t="n">
        <f aca="false">IF($A29="N/A"," ",(VLOOKUP($A29,NumberofDaysTable,4)))</f>
        <v>5</v>
      </c>
    </row>
    <row r="30" customFormat="false" ht="12.75" hidden="false" customHeight="false" outlineLevel="0" collapsed="false">
      <c r="A30" s="315" t="n">
        <f aca="false">IF(A29="N/A","N/A",IF(EDATE(A29,1)&gt;Inputs!$P$5,"N/A",EDATE(A29,1)))</f>
        <v>38047</v>
      </c>
      <c r="B30" s="316" t="n">
        <f aca="false">IF(A30="N/A"," ",YEAR(A30))</f>
        <v>2004</v>
      </c>
      <c r="C30" s="317" t="n">
        <f aca="false">IF($A30="N/A"," ",IF(Dayrun2=10,0,IF(Scaler2=1,(VLOOKUP(A30,ScaledPrice2,4)),(VLOOKUP(A30,ScaledPrice2,2)))))</f>
        <v>32.4476771687352</v>
      </c>
      <c r="D30" s="317" t="n">
        <f aca="false">IF(A30="N/A"," ",IF(Dayrun2&gt;=7,0,IF(Scaler2=2,VLOOKUP(A30,ScaledPrice2,2),(VLOOKUP(A30,ScaledPrice2,2))*(2-(VLOOKUP(A30,ScaledPrice2,3))))))</f>
        <v>32.4476771687352</v>
      </c>
      <c r="E30" s="317" t="n">
        <f aca="false">IF($A30="N/A"," ",IF(AND(Dayrun2&gt;=4,Dayrun2&lt;=9),0,VLOOKUP($A30,ScaledPrice2,9)))</f>
        <v>0</v>
      </c>
      <c r="F30" s="317" t="n">
        <f aca="false">IF(A30="N/A"," ",IF(OR(Dayrun2=2,Dayrun2=3,Dayrun2=5,Dayrun2=6,Dayrun2=8,Dayrun2=9),VLOOKUP(A30,ScaledPrice2,IF(Scaler2=1,6,5)),0))</f>
        <v>0</v>
      </c>
      <c r="G30" s="317" t="n">
        <f aca="false">IF(A30="N/A"," ",IF(OR(Dayrun2=2,Dayrun2=3,Dayrun2=5,Dayrun2=6),IF(Scaler2=2,F30,(VLOOKUP(A30,ScaledPrice2,5))*(2-(VLOOKUP(A30,ScaledPrice2,3)))),0))</f>
        <v>0</v>
      </c>
      <c r="H30" s="317" t="n">
        <f aca="false">IF($A30="N/A"," ",IF(OR(Dayrun2=2,Dayrun2=3,Dayrun2=10),VLOOKUP($A30,ScaledPrice2,9),0))</f>
        <v>0</v>
      </c>
      <c r="I30" s="317" t="n">
        <f aca="false">IF(A30="N/A"," ",IF(OR(Dayrun2=3,Dayrun2=6,Dayrun2=9),(VLOOKUP(A30,ScaledPrice2,IF(Scaler2=2,7,8))),0))</f>
        <v>0</v>
      </c>
      <c r="J30" s="317" t="n">
        <f aca="false">IF(A30="N/A"," ",IF(OR(Dayrun2=3,Dayrun2=6),IF(Scaler2=2,I30,(VLOOKUP(A30,ScaledPrice2,7))*(2-(VLOOKUP(A30,ScaledPrice2,3)))),0))</f>
        <v>0</v>
      </c>
      <c r="K30" s="317" t="n">
        <f aca="false">IF($A30="N/A"," ",IF(OR(Dayrun2=3,Dayrun2=10),VLOOKUP($A30,ScaledPrice2,9),0))</f>
        <v>0</v>
      </c>
      <c r="L30" s="318" t="e">
        <f aca="false">IF($A30="N/A"," ",IF(Pricetype2=2,MAX(C30,0),IF(OR(Pricetype2=1,Pricetype2=4),IF(C30=0,0,(EURO(C30,Strikeprice2,0,0,($AH30+IF(Smile=TRUE(),VLOOKUP(MAX(-5,Strikeprice2-C30),Volsmile,2),0)),($A30-DateToday)+15,IF(Pricetype2=1,1,0),0))),C30)))</f>
        <v>#NAME?</v>
      </c>
      <c r="M30" s="318" t="e">
        <f aca="false">IF($A30="N/A"," ",IF(Pricetype2=2,MAX(D30,0),IF(OR(Pricetype2=1,Pricetype2=4),IF(D30=0,0,(EURO(D30,Strikeprice2,0,0,($AH30+IF(Smile=TRUE(),VLOOKUP(MAX(-5,Strikeprice2-D30),Volsmile,2),0)),($A30-DateToday)+15,IF(Pricetype2=1,1,0),0))),D30)))</f>
        <v>#NAME?</v>
      </c>
      <c r="N30" s="318" t="n">
        <f aca="false">IF($A30="N/A"," ",IF(Pricetype2=2,MAX(E30,0),IF(OR(Pricetype2=1,Pricetype2=4),IF(E30=0,0,(EURO(E30,Strikeprice2,0,0,($AK30+IF(Smile=TRUE(),VLOOKUP(MAX(-5,Strikeprice2-E30),Volsmile,2),0)),($A30-DateToday)+15,IF(Pricetype2=1,1,0),0))),E30)))</f>
        <v>0</v>
      </c>
      <c r="O30" s="318" t="n">
        <f aca="false">IF($A30="N/A"," ",IF(Pricetype2=2,MAX(F30,0),IF(OR(Pricetype2=1,Pricetype2=4),IF(F30=0,0,(EURO(F30,Strikeprice2,0,0,($AK30+IF(Smile=TRUE(),VLOOKUP(MAX(-5,Strikeprice2-F30),Volsmile,2),0)),($A30-DateToday)+15,IF(Pricetype2=1,1,0),0))),F30)))</f>
        <v>0</v>
      </c>
      <c r="P30" s="318" t="n">
        <f aca="false">IF($A30="N/A"," ",IF(Pricetype2=2,MAX(G30,0),IF(OR(Pricetype2=1,Pricetype2=4),IF(G30=0,0,(EURO(G30,Strikeprice2,0,0,($AK30+IF(Smile=TRUE(),VLOOKUP(MAX(-5,Strikeprice2-G30),Volsmile,2),0)),($A30-DateToday)+15,IF(Pricetype2=1,1,0),0))),G30)))</f>
        <v>0</v>
      </c>
      <c r="Q30" s="318" t="n">
        <f aca="false">IF($A30="N/A"," ",IF(Pricetype2=2,MAX(H30,0),IF(OR(Pricetype2=1,Pricetype2=4),IF(H30=0,0,(EURO(H30,Strikeprice2,0,0,($AK30+IF(Smile=TRUE(),VLOOKUP(MAX(-5,Strikeprice2-H30),Volsmile,2),0)),($A30-DateToday)+15,IF(Pricetype2=1,1,0),0))),H30)))</f>
        <v>0</v>
      </c>
      <c r="R30" s="318" t="n">
        <f aca="false">IF($A30="N/A"," ",IF(Pricetype2=2,MAX(I30,0),IF(OR(Pricetype2=1,Pricetype2=4),IF(I30=0,0,(EURO(I30,Strikeprice2,0,0,($AK30+IF(Smile=TRUE(),VLOOKUP(MAX(-5,Strikeprice2-I30),Volsmile,2),0)),($A30-DateToday)+15,IF(Pricetype2=1,1,0),0))),I30)))</f>
        <v>0</v>
      </c>
      <c r="S30" s="318" t="n">
        <f aca="false">IF($A30="N/A"," ",IF(Pricetype2=2,MAX(J30,0),IF(OR(Pricetype2=1,Pricetype2=4),IF(J30=0,0,(EURO(J30,Strikeprice2,0,0,($AK30+IF(Smile=TRUE(),VLOOKUP(MAX(-5,Strikeprice2-J30),Volsmile,2),0)),($A30-DateToday)+15,IF(Pricetype2=1,1,0),0))),J30)))</f>
        <v>0</v>
      </c>
      <c r="T30" s="318" t="n">
        <f aca="false">IF($A30="N/A"," ",IF(Pricetype2=2,MAX(K30,0),IF(OR(Pricetype2=1,Pricetype2=4),IF(K30=0,0,(EURO(K30,Strikeprice2,0,0,($AK30+IF(Smile=TRUE(),VLOOKUP(MAX(-5,Strikeprice2-K30),Volsmile,2),0)),($A30-DateToday)+15,IF(Pricetype2=1,1,0),0))),K30)))</f>
        <v>0</v>
      </c>
      <c r="U30" s="319" t="e">
        <f aca="false">IF($A30="N/A"," ",Volume2*$AM30)</f>
        <v>#N/A</v>
      </c>
      <c r="V30" s="320" t="e">
        <f aca="false">IF($A30="N/A"," ",$U30*(8*($BQ30))*L30)</f>
        <v>#N/A</v>
      </c>
      <c r="W30" s="320" t="e">
        <f aca="false">IF($A30="N/A"," ",$U30*(8*($BQ30))*M30)</f>
        <v>#N/A</v>
      </c>
      <c r="X30" s="320" t="e">
        <f aca="false">IF($A30="N/A"," ",$U30*(8*($BQ30))*N30)</f>
        <v>#N/A</v>
      </c>
      <c r="Y30" s="320" t="e">
        <f aca="false">IF($A30="N/A"," ",$U30*(8*($BR30))*O30)</f>
        <v>#N/A</v>
      </c>
      <c r="Z30" s="320" t="e">
        <f aca="false">IF($A30="N/A"," ",$U30*(8*($BR30))*P30)</f>
        <v>#N/A</v>
      </c>
      <c r="AA30" s="320" t="e">
        <f aca="false">IF($A30="N/A"," ",$U30*(8*($BR30))*Q30)</f>
        <v>#N/A</v>
      </c>
      <c r="AB30" s="320" t="e">
        <f aca="false">IF($A30="N/A"," ",$U30*(8*($BS30))*R30)</f>
        <v>#N/A</v>
      </c>
      <c r="AC30" s="320" t="e">
        <f aca="false">IF($A30="N/A"," ",$U30*(8*($BS30))*S30)</f>
        <v>#N/A</v>
      </c>
      <c r="AD30" s="320" t="e">
        <f aca="false">IF($A30="N/A"," ",$U30*(8*($BS30))*T30)</f>
        <v>#N/A</v>
      </c>
      <c r="AE30" s="320" t="e">
        <f aca="false">IF($A30="N/A"," ",SUM(V30:AD30))</f>
        <v>#N/A</v>
      </c>
      <c r="AF30" s="321" t="n">
        <f aca="false">IF(A30="N/A"," ",(VLOOKUP(A30,PowerVolTable,(IF(VolBMO2=2,7,IF(VolBMO2=1,6,8))),FALSE())))</f>
        <v>0.16</v>
      </c>
      <c r="AG30" s="321" t="n">
        <f aca="false">IF(A30="N/A"," ",(VLOOKUP(A30,IntraPowerVol,(IF(VolBMO2=2,3,IF(VolBMO2=1,2,4))),FALSE())*VLOOKUP(MONTH($A30),Volscale,2)))</f>
        <v>0.28</v>
      </c>
      <c r="AH30" s="321" t="n">
        <f aca="false">IF($A30="N/A"," ",IF(VolType2=1,AG30,AF30))</f>
        <v>0.16</v>
      </c>
      <c r="AI30" s="321" t="n">
        <f aca="false">IF($A30="N/A"," ",(VLOOKUP($A30,OffPwrVolTable,(IF(VolBMO2=2,7,IF(VolBMO2=1,6,8))),FALSE())))</f>
        <v>0.08</v>
      </c>
      <c r="AJ30" s="321" t="n">
        <f aca="false">IF($A30="N/A"," ",(VLOOKUP($A30,OffPwrVolTable,(IF(VolBMO2=2,3,IF(VolBMO2=1,2,4))),FALSE())*VLOOKUP(MONTH($A30),Volscale,2)))</f>
        <v>0.168</v>
      </c>
      <c r="AK30" s="321" t="n">
        <f aca="false">IF($A30="N/A"," ",IF(VolType2=1,AJ30,AI30))</f>
        <v>0.08</v>
      </c>
      <c r="AL30" s="321" t="e">
        <f aca="false">IF($A30="N/A"," ",IF(PV=1,0,'Pricing Inputs2'!R63))</f>
        <v>#N/A</v>
      </c>
      <c r="AM30" s="323" t="e">
        <f aca="false">IF($A30="N/A"," ",(1+AL30/2)^(-2*((EOMONTH(A30,0)+20)-DateToday)/365.25))</f>
        <v>#N/A</v>
      </c>
      <c r="BQ30" s="0" t="n">
        <f aca="false">IF($A30="N/A"," ",(VLOOKUP($A30,NumberofDaysTable,2)))</f>
        <v>23</v>
      </c>
      <c r="BR30" s="0" t="n">
        <f aca="false">IF($A30="N/A"," ",(VLOOKUP($A30,NumberofDaysTable,3)))</f>
        <v>4</v>
      </c>
      <c r="BS30" s="0" t="n">
        <f aca="false">IF($A30="N/A"," ",(VLOOKUP($A30,NumberofDaysTable,4)))</f>
        <v>4</v>
      </c>
    </row>
    <row r="31" customFormat="false" ht="12.75" hidden="false" customHeight="false" outlineLevel="0" collapsed="false">
      <c r="A31" s="315" t="n">
        <f aca="false">IF(A30="N/A","N/A",IF(EDATE(A30,1)&gt;Inputs!$P$5,"N/A",EDATE(A30,1)))</f>
        <v>38078</v>
      </c>
      <c r="B31" s="316" t="n">
        <f aca="false">IF(A31="N/A"," ",YEAR(A31))</f>
        <v>2004</v>
      </c>
      <c r="C31" s="317" t="n">
        <f aca="false">IF($A31="N/A"," ",IF(Dayrun2=10,0,IF(Scaler2=1,(VLOOKUP(A31,ScaledPrice2,4)),(VLOOKUP(A31,ScaledPrice2,2)))))</f>
        <v>32.6476779316747</v>
      </c>
      <c r="D31" s="317" t="n">
        <f aca="false">IF(A31="N/A"," ",IF(Dayrun2&gt;=7,0,IF(Scaler2=2,VLOOKUP(A31,ScaledPrice2,2),(VLOOKUP(A31,ScaledPrice2,2))*(2-(VLOOKUP(A31,ScaledPrice2,3))))))</f>
        <v>32.6476779316747</v>
      </c>
      <c r="E31" s="317" t="n">
        <f aca="false">IF($A31="N/A"," ",IF(AND(Dayrun2&gt;=4,Dayrun2&lt;=9),0,VLOOKUP($A31,ScaledPrice2,9)))</f>
        <v>0</v>
      </c>
      <c r="F31" s="317" t="n">
        <f aca="false">IF(A31="N/A"," ",IF(OR(Dayrun2=2,Dayrun2=3,Dayrun2=5,Dayrun2=6,Dayrun2=8,Dayrun2=9),VLOOKUP(A31,ScaledPrice2,IF(Scaler2=1,6,5)),0))</f>
        <v>0</v>
      </c>
      <c r="G31" s="317" t="n">
        <f aca="false">IF(A31="N/A"," ",IF(OR(Dayrun2=2,Dayrun2=3,Dayrun2=5,Dayrun2=6),IF(Scaler2=2,F31,(VLOOKUP(A31,ScaledPrice2,5))*(2-(VLOOKUP(A31,ScaledPrice2,3)))),0))</f>
        <v>0</v>
      </c>
      <c r="H31" s="317" t="n">
        <f aca="false">IF($A31="N/A"," ",IF(OR(Dayrun2=2,Dayrun2=3,Dayrun2=10),VLOOKUP($A31,ScaledPrice2,9),0))</f>
        <v>0</v>
      </c>
      <c r="I31" s="317" t="n">
        <f aca="false">IF(A31="N/A"," ",IF(OR(Dayrun2=3,Dayrun2=6,Dayrun2=9),(VLOOKUP(A31,ScaledPrice2,IF(Scaler2=2,7,8))),0))</f>
        <v>0</v>
      </c>
      <c r="J31" s="317" t="n">
        <f aca="false">IF(A31="N/A"," ",IF(OR(Dayrun2=3,Dayrun2=6),IF(Scaler2=2,I31,(VLOOKUP(A31,ScaledPrice2,7))*(2-(VLOOKUP(A31,ScaledPrice2,3)))),0))</f>
        <v>0</v>
      </c>
      <c r="K31" s="317" t="n">
        <f aca="false">IF($A31="N/A"," ",IF(OR(Dayrun2=3,Dayrun2=10),VLOOKUP($A31,ScaledPrice2,9),0))</f>
        <v>0</v>
      </c>
      <c r="L31" s="318" t="e">
        <f aca="false">IF($A31="N/A"," ",IF(Pricetype2=2,MAX(C31,0),IF(OR(Pricetype2=1,Pricetype2=4),IF(C31=0,0,(EURO(C31,Strikeprice2,0,0,($AH31+IF(Smile=TRUE(),VLOOKUP(MAX(-5,Strikeprice2-C31),Volsmile,2),0)),($A31-DateToday)+15,IF(Pricetype2=1,1,0),0))),C31)))</f>
        <v>#NAME?</v>
      </c>
      <c r="M31" s="318" t="e">
        <f aca="false">IF($A31="N/A"," ",IF(Pricetype2=2,MAX(D31,0),IF(OR(Pricetype2=1,Pricetype2=4),IF(D31=0,0,(EURO(D31,Strikeprice2,0,0,($AH31+IF(Smile=TRUE(),VLOOKUP(MAX(-5,Strikeprice2-D31),Volsmile,2),0)),($A31-DateToday)+15,IF(Pricetype2=1,1,0),0))),D31)))</f>
        <v>#NAME?</v>
      </c>
      <c r="N31" s="318" t="n">
        <f aca="false">IF($A31="N/A"," ",IF(Pricetype2=2,MAX(E31,0),IF(OR(Pricetype2=1,Pricetype2=4),IF(E31=0,0,(EURO(E31,Strikeprice2,0,0,($AK31+IF(Smile=TRUE(),VLOOKUP(MAX(-5,Strikeprice2-E31),Volsmile,2),0)),($A31-DateToday)+15,IF(Pricetype2=1,1,0),0))),E31)))</f>
        <v>0</v>
      </c>
      <c r="O31" s="318" t="n">
        <f aca="false">IF($A31="N/A"," ",IF(Pricetype2=2,MAX(F31,0),IF(OR(Pricetype2=1,Pricetype2=4),IF(F31=0,0,(EURO(F31,Strikeprice2,0,0,($AK31+IF(Smile=TRUE(),VLOOKUP(MAX(-5,Strikeprice2-F31),Volsmile,2),0)),($A31-DateToday)+15,IF(Pricetype2=1,1,0),0))),F31)))</f>
        <v>0</v>
      </c>
      <c r="P31" s="318" t="n">
        <f aca="false">IF($A31="N/A"," ",IF(Pricetype2=2,MAX(G31,0),IF(OR(Pricetype2=1,Pricetype2=4),IF(G31=0,0,(EURO(G31,Strikeprice2,0,0,($AK31+IF(Smile=TRUE(),VLOOKUP(MAX(-5,Strikeprice2-G31),Volsmile,2),0)),($A31-DateToday)+15,IF(Pricetype2=1,1,0),0))),G31)))</f>
        <v>0</v>
      </c>
      <c r="Q31" s="318" t="n">
        <f aca="false">IF($A31="N/A"," ",IF(Pricetype2=2,MAX(H31,0),IF(OR(Pricetype2=1,Pricetype2=4),IF(H31=0,0,(EURO(H31,Strikeprice2,0,0,($AK31+IF(Smile=TRUE(),VLOOKUP(MAX(-5,Strikeprice2-H31),Volsmile,2),0)),($A31-DateToday)+15,IF(Pricetype2=1,1,0),0))),H31)))</f>
        <v>0</v>
      </c>
      <c r="R31" s="318" t="n">
        <f aca="false">IF($A31="N/A"," ",IF(Pricetype2=2,MAX(I31,0),IF(OR(Pricetype2=1,Pricetype2=4),IF(I31=0,0,(EURO(I31,Strikeprice2,0,0,($AK31+IF(Smile=TRUE(),VLOOKUP(MAX(-5,Strikeprice2-I31),Volsmile,2),0)),($A31-DateToday)+15,IF(Pricetype2=1,1,0),0))),I31)))</f>
        <v>0</v>
      </c>
      <c r="S31" s="318" t="n">
        <f aca="false">IF($A31="N/A"," ",IF(Pricetype2=2,MAX(J31,0),IF(OR(Pricetype2=1,Pricetype2=4),IF(J31=0,0,(EURO(J31,Strikeprice2,0,0,($AK31+IF(Smile=TRUE(),VLOOKUP(MAX(-5,Strikeprice2-J31),Volsmile,2),0)),($A31-DateToday)+15,IF(Pricetype2=1,1,0),0))),J31)))</f>
        <v>0</v>
      </c>
      <c r="T31" s="318" t="n">
        <f aca="false">IF($A31="N/A"," ",IF(Pricetype2=2,MAX(K31,0),IF(OR(Pricetype2=1,Pricetype2=4),IF(K31=0,0,(EURO(K31,Strikeprice2,0,0,($AK31+IF(Smile=TRUE(),VLOOKUP(MAX(-5,Strikeprice2-K31),Volsmile,2),0)),($A31-DateToday)+15,IF(Pricetype2=1,1,0),0))),K31)))</f>
        <v>0</v>
      </c>
      <c r="U31" s="319" t="e">
        <f aca="false">IF($A31="N/A"," ",Volume2*$AM31)</f>
        <v>#N/A</v>
      </c>
      <c r="V31" s="320" t="e">
        <f aca="false">IF($A31="N/A"," ",$U31*(8*($BQ31))*L31)</f>
        <v>#N/A</v>
      </c>
      <c r="W31" s="320" t="e">
        <f aca="false">IF($A31="N/A"," ",$U31*(8*($BQ31))*M31)</f>
        <v>#N/A</v>
      </c>
      <c r="X31" s="320" t="e">
        <f aca="false">IF($A31="N/A"," ",$U31*(8*($BQ31))*N31)</f>
        <v>#N/A</v>
      </c>
      <c r="Y31" s="320" t="e">
        <f aca="false">IF($A31="N/A"," ",$U31*(8*($BR31))*O31)</f>
        <v>#N/A</v>
      </c>
      <c r="Z31" s="320" t="e">
        <f aca="false">IF($A31="N/A"," ",$U31*(8*($BR31))*P31)</f>
        <v>#N/A</v>
      </c>
      <c r="AA31" s="320" t="e">
        <f aca="false">IF($A31="N/A"," ",$U31*(8*($BR31))*Q31)</f>
        <v>#N/A</v>
      </c>
      <c r="AB31" s="320" t="e">
        <f aca="false">IF($A31="N/A"," ",$U31*(8*($BS31))*R31)</f>
        <v>#N/A</v>
      </c>
      <c r="AC31" s="320" t="e">
        <f aca="false">IF($A31="N/A"," ",$U31*(8*($BS31))*S31)</f>
        <v>#N/A</v>
      </c>
      <c r="AD31" s="320" t="e">
        <f aca="false">IF($A31="N/A"," ",$U31*(8*($BS31))*T31)</f>
        <v>#N/A</v>
      </c>
      <c r="AE31" s="320" t="e">
        <f aca="false">IF($A31="N/A"," ",SUM(V31:AD31))</f>
        <v>#N/A</v>
      </c>
      <c r="AF31" s="321" t="n">
        <f aca="false">IF(A31="N/A"," ",(VLOOKUP(A31,PowerVolTable,(IF(VolBMO2=2,7,IF(VolBMO2=1,6,8))),FALSE())))</f>
        <v>0.16</v>
      </c>
      <c r="AG31" s="321" t="n">
        <f aca="false">IF(A31="N/A"," ",(VLOOKUP(A31,IntraPowerVol,(IF(VolBMO2=2,3,IF(VolBMO2=1,2,4))),FALSE())*VLOOKUP(MONTH($A31),Volscale,2)))</f>
        <v>0.28</v>
      </c>
      <c r="AH31" s="321" t="n">
        <f aca="false">IF($A31="N/A"," ",IF(VolType2=1,AG31,AF31))</f>
        <v>0.16</v>
      </c>
      <c r="AI31" s="321" t="n">
        <f aca="false">IF($A31="N/A"," ",(VLOOKUP($A31,OffPwrVolTable,(IF(VolBMO2=2,7,IF(VolBMO2=1,6,8))),FALSE())))</f>
        <v>0.08</v>
      </c>
      <c r="AJ31" s="321" t="n">
        <f aca="false">IF($A31="N/A"," ",(VLOOKUP($A31,OffPwrVolTable,(IF(VolBMO2=2,3,IF(VolBMO2=1,2,4))),FALSE())*VLOOKUP(MONTH($A31),Volscale,2)))</f>
        <v>0.168</v>
      </c>
      <c r="AK31" s="321" t="n">
        <f aca="false">IF($A31="N/A"," ",IF(VolType2=1,AJ31,AI31))</f>
        <v>0.08</v>
      </c>
      <c r="AL31" s="321" t="e">
        <f aca="false">IF($A31="N/A"," ",IF(PV=1,0,'Pricing Inputs2'!R64))</f>
        <v>#N/A</v>
      </c>
      <c r="AM31" s="323" t="e">
        <f aca="false">IF($A31="N/A"," ",(1+AL31/2)^(-2*((EOMONTH(A31,0)+20)-DateToday)/365.25))</f>
        <v>#N/A</v>
      </c>
      <c r="BQ31" s="0" t="n">
        <f aca="false">IF($A31="N/A"," ",(VLOOKUP($A31,NumberofDaysTable,2)))</f>
        <v>22</v>
      </c>
      <c r="BR31" s="0" t="n">
        <f aca="false">IF($A31="N/A"," ",(VLOOKUP($A31,NumberofDaysTable,3)))</f>
        <v>4</v>
      </c>
      <c r="BS31" s="0" t="n">
        <f aca="false">IF($A31="N/A"," ",(VLOOKUP($A31,NumberofDaysTable,4)))</f>
        <v>4</v>
      </c>
    </row>
    <row r="32" customFormat="false" ht="12.75" hidden="false" customHeight="false" outlineLevel="0" collapsed="false">
      <c r="A32" s="315" t="n">
        <f aca="false">IF(A31="N/A","N/A",IF(EDATE(A31,1)&gt;Inputs!$P$5,"N/A",EDATE(A31,1)))</f>
        <v>38108</v>
      </c>
      <c r="B32" s="316" t="n">
        <f aca="false">IF(A32="N/A"," ",YEAR(A32))</f>
        <v>2004</v>
      </c>
      <c r="C32" s="317" t="n">
        <f aca="false">IF($A32="N/A"," ",IF(Dayrun2=10,0,IF(Scaler2=1,(VLOOKUP(A32,ScaledPrice2,4)),(VLOOKUP(A32,ScaledPrice2,2)))))</f>
        <v>35.4250030517578</v>
      </c>
      <c r="D32" s="317" t="n">
        <f aca="false">IF(A32="N/A"," ",IF(Dayrun2&gt;=7,0,IF(Scaler2=2,VLOOKUP(A32,ScaledPrice2,2),(VLOOKUP(A32,ScaledPrice2,2))*(2-(VLOOKUP(A32,ScaledPrice2,3))))))</f>
        <v>35.4250030517578</v>
      </c>
      <c r="E32" s="317" t="n">
        <f aca="false">IF($A32="N/A"," ",IF(AND(Dayrun2&gt;=4,Dayrun2&lt;=9),0,VLOOKUP($A32,ScaledPrice2,9)))</f>
        <v>0</v>
      </c>
      <c r="F32" s="317" t="n">
        <f aca="false">IF(A32="N/A"," ",IF(OR(Dayrun2=2,Dayrun2=3,Dayrun2=5,Dayrun2=6,Dayrun2=8,Dayrun2=9),VLOOKUP(A32,ScaledPrice2,IF(Scaler2=1,6,5)),0))</f>
        <v>0</v>
      </c>
      <c r="G32" s="317" t="n">
        <f aca="false">IF(A32="N/A"," ",IF(OR(Dayrun2=2,Dayrun2=3,Dayrun2=5,Dayrun2=6),IF(Scaler2=2,F32,(VLOOKUP(A32,ScaledPrice2,5))*(2-(VLOOKUP(A32,ScaledPrice2,3)))),0))</f>
        <v>0</v>
      </c>
      <c r="H32" s="317" t="n">
        <f aca="false">IF($A32="N/A"," ",IF(OR(Dayrun2=2,Dayrun2=3,Dayrun2=10),VLOOKUP($A32,ScaledPrice2,9),0))</f>
        <v>0</v>
      </c>
      <c r="I32" s="317" t="n">
        <f aca="false">IF(A32="N/A"," ",IF(OR(Dayrun2=3,Dayrun2=6,Dayrun2=9),(VLOOKUP(A32,ScaledPrice2,IF(Scaler2=2,7,8))),0))</f>
        <v>0</v>
      </c>
      <c r="J32" s="317" t="n">
        <f aca="false">IF(A32="N/A"," ",IF(OR(Dayrun2=3,Dayrun2=6),IF(Scaler2=2,I32,(VLOOKUP(A32,ScaledPrice2,7))*(2-(VLOOKUP(A32,ScaledPrice2,3)))),0))</f>
        <v>0</v>
      </c>
      <c r="K32" s="317" t="n">
        <f aca="false">IF($A32="N/A"," ",IF(OR(Dayrun2=3,Dayrun2=10),VLOOKUP($A32,ScaledPrice2,9),0))</f>
        <v>0</v>
      </c>
      <c r="L32" s="318" t="e">
        <f aca="false">IF($A32="N/A"," ",IF(Pricetype2=2,MAX(C32,0),IF(OR(Pricetype2=1,Pricetype2=4),IF(C32=0,0,(EURO(C32,Strikeprice2,0,0,($AH32+IF(Smile=TRUE(),VLOOKUP(MAX(-5,Strikeprice2-C32),Volsmile,2),0)),($A32-DateToday)+15,IF(Pricetype2=1,1,0),0))),C32)))</f>
        <v>#NAME?</v>
      </c>
      <c r="M32" s="318" t="e">
        <f aca="false">IF($A32="N/A"," ",IF(Pricetype2=2,MAX(D32,0),IF(OR(Pricetype2=1,Pricetype2=4),IF(D32=0,0,(EURO(D32,Strikeprice2,0,0,($AH32+IF(Smile=TRUE(),VLOOKUP(MAX(-5,Strikeprice2-D32),Volsmile,2),0)),($A32-DateToday)+15,IF(Pricetype2=1,1,0),0))),D32)))</f>
        <v>#NAME?</v>
      </c>
      <c r="N32" s="318" t="n">
        <f aca="false">IF($A32="N/A"," ",IF(Pricetype2=2,MAX(E32,0),IF(OR(Pricetype2=1,Pricetype2=4),IF(E32=0,0,(EURO(E32,Strikeprice2,0,0,($AK32+IF(Smile=TRUE(),VLOOKUP(MAX(-5,Strikeprice2-E32),Volsmile,2),0)),($A32-DateToday)+15,IF(Pricetype2=1,1,0),0))),E32)))</f>
        <v>0</v>
      </c>
      <c r="O32" s="318" t="n">
        <f aca="false">IF($A32="N/A"," ",IF(Pricetype2=2,MAX(F32,0),IF(OR(Pricetype2=1,Pricetype2=4),IF(F32=0,0,(EURO(F32,Strikeprice2,0,0,($AK32+IF(Smile=TRUE(),VLOOKUP(MAX(-5,Strikeprice2-F32),Volsmile,2),0)),($A32-DateToday)+15,IF(Pricetype2=1,1,0),0))),F32)))</f>
        <v>0</v>
      </c>
      <c r="P32" s="318" t="n">
        <f aca="false">IF($A32="N/A"," ",IF(Pricetype2=2,MAX(G32,0),IF(OR(Pricetype2=1,Pricetype2=4),IF(G32=0,0,(EURO(G32,Strikeprice2,0,0,($AK32+IF(Smile=TRUE(),VLOOKUP(MAX(-5,Strikeprice2-G32),Volsmile,2),0)),($A32-DateToday)+15,IF(Pricetype2=1,1,0),0))),G32)))</f>
        <v>0</v>
      </c>
      <c r="Q32" s="318" t="n">
        <f aca="false">IF($A32="N/A"," ",IF(Pricetype2=2,MAX(H32,0),IF(OR(Pricetype2=1,Pricetype2=4),IF(H32=0,0,(EURO(H32,Strikeprice2,0,0,($AK32+IF(Smile=TRUE(),VLOOKUP(MAX(-5,Strikeprice2-H32),Volsmile,2),0)),($A32-DateToday)+15,IF(Pricetype2=1,1,0),0))),H32)))</f>
        <v>0</v>
      </c>
      <c r="R32" s="318" t="n">
        <f aca="false">IF($A32="N/A"," ",IF(Pricetype2=2,MAX(I32,0),IF(OR(Pricetype2=1,Pricetype2=4),IF(I32=0,0,(EURO(I32,Strikeprice2,0,0,($AK32+IF(Smile=TRUE(),VLOOKUP(MAX(-5,Strikeprice2-I32),Volsmile,2),0)),($A32-DateToday)+15,IF(Pricetype2=1,1,0),0))),I32)))</f>
        <v>0</v>
      </c>
      <c r="S32" s="318" t="n">
        <f aca="false">IF($A32="N/A"," ",IF(Pricetype2=2,MAX(J32,0),IF(OR(Pricetype2=1,Pricetype2=4),IF(J32=0,0,(EURO(J32,Strikeprice2,0,0,($AK32+IF(Smile=TRUE(),VLOOKUP(MAX(-5,Strikeprice2-J32),Volsmile,2),0)),($A32-DateToday)+15,IF(Pricetype2=1,1,0),0))),J32)))</f>
        <v>0</v>
      </c>
      <c r="T32" s="318" t="n">
        <f aca="false">IF($A32="N/A"," ",IF(Pricetype2=2,MAX(K32,0),IF(OR(Pricetype2=1,Pricetype2=4),IF(K32=0,0,(EURO(K32,Strikeprice2,0,0,($AK32+IF(Smile=TRUE(),VLOOKUP(MAX(-5,Strikeprice2-K32),Volsmile,2),0)),($A32-DateToday)+15,IF(Pricetype2=1,1,0),0))),K32)))</f>
        <v>0</v>
      </c>
      <c r="U32" s="319" t="e">
        <f aca="false">IF($A32="N/A"," ",Volume2*$AM32)</f>
        <v>#N/A</v>
      </c>
      <c r="V32" s="320" t="e">
        <f aca="false">IF($A32="N/A"," ",$U32*(8*($BQ32))*L32)</f>
        <v>#N/A</v>
      </c>
      <c r="W32" s="320" t="e">
        <f aca="false">IF($A32="N/A"," ",$U32*(8*($BQ32))*M32)</f>
        <v>#N/A</v>
      </c>
      <c r="X32" s="320" t="e">
        <f aca="false">IF($A32="N/A"," ",$U32*(8*($BQ32))*N32)</f>
        <v>#N/A</v>
      </c>
      <c r="Y32" s="320" t="e">
        <f aca="false">IF($A32="N/A"," ",$U32*(8*($BR32))*O32)</f>
        <v>#N/A</v>
      </c>
      <c r="Z32" s="320" t="e">
        <f aca="false">IF($A32="N/A"," ",$U32*(8*($BR32))*P32)</f>
        <v>#N/A</v>
      </c>
      <c r="AA32" s="320" t="e">
        <f aca="false">IF($A32="N/A"," ",$U32*(8*($BR32))*Q32)</f>
        <v>#N/A</v>
      </c>
      <c r="AB32" s="320" t="e">
        <f aca="false">IF($A32="N/A"," ",$U32*(8*($BS32))*R32)</f>
        <v>#N/A</v>
      </c>
      <c r="AC32" s="320" t="e">
        <f aca="false">IF($A32="N/A"," ",$U32*(8*($BS32))*S32)</f>
        <v>#N/A</v>
      </c>
      <c r="AD32" s="320" t="e">
        <f aca="false">IF($A32="N/A"," ",$U32*(8*($BS32))*T32)</f>
        <v>#N/A</v>
      </c>
      <c r="AE32" s="320" t="e">
        <f aca="false">IF($A32="N/A"," ",SUM(V32:AD32))</f>
        <v>#N/A</v>
      </c>
      <c r="AF32" s="321" t="n">
        <f aca="false">IF(A32="N/A"," ",(VLOOKUP(A32,PowerVolTable,(IF(VolBMO2=2,7,IF(VolBMO2=1,6,8))),FALSE())))</f>
        <v>0.16</v>
      </c>
      <c r="AG32" s="321" t="n">
        <f aca="false">IF(A32="N/A"," ",(VLOOKUP(A32,IntraPowerVol,(IF(VolBMO2=2,3,IF(VolBMO2=1,2,4))),FALSE())*VLOOKUP(MONTH($A32),Volscale,2)))</f>
        <v>0.36</v>
      </c>
      <c r="AH32" s="321" t="n">
        <f aca="false">IF($A32="N/A"," ",IF(VolType2=1,AG32,AF32))</f>
        <v>0.16</v>
      </c>
      <c r="AI32" s="321" t="n">
        <f aca="false">IF($A32="N/A"," ",(VLOOKUP($A32,OffPwrVolTable,(IF(VolBMO2=2,7,IF(VolBMO2=1,6,8))),FALSE())))</f>
        <v>0.08</v>
      </c>
      <c r="AJ32" s="321" t="n">
        <f aca="false">IF($A32="N/A"," ",(VLOOKUP($A32,OffPwrVolTable,(IF(VolBMO2=2,3,IF(VolBMO2=1,2,4))),FALSE())*VLOOKUP(MONTH($A32),Volscale,2)))</f>
        <v>0.216</v>
      </c>
      <c r="AK32" s="321" t="n">
        <f aca="false">IF($A32="N/A"," ",IF(VolType2=1,AJ32,AI32))</f>
        <v>0.08</v>
      </c>
      <c r="AL32" s="321" t="e">
        <f aca="false">IF($A32="N/A"," ",IF(PV=1,0,'Pricing Inputs2'!R65))</f>
        <v>#N/A</v>
      </c>
      <c r="AM32" s="323" t="e">
        <f aca="false">IF($A32="N/A"," ",(1+AL32/2)^(-2*((EOMONTH(A32,0)+20)-DateToday)/365.25))</f>
        <v>#N/A</v>
      </c>
      <c r="BQ32" s="0" t="n">
        <f aca="false">IF($A32="N/A"," ",(VLOOKUP($A32,NumberofDaysTable,2)))</f>
        <v>20</v>
      </c>
      <c r="BR32" s="0" t="n">
        <f aca="false">IF($A32="N/A"," ",(VLOOKUP($A32,NumberofDaysTable,3)))</f>
        <v>5</v>
      </c>
      <c r="BS32" s="0" t="n">
        <f aca="false">IF($A32="N/A"," ",(VLOOKUP($A32,NumberofDaysTable,4)))</f>
        <v>6</v>
      </c>
    </row>
    <row r="33" customFormat="false" ht="12.75" hidden="false" customHeight="false" outlineLevel="0" collapsed="false">
      <c r="A33" s="315" t="n">
        <f aca="false">IF(A32="N/A","N/A",IF(EDATE(A32,1)&gt;Inputs!$P$5,"N/A",EDATE(A32,1)))</f>
        <v>38139</v>
      </c>
      <c r="B33" s="316" t="n">
        <f aca="false">IF(A33="N/A"," ",YEAR(A33))</f>
        <v>2004</v>
      </c>
      <c r="C33" s="317" t="n">
        <f aca="false">IF($A33="N/A"," ",IF(Dayrun2=10,0,IF(Scaler2=1,(VLOOKUP(A33,ScaledPrice2,4)),(VLOOKUP(A33,ScaledPrice2,2)))))</f>
        <v>42.6250038146973</v>
      </c>
      <c r="D33" s="317" t="n">
        <f aca="false">IF(A33="N/A"," ",IF(Dayrun2&gt;=7,0,IF(Scaler2=2,VLOOKUP(A33,ScaledPrice2,2),(VLOOKUP(A33,ScaledPrice2,2))*(2-(VLOOKUP(A33,ScaledPrice2,3))))))</f>
        <v>42.6250038146973</v>
      </c>
      <c r="E33" s="317" t="n">
        <f aca="false">IF($A33="N/A"," ",IF(AND(Dayrun2&gt;=4,Dayrun2&lt;=9),0,VLOOKUP($A33,ScaledPrice2,9)))</f>
        <v>0</v>
      </c>
      <c r="F33" s="317" t="n">
        <f aca="false">IF(A33="N/A"," ",IF(OR(Dayrun2=2,Dayrun2=3,Dayrun2=5,Dayrun2=6,Dayrun2=8,Dayrun2=9),VLOOKUP(A33,ScaledPrice2,IF(Scaler2=1,6,5)),0))</f>
        <v>0</v>
      </c>
      <c r="G33" s="317" t="n">
        <f aca="false">IF(A33="N/A"," ",IF(OR(Dayrun2=2,Dayrun2=3,Dayrun2=5,Dayrun2=6),IF(Scaler2=2,F33,(VLOOKUP(A33,ScaledPrice2,5))*(2-(VLOOKUP(A33,ScaledPrice2,3)))),0))</f>
        <v>0</v>
      </c>
      <c r="H33" s="317" t="n">
        <f aca="false">IF($A33="N/A"," ",IF(OR(Dayrun2=2,Dayrun2=3,Dayrun2=10),VLOOKUP($A33,ScaledPrice2,9),0))</f>
        <v>0</v>
      </c>
      <c r="I33" s="317" t="n">
        <f aca="false">IF(A33="N/A"," ",IF(OR(Dayrun2=3,Dayrun2=6,Dayrun2=9),(VLOOKUP(A33,ScaledPrice2,IF(Scaler2=2,7,8))),0))</f>
        <v>0</v>
      </c>
      <c r="J33" s="317" t="n">
        <f aca="false">IF(A33="N/A"," ",IF(OR(Dayrun2=3,Dayrun2=6),IF(Scaler2=2,I33,(VLOOKUP(A33,ScaledPrice2,7))*(2-(VLOOKUP(A33,ScaledPrice2,3)))),0))</f>
        <v>0</v>
      </c>
      <c r="K33" s="317" t="n">
        <f aca="false">IF($A33="N/A"," ",IF(OR(Dayrun2=3,Dayrun2=10),VLOOKUP($A33,ScaledPrice2,9),0))</f>
        <v>0</v>
      </c>
      <c r="L33" s="318" t="e">
        <f aca="false">IF($A33="N/A"," ",IF(Pricetype2=2,MAX(C33,0),IF(OR(Pricetype2=1,Pricetype2=4),IF(C33=0,0,(EURO(C33,Strikeprice2,0,0,($AH33+IF(Smile=TRUE(),VLOOKUP(MAX(-5,Strikeprice2-C33),Volsmile,2),0)),($A33-DateToday)+15,IF(Pricetype2=1,1,0),0))),C33)))</f>
        <v>#NAME?</v>
      </c>
      <c r="M33" s="318" t="e">
        <f aca="false">IF($A33="N/A"," ",IF(Pricetype2=2,MAX(D33,0),IF(OR(Pricetype2=1,Pricetype2=4),IF(D33=0,0,(EURO(D33,Strikeprice2,0,0,($AH33+IF(Smile=TRUE(),VLOOKUP(MAX(-5,Strikeprice2-D33),Volsmile,2),0)),($A33-DateToday)+15,IF(Pricetype2=1,1,0),0))),D33)))</f>
        <v>#NAME?</v>
      </c>
      <c r="N33" s="318" t="n">
        <f aca="false">IF($A33="N/A"," ",IF(Pricetype2=2,MAX(E33,0),IF(OR(Pricetype2=1,Pricetype2=4),IF(E33=0,0,(EURO(E33,Strikeprice2,0,0,($AK33+IF(Smile=TRUE(),VLOOKUP(MAX(-5,Strikeprice2-E33),Volsmile,2),0)),($A33-DateToday)+15,IF(Pricetype2=1,1,0),0))),E33)))</f>
        <v>0</v>
      </c>
      <c r="O33" s="318" t="n">
        <f aca="false">IF($A33="N/A"," ",IF(Pricetype2=2,MAX(F33,0),IF(OR(Pricetype2=1,Pricetype2=4),IF(F33=0,0,(EURO(F33,Strikeprice2,0,0,($AK33+IF(Smile=TRUE(),VLOOKUP(MAX(-5,Strikeprice2-F33),Volsmile,2),0)),($A33-DateToday)+15,IF(Pricetype2=1,1,0),0))),F33)))</f>
        <v>0</v>
      </c>
      <c r="P33" s="318" t="n">
        <f aca="false">IF($A33="N/A"," ",IF(Pricetype2=2,MAX(G33,0),IF(OR(Pricetype2=1,Pricetype2=4),IF(G33=0,0,(EURO(G33,Strikeprice2,0,0,($AK33+IF(Smile=TRUE(),VLOOKUP(MAX(-5,Strikeprice2-G33),Volsmile,2),0)),($A33-DateToday)+15,IF(Pricetype2=1,1,0),0))),G33)))</f>
        <v>0</v>
      </c>
      <c r="Q33" s="318" t="n">
        <f aca="false">IF($A33="N/A"," ",IF(Pricetype2=2,MAX(H33,0),IF(OR(Pricetype2=1,Pricetype2=4),IF(H33=0,0,(EURO(H33,Strikeprice2,0,0,($AK33+IF(Smile=TRUE(),VLOOKUP(MAX(-5,Strikeprice2-H33),Volsmile,2),0)),($A33-DateToday)+15,IF(Pricetype2=1,1,0),0))),H33)))</f>
        <v>0</v>
      </c>
      <c r="R33" s="318" t="n">
        <f aca="false">IF($A33="N/A"," ",IF(Pricetype2=2,MAX(I33,0),IF(OR(Pricetype2=1,Pricetype2=4),IF(I33=0,0,(EURO(I33,Strikeprice2,0,0,($AK33+IF(Smile=TRUE(),VLOOKUP(MAX(-5,Strikeprice2-I33),Volsmile,2),0)),($A33-DateToday)+15,IF(Pricetype2=1,1,0),0))),I33)))</f>
        <v>0</v>
      </c>
      <c r="S33" s="318" t="n">
        <f aca="false">IF($A33="N/A"," ",IF(Pricetype2=2,MAX(J33,0),IF(OR(Pricetype2=1,Pricetype2=4),IF(J33=0,0,(EURO(J33,Strikeprice2,0,0,($AK33+IF(Smile=TRUE(),VLOOKUP(MAX(-5,Strikeprice2-J33),Volsmile,2),0)),($A33-DateToday)+15,IF(Pricetype2=1,1,0),0))),J33)))</f>
        <v>0</v>
      </c>
      <c r="T33" s="318" t="n">
        <f aca="false">IF($A33="N/A"," ",IF(Pricetype2=2,MAX(K33,0),IF(OR(Pricetype2=1,Pricetype2=4),IF(K33=0,0,(EURO(K33,Strikeprice2,0,0,($AK33+IF(Smile=TRUE(),VLOOKUP(MAX(-5,Strikeprice2-K33),Volsmile,2),0)),($A33-DateToday)+15,IF(Pricetype2=1,1,0),0))),K33)))</f>
        <v>0</v>
      </c>
      <c r="U33" s="319" t="e">
        <f aca="false">IF($A33="N/A"," ",Volume2*$AM33)</f>
        <v>#N/A</v>
      </c>
      <c r="V33" s="320" t="e">
        <f aca="false">IF($A33="N/A"," ",$U33*(8*($BQ33))*L33)</f>
        <v>#N/A</v>
      </c>
      <c r="W33" s="320" t="e">
        <f aca="false">IF($A33="N/A"," ",$U33*(8*($BQ33))*M33)</f>
        <v>#N/A</v>
      </c>
      <c r="X33" s="320" t="e">
        <f aca="false">IF($A33="N/A"," ",$U33*(8*($BQ33))*N33)</f>
        <v>#N/A</v>
      </c>
      <c r="Y33" s="320" t="e">
        <f aca="false">IF($A33="N/A"," ",$U33*(8*($BR33))*O33)</f>
        <v>#N/A</v>
      </c>
      <c r="Z33" s="320" t="e">
        <f aca="false">IF($A33="N/A"," ",$U33*(8*($BR33))*P33)</f>
        <v>#N/A</v>
      </c>
      <c r="AA33" s="320" t="e">
        <f aca="false">IF($A33="N/A"," ",$U33*(8*($BR33))*Q33)</f>
        <v>#N/A</v>
      </c>
      <c r="AB33" s="320" t="e">
        <f aca="false">IF($A33="N/A"," ",$U33*(8*($BS33))*R33)</f>
        <v>#N/A</v>
      </c>
      <c r="AC33" s="320" t="e">
        <f aca="false">IF($A33="N/A"," ",$U33*(8*($BS33))*S33)</f>
        <v>#N/A</v>
      </c>
      <c r="AD33" s="320" t="e">
        <f aca="false">IF($A33="N/A"," ",$U33*(8*($BS33))*T33)</f>
        <v>#N/A</v>
      </c>
      <c r="AE33" s="320" t="e">
        <f aca="false">IF($A33="N/A"," ",SUM(V33:AD33))</f>
        <v>#N/A</v>
      </c>
      <c r="AF33" s="321" t="n">
        <f aca="false">IF(A33="N/A"," ",(VLOOKUP(A33,PowerVolTable,(IF(VolBMO2=2,7,IF(VolBMO2=1,6,8))),FALSE())))</f>
        <v>0.16</v>
      </c>
      <c r="AG33" s="321" t="n">
        <f aca="false">IF(A33="N/A"," ",(VLOOKUP(A33,IntraPowerVol,(IF(VolBMO2=2,3,IF(VolBMO2=1,2,4))),FALSE())*VLOOKUP(MONTH($A33),Volscale,2)))</f>
        <v>0.36</v>
      </c>
      <c r="AH33" s="321" t="n">
        <f aca="false">IF($A33="N/A"," ",IF(VolType2=1,AG33,AF33))</f>
        <v>0.16</v>
      </c>
      <c r="AI33" s="321" t="n">
        <f aca="false">IF($A33="N/A"," ",(VLOOKUP($A33,OffPwrVolTable,(IF(VolBMO2=2,7,IF(VolBMO2=1,6,8))),FALSE())))</f>
        <v>0.08</v>
      </c>
      <c r="AJ33" s="321" t="n">
        <f aca="false">IF($A33="N/A"," ",(VLOOKUP($A33,OffPwrVolTable,(IF(VolBMO2=2,3,IF(VolBMO2=1,2,4))),FALSE())*VLOOKUP(MONTH($A33),Volscale,2)))</f>
        <v>0.216</v>
      </c>
      <c r="AK33" s="321" t="n">
        <f aca="false">IF($A33="N/A"," ",IF(VolType2=1,AJ33,AI33))</f>
        <v>0.08</v>
      </c>
      <c r="AL33" s="321" t="e">
        <f aca="false">IF($A33="N/A"," ",IF(PV=1,0,'Pricing Inputs2'!R66))</f>
        <v>#N/A</v>
      </c>
      <c r="AM33" s="323" t="e">
        <f aca="false">IF($A33="N/A"," ",(1+AL33/2)^(-2*((EOMONTH(A33,0)+20)-DateToday)/365.25))</f>
        <v>#N/A</v>
      </c>
      <c r="BQ33" s="0" t="n">
        <f aca="false">IF($A33="N/A"," ",(VLOOKUP($A33,NumberofDaysTable,2)))</f>
        <v>22</v>
      </c>
      <c r="BR33" s="0" t="n">
        <f aca="false">IF($A33="N/A"," ",(VLOOKUP($A33,NumberofDaysTable,3)))</f>
        <v>4</v>
      </c>
      <c r="BS33" s="0" t="n">
        <f aca="false">IF($A33="N/A"," ",(VLOOKUP($A33,NumberofDaysTable,4)))</f>
        <v>4</v>
      </c>
    </row>
    <row r="34" customFormat="false" ht="12.75" hidden="false" customHeight="false" outlineLevel="0" collapsed="false">
      <c r="A34" s="315" t="n">
        <f aca="false">IF(A33="N/A","N/A",IF(EDATE(A33,1)&gt;Inputs!$P$5,"N/A",EDATE(A33,1)))</f>
        <v>38169</v>
      </c>
      <c r="B34" s="316" t="n">
        <f aca="false">IF(A34="N/A"," ",YEAR(A34))</f>
        <v>2004</v>
      </c>
      <c r="C34" s="317" t="n">
        <f aca="false">IF($A34="N/A"," ",IF(Dayrun2=10,0,IF(Scaler2=1,(VLOOKUP(A34,ScaledPrice2,4)),(VLOOKUP(A34,ScaledPrice2,2)))))</f>
        <v>52.5</v>
      </c>
      <c r="D34" s="317" t="n">
        <f aca="false">IF(A34="N/A"," ",IF(Dayrun2&gt;=7,0,IF(Scaler2=2,VLOOKUP(A34,ScaledPrice2,2),(VLOOKUP(A34,ScaledPrice2,2))*(2-(VLOOKUP(A34,ScaledPrice2,3))))))</f>
        <v>52.5</v>
      </c>
      <c r="E34" s="317" t="n">
        <f aca="false">IF($A34="N/A"," ",IF(AND(Dayrun2&gt;=4,Dayrun2&lt;=9),0,VLOOKUP($A34,ScaledPrice2,9)))</f>
        <v>0</v>
      </c>
      <c r="F34" s="317" t="n">
        <f aca="false">IF(A34="N/A"," ",IF(OR(Dayrun2=2,Dayrun2=3,Dayrun2=5,Dayrun2=6,Dayrun2=8,Dayrun2=9),VLOOKUP(A34,ScaledPrice2,IF(Scaler2=1,6,5)),0))</f>
        <v>0</v>
      </c>
      <c r="G34" s="317" t="n">
        <f aca="false">IF(A34="N/A"," ",IF(OR(Dayrun2=2,Dayrun2=3,Dayrun2=5,Dayrun2=6),IF(Scaler2=2,F34,(VLOOKUP(A34,ScaledPrice2,5))*(2-(VLOOKUP(A34,ScaledPrice2,3)))),0))</f>
        <v>0</v>
      </c>
      <c r="H34" s="317" t="n">
        <f aca="false">IF($A34="N/A"," ",IF(OR(Dayrun2=2,Dayrun2=3,Dayrun2=10),VLOOKUP($A34,ScaledPrice2,9),0))</f>
        <v>0</v>
      </c>
      <c r="I34" s="317" t="n">
        <f aca="false">IF(A34="N/A"," ",IF(OR(Dayrun2=3,Dayrun2=6,Dayrun2=9),(VLOOKUP(A34,ScaledPrice2,IF(Scaler2=2,7,8))),0))</f>
        <v>0</v>
      </c>
      <c r="J34" s="317" t="n">
        <f aca="false">IF(A34="N/A"," ",IF(OR(Dayrun2=3,Dayrun2=6),IF(Scaler2=2,I34,(VLOOKUP(A34,ScaledPrice2,7))*(2-(VLOOKUP(A34,ScaledPrice2,3)))),0))</f>
        <v>0</v>
      </c>
      <c r="K34" s="317" t="n">
        <f aca="false">IF($A34="N/A"," ",IF(OR(Dayrun2=3,Dayrun2=10),VLOOKUP($A34,ScaledPrice2,9),0))</f>
        <v>0</v>
      </c>
      <c r="L34" s="318" t="e">
        <f aca="false">IF($A34="N/A"," ",IF(Pricetype2=2,MAX(C34,0),IF(OR(Pricetype2=1,Pricetype2=4),IF(C34=0,0,(EURO(C34,Strikeprice2,0,0,($AH34+IF(Smile=TRUE(),VLOOKUP(MAX(-5,Strikeprice2-C34),Volsmile,2),0)),($A34-DateToday)+15,IF(Pricetype2=1,1,0),0))),C34)))</f>
        <v>#NAME?</v>
      </c>
      <c r="M34" s="318" t="e">
        <f aca="false">IF($A34="N/A"," ",IF(Pricetype2=2,MAX(D34,0),IF(OR(Pricetype2=1,Pricetype2=4),IF(D34=0,0,(EURO(D34,Strikeprice2,0,0,($AH34+IF(Smile=TRUE(),VLOOKUP(MAX(-5,Strikeprice2-D34),Volsmile,2),0)),($A34-DateToday)+15,IF(Pricetype2=1,1,0),0))),D34)))</f>
        <v>#NAME?</v>
      </c>
      <c r="N34" s="318" t="n">
        <f aca="false">IF($A34="N/A"," ",IF(Pricetype2=2,MAX(E34,0),IF(OR(Pricetype2=1,Pricetype2=4),IF(E34=0,0,(EURO(E34,Strikeprice2,0,0,($AK34+IF(Smile=TRUE(),VLOOKUP(MAX(-5,Strikeprice2-E34),Volsmile,2),0)),($A34-DateToday)+15,IF(Pricetype2=1,1,0),0))),E34)))</f>
        <v>0</v>
      </c>
      <c r="O34" s="318" t="n">
        <f aca="false">IF($A34="N/A"," ",IF(Pricetype2=2,MAX(F34,0),IF(OR(Pricetype2=1,Pricetype2=4),IF(F34=0,0,(EURO(F34,Strikeprice2,0,0,($AK34+IF(Smile=TRUE(),VLOOKUP(MAX(-5,Strikeprice2-F34),Volsmile,2),0)),($A34-DateToday)+15,IF(Pricetype2=1,1,0),0))),F34)))</f>
        <v>0</v>
      </c>
      <c r="P34" s="318" t="n">
        <f aca="false">IF($A34="N/A"," ",IF(Pricetype2=2,MAX(G34,0),IF(OR(Pricetype2=1,Pricetype2=4),IF(G34=0,0,(EURO(G34,Strikeprice2,0,0,($AK34+IF(Smile=TRUE(),VLOOKUP(MAX(-5,Strikeprice2-G34),Volsmile,2),0)),($A34-DateToday)+15,IF(Pricetype2=1,1,0),0))),G34)))</f>
        <v>0</v>
      </c>
      <c r="Q34" s="318" t="n">
        <f aca="false">IF($A34="N/A"," ",IF(Pricetype2=2,MAX(H34,0),IF(OR(Pricetype2=1,Pricetype2=4),IF(H34=0,0,(EURO(H34,Strikeprice2,0,0,($AK34+IF(Smile=TRUE(),VLOOKUP(MAX(-5,Strikeprice2-H34),Volsmile,2),0)),($A34-DateToday)+15,IF(Pricetype2=1,1,0),0))),H34)))</f>
        <v>0</v>
      </c>
      <c r="R34" s="318" t="n">
        <f aca="false">IF($A34="N/A"," ",IF(Pricetype2=2,MAX(I34,0),IF(OR(Pricetype2=1,Pricetype2=4),IF(I34=0,0,(EURO(I34,Strikeprice2,0,0,($AK34+IF(Smile=TRUE(),VLOOKUP(MAX(-5,Strikeprice2-I34),Volsmile,2),0)),($A34-DateToday)+15,IF(Pricetype2=1,1,0),0))),I34)))</f>
        <v>0</v>
      </c>
      <c r="S34" s="318" t="n">
        <f aca="false">IF($A34="N/A"," ",IF(Pricetype2=2,MAX(J34,0),IF(OR(Pricetype2=1,Pricetype2=4),IF(J34=0,0,(EURO(J34,Strikeprice2,0,0,($AK34+IF(Smile=TRUE(),VLOOKUP(MAX(-5,Strikeprice2-J34),Volsmile,2),0)),($A34-DateToday)+15,IF(Pricetype2=1,1,0),0))),J34)))</f>
        <v>0</v>
      </c>
      <c r="T34" s="318" t="n">
        <f aca="false">IF($A34="N/A"," ",IF(Pricetype2=2,MAX(K34,0),IF(OR(Pricetype2=1,Pricetype2=4),IF(K34=0,0,(EURO(K34,Strikeprice2,0,0,($AK34+IF(Smile=TRUE(),VLOOKUP(MAX(-5,Strikeprice2-K34),Volsmile,2),0)),($A34-DateToday)+15,IF(Pricetype2=1,1,0),0))),K34)))</f>
        <v>0</v>
      </c>
      <c r="U34" s="319" t="e">
        <f aca="false">IF($A34="N/A"," ",Volume2*$AM34)</f>
        <v>#N/A</v>
      </c>
      <c r="V34" s="320" t="e">
        <f aca="false">IF($A34="N/A"," ",$U34*(8*($BQ34))*L34)</f>
        <v>#N/A</v>
      </c>
      <c r="W34" s="320" t="e">
        <f aca="false">IF($A34="N/A"," ",$U34*(8*($BQ34))*M34)</f>
        <v>#N/A</v>
      </c>
      <c r="X34" s="320" t="e">
        <f aca="false">IF($A34="N/A"," ",$U34*(8*($BQ34))*N34)</f>
        <v>#N/A</v>
      </c>
      <c r="Y34" s="320" t="e">
        <f aca="false">IF($A34="N/A"," ",$U34*(8*($BR34))*O34)</f>
        <v>#N/A</v>
      </c>
      <c r="Z34" s="320" t="e">
        <f aca="false">IF($A34="N/A"," ",$U34*(8*($BR34))*P34)</f>
        <v>#N/A</v>
      </c>
      <c r="AA34" s="320" t="e">
        <f aca="false">IF($A34="N/A"," ",$U34*(8*($BR34))*Q34)</f>
        <v>#N/A</v>
      </c>
      <c r="AB34" s="320" t="e">
        <f aca="false">IF($A34="N/A"," ",$U34*(8*($BS34))*R34)</f>
        <v>#N/A</v>
      </c>
      <c r="AC34" s="320" t="e">
        <f aca="false">IF($A34="N/A"," ",$U34*(8*($BS34))*S34)</f>
        <v>#N/A</v>
      </c>
      <c r="AD34" s="320" t="e">
        <f aca="false">IF($A34="N/A"," ",$U34*(8*($BS34))*T34)</f>
        <v>#N/A</v>
      </c>
      <c r="AE34" s="320" t="e">
        <f aca="false">IF($A34="N/A"," ",SUM(V34:AD34))</f>
        <v>#N/A</v>
      </c>
      <c r="AF34" s="321" t="n">
        <f aca="false">IF(A34="N/A"," ",(VLOOKUP(A34,PowerVolTable,(IF(VolBMO2=2,7,IF(VolBMO2=1,6,8))),FALSE())))</f>
        <v>0.24</v>
      </c>
      <c r="AG34" s="321" t="n">
        <f aca="false">IF(A34="N/A"," ",(VLOOKUP(A34,IntraPowerVol,(IF(VolBMO2=2,3,IF(VolBMO2=1,2,4))),FALSE())*VLOOKUP(MONTH($A34),Volscale,2)))</f>
        <v>0.48</v>
      </c>
      <c r="AH34" s="321" t="n">
        <f aca="false">IF($A34="N/A"," ",IF(VolType2=1,AG34,AF34))</f>
        <v>0.24</v>
      </c>
      <c r="AI34" s="321" t="n">
        <f aca="false">IF($A34="N/A"," ",(VLOOKUP($A34,OffPwrVolTable,(IF(VolBMO2=2,7,IF(VolBMO2=1,6,8))),FALSE())))</f>
        <v>0.12</v>
      </c>
      <c r="AJ34" s="321" t="n">
        <f aca="false">IF($A34="N/A"," ",(VLOOKUP($A34,OffPwrVolTable,(IF(VolBMO2=2,3,IF(VolBMO2=1,2,4))),FALSE())*VLOOKUP(MONTH($A34),Volscale,2)))</f>
        <v>0.288</v>
      </c>
      <c r="AK34" s="321" t="n">
        <f aca="false">IF($A34="N/A"," ",IF(VolType2=1,AJ34,AI34))</f>
        <v>0.12</v>
      </c>
      <c r="AL34" s="321" t="e">
        <f aca="false">IF($A34="N/A"," ",IF(PV=1,0,'Pricing Inputs2'!R67))</f>
        <v>#N/A</v>
      </c>
      <c r="AM34" s="323" t="e">
        <f aca="false">IF($A34="N/A"," ",(1+AL34/2)^(-2*((EOMONTH(A34,0)+20)-DateToday)/365.25))</f>
        <v>#N/A</v>
      </c>
      <c r="BQ34" s="0" t="n">
        <f aca="false">IF($A34="N/A"," ",(VLOOKUP($A34,NumberofDaysTable,2)))</f>
        <v>21</v>
      </c>
      <c r="BR34" s="0" t="n">
        <f aca="false">IF($A34="N/A"," ",(VLOOKUP($A34,NumberofDaysTable,3)))</f>
        <v>5</v>
      </c>
      <c r="BS34" s="0" t="n">
        <f aca="false">IF($A34="N/A"," ",(VLOOKUP($A34,NumberofDaysTable,4)))</f>
        <v>5</v>
      </c>
    </row>
    <row r="35" customFormat="false" ht="12.75" hidden="false" customHeight="false" outlineLevel="0" collapsed="false">
      <c r="A35" s="315" t="n">
        <f aca="false">IF(A34="N/A","N/A",IF(EDATE(A34,1)&gt;Inputs!$P$5,"N/A",EDATE(A34,1)))</f>
        <v>38200</v>
      </c>
      <c r="B35" s="316" t="n">
        <f aca="false">IF(A35="N/A"," ",YEAR(A35))</f>
        <v>2004</v>
      </c>
      <c r="C35" s="317" t="n">
        <f aca="false">IF($A35="N/A"," ",IF(Dayrun2=10,0,IF(Scaler2=1,(VLOOKUP(A35,ScaledPrice2,4)),(VLOOKUP(A35,ScaledPrice2,2)))))</f>
        <v>52.5</v>
      </c>
      <c r="D35" s="317" t="n">
        <f aca="false">IF(A35="N/A"," ",IF(Dayrun2&gt;=7,0,IF(Scaler2=2,VLOOKUP(A35,ScaledPrice2,2),(VLOOKUP(A35,ScaledPrice2,2))*(2-(VLOOKUP(A35,ScaledPrice2,3))))))</f>
        <v>52.5</v>
      </c>
      <c r="E35" s="317" t="n">
        <f aca="false">IF($A35="N/A"," ",IF(AND(Dayrun2&gt;=4,Dayrun2&lt;=9),0,VLOOKUP($A35,ScaledPrice2,9)))</f>
        <v>0</v>
      </c>
      <c r="F35" s="317" t="n">
        <f aca="false">IF(A35="N/A"," ",IF(OR(Dayrun2=2,Dayrun2=3,Dayrun2=5,Dayrun2=6,Dayrun2=8,Dayrun2=9),VLOOKUP(A35,ScaledPrice2,IF(Scaler2=1,6,5)),0))</f>
        <v>0</v>
      </c>
      <c r="G35" s="317" t="n">
        <f aca="false">IF(A35="N/A"," ",IF(OR(Dayrun2=2,Dayrun2=3,Dayrun2=5,Dayrun2=6),IF(Scaler2=2,F35,(VLOOKUP(A35,ScaledPrice2,5))*(2-(VLOOKUP(A35,ScaledPrice2,3)))),0))</f>
        <v>0</v>
      </c>
      <c r="H35" s="317" t="n">
        <f aca="false">IF($A35="N/A"," ",IF(OR(Dayrun2=2,Dayrun2=3,Dayrun2=10),VLOOKUP($A35,ScaledPrice2,9),0))</f>
        <v>0</v>
      </c>
      <c r="I35" s="317" t="n">
        <f aca="false">IF(A35="N/A"," ",IF(OR(Dayrun2=3,Dayrun2=6,Dayrun2=9),(VLOOKUP(A35,ScaledPrice2,IF(Scaler2=2,7,8))),0))</f>
        <v>0</v>
      </c>
      <c r="J35" s="317" t="n">
        <f aca="false">IF(A35="N/A"," ",IF(OR(Dayrun2=3,Dayrun2=6),IF(Scaler2=2,I35,(VLOOKUP(A35,ScaledPrice2,7))*(2-(VLOOKUP(A35,ScaledPrice2,3)))),0))</f>
        <v>0</v>
      </c>
      <c r="K35" s="317" t="n">
        <f aca="false">IF($A35="N/A"," ",IF(OR(Dayrun2=3,Dayrun2=10),VLOOKUP($A35,ScaledPrice2,9),0))</f>
        <v>0</v>
      </c>
      <c r="L35" s="318" t="e">
        <f aca="false">IF($A35="N/A"," ",IF(Pricetype2=2,MAX(C35,0),IF(OR(Pricetype2=1,Pricetype2=4),IF(C35=0,0,(EURO(C35,Strikeprice2,0,0,($AH35+IF(Smile=TRUE(),VLOOKUP(MAX(-5,Strikeprice2-C35),Volsmile,2),0)),($A35-DateToday)+15,IF(Pricetype2=1,1,0),0))),C35)))</f>
        <v>#NAME?</v>
      </c>
      <c r="M35" s="318" t="e">
        <f aca="false">IF($A35="N/A"," ",IF(Pricetype2=2,MAX(D35,0),IF(OR(Pricetype2=1,Pricetype2=4),IF(D35=0,0,(EURO(D35,Strikeprice2,0,0,($AH35+IF(Smile=TRUE(),VLOOKUP(MAX(-5,Strikeprice2-D35),Volsmile,2),0)),($A35-DateToday)+15,IF(Pricetype2=1,1,0),0))),D35)))</f>
        <v>#NAME?</v>
      </c>
      <c r="N35" s="318" t="n">
        <f aca="false">IF($A35="N/A"," ",IF(Pricetype2=2,MAX(E35,0),IF(OR(Pricetype2=1,Pricetype2=4),IF(E35=0,0,(EURO(E35,Strikeprice2,0,0,($AK35+IF(Smile=TRUE(),VLOOKUP(MAX(-5,Strikeprice2-E35),Volsmile,2),0)),($A35-DateToday)+15,IF(Pricetype2=1,1,0),0))),E35)))</f>
        <v>0</v>
      </c>
      <c r="O35" s="318" t="n">
        <f aca="false">IF($A35="N/A"," ",IF(Pricetype2=2,MAX(F35,0),IF(OR(Pricetype2=1,Pricetype2=4),IF(F35=0,0,(EURO(F35,Strikeprice2,0,0,($AK35+IF(Smile=TRUE(),VLOOKUP(MAX(-5,Strikeprice2-F35),Volsmile,2),0)),($A35-DateToday)+15,IF(Pricetype2=1,1,0),0))),F35)))</f>
        <v>0</v>
      </c>
      <c r="P35" s="318" t="n">
        <f aca="false">IF($A35="N/A"," ",IF(Pricetype2=2,MAX(G35,0),IF(OR(Pricetype2=1,Pricetype2=4),IF(G35=0,0,(EURO(G35,Strikeprice2,0,0,($AK35+IF(Smile=TRUE(),VLOOKUP(MAX(-5,Strikeprice2-G35),Volsmile,2),0)),($A35-DateToday)+15,IF(Pricetype2=1,1,0),0))),G35)))</f>
        <v>0</v>
      </c>
      <c r="Q35" s="318" t="n">
        <f aca="false">IF($A35="N/A"," ",IF(Pricetype2=2,MAX(H35,0),IF(OR(Pricetype2=1,Pricetype2=4),IF(H35=0,0,(EURO(H35,Strikeprice2,0,0,($AK35+IF(Smile=TRUE(),VLOOKUP(MAX(-5,Strikeprice2-H35),Volsmile,2),0)),($A35-DateToday)+15,IF(Pricetype2=1,1,0),0))),H35)))</f>
        <v>0</v>
      </c>
      <c r="R35" s="318" t="n">
        <f aca="false">IF($A35="N/A"," ",IF(Pricetype2=2,MAX(I35,0),IF(OR(Pricetype2=1,Pricetype2=4),IF(I35=0,0,(EURO(I35,Strikeprice2,0,0,($AK35+IF(Smile=TRUE(),VLOOKUP(MAX(-5,Strikeprice2-I35),Volsmile,2),0)),($A35-DateToday)+15,IF(Pricetype2=1,1,0),0))),I35)))</f>
        <v>0</v>
      </c>
      <c r="S35" s="318" t="n">
        <f aca="false">IF($A35="N/A"," ",IF(Pricetype2=2,MAX(J35,0),IF(OR(Pricetype2=1,Pricetype2=4),IF(J35=0,0,(EURO(J35,Strikeprice2,0,0,($AK35+IF(Smile=TRUE(),VLOOKUP(MAX(-5,Strikeprice2-J35),Volsmile,2),0)),($A35-DateToday)+15,IF(Pricetype2=1,1,0),0))),J35)))</f>
        <v>0</v>
      </c>
      <c r="T35" s="318" t="n">
        <f aca="false">IF($A35="N/A"," ",IF(Pricetype2=2,MAX(K35,0),IF(OR(Pricetype2=1,Pricetype2=4),IF(K35=0,0,(EURO(K35,Strikeprice2,0,0,($AK35+IF(Smile=TRUE(),VLOOKUP(MAX(-5,Strikeprice2-K35),Volsmile,2),0)),($A35-DateToday)+15,IF(Pricetype2=1,1,0),0))),K35)))</f>
        <v>0</v>
      </c>
      <c r="U35" s="319" t="e">
        <f aca="false">IF($A35="N/A"," ",Volume2*$AM35)</f>
        <v>#N/A</v>
      </c>
      <c r="V35" s="320" t="e">
        <f aca="false">IF($A35="N/A"," ",$U35*(8*($BQ35))*L35)</f>
        <v>#N/A</v>
      </c>
      <c r="W35" s="320" t="e">
        <f aca="false">IF($A35="N/A"," ",$U35*(8*($BQ35))*M35)</f>
        <v>#N/A</v>
      </c>
      <c r="X35" s="320" t="e">
        <f aca="false">IF($A35="N/A"," ",$U35*(8*($BQ35))*N35)</f>
        <v>#N/A</v>
      </c>
      <c r="Y35" s="320" t="e">
        <f aca="false">IF($A35="N/A"," ",$U35*(8*($BR35))*O35)</f>
        <v>#N/A</v>
      </c>
      <c r="Z35" s="320" t="e">
        <f aca="false">IF($A35="N/A"," ",$U35*(8*($BR35))*P35)</f>
        <v>#N/A</v>
      </c>
      <c r="AA35" s="320" t="e">
        <f aca="false">IF($A35="N/A"," ",$U35*(8*($BR35))*Q35)</f>
        <v>#N/A</v>
      </c>
      <c r="AB35" s="320" t="e">
        <f aca="false">IF($A35="N/A"," ",$U35*(8*($BS35))*R35)</f>
        <v>#N/A</v>
      </c>
      <c r="AC35" s="320" t="e">
        <f aca="false">IF($A35="N/A"," ",$U35*(8*($BS35))*S35)</f>
        <v>#N/A</v>
      </c>
      <c r="AD35" s="320" t="e">
        <f aca="false">IF($A35="N/A"," ",$U35*(8*($BS35))*T35)</f>
        <v>#N/A</v>
      </c>
      <c r="AE35" s="320" t="e">
        <f aca="false">IF($A35="N/A"," ",SUM(V35:AD35))</f>
        <v>#N/A</v>
      </c>
      <c r="AF35" s="321" t="n">
        <f aca="false">IF(A35="N/A"," ",(VLOOKUP(A35,PowerVolTable,(IF(VolBMO2=2,7,IF(VolBMO2=1,6,8))),FALSE())))</f>
        <v>0.24</v>
      </c>
      <c r="AG35" s="321" t="n">
        <f aca="false">IF(A35="N/A"," ",(VLOOKUP(A35,IntraPowerVol,(IF(VolBMO2=2,3,IF(VolBMO2=1,2,4))),FALSE())*VLOOKUP(MONTH($A35),Volscale,2)))</f>
        <v>0.48</v>
      </c>
      <c r="AH35" s="321" t="n">
        <f aca="false">IF($A35="N/A"," ",IF(VolType2=1,AG35,AF35))</f>
        <v>0.24</v>
      </c>
      <c r="AI35" s="321" t="n">
        <f aca="false">IF($A35="N/A"," ",(VLOOKUP($A35,OffPwrVolTable,(IF(VolBMO2=2,7,IF(VolBMO2=1,6,8))),FALSE())))</f>
        <v>0.12</v>
      </c>
      <c r="AJ35" s="321" t="n">
        <f aca="false">IF($A35="N/A"," ",(VLOOKUP($A35,OffPwrVolTable,(IF(VolBMO2=2,3,IF(VolBMO2=1,2,4))),FALSE())*VLOOKUP(MONTH($A35),Volscale,2)))</f>
        <v>0.288</v>
      </c>
      <c r="AK35" s="321" t="n">
        <f aca="false">IF($A35="N/A"," ",IF(VolType2=1,AJ35,AI35))</f>
        <v>0.12</v>
      </c>
      <c r="AL35" s="321" t="e">
        <f aca="false">IF($A35="N/A"," ",IF(PV=1,0,'Pricing Inputs2'!R68))</f>
        <v>#N/A</v>
      </c>
      <c r="AM35" s="323" t="e">
        <f aca="false">IF($A35="N/A"," ",(1+AL35/2)^(-2*((EOMONTH(A35,0)+20)-DateToday)/365.25))</f>
        <v>#N/A</v>
      </c>
      <c r="BQ35" s="0" t="n">
        <f aca="false">IF($A35="N/A"," ",(VLOOKUP($A35,NumberofDaysTable,2)))</f>
        <v>22</v>
      </c>
      <c r="BR35" s="0" t="n">
        <f aca="false">IF($A35="N/A"," ",(VLOOKUP($A35,NumberofDaysTable,3)))</f>
        <v>4</v>
      </c>
      <c r="BS35" s="0" t="n">
        <f aca="false">IF($A35="N/A"," ",(VLOOKUP($A35,NumberofDaysTable,4)))</f>
        <v>5</v>
      </c>
    </row>
    <row r="36" customFormat="false" ht="12.75" hidden="false" customHeight="false" outlineLevel="0" collapsed="false">
      <c r="A36" s="315" t="n">
        <f aca="false">IF(A35="N/A","N/A",IF(EDATE(A35,1)&gt;Inputs!$P$5,"N/A",EDATE(A35,1)))</f>
        <v>38231</v>
      </c>
      <c r="B36" s="316" t="n">
        <f aca="false">IF(A36="N/A"," ",YEAR(A36))</f>
        <v>2004</v>
      </c>
      <c r="C36" s="317" t="n">
        <f aca="false">IF($A36="N/A"," ",IF(Dayrun2=10,0,IF(Scaler2=1,(VLOOKUP(A36,ScaledPrice2,4)),(VLOOKUP(A36,ScaledPrice2,2)))))</f>
        <v>30.3000011444092</v>
      </c>
      <c r="D36" s="317" t="n">
        <f aca="false">IF(A36="N/A"," ",IF(Dayrun2&gt;=7,0,IF(Scaler2=2,VLOOKUP(A36,ScaledPrice2,2),(VLOOKUP(A36,ScaledPrice2,2))*(2-(VLOOKUP(A36,ScaledPrice2,3))))))</f>
        <v>30.3000011444092</v>
      </c>
      <c r="E36" s="317" t="n">
        <f aca="false">IF($A36="N/A"," ",IF(AND(Dayrun2&gt;=4,Dayrun2&lt;=9),0,VLOOKUP($A36,ScaledPrice2,9)))</f>
        <v>0</v>
      </c>
      <c r="F36" s="317" t="n">
        <f aca="false">IF(A36="N/A"," ",IF(OR(Dayrun2=2,Dayrun2=3,Dayrun2=5,Dayrun2=6,Dayrun2=8,Dayrun2=9),VLOOKUP(A36,ScaledPrice2,IF(Scaler2=1,6,5)),0))</f>
        <v>0</v>
      </c>
      <c r="G36" s="317" t="n">
        <f aca="false">IF(A36="N/A"," ",IF(OR(Dayrun2=2,Dayrun2=3,Dayrun2=5,Dayrun2=6),IF(Scaler2=2,F36,(VLOOKUP(A36,ScaledPrice2,5))*(2-(VLOOKUP(A36,ScaledPrice2,3)))),0))</f>
        <v>0</v>
      </c>
      <c r="H36" s="317" t="n">
        <f aca="false">IF($A36="N/A"," ",IF(OR(Dayrun2=2,Dayrun2=3,Dayrun2=10),VLOOKUP($A36,ScaledPrice2,9),0))</f>
        <v>0</v>
      </c>
      <c r="I36" s="317" t="n">
        <f aca="false">IF(A36="N/A"," ",IF(OR(Dayrun2=3,Dayrun2=6,Dayrun2=9),(VLOOKUP(A36,ScaledPrice2,IF(Scaler2=2,7,8))),0))</f>
        <v>0</v>
      </c>
      <c r="J36" s="317" t="n">
        <f aca="false">IF(A36="N/A"," ",IF(OR(Dayrun2=3,Dayrun2=6),IF(Scaler2=2,I36,(VLOOKUP(A36,ScaledPrice2,7))*(2-(VLOOKUP(A36,ScaledPrice2,3)))),0))</f>
        <v>0</v>
      </c>
      <c r="K36" s="317" t="n">
        <f aca="false">IF($A36="N/A"," ",IF(OR(Dayrun2=3,Dayrun2=10),VLOOKUP($A36,ScaledPrice2,9),0))</f>
        <v>0</v>
      </c>
      <c r="L36" s="318" t="e">
        <f aca="false">IF($A36="N/A"," ",IF(Pricetype2=2,MAX(C36,0),IF(OR(Pricetype2=1,Pricetype2=4),IF(C36=0,0,(EURO(C36,Strikeprice2,0,0,($AH36+IF(Smile=TRUE(),VLOOKUP(MAX(-5,Strikeprice2-C36),Volsmile,2),0)),($A36-DateToday)+15,IF(Pricetype2=1,1,0),0))),C36)))</f>
        <v>#NAME?</v>
      </c>
      <c r="M36" s="318" t="e">
        <f aca="false">IF($A36="N/A"," ",IF(Pricetype2=2,MAX(D36,0),IF(OR(Pricetype2=1,Pricetype2=4),IF(D36=0,0,(EURO(D36,Strikeprice2,0,0,($AH36+IF(Smile=TRUE(),VLOOKUP(MAX(-5,Strikeprice2-D36),Volsmile,2),0)),($A36-DateToday)+15,IF(Pricetype2=1,1,0),0))),D36)))</f>
        <v>#NAME?</v>
      </c>
      <c r="N36" s="318" t="n">
        <f aca="false">IF($A36="N/A"," ",IF(Pricetype2=2,MAX(E36,0),IF(OR(Pricetype2=1,Pricetype2=4),IF(E36=0,0,(EURO(E36,Strikeprice2,0,0,($AK36+IF(Smile=TRUE(),VLOOKUP(MAX(-5,Strikeprice2-E36),Volsmile,2),0)),($A36-DateToday)+15,IF(Pricetype2=1,1,0),0))),E36)))</f>
        <v>0</v>
      </c>
      <c r="O36" s="318" t="n">
        <f aca="false">IF($A36="N/A"," ",IF(Pricetype2=2,MAX(F36,0),IF(OR(Pricetype2=1,Pricetype2=4),IF(F36=0,0,(EURO(F36,Strikeprice2,0,0,($AK36+IF(Smile=TRUE(),VLOOKUP(MAX(-5,Strikeprice2-F36),Volsmile,2),0)),($A36-DateToday)+15,IF(Pricetype2=1,1,0),0))),F36)))</f>
        <v>0</v>
      </c>
      <c r="P36" s="318" t="n">
        <f aca="false">IF($A36="N/A"," ",IF(Pricetype2=2,MAX(G36,0),IF(OR(Pricetype2=1,Pricetype2=4),IF(G36=0,0,(EURO(G36,Strikeprice2,0,0,($AK36+IF(Smile=TRUE(),VLOOKUP(MAX(-5,Strikeprice2-G36),Volsmile,2),0)),($A36-DateToday)+15,IF(Pricetype2=1,1,0),0))),G36)))</f>
        <v>0</v>
      </c>
      <c r="Q36" s="318" t="n">
        <f aca="false">IF($A36="N/A"," ",IF(Pricetype2=2,MAX(H36,0),IF(OR(Pricetype2=1,Pricetype2=4),IF(H36=0,0,(EURO(H36,Strikeprice2,0,0,($AK36+IF(Smile=TRUE(),VLOOKUP(MAX(-5,Strikeprice2-H36),Volsmile,2),0)),($A36-DateToday)+15,IF(Pricetype2=1,1,0),0))),H36)))</f>
        <v>0</v>
      </c>
      <c r="R36" s="318" t="n">
        <f aca="false">IF($A36="N/A"," ",IF(Pricetype2=2,MAX(I36,0),IF(OR(Pricetype2=1,Pricetype2=4),IF(I36=0,0,(EURO(I36,Strikeprice2,0,0,($AK36+IF(Smile=TRUE(),VLOOKUP(MAX(-5,Strikeprice2-I36),Volsmile,2),0)),($A36-DateToday)+15,IF(Pricetype2=1,1,0),0))),I36)))</f>
        <v>0</v>
      </c>
      <c r="S36" s="318" t="n">
        <f aca="false">IF($A36="N/A"," ",IF(Pricetype2=2,MAX(J36,0),IF(OR(Pricetype2=1,Pricetype2=4),IF(J36=0,0,(EURO(J36,Strikeprice2,0,0,($AK36+IF(Smile=TRUE(),VLOOKUP(MAX(-5,Strikeprice2-J36),Volsmile,2),0)),($A36-DateToday)+15,IF(Pricetype2=1,1,0),0))),J36)))</f>
        <v>0</v>
      </c>
      <c r="T36" s="318" t="n">
        <f aca="false">IF($A36="N/A"," ",IF(Pricetype2=2,MAX(K36,0),IF(OR(Pricetype2=1,Pricetype2=4),IF(K36=0,0,(EURO(K36,Strikeprice2,0,0,($AK36+IF(Smile=TRUE(),VLOOKUP(MAX(-5,Strikeprice2-K36),Volsmile,2),0)),($A36-DateToday)+15,IF(Pricetype2=1,1,0),0))),K36)))</f>
        <v>0</v>
      </c>
      <c r="U36" s="319" t="e">
        <f aca="false">IF($A36="N/A"," ",Volume2*$AM36)</f>
        <v>#N/A</v>
      </c>
      <c r="V36" s="320" t="e">
        <f aca="false">IF($A36="N/A"," ",$U36*(8*($BQ36))*L36)</f>
        <v>#N/A</v>
      </c>
      <c r="W36" s="320" t="e">
        <f aca="false">IF($A36="N/A"," ",$U36*(8*($BQ36))*M36)</f>
        <v>#N/A</v>
      </c>
      <c r="X36" s="320" t="e">
        <f aca="false">IF($A36="N/A"," ",$U36*(8*($BQ36))*N36)</f>
        <v>#N/A</v>
      </c>
      <c r="Y36" s="320" t="e">
        <f aca="false">IF($A36="N/A"," ",$U36*(8*($BR36))*O36)</f>
        <v>#N/A</v>
      </c>
      <c r="Z36" s="320" t="e">
        <f aca="false">IF($A36="N/A"," ",$U36*(8*($BR36))*P36)</f>
        <v>#N/A</v>
      </c>
      <c r="AA36" s="320" t="e">
        <f aca="false">IF($A36="N/A"," ",$U36*(8*($BR36))*Q36)</f>
        <v>#N/A</v>
      </c>
      <c r="AB36" s="320" t="e">
        <f aca="false">IF($A36="N/A"," ",$U36*(8*($BS36))*R36)</f>
        <v>#N/A</v>
      </c>
      <c r="AC36" s="320" t="e">
        <f aca="false">IF($A36="N/A"," ",$U36*(8*($BS36))*S36)</f>
        <v>#N/A</v>
      </c>
      <c r="AD36" s="320" t="e">
        <f aca="false">IF($A36="N/A"," ",$U36*(8*($BS36))*T36)</f>
        <v>#N/A</v>
      </c>
      <c r="AE36" s="320" t="e">
        <f aca="false">IF($A36="N/A"," ",SUM(V36:AD36))</f>
        <v>#N/A</v>
      </c>
      <c r="AF36" s="321" t="n">
        <f aca="false">IF(A36="N/A"," ",(VLOOKUP(A36,PowerVolTable,(IF(VolBMO2=2,7,IF(VolBMO2=1,6,8))),FALSE())))</f>
        <v>0.16</v>
      </c>
      <c r="AG36" s="321" t="n">
        <f aca="false">IF(A36="N/A"," ",(VLOOKUP(A36,IntraPowerVol,(IF(VolBMO2=2,3,IF(VolBMO2=1,2,4))),FALSE())*VLOOKUP(MONTH($A36),Volscale,2)))</f>
        <v>0.32</v>
      </c>
      <c r="AH36" s="321" t="n">
        <f aca="false">IF($A36="N/A"," ",IF(VolType2=1,AG36,AF36))</f>
        <v>0.16</v>
      </c>
      <c r="AI36" s="321" t="n">
        <f aca="false">IF($A36="N/A"," ",(VLOOKUP($A36,OffPwrVolTable,(IF(VolBMO2=2,7,IF(VolBMO2=1,6,8))),FALSE())))</f>
        <v>0.08</v>
      </c>
      <c r="AJ36" s="321" t="n">
        <f aca="false">IF($A36="N/A"," ",(VLOOKUP($A36,OffPwrVolTable,(IF(VolBMO2=2,3,IF(VolBMO2=1,2,4))),FALSE())*VLOOKUP(MONTH($A36),Volscale,2)))</f>
        <v>0.192</v>
      </c>
      <c r="AK36" s="321" t="n">
        <f aca="false">IF($A36="N/A"," ",IF(VolType2=1,AJ36,AI36))</f>
        <v>0.08</v>
      </c>
      <c r="AL36" s="321" t="e">
        <f aca="false">IF($A36="N/A"," ",IF(PV=1,0,'Pricing Inputs2'!R69))</f>
        <v>#N/A</v>
      </c>
      <c r="AM36" s="323" t="e">
        <f aca="false">IF($A36="N/A"," ",(1+AL36/2)^(-2*((EOMONTH(A36,0)+20)-DateToday)/365.25))</f>
        <v>#N/A</v>
      </c>
      <c r="BQ36" s="0" t="n">
        <f aca="false">IF($A36="N/A"," ",(VLOOKUP($A36,NumberofDaysTable,2)))</f>
        <v>21</v>
      </c>
      <c r="BR36" s="0" t="n">
        <f aca="false">IF($A36="N/A"," ",(VLOOKUP($A36,NumberofDaysTable,3)))</f>
        <v>4</v>
      </c>
      <c r="BS36" s="0" t="n">
        <f aca="false">IF($A36="N/A"," ",(VLOOKUP($A36,NumberofDaysTable,4)))</f>
        <v>5</v>
      </c>
    </row>
    <row r="37" customFormat="false" ht="12.75" hidden="false" customHeight="false" outlineLevel="0" collapsed="false">
      <c r="A37" s="315" t="n">
        <f aca="false">IF(A36="N/A","N/A",IF(EDATE(A36,1)&gt;Inputs!$P$5,"N/A",EDATE(A36,1)))</f>
        <v>38261</v>
      </c>
      <c r="B37" s="316" t="n">
        <f aca="false">IF(A37="N/A"," ",YEAR(A37))</f>
        <v>2004</v>
      </c>
      <c r="C37" s="317" t="n">
        <f aca="false">IF($A37="N/A"," ",IF(Dayrun2=10,0,IF(Scaler2=1,(VLOOKUP(A37,ScaledPrice2,4)),(VLOOKUP(A37,ScaledPrice2,2)))))</f>
        <v>30.9515632390976</v>
      </c>
      <c r="D37" s="317" t="n">
        <f aca="false">IF(A37="N/A"," ",IF(Dayrun2&gt;=7,0,IF(Scaler2=2,VLOOKUP(A37,ScaledPrice2,2),(VLOOKUP(A37,ScaledPrice2,2))*(2-(VLOOKUP(A37,ScaledPrice2,3))))))</f>
        <v>30.9515632390976</v>
      </c>
      <c r="E37" s="317" t="n">
        <f aca="false">IF($A37="N/A"," ",IF(AND(Dayrun2&gt;=4,Dayrun2&lt;=9),0,VLOOKUP($A37,ScaledPrice2,9)))</f>
        <v>0</v>
      </c>
      <c r="F37" s="317" t="n">
        <f aca="false">IF(A37="N/A"," ",IF(OR(Dayrun2=2,Dayrun2=3,Dayrun2=5,Dayrun2=6,Dayrun2=8,Dayrun2=9),VLOOKUP(A37,ScaledPrice2,IF(Scaler2=1,6,5)),0))</f>
        <v>0</v>
      </c>
      <c r="G37" s="317" t="n">
        <f aca="false">IF(A37="N/A"," ",IF(OR(Dayrun2=2,Dayrun2=3,Dayrun2=5,Dayrun2=6),IF(Scaler2=2,F37,(VLOOKUP(A37,ScaledPrice2,5))*(2-(VLOOKUP(A37,ScaledPrice2,3)))),0))</f>
        <v>0</v>
      </c>
      <c r="H37" s="317" t="n">
        <f aca="false">IF($A37="N/A"," ",IF(OR(Dayrun2=2,Dayrun2=3,Dayrun2=10),VLOOKUP($A37,ScaledPrice2,9),0))</f>
        <v>0</v>
      </c>
      <c r="I37" s="317" t="n">
        <f aca="false">IF(A37="N/A"," ",IF(OR(Dayrun2=3,Dayrun2=6,Dayrun2=9),(VLOOKUP(A37,ScaledPrice2,IF(Scaler2=2,7,8))),0))</f>
        <v>0</v>
      </c>
      <c r="J37" s="317" t="n">
        <f aca="false">IF(A37="N/A"," ",IF(OR(Dayrun2=3,Dayrun2=6),IF(Scaler2=2,I37,(VLOOKUP(A37,ScaledPrice2,7))*(2-(VLOOKUP(A37,ScaledPrice2,3)))),0))</f>
        <v>0</v>
      </c>
      <c r="K37" s="317" t="n">
        <f aca="false">IF($A37="N/A"," ",IF(OR(Dayrun2=3,Dayrun2=10),VLOOKUP($A37,ScaledPrice2,9),0))</f>
        <v>0</v>
      </c>
      <c r="L37" s="318" t="e">
        <f aca="false">IF($A37="N/A"," ",IF(Pricetype2=2,MAX(C37,0),IF(OR(Pricetype2=1,Pricetype2=4),IF(C37=0,0,(EURO(C37,Strikeprice2,0,0,($AH37+IF(Smile=TRUE(),VLOOKUP(MAX(-5,Strikeprice2-C37),Volsmile,2),0)),($A37-DateToday)+15,IF(Pricetype2=1,1,0),0))),C37)))</f>
        <v>#NAME?</v>
      </c>
      <c r="M37" s="318" t="e">
        <f aca="false">IF($A37="N/A"," ",IF(Pricetype2=2,MAX(D37,0),IF(OR(Pricetype2=1,Pricetype2=4),IF(D37=0,0,(EURO(D37,Strikeprice2,0,0,($AH37+IF(Smile=TRUE(),VLOOKUP(MAX(-5,Strikeprice2-D37),Volsmile,2),0)),($A37-DateToday)+15,IF(Pricetype2=1,1,0),0))),D37)))</f>
        <v>#NAME?</v>
      </c>
      <c r="N37" s="318" t="n">
        <f aca="false">IF($A37="N/A"," ",IF(Pricetype2=2,MAX(E37,0),IF(OR(Pricetype2=1,Pricetype2=4),IF(E37=0,0,(EURO(E37,Strikeprice2,0,0,($AK37+IF(Smile=TRUE(),VLOOKUP(MAX(-5,Strikeprice2-E37),Volsmile,2),0)),($A37-DateToday)+15,IF(Pricetype2=1,1,0),0))),E37)))</f>
        <v>0</v>
      </c>
      <c r="O37" s="318" t="n">
        <f aca="false">IF($A37="N/A"," ",IF(Pricetype2=2,MAX(F37,0),IF(OR(Pricetype2=1,Pricetype2=4),IF(F37=0,0,(EURO(F37,Strikeprice2,0,0,($AK37+IF(Smile=TRUE(),VLOOKUP(MAX(-5,Strikeprice2-F37),Volsmile,2),0)),($A37-DateToday)+15,IF(Pricetype2=1,1,0),0))),F37)))</f>
        <v>0</v>
      </c>
      <c r="P37" s="318" t="n">
        <f aca="false">IF($A37="N/A"," ",IF(Pricetype2=2,MAX(G37,0),IF(OR(Pricetype2=1,Pricetype2=4),IF(G37=0,0,(EURO(G37,Strikeprice2,0,0,($AK37+IF(Smile=TRUE(),VLOOKUP(MAX(-5,Strikeprice2-G37),Volsmile,2),0)),($A37-DateToday)+15,IF(Pricetype2=1,1,0),0))),G37)))</f>
        <v>0</v>
      </c>
      <c r="Q37" s="318" t="n">
        <f aca="false">IF($A37="N/A"," ",IF(Pricetype2=2,MAX(H37,0),IF(OR(Pricetype2=1,Pricetype2=4),IF(H37=0,0,(EURO(H37,Strikeprice2,0,0,($AK37+IF(Smile=TRUE(),VLOOKUP(MAX(-5,Strikeprice2-H37),Volsmile,2),0)),($A37-DateToday)+15,IF(Pricetype2=1,1,0),0))),H37)))</f>
        <v>0</v>
      </c>
      <c r="R37" s="318" t="n">
        <f aca="false">IF($A37="N/A"," ",IF(Pricetype2=2,MAX(I37,0),IF(OR(Pricetype2=1,Pricetype2=4),IF(I37=0,0,(EURO(I37,Strikeprice2,0,0,($AK37+IF(Smile=TRUE(),VLOOKUP(MAX(-5,Strikeprice2-I37),Volsmile,2),0)),($A37-DateToday)+15,IF(Pricetype2=1,1,0),0))),I37)))</f>
        <v>0</v>
      </c>
      <c r="S37" s="318" t="n">
        <f aca="false">IF($A37="N/A"," ",IF(Pricetype2=2,MAX(J37,0),IF(OR(Pricetype2=1,Pricetype2=4),IF(J37=0,0,(EURO(J37,Strikeprice2,0,0,($AK37+IF(Smile=TRUE(),VLOOKUP(MAX(-5,Strikeprice2-J37),Volsmile,2),0)),($A37-DateToday)+15,IF(Pricetype2=1,1,0),0))),J37)))</f>
        <v>0</v>
      </c>
      <c r="T37" s="318" t="n">
        <f aca="false">IF($A37="N/A"," ",IF(Pricetype2=2,MAX(K37,0),IF(OR(Pricetype2=1,Pricetype2=4),IF(K37=0,0,(EURO(K37,Strikeprice2,0,0,($AK37+IF(Smile=TRUE(),VLOOKUP(MAX(-5,Strikeprice2-K37),Volsmile,2),0)),($A37-DateToday)+15,IF(Pricetype2=1,1,0),0))),K37)))</f>
        <v>0</v>
      </c>
      <c r="U37" s="319" t="e">
        <f aca="false">IF($A37="N/A"," ",Volume2*$AM37)</f>
        <v>#N/A</v>
      </c>
      <c r="V37" s="320" t="e">
        <f aca="false">IF($A37="N/A"," ",$U37*(8*($BQ37))*L37)</f>
        <v>#N/A</v>
      </c>
      <c r="W37" s="320" t="e">
        <f aca="false">IF($A37="N/A"," ",$U37*(8*($BQ37))*M37)</f>
        <v>#N/A</v>
      </c>
      <c r="X37" s="320" t="e">
        <f aca="false">IF($A37="N/A"," ",$U37*(8*($BQ37))*N37)</f>
        <v>#N/A</v>
      </c>
      <c r="Y37" s="320" t="e">
        <f aca="false">IF($A37="N/A"," ",$U37*(8*($BR37))*O37)</f>
        <v>#N/A</v>
      </c>
      <c r="Z37" s="320" t="e">
        <f aca="false">IF($A37="N/A"," ",$U37*(8*($BR37))*P37)</f>
        <v>#N/A</v>
      </c>
      <c r="AA37" s="320" t="e">
        <f aca="false">IF($A37="N/A"," ",$U37*(8*($BR37))*Q37)</f>
        <v>#N/A</v>
      </c>
      <c r="AB37" s="320" t="e">
        <f aca="false">IF($A37="N/A"," ",$U37*(8*($BS37))*R37)</f>
        <v>#N/A</v>
      </c>
      <c r="AC37" s="320" t="e">
        <f aca="false">IF($A37="N/A"," ",$U37*(8*($BS37))*S37)</f>
        <v>#N/A</v>
      </c>
      <c r="AD37" s="320" t="e">
        <f aca="false">IF($A37="N/A"," ",$U37*(8*($BS37))*T37)</f>
        <v>#N/A</v>
      </c>
      <c r="AE37" s="320" t="e">
        <f aca="false">IF($A37="N/A"," ",SUM(V37:AD37))</f>
        <v>#N/A</v>
      </c>
      <c r="AF37" s="321" t="n">
        <f aca="false">IF(A37="N/A"," ",(VLOOKUP(A37,PowerVolTable,(IF(VolBMO2=2,7,IF(VolBMO2=1,6,8))),FALSE())))</f>
        <v>0.16</v>
      </c>
      <c r="AG37" s="321" t="n">
        <f aca="false">IF(A37="N/A"," ",(VLOOKUP(A37,IntraPowerVol,(IF(VolBMO2=2,3,IF(VolBMO2=1,2,4))),FALSE())*VLOOKUP(MONTH($A37),Volscale,2)))</f>
        <v>0.32</v>
      </c>
      <c r="AH37" s="321" t="n">
        <f aca="false">IF($A37="N/A"," ",IF(VolType2=1,AG37,AF37))</f>
        <v>0.16</v>
      </c>
      <c r="AI37" s="321" t="n">
        <f aca="false">IF($A37="N/A"," ",(VLOOKUP($A37,OffPwrVolTable,(IF(VolBMO2=2,7,IF(VolBMO2=1,6,8))),FALSE())))</f>
        <v>0.08</v>
      </c>
      <c r="AJ37" s="321" t="n">
        <f aca="false">IF($A37="N/A"," ",(VLOOKUP($A37,OffPwrVolTable,(IF(VolBMO2=2,3,IF(VolBMO2=1,2,4))),FALSE())*VLOOKUP(MONTH($A37),Volscale,2)))</f>
        <v>0.192</v>
      </c>
      <c r="AK37" s="321" t="n">
        <f aca="false">IF($A37="N/A"," ",IF(VolType2=1,AJ37,AI37))</f>
        <v>0.08</v>
      </c>
      <c r="AL37" s="321" t="e">
        <f aca="false">IF($A37="N/A"," ",IF(PV=1,0,'Pricing Inputs2'!R70))</f>
        <v>#N/A</v>
      </c>
      <c r="AM37" s="323" t="e">
        <f aca="false">IF($A37="N/A"," ",(1+AL37/2)^(-2*((EOMONTH(A37,0)+20)-DateToday)/365.25))</f>
        <v>#N/A</v>
      </c>
      <c r="BQ37" s="0" t="n">
        <f aca="false">IF($A37="N/A"," ",(VLOOKUP($A37,NumberofDaysTable,2)))</f>
        <v>21</v>
      </c>
      <c r="BR37" s="0" t="n">
        <f aca="false">IF($A37="N/A"," ",(VLOOKUP($A37,NumberofDaysTable,3)))</f>
        <v>5</v>
      </c>
      <c r="BS37" s="0" t="n">
        <f aca="false">IF($A37="N/A"," ",(VLOOKUP($A37,NumberofDaysTable,4)))</f>
        <v>5</v>
      </c>
    </row>
    <row r="38" customFormat="false" ht="12.75" hidden="false" customHeight="false" outlineLevel="0" collapsed="false">
      <c r="A38" s="315" t="n">
        <f aca="false">IF(A37="N/A","N/A",IF(EDATE(A37,1)&gt;Inputs!$P$5,"N/A",EDATE(A37,1)))</f>
        <v>38292</v>
      </c>
      <c r="B38" s="316" t="n">
        <f aca="false">IF(A38="N/A"," ",YEAR(A38))</f>
        <v>2004</v>
      </c>
      <c r="C38" s="317" t="n">
        <f aca="false">IF($A38="N/A"," ",IF(Dayrun2=10,0,IF(Scaler2=1,(VLOOKUP(A38,ScaledPrice2,4)),(VLOOKUP(A38,ScaledPrice2,2)))))</f>
        <v>31.0515617132187</v>
      </c>
      <c r="D38" s="317" t="n">
        <f aca="false">IF(A38="N/A"," ",IF(Dayrun2&gt;=7,0,IF(Scaler2=2,VLOOKUP(A38,ScaledPrice2,2),(VLOOKUP(A38,ScaledPrice2,2))*(2-(VLOOKUP(A38,ScaledPrice2,3))))))</f>
        <v>31.0515617132187</v>
      </c>
      <c r="E38" s="317" t="n">
        <f aca="false">IF($A38="N/A"," ",IF(AND(Dayrun2&gt;=4,Dayrun2&lt;=9),0,VLOOKUP($A38,ScaledPrice2,9)))</f>
        <v>0</v>
      </c>
      <c r="F38" s="317" t="n">
        <f aca="false">IF(A38="N/A"," ",IF(OR(Dayrun2=2,Dayrun2=3,Dayrun2=5,Dayrun2=6,Dayrun2=8,Dayrun2=9),VLOOKUP(A38,ScaledPrice2,IF(Scaler2=1,6,5)),0))</f>
        <v>0</v>
      </c>
      <c r="G38" s="317" t="n">
        <f aca="false">IF(A38="N/A"," ",IF(OR(Dayrun2=2,Dayrun2=3,Dayrun2=5,Dayrun2=6),IF(Scaler2=2,F38,(VLOOKUP(A38,ScaledPrice2,5))*(2-(VLOOKUP(A38,ScaledPrice2,3)))),0))</f>
        <v>0</v>
      </c>
      <c r="H38" s="317" t="n">
        <f aca="false">IF($A38="N/A"," ",IF(OR(Dayrun2=2,Dayrun2=3,Dayrun2=10),VLOOKUP($A38,ScaledPrice2,9),0))</f>
        <v>0</v>
      </c>
      <c r="I38" s="317" t="n">
        <f aca="false">IF(A38="N/A"," ",IF(OR(Dayrun2=3,Dayrun2=6,Dayrun2=9),(VLOOKUP(A38,ScaledPrice2,IF(Scaler2=2,7,8))),0))</f>
        <v>0</v>
      </c>
      <c r="J38" s="317" t="n">
        <f aca="false">IF(A38="N/A"," ",IF(OR(Dayrun2=3,Dayrun2=6),IF(Scaler2=2,I38,(VLOOKUP(A38,ScaledPrice2,7))*(2-(VLOOKUP(A38,ScaledPrice2,3)))),0))</f>
        <v>0</v>
      </c>
      <c r="K38" s="317" t="n">
        <f aca="false">IF($A38="N/A"," ",IF(OR(Dayrun2=3,Dayrun2=10),VLOOKUP($A38,ScaledPrice2,9),0))</f>
        <v>0</v>
      </c>
      <c r="L38" s="318" t="e">
        <f aca="false">IF($A38="N/A"," ",IF(Pricetype2=2,MAX(C38,0),IF(OR(Pricetype2=1,Pricetype2=4),IF(C38=0,0,(EURO(C38,Strikeprice2,0,0,($AH38+IF(Smile=TRUE(),VLOOKUP(MAX(-5,Strikeprice2-C38),Volsmile,2),0)),($A38-DateToday)+15,IF(Pricetype2=1,1,0),0))),C38)))</f>
        <v>#NAME?</v>
      </c>
      <c r="M38" s="318" t="e">
        <f aca="false">IF($A38="N/A"," ",IF(Pricetype2=2,MAX(D38,0),IF(OR(Pricetype2=1,Pricetype2=4),IF(D38=0,0,(EURO(D38,Strikeprice2,0,0,($AH38+IF(Smile=TRUE(),VLOOKUP(MAX(-5,Strikeprice2-D38),Volsmile,2),0)),($A38-DateToday)+15,IF(Pricetype2=1,1,0),0))),D38)))</f>
        <v>#NAME?</v>
      </c>
      <c r="N38" s="318" t="n">
        <f aca="false">IF($A38="N/A"," ",IF(Pricetype2=2,MAX(E38,0),IF(OR(Pricetype2=1,Pricetype2=4),IF(E38=0,0,(EURO(E38,Strikeprice2,0,0,($AK38+IF(Smile=TRUE(),VLOOKUP(MAX(-5,Strikeprice2-E38),Volsmile,2),0)),($A38-DateToday)+15,IF(Pricetype2=1,1,0),0))),E38)))</f>
        <v>0</v>
      </c>
      <c r="O38" s="318" t="n">
        <f aca="false">IF($A38="N/A"," ",IF(Pricetype2=2,MAX(F38,0),IF(OR(Pricetype2=1,Pricetype2=4),IF(F38=0,0,(EURO(F38,Strikeprice2,0,0,($AK38+IF(Smile=TRUE(),VLOOKUP(MAX(-5,Strikeprice2-F38),Volsmile,2),0)),($A38-DateToday)+15,IF(Pricetype2=1,1,0),0))),F38)))</f>
        <v>0</v>
      </c>
      <c r="P38" s="318" t="n">
        <f aca="false">IF($A38="N/A"," ",IF(Pricetype2=2,MAX(G38,0),IF(OR(Pricetype2=1,Pricetype2=4),IF(G38=0,0,(EURO(G38,Strikeprice2,0,0,($AK38+IF(Smile=TRUE(),VLOOKUP(MAX(-5,Strikeprice2-G38),Volsmile,2),0)),($A38-DateToday)+15,IF(Pricetype2=1,1,0),0))),G38)))</f>
        <v>0</v>
      </c>
      <c r="Q38" s="318" t="n">
        <f aca="false">IF($A38="N/A"," ",IF(Pricetype2=2,MAX(H38,0),IF(OR(Pricetype2=1,Pricetype2=4),IF(H38=0,0,(EURO(H38,Strikeprice2,0,0,($AK38+IF(Smile=TRUE(),VLOOKUP(MAX(-5,Strikeprice2-H38),Volsmile,2),0)),($A38-DateToday)+15,IF(Pricetype2=1,1,0),0))),H38)))</f>
        <v>0</v>
      </c>
      <c r="R38" s="318" t="n">
        <f aca="false">IF($A38="N/A"," ",IF(Pricetype2=2,MAX(I38,0),IF(OR(Pricetype2=1,Pricetype2=4),IF(I38=0,0,(EURO(I38,Strikeprice2,0,0,($AK38+IF(Smile=TRUE(),VLOOKUP(MAX(-5,Strikeprice2-I38),Volsmile,2),0)),($A38-DateToday)+15,IF(Pricetype2=1,1,0),0))),I38)))</f>
        <v>0</v>
      </c>
      <c r="S38" s="318" t="n">
        <f aca="false">IF($A38="N/A"," ",IF(Pricetype2=2,MAX(J38,0),IF(OR(Pricetype2=1,Pricetype2=4),IF(J38=0,0,(EURO(J38,Strikeprice2,0,0,($AK38+IF(Smile=TRUE(),VLOOKUP(MAX(-5,Strikeprice2-J38),Volsmile,2),0)),($A38-DateToday)+15,IF(Pricetype2=1,1,0),0))),J38)))</f>
        <v>0</v>
      </c>
      <c r="T38" s="318" t="n">
        <f aca="false">IF($A38="N/A"," ",IF(Pricetype2=2,MAX(K38,0),IF(OR(Pricetype2=1,Pricetype2=4),IF(K38=0,0,(EURO(K38,Strikeprice2,0,0,($AK38+IF(Smile=TRUE(),VLOOKUP(MAX(-5,Strikeprice2-K38),Volsmile,2),0)),($A38-DateToday)+15,IF(Pricetype2=1,1,0),0))),K38)))</f>
        <v>0</v>
      </c>
      <c r="U38" s="319" t="e">
        <f aca="false">IF($A38="N/A"," ",Volume2*$AM38)</f>
        <v>#N/A</v>
      </c>
      <c r="V38" s="320" t="e">
        <f aca="false">IF($A38="N/A"," ",$U38*(8*($BQ38))*L38)</f>
        <v>#N/A</v>
      </c>
      <c r="W38" s="320" t="e">
        <f aca="false">IF($A38="N/A"," ",$U38*(8*($BQ38))*M38)</f>
        <v>#N/A</v>
      </c>
      <c r="X38" s="320" t="e">
        <f aca="false">IF($A38="N/A"," ",$U38*(8*($BQ38))*N38)</f>
        <v>#N/A</v>
      </c>
      <c r="Y38" s="320" t="e">
        <f aca="false">IF($A38="N/A"," ",$U38*(8*($BR38))*O38)</f>
        <v>#N/A</v>
      </c>
      <c r="Z38" s="320" t="e">
        <f aca="false">IF($A38="N/A"," ",$U38*(8*($BR38))*P38)</f>
        <v>#N/A</v>
      </c>
      <c r="AA38" s="320" t="e">
        <f aca="false">IF($A38="N/A"," ",$U38*(8*($BR38))*Q38)</f>
        <v>#N/A</v>
      </c>
      <c r="AB38" s="320" t="e">
        <f aca="false">IF($A38="N/A"," ",$U38*(8*($BS38))*R38)</f>
        <v>#N/A</v>
      </c>
      <c r="AC38" s="320" t="e">
        <f aca="false">IF($A38="N/A"," ",$U38*(8*($BS38))*S38)</f>
        <v>#N/A</v>
      </c>
      <c r="AD38" s="320" t="e">
        <f aca="false">IF($A38="N/A"," ",$U38*(8*($BS38))*T38)</f>
        <v>#N/A</v>
      </c>
      <c r="AE38" s="320" t="e">
        <f aca="false">IF($A38="N/A"," ",SUM(V38:AD38))</f>
        <v>#N/A</v>
      </c>
      <c r="AF38" s="321" t="n">
        <f aca="false">IF(A38="N/A"," ",(VLOOKUP(A38,PowerVolTable,(IF(VolBMO2=2,7,IF(VolBMO2=1,6,8))),FALSE())))</f>
        <v>0.16</v>
      </c>
      <c r="AG38" s="321" t="n">
        <f aca="false">IF(A38="N/A"," ",(VLOOKUP(A38,IntraPowerVol,(IF(VolBMO2=2,3,IF(VolBMO2=1,2,4))),FALSE())*VLOOKUP(MONTH($A38),Volscale,2)))</f>
        <v>0.32</v>
      </c>
      <c r="AH38" s="321" t="n">
        <f aca="false">IF($A38="N/A"," ",IF(VolType2=1,AG38,AF38))</f>
        <v>0.16</v>
      </c>
      <c r="AI38" s="321" t="n">
        <f aca="false">IF($A38="N/A"," ",(VLOOKUP($A38,OffPwrVolTable,(IF(VolBMO2=2,7,IF(VolBMO2=1,6,8))),FALSE())))</f>
        <v>0.08</v>
      </c>
      <c r="AJ38" s="321" t="n">
        <f aca="false">IF($A38="N/A"," ",(VLOOKUP($A38,OffPwrVolTable,(IF(VolBMO2=2,3,IF(VolBMO2=1,2,4))),FALSE())*VLOOKUP(MONTH($A38),Volscale,2)))</f>
        <v>0.192</v>
      </c>
      <c r="AK38" s="321" t="n">
        <f aca="false">IF($A38="N/A"," ",IF(VolType2=1,AJ38,AI38))</f>
        <v>0.08</v>
      </c>
      <c r="AL38" s="321" t="e">
        <f aca="false">IF($A38="N/A"," ",IF(PV=1,0,'Pricing Inputs2'!R71))</f>
        <v>#N/A</v>
      </c>
      <c r="AM38" s="323" t="e">
        <f aca="false">IF($A38="N/A"," ",(1+AL38/2)^(-2*((EOMONTH(A38,0)+20)-DateToday)/365.25))</f>
        <v>#N/A</v>
      </c>
      <c r="BQ38" s="0" t="n">
        <f aca="false">IF($A38="N/A"," ",(VLOOKUP($A38,NumberofDaysTable,2)))</f>
        <v>21</v>
      </c>
      <c r="BR38" s="0" t="n">
        <f aca="false">IF($A38="N/A"," ",(VLOOKUP($A38,NumberofDaysTable,3)))</f>
        <v>4</v>
      </c>
      <c r="BS38" s="0" t="n">
        <f aca="false">IF($A38="N/A"," ",(VLOOKUP($A38,NumberofDaysTable,4)))</f>
        <v>5</v>
      </c>
    </row>
    <row r="39" customFormat="false" ht="12.75" hidden="false" customHeight="false" outlineLevel="0" collapsed="false">
      <c r="A39" s="315" t="n">
        <f aca="false">IF(A38="N/A","N/A",IF(EDATE(A38,1)&gt;Inputs!$P$5,"N/A",EDATE(A38,1)))</f>
        <v>38322</v>
      </c>
      <c r="B39" s="316" t="n">
        <f aca="false">IF(A39="N/A"," ",YEAR(A39))</f>
        <v>2004</v>
      </c>
      <c r="C39" s="317" t="n">
        <f aca="false">IF($A39="N/A"," ",IF(Dayrun2=10,0,IF(Scaler2=1,(VLOOKUP(A39,ScaledPrice2,4)),(VLOOKUP(A39,ScaledPrice2,2)))))</f>
        <v>31.1515601873398</v>
      </c>
      <c r="D39" s="317" t="n">
        <f aca="false">IF(A39="N/A"," ",IF(Dayrun2&gt;=7,0,IF(Scaler2=2,VLOOKUP(A39,ScaledPrice2,2),(VLOOKUP(A39,ScaledPrice2,2))*(2-(VLOOKUP(A39,ScaledPrice2,3))))))</f>
        <v>31.1515601873398</v>
      </c>
      <c r="E39" s="317" t="n">
        <f aca="false">IF($A39="N/A"," ",IF(AND(Dayrun2&gt;=4,Dayrun2&lt;=9),0,VLOOKUP($A39,ScaledPrice2,9)))</f>
        <v>0</v>
      </c>
      <c r="F39" s="317" t="n">
        <f aca="false">IF(A39="N/A"," ",IF(OR(Dayrun2=2,Dayrun2=3,Dayrun2=5,Dayrun2=6,Dayrun2=8,Dayrun2=9),VLOOKUP(A39,ScaledPrice2,IF(Scaler2=1,6,5)),0))</f>
        <v>0</v>
      </c>
      <c r="G39" s="317" t="n">
        <f aca="false">IF(A39="N/A"," ",IF(OR(Dayrun2=2,Dayrun2=3,Dayrun2=5,Dayrun2=6),IF(Scaler2=2,F39,(VLOOKUP(A39,ScaledPrice2,5))*(2-(VLOOKUP(A39,ScaledPrice2,3)))),0))</f>
        <v>0</v>
      </c>
      <c r="H39" s="317" t="n">
        <f aca="false">IF($A39="N/A"," ",IF(OR(Dayrun2=2,Dayrun2=3,Dayrun2=10),VLOOKUP($A39,ScaledPrice2,9),0))</f>
        <v>0</v>
      </c>
      <c r="I39" s="317" t="n">
        <f aca="false">IF(A39="N/A"," ",IF(OR(Dayrun2=3,Dayrun2=6,Dayrun2=9),(VLOOKUP(A39,ScaledPrice2,IF(Scaler2=2,7,8))),0))</f>
        <v>0</v>
      </c>
      <c r="J39" s="317" t="n">
        <f aca="false">IF(A39="N/A"," ",IF(OR(Dayrun2=3,Dayrun2=6),IF(Scaler2=2,I39,(VLOOKUP(A39,ScaledPrice2,7))*(2-(VLOOKUP(A39,ScaledPrice2,3)))),0))</f>
        <v>0</v>
      </c>
      <c r="K39" s="317" t="n">
        <f aca="false">IF($A39="N/A"," ",IF(OR(Dayrun2=3,Dayrun2=10),VLOOKUP($A39,ScaledPrice2,9),0))</f>
        <v>0</v>
      </c>
      <c r="L39" s="318" t="e">
        <f aca="false">IF($A39="N/A"," ",IF(Pricetype2=2,MAX(C39,0),IF(OR(Pricetype2=1,Pricetype2=4),IF(C39=0,0,(EURO(C39,Strikeprice2,0,0,($AH39+IF(Smile=TRUE(),VLOOKUP(MAX(-5,Strikeprice2-C39),Volsmile,2),0)),($A39-DateToday)+15,IF(Pricetype2=1,1,0),0))),C39)))</f>
        <v>#NAME?</v>
      </c>
      <c r="M39" s="318" t="e">
        <f aca="false">IF($A39="N/A"," ",IF(Pricetype2=2,MAX(D39,0),IF(OR(Pricetype2=1,Pricetype2=4),IF(D39=0,0,(EURO(D39,Strikeprice2,0,0,($AH39+IF(Smile=TRUE(),VLOOKUP(MAX(-5,Strikeprice2-D39),Volsmile,2),0)),($A39-DateToday)+15,IF(Pricetype2=1,1,0),0))),D39)))</f>
        <v>#NAME?</v>
      </c>
      <c r="N39" s="318" t="n">
        <f aca="false">IF($A39="N/A"," ",IF(Pricetype2=2,MAX(E39,0),IF(OR(Pricetype2=1,Pricetype2=4),IF(E39=0,0,(EURO(E39,Strikeprice2,0,0,($AK39+IF(Smile=TRUE(),VLOOKUP(MAX(-5,Strikeprice2-E39),Volsmile,2),0)),($A39-DateToday)+15,IF(Pricetype2=1,1,0),0))),E39)))</f>
        <v>0</v>
      </c>
      <c r="O39" s="318" t="n">
        <f aca="false">IF($A39="N/A"," ",IF(Pricetype2=2,MAX(F39,0),IF(OR(Pricetype2=1,Pricetype2=4),IF(F39=0,0,(EURO(F39,Strikeprice2,0,0,($AK39+IF(Smile=TRUE(),VLOOKUP(MAX(-5,Strikeprice2-F39),Volsmile,2),0)),($A39-DateToday)+15,IF(Pricetype2=1,1,0),0))),F39)))</f>
        <v>0</v>
      </c>
      <c r="P39" s="318" t="n">
        <f aca="false">IF($A39="N/A"," ",IF(Pricetype2=2,MAX(G39,0),IF(OR(Pricetype2=1,Pricetype2=4),IF(G39=0,0,(EURO(G39,Strikeprice2,0,0,($AK39+IF(Smile=TRUE(),VLOOKUP(MAX(-5,Strikeprice2-G39),Volsmile,2),0)),($A39-DateToday)+15,IF(Pricetype2=1,1,0),0))),G39)))</f>
        <v>0</v>
      </c>
      <c r="Q39" s="318" t="n">
        <f aca="false">IF($A39="N/A"," ",IF(Pricetype2=2,MAX(H39,0),IF(OR(Pricetype2=1,Pricetype2=4),IF(H39=0,0,(EURO(H39,Strikeprice2,0,0,($AK39+IF(Smile=TRUE(),VLOOKUP(MAX(-5,Strikeprice2-H39),Volsmile,2),0)),($A39-DateToday)+15,IF(Pricetype2=1,1,0),0))),H39)))</f>
        <v>0</v>
      </c>
      <c r="R39" s="318" t="n">
        <f aca="false">IF($A39="N/A"," ",IF(Pricetype2=2,MAX(I39,0),IF(OR(Pricetype2=1,Pricetype2=4),IF(I39=0,0,(EURO(I39,Strikeprice2,0,0,($AK39+IF(Smile=TRUE(),VLOOKUP(MAX(-5,Strikeprice2-I39),Volsmile,2),0)),($A39-DateToday)+15,IF(Pricetype2=1,1,0),0))),I39)))</f>
        <v>0</v>
      </c>
      <c r="S39" s="318" t="n">
        <f aca="false">IF($A39="N/A"," ",IF(Pricetype2=2,MAX(J39,0),IF(OR(Pricetype2=1,Pricetype2=4),IF(J39=0,0,(EURO(J39,Strikeprice2,0,0,($AK39+IF(Smile=TRUE(),VLOOKUP(MAX(-5,Strikeprice2-J39),Volsmile,2),0)),($A39-DateToday)+15,IF(Pricetype2=1,1,0),0))),J39)))</f>
        <v>0</v>
      </c>
      <c r="T39" s="318" t="n">
        <f aca="false">IF($A39="N/A"," ",IF(Pricetype2=2,MAX(K39,0),IF(OR(Pricetype2=1,Pricetype2=4),IF(K39=0,0,(EURO(K39,Strikeprice2,0,0,($AK39+IF(Smile=TRUE(),VLOOKUP(MAX(-5,Strikeprice2-K39),Volsmile,2),0)),($A39-DateToday)+15,IF(Pricetype2=1,1,0),0))),K39)))</f>
        <v>0</v>
      </c>
      <c r="U39" s="319" t="e">
        <f aca="false">IF($A39="N/A"," ",Volume2*$AM39)</f>
        <v>#N/A</v>
      </c>
      <c r="V39" s="320" t="e">
        <f aca="false">IF($A39="N/A"," ",$U39*(8*($BQ39))*L39)</f>
        <v>#N/A</v>
      </c>
      <c r="W39" s="320" t="e">
        <f aca="false">IF($A39="N/A"," ",$U39*(8*($BQ39))*M39)</f>
        <v>#N/A</v>
      </c>
      <c r="X39" s="320" t="e">
        <f aca="false">IF($A39="N/A"," ",$U39*(8*($BQ39))*N39)</f>
        <v>#N/A</v>
      </c>
      <c r="Y39" s="320" t="e">
        <f aca="false">IF($A39="N/A"," ",$U39*(8*($BR39))*O39)</f>
        <v>#N/A</v>
      </c>
      <c r="Z39" s="320" t="e">
        <f aca="false">IF($A39="N/A"," ",$U39*(8*($BR39))*P39)</f>
        <v>#N/A</v>
      </c>
      <c r="AA39" s="320" t="e">
        <f aca="false">IF($A39="N/A"," ",$U39*(8*($BR39))*Q39)</f>
        <v>#N/A</v>
      </c>
      <c r="AB39" s="320" t="e">
        <f aca="false">IF($A39="N/A"," ",$U39*(8*($BS39))*R39)</f>
        <v>#N/A</v>
      </c>
      <c r="AC39" s="320" t="e">
        <f aca="false">IF($A39="N/A"," ",$U39*(8*($BS39))*S39)</f>
        <v>#N/A</v>
      </c>
      <c r="AD39" s="320" t="e">
        <f aca="false">IF($A39="N/A"," ",$U39*(8*($BS39))*T39)</f>
        <v>#N/A</v>
      </c>
      <c r="AE39" s="320" t="e">
        <f aca="false">IF($A39="N/A"," ",SUM(V39:AD39))</f>
        <v>#N/A</v>
      </c>
      <c r="AF39" s="321" t="n">
        <f aca="false">IF(A39="N/A"," ",(VLOOKUP(A39,PowerVolTable,(IF(VolBMO2=2,7,IF(VolBMO2=1,6,8))),FALSE())))</f>
        <v>0.16</v>
      </c>
      <c r="AG39" s="321" t="n">
        <f aca="false">IF(A39="N/A"," ",(VLOOKUP(A39,IntraPowerVol,(IF(VolBMO2=2,3,IF(VolBMO2=1,2,4))),FALSE())*VLOOKUP(MONTH($A39),Volscale,2)))</f>
        <v>0.32</v>
      </c>
      <c r="AH39" s="321" t="n">
        <f aca="false">IF($A39="N/A"," ",IF(VolType2=1,AG39,AF39))</f>
        <v>0.16</v>
      </c>
      <c r="AI39" s="321" t="n">
        <f aca="false">IF($A39="N/A"," ",(VLOOKUP($A39,OffPwrVolTable,(IF(VolBMO2=2,7,IF(VolBMO2=1,6,8))),FALSE())))</f>
        <v>0.08</v>
      </c>
      <c r="AJ39" s="321" t="n">
        <f aca="false">IF($A39="N/A"," ",(VLOOKUP($A39,OffPwrVolTable,(IF(VolBMO2=2,3,IF(VolBMO2=1,2,4))),FALSE())*VLOOKUP(MONTH($A39),Volscale,2)))</f>
        <v>0.192</v>
      </c>
      <c r="AK39" s="321" t="n">
        <f aca="false">IF($A39="N/A"," ",IF(VolType2=1,AJ39,AI39))</f>
        <v>0.08</v>
      </c>
      <c r="AL39" s="321" t="e">
        <f aca="false">IF($A39="N/A"," ",IF(PV=1,0,'Pricing Inputs2'!R72))</f>
        <v>#N/A</v>
      </c>
      <c r="AM39" s="323" t="e">
        <f aca="false">IF($A39="N/A"," ",(1+AL39/2)^(-2*((EOMONTH(A39,0)+20)-DateToday)/365.25))</f>
        <v>#N/A</v>
      </c>
      <c r="BQ39" s="0" t="n">
        <f aca="false">IF($A39="N/A"," ",(VLOOKUP($A39,NumberofDaysTable,2)))</f>
        <v>23</v>
      </c>
      <c r="BR39" s="0" t="n">
        <f aca="false">IF($A39="N/A"," ",(VLOOKUP($A39,NumberofDaysTable,3)))</f>
        <v>3</v>
      </c>
      <c r="BS39" s="0" t="n">
        <f aca="false">IF($A39="N/A"," ",(VLOOKUP($A39,NumberofDaysTable,4)))</f>
        <v>5</v>
      </c>
    </row>
    <row r="40" customFormat="false" ht="12.75" hidden="false" customHeight="false" outlineLevel="0" collapsed="false">
      <c r="A40" s="315" t="n">
        <f aca="false">IF(A39="N/A","N/A",IF(EDATE(A39,1)&gt;Inputs!$P$5,"N/A",EDATE(A39,1)))</f>
        <v>38353</v>
      </c>
      <c r="B40" s="316" t="n">
        <f aca="false">IF(A40="N/A"," ",YEAR(A40))</f>
        <v>2005</v>
      </c>
      <c r="C40" s="317" t="n">
        <f aca="false">IF($A40="N/A"," ",IF(Dayrun2=10,0,IF(Scaler2=1,(VLOOKUP(A40,ScaledPrice2,4)),(VLOOKUP(A40,ScaledPrice2,2)))))</f>
        <v>35.1757147652762</v>
      </c>
      <c r="D40" s="317" t="n">
        <f aca="false">IF(A40="N/A"," ",IF(Dayrun2&gt;=7,0,IF(Scaler2=2,VLOOKUP(A40,ScaledPrice2,2),(VLOOKUP(A40,ScaledPrice2,2))*(2-(VLOOKUP(A40,ScaledPrice2,3))))))</f>
        <v>35.1757147652762</v>
      </c>
      <c r="E40" s="317" t="n">
        <f aca="false">IF($A40="N/A"," ",IF(AND(Dayrun2&gt;=4,Dayrun2&lt;=9),0,VLOOKUP($A40,ScaledPrice2,9)))</f>
        <v>0</v>
      </c>
      <c r="F40" s="317" t="n">
        <f aca="false">IF(A40="N/A"," ",IF(OR(Dayrun2=2,Dayrun2=3,Dayrun2=5,Dayrun2=6,Dayrun2=8,Dayrun2=9),VLOOKUP(A40,ScaledPrice2,IF(Scaler2=1,6,5)),0))</f>
        <v>0</v>
      </c>
      <c r="G40" s="317" t="n">
        <f aca="false">IF(A40="N/A"," ",IF(OR(Dayrun2=2,Dayrun2=3,Dayrun2=5,Dayrun2=6),IF(Scaler2=2,F40,(VLOOKUP(A40,ScaledPrice2,5))*(2-(VLOOKUP(A40,ScaledPrice2,3)))),0))</f>
        <v>0</v>
      </c>
      <c r="H40" s="317" t="n">
        <f aca="false">IF($A40="N/A"," ",IF(OR(Dayrun2=2,Dayrun2=3,Dayrun2=10),VLOOKUP($A40,ScaledPrice2,9),0))</f>
        <v>0</v>
      </c>
      <c r="I40" s="317" t="n">
        <f aca="false">IF(A40="N/A"," ",IF(OR(Dayrun2=3,Dayrun2=6,Dayrun2=9),(VLOOKUP(A40,ScaledPrice2,IF(Scaler2=2,7,8))),0))</f>
        <v>0</v>
      </c>
      <c r="J40" s="317" t="n">
        <f aca="false">IF(A40="N/A"," ",IF(OR(Dayrun2=3,Dayrun2=6),IF(Scaler2=2,I40,(VLOOKUP(A40,ScaledPrice2,7))*(2-(VLOOKUP(A40,ScaledPrice2,3)))),0))</f>
        <v>0</v>
      </c>
      <c r="K40" s="317" t="n">
        <f aca="false">IF($A40="N/A"," ",IF(OR(Dayrun2=3,Dayrun2=10),VLOOKUP($A40,ScaledPrice2,9),0))</f>
        <v>0</v>
      </c>
      <c r="L40" s="318" t="e">
        <f aca="false">IF($A40="N/A"," ",IF(Pricetype2=2,MAX(C40,0),IF(OR(Pricetype2=1,Pricetype2=4),IF(C40=0,0,(EURO(C40,Strikeprice2,0,0,($AH40+IF(Smile=TRUE(),VLOOKUP(MAX(-5,Strikeprice2-C40),Volsmile,2),0)),($A40-DateToday)+15,IF(Pricetype2=1,1,0),0))),C40)))</f>
        <v>#NAME?</v>
      </c>
      <c r="M40" s="318" t="e">
        <f aca="false">IF($A40="N/A"," ",IF(Pricetype2=2,MAX(D40,0),IF(OR(Pricetype2=1,Pricetype2=4),IF(D40=0,0,(EURO(D40,Strikeprice2,0,0,($AH40+IF(Smile=TRUE(),VLOOKUP(MAX(-5,Strikeprice2-D40),Volsmile,2),0)),($A40-DateToday)+15,IF(Pricetype2=1,1,0),0))),D40)))</f>
        <v>#NAME?</v>
      </c>
      <c r="N40" s="318" t="n">
        <f aca="false">IF($A40="N/A"," ",IF(Pricetype2=2,MAX(E40,0),IF(OR(Pricetype2=1,Pricetype2=4),IF(E40=0,0,(EURO(E40,Strikeprice2,0,0,($AK40+IF(Smile=TRUE(),VLOOKUP(MAX(-5,Strikeprice2-E40),Volsmile,2),0)),($A40-DateToday)+15,IF(Pricetype2=1,1,0),0))),E40)))</f>
        <v>0</v>
      </c>
      <c r="O40" s="318" t="n">
        <f aca="false">IF($A40="N/A"," ",IF(Pricetype2=2,MAX(F40,0),IF(OR(Pricetype2=1,Pricetype2=4),IF(F40=0,0,(EURO(F40,Strikeprice2,0,0,($AK40+IF(Smile=TRUE(),VLOOKUP(MAX(-5,Strikeprice2-F40),Volsmile,2),0)),($A40-DateToday)+15,IF(Pricetype2=1,1,0),0))),F40)))</f>
        <v>0</v>
      </c>
      <c r="P40" s="318" t="n">
        <f aca="false">IF($A40="N/A"," ",IF(Pricetype2=2,MAX(G40,0),IF(OR(Pricetype2=1,Pricetype2=4),IF(G40=0,0,(EURO(G40,Strikeprice2,0,0,($AK40+IF(Smile=TRUE(),VLOOKUP(MAX(-5,Strikeprice2-G40),Volsmile,2),0)),($A40-DateToday)+15,IF(Pricetype2=1,1,0),0))),G40)))</f>
        <v>0</v>
      </c>
      <c r="Q40" s="318" t="n">
        <f aca="false">IF($A40="N/A"," ",IF(Pricetype2=2,MAX(H40,0),IF(OR(Pricetype2=1,Pricetype2=4),IF(H40=0,0,(EURO(H40,Strikeprice2,0,0,($AK40+IF(Smile=TRUE(),VLOOKUP(MAX(-5,Strikeprice2-H40),Volsmile,2),0)),($A40-DateToday)+15,IF(Pricetype2=1,1,0),0))),H40)))</f>
        <v>0</v>
      </c>
      <c r="R40" s="318" t="n">
        <f aca="false">IF($A40="N/A"," ",IF(Pricetype2=2,MAX(I40,0),IF(OR(Pricetype2=1,Pricetype2=4),IF(I40=0,0,(EURO(I40,Strikeprice2,0,0,($AK40+IF(Smile=TRUE(),VLOOKUP(MAX(-5,Strikeprice2-I40),Volsmile,2),0)),($A40-DateToday)+15,IF(Pricetype2=1,1,0),0))),I40)))</f>
        <v>0</v>
      </c>
      <c r="S40" s="318" t="n">
        <f aca="false">IF($A40="N/A"," ",IF(Pricetype2=2,MAX(J40,0),IF(OR(Pricetype2=1,Pricetype2=4),IF(J40=0,0,(EURO(J40,Strikeprice2,0,0,($AK40+IF(Smile=TRUE(),VLOOKUP(MAX(-5,Strikeprice2-J40),Volsmile,2),0)),($A40-DateToday)+15,IF(Pricetype2=1,1,0),0))),J40)))</f>
        <v>0</v>
      </c>
      <c r="T40" s="318" t="n">
        <f aca="false">IF($A40="N/A"," ",IF(Pricetype2=2,MAX(K40,0),IF(OR(Pricetype2=1,Pricetype2=4),IF(K40=0,0,(EURO(K40,Strikeprice2,0,0,($AK40+IF(Smile=TRUE(),VLOOKUP(MAX(-5,Strikeprice2-K40),Volsmile,2),0)),($A40-DateToday)+15,IF(Pricetype2=1,1,0),0))),K40)))</f>
        <v>0</v>
      </c>
      <c r="U40" s="319" t="e">
        <f aca="false">IF($A40="N/A"," ",Volume2*$AM40)</f>
        <v>#N/A</v>
      </c>
      <c r="V40" s="320" t="e">
        <f aca="false">IF($A40="N/A"," ",$U40*(8*($BQ40))*L40)</f>
        <v>#N/A</v>
      </c>
      <c r="W40" s="320" t="e">
        <f aca="false">IF($A40="N/A"," ",$U40*(8*($BQ40))*M40)</f>
        <v>#N/A</v>
      </c>
      <c r="X40" s="320" t="e">
        <f aca="false">IF($A40="N/A"," ",$U40*(8*($BQ40))*N40)</f>
        <v>#N/A</v>
      </c>
      <c r="Y40" s="320" t="e">
        <f aca="false">IF($A40="N/A"," ",$U40*(8*($BR40))*O40)</f>
        <v>#N/A</v>
      </c>
      <c r="Z40" s="320" t="e">
        <f aca="false">IF($A40="N/A"," ",$U40*(8*($BR40))*P40)</f>
        <v>#N/A</v>
      </c>
      <c r="AA40" s="320" t="e">
        <f aca="false">IF($A40="N/A"," ",$U40*(8*($BR40))*Q40)</f>
        <v>#N/A</v>
      </c>
      <c r="AB40" s="320" t="e">
        <f aca="false">IF($A40="N/A"," ",$U40*(8*($BS40))*R40)</f>
        <v>#N/A</v>
      </c>
      <c r="AC40" s="320" t="e">
        <f aca="false">IF($A40="N/A"," ",$U40*(8*($BS40))*S40)</f>
        <v>#N/A</v>
      </c>
      <c r="AD40" s="320" t="e">
        <f aca="false">IF($A40="N/A"," ",$U40*(8*($BS40))*T40)</f>
        <v>#N/A</v>
      </c>
      <c r="AE40" s="320" t="e">
        <f aca="false">IF($A40="N/A"," ",SUM(V40:AD40))</f>
        <v>#N/A</v>
      </c>
      <c r="AF40" s="321" t="n">
        <f aca="false">IF(A40="N/A"," ",(VLOOKUP(A40,PowerVolTable,(IF(VolBMO2=2,7,IF(VolBMO2=1,6,8))),FALSE())))</f>
        <v>0.16</v>
      </c>
      <c r="AG40" s="321" t="n">
        <f aca="false">IF(A40="N/A"," ",(VLOOKUP(A40,IntraPowerVol,(IF(VolBMO2=2,3,IF(VolBMO2=1,2,4))),FALSE())*VLOOKUP(MONTH($A40),Volscale,2)))</f>
        <v>0.28</v>
      </c>
      <c r="AH40" s="321" t="n">
        <f aca="false">IF($A40="N/A"," ",IF(VolType2=1,AG40,AF40))</f>
        <v>0.16</v>
      </c>
      <c r="AI40" s="321" t="n">
        <f aca="false">IF($A40="N/A"," ",(VLOOKUP($A40,OffPwrVolTable,(IF(VolBMO2=2,7,IF(VolBMO2=1,6,8))),FALSE())))</f>
        <v>0.08</v>
      </c>
      <c r="AJ40" s="321" t="n">
        <f aca="false">IF($A40="N/A"," ",(VLOOKUP($A40,OffPwrVolTable,(IF(VolBMO2=2,3,IF(VolBMO2=1,2,4))),FALSE())*VLOOKUP(MONTH($A40),Volscale,2)))</f>
        <v>0.168</v>
      </c>
      <c r="AK40" s="321" t="n">
        <f aca="false">IF($A40="N/A"," ",IF(VolType2=1,AJ40,AI40))</f>
        <v>0.08</v>
      </c>
      <c r="AL40" s="321" t="e">
        <f aca="false">IF($A40="N/A"," ",IF(PV=1,0,'Pricing Inputs2'!R73))</f>
        <v>#N/A</v>
      </c>
      <c r="AM40" s="323" t="e">
        <f aca="false">IF($A40="N/A"," ",(1+AL40/2)^(-2*((EOMONTH(A40,0)+20)-DateToday)/365.25))</f>
        <v>#N/A</v>
      </c>
      <c r="BQ40" s="0" t="n">
        <f aca="false">IF($A40="N/A"," ",(VLOOKUP($A40,NumberofDaysTable,2)))</f>
        <v>21</v>
      </c>
      <c r="BR40" s="0" t="n">
        <f aca="false">IF($A40="N/A"," ",(VLOOKUP($A40,NumberofDaysTable,3)))</f>
        <v>4</v>
      </c>
      <c r="BS40" s="0" t="n">
        <f aca="false">IF($A40="N/A"," ",(VLOOKUP($A40,NumberofDaysTable,4)))</f>
        <v>6</v>
      </c>
    </row>
    <row r="41" customFormat="false" ht="12.75" hidden="false" customHeight="false" outlineLevel="0" collapsed="false">
      <c r="A41" s="315" t="n">
        <f aca="false">IF(A40="N/A","N/A",IF(EDATE(A40,1)&gt;Inputs!$P$5,"N/A",EDATE(A40,1)))</f>
        <v>38384</v>
      </c>
      <c r="B41" s="316" t="n">
        <f aca="false">IF(A41="N/A"," ",YEAR(A41))</f>
        <v>2005</v>
      </c>
      <c r="C41" s="317" t="n">
        <f aca="false">IF($A41="N/A"," ",IF(Dayrun2=10,0,IF(Scaler2=1,(VLOOKUP(A41,ScaledPrice2,4)),(VLOOKUP(A41,ScaledPrice2,2)))))</f>
        <v>34.5757124764579</v>
      </c>
      <c r="D41" s="317" t="n">
        <f aca="false">IF(A41="N/A"," ",IF(Dayrun2&gt;=7,0,IF(Scaler2=2,VLOOKUP(A41,ScaledPrice2,2),(VLOOKUP(A41,ScaledPrice2,2))*(2-(VLOOKUP(A41,ScaledPrice2,3))))))</f>
        <v>34.5757124764579</v>
      </c>
      <c r="E41" s="317" t="n">
        <f aca="false">IF($A41="N/A"," ",IF(AND(Dayrun2&gt;=4,Dayrun2&lt;=9),0,VLOOKUP($A41,ScaledPrice2,9)))</f>
        <v>0</v>
      </c>
      <c r="F41" s="317" t="n">
        <f aca="false">IF(A41="N/A"," ",IF(OR(Dayrun2=2,Dayrun2=3,Dayrun2=5,Dayrun2=6,Dayrun2=8,Dayrun2=9),VLOOKUP(A41,ScaledPrice2,IF(Scaler2=1,6,5)),0))</f>
        <v>0</v>
      </c>
      <c r="G41" s="317" t="n">
        <f aca="false">IF(A41="N/A"," ",IF(OR(Dayrun2=2,Dayrun2=3,Dayrun2=5,Dayrun2=6),IF(Scaler2=2,F41,(VLOOKUP(A41,ScaledPrice2,5))*(2-(VLOOKUP(A41,ScaledPrice2,3)))),0))</f>
        <v>0</v>
      </c>
      <c r="H41" s="317" t="n">
        <f aca="false">IF($A41="N/A"," ",IF(OR(Dayrun2=2,Dayrun2=3,Dayrun2=10),VLOOKUP($A41,ScaledPrice2,9),0))</f>
        <v>0</v>
      </c>
      <c r="I41" s="317" t="n">
        <f aca="false">IF(A41="N/A"," ",IF(OR(Dayrun2=3,Dayrun2=6,Dayrun2=9),(VLOOKUP(A41,ScaledPrice2,IF(Scaler2=2,7,8))),0))</f>
        <v>0</v>
      </c>
      <c r="J41" s="317" t="n">
        <f aca="false">IF(A41="N/A"," ",IF(OR(Dayrun2=3,Dayrun2=6),IF(Scaler2=2,I41,(VLOOKUP(A41,ScaledPrice2,7))*(2-(VLOOKUP(A41,ScaledPrice2,3)))),0))</f>
        <v>0</v>
      </c>
      <c r="K41" s="317" t="n">
        <f aca="false">IF($A41="N/A"," ",IF(OR(Dayrun2=3,Dayrun2=10),VLOOKUP($A41,ScaledPrice2,9),0))</f>
        <v>0</v>
      </c>
      <c r="L41" s="318" t="e">
        <f aca="false">IF($A41="N/A"," ",IF(Pricetype2=2,MAX(C41,0),IF(OR(Pricetype2=1,Pricetype2=4),IF(C41=0,0,(EURO(C41,Strikeprice2,0,0,($AH41+IF(Smile=TRUE(),VLOOKUP(MAX(-5,Strikeprice2-C41),Volsmile,2),0)),($A41-DateToday)+15,IF(Pricetype2=1,1,0),0))),C41)))</f>
        <v>#NAME?</v>
      </c>
      <c r="M41" s="318" t="e">
        <f aca="false">IF($A41="N/A"," ",IF(Pricetype2=2,MAX(D41,0),IF(OR(Pricetype2=1,Pricetype2=4),IF(D41=0,0,(EURO(D41,Strikeprice2,0,0,($AH41+IF(Smile=TRUE(),VLOOKUP(MAX(-5,Strikeprice2-D41),Volsmile,2),0)),($A41-DateToday)+15,IF(Pricetype2=1,1,0),0))),D41)))</f>
        <v>#NAME?</v>
      </c>
      <c r="N41" s="318" t="n">
        <f aca="false">IF($A41="N/A"," ",IF(Pricetype2=2,MAX(E41,0),IF(OR(Pricetype2=1,Pricetype2=4),IF(E41=0,0,(EURO(E41,Strikeprice2,0,0,($AK41+IF(Smile=TRUE(),VLOOKUP(MAX(-5,Strikeprice2-E41),Volsmile,2),0)),($A41-DateToday)+15,IF(Pricetype2=1,1,0),0))),E41)))</f>
        <v>0</v>
      </c>
      <c r="O41" s="318" t="n">
        <f aca="false">IF($A41="N/A"," ",IF(Pricetype2=2,MAX(F41,0),IF(OR(Pricetype2=1,Pricetype2=4),IF(F41=0,0,(EURO(F41,Strikeprice2,0,0,($AK41+IF(Smile=TRUE(),VLOOKUP(MAX(-5,Strikeprice2-F41),Volsmile,2),0)),($A41-DateToday)+15,IF(Pricetype2=1,1,0),0))),F41)))</f>
        <v>0</v>
      </c>
      <c r="P41" s="318" t="n">
        <f aca="false">IF($A41="N/A"," ",IF(Pricetype2=2,MAX(G41,0),IF(OR(Pricetype2=1,Pricetype2=4),IF(G41=0,0,(EURO(G41,Strikeprice2,0,0,($AK41+IF(Smile=TRUE(),VLOOKUP(MAX(-5,Strikeprice2-G41),Volsmile,2),0)),($A41-DateToday)+15,IF(Pricetype2=1,1,0),0))),G41)))</f>
        <v>0</v>
      </c>
      <c r="Q41" s="318" t="n">
        <f aca="false">IF($A41="N/A"," ",IF(Pricetype2=2,MAX(H41,0),IF(OR(Pricetype2=1,Pricetype2=4),IF(H41=0,0,(EURO(H41,Strikeprice2,0,0,($AK41+IF(Smile=TRUE(),VLOOKUP(MAX(-5,Strikeprice2-H41),Volsmile,2),0)),($A41-DateToday)+15,IF(Pricetype2=1,1,0),0))),H41)))</f>
        <v>0</v>
      </c>
      <c r="R41" s="318" t="n">
        <f aca="false">IF($A41="N/A"," ",IF(Pricetype2=2,MAX(I41,0),IF(OR(Pricetype2=1,Pricetype2=4),IF(I41=0,0,(EURO(I41,Strikeprice2,0,0,($AK41+IF(Smile=TRUE(),VLOOKUP(MAX(-5,Strikeprice2-I41),Volsmile,2),0)),($A41-DateToday)+15,IF(Pricetype2=1,1,0),0))),I41)))</f>
        <v>0</v>
      </c>
      <c r="S41" s="318" t="n">
        <f aca="false">IF($A41="N/A"," ",IF(Pricetype2=2,MAX(J41,0),IF(OR(Pricetype2=1,Pricetype2=4),IF(J41=0,0,(EURO(J41,Strikeprice2,0,0,($AK41+IF(Smile=TRUE(),VLOOKUP(MAX(-5,Strikeprice2-J41),Volsmile,2),0)),($A41-DateToday)+15,IF(Pricetype2=1,1,0),0))),J41)))</f>
        <v>0</v>
      </c>
      <c r="T41" s="318" t="n">
        <f aca="false">IF($A41="N/A"," ",IF(Pricetype2=2,MAX(K41,0),IF(OR(Pricetype2=1,Pricetype2=4),IF(K41=0,0,(EURO(K41,Strikeprice2,0,0,($AK41+IF(Smile=TRUE(),VLOOKUP(MAX(-5,Strikeprice2-K41),Volsmile,2),0)),($A41-DateToday)+15,IF(Pricetype2=1,1,0),0))),K41)))</f>
        <v>0</v>
      </c>
      <c r="U41" s="319" t="e">
        <f aca="false">IF($A41="N/A"," ",Volume2*$AM41)</f>
        <v>#N/A</v>
      </c>
      <c r="V41" s="320" t="e">
        <f aca="false">IF($A41="N/A"," ",$U41*(8*($BQ41))*L41)</f>
        <v>#N/A</v>
      </c>
      <c r="W41" s="320" t="e">
        <f aca="false">IF($A41="N/A"," ",$U41*(8*($BQ41))*M41)</f>
        <v>#N/A</v>
      </c>
      <c r="X41" s="320" t="e">
        <f aca="false">IF($A41="N/A"," ",$U41*(8*($BQ41))*N41)</f>
        <v>#N/A</v>
      </c>
      <c r="Y41" s="320" t="e">
        <f aca="false">IF($A41="N/A"," ",$U41*(8*($BR41))*O41)</f>
        <v>#N/A</v>
      </c>
      <c r="Z41" s="320" t="e">
        <f aca="false">IF($A41="N/A"," ",$U41*(8*($BR41))*P41)</f>
        <v>#N/A</v>
      </c>
      <c r="AA41" s="320" t="e">
        <f aca="false">IF($A41="N/A"," ",$U41*(8*($BR41))*Q41)</f>
        <v>#N/A</v>
      </c>
      <c r="AB41" s="320" t="e">
        <f aca="false">IF($A41="N/A"," ",$U41*(8*($BS41))*R41)</f>
        <v>#N/A</v>
      </c>
      <c r="AC41" s="320" t="e">
        <f aca="false">IF($A41="N/A"," ",$U41*(8*($BS41))*S41)</f>
        <v>#N/A</v>
      </c>
      <c r="AD41" s="320" t="e">
        <f aca="false">IF($A41="N/A"," ",$U41*(8*($BS41))*T41)</f>
        <v>#N/A</v>
      </c>
      <c r="AE41" s="320" t="e">
        <f aca="false">IF($A41="N/A"," ",SUM(V41:AD41))</f>
        <v>#N/A</v>
      </c>
      <c r="AF41" s="321" t="n">
        <f aca="false">IF(A41="N/A"," ",(VLOOKUP(A41,PowerVolTable,(IF(VolBMO2=2,7,IF(VolBMO2=1,6,8))),FALSE())))</f>
        <v>0.16</v>
      </c>
      <c r="AG41" s="321" t="n">
        <f aca="false">IF(A41="N/A"," ",(VLOOKUP(A41,IntraPowerVol,(IF(VolBMO2=2,3,IF(VolBMO2=1,2,4))),FALSE())*VLOOKUP(MONTH($A41),Volscale,2)))</f>
        <v>0.28</v>
      </c>
      <c r="AH41" s="321" t="n">
        <f aca="false">IF($A41="N/A"," ",IF(VolType2=1,AG41,AF41))</f>
        <v>0.16</v>
      </c>
      <c r="AI41" s="321" t="n">
        <f aca="false">IF($A41="N/A"," ",(VLOOKUP($A41,OffPwrVolTable,(IF(VolBMO2=2,7,IF(VolBMO2=1,6,8))),FALSE())))</f>
        <v>0.08</v>
      </c>
      <c r="AJ41" s="321" t="n">
        <f aca="false">IF($A41="N/A"," ",(VLOOKUP($A41,OffPwrVolTable,(IF(VolBMO2=2,3,IF(VolBMO2=1,2,4))),FALSE())*VLOOKUP(MONTH($A41),Volscale,2)))</f>
        <v>0.168</v>
      </c>
      <c r="AK41" s="321" t="n">
        <f aca="false">IF($A41="N/A"," ",IF(VolType2=1,AJ41,AI41))</f>
        <v>0.08</v>
      </c>
      <c r="AL41" s="321" t="e">
        <f aca="false">IF($A41="N/A"," ",IF(PV=1,0,'Pricing Inputs2'!R74))</f>
        <v>#N/A</v>
      </c>
      <c r="AM41" s="323" t="e">
        <f aca="false">IF($A41="N/A"," ",(1+AL41/2)^(-2*((EOMONTH(A41,0)+20)-DateToday)/365.25))</f>
        <v>#N/A</v>
      </c>
      <c r="BQ41" s="0" t="n">
        <f aca="false">IF($A41="N/A"," ",(VLOOKUP($A41,NumberofDaysTable,2)))</f>
        <v>20</v>
      </c>
      <c r="BR41" s="0" t="n">
        <f aca="false">IF($A41="N/A"," ",(VLOOKUP($A41,NumberofDaysTable,3)))</f>
        <v>4</v>
      </c>
      <c r="BS41" s="0" t="n">
        <f aca="false">IF($A41="N/A"," ",(VLOOKUP($A41,NumberofDaysTable,4)))</f>
        <v>4</v>
      </c>
    </row>
    <row r="42" customFormat="false" ht="12.75" hidden="false" customHeight="false" outlineLevel="0" collapsed="false">
      <c r="A42" s="315" t="n">
        <f aca="false">IF(A41="N/A","N/A",IF(EDATE(A41,1)&gt;Inputs!$P$5,"N/A",EDATE(A41,1)))</f>
        <v>38412</v>
      </c>
      <c r="B42" s="316" t="n">
        <f aca="false">IF(A42="N/A"," ",YEAR(A42))</f>
        <v>2005</v>
      </c>
      <c r="C42" s="317" t="n">
        <f aca="false">IF($A42="N/A"," ",IF(Dayrun2=10,0,IF(Scaler2=1,(VLOOKUP(A42,ScaledPrice2,4)),(VLOOKUP(A42,ScaledPrice2,2)))))</f>
        <v>33.2876773213231</v>
      </c>
      <c r="D42" s="317" t="n">
        <f aca="false">IF(A42="N/A"," ",IF(Dayrun2&gt;=7,0,IF(Scaler2=2,VLOOKUP(A42,ScaledPrice2,2),(VLOOKUP(A42,ScaledPrice2,2))*(2-(VLOOKUP(A42,ScaledPrice2,3))))))</f>
        <v>33.2876773213231</v>
      </c>
      <c r="E42" s="317" t="n">
        <f aca="false">IF($A42="N/A"," ",IF(AND(Dayrun2&gt;=4,Dayrun2&lt;=9),0,VLOOKUP($A42,ScaledPrice2,9)))</f>
        <v>0</v>
      </c>
      <c r="F42" s="317" t="n">
        <f aca="false">IF(A42="N/A"," ",IF(OR(Dayrun2=2,Dayrun2=3,Dayrun2=5,Dayrun2=6,Dayrun2=8,Dayrun2=9),VLOOKUP(A42,ScaledPrice2,IF(Scaler2=1,6,5)),0))</f>
        <v>0</v>
      </c>
      <c r="G42" s="317" t="n">
        <f aca="false">IF(A42="N/A"," ",IF(OR(Dayrun2=2,Dayrun2=3,Dayrun2=5,Dayrun2=6),IF(Scaler2=2,F42,(VLOOKUP(A42,ScaledPrice2,5))*(2-(VLOOKUP(A42,ScaledPrice2,3)))),0))</f>
        <v>0</v>
      </c>
      <c r="H42" s="317" t="n">
        <f aca="false">IF($A42="N/A"," ",IF(OR(Dayrun2=2,Dayrun2=3,Dayrun2=10),VLOOKUP($A42,ScaledPrice2,9),0))</f>
        <v>0</v>
      </c>
      <c r="I42" s="317" t="n">
        <f aca="false">IF(A42="N/A"," ",IF(OR(Dayrun2=3,Dayrun2=6,Dayrun2=9),(VLOOKUP(A42,ScaledPrice2,IF(Scaler2=2,7,8))),0))</f>
        <v>0</v>
      </c>
      <c r="J42" s="317" t="n">
        <f aca="false">IF(A42="N/A"," ",IF(OR(Dayrun2=3,Dayrun2=6),IF(Scaler2=2,I42,(VLOOKUP(A42,ScaledPrice2,7))*(2-(VLOOKUP(A42,ScaledPrice2,3)))),0))</f>
        <v>0</v>
      </c>
      <c r="K42" s="317" t="n">
        <f aca="false">IF($A42="N/A"," ",IF(OR(Dayrun2=3,Dayrun2=10),VLOOKUP($A42,ScaledPrice2,9),0))</f>
        <v>0</v>
      </c>
      <c r="L42" s="318" t="e">
        <f aca="false">IF($A42="N/A"," ",IF(Pricetype2=2,MAX(C42,0),IF(OR(Pricetype2=1,Pricetype2=4),IF(C42=0,0,(EURO(C42,Strikeprice2,0,0,($AH42+IF(Smile=TRUE(),VLOOKUP(MAX(-5,Strikeprice2-C42),Volsmile,2),0)),($A42-DateToday)+15,IF(Pricetype2=1,1,0),0))),C42)))</f>
        <v>#NAME?</v>
      </c>
      <c r="M42" s="318" t="e">
        <f aca="false">IF($A42="N/A"," ",IF(Pricetype2=2,MAX(D42,0),IF(OR(Pricetype2=1,Pricetype2=4),IF(D42=0,0,(EURO(D42,Strikeprice2,0,0,($AH42+IF(Smile=TRUE(),VLOOKUP(MAX(-5,Strikeprice2-D42),Volsmile,2),0)),($A42-DateToday)+15,IF(Pricetype2=1,1,0),0))),D42)))</f>
        <v>#NAME?</v>
      </c>
      <c r="N42" s="318" t="n">
        <f aca="false">IF($A42="N/A"," ",IF(Pricetype2=2,MAX(E42,0),IF(OR(Pricetype2=1,Pricetype2=4),IF(E42=0,0,(EURO(E42,Strikeprice2,0,0,($AK42+IF(Smile=TRUE(),VLOOKUP(MAX(-5,Strikeprice2-E42),Volsmile,2),0)),($A42-DateToday)+15,IF(Pricetype2=1,1,0),0))),E42)))</f>
        <v>0</v>
      </c>
      <c r="O42" s="318" t="n">
        <f aca="false">IF($A42="N/A"," ",IF(Pricetype2=2,MAX(F42,0),IF(OR(Pricetype2=1,Pricetype2=4),IF(F42=0,0,(EURO(F42,Strikeprice2,0,0,($AK42+IF(Smile=TRUE(),VLOOKUP(MAX(-5,Strikeprice2-F42),Volsmile,2),0)),($A42-DateToday)+15,IF(Pricetype2=1,1,0),0))),F42)))</f>
        <v>0</v>
      </c>
      <c r="P42" s="318" t="n">
        <f aca="false">IF($A42="N/A"," ",IF(Pricetype2=2,MAX(G42,0),IF(OR(Pricetype2=1,Pricetype2=4),IF(G42=0,0,(EURO(G42,Strikeprice2,0,0,($AK42+IF(Smile=TRUE(),VLOOKUP(MAX(-5,Strikeprice2-G42),Volsmile,2),0)),($A42-DateToday)+15,IF(Pricetype2=1,1,0),0))),G42)))</f>
        <v>0</v>
      </c>
      <c r="Q42" s="318" t="n">
        <f aca="false">IF($A42="N/A"," ",IF(Pricetype2=2,MAX(H42,0),IF(OR(Pricetype2=1,Pricetype2=4),IF(H42=0,0,(EURO(H42,Strikeprice2,0,0,($AK42+IF(Smile=TRUE(),VLOOKUP(MAX(-5,Strikeprice2-H42),Volsmile,2),0)),($A42-DateToday)+15,IF(Pricetype2=1,1,0),0))),H42)))</f>
        <v>0</v>
      </c>
      <c r="R42" s="318" t="n">
        <f aca="false">IF($A42="N/A"," ",IF(Pricetype2=2,MAX(I42,0),IF(OR(Pricetype2=1,Pricetype2=4),IF(I42=0,0,(EURO(I42,Strikeprice2,0,0,($AK42+IF(Smile=TRUE(),VLOOKUP(MAX(-5,Strikeprice2-I42),Volsmile,2),0)),($A42-DateToday)+15,IF(Pricetype2=1,1,0),0))),I42)))</f>
        <v>0</v>
      </c>
      <c r="S42" s="318" t="n">
        <f aca="false">IF($A42="N/A"," ",IF(Pricetype2=2,MAX(J42,0),IF(OR(Pricetype2=1,Pricetype2=4),IF(J42=0,0,(EURO(J42,Strikeprice2,0,0,($AK42+IF(Smile=TRUE(),VLOOKUP(MAX(-5,Strikeprice2-J42),Volsmile,2),0)),($A42-DateToday)+15,IF(Pricetype2=1,1,0),0))),J42)))</f>
        <v>0</v>
      </c>
      <c r="T42" s="318" t="n">
        <f aca="false">IF($A42="N/A"," ",IF(Pricetype2=2,MAX(K42,0),IF(OR(Pricetype2=1,Pricetype2=4),IF(K42=0,0,(EURO(K42,Strikeprice2,0,0,($AK42+IF(Smile=TRUE(),VLOOKUP(MAX(-5,Strikeprice2-K42),Volsmile,2),0)),($A42-DateToday)+15,IF(Pricetype2=1,1,0),0))),K42)))</f>
        <v>0</v>
      </c>
      <c r="U42" s="319" t="e">
        <f aca="false">IF($A42="N/A"," ",Volume2*$AM42)</f>
        <v>#N/A</v>
      </c>
      <c r="V42" s="320" t="e">
        <f aca="false">IF($A42="N/A"," ",$U42*(8*($BQ42))*L42)</f>
        <v>#N/A</v>
      </c>
      <c r="W42" s="320" t="e">
        <f aca="false">IF($A42="N/A"," ",$U42*(8*($BQ42))*M42)</f>
        <v>#N/A</v>
      </c>
      <c r="X42" s="320" t="e">
        <f aca="false">IF($A42="N/A"," ",$U42*(8*($BQ42))*N42)</f>
        <v>#N/A</v>
      </c>
      <c r="Y42" s="320" t="e">
        <f aca="false">IF($A42="N/A"," ",$U42*(8*($BR42))*O42)</f>
        <v>#N/A</v>
      </c>
      <c r="Z42" s="320" t="e">
        <f aca="false">IF($A42="N/A"," ",$U42*(8*($BR42))*P42)</f>
        <v>#N/A</v>
      </c>
      <c r="AA42" s="320" t="e">
        <f aca="false">IF($A42="N/A"," ",$U42*(8*($BR42))*Q42)</f>
        <v>#N/A</v>
      </c>
      <c r="AB42" s="320" t="e">
        <f aca="false">IF($A42="N/A"," ",$U42*(8*($BS42))*R42)</f>
        <v>#N/A</v>
      </c>
      <c r="AC42" s="320" t="e">
        <f aca="false">IF($A42="N/A"," ",$U42*(8*($BS42))*S42)</f>
        <v>#N/A</v>
      </c>
      <c r="AD42" s="320" t="e">
        <f aca="false">IF($A42="N/A"," ",$U42*(8*($BS42))*T42)</f>
        <v>#N/A</v>
      </c>
      <c r="AE42" s="320" t="e">
        <f aca="false">IF($A42="N/A"," ",SUM(V42:AD42))</f>
        <v>#N/A</v>
      </c>
      <c r="AF42" s="321" t="n">
        <f aca="false">IF(A42="N/A"," ",(VLOOKUP(A42,PowerVolTable,(IF(VolBMO2=2,7,IF(VolBMO2=1,6,8))),FALSE())))</f>
        <v>0.16</v>
      </c>
      <c r="AG42" s="321" t="n">
        <f aca="false">IF(A42="N/A"," ",(VLOOKUP(A42,IntraPowerVol,(IF(VolBMO2=2,3,IF(VolBMO2=1,2,4))),FALSE())*VLOOKUP(MONTH($A42),Volscale,2)))</f>
        <v>0.28</v>
      </c>
      <c r="AH42" s="321" t="n">
        <f aca="false">IF($A42="N/A"," ",IF(VolType2=1,AG42,AF42))</f>
        <v>0.16</v>
      </c>
      <c r="AI42" s="321" t="n">
        <f aca="false">IF($A42="N/A"," ",(VLOOKUP($A42,OffPwrVolTable,(IF(VolBMO2=2,7,IF(VolBMO2=1,6,8))),FALSE())))</f>
        <v>0.08</v>
      </c>
      <c r="AJ42" s="321" t="n">
        <f aca="false">IF($A42="N/A"," ",(VLOOKUP($A42,OffPwrVolTable,(IF(VolBMO2=2,3,IF(VolBMO2=1,2,4))),FALSE())*VLOOKUP(MONTH($A42),Volscale,2)))</f>
        <v>0.168</v>
      </c>
      <c r="AK42" s="321" t="n">
        <f aca="false">IF($A42="N/A"," ",IF(VolType2=1,AJ42,AI42))</f>
        <v>0.08</v>
      </c>
      <c r="AL42" s="321" t="e">
        <f aca="false">IF($A42="N/A"," ",IF(PV=1,0,'Pricing Inputs2'!R75))</f>
        <v>#N/A</v>
      </c>
      <c r="AM42" s="323" t="e">
        <f aca="false">IF($A42="N/A"," ",(1+AL42/2)^(-2*((EOMONTH(A42,0)+20)-DateToday)/365.25))</f>
        <v>#N/A</v>
      </c>
      <c r="BQ42" s="0" t="n">
        <f aca="false">IF($A42="N/A"," ",(VLOOKUP($A42,NumberofDaysTable,2)))</f>
        <v>23</v>
      </c>
      <c r="BR42" s="0" t="n">
        <f aca="false">IF($A42="N/A"," ",(VLOOKUP($A42,NumberofDaysTable,3)))</f>
        <v>4</v>
      </c>
      <c r="BS42" s="0" t="n">
        <f aca="false">IF($A42="N/A"," ",(VLOOKUP($A42,NumberofDaysTable,4)))</f>
        <v>4</v>
      </c>
    </row>
    <row r="43" customFormat="false" ht="12.75" hidden="false" customHeight="false" outlineLevel="0" collapsed="false">
      <c r="A43" s="315" t="n">
        <f aca="false">IF(A42="N/A","N/A",IF(EDATE(A42,1)&gt;Inputs!$P$5,"N/A",EDATE(A42,1)))</f>
        <v>38443</v>
      </c>
      <c r="B43" s="316" t="n">
        <f aca="false">IF(A43="N/A"," ",YEAR(A43))</f>
        <v>2005</v>
      </c>
      <c r="C43" s="317" t="n">
        <f aca="false">IF($A43="N/A"," ",IF(Dayrun2=10,0,IF(Scaler2=1,(VLOOKUP(A43,ScaledPrice2,4)),(VLOOKUP(A43,ScaledPrice2,2)))))</f>
        <v>33.4876780842626</v>
      </c>
      <c r="D43" s="317" t="n">
        <f aca="false">IF(A43="N/A"," ",IF(Dayrun2&gt;=7,0,IF(Scaler2=2,VLOOKUP(A43,ScaledPrice2,2),(VLOOKUP(A43,ScaledPrice2,2))*(2-(VLOOKUP(A43,ScaledPrice2,3))))))</f>
        <v>33.4876780842626</v>
      </c>
      <c r="E43" s="317" t="n">
        <f aca="false">IF($A43="N/A"," ",IF(AND(Dayrun2&gt;=4,Dayrun2&lt;=9),0,VLOOKUP($A43,ScaledPrice2,9)))</f>
        <v>0</v>
      </c>
      <c r="F43" s="317" t="n">
        <f aca="false">IF(A43="N/A"," ",IF(OR(Dayrun2=2,Dayrun2=3,Dayrun2=5,Dayrun2=6,Dayrun2=8,Dayrun2=9),VLOOKUP(A43,ScaledPrice2,IF(Scaler2=1,6,5)),0))</f>
        <v>0</v>
      </c>
      <c r="G43" s="317" t="n">
        <f aca="false">IF(A43="N/A"," ",IF(OR(Dayrun2=2,Dayrun2=3,Dayrun2=5,Dayrun2=6),IF(Scaler2=2,F43,(VLOOKUP(A43,ScaledPrice2,5))*(2-(VLOOKUP(A43,ScaledPrice2,3)))),0))</f>
        <v>0</v>
      </c>
      <c r="H43" s="317" t="n">
        <f aca="false">IF($A43="N/A"," ",IF(OR(Dayrun2=2,Dayrun2=3,Dayrun2=10),VLOOKUP($A43,ScaledPrice2,9),0))</f>
        <v>0</v>
      </c>
      <c r="I43" s="317" t="n">
        <f aca="false">IF(A43="N/A"," ",IF(OR(Dayrun2=3,Dayrun2=6,Dayrun2=9),(VLOOKUP(A43,ScaledPrice2,IF(Scaler2=2,7,8))),0))</f>
        <v>0</v>
      </c>
      <c r="J43" s="317" t="n">
        <f aca="false">IF(A43="N/A"," ",IF(OR(Dayrun2=3,Dayrun2=6),IF(Scaler2=2,I43,(VLOOKUP(A43,ScaledPrice2,7))*(2-(VLOOKUP(A43,ScaledPrice2,3)))),0))</f>
        <v>0</v>
      </c>
      <c r="K43" s="317" t="n">
        <f aca="false">IF($A43="N/A"," ",IF(OR(Dayrun2=3,Dayrun2=10),VLOOKUP($A43,ScaledPrice2,9),0))</f>
        <v>0</v>
      </c>
      <c r="L43" s="318" t="e">
        <f aca="false">IF($A43="N/A"," ",IF(Pricetype2=2,MAX(C43,0),IF(OR(Pricetype2=1,Pricetype2=4),IF(C43=0,0,(EURO(C43,Strikeprice2,0,0,($AH43+IF(Smile=TRUE(),VLOOKUP(MAX(-5,Strikeprice2-C43),Volsmile,2),0)),($A43-DateToday)+15,IF(Pricetype2=1,1,0),0))),C43)))</f>
        <v>#NAME?</v>
      </c>
      <c r="M43" s="318" t="e">
        <f aca="false">IF($A43="N/A"," ",IF(Pricetype2=2,MAX(D43,0),IF(OR(Pricetype2=1,Pricetype2=4),IF(D43=0,0,(EURO(D43,Strikeprice2,0,0,($AH43+IF(Smile=TRUE(),VLOOKUP(MAX(-5,Strikeprice2-D43),Volsmile,2),0)),($A43-DateToday)+15,IF(Pricetype2=1,1,0),0))),D43)))</f>
        <v>#NAME?</v>
      </c>
      <c r="N43" s="318" t="n">
        <f aca="false">IF($A43="N/A"," ",IF(Pricetype2=2,MAX(E43,0),IF(OR(Pricetype2=1,Pricetype2=4),IF(E43=0,0,(EURO(E43,Strikeprice2,0,0,($AK43+IF(Smile=TRUE(),VLOOKUP(MAX(-5,Strikeprice2-E43),Volsmile,2),0)),($A43-DateToday)+15,IF(Pricetype2=1,1,0),0))),E43)))</f>
        <v>0</v>
      </c>
      <c r="O43" s="318" t="n">
        <f aca="false">IF($A43="N/A"," ",IF(Pricetype2=2,MAX(F43,0),IF(OR(Pricetype2=1,Pricetype2=4),IF(F43=0,0,(EURO(F43,Strikeprice2,0,0,($AK43+IF(Smile=TRUE(),VLOOKUP(MAX(-5,Strikeprice2-F43),Volsmile,2),0)),($A43-DateToday)+15,IF(Pricetype2=1,1,0),0))),F43)))</f>
        <v>0</v>
      </c>
      <c r="P43" s="318" t="n">
        <f aca="false">IF($A43="N/A"," ",IF(Pricetype2=2,MAX(G43,0),IF(OR(Pricetype2=1,Pricetype2=4),IF(G43=0,0,(EURO(G43,Strikeprice2,0,0,($AK43+IF(Smile=TRUE(),VLOOKUP(MAX(-5,Strikeprice2-G43),Volsmile,2),0)),($A43-DateToday)+15,IF(Pricetype2=1,1,0),0))),G43)))</f>
        <v>0</v>
      </c>
      <c r="Q43" s="318" t="n">
        <f aca="false">IF($A43="N/A"," ",IF(Pricetype2=2,MAX(H43,0),IF(OR(Pricetype2=1,Pricetype2=4),IF(H43=0,0,(EURO(H43,Strikeprice2,0,0,($AK43+IF(Smile=TRUE(),VLOOKUP(MAX(-5,Strikeprice2-H43),Volsmile,2),0)),($A43-DateToday)+15,IF(Pricetype2=1,1,0),0))),H43)))</f>
        <v>0</v>
      </c>
      <c r="R43" s="318" t="n">
        <f aca="false">IF($A43="N/A"," ",IF(Pricetype2=2,MAX(I43,0),IF(OR(Pricetype2=1,Pricetype2=4),IF(I43=0,0,(EURO(I43,Strikeprice2,0,0,($AK43+IF(Smile=TRUE(),VLOOKUP(MAX(-5,Strikeprice2-I43),Volsmile,2),0)),($A43-DateToday)+15,IF(Pricetype2=1,1,0),0))),I43)))</f>
        <v>0</v>
      </c>
      <c r="S43" s="318" t="n">
        <f aca="false">IF($A43="N/A"," ",IF(Pricetype2=2,MAX(J43,0),IF(OR(Pricetype2=1,Pricetype2=4),IF(J43=0,0,(EURO(J43,Strikeprice2,0,0,($AK43+IF(Smile=TRUE(),VLOOKUP(MAX(-5,Strikeprice2-J43),Volsmile,2),0)),($A43-DateToday)+15,IF(Pricetype2=1,1,0),0))),J43)))</f>
        <v>0</v>
      </c>
      <c r="T43" s="318" t="n">
        <f aca="false">IF($A43="N/A"," ",IF(Pricetype2=2,MAX(K43,0),IF(OR(Pricetype2=1,Pricetype2=4),IF(K43=0,0,(EURO(K43,Strikeprice2,0,0,($AK43+IF(Smile=TRUE(),VLOOKUP(MAX(-5,Strikeprice2-K43),Volsmile,2),0)),($A43-DateToday)+15,IF(Pricetype2=1,1,0),0))),K43)))</f>
        <v>0</v>
      </c>
      <c r="U43" s="319" t="e">
        <f aca="false">IF($A43="N/A"," ",Volume2*$AM43)</f>
        <v>#N/A</v>
      </c>
      <c r="V43" s="320" t="e">
        <f aca="false">IF($A43="N/A"," ",$U43*(8*($BQ43))*L43)</f>
        <v>#N/A</v>
      </c>
      <c r="W43" s="320" t="e">
        <f aca="false">IF($A43="N/A"," ",$U43*(8*($BQ43))*M43)</f>
        <v>#N/A</v>
      </c>
      <c r="X43" s="320" t="e">
        <f aca="false">IF($A43="N/A"," ",$U43*(8*($BQ43))*N43)</f>
        <v>#N/A</v>
      </c>
      <c r="Y43" s="320" t="e">
        <f aca="false">IF($A43="N/A"," ",$U43*(8*($BR43))*O43)</f>
        <v>#N/A</v>
      </c>
      <c r="Z43" s="320" t="e">
        <f aca="false">IF($A43="N/A"," ",$U43*(8*($BR43))*P43)</f>
        <v>#N/A</v>
      </c>
      <c r="AA43" s="320" t="e">
        <f aca="false">IF($A43="N/A"," ",$U43*(8*($BR43))*Q43)</f>
        <v>#N/A</v>
      </c>
      <c r="AB43" s="320" t="e">
        <f aca="false">IF($A43="N/A"," ",$U43*(8*($BS43))*R43)</f>
        <v>#N/A</v>
      </c>
      <c r="AC43" s="320" t="e">
        <f aca="false">IF($A43="N/A"," ",$U43*(8*($BS43))*S43)</f>
        <v>#N/A</v>
      </c>
      <c r="AD43" s="320" t="e">
        <f aca="false">IF($A43="N/A"," ",$U43*(8*($BS43))*T43)</f>
        <v>#N/A</v>
      </c>
      <c r="AE43" s="320" t="e">
        <f aca="false">IF($A43="N/A"," ",SUM(V43:AD43))</f>
        <v>#N/A</v>
      </c>
      <c r="AF43" s="321" t="n">
        <f aca="false">IF(A43="N/A"," ",(VLOOKUP(A43,PowerVolTable,(IF(VolBMO2=2,7,IF(VolBMO2=1,6,8))),FALSE())))</f>
        <v>0.16</v>
      </c>
      <c r="AG43" s="321" t="n">
        <f aca="false">IF(A43="N/A"," ",(VLOOKUP(A43,IntraPowerVol,(IF(VolBMO2=2,3,IF(VolBMO2=1,2,4))),FALSE())*VLOOKUP(MONTH($A43),Volscale,2)))</f>
        <v>0.28</v>
      </c>
      <c r="AH43" s="321" t="n">
        <f aca="false">IF($A43="N/A"," ",IF(VolType2=1,AG43,AF43))</f>
        <v>0.16</v>
      </c>
      <c r="AI43" s="321" t="n">
        <f aca="false">IF($A43="N/A"," ",(VLOOKUP($A43,OffPwrVolTable,(IF(VolBMO2=2,7,IF(VolBMO2=1,6,8))),FALSE())))</f>
        <v>0.08</v>
      </c>
      <c r="AJ43" s="321" t="n">
        <f aca="false">IF($A43="N/A"," ",(VLOOKUP($A43,OffPwrVolTable,(IF(VolBMO2=2,3,IF(VolBMO2=1,2,4))),FALSE())*VLOOKUP(MONTH($A43),Volscale,2)))</f>
        <v>0.168</v>
      </c>
      <c r="AK43" s="321" t="n">
        <f aca="false">IF($A43="N/A"," ",IF(VolType2=1,AJ43,AI43))</f>
        <v>0.08</v>
      </c>
      <c r="AL43" s="321" t="e">
        <f aca="false">IF($A43="N/A"," ",IF(PV=1,0,'Pricing Inputs2'!R76))</f>
        <v>#N/A</v>
      </c>
      <c r="AM43" s="323" t="e">
        <f aca="false">IF($A43="N/A"," ",(1+AL43/2)^(-2*((EOMONTH(A43,0)+20)-DateToday)/365.25))</f>
        <v>#N/A</v>
      </c>
      <c r="BQ43" s="0" t="n">
        <f aca="false">IF($A43="N/A"," ",(VLOOKUP($A43,NumberofDaysTable,2)))</f>
        <v>21</v>
      </c>
      <c r="BR43" s="0" t="n">
        <f aca="false">IF($A43="N/A"," ",(VLOOKUP($A43,NumberofDaysTable,3)))</f>
        <v>5</v>
      </c>
      <c r="BS43" s="0" t="n">
        <f aca="false">IF($A43="N/A"," ",(VLOOKUP($A43,NumberofDaysTable,4)))</f>
        <v>4</v>
      </c>
    </row>
    <row r="44" customFormat="false" ht="12.75" hidden="false" customHeight="false" outlineLevel="0" collapsed="false">
      <c r="A44" s="315" t="n">
        <f aca="false">IF(A43="N/A","N/A",IF(EDATE(A43,1)&gt;Inputs!$P$5,"N/A",EDATE(A43,1)))</f>
        <v>38473</v>
      </c>
      <c r="B44" s="316" t="n">
        <f aca="false">IF(A44="N/A"," ",YEAR(A44))</f>
        <v>2005</v>
      </c>
      <c r="C44" s="317" t="n">
        <f aca="false">IF($A44="N/A"," ",IF(Dayrun2=10,0,IF(Scaler2=1,(VLOOKUP(A44,ScaledPrice2,4)),(VLOOKUP(A44,ScaledPrice2,2)))))</f>
        <v>36.2650032043457</v>
      </c>
      <c r="D44" s="317" t="n">
        <f aca="false">IF(A44="N/A"," ",IF(Dayrun2&gt;=7,0,IF(Scaler2=2,VLOOKUP(A44,ScaledPrice2,2),(VLOOKUP(A44,ScaledPrice2,2))*(2-(VLOOKUP(A44,ScaledPrice2,3))))))</f>
        <v>36.2650032043457</v>
      </c>
      <c r="E44" s="317" t="n">
        <f aca="false">IF($A44="N/A"," ",IF(AND(Dayrun2&gt;=4,Dayrun2&lt;=9),0,VLOOKUP($A44,ScaledPrice2,9)))</f>
        <v>0</v>
      </c>
      <c r="F44" s="317" t="n">
        <f aca="false">IF(A44="N/A"," ",IF(OR(Dayrun2=2,Dayrun2=3,Dayrun2=5,Dayrun2=6,Dayrun2=8,Dayrun2=9),VLOOKUP(A44,ScaledPrice2,IF(Scaler2=1,6,5)),0))</f>
        <v>0</v>
      </c>
      <c r="G44" s="317" t="n">
        <f aca="false">IF(A44="N/A"," ",IF(OR(Dayrun2=2,Dayrun2=3,Dayrun2=5,Dayrun2=6),IF(Scaler2=2,F44,(VLOOKUP(A44,ScaledPrice2,5))*(2-(VLOOKUP(A44,ScaledPrice2,3)))),0))</f>
        <v>0</v>
      </c>
      <c r="H44" s="317" t="n">
        <f aca="false">IF($A44="N/A"," ",IF(OR(Dayrun2=2,Dayrun2=3,Dayrun2=10),VLOOKUP($A44,ScaledPrice2,9),0))</f>
        <v>0</v>
      </c>
      <c r="I44" s="317" t="n">
        <f aca="false">IF(A44="N/A"," ",IF(OR(Dayrun2=3,Dayrun2=6,Dayrun2=9),(VLOOKUP(A44,ScaledPrice2,IF(Scaler2=2,7,8))),0))</f>
        <v>0</v>
      </c>
      <c r="J44" s="317" t="n">
        <f aca="false">IF(A44="N/A"," ",IF(OR(Dayrun2=3,Dayrun2=6),IF(Scaler2=2,I44,(VLOOKUP(A44,ScaledPrice2,7))*(2-(VLOOKUP(A44,ScaledPrice2,3)))),0))</f>
        <v>0</v>
      </c>
      <c r="K44" s="317" t="n">
        <f aca="false">IF($A44="N/A"," ",IF(OR(Dayrun2=3,Dayrun2=10),VLOOKUP($A44,ScaledPrice2,9),0))</f>
        <v>0</v>
      </c>
      <c r="L44" s="318" t="e">
        <f aca="false">IF($A44="N/A"," ",IF(Pricetype2=2,MAX(C44,0),IF(OR(Pricetype2=1,Pricetype2=4),IF(C44=0,0,(EURO(C44,Strikeprice2,0,0,($AH44+IF(Smile=TRUE(),VLOOKUP(MAX(-5,Strikeprice2-C44),Volsmile,2),0)),($A44-DateToday)+15,IF(Pricetype2=1,1,0),0))),C44)))</f>
        <v>#NAME?</v>
      </c>
      <c r="M44" s="318" t="e">
        <f aca="false">IF($A44="N/A"," ",IF(Pricetype2=2,MAX(D44,0),IF(OR(Pricetype2=1,Pricetype2=4),IF(D44=0,0,(EURO(D44,Strikeprice2,0,0,($AH44+IF(Smile=TRUE(),VLOOKUP(MAX(-5,Strikeprice2-D44),Volsmile,2),0)),($A44-DateToday)+15,IF(Pricetype2=1,1,0),0))),D44)))</f>
        <v>#NAME?</v>
      </c>
      <c r="N44" s="318" t="n">
        <f aca="false">IF($A44="N/A"," ",IF(Pricetype2=2,MAX(E44,0),IF(OR(Pricetype2=1,Pricetype2=4),IF(E44=0,0,(EURO(E44,Strikeprice2,0,0,($AK44+IF(Smile=TRUE(),VLOOKUP(MAX(-5,Strikeprice2-E44),Volsmile,2),0)),($A44-DateToday)+15,IF(Pricetype2=1,1,0),0))),E44)))</f>
        <v>0</v>
      </c>
      <c r="O44" s="318" t="n">
        <f aca="false">IF($A44="N/A"," ",IF(Pricetype2=2,MAX(F44,0),IF(OR(Pricetype2=1,Pricetype2=4),IF(F44=0,0,(EURO(F44,Strikeprice2,0,0,($AK44+IF(Smile=TRUE(),VLOOKUP(MAX(-5,Strikeprice2-F44),Volsmile,2),0)),($A44-DateToday)+15,IF(Pricetype2=1,1,0),0))),F44)))</f>
        <v>0</v>
      </c>
      <c r="P44" s="318" t="n">
        <f aca="false">IF($A44="N/A"," ",IF(Pricetype2=2,MAX(G44,0),IF(OR(Pricetype2=1,Pricetype2=4),IF(G44=0,0,(EURO(G44,Strikeprice2,0,0,($AK44+IF(Smile=TRUE(),VLOOKUP(MAX(-5,Strikeprice2-G44),Volsmile,2),0)),($A44-DateToday)+15,IF(Pricetype2=1,1,0),0))),G44)))</f>
        <v>0</v>
      </c>
      <c r="Q44" s="318" t="n">
        <f aca="false">IF($A44="N/A"," ",IF(Pricetype2=2,MAX(H44,0),IF(OR(Pricetype2=1,Pricetype2=4),IF(H44=0,0,(EURO(H44,Strikeprice2,0,0,($AK44+IF(Smile=TRUE(),VLOOKUP(MAX(-5,Strikeprice2-H44),Volsmile,2),0)),($A44-DateToday)+15,IF(Pricetype2=1,1,0),0))),H44)))</f>
        <v>0</v>
      </c>
      <c r="R44" s="318" t="n">
        <f aca="false">IF($A44="N/A"," ",IF(Pricetype2=2,MAX(I44,0),IF(OR(Pricetype2=1,Pricetype2=4),IF(I44=0,0,(EURO(I44,Strikeprice2,0,0,($AK44+IF(Smile=TRUE(),VLOOKUP(MAX(-5,Strikeprice2-I44),Volsmile,2),0)),($A44-DateToday)+15,IF(Pricetype2=1,1,0),0))),I44)))</f>
        <v>0</v>
      </c>
      <c r="S44" s="318" t="n">
        <f aca="false">IF($A44="N/A"," ",IF(Pricetype2=2,MAX(J44,0),IF(OR(Pricetype2=1,Pricetype2=4),IF(J44=0,0,(EURO(J44,Strikeprice2,0,0,($AK44+IF(Smile=TRUE(),VLOOKUP(MAX(-5,Strikeprice2-J44),Volsmile,2),0)),($A44-DateToday)+15,IF(Pricetype2=1,1,0),0))),J44)))</f>
        <v>0</v>
      </c>
      <c r="T44" s="318" t="n">
        <f aca="false">IF($A44="N/A"," ",IF(Pricetype2=2,MAX(K44,0),IF(OR(Pricetype2=1,Pricetype2=4),IF(K44=0,0,(EURO(K44,Strikeprice2,0,0,($AK44+IF(Smile=TRUE(),VLOOKUP(MAX(-5,Strikeprice2-K44),Volsmile,2),0)),($A44-DateToday)+15,IF(Pricetype2=1,1,0),0))),K44)))</f>
        <v>0</v>
      </c>
      <c r="U44" s="319" t="e">
        <f aca="false">IF($A44="N/A"," ",Volume2*$AM44)</f>
        <v>#N/A</v>
      </c>
      <c r="V44" s="320" t="e">
        <f aca="false">IF($A44="N/A"," ",$U44*(8*($BQ44))*L44)</f>
        <v>#N/A</v>
      </c>
      <c r="W44" s="320" t="e">
        <f aca="false">IF($A44="N/A"," ",$U44*(8*($BQ44))*M44)</f>
        <v>#N/A</v>
      </c>
      <c r="X44" s="320" t="e">
        <f aca="false">IF($A44="N/A"," ",$U44*(8*($BQ44))*N44)</f>
        <v>#N/A</v>
      </c>
      <c r="Y44" s="320" t="e">
        <f aca="false">IF($A44="N/A"," ",$U44*(8*($BR44))*O44)</f>
        <v>#N/A</v>
      </c>
      <c r="Z44" s="320" t="e">
        <f aca="false">IF($A44="N/A"," ",$U44*(8*($BR44))*P44)</f>
        <v>#N/A</v>
      </c>
      <c r="AA44" s="320" t="e">
        <f aca="false">IF($A44="N/A"," ",$U44*(8*($BR44))*Q44)</f>
        <v>#N/A</v>
      </c>
      <c r="AB44" s="320" t="e">
        <f aca="false">IF($A44="N/A"," ",$U44*(8*($BS44))*R44)</f>
        <v>#N/A</v>
      </c>
      <c r="AC44" s="320" t="e">
        <f aca="false">IF($A44="N/A"," ",$U44*(8*($BS44))*S44)</f>
        <v>#N/A</v>
      </c>
      <c r="AD44" s="320" t="e">
        <f aca="false">IF($A44="N/A"," ",$U44*(8*($BS44))*T44)</f>
        <v>#N/A</v>
      </c>
      <c r="AE44" s="320" t="e">
        <f aca="false">IF($A44="N/A"," ",SUM(V44:AD44))</f>
        <v>#N/A</v>
      </c>
      <c r="AF44" s="321" t="n">
        <f aca="false">IF(A44="N/A"," ",(VLOOKUP(A44,PowerVolTable,(IF(VolBMO2=2,7,IF(VolBMO2=1,6,8))),FALSE())))</f>
        <v>0.16</v>
      </c>
      <c r="AG44" s="321" t="n">
        <f aca="false">IF(A44="N/A"," ",(VLOOKUP(A44,IntraPowerVol,(IF(VolBMO2=2,3,IF(VolBMO2=1,2,4))),FALSE())*VLOOKUP(MONTH($A44),Volscale,2)))</f>
        <v>0.36</v>
      </c>
      <c r="AH44" s="321" t="n">
        <f aca="false">IF($A44="N/A"," ",IF(VolType2=1,AG44,AF44))</f>
        <v>0.16</v>
      </c>
      <c r="AI44" s="321" t="n">
        <f aca="false">IF($A44="N/A"," ",(VLOOKUP($A44,OffPwrVolTable,(IF(VolBMO2=2,7,IF(VolBMO2=1,6,8))),FALSE())))</f>
        <v>0.08</v>
      </c>
      <c r="AJ44" s="321" t="n">
        <f aca="false">IF($A44="N/A"," ",(VLOOKUP($A44,OffPwrVolTable,(IF(VolBMO2=2,3,IF(VolBMO2=1,2,4))),FALSE())*VLOOKUP(MONTH($A44),Volscale,2)))</f>
        <v>0.216</v>
      </c>
      <c r="AK44" s="321" t="n">
        <f aca="false">IF($A44="N/A"," ",IF(VolType2=1,AJ44,AI44))</f>
        <v>0.08</v>
      </c>
      <c r="AL44" s="321" t="e">
        <f aca="false">IF($A44="N/A"," ",IF(PV=1,0,'Pricing Inputs2'!R77))</f>
        <v>#N/A</v>
      </c>
      <c r="AM44" s="323" t="e">
        <f aca="false">IF($A44="N/A"," ",(1+AL44/2)^(-2*((EOMONTH(A44,0)+20)-DateToday)/365.25))</f>
        <v>#N/A</v>
      </c>
      <c r="BQ44" s="0" t="n">
        <f aca="false">IF($A44="N/A"," ",(VLOOKUP($A44,NumberofDaysTable,2)))</f>
        <v>21</v>
      </c>
      <c r="BR44" s="0" t="n">
        <f aca="false">IF($A44="N/A"," ",(VLOOKUP($A44,NumberofDaysTable,3)))</f>
        <v>4</v>
      </c>
      <c r="BS44" s="0" t="n">
        <f aca="false">IF($A44="N/A"," ",(VLOOKUP($A44,NumberofDaysTable,4)))</f>
        <v>6</v>
      </c>
    </row>
    <row r="45" customFormat="false" ht="12.75" hidden="false" customHeight="false" outlineLevel="0" collapsed="false">
      <c r="A45" s="315" t="n">
        <f aca="false">IF(A44="N/A","N/A",IF(EDATE(A44,1)&gt;Inputs!$P$5,"N/A",EDATE(A44,1)))</f>
        <v>38504</v>
      </c>
      <c r="B45" s="316" t="n">
        <f aca="false">IF(A45="N/A"," ",YEAR(A45))</f>
        <v>2005</v>
      </c>
      <c r="C45" s="317" t="n">
        <f aca="false">IF($A45="N/A"," ",IF(Dayrun2=10,0,IF(Scaler2=1,(VLOOKUP(A45,ScaledPrice2,4)),(VLOOKUP(A45,ScaledPrice2,2)))))</f>
        <v>42.3750038146973</v>
      </c>
      <c r="D45" s="317" t="n">
        <f aca="false">IF(A45="N/A"," ",IF(Dayrun2&gt;=7,0,IF(Scaler2=2,VLOOKUP(A45,ScaledPrice2,2),(VLOOKUP(A45,ScaledPrice2,2))*(2-(VLOOKUP(A45,ScaledPrice2,3))))))</f>
        <v>42.3750038146973</v>
      </c>
      <c r="E45" s="317" t="n">
        <f aca="false">IF($A45="N/A"," ",IF(AND(Dayrun2&gt;=4,Dayrun2&lt;=9),0,VLOOKUP($A45,ScaledPrice2,9)))</f>
        <v>0</v>
      </c>
      <c r="F45" s="317" t="n">
        <f aca="false">IF(A45="N/A"," ",IF(OR(Dayrun2=2,Dayrun2=3,Dayrun2=5,Dayrun2=6,Dayrun2=8,Dayrun2=9),VLOOKUP(A45,ScaledPrice2,IF(Scaler2=1,6,5)),0))</f>
        <v>0</v>
      </c>
      <c r="G45" s="317" t="n">
        <f aca="false">IF(A45="N/A"," ",IF(OR(Dayrun2=2,Dayrun2=3,Dayrun2=5,Dayrun2=6),IF(Scaler2=2,F45,(VLOOKUP(A45,ScaledPrice2,5))*(2-(VLOOKUP(A45,ScaledPrice2,3)))),0))</f>
        <v>0</v>
      </c>
      <c r="H45" s="317" t="n">
        <f aca="false">IF($A45="N/A"," ",IF(OR(Dayrun2=2,Dayrun2=3,Dayrun2=10),VLOOKUP($A45,ScaledPrice2,9),0))</f>
        <v>0</v>
      </c>
      <c r="I45" s="317" t="n">
        <f aca="false">IF(A45="N/A"," ",IF(OR(Dayrun2=3,Dayrun2=6,Dayrun2=9),(VLOOKUP(A45,ScaledPrice2,IF(Scaler2=2,7,8))),0))</f>
        <v>0</v>
      </c>
      <c r="J45" s="317" t="n">
        <f aca="false">IF(A45="N/A"," ",IF(OR(Dayrun2=3,Dayrun2=6),IF(Scaler2=2,I45,(VLOOKUP(A45,ScaledPrice2,7))*(2-(VLOOKUP(A45,ScaledPrice2,3)))),0))</f>
        <v>0</v>
      </c>
      <c r="K45" s="317" t="n">
        <f aca="false">IF($A45="N/A"," ",IF(OR(Dayrun2=3,Dayrun2=10),VLOOKUP($A45,ScaledPrice2,9),0))</f>
        <v>0</v>
      </c>
      <c r="L45" s="318" t="e">
        <f aca="false">IF($A45="N/A"," ",IF(Pricetype2=2,MAX(C45,0),IF(OR(Pricetype2=1,Pricetype2=4),IF(C45=0,0,(EURO(C45,Strikeprice2,0,0,($AH45+IF(Smile=TRUE(),VLOOKUP(MAX(-5,Strikeprice2-C45),Volsmile,2),0)),($A45-DateToday)+15,IF(Pricetype2=1,1,0),0))),C45)))</f>
        <v>#NAME?</v>
      </c>
      <c r="M45" s="318" t="e">
        <f aca="false">IF($A45="N/A"," ",IF(Pricetype2=2,MAX(D45,0),IF(OR(Pricetype2=1,Pricetype2=4),IF(D45=0,0,(EURO(D45,Strikeprice2,0,0,($AH45+IF(Smile=TRUE(),VLOOKUP(MAX(-5,Strikeprice2-D45),Volsmile,2),0)),($A45-DateToday)+15,IF(Pricetype2=1,1,0),0))),D45)))</f>
        <v>#NAME?</v>
      </c>
      <c r="N45" s="318" t="n">
        <f aca="false">IF($A45="N/A"," ",IF(Pricetype2=2,MAX(E45,0),IF(OR(Pricetype2=1,Pricetype2=4),IF(E45=0,0,(EURO(E45,Strikeprice2,0,0,($AK45+IF(Smile=TRUE(),VLOOKUP(MAX(-5,Strikeprice2-E45),Volsmile,2),0)),($A45-DateToday)+15,IF(Pricetype2=1,1,0),0))),E45)))</f>
        <v>0</v>
      </c>
      <c r="O45" s="318" t="n">
        <f aca="false">IF($A45="N/A"," ",IF(Pricetype2=2,MAX(F45,0),IF(OR(Pricetype2=1,Pricetype2=4),IF(F45=0,0,(EURO(F45,Strikeprice2,0,0,($AK45+IF(Smile=TRUE(),VLOOKUP(MAX(-5,Strikeprice2-F45),Volsmile,2),0)),($A45-DateToday)+15,IF(Pricetype2=1,1,0),0))),F45)))</f>
        <v>0</v>
      </c>
      <c r="P45" s="318" t="n">
        <f aca="false">IF($A45="N/A"," ",IF(Pricetype2=2,MAX(G45,0),IF(OR(Pricetype2=1,Pricetype2=4),IF(G45=0,0,(EURO(G45,Strikeprice2,0,0,($AK45+IF(Smile=TRUE(),VLOOKUP(MAX(-5,Strikeprice2-G45),Volsmile,2),0)),($A45-DateToday)+15,IF(Pricetype2=1,1,0),0))),G45)))</f>
        <v>0</v>
      </c>
      <c r="Q45" s="318" t="n">
        <f aca="false">IF($A45="N/A"," ",IF(Pricetype2=2,MAX(H45,0),IF(OR(Pricetype2=1,Pricetype2=4),IF(H45=0,0,(EURO(H45,Strikeprice2,0,0,($AK45+IF(Smile=TRUE(),VLOOKUP(MAX(-5,Strikeprice2-H45),Volsmile,2),0)),($A45-DateToday)+15,IF(Pricetype2=1,1,0),0))),H45)))</f>
        <v>0</v>
      </c>
      <c r="R45" s="318" t="n">
        <f aca="false">IF($A45="N/A"," ",IF(Pricetype2=2,MAX(I45,0),IF(OR(Pricetype2=1,Pricetype2=4),IF(I45=0,0,(EURO(I45,Strikeprice2,0,0,($AK45+IF(Smile=TRUE(),VLOOKUP(MAX(-5,Strikeprice2-I45),Volsmile,2),0)),($A45-DateToday)+15,IF(Pricetype2=1,1,0),0))),I45)))</f>
        <v>0</v>
      </c>
      <c r="S45" s="318" t="n">
        <f aca="false">IF($A45="N/A"," ",IF(Pricetype2=2,MAX(J45,0),IF(OR(Pricetype2=1,Pricetype2=4),IF(J45=0,0,(EURO(J45,Strikeprice2,0,0,($AK45+IF(Smile=TRUE(),VLOOKUP(MAX(-5,Strikeprice2-J45),Volsmile,2),0)),($A45-DateToday)+15,IF(Pricetype2=1,1,0),0))),J45)))</f>
        <v>0</v>
      </c>
      <c r="T45" s="318" t="n">
        <f aca="false">IF($A45="N/A"," ",IF(Pricetype2=2,MAX(K45,0),IF(OR(Pricetype2=1,Pricetype2=4),IF(K45=0,0,(EURO(K45,Strikeprice2,0,0,($AK45+IF(Smile=TRUE(),VLOOKUP(MAX(-5,Strikeprice2-K45),Volsmile,2),0)),($A45-DateToday)+15,IF(Pricetype2=1,1,0),0))),K45)))</f>
        <v>0</v>
      </c>
      <c r="U45" s="319" t="e">
        <f aca="false">IF($A45="N/A"," ",Volume2*$AM45)</f>
        <v>#N/A</v>
      </c>
      <c r="V45" s="320" t="e">
        <f aca="false">IF($A45="N/A"," ",$U45*(8*($BQ45))*L45)</f>
        <v>#N/A</v>
      </c>
      <c r="W45" s="320" t="e">
        <f aca="false">IF($A45="N/A"," ",$U45*(8*($BQ45))*M45)</f>
        <v>#N/A</v>
      </c>
      <c r="X45" s="320" t="e">
        <f aca="false">IF($A45="N/A"," ",$U45*(8*($BQ45))*N45)</f>
        <v>#N/A</v>
      </c>
      <c r="Y45" s="320" t="e">
        <f aca="false">IF($A45="N/A"," ",$U45*(8*($BR45))*O45)</f>
        <v>#N/A</v>
      </c>
      <c r="Z45" s="320" t="e">
        <f aca="false">IF($A45="N/A"," ",$U45*(8*($BR45))*P45)</f>
        <v>#N/A</v>
      </c>
      <c r="AA45" s="320" t="e">
        <f aca="false">IF($A45="N/A"," ",$U45*(8*($BR45))*Q45)</f>
        <v>#N/A</v>
      </c>
      <c r="AB45" s="320" t="e">
        <f aca="false">IF($A45="N/A"," ",$U45*(8*($BS45))*R45)</f>
        <v>#N/A</v>
      </c>
      <c r="AC45" s="320" t="e">
        <f aca="false">IF($A45="N/A"," ",$U45*(8*($BS45))*S45)</f>
        <v>#N/A</v>
      </c>
      <c r="AD45" s="320" t="e">
        <f aca="false">IF($A45="N/A"," ",$U45*(8*($BS45))*T45)</f>
        <v>#N/A</v>
      </c>
      <c r="AE45" s="320" t="e">
        <f aca="false">IF($A45="N/A"," ",SUM(V45:AD45))</f>
        <v>#N/A</v>
      </c>
      <c r="AF45" s="321" t="n">
        <f aca="false">IF(A45="N/A"," ",(VLOOKUP(A45,PowerVolTable,(IF(VolBMO2=2,7,IF(VolBMO2=1,6,8))),FALSE())))</f>
        <v>0.16</v>
      </c>
      <c r="AG45" s="321" t="n">
        <f aca="false">IF(A45="N/A"," ",(VLOOKUP(A45,IntraPowerVol,(IF(VolBMO2=2,3,IF(VolBMO2=1,2,4))),FALSE())*VLOOKUP(MONTH($A45),Volscale,2)))</f>
        <v>0.36</v>
      </c>
      <c r="AH45" s="321" t="n">
        <f aca="false">IF($A45="N/A"," ",IF(VolType2=1,AG45,AF45))</f>
        <v>0.16</v>
      </c>
      <c r="AI45" s="321" t="n">
        <f aca="false">IF($A45="N/A"," ",(VLOOKUP($A45,OffPwrVolTable,(IF(VolBMO2=2,7,IF(VolBMO2=1,6,8))),FALSE())))</f>
        <v>0.08</v>
      </c>
      <c r="AJ45" s="321" t="n">
        <f aca="false">IF($A45="N/A"," ",(VLOOKUP($A45,OffPwrVolTable,(IF(VolBMO2=2,3,IF(VolBMO2=1,2,4))),FALSE())*VLOOKUP(MONTH($A45),Volscale,2)))</f>
        <v>0.216</v>
      </c>
      <c r="AK45" s="321" t="n">
        <f aca="false">IF($A45="N/A"," ",IF(VolType2=1,AJ45,AI45))</f>
        <v>0.08</v>
      </c>
      <c r="AL45" s="321" t="e">
        <f aca="false">IF($A45="N/A"," ",IF(PV=1,0,'Pricing Inputs2'!R78))</f>
        <v>#N/A</v>
      </c>
      <c r="AM45" s="323" t="e">
        <f aca="false">IF($A45="N/A"," ",(1+AL45/2)^(-2*((EOMONTH(A45,0)+20)-DateToday)/365.25))</f>
        <v>#N/A</v>
      </c>
      <c r="BQ45" s="0" t="n">
        <f aca="false">IF($A45="N/A"," ",(VLOOKUP($A45,NumberofDaysTable,2)))</f>
        <v>22</v>
      </c>
      <c r="BR45" s="0" t="n">
        <f aca="false">IF($A45="N/A"," ",(VLOOKUP($A45,NumberofDaysTable,3)))</f>
        <v>4</v>
      </c>
      <c r="BS45" s="0" t="n">
        <f aca="false">IF($A45="N/A"," ",(VLOOKUP($A45,NumberofDaysTable,4)))</f>
        <v>4</v>
      </c>
    </row>
    <row r="46" customFormat="false" ht="12.75" hidden="false" customHeight="false" outlineLevel="0" collapsed="false">
      <c r="A46" s="315" t="n">
        <f aca="false">IF(A45="N/A","N/A",IF(EDATE(A45,1)&gt;Inputs!$P$5,"N/A",EDATE(A45,1)))</f>
        <v>38534</v>
      </c>
      <c r="B46" s="316" t="n">
        <f aca="false">IF(A46="N/A"," ",YEAR(A46))</f>
        <v>2005</v>
      </c>
      <c r="C46" s="317" t="n">
        <f aca="false">IF($A46="N/A"," ",IF(Dayrun2=10,0,IF(Scaler2=1,(VLOOKUP(A46,ScaledPrice2,4)),(VLOOKUP(A46,ScaledPrice2,2)))))</f>
        <v>50.5</v>
      </c>
      <c r="D46" s="317" t="n">
        <f aca="false">IF(A46="N/A"," ",IF(Dayrun2&gt;=7,0,IF(Scaler2=2,VLOOKUP(A46,ScaledPrice2,2),(VLOOKUP(A46,ScaledPrice2,2))*(2-(VLOOKUP(A46,ScaledPrice2,3))))))</f>
        <v>50.5</v>
      </c>
      <c r="E46" s="317" t="n">
        <f aca="false">IF($A46="N/A"," ",IF(AND(Dayrun2&gt;=4,Dayrun2&lt;=9),0,VLOOKUP($A46,ScaledPrice2,9)))</f>
        <v>0</v>
      </c>
      <c r="F46" s="317" t="n">
        <f aca="false">IF(A46="N/A"," ",IF(OR(Dayrun2=2,Dayrun2=3,Dayrun2=5,Dayrun2=6,Dayrun2=8,Dayrun2=9),VLOOKUP(A46,ScaledPrice2,IF(Scaler2=1,6,5)),0))</f>
        <v>0</v>
      </c>
      <c r="G46" s="317" t="n">
        <f aca="false">IF(A46="N/A"," ",IF(OR(Dayrun2=2,Dayrun2=3,Dayrun2=5,Dayrun2=6),IF(Scaler2=2,F46,(VLOOKUP(A46,ScaledPrice2,5))*(2-(VLOOKUP(A46,ScaledPrice2,3)))),0))</f>
        <v>0</v>
      </c>
      <c r="H46" s="317" t="n">
        <f aca="false">IF($A46="N/A"," ",IF(OR(Dayrun2=2,Dayrun2=3,Dayrun2=10),VLOOKUP($A46,ScaledPrice2,9),0))</f>
        <v>0</v>
      </c>
      <c r="I46" s="317" t="n">
        <f aca="false">IF(A46="N/A"," ",IF(OR(Dayrun2=3,Dayrun2=6,Dayrun2=9),(VLOOKUP(A46,ScaledPrice2,IF(Scaler2=2,7,8))),0))</f>
        <v>0</v>
      </c>
      <c r="J46" s="317" t="n">
        <f aca="false">IF(A46="N/A"," ",IF(OR(Dayrun2=3,Dayrun2=6),IF(Scaler2=2,I46,(VLOOKUP(A46,ScaledPrice2,7))*(2-(VLOOKUP(A46,ScaledPrice2,3)))),0))</f>
        <v>0</v>
      </c>
      <c r="K46" s="317" t="n">
        <f aca="false">IF($A46="N/A"," ",IF(OR(Dayrun2=3,Dayrun2=10),VLOOKUP($A46,ScaledPrice2,9),0))</f>
        <v>0</v>
      </c>
      <c r="L46" s="318" t="e">
        <f aca="false">IF($A46="N/A"," ",IF(Pricetype2=2,MAX(C46,0),IF(OR(Pricetype2=1,Pricetype2=4),IF(C46=0,0,(EURO(C46,Strikeprice2,0,0,($AH46+IF(Smile=TRUE(),VLOOKUP(MAX(-5,Strikeprice2-C46),Volsmile,2),0)),($A46-DateToday)+15,IF(Pricetype2=1,1,0),0))),C46)))</f>
        <v>#NAME?</v>
      </c>
      <c r="M46" s="318" t="e">
        <f aca="false">IF($A46="N/A"," ",IF(Pricetype2=2,MAX(D46,0),IF(OR(Pricetype2=1,Pricetype2=4),IF(D46=0,0,(EURO(D46,Strikeprice2,0,0,($AH46+IF(Smile=TRUE(),VLOOKUP(MAX(-5,Strikeprice2-D46),Volsmile,2),0)),($A46-DateToday)+15,IF(Pricetype2=1,1,0),0))),D46)))</f>
        <v>#NAME?</v>
      </c>
      <c r="N46" s="318" t="n">
        <f aca="false">IF($A46="N/A"," ",IF(Pricetype2=2,MAX(E46,0),IF(OR(Pricetype2=1,Pricetype2=4),IF(E46=0,0,(EURO(E46,Strikeprice2,0,0,($AK46+IF(Smile=TRUE(),VLOOKUP(MAX(-5,Strikeprice2-E46),Volsmile,2),0)),($A46-DateToday)+15,IF(Pricetype2=1,1,0),0))),E46)))</f>
        <v>0</v>
      </c>
      <c r="O46" s="318" t="n">
        <f aca="false">IF($A46="N/A"," ",IF(Pricetype2=2,MAX(F46,0),IF(OR(Pricetype2=1,Pricetype2=4),IF(F46=0,0,(EURO(F46,Strikeprice2,0,0,($AK46+IF(Smile=TRUE(),VLOOKUP(MAX(-5,Strikeprice2-F46),Volsmile,2),0)),($A46-DateToday)+15,IF(Pricetype2=1,1,0),0))),F46)))</f>
        <v>0</v>
      </c>
      <c r="P46" s="318" t="n">
        <f aca="false">IF($A46="N/A"," ",IF(Pricetype2=2,MAX(G46,0),IF(OR(Pricetype2=1,Pricetype2=4),IF(G46=0,0,(EURO(G46,Strikeprice2,0,0,($AK46+IF(Smile=TRUE(),VLOOKUP(MAX(-5,Strikeprice2-G46),Volsmile,2),0)),($A46-DateToday)+15,IF(Pricetype2=1,1,0),0))),G46)))</f>
        <v>0</v>
      </c>
      <c r="Q46" s="318" t="n">
        <f aca="false">IF($A46="N/A"," ",IF(Pricetype2=2,MAX(H46,0),IF(OR(Pricetype2=1,Pricetype2=4),IF(H46=0,0,(EURO(H46,Strikeprice2,0,0,($AK46+IF(Smile=TRUE(),VLOOKUP(MAX(-5,Strikeprice2-H46),Volsmile,2),0)),($A46-DateToday)+15,IF(Pricetype2=1,1,0),0))),H46)))</f>
        <v>0</v>
      </c>
      <c r="R46" s="318" t="n">
        <f aca="false">IF($A46="N/A"," ",IF(Pricetype2=2,MAX(I46,0),IF(OR(Pricetype2=1,Pricetype2=4),IF(I46=0,0,(EURO(I46,Strikeprice2,0,0,($AK46+IF(Smile=TRUE(),VLOOKUP(MAX(-5,Strikeprice2-I46),Volsmile,2),0)),($A46-DateToday)+15,IF(Pricetype2=1,1,0),0))),I46)))</f>
        <v>0</v>
      </c>
      <c r="S46" s="318" t="n">
        <f aca="false">IF($A46="N/A"," ",IF(Pricetype2=2,MAX(J46,0),IF(OR(Pricetype2=1,Pricetype2=4),IF(J46=0,0,(EURO(J46,Strikeprice2,0,0,($AK46+IF(Smile=TRUE(),VLOOKUP(MAX(-5,Strikeprice2-J46),Volsmile,2),0)),($A46-DateToday)+15,IF(Pricetype2=1,1,0),0))),J46)))</f>
        <v>0</v>
      </c>
      <c r="T46" s="318" t="n">
        <f aca="false">IF($A46="N/A"," ",IF(Pricetype2=2,MAX(K46,0),IF(OR(Pricetype2=1,Pricetype2=4),IF(K46=0,0,(EURO(K46,Strikeprice2,0,0,($AK46+IF(Smile=TRUE(),VLOOKUP(MAX(-5,Strikeprice2-K46),Volsmile,2),0)),($A46-DateToday)+15,IF(Pricetype2=1,1,0),0))),K46)))</f>
        <v>0</v>
      </c>
      <c r="U46" s="319" t="e">
        <f aca="false">IF($A46="N/A"," ",Volume2*$AM46)</f>
        <v>#N/A</v>
      </c>
      <c r="V46" s="320" t="e">
        <f aca="false">IF($A46="N/A"," ",$U46*(8*($BQ46))*L46)</f>
        <v>#N/A</v>
      </c>
      <c r="W46" s="320" t="e">
        <f aca="false">IF($A46="N/A"," ",$U46*(8*($BQ46))*M46)</f>
        <v>#N/A</v>
      </c>
      <c r="X46" s="320" t="e">
        <f aca="false">IF($A46="N/A"," ",$U46*(8*($BQ46))*N46)</f>
        <v>#N/A</v>
      </c>
      <c r="Y46" s="320" t="e">
        <f aca="false">IF($A46="N/A"," ",$U46*(8*($BR46))*O46)</f>
        <v>#N/A</v>
      </c>
      <c r="Z46" s="320" t="e">
        <f aca="false">IF($A46="N/A"," ",$U46*(8*($BR46))*P46)</f>
        <v>#N/A</v>
      </c>
      <c r="AA46" s="320" t="e">
        <f aca="false">IF($A46="N/A"," ",$U46*(8*($BR46))*Q46)</f>
        <v>#N/A</v>
      </c>
      <c r="AB46" s="320" t="e">
        <f aca="false">IF($A46="N/A"," ",$U46*(8*($BS46))*R46)</f>
        <v>#N/A</v>
      </c>
      <c r="AC46" s="320" t="e">
        <f aca="false">IF($A46="N/A"," ",$U46*(8*($BS46))*S46)</f>
        <v>#N/A</v>
      </c>
      <c r="AD46" s="320" t="e">
        <f aca="false">IF($A46="N/A"," ",$U46*(8*($BS46))*T46)</f>
        <v>#N/A</v>
      </c>
      <c r="AE46" s="320" t="e">
        <f aca="false">IF($A46="N/A"," ",SUM(V46:AD46))</f>
        <v>#N/A</v>
      </c>
      <c r="AF46" s="321" t="n">
        <f aca="false">IF(A46="N/A"," ",(VLOOKUP(A46,PowerVolTable,(IF(VolBMO2=2,7,IF(VolBMO2=1,6,8))),FALSE())))</f>
        <v>0.24</v>
      </c>
      <c r="AG46" s="321" t="n">
        <f aca="false">IF(A46="N/A"," ",(VLOOKUP(A46,IntraPowerVol,(IF(VolBMO2=2,3,IF(VolBMO2=1,2,4))),FALSE())*VLOOKUP(MONTH($A46),Volscale,2)))</f>
        <v>0.48</v>
      </c>
      <c r="AH46" s="321" t="n">
        <f aca="false">IF($A46="N/A"," ",IF(VolType2=1,AG46,AF46))</f>
        <v>0.24</v>
      </c>
      <c r="AI46" s="321" t="n">
        <f aca="false">IF($A46="N/A"," ",(VLOOKUP($A46,OffPwrVolTable,(IF(VolBMO2=2,7,IF(VolBMO2=1,6,8))),FALSE())))</f>
        <v>0.12</v>
      </c>
      <c r="AJ46" s="321" t="n">
        <f aca="false">IF($A46="N/A"," ",(VLOOKUP($A46,OffPwrVolTable,(IF(VolBMO2=2,3,IF(VolBMO2=1,2,4))),FALSE())*VLOOKUP(MONTH($A46),Volscale,2)))</f>
        <v>0.288</v>
      </c>
      <c r="AK46" s="321" t="n">
        <f aca="false">IF($A46="N/A"," ",IF(VolType2=1,AJ46,AI46))</f>
        <v>0.12</v>
      </c>
      <c r="AL46" s="321" t="e">
        <f aca="false">IF($A46="N/A"," ",IF(PV=1,0,'Pricing Inputs2'!R79))</f>
        <v>#N/A</v>
      </c>
      <c r="AM46" s="323" t="e">
        <f aca="false">IF($A46="N/A"," ",(1+AL46/2)^(-2*((EOMONTH(A46,0)+20)-DateToday)/365.25))</f>
        <v>#N/A</v>
      </c>
      <c r="BQ46" s="0" t="n">
        <f aca="false">IF($A46="N/A"," ",(VLOOKUP($A46,NumberofDaysTable,2)))</f>
        <v>20</v>
      </c>
      <c r="BR46" s="0" t="n">
        <f aca="false">IF($A46="N/A"," ",(VLOOKUP($A46,NumberofDaysTable,3)))</f>
        <v>5</v>
      </c>
      <c r="BS46" s="0" t="n">
        <f aca="false">IF($A46="N/A"," ",(VLOOKUP($A46,NumberofDaysTable,4)))</f>
        <v>6</v>
      </c>
    </row>
    <row r="47" customFormat="false" ht="12.75" hidden="false" customHeight="false" outlineLevel="0" collapsed="false">
      <c r="A47" s="315" t="n">
        <f aca="false">IF(A46="N/A","N/A",IF(EDATE(A46,1)&gt;Inputs!$P$5,"N/A",EDATE(A46,1)))</f>
        <v>38565</v>
      </c>
      <c r="B47" s="316" t="n">
        <f aca="false">IF(A47="N/A"," ",YEAR(A47))</f>
        <v>2005</v>
      </c>
      <c r="C47" s="317" t="n">
        <f aca="false">IF($A47="N/A"," ",IF(Dayrun2=10,0,IF(Scaler2=1,(VLOOKUP(A47,ScaledPrice2,4)),(VLOOKUP(A47,ScaledPrice2,2)))))</f>
        <v>50.5</v>
      </c>
      <c r="D47" s="317" t="n">
        <f aca="false">IF(A47="N/A"," ",IF(Dayrun2&gt;=7,0,IF(Scaler2=2,VLOOKUP(A47,ScaledPrice2,2),(VLOOKUP(A47,ScaledPrice2,2))*(2-(VLOOKUP(A47,ScaledPrice2,3))))))</f>
        <v>50.5</v>
      </c>
      <c r="E47" s="317" t="n">
        <f aca="false">IF($A47="N/A"," ",IF(AND(Dayrun2&gt;=4,Dayrun2&lt;=9),0,VLOOKUP($A47,ScaledPrice2,9)))</f>
        <v>0</v>
      </c>
      <c r="F47" s="317" t="n">
        <f aca="false">IF(A47="N/A"," ",IF(OR(Dayrun2=2,Dayrun2=3,Dayrun2=5,Dayrun2=6,Dayrun2=8,Dayrun2=9),VLOOKUP(A47,ScaledPrice2,IF(Scaler2=1,6,5)),0))</f>
        <v>0</v>
      </c>
      <c r="G47" s="317" t="n">
        <f aca="false">IF(A47="N/A"," ",IF(OR(Dayrun2=2,Dayrun2=3,Dayrun2=5,Dayrun2=6),IF(Scaler2=2,F47,(VLOOKUP(A47,ScaledPrice2,5))*(2-(VLOOKUP(A47,ScaledPrice2,3)))),0))</f>
        <v>0</v>
      </c>
      <c r="H47" s="317" t="n">
        <f aca="false">IF($A47="N/A"," ",IF(OR(Dayrun2=2,Dayrun2=3,Dayrun2=10),VLOOKUP($A47,ScaledPrice2,9),0))</f>
        <v>0</v>
      </c>
      <c r="I47" s="317" t="n">
        <f aca="false">IF(A47="N/A"," ",IF(OR(Dayrun2=3,Dayrun2=6,Dayrun2=9),(VLOOKUP(A47,ScaledPrice2,IF(Scaler2=2,7,8))),0))</f>
        <v>0</v>
      </c>
      <c r="J47" s="317" t="n">
        <f aca="false">IF(A47="N/A"," ",IF(OR(Dayrun2=3,Dayrun2=6),IF(Scaler2=2,I47,(VLOOKUP(A47,ScaledPrice2,7))*(2-(VLOOKUP(A47,ScaledPrice2,3)))),0))</f>
        <v>0</v>
      </c>
      <c r="K47" s="317" t="n">
        <f aca="false">IF($A47="N/A"," ",IF(OR(Dayrun2=3,Dayrun2=10),VLOOKUP($A47,ScaledPrice2,9),0))</f>
        <v>0</v>
      </c>
      <c r="L47" s="318" t="e">
        <f aca="false">IF($A47="N/A"," ",IF(Pricetype2=2,MAX(C47,0),IF(OR(Pricetype2=1,Pricetype2=4),IF(C47=0,0,(EURO(C47,Strikeprice2,0,0,($AH47+IF(Smile=TRUE(),VLOOKUP(MAX(-5,Strikeprice2-C47),Volsmile,2),0)),($A47-DateToday)+15,IF(Pricetype2=1,1,0),0))),C47)))</f>
        <v>#NAME?</v>
      </c>
      <c r="M47" s="318" t="e">
        <f aca="false">IF($A47="N/A"," ",IF(Pricetype2=2,MAX(D47,0),IF(OR(Pricetype2=1,Pricetype2=4),IF(D47=0,0,(EURO(D47,Strikeprice2,0,0,($AH47+IF(Smile=TRUE(),VLOOKUP(MAX(-5,Strikeprice2-D47),Volsmile,2),0)),($A47-DateToday)+15,IF(Pricetype2=1,1,0),0))),D47)))</f>
        <v>#NAME?</v>
      </c>
      <c r="N47" s="318" t="n">
        <f aca="false">IF($A47="N/A"," ",IF(Pricetype2=2,MAX(E47,0),IF(OR(Pricetype2=1,Pricetype2=4),IF(E47=0,0,(EURO(E47,Strikeprice2,0,0,($AK47+IF(Smile=TRUE(),VLOOKUP(MAX(-5,Strikeprice2-E47),Volsmile,2),0)),($A47-DateToday)+15,IF(Pricetype2=1,1,0),0))),E47)))</f>
        <v>0</v>
      </c>
      <c r="O47" s="318" t="n">
        <f aca="false">IF($A47="N/A"," ",IF(Pricetype2=2,MAX(F47,0),IF(OR(Pricetype2=1,Pricetype2=4),IF(F47=0,0,(EURO(F47,Strikeprice2,0,0,($AK47+IF(Smile=TRUE(),VLOOKUP(MAX(-5,Strikeprice2-F47),Volsmile,2),0)),($A47-DateToday)+15,IF(Pricetype2=1,1,0),0))),F47)))</f>
        <v>0</v>
      </c>
      <c r="P47" s="318" t="n">
        <f aca="false">IF($A47="N/A"," ",IF(Pricetype2=2,MAX(G47,0),IF(OR(Pricetype2=1,Pricetype2=4),IF(G47=0,0,(EURO(G47,Strikeprice2,0,0,($AK47+IF(Smile=TRUE(),VLOOKUP(MAX(-5,Strikeprice2-G47),Volsmile,2),0)),($A47-DateToday)+15,IF(Pricetype2=1,1,0),0))),G47)))</f>
        <v>0</v>
      </c>
      <c r="Q47" s="318" t="n">
        <f aca="false">IF($A47="N/A"," ",IF(Pricetype2=2,MAX(H47,0),IF(OR(Pricetype2=1,Pricetype2=4),IF(H47=0,0,(EURO(H47,Strikeprice2,0,0,($AK47+IF(Smile=TRUE(),VLOOKUP(MAX(-5,Strikeprice2-H47),Volsmile,2),0)),($A47-DateToday)+15,IF(Pricetype2=1,1,0),0))),H47)))</f>
        <v>0</v>
      </c>
      <c r="R47" s="318" t="n">
        <f aca="false">IF($A47="N/A"," ",IF(Pricetype2=2,MAX(I47,0),IF(OR(Pricetype2=1,Pricetype2=4),IF(I47=0,0,(EURO(I47,Strikeprice2,0,0,($AK47+IF(Smile=TRUE(),VLOOKUP(MAX(-5,Strikeprice2-I47),Volsmile,2),0)),($A47-DateToday)+15,IF(Pricetype2=1,1,0),0))),I47)))</f>
        <v>0</v>
      </c>
      <c r="S47" s="318" t="n">
        <f aca="false">IF($A47="N/A"," ",IF(Pricetype2=2,MAX(J47,0),IF(OR(Pricetype2=1,Pricetype2=4),IF(J47=0,0,(EURO(J47,Strikeprice2,0,0,($AK47+IF(Smile=TRUE(),VLOOKUP(MAX(-5,Strikeprice2-J47),Volsmile,2),0)),($A47-DateToday)+15,IF(Pricetype2=1,1,0),0))),J47)))</f>
        <v>0</v>
      </c>
      <c r="T47" s="318" t="n">
        <f aca="false">IF($A47="N/A"," ",IF(Pricetype2=2,MAX(K47,0),IF(OR(Pricetype2=1,Pricetype2=4),IF(K47=0,0,(EURO(K47,Strikeprice2,0,0,($AK47+IF(Smile=TRUE(),VLOOKUP(MAX(-5,Strikeprice2-K47),Volsmile,2),0)),($A47-DateToday)+15,IF(Pricetype2=1,1,0),0))),K47)))</f>
        <v>0</v>
      </c>
      <c r="U47" s="319" t="e">
        <f aca="false">IF($A47="N/A"," ",Volume2*$AM47)</f>
        <v>#N/A</v>
      </c>
      <c r="V47" s="320" t="e">
        <f aca="false">IF($A47="N/A"," ",$U47*(8*($BQ47))*L47)</f>
        <v>#N/A</v>
      </c>
      <c r="W47" s="320" t="e">
        <f aca="false">IF($A47="N/A"," ",$U47*(8*($BQ47))*M47)</f>
        <v>#N/A</v>
      </c>
      <c r="X47" s="320" t="e">
        <f aca="false">IF($A47="N/A"," ",$U47*(8*($BQ47))*N47)</f>
        <v>#N/A</v>
      </c>
      <c r="Y47" s="320" t="e">
        <f aca="false">IF($A47="N/A"," ",$U47*(8*($BR47))*O47)</f>
        <v>#N/A</v>
      </c>
      <c r="Z47" s="320" t="e">
        <f aca="false">IF($A47="N/A"," ",$U47*(8*($BR47))*P47)</f>
        <v>#N/A</v>
      </c>
      <c r="AA47" s="320" t="e">
        <f aca="false">IF($A47="N/A"," ",$U47*(8*($BR47))*Q47)</f>
        <v>#N/A</v>
      </c>
      <c r="AB47" s="320" t="e">
        <f aca="false">IF($A47="N/A"," ",$U47*(8*($BS47))*R47)</f>
        <v>#N/A</v>
      </c>
      <c r="AC47" s="320" t="e">
        <f aca="false">IF($A47="N/A"," ",$U47*(8*($BS47))*S47)</f>
        <v>#N/A</v>
      </c>
      <c r="AD47" s="320" t="e">
        <f aca="false">IF($A47="N/A"," ",$U47*(8*($BS47))*T47)</f>
        <v>#N/A</v>
      </c>
      <c r="AE47" s="320" t="e">
        <f aca="false">IF($A47="N/A"," ",SUM(V47:AD47))</f>
        <v>#N/A</v>
      </c>
      <c r="AF47" s="321" t="n">
        <f aca="false">IF(A47="N/A"," ",(VLOOKUP(A47,PowerVolTable,(IF(VolBMO2=2,7,IF(VolBMO2=1,6,8))),FALSE())))</f>
        <v>0.24</v>
      </c>
      <c r="AG47" s="321" t="n">
        <f aca="false">IF(A47="N/A"," ",(VLOOKUP(A47,IntraPowerVol,(IF(VolBMO2=2,3,IF(VolBMO2=1,2,4))),FALSE())*VLOOKUP(MONTH($A47),Volscale,2)))</f>
        <v>0.48</v>
      </c>
      <c r="AH47" s="321" t="n">
        <f aca="false">IF($A47="N/A"," ",IF(VolType2=1,AG47,AF47))</f>
        <v>0.24</v>
      </c>
      <c r="AI47" s="321" t="n">
        <f aca="false">IF($A47="N/A"," ",(VLOOKUP($A47,OffPwrVolTable,(IF(VolBMO2=2,7,IF(VolBMO2=1,6,8))),FALSE())))</f>
        <v>0.12</v>
      </c>
      <c r="AJ47" s="321" t="n">
        <f aca="false">IF($A47="N/A"," ",(VLOOKUP($A47,OffPwrVolTable,(IF(VolBMO2=2,3,IF(VolBMO2=1,2,4))),FALSE())*VLOOKUP(MONTH($A47),Volscale,2)))</f>
        <v>0.288</v>
      </c>
      <c r="AK47" s="321" t="n">
        <f aca="false">IF($A47="N/A"," ",IF(VolType2=1,AJ47,AI47))</f>
        <v>0.12</v>
      </c>
      <c r="AL47" s="321" t="e">
        <f aca="false">IF($A47="N/A"," ",IF(PV=1,0,'Pricing Inputs2'!R80))</f>
        <v>#N/A</v>
      </c>
      <c r="AM47" s="323" t="e">
        <f aca="false">IF($A47="N/A"," ",(1+AL47/2)^(-2*((EOMONTH(A47,0)+20)-DateToday)/365.25))</f>
        <v>#N/A</v>
      </c>
      <c r="BQ47" s="0" t="n">
        <f aca="false">IF($A47="N/A"," ",(VLOOKUP($A47,NumberofDaysTable,2)))</f>
        <v>23</v>
      </c>
      <c r="BR47" s="0" t="n">
        <f aca="false">IF($A47="N/A"," ",(VLOOKUP($A47,NumberofDaysTable,3)))</f>
        <v>4</v>
      </c>
      <c r="BS47" s="0" t="n">
        <f aca="false">IF($A47="N/A"," ",(VLOOKUP($A47,NumberofDaysTable,4)))</f>
        <v>4</v>
      </c>
    </row>
    <row r="48" customFormat="false" ht="12.75" hidden="false" customHeight="false" outlineLevel="0" collapsed="false">
      <c r="A48" s="315" t="n">
        <f aca="false">IF(A47="N/A","N/A",IF(EDATE(A47,1)&gt;Inputs!$P$5,"N/A",EDATE(A47,1)))</f>
        <v>38596</v>
      </c>
      <c r="B48" s="316" t="n">
        <f aca="false">IF(A48="N/A"," ",YEAR(A48))</f>
        <v>2005</v>
      </c>
      <c r="C48" s="317" t="n">
        <f aca="false">IF($A48="N/A"," ",IF(Dayrun2=10,0,IF(Scaler2=1,(VLOOKUP(A48,ScaledPrice2,4)),(VLOOKUP(A48,ScaledPrice2,2)))))</f>
        <v>31.1399993896484</v>
      </c>
      <c r="D48" s="317" t="n">
        <f aca="false">IF(A48="N/A"," ",IF(Dayrun2&gt;=7,0,IF(Scaler2=2,VLOOKUP(A48,ScaledPrice2,2),(VLOOKUP(A48,ScaledPrice2,2))*(2-(VLOOKUP(A48,ScaledPrice2,3))))))</f>
        <v>31.1399993896484</v>
      </c>
      <c r="E48" s="317" t="n">
        <f aca="false">IF($A48="N/A"," ",IF(AND(Dayrun2&gt;=4,Dayrun2&lt;=9),0,VLOOKUP($A48,ScaledPrice2,9)))</f>
        <v>0</v>
      </c>
      <c r="F48" s="317" t="n">
        <f aca="false">IF(A48="N/A"," ",IF(OR(Dayrun2=2,Dayrun2=3,Dayrun2=5,Dayrun2=6,Dayrun2=8,Dayrun2=9),VLOOKUP(A48,ScaledPrice2,IF(Scaler2=1,6,5)),0))</f>
        <v>0</v>
      </c>
      <c r="G48" s="317" t="n">
        <f aca="false">IF(A48="N/A"," ",IF(OR(Dayrun2=2,Dayrun2=3,Dayrun2=5,Dayrun2=6),IF(Scaler2=2,F48,(VLOOKUP(A48,ScaledPrice2,5))*(2-(VLOOKUP(A48,ScaledPrice2,3)))),0))</f>
        <v>0</v>
      </c>
      <c r="H48" s="317" t="n">
        <f aca="false">IF($A48="N/A"," ",IF(OR(Dayrun2=2,Dayrun2=3,Dayrun2=10),VLOOKUP($A48,ScaledPrice2,9),0))</f>
        <v>0</v>
      </c>
      <c r="I48" s="317" t="n">
        <f aca="false">IF(A48="N/A"," ",IF(OR(Dayrun2=3,Dayrun2=6,Dayrun2=9),(VLOOKUP(A48,ScaledPrice2,IF(Scaler2=2,7,8))),0))</f>
        <v>0</v>
      </c>
      <c r="J48" s="317" t="n">
        <f aca="false">IF(A48="N/A"," ",IF(OR(Dayrun2=3,Dayrun2=6),IF(Scaler2=2,I48,(VLOOKUP(A48,ScaledPrice2,7))*(2-(VLOOKUP(A48,ScaledPrice2,3)))),0))</f>
        <v>0</v>
      </c>
      <c r="K48" s="317" t="n">
        <f aca="false">IF($A48="N/A"," ",IF(OR(Dayrun2=3,Dayrun2=10),VLOOKUP($A48,ScaledPrice2,9),0))</f>
        <v>0</v>
      </c>
      <c r="L48" s="318" t="e">
        <f aca="false">IF($A48="N/A"," ",IF(Pricetype2=2,MAX(C48,0),IF(OR(Pricetype2=1,Pricetype2=4),IF(C48=0,0,(EURO(C48,Strikeprice2,0,0,($AH48+IF(Smile=TRUE(),VLOOKUP(MAX(-5,Strikeprice2-C48),Volsmile,2),0)),($A48-DateToday)+15,IF(Pricetype2=1,1,0),0))),C48)))</f>
        <v>#NAME?</v>
      </c>
      <c r="M48" s="318" t="e">
        <f aca="false">IF($A48="N/A"," ",IF(Pricetype2=2,MAX(D48,0),IF(OR(Pricetype2=1,Pricetype2=4),IF(D48=0,0,(EURO(D48,Strikeprice2,0,0,($AH48+IF(Smile=TRUE(),VLOOKUP(MAX(-5,Strikeprice2-D48),Volsmile,2),0)),($A48-DateToday)+15,IF(Pricetype2=1,1,0),0))),D48)))</f>
        <v>#NAME?</v>
      </c>
      <c r="N48" s="318" t="n">
        <f aca="false">IF($A48="N/A"," ",IF(Pricetype2=2,MAX(E48,0),IF(OR(Pricetype2=1,Pricetype2=4),IF(E48=0,0,(EURO(E48,Strikeprice2,0,0,($AK48+IF(Smile=TRUE(),VLOOKUP(MAX(-5,Strikeprice2-E48),Volsmile,2),0)),($A48-DateToday)+15,IF(Pricetype2=1,1,0),0))),E48)))</f>
        <v>0</v>
      </c>
      <c r="O48" s="318" t="n">
        <f aca="false">IF($A48="N/A"," ",IF(Pricetype2=2,MAX(F48,0),IF(OR(Pricetype2=1,Pricetype2=4),IF(F48=0,0,(EURO(F48,Strikeprice2,0,0,($AK48+IF(Smile=TRUE(),VLOOKUP(MAX(-5,Strikeprice2-F48),Volsmile,2),0)),($A48-DateToday)+15,IF(Pricetype2=1,1,0),0))),F48)))</f>
        <v>0</v>
      </c>
      <c r="P48" s="318" t="n">
        <f aca="false">IF($A48="N/A"," ",IF(Pricetype2=2,MAX(G48,0),IF(OR(Pricetype2=1,Pricetype2=4),IF(G48=0,0,(EURO(G48,Strikeprice2,0,0,($AK48+IF(Smile=TRUE(),VLOOKUP(MAX(-5,Strikeprice2-G48),Volsmile,2),0)),($A48-DateToday)+15,IF(Pricetype2=1,1,0),0))),G48)))</f>
        <v>0</v>
      </c>
      <c r="Q48" s="318" t="n">
        <f aca="false">IF($A48="N/A"," ",IF(Pricetype2=2,MAX(H48,0),IF(OR(Pricetype2=1,Pricetype2=4),IF(H48=0,0,(EURO(H48,Strikeprice2,0,0,($AK48+IF(Smile=TRUE(),VLOOKUP(MAX(-5,Strikeprice2-H48),Volsmile,2),0)),($A48-DateToday)+15,IF(Pricetype2=1,1,0),0))),H48)))</f>
        <v>0</v>
      </c>
      <c r="R48" s="318" t="n">
        <f aca="false">IF($A48="N/A"," ",IF(Pricetype2=2,MAX(I48,0),IF(OR(Pricetype2=1,Pricetype2=4),IF(I48=0,0,(EURO(I48,Strikeprice2,0,0,($AK48+IF(Smile=TRUE(),VLOOKUP(MAX(-5,Strikeprice2-I48),Volsmile,2),0)),($A48-DateToday)+15,IF(Pricetype2=1,1,0),0))),I48)))</f>
        <v>0</v>
      </c>
      <c r="S48" s="318" t="n">
        <f aca="false">IF($A48="N/A"," ",IF(Pricetype2=2,MAX(J48,0),IF(OR(Pricetype2=1,Pricetype2=4),IF(J48=0,0,(EURO(J48,Strikeprice2,0,0,($AK48+IF(Smile=TRUE(),VLOOKUP(MAX(-5,Strikeprice2-J48),Volsmile,2),0)),($A48-DateToday)+15,IF(Pricetype2=1,1,0),0))),J48)))</f>
        <v>0</v>
      </c>
      <c r="T48" s="318" t="n">
        <f aca="false">IF($A48="N/A"," ",IF(Pricetype2=2,MAX(K48,0),IF(OR(Pricetype2=1,Pricetype2=4),IF(K48=0,0,(EURO(K48,Strikeprice2,0,0,($AK48+IF(Smile=TRUE(),VLOOKUP(MAX(-5,Strikeprice2-K48),Volsmile,2),0)),($A48-DateToday)+15,IF(Pricetype2=1,1,0),0))),K48)))</f>
        <v>0</v>
      </c>
      <c r="U48" s="319" t="e">
        <f aca="false">IF($A48="N/A"," ",Volume2*$AM48)</f>
        <v>#N/A</v>
      </c>
      <c r="V48" s="320" t="e">
        <f aca="false">IF($A48="N/A"," ",$U48*(8*($BQ48))*L48)</f>
        <v>#N/A</v>
      </c>
      <c r="W48" s="320" t="e">
        <f aca="false">IF($A48="N/A"," ",$U48*(8*($BQ48))*M48)</f>
        <v>#N/A</v>
      </c>
      <c r="X48" s="320" t="e">
        <f aca="false">IF($A48="N/A"," ",$U48*(8*($BQ48))*N48)</f>
        <v>#N/A</v>
      </c>
      <c r="Y48" s="320" t="e">
        <f aca="false">IF($A48="N/A"," ",$U48*(8*($BR48))*O48)</f>
        <v>#N/A</v>
      </c>
      <c r="Z48" s="320" t="e">
        <f aca="false">IF($A48="N/A"," ",$U48*(8*($BR48))*P48)</f>
        <v>#N/A</v>
      </c>
      <c r="AA48" s="320" t="e">
        <f aca="false">IF($A48="N/A"," ",$U48*(8*($BR48))*Q48)</f>
        <v>#N/A</v>
      </c>
      <c r="AB48" s="320" t="e">
        <f aca="false">IF($A48="N/A"," ",$U48*(8*($BS48))*R48)</f>
        <v>#N/A</v>
      </c>
      <c r="AC48" s="320" t="e">
        <f aca="false">IF($A48="N/A"," ",$U48*(8*($BS48))*S48)</f>
        <v>#N/A</v>
      </c>
      <c r="AD48" s="320" t="e">
        <f aca="false">IF($A48="N/A"," ",$U48*(8*($BS48))*T48)</f>
        <v>#N/A</v>
      </c>
      <c r="AE48" s="320" t="e">
        <f aca="false">IF($A48="N/A"," ",SUM(V48:AD48))</f>
        <v>#N/A</v>
      </c>
      <c r="AF48" s="321" t="n">
        <f aca="false">IF(A48="N/A"," ",(VLOOKUP(A48,PowerVolTable,(IF(VolBMO2=2,7,IF(VolBMO2=1,6,8))),FALSE())))</f>
        <v>0.16</v>
      </c>
      <c r="AG48" s="321" t="n">
        <f aca="false">IF(A48="N/A"," ",(VLOOKUP(A48,IntraPowerVol,(IF(VolBMO2=2,3,IF(VolBMO2=1,2,4))),FALSE())*VLOOKUP(MONTH($A48),Volscale,2)))</f>
        <v>0.28</v>
      </c>
      <c r="AH48" s="321" t="n">
        <f aca="false">IF($A48="N/A"," ",IF(VolType2=1,AG48,AF48))</f>
        <v>0.16</v>
      </c>
      <c r="AI48" s="321" t="n">
        <f aca="false">IF($A48="N/A"," ",(VLOOKUP($A48,OffPwrVolTable,(IF(VolBMO2=2,7,IF(VolBMO2=1,6,8))),FALSE())))</f>
        <v>0.08</v>
      </c>
      <c r="AJ48" s="321" t="n">
        <f aca="false">IF($A48="N/A"," ",(VLOOKUP($A48,OffPwrVolTable,(IF(VolBMO2=2,3,IF(VolBMO2=1,2,4))),FALSE())*VLOOKUP(MONTH($A48),Volscale,2)))</f>
        <v>0.168</v>
      </c>
      <c r="AK48" s="321" t="n">
        <f aca="false">IF($A48="N/A"," ",IF(VolType2=1,AJ48,AI48))</f>
        <v>0.08</v>
      </c>
      <c r="AL48" s="321" t="e">
        <f aca="false">IF($A48="N/A"," ",IF(PV=1,0,'Pricing Inputs2'!R81))</f>
        <v>#N/A</v>
      </c>
      <c r="AM48" s="323" t="e">
        <f aca="false">IF($A48="N/A"," ",(1+AL48/2)^(-2*((EOMONTH(A48,0)+20)-DateToday)/365.25))</f>
        <v>#N/A</v>
      </c>
      <c r="BQ48" s="0" t="n">
        <f aca="false">IF($A48="N/A"," ",(VLOOKUP($A48,NumberofDaysTable,2)))</f>
        <v>21</v>
      </c>
      <c r="BR48" s="0" t="n">
        <f aca="false">IF($A48="N/A"," ",(VLOOKUP($A48,NumberofDaysTable,3)))</f>
        <v>4</v>
      </c>
      <c r="BS48" s="0" t="n">
        <f aca="false">IF($A48="N/A"," ",(VLOOKUP($A48,NumberofDaysTable,4)))</f>
        <v>5</v>
      </c>
    </row>
    <row r="49" customFormat="false" ht="12.75" hidden="false" customHeight="false" outlineLevel="0" collapsed="false">
      <c r="A49" s="315" t="n">
        <f aca="false">IF(A48="N/A","N/A",IF(EDATE(A48,1)&gt;Inputs!$P$5,"N/A",EDATE(A48,1)))</f>
        <v>38626</v>
      </c>
      <c r="B49" s="316" t="n">
        <f aca="false">IF(A49="N/A"," ",YEAR(A49))</f>
        <v>2005</v>
      </c>
      <c r="C49" s="317" t="n">
        <f aca="false">IF($A49="N/A"," ",IF(Dayrun2=10,0,IF(Scaler2=1,(VLOOKUP(A49,ScaledPrice2,4)),(VLOOKUP(A49,ScaledPrice2,2)))))</f>
        <v>32.0415614843369</v>
      </c>
      <c r="D49" s="317" t="n">
        <f aca="false">IF(A49="N/A"," ",IF(Dayrun2&gt;=7,0,IF(Scaler2=2,VLOOKUP(A49,ScaledPrice2,2),(VLOOKUP(A49,ScaledPrice2,2))*(2-(VLOOKUP(A49,ScaledPrice2,3))))))</f>
        <v>32.0415614843369</v>
      </c>
      <c r="E49" s="317" t="n">
        <f aca="false">IF($A49="N/A"," ",IF(AND(Dayrun2&gt;=4,Dayrun2&lt;=9),0,VLOOKUP($A49,ScaledPrice2,9)))</f>
        <v>0</v>
      </c>
      <c r="F49" s="317" t="n">
        <f aca="false">IF(A49="N/A"," ",IF(OR(Dayrun2=2,Dayrun2=3,Dayrun2=5,Dayrun2=6,Dayrun2=8,Dayrun2=9),VLOOKUP(A49,ScaledPrice2,IF(Scaler2=1,6,5)),0))</f>
        <v>0</v>
      </c>
      <c r="G49" s="317" t="n">
        <f aca="false">IF(A49="N/A"," ",IF(OR(Dayrun2=2,Dayrun2=3,Dayrun2=5,Dayrun2=6),IF(Scaler2=2,F49,(VLOOKUP(A49,ScaledPrice2,5))*(2-(VLOOKUP(A49,ScaledPrice2,3)))),0))</f>
        <v>0</v>
      </c>
      <c r="H49" s="317" t="n">
        <f aca="false">IF($A49="N/A"," ",IF(OR(Dayrun2=2,Dayrun2=3,Dayrun2=10),VLOOKUP($A49,ScaledPrice2,9),0))</f>
        <v>0</v>
      </c>
      <c r="I49" s="317" t="n">
        <f aca="false">IF(A49="N/A"," ",IF(OR(Dayrun2=3,Dayrun2=6,Dayrun2=9),(VLOOKUP(A49,ScaledPrice2,IF(Scaler2=2,7,8))),0))</f>
        <v>0</v>
      </c>
      <c r="J49" s="317" t="n">
        <f aca="false">IF(A49="N/A"," ",IF(OR(Dayrun2=3,Dayrun2=6),IF(Scaler2=2,I49,(VLOOKUP(A49,ScaledPrice2,7))*(2-(VLOOKUP(A49,ScaledPrice2,3)))),0))</f>
        <v>0</v>
      </c>
      <c r="K49" s="317" t="n">
        <f aca="false">IF($A49="N/A"," ",IF(OR(Dayrun2=3,Dayrun2=10),VLOOKUP($A49,ScaledPrice2,9),0))</f>
        <v>0</v>
      </c>
      <c r="L49" s="318" t="e">
        <f aca="false">IF($A49="N/A"," ",IF(Pricetype2=2,MAX(C49,0),IF(OR(Pricetype2=1,Pricetype2=4),IF(C49=0,0,(EURO(C49,Strikeprice2,0,0,($AH49+IF(Smile=TRUE(),VLOOKUP(MAX(-5,Strikeprice2-C49),Volsmile,2),0)),($A49-DateToday)+15,IF(Pricetype2=1,1,0),0))),C49)))</f>
        <v>#NAME?</v>
      </c>
      <c r="M49" s="318" t="e">
        <f aca="false">IF($A49="N/A"," ",IF(Pricetype2=2,MAX(D49,0),IF(OR(Pricetype2=1,Pricetype2=4),IF(D49=0,0,(EURO(D49,Strikeprice2,0,0,($AH49+IF(Smile=TRUE(),VLOOKUP(MAX(-5,Strikeprice2-D49),Volsmile,2),0)),($A49-DateToday)+15,IF(Pricetype2=1,1,0),0))),D49)))</f>
        <v>#NAME?</v>
      </c>
      <c r="N49" s="318" t="n">
        <f aca="false">IF($A49="N/A"," ",IF(Pricetype2=2,MAX(E49,0),IF(OR(Pricetype2=1,Pricetype2=4),IF(E49=0,0,(EURO(E49,Strikeprice2,0,0,($AK49+IF(Smile=TRUE(),VLOOKUP(MAX(-5,Strikeprice2-E49),Volsmile,2),0)),($A49-DateToday)+15,IF(Pricetype2=1,1,0),0))),E49)))</f>
        <v>0</v>
      </c>
      <c r="O49" s="318" t="n">
        <f aca="false">IF($A49="N/A"," ",IF(Pricetype2=2,MAX(F49,0),IF(OR(Pricetype2=1,Pricetype2=4),IF(F49=0,0,(EURO(F49,Strikeprice2,0,0,($AK49+IF(Smile=TRUE(),VLOOKUP(MAX(-5,Strikeprice2-F49),Volsmile,2),0)),($A49-DateToday)+15,IF(Pricetype2=1,1,0),0))),F49)))</f>
        <v>0</v>
      </c>
      <c r="P49" s="318" t="n">
        <f aca="false">IF($A49="N/A"," ",IF(Pricetype2=2,MAX(G49,0),IF(OR(Pricetype2=1,Pricetype2=4),IF(G49=0,0,(EURO(G49,Strikeprice2,0,0,($AK49+IF(Smile=TRUE(),VLOOKUP(MAX(-5,Strikeprice2-G49),Volsmile,2),0)),($A49-DateToday)+15,IF(Pricetype2=1,1,0),0))),G49)))</f>
        <v>0</v>
      </c>
      <c r="Q49" s="318" t="n">
        <f aca="false">IF($A49="N/A"," ",IF(Pricetype2=2,MAX(H49,0),IF(OR(Pricetype2=1,Pricetype2=4),IF(H49=0,0,(EURO(H49,Strikeprice2,0,0,($AK49+IF(Smile=TRUE(),VLOOKUP(MAX(-5,Strikeprice2-H49),Volsmile,2),0)),($A49-DateToday)+15,IF(Pricetype2=1,1,0),0))),H49)))</f>
        <v>0</v>
      </c>
      <c r="R49" s="318" t="n">
        <f aca="false">IF($A49="N/A"," ",IF(Pricetype2=2,MAX(I49,0),IF(OR(Pricetype2=1,Pricetype2=4),IF(I49=0,0,(EURO(I49,Strikeprice2,0,0,($AK49+IF(Smile=TRUE(),VLOOKUP(MAX(-5,Strikeprice2-I49),Volsmile,2),0)),($A49-DateToday)+15,IF(Pricetype2=1,1,0),0))),I49)))</f>
        <v>0</v>
      </c>
      <c r="S49" s="318" t="n">
        <f aca="false">IF($A49="N/A"," ",IF(Pricetype2=2,MAX(J49,0),IF(OR(Pricetype2=1,Pricetype2=4),IF(J49=0,0,(EURO(J49,Strikeprice2,0,0,($AK49+IF(Smile=TRUE(),VLOOKUP(MAX(-5,Strikeprice2-J49),Volsmile,2),0)),($A49-DateToday)+15,IF(Pricetype2=1,1,0),0))),J49)))</f>
        <v>0</v>
      </c>
      <c r="T49" s="318" t="n">
        <f aca="false">IF($A49="N/A"," ",IF(Pricetype2=2,MAX(K49,0),IF(OR(Pricetype2=1,Pricetype2=4),IF(K49=0,0,(EURO(K49,Strikeprice2,0,0,($AK49+IF(Smile=TRUE(),VLOOKUP(MAX(-5,Strikeprice2-K49),Volsmile,2),0)),($A49-DateToday)+15,IF(Pricetype2=1,1,0),0))),K49)))</f>
        <v>0</v>
      </c>
      <c r="U49" s="319" t="e">
        <f aca="false">IF($A49="N/A"," ",Volume2*$AM49)</f>
        <v>#N/A</v>
      </c>
      <c r="V49" s="320" t="e">
        <f aca="false">IF($A49="N/A"," ",$U49*(8*($BQ49))*L49)</f>
        <v>#N/A</v>
      </c>
      <c r="W49" s="320" t="e">
        <f aca="false">IF($A49="N/A"," ",$U49*(8*($BQ49))*M49)</f>
        <v>#N/A</v>
      </c>
      <c r="X49" s="320" t="e">
        <f aca="false">IF($A49="N/A"," ",$U49*(8*($BQ49))*N49)</f>
        <v>#N/A</v>
      </c>
      <c r="Y49" s="320" t="e">
        <f aca="false">IF($A49="N/A"," ",$U49*(8*($BR49))*O49)</f>
        <v>#N/A</v>
      </c>
      <c r="Z49" s="320" t="e">
        <f aca="false">IF($A49="N/A"," ",$U49*(8*($BR49))*P49)</f>
        <v>#N/A</v>
      </c>
      <c r="AA49" s="320" t="e">
        <f aca="false">IF($A49="N/A"," ",$U49*(8*($BR49))*Q49)</f>
        <v>#N/A</v>
      </c>
      <c r="AB49" s="320" t="e">
        <f aca="false">IF($A49="N/A"," ",$U49*(8*($BS49))*R49)</f>
        <v>#N/A</v>
      </c>
      <c r="AC49" s="320" t="e">
        <f aca="false">IF($A49="N/A"," ",$U49*(8*($BS49))*S49)</f>
        <v>#N/A</v>
      </c>
      <c r="AD49" s="320" t="e">
        <f aca="false">IF($A49="N/A"," ",$U49*(8*($BS49))*T49)</f>
        <v>#N/A</v>
      </c>
      <c r="AE49" s="320" t="e">
        <f aca="false">IF($A49="N/A"," ",SUM(V49:AD49))</f>
        <v>#N/A</v>
      </c>
      <c r="AF49" s="321" t="n">
        <f aca="false">IF(A49="N/A"," ",(VLOOKUP(A49,PowerVolTable,(IF(VolBMO2=2,7,IF(VolBMO2=1,6,8))),FALSE())))</f>
        <v>0.16</v>
      </c>
      <c r="AG49" s="321" t="n">
        <f aca="false">IF(A49="N/A"," ",(VLOOKUP(A49,IntraPowerVol,(IF(VolBMO2=2,3,IF(VolBMO2=1,2,4))),FALSE())*VLOOKUP(MONTH($A49),Volscale,2)))</f>
        <v>0.28</v>
      </c>
      <c r="AH49" s="321" t="n">
        <f aca="false">IF($A49="N/A"," ",IF(VolType2=1,AG49,AF49))</f>
        <v>0.16</v>
      </c>
      <c r="AI49" s="321" t="n">
        <f aca="false">IF($A49="N/A"," ",(VLOOKUP($A49,OffPwrVolTable,(IF(VolBMO2=2,7,IF(VolBMO2=1,6,8))),FALSE())))</f>
        <v>0.08</v>
      </c>
      <c r="AJ49" s="321" t="n">
        <f aca="false">IF($A49="N/A"," ",(VLOOKUP($A49,OffPwrVolTable,(IF(VolBMO2=2,3,IF(VolBMO2=1,2,4))),FALSE())*VLOOKUP(MONTH($A49),Volscale,2)))</f>
        <v>0.168</v>
      </c>
      <c r="AK49" s="321" t="n">
        <f aca="false">IF($A49="N/A"," ",IF(VolType2=1,AJ49,AI49))</f>
        <v>0.08</v>
      </c>
      <c r="AL49" s="321" t="e">
        <f aca="false">IF($A49="N/A"," ",IF(PV=1,0,'Pricing Inputs2'!R82))</f>
        <v>#N/A</v>
      </c>
      <c r="AM49" s="323" t="e">
        <f aca="false">IF($A49="N/A"," ",(1+AL49/2)^(-2*((EOMONTH(A49,0)+20)-DateToday)/365.25))</f>
        <v>#N/A</v>
      </c>
      <c r="BQ49" s="0" t="n">
        <f aca="false">IF($A49="N/A"," ",(VLOOKUP($A49,NumberofDaysTable,2)))</f>
        <v>21</v>
      </c>
      <c r="BR49" s="0" t="n">
        <f aca="false">IF($A49="N/A"," ",(VLOOKUP($A49,NumberofDaysTable,3)))</f>
        <v>5</v>
      </c>
      <c r="BS49" s="0" t="n">
        <f aca="false">IF($A49="N/A"," ",(VLOOKUP($A49,NumberofDaysTable,4)))</f>
        <v>5</v>
      </c>
    </row>
    <row r="50" customFormat="false" ht="12.75" hidden="false" customHeight="false" outlineLevel="0" collapsed="false">
      <c r="A50" s="315" t="n">
        <f aca="false">IF(A49="N/A","N/A",IF(EDATE(A49,1)&gt;Inputs!$P$5,"N/A",EDATE(A49,1)))</f>
        <v>38657</v>
      </c>
      <c r="B50" s="316" t="n">
        <f aca="false">IF(A50="N/A"," ",YEAR(A50))</f>
        <v>2005</v>
      </c>
      <c r="C50" s="317" t="n">
        <f aca="false">IF($A50="N/A"," ",IF(Dayrun2=10,0,IF(Scaler2=1,(VLOOKUP(A50,ScaledPrice2,4)),(VLOOKUP(A50,ScaledPrice2,2)))))</f>
        <v>32.1415637731552</v>
      </c>
      <c r="D50" s="317" t="n">
        <f aca="false">IF(A50="N/A"," ",IF(Dayrun2&gt;=7,0,IF(Scaler2=2,VLOOKUP(A50,ScaledPrice2,2),(VLOOKUP(A50,ScaledPrice2,2))*(2-(VLOOKUP(A50,ScaledPrice2,3))))))</f>
        <v>32.1415637731552</v>
      </c>
      <c r="E50" s="317" t="n">
        <f aca="false">IF($A50="N/A"," ",IF(AND(Dayrun2&gt;=4,Dayrun2&lt;=9),0,VLOOKUP($A50,ScaledPrice2,9)))</f>
        <v>0</v>
      </c>
      <c r="F50" s="317" t="n">
        <f aca="false">IF(A50="N/A"," ",IF(OR(Dayrun2=2,Dayrun2=3,Dayrun2=5,Dayrun2=6,Dayrun2=8,Dayrun2=9),VLOOKUP(A50,ScaledPrice2,IF(Scaler2=1,6,5)),0))</f>
        <v>0</v>
      </c>
      <c r="G50" s="317" t="n">
        <f aca="false">IF(A50="N/A"," ",IF(OR(Dayrun2=2,Dayrun2=3,Dayrun2=5,Dayrun2=6),IF(Scaler2=2,F50,(VLOOKUP(A50,ScaledPrice2,5))*(2-(VLOOKUP(A50,ScaledPrice2,3)))),0))</f>
        <v>0</v>
      </c>
      <c r="H50" s="317" t="n">
        <f aca="false">IF($A50="N/A"," ",IF(OR(Dayrun2=2,Dayrun2=3,Dayrun2=10),VLOOKUP($A50,ScaledPrice2,9),0))</f>
        <v>0</v>
      </c>
      <c r="I50" s="317" t="n">
        <f aca="false">IF(A50="N/A"," ",IF(OR(Dayrun2=3,Dayrun2=6,Dayrun2=9),(VLOOKUP(A50,ScaledPrice2,IF(Scaler2=2,7,8))),0))</f>
        <v>0</v>
      </c>
      <c r="J50" s="317" t="n">
        <f aca="false">IF(A50="N/A"," ",IF(OR(Dayrun2=3,Dayrun2=6),IF(Scaler2=2,I50,(VLOOKUP(A50,ScaledPrice2,7))*(2-(VLOOKUP(A50,ScaledPrice2,3)))),0))</f>
        <v>0</v>
      </c>
      <c r="K50" s="317" t="n">
        <f aca="false">IF($A50="N/A"," ",IF(OR(Dayrun2=3,Dayrun2=10),VLOOKUP($A50,ScaledPrice2,9),0))</f>
        <v>0</v>
      </c>
      <c r="L50" s="318" t="e">
        <f aca="false">IF($A50="N/A"," ",IF(Pricetype2=2,MAX(C50,0),IF(OR(Pricetype2=1,Pricetype2=4),IF(C50=0,0,(EURO(C50,Strikeprice2,0,0,($AH50+IF(Smile=TRUE(),VLOOKUP(MAX(-5,Strikeprice2-C50),Volsmile,2),0)),($A50-DateToday)+15,IF(Pricetype2=1,1,0),0))),C50)))</f>
        <v>#NAME?</v>
      </c>
      <c r="M50" s="318" t="e">
        <f aca="false">IF($A50="N/A"," ",IF(Pricetype2=2,MAX(D50,0),IF(OR(Pricetype2=1,Pricetype2=4),IF(D50=0,0,(EURO(D50,Strikeprice2,0,0,($AH50+IF(Smile=TRUE(),VLOOKUP(MAX(-5,Strikeprice2-D50),Volsmile,2),0)),($A50-DateToday)+15,IF(Pricetype2=1,1,0),0))),D50)))</f>
        <v>#NAME?</v>
      </c>
      <c r="N50" s="318" t="n">
        <f aca="false">IF($A50="N/A"," ",IF(Pricetype2=2,MAX(E50,0),IF(OR(Pricetype2=1,Pricetype2=4),IF(E50=0,0,(EURO(E50,Strikeprice2,0,0,($AK50+IF(Smile=TRUE(),VLOOKUP(MAX(-5,Strikeprice2-E50),Volsmile,2),0)),($A50-DateToday)+15,IF(Pricetype2=1,1,0),0))),E50)))</f>
        <v>0</v>
      </c>
      <c r="O50" s="318" t="n">
        <f aca="false">IF($A50="N/A"," ",IF(Pricetype2=2,MAX(F50,0),IF(OR(Pricetype2=1,Pricetype2=4),IF(F50=0,0,(EURO(F50,Strikeprice2,0,0,($AK50+IF(Smile=TRUE(),VLOOKUP(MAX(-5,Strikeprice2-F50),Volsmile,2),0)),($A50-DateToday)+15,IF(Pricetype2=1,1,0),0))),F50)))</f>
        <v>0</v>
      </c>
      <c r="P50" s="318" t="n">
        <f aca="false">IF($A50="N/A"," ",IF(Pricetype2=2,MAX(G50,0),IF(OR(Pricetype2=1,Pricetype2=4),IF(G50=0,0,(EURO(G50,Strikeprice2,0,0,($AK50+IF(Smile=TRUE(),VLOOKUP(MAX(-5,Strikeprice2-G50),Volsmile,2),0)),($A50-DateToday)+15,IF(Pricetype2=1,1,0),0))),G50)))</f>
        <v>0</v>
      </c>
      <c r="Q50" s="318" t="n">
        <f aca="false">IF($A50="N/A"," ",IF(Pricetype2=2,MAX(H50,0),IF(OR(Pricetype2=1,Pricetype2=4),IF(H50=0,0,(EURO(H50,Strikeprice2,0,0,($AK50+IF(Smile=TRUE(),VLOOKUP(MAX(-5,Strikeprice2-H50),Volsmile,2),0)),($A50-DateToday)+15,IF(Pricetype2=1,1,0),0))),H50)))</f>
        <v>0</v>
      </c>
      <c r="R50" s="318" t="n">
        <f aca="false">IF($A50="N/A"," ",IF(Pricetype2=2,MAX(I50,0),IF(OR(Pricetype2=1,Pricetype2=4),IF(I50=0,0,(EURO(I50,Strikeprice2,0,0,($AK50+IF(Smile=TRUE(),VLOOKUP(MAX(-5,Strikeprice2-I50),Volsmile,2),0)),($A50-DateToday)+15,IF(Pricetype2=1,1,0),0))),I50)))</f>
        <v>0</v>
      </c>
      <c r="S50" s="318" t="n">
        <f aca="false">IF($A50="N/A"," ",IF(Pricetype2=2,MAX(J50,0),IF(OR(Pricetype2=1,Pricetype2=4),IF(J50=0,0,(EURO(J50,Strikeprice2,0,0,($AK50+IF(Smile=TRUE(),VLOOKUP(MAX(-5,Strikeprice2-J50),Volsmile,2),0)),($A50-DateToday)+15,IF(Pricetype2=1,1,0),0))),J50)))</f>
        <v>0</v>
      </c>
      <c r="T50" s="318" t="n">
        <f aca="false">IF($A50="N/A"," ",IF(Pricetype2=2,MAX(K50,0),IF(OR(Pricetype2=1,Pricetype2=4),IF(K50=0,0,(EURO(K50,Strikeprice2,0,0,($AK50+IF(Smile=TRUE(),VLOOKUP(MAX(-5,Strikeprice2-K50),Volsmile,2),0)),($A50-DateToday)+15,IF(Pricetype2=1,1,0),0))),K50)))</f>
        <v>0</v>
      </c>
      <c r="U50" s="319" t="e">
        <f aca="false">IF($A50="N/A"," ",Volume2*$AM50)</f>
        <v>#N/A</v>
      </c>
      <c r="V50" s="320" t="e">
        <f aca="false">IF($A50="N/A"," ",$U50*(8*($BQ50))*L50)</f>
        <v>#N/A</v>
      </c>
      <c r="W50" s="320" t="e">
        <f aca="false">IF($A50="N/A"," ",$U50*(8*($BQ50))*M50)</f>
        <v>#N/A</v>
      </c>
      <c r="X50" s="320" t="e">
        <f aca="false">IF($A50="N/A"," ",$U50*(8*($BQ50))*N50)</f>
        <v>#N/A</v>
      </c>
      <c r="Y50" s="320" t="e">
        <f aca="false">IF($A50="N/A"," ",$U50*(8*($BR50))*O50)</f>
        <v>#N/A</v>
      </c>
      <c r="Z50" s="320" t="e">
        <f aca="false">IF($A50="N/A"," ",$U50*(8*($BR50))*P50)</f>
        <v>#N/A</v>
      </c>
      <c r="AA50" s="320" t="e">
        <f aca="false">IF($A50="N/A"," ",$U50*(8*($BR50))*Q50)</f>
        <v>#N/A</v>
      </c>
      <c r="AB50" s="320" t="e">
        <f aca="false">IF($A50="N/A"," ",$U50*(8*($BS50))*R50)</f>
        <v>#N/A</v>
      </c>
      <c r="AC50" s="320" t="e">
        <f aca="false">IF($A50="N/A"," ",$U50*(8*($BS50))*S50)</f>
        <v>#N/A</v>
      </c>
      <c r="AD50" s="320" t="e">
        <f aca="false">IF($A50="N/A"," ",$U50*(8*($BS50))*T50)</f>
        <v>#N/A</v>
      </c>
      <c r="AE50" s="320" t="e">
        <f aca="false">IF($A50="N/A"," ",SUM(V50:AD50))</f>
        <v>#N/A</v>
      </c>
      <c r="AF50" s="321" t="n">
        <f aca="false">IF(A50="N/A"," ",(VLOOKUP(A50,PowerVolTable,(IF(VolBMO2=2,7,IF(VolBMO2=1,6,8))),FALSE())))</f>
        <v>0.16</v>
      </c>
      <c r="AG50" s="321" t="n">
        <f aca="false">IF(A50="N/A"," ",(VLOOKUP(A50,IntraPowerVol,(IF(VolBMO2=2,3,IF(VolBMO2=1,2,4))),FALSE())*VLOOKUP(MONTH($A50),Volscale,2)))</f>
        <v>0.28</v>
      </c>
      <c r="AH50" s="321" t="n">
        <f aca="false">IF($A50="N/A"," ",IF(VolType2=1,AG50,AF50))</f>
        <v>0.16</v>
      </c>
      <c r="AI50" s="321" t="n">
        <f aca="false">IF($A50="N/A"," ",(VLOOKUP($A50,OffPwrVolTable,(IF(VolBMO2=2,7,IF(VolBMO2=1,6,8))),FALSE())))</f>
        <v>0.08</v>
      </c>
      <c r="AJ50" s="321" t="n">
        <f aca="false">IF($A50="N/A"," ",(VLOOKUP($A50,OffPwrVolTable,(IF(VolBMO2=2,3,IF(VolBMO2=1,2,4))),FALSE())*VLOOKUP(MONTH($A50),Volscale,2)))</f>
        <v>0.168</v>
      </c>
      <c r="AK50" s="321" t="n">
        <f aca="false">IF($A50="N/A"," ",IF(VolType2=1,AJ50,AI50))</f>
        <v>0.08</v>
      </c>
      <c r="AL50" s="321" t="e">
        <f aca="false">IF($A50="N/A"," ",IF(PV=1,0,'Pricing Inputs2'!R83))</f>
        <v>#N/A</v>
      </c>
      <c r="AM50" s="323" t="e">
        <f aca="false">IF($A50="N/A"," ",(1+AL50/2)^(-2*((EOMONTH(A50,0)+20)-DateToday)/365.25))</f>
        <v>#N/A</v>
      </c>
      <c r="BQ50" s="0" t="n">
        <f aca="false">IF($A50="N/A"," ",(VLOOKUP($A50,NumberofDaysTable,2)))</f>
        <v>21</v>
      </c>
      <c r="BR50" s="0" t="n">
        <f aca="false">IF($A50="N/A"," ",(VLOOKUP($A50,NumberofDaysTable,3)))</f>
        <v>4</v>
      </c>
      <c r="BS50" s="0" t="n">
        <f aca="false">IF($A50="N/A"," ",(VLOOKUP($A50,NumberofDaysTable,4)))</f>
        <v>5</v>
      </c>
    </row>
    <row r="51" customFormat="false" ht="12.75" hidden="false" customHeight="false" outlineLevel="0" collapsed="false">
      <c r="A51" s="315" t="n">
        <f aca="false">IF(A50="N/A","N/A",IF(EDATE(A50,1)&gt;Inputs!$P$5,"N/A",EDATE(A50,1)))</f>
        <v>38687</v>
      </c>
      <c r="B51" s="316" t="n">
        <f aca="false">IF(A51="N/A"," ",YEAR(A51))</f>
        <v>2005</v>
      </c>
      <c r="C51" s="317" t="n">
        <f aca="false">IF($A51="N/A"," ",IF(Dayrun2=10,0,IF(Scaler2=1,(VLOOKUP(A51,ScaledPrice2,4)),(VLOOKUP(A51,ScaledPrice2,2)))))</f>
        <v>32.2415622472763</v>
      </c>
      <c r="D51" s="317" t="n">
        <f aca="false">IF(A51="N/A"," ",IF(Dayrun2&gt;=7,0,IF(Scaler2=2,VLOOKUP(A51,ScaledPrice2,2),(VLOOKUP(A51,ScaledPrice2,2))*(2-(VLOOKUP(A51,ScaledPrice2,3))))))</f>
        <v>32.2415622472763</v>
      </c>
      <c r="E51" s="317" t="n">
        <f aca="false">IF($A51="N/A"," ",IF(AND(Dayrun2&gt;=4,Dayrun2&lt;=9),0,VLOOKUP($A51,ScaledPrice2,9)))</f>
        <v>0</v>
      </c>
      <c r="F51" s="317" t="n">
        <f aca="false">IF(A51="N/A"," ",IF(OR(Dayrun2=2,Dayrun2=3,Dayrun2=5,Dayrun2=6,Dayrun2=8,Dayrun2=9),VLOOKUP(A51,ScaledPrice2,IF(Scaler2=1,6,5)),0))</f>
        <v>0</v>
      </c>
      <c r="G51" s="317" t="n">
        <f aca="false">IF(A51="N/A"," ",IF(OR(Dayrun2=2,Dayrun2=3,Dayrun2=5,Dayrun2=6),IF(Scaler2=2,F51,(VLOOKUP(A51,ScaledPrice2,5))*(2-(VLOOKUP(A51,ScaledPrice2,3)))),0))</f>
        <v>0</v>
      </c>
      <c r="H51" s="317" t="n">
        <f aca="false">IF($A51="N/A"," ",IF(OR(Dayrun2=2,Dayrun2=3,Dayrun2=10),VLOOKUP($A51,ScaledPrice2,9),0))</f>
        <v>0</v>
      </c>
      <c r="I51" s="317" t="n">
        <f aca="false">IF(A51="N/A"," ",IF(OR(Dayrun2=3,Dayrun2=6,Dayrun2=9),(VLOOKUP(A51,ScaledPrice2,IF(Scaler2=2,7,8))),0))</f>
        <v>0</v>
      </c>
      <c r="J51" s="317" t="n">
        <f aca="false">IF(A51="N/A"," ",IF(OR(Dayrun2=3,Dayrun2=6),IF(Scaler2=2,I51,(VLOOKUP(A51,ScaledPrice2,7))*(2-(VLOOKUP(A51,ScaledPrice2,3)))),0))</f>
        <v>0</v>
      </c>
      <c r="K51" s="317" t="n">
        <f aca="false">IF($A51="N/A"," ",IF(OR(Dayrun2=3,Dayrun2=10),VLOOKUP($A51,ScaledPrice2,9),0))</f>
        <v>0</v>
      </c>
      <c r="L51" s="318" t="e">
        <f aca="false">IF($A51="N/A"," ",IF(Pricetype2=2,MAX(C51,0),IF(OR(Pricetype2=1,Pricetype2=4),IF(C51=0,0,(EURO(C51,Strikeprice2,0,0,($AH51+IF(Smile=TRUE(),VLOOKUP(MAX(-5,Strikeprice2-C51),Volsmile,2),0)),($A51-DateToday)+15,IF(Pricetype2=1,1,0),0))),C51)))</f>
        <v>#NAME?</v>
      </c>
      <c r="M51" s="318" t="e">
        <f aca="false">IF($A51="N/A"," ",IF(Pricetype2=2,MAX(D51,0),IF(OR(Pricetype2=1,Pricetype2=4),IF(D51=0,0,(EURO(D51,Strikeprice2,0,0,($AH51+IF(Smile=TRUE(),VLOOKUP(MAX(-5,Strikeprice2-D51),Volsmile,2),0)),($A51-DateToday)+15,IF(Pricetype2=1,1,0),0))),D51)))</f>
        <v>#NAME?</v>
      </c>
      <c r="N51" s="318" t="n">
        <f aca="false">IF($A51="N/A"," ",IF(Pricetype2=2,MAX(E51,0),IF(OR(Pricetype2=1,Pricetype2=4),IF(E51=0,0,(EURO(E51,Strikeprice2,0,0,($AK51+IF(Smile=TRUE(),VLOOKUP(MAX(-5,Strikeprice2-E51),Volsmile,2),0)),($A51-DateToday)+15,IF(Pricetype2=1,1,0),0))),E51)))</f>
        <v>0</v>
      </c>
      <c r="O51" s="318" t="n">
        <f aca="false">IF($A51="N/A"," ",IF(Pricetype2=2,MAX(F51,0),IF(OR(Pricetype2=1,Pricetype2=4),IF(F51=0,0,(EURO(F51,Strikeprice2,0,0,($AK51+IF(Smile=TRUE(),VLOOKUP(MAX(-5,Strikeprice2-F51),Volsmile,2),0)),($A51-DateToday)+15,IF(Pricetype2=1,1,0),0))),F51)))</f>
        <v>0</v>
      </c>
      <c r="P51" s="318" t="n">
        <f aca="false">IF($A51="N/A"," ",IF(Pricetype2=2,MAX(G51,0),IF(OR(Pricetype2=1,Pricetype2=4),IF(G51=0,0,(EURO(G51,Strikeprice2,0,0,($AK51+IF(Smile=TRUE(),VLOOKUP(MAX(-5,Strikeprice2-G51),Volsmile,2),0)),($A51-DateToday)+15,IF(Pricetype2=1,1,0),0))),G51)))</f>
        <v>0</v>
      </c>
      <c r="Q51" s="318" t="n">
        <f aca="false">IF($A51="N/A"," ",IF(Pricetype2=2,MAX(H51,0),IF(OR(Pricetype2=1,Pricetype2=4),IF(H51=0,0,(EURO(H51,Strikeprice2,0,0,($AK51+IF(Smile=TRUE(),VLOOKUP(MAX(-5,Strikeprice2-H51),Volsmile,2),0)),($A51-DateToday)+15,IF(Pricetype2=1,1,0),0))),H51)))</f>
        <v>0</v>
      </c>
      <c r="R51" s="318" t="n">
        <f aca="false">IF($A51="N/A"," ",IF(Pricetype2=2,MAX(I51,0),IF(OR(Pricetype2=1,Pricetype2=4),IF(I51=0,0,(EURO(I51,Strikeprice2,0,0,($AK51+IF(Smile=TRUE(),VLOOKUP(MAX(-5,Strikeprice2-I51),Volsmile,2),0)),($A51-DateToday)+15,IF(Pricetype2=1,1,0),0))),I51)))</f>
        <v>0</v>
      </c>
      <c r="S51" s="318" t="n">
        <f aca="false">IF($A51="N/A"," ",IF(Pricetype2=2,MAX(J51,0),IF(OR(Pricetype2=1,Pricetype2=4),IF(J51=0,0,(EURO(J51,Strikeprice2,0,0,($AK51+IF(Smile=TRUE(),VLOOKUP(MAX(-5,Strikeprice2-J51),Volsmile,2),0)),($A51-DateToday)+15,IF(Pricetype2=1,1,0),0))),J51)))</f>
        <v>0</v>
      </c>
      <c r="T51" s="318" t="n">
        <f aca="false">IF($A51="N/A"," ",IF(Pricetype2=2,MAX(K51,0),IF(OR(Pricetype2=1,Pricetype2=4),IF(K51=0,0,(EURO(K51,Strikeprice2,0,0,($AK51+IF(Smile=TRUE(),VLOOKUP(MAX(-5,Strikeprice2-K51),Volsmile,2),0)),($A51-DateToday)+15,IF(Pricetype2=1,1,0),0))),K51)))</f>
        <v>0</v>
      </c>
      <c r="U51" s="319" t="e">
        <f aca="false">IF($A51="N/A"," ",Volume2*$AM51)</f>
        <v>#N/A</v>
      </c>
      <c r="V51" s="320" t="e">
        <f aca="false">IF($A51="N/A"," ",$U51*(8*($BQ51))*L51)</f>
        <v>#N/A</v>
      </c>
      <c r="W51" s="320" t="e">
        <f aca="false">IF($A51="N/A"," ",$U51*(8*($BQ51))*M51)</f>
        <v>#N/A</v>
      </c>
      <c r="X51" s="320" t="e">
        <f aca="false">IF($A51="N/A"," ",$U51*(8*($BQ51))*N51)</f>
        <v>#N/A</v>
      </c>
      <c r="Y51" s="320" t="e">
        <f aca="false">IF($A51="N/A"," ",$U51*(8*($BR51))*O51)</f>
        <v>#N/A</v>
      </c>
      <c r="Z51" s="320" t="e">
        <f aca="false">IF($A51="N/A"," ",$U51*(8*($BR51))*P51)</f>
        <v>#N/A</v>
      </c>
      <c r="AA51" s="320" t="e">
        <f aca="false">IF($A51="N/A"," ",$U51*(8*($BR51))*Q51)</f>
        <v>#N/A</v>
      </c>
      <c r="AB51" s="320" t="e">
        <f aca="false">IF($A51="N/A"," ",$U51*(8*($BS51))*R51)</f>
        <v>#N/A</v>
      </c>
      <c r="AC51" s="320" t="e">
        <f aca="false">IF($A51="N/A"," ",$U51*(8*($BS51))*S51)</f>
        <v>#N/A</v>
      </c>
      <c r="AD51" s="320" t="e">
        <f aca="false">IF($A51="N/A"," ",$U51*(8*($BS51))*T51)</f>
        <v>#N/A</v>
      </c>
      <c r="AE51" s="320" t="e">
        <f aca="false">IF($A51="N/A"," ",SUM(V51:AD51))</f>
        <v>#N/A</v>
      </c>
      <c r="AF51" s="321" t="n">
        <f aca="false">IF(A51="N/A"," ",(VLOOKUP(A51,PowerVolTable,(IF(VolBMO2=2,7,IF(VolBMO2=1,6,8))),FALSE())))</f>
        <v>0.16</v>
      </c>
      <c r="AG51" s="321" t="n">
        <f aca="false">IF(A51="N/A"," ",(VLOOKUP(A51,IntraPowerVol,(IF(VolBMO2=2,3,IF(VolBMO2=1,2,4))),FALSE())*VLOOKUP(MONTH($A51),Volscale,2)))</f>
        <v>0.28</v>
      </c>
      <c r="AH51" s="321" t="n">
        <f aca="false">IF($A51="N/A"," ",IF(VolType2=1,AG51,AF51))</f>
        <v>0.16</v>
      </c>
      <c r="AI51" s="321" t="n">
        <f aca="false">IF($A51="N/A"," ",(VLOOKUP($A51,OffPwrVolTable,(IF(VolBMO2=2,7,IF(VolBMO2=1,6,8))),FALSE())))</f>
        <v>0.08</v>
      </c>
      <c r="AJ51" s="321" t="n">
        <f aca="false">IF($A51="N/A"," ",(VLOOKUP($A51,OffPwrVolTable,(IF(VolBMO2=2,3,IF(VolBMO2=1,2,4))),FALSE())*VLOOKUP(MONTH($A51),Volscale,2)))</f>
        <v>0.168</v>
      </c>
      <c r="AK51" s="321" t="n">
        <f aca="false">IF($A51="N/A"," ",IF(VolType2=1,AJ51,AI51))</f>
        <v>0.08</v>
      </c>
      <c r="AL51" s="321" t="e">
        <f aca="false">IF($A51="N/A"," ",IF(PV=1,0,'Pricing Inputs2'!R84))</f>
        <v>#N/A</v>
      </c>
      <c r="AM51" s="323" t="e">
        <f aca="false">IF($A51="N/A"," ",(1+AL51/2)^(-2*((EOMONTH(A51,0)+20)-DateToday)/365.25))</f>
        <v>#N/A</v>
      </c>
      <c r="BQ51" s="0" t="n">
        <f aca="false">IF($A51="N/A"," ",(VLOOKUP($A51,NumberofDaysTable,2)))</f>
        <v>21</v>
      </c>
      <c r="BR51" s="0" t="n">
        <f aca="false">IF($A51="N/A"," ",(VLOOKUP($A51,NumberofDaysTable,3)))</f>
        <v>5</v>
      </c>
      <c r="BS51" s="0" t="n">
        <f aca="false">IF($A51="N/A"," ",(VLOOKUP($A51,NumberofDaysTable,4)))</f>
        <v>5</v>
      </c>
    </row>
    <row r="52" customFormat="false" ht="12.75" hidden="false" customHeight="false" outlineLevel="0" collapsed="false">
      <c r="A52" s="315" t="n">
        <f aca="false">IF(A51="N/A","N/A",IF(EDATE(A51,1)&gt;Inputs!$P$5,"N/A",EDATE(A51,1)))</f>
        <v>38718</v>
      </c>
      <c r="B52" s="316" t="n">
        <f aca="false">IF(A52="N/A"," ",YEAR(A52))</f>
        <v>2006</v>
      </c>
      <c r="C52" s="317" t="n">
        <f aca="false">IF($A52="N/A"," ",IF(Dayrun2=10,0,IF(Scaler2=1,(VLOOKUP(A52,ScaledPrice2,4)),(VLOOKUP(A52,ScaledPrice2,2)))))</f>
        <v>35.1157172066825</v>
      </c>
      <c r="D52" s="317" t="n">
        <f aca="false">IF(A52="N/A"," ",IF(Dayrun2&gt;=7,0,IF(Scaler2=2,VLOOKUP(A52,ScaledPrice2,2),(VLOOKUP(A52,ScaledPrice2,2))*(2-(VLOOKUP(A52,ScaledPrice2,3))))))</f>
        <v>35.1157172066825</v>
      </c>
      <c r="E52" s="317" t="n">
        <f aca="false">IF($A52="N/A"," ",IF(AND(Dayrun2&gt;=4,Dayrun2&lt;=9),0,VLOOKUP($A52,ScaledPrice2,9)))</f>
        <v>0</v>
      </c>
      <c r="F52" s="317" t="n">
        <f aca="false">IF(A52="N/A"," ",IF(OR(Dayrun2=2,Dayrun2=3,Dayrun2=5,Dayrun2=6,Dayrun2=8,Dayrun2=9),VLOOKUP(A52,ScaledPrice2,IF(Scaler2=1,6,5)),0))</f>
        <v>0</v>
      </c>
      <c r="G52" s="317" t="n">
        <f aca="false">IF(A52="N/A"," ",IF(OR(Dayrun2=2,Dayrun2=3,Dayrun2=5,Dayrun2=6),IF(Scaler2=2,F52,(VLOOKUP(A52,ScaledPrice2,5))*(2-(VLOOKUP(A52,ScaledPrice2,3)))),0))</f>
        <v>0</v>
      </c>
      <c r="H52" s="317" t="n">
        <f aca="false">IF($A52="N/A"," ",IF(OR(Dayrun2=2,Dayrun2=3,Dayrun2=10),VLOOKUP($A52,ScaledPrice2,9),0))</f>
        <v>0</v>
      </c>
      <c r="I52" s="317" t="n">
        <f aca="false">IF(A52="N/A"," ",IF(OR(Dayrun2=3,Dayrun2=6,Dayrun2=9),(VLOOKUP(A52,ScaledPrice2,IF(Scaler2=2,7,8))),0))</f>
        <v>0</v>
      </c>
      <c r="J52" s="317" t="n">
        <f aca="false">IF(A52="N/A"," ",IF(OR(Dayrun2=3,Dayrun2=6),IF(Scaler2=2,I52,(VLOOKUP(A52,ScaledPrice2,7))*(2-(VLOOKUP(A52,ScaledPrice2,3)))),0))</f>
        <v>0</v>
      </c>
      <c r="K52" s="317" t="n">
        <f aca="false">IF($A52="N/A"," ",IF(OR(Dayrun2=3,Dayrun2=10),VLOOKUP($A52,ScaledPrice2,9),0))</f>
        <v>0</v>
      </c>
      <c r="L52" s="318" t="e">
        <f aca="false">IF($A52="N/A"," ",IF(Pricetype2=2,MAX(C52,0),IF(OR(Pricetype2=1,Pricetype2=4),IF(C52=0,0,(EURO(C52,Strikeprice2,0,0,($AH52+IF(Smile=TRUE(),VLOOKUP(MAX(-5,Strikeprice2-C52),Volsmile,2),0)),($A52-DateToday)+15,IF(Pricetype2=1,1,0),0))),C52)))</f>
        <v>#NAME?</v>
      </c>
      <c r="M52" s="318" t="e">
        <f aca="false">IF($A52="N/A"," ",IF(Pricetype2=2,MAX(D52,0),IF(OR(Pricetype2=1,Pricetype2=4),IF(D52=0,0,(EURO(D52,Strikeprice2,0,0,($AH52+IF(Smile=TRUE(),VLOOKUP(MAX(-5,Strikeprice2-D52),Volsmile,2),0)),($A52-DateToday)+15,IF(Pricetype2=1,1,0),0))),D52)))</f>
        <v>#NAME?</v>
      </c>
      <c r="N52" s="318" t="n">
        <f aca="false">IF($A52="N/A"," ",IF(Pricetype2=2,MAX(E52,0),IF(OR(Pricetype2=1,Pricetype2=4),IF(E52=0,0,(EURO(E52,Strikeprice2,0,0,($AK52+IF(Smile=TRUE(),VLOOKUP(MAX(-5,Strikeprice2-E52),Volsmile,2),0)),($A52-DateToday)+15,IF(Pricetype2=1,1,0),0))),E52)))</f>
        <v>0</v>
      </c>
      <c r="O52" s="318" t="n">
        <f aca="false">IF($A52="N/A"," ",IF(Pricetype2=2,MAX(F52,0),IF(OR(Pricetype2=1,Pricetype2=4),IF(F52=0,0,(EURO(F52,Strikeprice2,0,0,($AK52+IF(Smile=TRUE(),VLOOKUP(MAX(-5,Strikeprice2-F52),Volsmile,2),0)),($A52-DateToday)+15,IF(Pricetype2=1,1,0),0))),F52)))</f>
        <v>0</v>
      </c>
      <c r="P52" s="318" t="n">
        <f aca="false">IF($A52="N/A"," ",IF(Pricetype2=2,MAX(G52,0),IF(OR(Pricetype2=1,Pricetype2=4),IF(G52=0,0,(EURO(G52,Strikeprice2,0,0,($AK52+IF(Smile=TRUE(),VLOOKUP(MAX(-5,Strikeprice2-G52),Volsmile,2),0)),($A52-DateToday)+15,IF(Pricetype2=1,1,0),0))),G52)))</f>
        <v>0</v>
      </c>
      <c r="Q52" s="318" t="n">
        <f aca="false">IF($A52="N/A"," ",IF(Pricetype2=2,MAX(H52,0),IF(OR(Pricetype2=1,Pricetype2=4),IF(H52=0,0,(EURO(H52,Strikeprice2,0,0,($AK52+IF(Smile=TRUE(),VLOOKUP(MAX(-5,Strikeprice2-H52),Volsmile,2),0)),($A52-DateToday)+15,IF(Pricetype2=1,1,0),0))),H52)))</f>
        <v>0</v>
      </c>
      <c r="R52" s="318" t="n">
        <f aca="false">IF($A52="N/A"," ",IF(Pricetype2=2,MAX(I52,0),IF(OR(Pricetype2=1,Pricetype2=4),IF(I52=0,0,(EURO(I52,Strikeprice2,0,0,($AK52+IF(Smile=TRUE(),VLOOKUP(MAX(-5,Strikeprice2-I52),Volsmile,2),0)),($A52-DateToday)+15,IF(Pricetype2=1,1,0),0))),I52)))</f>
        <v>0</v>
      </c>
      <c r="S52" s="318" t="n">
        <f aca="false">IF($A52="N/A"," ",IF(Pricetype2=2,MAX(J52,0),IF(OR(Pricetype2=1,Pricetype2=4),IF(J52=0,0,(EURO(J52,Strikeprice2,0,0,($AK52+IF(Smile=TRUE(),VLOOKUP(MAX(-5,Strikeprice2-J52),Volsmile,2),0)),($A52-DateToday)+15,IF(Pricetype2=1,1,0),0))),J52)))</f>
        <v>0</v>
      </c>
      <c r="T52" s="318" t="n">
        <f aca="false">IF($A52="N/A"," ",IF(Pricetype2=2,MAX(K52,0),IF(OR(Pricetype2=1,Pricetype2=4),IF(K52=0,0,(EURO(K52,Strikeprice2,0,0,($AK52+IF(Smile=TRUE(),VLOOKUP(MAX(-5,Strikeprice2-K52),Volsmile,2),0)),($A52-DateToday)+15,IF(Pricetype2=1,1,0),0))),K52)))</f>
        <v>0</v>
      </c>
      <c r="U52" s="319" t="e">
        <f aca="false">IF($A52="N/A"," ",Volume2*$AM52)</f>
        <v>#N/A</v>
      </c>
      <c r="V52" s="320" t="e">
        <f aca="false">IF($A52="N/A"," ",$U52*(8*($BQ52))*L52)</f>
        <v>#N/A</v>
      </c>
      <c r="W52" s="320" t="e">
        <f aca="false">IF($A52="N/A"," ",$U52*(8*($BQ52))*M52)</f>
        <v>#N/A</v>
      </c>
      <c r="X52" s="320" t="e">
        <f aca="false">IF($A52="N/A"," ",$U52*(8*($BQ52))*N52)</f>
        <v>#N/A</v>
      </c>
      <c r="Y52" s="320" t="e">
        <f aca="false">IF($A52="N/A"," ",$U52*(8*($BR52))*O52)</f>
        <v>#N/A</v>
      </c>
      <c r="Z52" s="320" t="e">
        <f aca="false">IF($A52="N/A"," ",$U52*(8*($BR52))*P52)</f>
        <v>#N/A</v>
      </c>
      <c r="AA52" s="320" t="e">
        <f aca="false">IF($A52="N/A"," ",$U52*(8*($BR52))*Q52)</f>
        <v>#N/A</v>
      </c>
      <c r="AB52" s="320" t="e">
        <f aca="false">IF($A52="N/A"," ",$U52*(8*($BS52))*R52)</f>
        <v>#N/A</v>
      </c>
      <c r="AC52" s="320" t="e">
        <f aca="false">IF($A52="N/A"," ",$U52*(8*($BS52))*S52)</f>
        <v>#N/A</v>
      </c>
      <c r="AD52" s="320" t="e">
        <f aca="false">IF($A52="N/A"," ",$U52*(8*($BS52))*T52)</f>
        <v>#N/A</v>
      </c>
      <c r="AE52" s="320" t="e">
        <f aca="false">IF($A52="N/A"," ",SUM(V52:AD52))</f>
        <v>#N/A</v>
      </c>
      <c r="AF52" s="321" t="n">
        <f aca="false">IF(A52="N/A"," ",(VLOOKUP(A52,PowerVolTable,(IF(VolBMO2=2,7,IF(VolBMO2=1,6,8))),FALSE())))</f>
        <v>0.16</v>
      </c>
      <c r="AG52" s="321" t="n">
        <f aca="false">IF(A52="N/A"," ",(VLOOKUP(A52,IntraPowerVol,(IF(VolBMO2=2,3,IF(VolBMO2=1,2,4))),FALSE())*VLOOKUP(MONTH($A52),Volscale,2)))</f>
        <v>0.28</v>
      </c>
      <c r="AH52" s="321" t="n">
        <f aca="false">IF($A52="N/A"," ",IF(VolType2=1,AG52,AF52))</f>
        <v>0.16</v>
      </c>
      <c r="AI52" s="321" t="n">
        <f aca="false">IF($A52="N/A"," ",(VLOOKUP($A52,OffPwrVolTable,(IF(VolBMO2=2,7,IF(VolBMO2=1,6,8))),FALSE())))</f>
        <v>0.08</v>
      </c>
      <c r="AJ52" s="321" t="n">
        <f aca="false">IF($A52="N/A"," ",(VLOOKUP($A52,OffPwrVolTable,(IF(VolBMO2=2,3,IF(VolBMO2=1,2,4))),FALSE())*VLOOKUP(MONTH($A52),Volscale,2)))</f>
        <v>0.168</v>
      </c>
      <c r="AK52" s="321" t="n">
        <f aca="false">IF($A52="N/A"," ",IF(VolType2=1,AJ52,AI52))</f>
        <v>0.08</v>
      </c>
      <c r="AL52" s="321" t="e">
        <f aca="false">IF($A52="N/A"," ",IF(PV=1,0,'Pricing Inputs2'!R85))</f>
        <v>#N/A</v>
      </c>
      <c r="AM52" s="323" t="e">
        <f aca="false">IF($A52="N/A"," ",(1+AL52/2)^(-2*((EOMONTH(A52,0)+20)-DateToday)/365.25))</f>
        <v>#N/A</v>
      </c>
      <c r="BQ52" s="0" t="n">
        <f aca="false">IF($A52="N/A"," ",(VLOOKUP($A52,NumberofDaysTable,2)))</f>
        <v>21</v>
      </c>
      <c r="BR52" s="0" t="n">
        <f aca="false">IF($A52="N/A"," ",(VLOOKUP($A52,NumberofDaysTable,3)))</f>
        <v>4</v>
      </c>
      <c r="BS52" s="0" t="n">
        <f aca="false">IF($A52="N/A"," ",(VLOOKUP($A52,NumberofDaysTable,4)))</f>
        <v>6</v>
      </c>
    </row>
    <row r="53" customFormat="false" ht="12.75" hidden="false" customHeight="false" outlineLevel="0" collapsed="false">
      <c r="A53" s="315" t="n">
        <f aca="false">IF(A52="N/A","N/A",IF(EDATE(A52,1)&gt;Inputs!$P$5,"N/A",EDATE(A52,1)))</f>
        <v>38749</v>
      </c>
      <c r="B53" s="316" t="n">
        <f aca="false">IF(A53="N/A"," ",YEAR(A53))</f>
        <v>2006</v>
      </c>
      <c r="C53" s="317" t="n">
        <f aca="false">IF($A53="N/A"," ",IF(Dayrun2=10,0,IF(Scaler2=1,(VLOOKUP(A53,ScaledPrice2,4)),(VLOOKUP(A53,ScaledPrice2,2)))))</f>
        <v>34.5157149178641</v>
      </c>
      <c r="D53" s="317" t="n">
        <f aca="false">IF(A53="N/A"," ",IF(Dayrun2&gt;=7,0,IF(Scaler2=2,VLOOKUP(A53,ScaledPrice2,2),(VLOOKUP(A53,ScaledPrice2,2))*(2-(VLOOKUP(A53,ScaledPrice2,3))))))</f>
        <v>34.5157149178641</v>
      </c>
      <c r="E53" s="317" t="n">
        <f aca="false">IF($A53="N/A"," ",IF(AND(Dayrun2&gt;=4,Dayrun2&lt;=9),0,VLOOKUP($A53,ScaledPrice2,9)))</f>
        <v>0</v>
      </c>
      <c r="F53" s="317" t="n">
        <f aca="false">IF(A53="N/A"," ",IF(OR(Dayrun2=2,Dayrun2=3,Dayrun2=5,Dayrun2=6,Dayrun2=8,Dayrun2=9),VLOOKUP(A53,ScaledPrice2,IF(Scaler2=1,6,5)),0))</f>
        <v>0</v>
      </c>
      <c r="G53" s="317" t="n">
        <f aca="false">IF(A53="N/A"," ",IF(OR(Dayrun2=2,Dayrun2=3,Dayrun2=5,Dayrun2=6),IF(Scaler2=2,F53,(VLOOKUP(A53,ScaledPrice2,5))*(2-(VLOOKUP(A53,ScaledPrice2,3)))),0))</f>
        <v>0</v>
      </c>
      <c r="H53" s="317" t="n">
        <f aca="false">IF($A53="N/A"," ",IF(OR(Dayrun2=2,Dayrun2=3,Dayrun2=10),VLOOKUP($A53,ScaledPrice2,9),0))</f>
        <v>0</v>
      </c>
      <c r="I53" s="317" t="n">
        <f aca="false">IF(A53="N/A"," ",IF(OR(Dayrun2=3,Dayrun2=6,Dayrun2=9),(VLOOKUP(A53,ScaledPrice2,IF(Scaler2=2,7,8))),0))</f>
        <v>0</v>
      </c>
      <c r="J53" s="317" t="n">
        <f aca="false">IF(A53="N/A"," ",IF(OR(Dayrun2=3,Dayrun2=6),IF(Scaler2=2,I53,(VLOOKUP(A53,ScaledPrice2,7))*(2-(VLOOKUP(A53,ScaledPrice2,3)))),0))</f>
        <v>0</v>
      </c>
      <c r="K53" s="317" t="n">
        <f aca="false">IF($A53="N/A"," ",IF(OR(Dayrun2=3,Dayrun2=10),VLOOKUP($A53,ScaledPrice2,9),0))</f>
        <v>0</v>
      </c>
      <c r="L53" s="318" t="e">
        <f aca="false">IF($A53="N/A"," ",IF(Pricetype2=2,MAX(C53,0),IF(OR(Pricetype2=1,Pricetype2=4),IF(C53=0,0,(EURO(C53,Strikeprice2,0,0,($AH53+IF(Smile=TRUE(),VLOOKUP(MAX(-5,Strikeprice2-C53),Volsmile,2),0)),($A53-DateToday)+15,IF(Pricetype2=1,1,0),0))),C53)))</f>
        <v>#NAME?</v>
      </c>
      <c r="M53" s="318" t="e">
        <f aca="false">IF($A53="N/A"," ",IF(Pricetype2=2,MAX(D53,0),IF(OR(Pricetype2=1,Pricetype2=4),IF(D53=0,0,(EURO(D53,Strikeprice2,0,0,($AH53+IF(Smile=TRUE(),VLOOKUP(MAX(-5,Strikeprice2-D53),Volsmile,2),0)),($A53-DateToday)+15,IF(Pricetype2=1,1,0),0))),D53)))</f>
        <v>#NAME?</v>
      </c>
      <c r="N53" s="318" t="n">
        <f aca="false">IF($A53="N/A"," ",IF(Pricetype2=2,MAX(E53,0),IF(OR(Pricetype2=1,Pricetype2=4),IF(E53=0,0,(EURO(E53,Strikeprice2,0,0,($AK53+IF(Smile=TRUE(),VLOOKUP(MAX(-5,Strikeprice2-E53),Volsmile,2),0)),($A53-DateToday)+15,IF(Pricetype2=1,1,0),0))),E53)))</f>
        <v>0</v>
      </c>
      <c r="O53" s="318" t="n">
        <f aca="false">IF($A53="N/A"," ",IF(Pricetype2=2,MAX(F53,0),IF(OR(Pricetype2=1,Pricetype2=4),IF(F53=0,0,(EURO(F53,Strikeprice2,0,0,($AK53+IF(Smile=TRUE(),VLOOKUP(MAX(-5,Strikeprice2-F53),Volsmile,2),0)),($A53-DateToday)+15,IF(Pricetype2=1,1,0),0))),F53)))</f>
        <v>0</v>
      </c>
      <c r="P53" s="318" t="n">
        <f aca="false">IF($A53="N/A"," ",IF(Pricetype2=2,MAX(G53,0),IF(OR(Pricetype2=1,Pricetype2=4),IF(G53=0,0,(EURO(G53,Strikeprice2,0,0,($AK53+IF(Smile=TRUE(),VLOOKUP(MAX(-5,Strikeprice2-G53),Volsmile,2),0)),($A53-DateToday)+15,IF(Pricetype2=1,1,0),0))),G53)))</f>
        <v>0</v>
      </c>
      <c r="Q53" s="318" t="n">
        <f aca="false">IF($A53="N/A"," ",IF(Pricetype2=2,MAX(H53,0),IF(OR(Pricetype2=1,Pricetype2=4),IF(H53=0,0,(EURO(H53,Strikeprice2,0,0,($AK53+IF(Smile=TRUE(),VLOOKUP(MAX(-5,Strikeprice2-H53),Volsmile,2),0)),($A53-DateToday)+15,IF(Pricetype2=1,1,0),0))),H53)))</f>
        <v>0</v>
      </c>
      <c r="R53" s="318" t="n">
        <f aca="false">IF($A53="N/A"," ",IF(Pricetype2=2,MAX(I53,0),IF(OR(Pricetype2=1,Pricetype2=4),IF(I53=0,0,(EURO(I53,Strikeprice2,0,0,($AK53+IF(Smile=TRUE(),VLOOKUP(MAX(-5,Strikeprice2-I53),Volsmile,2),0)),($A53-DateToday)+15,IF(Pricetype2=1,1,0),0))),I53)))</f>
        <v>0</v>
      </c>
      <c r="S53" s="318" t="n">
        <f aca="false">IF($A53="N/A"," ",IF(Pricetype2=2,MAX(J53,0),IF(OR(Pricetype2=1,Pricetype2=4),IF(J53=0,0,(EURO(J53,Strikeprice2,0,0,($AK53+IF(Smile=TRUE(),VLOOKUP(MAX(-5,Strikeprice2-J53),Volsmile,2),0)),($A53-DateToday)+15,IF(Pricetype2=1,1,0),0))),J53)))</f>
        <v>0</v>
      </c>
      <c r="T53" s="318" t="n">
        <f aca="false">IF($A53="N/A"," ",IF(Pricetype2=2,MAX(K53,0),IF(OR(Pricetype2=1,Pricetype2=4),IF(K53=0,0,(EURO(K53,Strikeprice2,0,0,($AK53+IF(Smile=TRUE(),VLOOKUP(MAX(-5,Strikeprice2-K53),Volsmile,2),0)),($A53-DateToday)+15,IF(Pricetype2=1,1,0),0))),K53)))</f>
        <v>0</v>
      </c>
      <c r="U53" s="319" t="e">
        <f aca="false">IF($A53="N/A"," ",Volume2*$AM53)</f>
        <v>#N/A</v>
      </c>
      <c r="V53" s="320" t="e">
        <f aca="false">IF($A53="N/A"," ",$U53*(8*($BQ53))*L53)</f>
        <v>#N/A</v>
      </c>
      <c r="W53" s="320" t="e">
        <f aca="false">IF($A53="N/A"," ",$U53*(8*($BQ53))*M53)</f>
        <v>#N/A</v>
      </c>
      <c r="X53" s="320" t="e">
        <f aca="false">IF($A53="N/A"," ",$U53*(8*($BQ53))*N53)</f>
        <v>#N/A</v>
      </c>
      <c r="Y53" s="320" t="e">
        <f aca="false">IF($A53="N/A"," ",$U53*(8*($BR53))*O53)</f>
        <v>#N/A</v>
      </c>
      <c r="Z53" s="320" t="e">
        <f aca="false">IF($A53="N/A"," ",$U53*(8*($BR53))*P53)</f>
        <v>#N/A</v>
      </c>
      <c r="AA53" s="320" t="e">
        <f aca="false">IF($A53="N/A"," ",$U53*(8*($BR53))*Q53)</f>
        <v>#N/A</v>
      </c>
      <c r="AB53" s="320" t="e">
        <f aca="false">IF($A53="N/A"," ",$U53*(8*($BS53))*R53)</f>
        <v>#N/A</v>
      </c>
      <c r="AC53" s="320" t="e">
        <f aca="false">IF($A53="N/A"," ",$U53*(8*($BS53))*S53)</f>
        <v>#N/A</v>
      </c>
      <c r="AD53" s="320" t="e">
        <f aca="false">IF($A53="N/A"," ",$U53*(8*($BS53))*T53)</f>
        <v>#N/A</v>
      </c>
      <c r="AE53" s="320" t="e">
        <f aca="false">IF($A53="N/A"," ",SUM(V53:AD53))</f>
        <v>#N/A</v>
      </c>
      <c r="AF53" s="321" t="n">
        <f aca="false">IF(A53="N/A"," ",(VLOOKUP(A53,PowerVolTable,(IF(VolBMO2=2,7,IF(VolBMO2=1,6,8))),FALSE())))</f>
        <v>0.16</v>
      </c>
      <c r="AG53" s="321" t="n">
        <f aca="false">IF(A53="N/A"," ",(VLOOKUP(A53,IntraPowerVol,(IF(VolBMO2=2,3,IF(VolBMO2=1,2,4))),FALSE())*VLOOKUP(MONTH($A53),Volscale,2)))</f>
        <v>0.28</v>
      </c>
      <c r="AH53" s="321" t="n">
        <f aca="false">IF($A53="N/A"," ",IF(VolType2=1,AG53,AF53))</f>
        <v>0.16</v>
      </c>
      <c r="AI53" s="321" t="n">
        <f aca="false">IF($A53="N/A"," ",(VLOOKUP($A53,OffPwrVolTable,(IF(VolBMO2=2,7,IF(VolBMO2=1,6,8))),FALSE())))</f>
        <v>0.08</v>
      </c>
      <c r="AJ53" s="321" t="n">
        <f aca="false">IF($A53="N/A"," ",(VLOOKUP($A53,OffPwrVolTable,(IF(VolBMO2=2,3,IF(VolBMO2=1,2,4))),FALSE())*VLOOKUP(MONTH($A53),Volscale,2)))</f>
        <v>0.168</v>
      </c>
      <c r="AK53" s="321" t="n">
        <f aca="false">IF($A53="N/A"," ",IF(VolType2=1,AJ53,AI53))</f>
        <v>0.08</v>
      </c>
      <c r="AL53" s="321" t="e">
        <f aca="false">IF($A53="N/A"," ",IF(PV=1,0,'Pricing Inputs2'!R86))</f>
        <v>#N/A</v>
      </c>
      <c r="AM53" s="323" t="e">
        <f aca="false">IF($A53="N/A"," ",(1+AL53/2)^(-2*((EOMONTH(A53,0)+20)-DateToday)/365.25))</f>
        <v>#N/A</v>
      </c>
      <c r="BQ53" s="0" t="n">
        <f aca="false">IF($A53="N/A"," ",(VLOOKUP($A53,NumberofDaysTable,2)))</f>
        <v>20</v>
      </c>
      <c r="BR53" s="0" t="n">
        <f aca="false">IF($A53="N/A"," ",(VLOOKUP($A53,NumberofDaysTable,3)))</f>
        <v>4</v>
      </c>
      <c r="BS53" s="0" t="n">
        <f aca="false">IF($A53="N/A"," ",(VLOOKUP($A53,NumberofDaysTable,4)))</f>
        <v>4</v>
      </c>
    </row>
    <row r="54" customFormat="false" ht="12.75" hidden="false" customHeight="false" outlineLevel="0" collapsed="false">
      <c r="A54" s="315" t="n">
        <f aca="false">IF(A53="N/A","N/A",IF(EDATE(A53,1)&gt;Inputs!$P$5,"N/A",EDATE(A53,1)))</f>
        <v>38777</v>
      </c>
      <c r="B54" s="316" t="n">
        <f aca="false">IF(A54="N/A"," ",YEAR(A54))</f>
        <v>2006</v>
      </c>
      <c r="C54" s="317" t="n">
        <f aca="false">IF($A54="N/A"," ",IF(Dayrun2=10,0,IF(Scaler2=1,(VLOOKUP(A54,ScaledPrice2,4)),(VLOOKUP(A54,ScaledPrice2,2)))))</f>
        <v>33.2276797627294</v>
      </c>
      <c r="D54" s="317" t="n">
        <f aca="false">IF(A54="N/A"," ",IF(Dayrun2&gt;=7,0,IF(Scaler2=2,VLOOKUP(A54,ScaledPrice2,2),(VLOOKUP(A54,ScaledPrice2,2))*(2-(VLOOKUP(A54,ScaledPrice2,3))))))</f>
        <v>33.2276797627294</v>
      </c>
      <c r="E54" s="317" t="n">
        <f aca="false">IF($A54="N/A"," ",IF(AND(Dayrun2&gt;=4,Dayrun2&lt;=9),0,VLOOKUP($A54,ScaledPrice2,9)))</f>
        <v>0</v>
      </c>
      <c r="F54" s="317" t="n">
        <f aca="false">IF(A54="N/A"," ",IF(OR(Dayrun2=2,Dayrun2=3,Dayrun2=5,Dayrun2=6,Dayrun2=8,Dayrun2=9),VLOOKUP(A54,ScaledPrice2,IF(Scaler2=1,6,5)),0))</f>
        <v>0</v>
      </c>
      <c r="G54" s="317" t="n">
        <f aca="false">IF(A54="N/A"," ",IF(OR(Dayrun2=2,Dayrun2=3,Dayrun2=5,Dayrun2=6),IF(Scaler2=2,F54,(VLOOKUP(A54,ScaledPrice2,5))*(2-(VLOOKUP(A54,ScaledPrice2,3)))),0))</f>
        <v>0</v>
      </c>
      <c r="H54" s="317" t="n">
        <f aca="false">IF($A54="N/A"," ",IF(OR(Dayrun2=2,Dayrun2=3,Dayrun2=10),VLOOKUP($A54,ScaledPrice2,9),0))</f>
        <v>0</v>
      </c>
      <c r="I54" s="317" t="n">
        <f aca="false">IF(A54="N/A"," ",IF(OR(Dayrun2=3,Dayrun2=6,Dayrun2=9),(VLOOKUP(A54,ScaledPrice2,IF(Scaler2=2,7,8))),0))</f>
        <v>0</v>
      </c>
      <c r="J54" s="317" t="n">
        <f aca="false">IF(A54="N/A"," ",IF(OR(Dayrun2=3,Dayrun2=6),IF(Scaler2=2,I54,(VLOOKUP(A54,ScaledPrice2,7))*(2-(VLOOKUP(A54,ScaledPrice2,3)))),0))</f>
        <v>0</v>
      </c>
      <c r="K54" s="317" t="n">
        <f aca="false">IF($A54="N/A"," ",IF(OR(Dayrun2=3,Dayrun2=10),VLOOKUP($A54,ScaledPrice2,9),0))</f>
        <v>0</v>
      </c>
      <c r="L54" s="318" t="e">
        <f aca="false">IF($A54="N/A"," ",IF(Pricetype2=2,MAX(C54,0),IF(OR(Pricetype2=1,Pricetype2=4),IF(C54=0,0,(EURO(C54,Strikeprice2,0,0,($AH54+IF(Smile=TRUE(),VLOOKUP(MAX(-5,Strikeprice2-C54),Volsmile,2),0)),($A54-DateToday)+15,IF(Pricetype2=1,1,0),0))),C54)))</f>
        <v>#NAME?</v>
      </c>
      <c r="M54" s="318" t="e">
        <f aca="false">IF($A54="N/A"," ",IF(Pricetype2=2,MAX(D54,0),IF(OR(Pricetype2=1,Pricetype2=4),IF(D54=0,0,(EURO(D54,Strikeprice2,0,0,($AH54+IF(Smile=TRUE(),VLOOKUP(MAX(-5,Strikeprice2-D54),Volsmile,2),0)),($A54-DateToday)+15,IF(Pricetype2=1,1,0),0))),D54)))</f>
        <v>#NAME?</v>
      </c>
      <c r="N54" s="318" t="n">
        <f aca="false">IF($A54="N/A"," ",IF(Pricetype2=2,MAX(E54,0),IF(OR(Pricetype2=1,Pricetype2=4),IF(E54=0,0,(EURO(E54,Strikeprice2,0,0,($AK54+IF(Smile=TRUE(),VLOOKUP(MAX(-5,Strikeprice2-E54),Volsmile,2),0)),($A54-DateToday)+15,IF(Pricetype2=1,1,0),0))),E54)))</f>
        <v>0</v>
      </c>
      <c r="O54" s="318" t="n">
        <f aca="false">IF($A54="N/A"," ",IF(Pricetype2=2,MAX(F54,0),IF(OR(Pricetype2=1,Pricetype2=4),IF(F54=0,0,(EURO(F54,Strikeprice2,0,0,($AK54+IF(Smile=TRUE(),VLOOKUP(MAX(-5,Strikeprice2-F54),Volsmile,2),0)),($A54-DateToday)+15,IF(Pricetype2=1,1,0),0))),F54)))</f>
        <v>0</v>
      </c>
      <c r="P54" s="318" t="n">
        <f aca="false">IF($A54="N/A"," ",IF(Pricetype2=2,MAX(G54,0),IF(OR(Pricetype2=1,Pricetype2=4),IF(G54=0,0,(EURO(G54,Strikeprice2,0,0,($AK54+IF(Smile=TRUE(),VLOOKUP(MAX(-5,Strikeprice2-G54),Volsmile,2),0)),($A54-DateToday)+15,IF(Pricetype2=1,1,0),0))),G54)))</f>
        <v>0</v>
      </c>
      <c r="Q54" s="318" t="n">
        <f aca="false">IF($A54="N/A"," ",IF(Pricetype2=2,MAX(H54,0),IF(OR(Pricetype2=1,Pricetype2=4),IF(H54=0,0,(EURO(H54,Strikeprice2,0,0,($AK54+IF(Smile=TRUE(),VLOOKUP(MAX(-5,Strikeprice2-H54),Volsmile,2),0)),($A54-DateToday)+15,IF(Pricetype2=1,1,0),0))),H54)))</f>
        <v>0</v>
      </c>
      <c r="R54" s="318" t="n">
        <f aca="false">IF($A54="N/A"," ",IF(Pricetype2=2,MAX(I54,0),IF(OR(Pricetype2=1,Pricetype2=4),IF(I54=0,0,(EURO(I54,Strikeprice2,0,0,($AK54+IF(Smile=TRUE(),VLOOKUP(MAX(-5,Strikeprice2-I54),Volsmile,2),0)),($A54-DateToday)+15,IF(Pricetype2=1,1,0),0))),I54)))</f>
        <v>0</v>
      </c>
      <c r="S54" s="318" t="n">
        <f aca="false">IF($A54="N/A"," ",IF(Pricetype2=2,MAX(J54,0),IF(OR(Pricetype2=1,Pricetype2=4),IF(J54=0,0,(EURO(J54,Strikeprice2,0,0,($AK54+IF(Smile=TRUE(),VLOOKUP(MAX(-5,Strikeprice2-J54),Volsmile,2),0)),($A54-DateToday)+15,IF(Pricetype2=1,1,0),0))),J54)))</f>
        <v>0</v>
      </c>
      <c r="T54" s="318" t="n">
        <f aca="false">IF($A54="N/A"," ",IF(Pricetype2=2,MAX(K54,0),IF(OR(Pricetype2=1,Pricetype2=4),IF(K54=0,0,(EURO(K54,Strikeprice2,0,0,($AK54+IF(Smile=TRUE(),VLOOKUP(MAX(-5,Strikeprice2-K54),Volsmile,2),0)),($A54-DateToday)+15,IF(Pricetype2=1,1,0),0))),K54)))</f>
        <v>0</v>
      </c>
      <c r="U54" s="319" t="e">
        <f aca="false">IF($A54="N/A"," ",Volume2*$AM54)</f>
        <v>#N/A</v>
      </c>
      <c r="V54" s="320" t="e">
        <f aca="false">IF($A54="N/A"," ",$U54*(8*($BQ54))*L54)</f>
        <v>#N/A</v>
      </c>
      <c r="W54" s="320" t="e">
        <f aca="false">IF($A54="N/A"," ",$U54*(8*($BQ54))*M54)</f>
        <v>#N/A</v>
      </c>
      <c r="X54" s="320" t="e">
        <f aca="false">IF($A54="N/A"," ",$U54*(8*($BQ54))*N54)</f>
        <v>#N/A</v>
      </c>
      <c r="Y54" s="320" t="e">
        <f aca="false">IF($A54="N/A"," ",$U54*(8*($BR54))*O54)</f>
        <v>#N/A</v>
      </c>
      <c r="Z54" s="320" t="e">
        <f aca="false">IF($A54="N/A"," ",$U54*(8*($BR54))*P54)</f>
        <v>#N/A</v>
      </c>
      <c r="AA54" s="320" t="e">
        <f aca="false">IF($A54="N/A"," ",$U54*(8*($BR54))*Q54)</f>
        <v>#N/A</v>
      </c>
      <c r="AB54" s="320" t="e">
        <f aca="false">IF($A54="N/A"," ",$U54*(8*($BS54))*R54)</f>
        <v>#N/A</v>
      </c>
      <c r="AC54" s="320" t="e">
        <f aca="false">IF($A54="N/A"," ",$U54*(8*($BS54))*S54)</f>
        <v>#N/A</v>
      </c>
      <c r="AD54" s="320" t="e">
        <f aca="false">IF($A54="N/A"," ",$U54*(8*($BS54))*T54)</f>
        <v>#N/A</v>
      </c>
      <c r="AE54" s="320" t="e">
        <f aca="false">IF($A54="N/A"," ",SUM(V54:AD54))</f>
        <v>#N/A</v>
      </c>
      <c r="AF54" s="321" t="n">
        <f aca="false">IF(A54="N/A"," ",(VLOOKUP(A54,PowerVolTable,(IF(VolBMO2=2,7,IF(VolBMO2=1,6,8))),FALSE())))</f>
        <v>0.16</v>
      </c>
      <c r="AG54" s="321" t="n">
        <f aca="false">IF(A54="N/A"," ",(VLOOKUP(A54,IntraPowerVol,(IF(VolBMO2=2,3,IF(VolBMO2=1,2,4))),FALSE())*VLOOKUP(MONTH($A54),Volscale,2)))</f>
        <v>0.28</v>
      </c>
      <c r="AH54" s="321" t="n">
        <f aca="false">IF($A54="N/A"," ",IF(VolType2=1,AG54,AF54))</f>
        <v>0.16</v>
      </c>
      <c r="AI54" s="321" t="n">
        <f aca="false">IF($A54="N/A"," ",(VLOOKUP($A54,OffPwrVolTable,(IF(VolBMO2=2,7,IF(VolBMO2=1,6,8))),FALSE())))</f>
        <v>0.08</v>
      </c>
      <c r="AJ54" s="321" t="n">
        <f aca="false">IF($A54="N/A"," ",(VLOOKUP($A54,OffPwrVolTable,(IF(VolBMO2=2,3,IF(VolBMO2=1,2,4))),FALSE())*VLOOKUP(MONTH($A54),Volscale,2)))</f>
        <v>0.168</v>
      </c>
      <c r="AK54" s="321" t="n">
        <f aca="false">IF($A54="N/A"," ",IF(VolType2=1,AJ54,AI54))</f>
        <v>0.08</v>
      </c>
      <c r="AL54" s="321" t="e">
        <f aca="false">IF($A54="N/A"," ",IF(PV=1,0,'Pricing Inputs2'!R87))</f>
        <v>#N/A</v>
      </c>
      <c r="AM54" s="323" t="e">
        <f aca="false">IF($A54="N/A"," ",(1+AL54/2)^(-2*((EOMONTH(A54,0)+20)-DateToday)/365.25))</f>
        <v>#N/A</v>
      </c>
      <c r="BQ54" s="0" t="n">
        <f aca="false">IF($A54="N/A"," ",(VLOOKUP($A54,NumberofDaysTable,2)))</f>
        <v>23</v>
      </c>
      <c r="BR54" s="0" t="n">
        <f aca="false">IF($A54="N/A"," ",(VLOOKUP($A54,NumberofDaysTable,3)))</f>
        <v>4</v>
      </c>
      <c r="BS54" s="0" t="n">
        <f aca="false">IF($A54="N/A"," ",(VLOOKUP($A54,NumberofDaysTable,4)))</f>
        <v>4</v>
      </c>
    </row>
    <row r="55" customFormat="false" ht="12.75" hidden="false" customHeight="false" outlineLevel="0" collapsed="false">
      <c r="A55" s="315" t="n">
        <f aca="false">IF(A54="N/A","N/A",IF(EDATE(A54,1)&gt;Inputs!$P$5,"N/A",EDATE(A54,1)))</f>
        <v>38808</v>
      </c>
      <c r="B55" s="316" t="n">
        <f aca="false">IF(A55="N/A"," ",YEAR(A55))</f>
        <v>2006</v>
      </c>
      <c r="C55" s="317" t="n">
        <f aca="false">IF($A55="N/A"," ",IF(Dayrun2=10,0,IF(Scaler2=1,(VLOOKUP(A55,ScaledPrice2,4)),(VLOOKUP(A55,ScaledPrice2,2)))))</f>
        <v>33.4276805256688</v>
      </c>
      <c r="D55" s="317" t="n">
        <f aca="false">IF(A55="N/A"," ",IF(Dayrun2&gt;=7,0,IF(Scaler2=2,VLOOKUP(A55,ScaledPrice2,2),(VLOOKUP(A55,ScaledPrice2,2))*(2-(VLOOKUP(A55,ScaledPrice2,3))))))</f>
        <v>33.4276805256688</v>
      </c>
      <c r="E55" s="317" t="n">
        <f aca="false">IF($A55="N/A"," ",IF(AND(Dayrun2&gt;=4,Dayrun2&lt;=9),0,VLOOKUP($A55,ScaledPrice2,9)))</f>
        <v>0</v>
      </c>
      <c r="F55" s="317" t="n">
        <f aca="false">IF(A55="N/A"," ",IF(OR(Dayrun2=2,Dayrun2=3,Dayrun2=5,Dayrun2=6,Dayrun2=8,Dayrun2=9),VLOOKUP(A55,ScaledPrice2,IF(Scaler2=1,6,5)),0))</f>
        <v>0</v>
      </c>
      <c r="G55" s="317" t="n">
        <f aca="false">IF(A55="N/A"," ",IF(OR(Dayrun2=2,Dayrun2=3,Dayrun2=5,Dayrun2=6),IF(Scaler2=2,F55,(VLOOKUP(A55,ScaledPrice2,5))*(2-(VLOOKUP(A55,ScaledPrice2,3)))),0))</f>
        <v>0</v>
      </c>
      <c r="H55" s="317" t="n">
        <f aca="false">IF($A55="N/A"," ",IF(OR(Dayrun2=2,Dayrun2=3,Dayrun2=10),VLOOKUP($A55,ScaledPrice2,9),0))</f>
        <v>0</v>
      </c>
      <c r="I55" s="317" t="n">
        <f aca="false">IF(A55="N/A"," ",IF(OR(Dayrun2=3,Dayrun2=6,Dayrun2=9),(VLOOKUP(A55,ScaledPrice2,IF(Scaler2=2,7,8))),0))</f>
        <v>0</v>
      </c>
      <c r="J55" s="317" t="n">
        <f aca="false">IF(A55="N/A"," ",IF(OR(Dayrun2=3,Dayrun2=6),IF(Scaler2=2,I55,(VLOOKUP(A55,ScaledPrice2,7))*(2-(VLOOKUP(A55,ScaledPrice2,3)))),0))</f>
        <v>0</v>
      </c>
      <c r="K55" s="317" t="n">
        <f aca="false">IF($A55="N/A"," ",IF(OR(Dayrun2=3,Dayrun2=10),VLOOKUP($A55,ScaledPrice2,9),0))</f>
        <v>0</v>
      </c>
      <c r="L55" s="318" t="e">
        <f aca="false">IF($A55="N/A"," ",IF(Pricetype2=2,MAX(C55,0),IF(OR(Pricetype2=1,Pricetype2=4),IF(C55=0,0,(EURO(C55,Strikeprice2,0,0,($AH55+IF(Smile=TRUE(),VLOOKUP(MAX(-5,Strikeprice2-C55),Volsmile,2),0)),($A55-DateToday)+15,IF(Pricetype2=1,1,0),0))),C55)))</f>
        <v>#NAME?</v>
      </c>
      <c r="M55" s="318" t="e">
        <f aca="false">IF($A55="N/A"," ",IF(Pricetype2=2,MAX(D55,0),IF(OR(Pricetype2=1,Pricetype2=4),IF(D55=0,0,(EURO(D55,Strikeprice2,0,0,($AH55+IF(Smile=TRUE(),VLOOKUP(MAX(-5,Strikeprice2-D55),Volsmile,2),0)),($A55-DateToday)+15,IF(Pricetype2=1,1,0),0))),D55)))</f>
        <v>#NAME?</v>
      </c>
      <c r="N55" s="318" t="n">
        <f aca="false">IF($A55="N/A"," ",IF(Pricetype2=2,MAX(E55,0),IF(OR(Pricetype2=1,Pricetype2=4),IF(E55=0,0,(EURO(E55,Strikeprice2,0,0,($AK55+IF(Smile=TRUE(),VLOOKUP(MAX(-5,Strikeprice2-E55),Volsmile,2),0)),($A55-DateToday)+15,IF(Pricetype2=1,1,0),0))),E55)))</f>
        <v>0</v>
      </c>
      <c r="O55" s="318" t="n">
        <f aca="false">IF($A55="N/A"," ",IF(Pricetype2=2,MAX(F55,0),IF(OR(Pricetype2=1,Pricetype2=4),IF(F55=0,0,(EURO(F55,Strikeprice2,0,0,($AK55+IF(Smile=TRUE(),VLOOKUP(MAX(-5,Strikeprice2-F55),Volsmile,2),0)),($A55-DateToday)+15,IF(Pricetype2=1,1,0),0))),F55)))</f>
        <v>0</v>
      </c>
      <c r="P55" s="318" t="n">
        <f aca="false">IF($A55="N/A"," ",IF(Pricetype2=2,MAX(G55,0),IF(OR(Pricetype2=1,Pricetype2=4),IF(G55=0,0,(EURO(G55,Strikeprice2,0,0,($AK55+IF(Smile=TRUE(),VLOOKUP(MAX(-5,Strikeprice2-G55),Volsmile,2),0)),($A55-DateToday)+15,IF(Pricetype2=1,1,0),0))),G55)))</f>
        <v>0</v>
      </c>
      <c r="Q55" s="318" t="n">
        <f aca="false">IF($A55="N/A"," ",IF(Pricetype2=2,MAX(H55,0),IF(OR(Pricetype2=1,Pricetype2=4),IF(H55=0,0,(EURO(H55,Strikeprice2,0,0,($AK55+IF(Smile=TRUE(),VLOOKUP(MAX(-5,Strikeprice2-H55),Volsmile,2),0)),($A55-DateToday)+15,IF(Pricetype2=1,1,0),0))),H55)))</f>
        <v>0</v>
      </c>
      <c r="R55" s="318" t="n">
        <f aca="false">IF($A55="N/A"," ",IF(Pricetype2=2,MAX(I55,0),IF(OR(Pricetype2=1,Pricetype2=4),IF(I55=0,0,(EURO(I55,Strikeprice2,0,0,($AK55+IF(Smile=TRUE(),VLOOKUP(MAX(-5,Strikeprice2-I55),Volsmile,2),0)),($A55-DateToday)+15,IF(Pricetype2=1,1,0),0))),I55)))</f>
        <v>0</v>
      </c>
      <c r="S55" s="318" t="n">
        <f aca="false">IF($A55="N/A"," ",IF(Pricetype2=2,MAX(J55,0),IF(OR(Pricetype2=1,Pricetype2=4),IF(J55=0,0,(EURO(J55,Strikeprice2,0,0,($AK55+IF(Smile=TRUE(),VLOOKUP(MAX(-5,Strikeprice2-J55),Volsmile,2),0)),($A55-DateToday)+15,IF(Pricetype2=1,1,0),0))),J55)))</f>
        <v>0</v>
      </c>
      <c r="T55" s="318" t="n">
        <f aca="false">IF($A55="N/A"," ",IF(Pricetype2=2,MAX(K55,0),IF(OR(Pricetype2=1,Pricetype2=4),IF(K55=0,0,(EURO(K55,Strikeprice2,0,0,($AK55+IF(Smile=TRUE(),VLOOKUP(MAX(-5,Strikeprice2-K55),Volsmile,2),0)),($A55-DateToday)+15,IF(Pricetype2=1,1,0),0))),K55)))</f>
        <v>0</v>
      </c>
      <c r="U55" s="319" t="e">
        <f aca="false">IF($A55="N/A"," ",Volume2*$AM55)</f>
        <v>#N/A</v>
      </c>
      <c r="V55" s="320" t="e">
        <f aca="false">IF($A55="N/A"," ",$U55*(8*($BQ55))*L55)</f>
        <v>#N/A</v>
      </c>
      <c r="W55" s="320" t="e">
        <f aca="false">IF($A55="N/A"," ",$U55*(8*($BQ55))*M55)</f>
        <v>#N/A</v>
      </c>
      <c r="X55" s="320" t="e">
        <f aca="false">IF($A55="N/A"," ",$U55*(8*($BQ55))*N55)</f>
        <v>#N/A</v>
      </c>
      <c r="Y55" s="320" t="e">
        <f aca="false">IF($A55="N/A"," ",$U55*(8*($BR55))*O55)</f>
        <v>#N/A</v>
      </c>
      <c r="Z55" s="320" t="e">
        <f aca="false">IF($A55="N/A"," ",$U55*(8*($BR55))*P55)</f>
        <v>#N/A</v>
      </c>
      <c r="AA55" s="320" t="e">
        <f aca="false">IF($A55="N/A"," ",$U55*(8*($BR55))*Q55)</f>
        <v>#N/A</v>
      </c>
      <c r="AB55" s="320" t="e">
        <f aca="false">IF($A55="N/A"," ",$U55*(8*($BS55))*R55)</f>
        <v>#N/A</v>
      </c>
      <c r="AC55" s="320" t="e">
        <f aca="false">IF($A55="N/A"," ",$U55*(8*($BS55))*S55)</f>
        <v>#N/A</v>
      </c>
      <c r="AD55" s="320" t="e">
        <f aca="false">IF($A55="N/A"," ",$U55*(8*($BS55))*T55)</f>
        <v>#N/A</v>
      </c>
      <c r="AE55" s="320" t="e">
        <f aca="false">IF($A55="N/A"," ",SUM(V55:AD55))</f>
        <v>#N/A</v>
      </c>
      <c r="AF55" s="321" t="n">
        <f aca="false">IF(A55="N/A"," ",(VLOOKUP(A55,PowerVolTable,(IF(VolBMO2=2,7,IF(VolBMO2=1,6,8))),FALSE())))</f>
        <v>0.16</v>
      </c>
      <c r="AG55" s="321" t="n">
        <f aca="false">IF(A55="N/A"," ",(VLOOKUP(A55,IntraPowerVol,(IF(VolBMO2=2,3,IF(VolBMO2=1,2,4))),FALSE())*VLOOKUP(MONTH($A55),Volscale,2)))</f>
        <v>0.28</v>
      </c>
      <c r="AH55" s="321" t="n">
        <f aca="false">IF($A55="N/A"," ",IF(VolType2=1,AG55,AF55))</f>
        <v>0.16</v>
      </c>
      <c r="AI55" s="321" t="n">
        <f aca="false">IF($A55="N/A"," ",(VLOOKUP($A55,OffPwrVolTable,(IF(VolBMO2=2,7,IF(VolBMO2=1,6,8))),FALSE())))</f>
        <v>0.08</v>
      </c>
      <c r="AJ55" s="321" t="n">
        <f aca="false">IF($A55="N/A"," ",(VLOOKUP($A55,OffPwrVolTable,(IF(VolBMO2=2,3,IF(VolBMO2=1,2,4))),FALSE())*VLOOKUP(MONTH($A55),Volscale,2)))</f>
        <v>0.168</v>
      </c>
      <c r="AK55" s="321" t="n">
        <f aca="false">IF($A55="N/A"," ",IF(VolType2=1,AJ55,AI55))</f>
        <v>0.08</v>
      </c>
      <c r="AL55" s="321" t="e">
        <f aca="false">IF($A55="N/A"," ",IF(PV=1,0,'Pricing Inputs2'!R88))</f>
        <v>#N/A</v>
      </c>
      <c r="AM55" s="323" t="e">
        <f aca="false">IF($A55="N/A"," ",(1+AL55/2)^(-2*((EOMONTH(A55,0)+20)-DateToday)/365.25))</f>
        <v>#N/A</v>
      </c>
      <c r="BQ55" s="0" t="n">
        <f aca="false">IF($A55="N/A"," ",(VLOOKUP($A55,NumberofDaysTable,2)))</f>
        <v>20</v>
      </c>
      <c r="BR55" s="0" t="n">
        <f aca="false">IF($A55="N/A"," ",(VLOOKUP($A55,NumberofDaysTable,3)))</f>
        <v>5</v>
      </c>
      <c r="BS55" s="0" t="n">
        <f aca="false">IF($A55="N/A"," ",(VLOOKUP($A55,NumberofDaysTable,4)))</f>
        <v>5</v>
      </c>
    </row>
    <row r="56" customFormat="false" ht="12.75" hidden="false" customHeight="false" outlineLevel="0" collapsed="false">
      <c r="A56" s="315" t="n">
        <f aca="false">IF(A55="N/A","N/A",IF(EDATE(A55,1)&gt;Inputs!$P$5,"N/A",EDATE(A55,1)))</f>
        <v>38838</v>
      </c>
      <c r="B56" s="316" t="n">
        <f aca="false">IF(A56="N/A"," ",YEAR(A56))</f>
        <v>2006</v>
      </c>
      <c r="C56" s="317" t="n">
        <f aca="false">IF($A56="N/A"," ",IF(Dayrun2=10,0,IF(Scaler2=1,(VLOOKUP(A56,ScaledPrice2,4)),(VLOOKUP(A56,ScaledPrice2,2)))))</f>
        <v>36.7050018310547</v>
      </c>
      <c r="D56" s="317" t="n">
        <f aca="false">IF(A56="N/A"," ",IF(Dayrun2&gt;=7,0,IF(Scaler2=2,VLOOKUP(A56,ScaledPrice2,2),(VLOOKUP(A56,ScaledPrice2,2))*(2-(VLOOKUP(A56,ScaledPrice2,3))))))</f>
        <v>36.7050018310547</v>
      </c>
      <c r="E56" s="317" t="n">
        <f aca="false">IF($A56="N/A"," ",IF(AND(Dayrun2&gt;=4,Dayrun2&lt;=9),0,VLOOKUP($A56,ScaledPrice2,9)))</f>
        <v>0</v>
      </c>
      <c r="F56" s="317" t="n">
        <f aca="false">IF(A56="N/A"," ",IF(OR(Dayrun2=2,Dayrun2=3,Dayrun2=5,Dayrun2=6,Dayrun2=8,Dayrun2=9),VLOOKUP(A56,ScaledPrice2,IF(Scaler2=1,6,5)),0))</f>
        <v>0</v>
      </c>
      <c r="G56" s="317" t="n">
        <f aca="false">IF(A56="N/A"," ",IF(OR(Dayrun2=2,Dayrun2=3,Dayrun2=5,Dayrun2=6),IF(Scaler2=2,F56,(VLOOKUP(A56,ScaledPrice2,5))*(2-(VLOOKUP(A56,ScaledPrice2,3)))),0))</f>
        <v>0</v>
      </c>
      <c r="H56" s="317" t="n">
        <f aca="false">IF($A56="N/A"," ",IF(OR(Dayrun2=2,Dayrun2=3,Dayrun2=10),VLOOKUP($A56,ScaledPrice2,9),0))</f>
        <v>0</v>
      </c>
      <c r="I56" s="317" t="n">
        <f aca="false">IF(A56="N/A"," ",IF(OR(Dayrun2=3,Dayrun2=6,Dayrun2=9),(VLOOKUP(A56,ScaledPrice2,IF(Scaler2=2,7,8))),0))</f>
        <v>0</v>
      </c>
      <c r="J56" s="317" t="n">
        <f aca="false">IF(A56="N/A"," ",IF(OR(Dayrun2=3,Dayrun2=6),IF(Scaler2=2,I56,(VLOOKUP(A56,ScaledPrice2,7))*(2-(VLOOKUP(A56,ScaledPrice2,3)))),0))</f>
        <v>0</v>
      </c>
      <c r="K56" s="317" t="n">
        <f aca="false">IF($A56="N/A"," ",IF(OR(Dayrun2=3,Dayrun2=10),VLOOKUP($A56,ScaledPrice2,9),0))</f>
        <v>0</v>
      </c>
      <c r="L56" s="318" t="e">
        <f aca="false">IF($A56="N/A"," ",IF(Pricetype2=2,MAX(C56,0),IF(OR(Pricetype2=1,Pricetype2=4),IF(C56=0,0,(EURO(C56,Strikeprice2,0,0,($AH56+IF(Smile=TRUE(),VLOOKUP(MAX(-5,Strikeprice2-C56),Volsmile,2),0)),($A56-DateToday)+15,IF(Pricetype2=1,1,0),0))),C56)))</f>
        <v>#NAME?</v>
      </c>
      <c r="M56" s="318" t="e">
        <f aca="false">IF($A56="N/A"," ",IF(Pricetype2=2,MAX(D56,0),IF(OR(Pricetype2=1,Pricetype2=4),IF(D56=0,0,(EURO(D56,Strikeprice2,0,0,($AH56+IF(Smile=TRUE(),VLOOKUP(MAX(-5,Strikeprice2-D56),Volsmile,2),0)),($A56-DateToday)+15,IF(Pricetype2=1,1,0),0))),D56)))</f>
        <v>#NAME?</v>
      </c>
      <c r="N56" s="318" t="n">
        <f aca="false">IF($A56="N/A"," ",IF(Pricetype2=2,MAX(E56,0),IF(OR(Pricetype2=1,Pricetype2=4),IF(E56=0,0,(EURO(E56,Strikeprice2,0,0,($AK56+IF(Smile=TRUE(),VLOOKUP(MAX(-5,Strikeprice2-E56),Volsmile,2),0)),($A56-DateToday)+15,IF(Pricetype2=1,1,0),0))),E56)))</f>
        <v>0</v>
      </c>
      <c r="O56" s="318" t="n">
        <f aca="false">IF($A56="N/A"," ",IF(Pricetype2=2,MAX(F56,0),IF(OR(Pricetype2=1,Pricetype2=4),IF(F56=0,0,(EURO(F56,Strikeprice2,0,0,($AK56+IF(Smile=TRUE(),VLOOKUP(MAX(-5,Strikeprice2-F56),Volsmile,2),0)),($A56-DateToday)+15,IF(Pricetype2=1,1,0),0))),F56)))</f>
        <v>0</v>
      </c>
      <c r="P56" s="318" t="n">
        <f aca="false">IF($A56="N/A"," ",IF(Pricetype2=2,MAX(G56,0),IF(OR(Pricetype2=1,Pricetype2=4),IF(G56=0,0,(EURO(G56,Strikeprice2,0,0,($AK56+IF(Smile=TRUE(),VLOOKUP(MAX(-5,Strikeprice2-G56),Volsmile,2),0)),($A56-DateToday)+15,IF(Pricetype2=1,1,0),0))),G56)))</f>
        <v>0</v>
      </c>
      <c r="Q56" s="318" t="n">
        <f aca="false">IF($A56="N/A"," ",IF(Pricetype2=2,MAX(H56,0),IF(OR(Pricetype2=1,Pricetype2=4),IF(H56=0,0,(EURO(H56,Strikeprice2,0,0,($AK56+IF(Smile=TRUE(),VLOOKUP(MAX(-5,Strikeprice2-H56),Volsmile,2),0)),($A56-DateToday)+15,IF(Pricetype2=1,1,0),0))),H56)))</f>
        <v>0</v>
      </c>
      <c r="R56" s="318" t="n">
        <f aca="false">IF($A56="N/A"," ",IF(Pricetype2=2,MAX(I56,0),IF(OR(Pricetype2=1,Pricetype2=4),IF(I56=0,0,(EURO(I56,Strikeprice2,0,0,($AK56+IF(Smile=TRUE(),VLOOKUP(MAX(-5,Strikeprice2-I56),Volsmile,2),0)),($A56-DateToday)+15,IF(Pricetype2=1,1,0),0))),I56)))</f>
        <v>0</v>
      </c>
      <c r="S56" s="318" t="n">
        <f aca="false">IF($A56="N/A"," ",IF(Pricetype2=2,MAX(J56,0),IF(OR(Pricetype2=1,Pricetype2=4),IF(J56=0,0,(EURO(J56,Strikeprice2,0,0,($AK56+IF(Smile=TRUE(),VLOOKUP(MAX(-5,Strikeprice2-J56),Volsmile,2),0)),($A56-DateToday)+15,IF(Pricetype2=1,1,0),0))),J56)))</f>
        <v>0</v>
      </c>
      <c r="T56" s="318" t="n">
        <f aca="false">IF($A56="N/A"," ",IF(Pricetype2=2,MAX(K56,0),IF(OR(Pricetype2=1,Pricetype2=4),IF(K56=0,0,(EURO(K56,Strikeprice2,0,0,($AK56+IF(Smile=TRUE(),VLOOKUP(MAX(-5,Strikeprice2-K56),Volsmile,2),0)),($A56-DateToday)+15,IF(Pricetype2=1,1,0),0))),K56)))</f>
        <v>0</v>
      </c>
      <c r="U56" s="319" t="e">
        <f aca="false">IF($A56="N/A"," ",Volume2*$AM56)</f>
        <v>#N/A</v>
      </c>
      <c r="V56" s="320" t="e">
        <f aca="false">IF($A56="N/A"," ",$U56*(8*($BQ56))*L56)</f>
        <v>#N/A</v>
      </c>
      <c r="W56" s="320" t="e">
        <f aca="false">IF($A56="N/A"," ",$U56*(8*($BQ56))*M56)</f>
        <v>#N/A</v>
      </c>
      <c r="X56" s="320" t="e">
        <f aca="false">IF($A56="N/A"," ",$U56*(8*($BQ56))*N56)</f>
        <v>#N/A</v>
      </c>
      <c r="Y56" s="320" t="e">
        <f aca="false">IF($A56="N/A"," ",$U56*(8*($BR56))*O56)</f>
        <v>#N/A</v>
      </c>
      <c r="Z56" s="320" t="e">
        <f aca="false">IF($A56="N/A"," ",$U56*(8*($BR56))*P56)</f>
        <v>#N/A</v>
      </c>
      <c r="AA56" s="320" t="e">
        <f aca="false">IF($A56="N/A"," ",$U56*(8*($BR56))*Q56)</f>
        <v>#N/A</v>
      </c>
      <c r="AB56" s="320" t="e">
        <f aca="false">IF($A56="N/A"," ",$U56*(8*($BS56))*R56)</f>
        <v>#N/A</v>
      </c>
      <c r="AC56" s="320" t="e">
        <f aca="false">IF($A56="N/A"," ",$U56*(8*($BS56))*S56)</f>
        <v>#N/A</v>
      </c>
      <c r="AD56" s="320" t="e">
        <f aca="false">IF($A56="N/A"," ",$U56*(8*($BS56))*T56)</f>
        <v>#N/A</v>
      </c>
      <c r="AE56" s="320" t="e">
        <f aca="false">IF($A56="N/A"," ",SUM(V56:AD56))</f>
        <v>#N/A</v>
      </c>
      <c r="AF56" s="321" t="n">
        <f aca="false">IF(A56="N/A"," ",(VLOOKUP(A56,PowerVolTable,(IF(VolBMO2=2,7,IF(VolBMO2=1,6,8))),FALSE())))</f>
        <v>0.16</v>
      </c>
      <c r="AG56" s="321" t="n">
        <f aca="false">IF(A56="N/A"," ",(VLOOKUP(A56,IntraPowerVol,(IF(VolBMO2=2,3,IF(VolBMO2=1,2,4))),FALSE())*VLOOKUP(MONTH($A56),Volscale,2)))</f>
        <v>0.36</v>
      </c>
      <c r="AH56" s="321" t="n">
        <f aca="false">IF($A56="N/A"," ",IF(VolType2=1,AG56,AF56))</f>
        <v>0.16</v>
      </c>
      <c r="AI56" s="321" t="n">
        <f aca="false">IF($A56="N/A"," ",(VLOOKUP($A56,OffPwrVolTable,(IF(VolBMO2=2,7,IF(VolBMO2=1,6,8))),FALSE())))</f>
        <v>0.08</v>
      </c>
      <c r="AJ56" s="321" t="n">
        <f aca="false">IF($A56="N/A"," ",(VLOOKUP($A56,OffPwrVolTable,(IF(VolBMO2=2,3,IF(VolBMO2=1,2,4))),FALSE())*VLOOKUP(MONTH($A56),Volscale,2)))</f>
        <v>0.216</v>
      </c>
      <c r="AK56" s="321" t="n">
        <f aca="false">IF($A56="N/A"," ",IF(VolType2=1,AJ56,AI56))</f>
        <v>0.08</v>
      </c>
      <c r="AL56" s="321" t="e">
        <f aca="false">IF($A56="N/A"," ",IF(PV=1,0,'Pricing Inputs2'!R89))</f>
        <v>#N/A</v>
      </c>
      <c r="AM56" s="323" t="e">
        <f aca="false">IF($A56="N/A"," ",(1+AL56/2)^(-2*((EOMONTH(A56,0)+20)-DateToday)/365.25))</f>
        <v>#N/A</v>
      </c>
      <c r="BQ56" s="0" t="n">
        <f aca="false">IF($A56="N/A"," ",(VLOOKUP($A56,NumberofDaysTable,2)))</f>
        <v>22</v>
      </c>
      <c r="BR56" s="0" t="n">
        <f aca="false">IF($A56="N/A"," ",(VLOOKUP($A56,NumberofDaysTable,3)))</f>
        <v>4</v>
      </c>
      <c r="BS56" s="0" t="n">
        <f aca="false">IF($A56="N/A"," ",(VLOOKUP($A56,NumberofDaysTable,4)))</f>
        <v>5</v>
      </c>
    </row>
    <row r="57" customFormat="false" ht="12.75" hidden="false" customHeight="false" outlineLevel="0" collapsed="false">
      <c r="A57" s="315" t="n">
        <f aca="false">IF(A56="N/A","N/A",IF(EDATE(A56,1)&gt;Inputs!$P$5,"N/A",EDATE(A56,1)))</f>
        <v>38869</v>
      </c>
      <c r="B57" s="316" t="n">
        <f aca="false">IF(A57="N/A"," ",YEAR(A57))</f>
        <v>2006</v>
      </c>
      <c r="C57" s="317" t="n">
        <f aca="false">IF($A57="N/A"," ",IF(Dayrun2=10,0,IF(Scaler2=1,(VLOOKUP(A57,ScaledPrice2,4)),(VLOOKUP(A57,ScaledPrice2,2)))))</f>
        <v>42.6250038146973</v>
      </c>
      <c r="D57" s="317" t="n">
        <f aca="false">IF(A57="N/A"," ",IF(Dayrun2&gt;=7,0,IF(Scaler2=2,VLOOKUP(A57,ScaledPrice2,2),(VLOOKUP(A57,ScaledPrice2,2))*(2-(VLOOKUP(A57,ScaledPrice2,3))))))</f>
        <v>42.6250038146973</v>
      </c>
      <c r="E57" s="317" t="n">
        <f aca="false">IF($A57="N/A"," ",IF(AND(Dayrun2&gt;=4,Dayrun2&lt;=9),0,VLOOKUP($A57,ScaledPrice2,9)))</f>
        <v>0</v>
      </c>
      <c r="F57" s="317" t="n">
        <f aca="false">IF(A57="N/A"," ",IF(OR(Dayrun2=2,Dayrun2=3,Dayrun2=5,Dayrun2=6,Dayrun2=8,Dayrun2=9),VLOOKUP(A57,ScaledPrice2,IF(Scaler2=1,6,5)),0))</f>
        <v>0</v>
      </c>
      <c r="G57" s="317" t="n">
        <f aca="false">IF(A57="N/A"," ",IF(OR(Dayrun2=2,Dayrun2=3,Dayrun2=5,Dayrun2=6),IF(Scaler2=2,F57,(VLOOKUP(A57,ScaledPrice2,5))*(2-(VLOOKUP(A57,ScaledPrice2,3)))),0))</f>
        <v>0</v>
      </c>
      <c r="H57" s="317" t="n">
        <f aca="false">IF($A57="N/A"," ",IF(OR(Dayrun2=2,Dayrun2=3,Dayrun2=10),VLOOKUP($A57,ScaledPrice2,9),0))</f>
        <v>0</v>
      </c>
      <c r="I57" s="317" t="n">
        <f aca="false">IF(A57="N/A"," ",IF(OR(Dayrun2=3,Dayrun2=6,Dayrun2=9),(VLOOKUP(A57,ScaledPrice2,IF(Scaler2=2,7,8))),0))</f>
        <v>0</v>
      </c>
      <c r="J57" s="317" t="n">
        <f aca="false">IF(A57="N/A"," ",IF(OR(Dayrun2=3,Dayrun2=6),IF(Scaler2=2,I57,(VLOOKUP(A57,ScaledPrice2,7))*(2-(VLOOKUP(A57,ScaledPrice2,3)))),0))</f>
        <v>0</v>
      </c>
      <c r="K57" s="317" t="n">
        <f aca="false">IF($A57="N/A"," ",IF(OR(Dayrun2=3,Dayrun2=10),VLOOKUP($A57,ScaledPrice2,9),0))</f>
        <v>0</v>
      </c>
      <c r="L57" s="318" t="e">
        <f aca="false">IF($A57="N/A"," ",IF(Pricetype2=2,MAX(C57,0),IF(OR(Pricetype2=1,Pricetype2=4),IF(C57=0,0,(EURO(C57,Strikeprice2,0,0,($AH57+IF(Smile=TRUE(),VLOOKUP(MAX(-5,Strikeprice2-C57),Volsmile,2),0)),($A57-DateToday)+15,IF(Pricetype2=1,1,0),0))),C57)))</f>
        <v>#NAME?</v>
      </c>
      <c r="M57" s="318" t="e">
        <f aca="false">IF($A57="N/A"," ",IF(Pricetype2=2,MAX(D57,0),IF(OR(Pricetype2=1,Pricetype2=4),IF(D57=0,0,(EURO(D57,Strikeprice2,0,0,($AH57+IF(Smile=TRUE(),VLOOKUP(MAX(-5,Strikeprice2-D57),Volsmile,2),0)),($A57-DateToday)+15,IF(Pricetype2=1,1,0),0))),D57)))</f>
        <v>#NAME?</v>
      </c>
      <c r="N57" s="318" t="n">
        <f aca="false">IF($A57="N/A"," ",IF(Pricetype2=2,MAX(E57,0),IF(OR(Pricetype2=1,Pricetype2=4),IF(E57=0,0,(EURO(E57,Strikeprice2,0,0,($AK57+IF(Smile=TRUE(),VLOOKUP(MAX(-5,Strikeprice2-E57),Volsmile,2),0)),($A57-DateToday)+15,IF(Pricetype2=1,1,0),0))),E57)))</f>
        <v>0</v>
      </c>
      <c r="O57" s="318" t="n">
        <f aca="false">IF($A57="N/A"," ",IF(Pricetype2=2,MAX(F57,0),IF(OR(Pricetype2=1,Pricetype2=4),IF(F57=0,0,(EURO(F57,Strikeprice2,0,0,($AK57+IF(Smile=TRUE(),VLOOKUP(MAX(-5,Strikeprice2-F57),Volsmile,2),0)),($A57-DateToday)+15,IF(Pricetype2=1,1,0),0))),F57)))</f>
        <v>0</v>
      </c>
      <c r="P57" s="318" t="n">
        <f aca="false">IF($A57="N/A"," ",IF(Pricetype2=2,MAX(G57,0),IF(OR(Pricetype2=1,Pricetype2=4),IF(G57=0,0,(EURO(G57,Strikeprice2,0,0,($AK57+IF(Smile=TRUE(),VLOOKUP(MAX(-5,Strikeprice2-G57),Volsmile,2),0)),($A57-DateToday)+15,IF(Pricetype2=1,1,0),0))),G57)))</f>
        <v>0</v>
      </c>
      <c r="Q57" s="318" t="n">
        <f aca="false">IF($A57="N/A"," ",IF(Pricetype2=2,MAX(H57,0),IF(OR(Pricetype2=1,Pricetype2=4),IF(H57=0,0,(EURO(H57,Strikeprice2,0,0,($AK57+IF(Smile=TRUE(),VLOOKUP(MAX(-5,Strikeprice2-H57),Volsmile,2),0)),($A57-DateToday)+15,IF(Pricetype2=1,1,0),0))),H57)))</f>
        <v>0</v>
      </c>
      <c r="R57" s="318" t="n">
        <f aca="false">IF($A57="N/A"," ",IF(Pricetype2=2,MAX(I57,0),IF(OR(Pricetype2=1,Pricetype2=4),IF(I57=0,0,(EURO(I57,Strikeprice2,0,0,($AK57+IF(Smile=TRUE(),VLOOKUP(MAX(-5,Strikeprice2-I57),Volsmile,2),0)),($A57-DateToday)+15,IF(Pricetype2=1,1,0),0))),I57)))</f>
        <v>0</v>
      </c>
      <c r="S57" s="318" t="n">
        <f aca="false">IF($A57="N/A"," ",IF(Pricetype2=2,MAX(J57,0),IF(OR(Pricetype2=1,Pricetype2=4),IF(J57=0,0,(EURO(J57,Strikeprice2,0,0,($AK57+IF(Smile=TRUE(),VLOOKUP(MAX(-5,Strikeprice2-J57),Volsmile,2),0)),($A57-DateToday)+15,IF(Pricetype2=1,1,0),0))),J57)))</f>
        <v>0</v>
      </c>
      <c r="T57" s="318" t="n">
        <f aca="false">IF($A57="N/A"," ",IF(Pricetype2=2,MAX(K57,0),IF(OR(Pricetype2=1,Pricetype2=4),IF(K57=0,0,(EURO(K57,Strikeprice2,0,0,($AK57+IF(Smile=TRUE(),VLOOKUP(MAX(-5,Strikeprice2-K57),Volsmile,2),0)),($A57-DateToday)+15,IF(Pricetype2=1,1,0),0))),K57)))</f>
        <v>0</v>
      </c>
      <c r="U57" s="319" t="e">
        <f aca="false">IF($A57="N/A"," ",Volume2*$AM57)</f>
        <v>#N/A</v>
      </c>
      <c r="V57" s="320" t="e">
        <f aca="false">IF($A57="N/A"," ",$U57*(8*($BQ57))*L57)</f>
        <v>#N/A</v>
      </c>
      <c r="W57" s="320" t="e">
        <f aca="false">IF($A57="N/A"," ",$U57*(8*($BQ57))*M57)</f>
        <v>#N/A</v>
      </c>
      <c r="X57" s="320" t="e">
        <f aca="false">IF($A57="N/A"," ",$U57*(8*($BQ57))*N57)</f>
        <v>#N/A</v>
      </c>
      <c r="Y57" s="320" t="e">
        <f aca="false">IF($A57="N/A"," ",$U57*(8*($BR57))*O57)</f>
        <v>#N/A</v>
      </c>
      <c r="Z57" s="320" t="e">
        <f aca="false">IF($A57="N/A"," ",$U57*(8*($BR57))*P57)</f>
        <v>#N/A</v>
      </c>
      <c r="AA57" s="320" t="e">
        <f aca="false">IF($A57="N/A"," ",$U57*(8*($BR57))*Q57)</f>
        <v>#N/A</v>
      </c>
      <c r="AB57" s="320" t="e">
        <f aca="false">IF($A57="N/A"," ",$U57*(8*($BS57))*R57)</f>
        <v>#N/A</v>
      </c>
      <c r="AC57" s="320" t="e">
        <f aca="false">IF($A57="N/A"," ",$U57*(8*($BS57))*S57)</f>
        <v>#N/A</v>
      </c>
      <c r="AD57" s="320" t="e">
        <f aca="false">IF($A57="N/A"," ",$U57*(8*($BS57))*T57)</f>
        <v>#N/A</v>
      </c>
      <c r="AE57" s="320" t="e">
        <f aca="false">IF($A57="N/A"," ",SUM(V57:AD57))</f>
        <v>#N/A</v>
      </c>
      <c r="AF57" s="321" t="n">
        <f aca="false">IF(A57="N/A"," ",(VLOOKUP(A57,PowerVolTable,(IF(VolBMO2=2,7,IF(VolBMO2=1,6,8))),FALSE())))</f>
        <v>0.16</v>
      </c>
      <c r="AG57" s="321" t="n">
        <f aca="false">IF(A57="N/A"," ",(VLOOKUP(A57,IntraPowerVol,(IF(VolBMO2=2,3,IF(VolBMO2=1,2,4))),FALSE())*VLOOKUP(MONTH($A57),Volscale,2)))</f>
        <v>0.36</v>
      </c>
      <c r="AH57" s="321" t="n">
        <f aca="false">IF($A57="N/A"," ",IF(VolType2=1,AG57,AF57))</f>
        <v>0.16</v>
      </c>
      <c r="AI57" s="321" t="n">
        <f aca="false">IF($A57="N/A"," ",(VLOOKUP($A57,OffPwrVolTable,(IF(VolBMO2=2,7,IF(VolBMO2=1,6,8))),FALSE())))</f>
        <v>0.08</v>
      </c>
      <c r="AJ57" s="321" t="n">
        <f aca="false">IF($A57="N/A"," ",(VLOOKUP($A57,OffPwrVolTable,(IF(VolBMO2=2,3,IF(VolBMO2=1,2,4))),FALSE())*VLOOKUP(MONTH($A57),Volscale,2)))</f>
        <v>0.216</v>
      </c>
      <c r="AK57" s="321" t="n">
        <f aca="false">IF($A57="N/A"," ",IF(VolType2=1,AJ57,AI57))</f>
        <v>0.08</v>
      </c>
      <c r="AL57" s="321" t="e">
        <f aca="false">IF($A57="N/A"," ",IF(PV=1,0,'Pricing Inputs2'!R90))</f>
        <v>#N/A</v>
      </c>
      <c r="AM57" s="323" t="e">
        <f aca="false">IF($A57="N/A"," ",(1+AL57/2)^(-2*((EOMONTH(A57,0)+20)-DateToday)/365.25))</f>
        <v>#N/A</v>
      </c>
      <c r="BQ57" s="0" t="n">
        <f aca="false">IF($A57="N/A"," ",(VLOOKUP($A57,NumberofDaysTable,2)))</f>
        <v>22</v>
      </c>
      <c r="BR57" s="0" t="n">
        <f aca="false">IF($A57="N/A"," ",(VLOOKUP($A57,NumberofDaysTable,3)))</f>
        <v>4</v>
      </c>
      <c r="BS57" s="0" t="n">
        <f aca="false">IF($A57="N/A"," ",(VLOOKUP($A57,NumberofDaysTable,4)))</f>
        <v>4</v>
      </c>
    </row>
    <row r="58" customFormat="false" ht="12.75" hidden="false" customHeight="false" outlineLevel="0" collapsed="false">
      <c r="A58" s="315" t="n">
        <f aca="false">IF(A57="N/A","N/A",IF(EDATE(A57,1)&gt;Inputs!$P$5,"N/A",EDATE(A57,1)))</f>
        <v>38899</v>
      </c>
      <c r="B58" s="316" t="n">
        <f aca="false">IF(A58="N/A"," ",YEAR(A58))</f>
        <v>2006</v>
      </c>
      <c r="C58" s="317" t="n">
        <f aca="false">IF($A58="N/A"," ",IF(Dayrun2=10,0,IF(Scaler2=1,(VLOOKUP(A58,ScaledPrice2,4)),(VLOOKUP(A58,ScaledPrice2,2)))))</f>
        <v>51.75</v>
      </c>
      <c r="D58" s="317" t="n">
        <f aca="false">IF(A58="N/A"," ",IF(Dayrun2&gt;=7,0,IF(Scaler2=2,VLOOKUP(A58,ScaledPrice2,2),(VLOOKUP(A58,ScaledPrice2,2))*(2-(VLOOKUP(A58,ScaledPrice2,3))))))</f>
        <v>51.75</v>
      </c>
      <c r="E58" s="317" t="n">
        <f aca="false">IF($A58="N/A"," ",IF(AND(Dayrun2&gt;=4,Dayrun2&lt;=9),0,VLOOKUP($A58,ScaledPrice2,9)))</f>
        <v>0</v>
      </c>
      <c r="F58" s="317" t="n">
        <f aca="false">IF(A58="N/A"," ",IF(OR(Dayrun2=2,Dayrun2=3,Dayrun2=5,Dayrun2=6,Dayrun2=8,Dayrun2=9),VLOOKUP(A58,ScaledPrice2,IF(Scaler2=1,6,5)),0))</f>
        <v>0</v>
      </c>
      <c r="G58" s="317" t="n">
        <f aca="false">IF(A58="N/A"," ",IF(OR(Dayrun2=2,Dayrun2=3,Dayrun2=5,Dayrun2=6),IF(Scaler2=2,F58,(VLOOKUP(A58,ScaledPrice2,5))*(2-(VLOOKUP(A58,ScaledPrice2,3)))),0))</f>
        <v>0</v>
      </c>
      <c r="H58" s="317" t="n">
        <f aca="false">IF($A58="N/A"," ",IF(OR(Dayrun2=2,Dayrun2=3,Dayrun2=10),VLOOKUP($A58,ScaledPrice2,9),0))</f>
        <v>0</v>
      </c>
      <c r="I58" s="317" t="n">
        <f aca="false">IF(A58="N/A"," ",IF(OR(Dayrun2=3,Dayrun2=6,Dayrun2=9),(VLOOKUP(A58,ScaledPrice2,IF(Scaler2=2,7,8))),0))</f>
        <v>0</v>
      </c>
      <c r="J58" s="317" t="n">
        <f aca="false">IF(A58="N/A"," ",IF(OR(Dayrun2=3,Dayrun2=6),IF(Scaler2=2,I58,(VLOOKUP(A58,ScaledPrice2,7))*(2-(VLOOKUP(A58,ScaledPrice2,3)))),0))</f>
        <v>0</v>
      </c>
      <c r="K58" s="317" t="n">
        <f aca="false">IF($A58="N/A"," ",IF(OR(Dayrun2=3,Dayrun2=10),VLOOKUP($A58,ScaledPrice2,9),0))</f>
        <v>0</v>
      </c>
      <c r="L58" s="318" t="e">
        <f aca="false">IF($A58="N/A"," ",IF(Pricetype2=2,MAX(C58,0),IF(OR(Pricetype2=1,Pricetype2=4),IF(C58=0,0,(EURO(C58,Strikeprice2,0,0,($AH58+IF(Smile=TRUE(),VLOOKUP(MAX(-5,Strikeprice2-C58),Volsmile,2),0)),($A58-DateToday)+15,IF(Pricetype2=1,1,0),0))),C58)))</f>
        <v>#NAME?</v>
      </c>
      <c r="M58" s="318" t="e">
        <f aca="false">IF($A58="N/A"," ",IF(Pricetype2=2,MAX(D58,0),IF(OR(Pricetype2=1,Pricetype2=4),IF(D58=0,0,(EURO(D58,Strikeprice2,0,0,($AH58+IF(Smile=TRUE(),VLOOKUP(MAX(-5,Strikeprice2-D58),Volsmile,2),0)),($A58-DateToday)+15,IF(Pricetype2=1,1,0),0))),D58)))</f>
        <v>#NAME?</v>
      </c>
      <c r="N58" s="318" t="n">
        <f aca="false">IF($A58="N/A"," ",IF(Pricetype2=2,MAX(E58,0),IF(OR(Pricetype2=1,Pricetype2=4),IF(E58=0,0,(EURO(E58,Strikeprice2,0,0,($AK58+IF(Smile=TRUE(),VLOOKUP(MAX(-5,Strikeprice2-E58),Volsmile,2),0)),($A58-DateToday)+15,IF(Pricetype2=1,1,0),0))),E58)))</f>
        <v>0</v>
      </c>
      <c r="O58" s="318" t="n">
        <f aca="false">IF($A58="N/A"," ",IF(Pricetype2=2,MAX(F58,0),IF(OR(Pricetype2=1,Pricetype2=4),IF(F58=0,0,(EURO(F58,Strikeprice2,0,0,($AK58+IF(Smile=TRUE(),VLOOKUP(MAX(-5,Strikeprice2-F58),Volsmile,2),0)),($A58-DateToday)+15,IF(Pricetype2=1,1,0),0))),F58)))</f>
        <v>0</v>
      </c>
      <c r="P58" s="318" t="n">
        <f aca="false">IF($A58="N/A"," ",IF(Pricetype2=2,MAX(G58,0),IF(OR(Pricetype2=1,Pricetype2=4),IF(G58=0,0,(EURO(G58,Strikeprice2,0,0,($AK58+IF(Smile=TRUE(),VLOOKUP(MAX(-5,Strikeprice2-G58),Volsmile,2),0)),($A58-DateToday)+15,IF(Pricetype2=1,1,0),0))),G58)))</f>
        <v>0</v>
      </c>
      <c r="Q58" s="318" t="n">
        <f aca="false">IF($A58="N/A"," ",IF(Pricetype2=2,MAX(H58,0),IF(OR(Pricetype2=1,Pricetype2=4),IF(H58=0,0,(EURO(H58,Strikeprice2,0,0,($AK58+IF(Smile=TRUE(),VLOOKUP(MAX(-5,Strikeprice2-H58),Volsmile,2),0)),($A58-DateToday)+15,IF(Pricetype2=1,1,0),0))),H58)))</f>
        <v>0</v>
      </c>
      <c r="R58" s="318" t="n">
        <f aca="false">IF($A58="N/A"," ",IF(Pricetype2=2,MAX(I58,0),IF(OR(Pricetype2=1,Pricetype2=4),IF(I58=0,0,(EURO(I58,Strikeprice2,0,0,($AK58+IF(Smile=TRUE(),VLOOKUP(MAX(-5,Strikeprice2-I58),Volsmile,2),0)),($A58-DateToday)+15,IF(Pricetype2=1,1,0),0))),I58)))</f>
        <v>0</v>
      </c>
      <c r="S58" s="318" t="n">
        <f aca="false">IF($A58="N/A"," ",IF(Pricetype2=2,MAX(J58,0),IF(OR(Pricetype2=1,Pricetype2=4),IF(J58=0,0,(EURO(J58,Strikeprice2,0,0,($AK58+IF(Smile=TRUE(),VLOOKUP(MAX(-5,Strikeprice2-J58),Volsmile,2),0)),($A58-DateToday)+15,IF(Pricetype2=1,1,0),0))),J58)))</f>
        <v>0</v>
      </c>
      <c r="T58" s="318" t="n">
        <f aca="false">IF($A58="N/A"," ",IF(Pricetype2=2,MAX(K58,0),IF(OR(Pricetype2=1,Pricetype2=4),IF(K58=0,0,(EURO(K58,Strikeprice2,0,0,($AK58+IF(Smile=TRUE(),VLOOKUP(MAX(-5,Strikeprice2-K58),Volsmile,2),0)),($A58-DateToday)+15,IF(Pricetype2=1,1,0),0))),K58)))</f>
        <v>0</v>
      </c>
      <c r="U58" s="319" t="e">
        <f aca="false">IF($A58="N/A"," ",Volume2*$AM58)</f>
        <v>#N/A</v>
      </c>
      <c r="V58" s="320" t="e">
        <f aca="false">IF($A58="N/A"," ",$U58*(8*($BQ58))*L58)</f>
        <v>#N/A</v>
      </c>
      <c r="W58" s="320" t="e">
        <f aca="false">IF($A58="N/A"," ",$U58*(8*($BQ58))*M58)</f>
        <v>#N/A</v>
      </c>
      <c r="X58" s="320" t="e">
        <f aca="false">IF($A58="N/A"," ",$U58*(8*($BQ58))*N58)</f>
        <v>#N/A</v>
      </c>
      <c r="Y58" s="320" t="e">
        <f aca="false">IF($A58="N/A"," ",$U58*(8*($BR58))*O58)</f>
        <v>#N/A</v>
      </c>
      <c r="Z58" s="320" t="e">
        <f aca="false">IF($A58="N/A"," ",$U58*(8*($BR58))*P58)</f>
        <v>#N/A</v>
      </c>
      <c r="AA58" s="320" t="e">
        <f aca="false">IF($A58="N/A"," ",$U58*(8*($BR58))*Q58)</f>
        <v>#N/A</v>
      </c>
      <c r="AB58" s="320" t="e">
        <f aca="false">IF($A58="N/A"," ",$U58*(8*($BS58))*R58)</f>
        <v>#N/A</v>
      </c>
      <c r="AC58" s="320" t="e">
        <f aca="false">IF($A58="N/A"," ",$U58*(8*($BS58))*S58)</f>
        <v>#N/A</v>
      </c>
      <c r="AD58" s="320" t="e">
        <f aca="false">IF($A58="N/A"," ",$U58*(8*($BS58))*T58)</f>
        <v>#N/A</v>
      </c>
      <c r="AE58" s="320" t="e">
        <f aca="false">IF($A58="N/A"," ",SUM(V58:AD58))</f>
        <v>#N/A</v>
      </c>
      <c r="AF58" s="321" t="n">
        <f aca="false">IF(A58="N/A"," ",(VLOOKUP(A58,PowerVolTable,(IF(VolBMO2=2,7,IF(VolBMO2=1,6,8))),FALSE())))</f>
        <v>0.24</v>
      </c>
      <c r="AG58" s="321" t="n">
        <f aca="false">IF(A58="N/A"," ",(VLOOKUP(A58,IntraPowerVol,(IF(VolBMO2=2,3,IF(VolBMO2=1,2,4))),FALSE())*VLOOKUP(MONTH($A58),Volscale,2)))</f>
        <v>0.48</v>
      </c>
      <c r="AH58" s="321" t="n">
        <f aca="false">IF($A58="N/A"," ",IF(VolType2=1,AG58,AF58))</f>
        <v>0.24</v>
      </c>
      <c r="AI58" s="321" t="n">
        <f aca="false">IF($A58="N/A"," ",(VLOOKUP($A58,OffPwrVolTable,(IF(VolBMO2=2,7,IF(VolBMO2=1,6,8))),FALSE())))</f>
        <v>0.12</v>
      </c>
      <c r="AJ58" s="321" t="n">
        <f aca="false">IF($A58="N/A"," ",(VLOOKUP($A58,OffPwrVolTable,(IF(VolBMO2=2,3,IF(VolBMO2=1,2,4))),FALSE())*VLOOKUP(MONTH($A58),Volscale,2)))</f>
        <v>0.288</v>
      </c>
      <c r="AK58" s="321" t="n">
        <f aca="false">IF($A58="N/A"," ",IF(VolType2=1,AJ58,AI58))</f>
        <v>0.12</v>
      </c>
      <c r="AL58" s="321" t="e">
        <f aca="false">IF($A58="N/A"," ",IF(PV=1,0,'Pricing Inputs2'!R91))</f>
        <v>#N/A</v>
      </c>
      <c r="AM58" s="323" t="e">
        <f aca="false">IF($A58="N/A"," ",(1+AL58/2)^(-2*((EOMONTH(A58,0)+20)-DateToday)/365.25))</f>
        <v>#N/A</v>
      </c>
      <c r="BQ58" s="0" t="n">
        <f aca="false">IF($A58="N/A"," ",(VLOOKUP($A58,NumberofDaysTable,2)))</f>
        <v>20</v>
      </c>
      <c r="BR58" s="0" t="n">
        <f aca="false">IF($A58="N/A"," ",(VLOOKUP($A58,NumberofDaysTable,3)))</f>
        <v>5</v>
      </c>
      <c r="BS58" s="0" t="n">
        <f aca="false">IF($A58="N/A"," ",(VLOOKUP($A58,NumberofDaysTable,4)))</f>
        <v>6</v>
      </c>
    </row>
    <row r="59" customFormat="false" ht="12.75" hidden="false" customHeight="false" outlineLevel="0" collapsed="false">
      <c r="A59" s="315" t="n">
        <f aca="false">IF(A58="N/A","N/A",IF(EDATE(A58,1)&gt;Inputs!$P$5,"N/A",EDATE(A58,1)))</f>
        <v>38930</v>
      </c>
      <c r="B59" s="316" t="n">
        <f aca="false">IF(A59="N/A"," ",YEAR(A59))</f>
        <v>2006</v>
      </c>
      <c r="C59" s="317" t="n">
        <f aca="false">IF($A59="N/A"," ",IF(Dayrun2=10,0,IF(Scaler2=1,(VLOOKUP(A59,ScaledPrice2,4)),(VLOOKUP(A59,ScaledPrice2,2)))))</f>
        <v>51.75</v>
      </c>
      <c r="D59" s="317" t="n">
        <f aca="false">IF(A59="N/A"," ",IF(Dayrun2&gt;=7,0,IF(Scaler2=2,VLOOKUP(A59,ScaledPrice2,2),(VLOOKUP(A59,ScaledPrice2,2))*(2-(VLOOKUP(A59,ScaledPrice2,3))))))</f>
        <v>51.75</v>
      </c>
      <c r="E59" s="317" t="n">
        <f aca="false">IF($A59="N/A"," ",IF(AND(Dayrun2&gt;=4,Dayrun2&lt;=9),0,VLOOKUP($A59,ScaledPrice2,9)))</f>
        <v>0</v>
      </c>
      <c r="F59" s="317" t="n">
        <f aca="false">IF(A59="N/A"," ",IF(OR(Dayrun2=2,Dayrun2=3,Dayrun2=5,Dayrun2=6,Dayrun2=8,Dayrun2=9),VLOOKUP(A59,ScaledPrice2,IF(Scaler2=1,6,5)),0))</f>
        <v>0</v>
      </c>
      <c r="G59" s="317" t="n">
        <f aca="false">IF(A59="N/A"," ",IF(OR(Dayrun2=2,Dayrun2=3,Dayrun2=5,Dayrun2=6),IF(Scaler2=2,F59,(VLOOKUP(A59,ScaledPrice2,5))*(2-(VLOOKUP(A59,ScaledPrice2,3)))),0))</f>
        <v>0</v>
      </c>
      <c r="H59" s="317" t="n">
        <f aca="false">IF($A59="N/A"," ",IF(OR(Dayrun2=2,Dayrun2=3,Dayrun2=10),VLOOKUP($A59,ScaledPrice2,9),0))</f>
        <v>0</v>
      </c>
      <c r="I59" s="317" t="n">
        <f aca="false">IF(A59="N/A"," ",IF(OR(Dayrun2=3,Dayrun2=6,Dayrun2=9),(VLOOKUP(A59,ScaledPrice2,IF(Scaler2=2,7,8))),0))</f>
        <v>0</v>
      </c>
      <c r="J59" s="317" t="n">
        <f aca="false">IF(A59="N/A"," ",IF(OR(Dayrun2=3,Dayrun2=6),IF(Scaler2=2,I59,(VLOOKUP(A59,ScaledPrice2,7))*(2-(VLOOKUP(A59,ScaledPrice2,3)))),0))</f>
        <v>0</v>
      </c>
      <c r="K59" s="317" t="n">
        <f aca="false">IF($A59="N/A"," ",IF(OR(Dayrun2=3,Dayrun2=10),VLOOKUP($A59,ScaledPrice2,9),0))</f>
        <v>0</v>
      </c>
      <c r="L59" s="318" t="e">
        <f aca="false">IF($A59="N/A"," ",IF(Pricetype2=2,MAX(C59,0),IF(OR(Pricetype2=1,Pricetype2=4),IF(C59=0,0,(EURO(C59,Strikeprice2,0,0,($AH59+IF(Smile=TRUE(),VLOOKUP(MAX(-5,Strikeprice2-C59),Volsmile,2),0)),($A59-DateToday)+15,IF(Pricetype2=1,1,0),0))),C59)))</f>
        <v>#NAME?</v>
      </c>
      <c r="M59" s="318" t="e">
        <f aca="false">IF($A59="N/A"," ",IF(Pricetype2=2,MAX(D59,0),IF(OR(Pricetype2=1,Pricetype2=4),IF(D59=0,0,(EURO(D59,Strikeprice2,0,0,($AH59+IF(Smile=TRUE(),VLOOKUP(MAX(-5,Strikeprice2-D59),Volsmile,2),0)),($A59-DateToday)+15,IF(Pricetype2=1,1,0),0))),D59)))</f>
        <v>#NAME?</v>
      </c>
      <c r="N59" s="318" t="n">
        <f aca="false">IF($A59="N/A"," ",IF(Pricetype2=2,MAX(E59,0),IF(OR(Pricetype2=1,Pricetype2=4),IF(E59=0,0,(EURO(E59,Strikeprice2,0,0,($AK59+IF(Smile=TRUE(),VLOOKUP(MAX(-5,Strikeprice2-E59),Volsmile,2),0)),($A59-DateToday)+15,IF(Pricetype2=1,1,0),0))),E59)))</f>
        <v>0</v>
      </c>
      <c r="O59" s="318" t="n">
        <f aca="false">IF($A59="N/A"," ",IF(Pricetype2=2,MAX(F59,0),IF(OR(Pricetype2=1,Pricetype2=4),IF(F59=0,0,(EURO(F59,Strikeprice2,0,0,($AK59+IF(Smile=TRUE(),VLOOKUP(MAX(-5,Strikeprice2-F59),Volsmile,2),0)),($A59-DateToday)+15,IF(Pricetype2=1,1,0),0))),F59)))</f>
        <v>0</v>
      </c>
      <c r="P59" s="318" t="n">
        <f aca="false">IF($A59="N/A"," ",IF(Pricetype2=2,MAX(G59,0),IF(OR(Pricetype2=1,Pricetype2=4),IF(G59=0,0,(EURO(G59,Strikeprice2,0,0,($AK59+IF(Smile=TRUE(),VLOOKUP(MAX(-5,Strikeprice2-G59),Volsmile,2),0)),($A59-DateToday)+15,IF(Pricetype2=1,1,0),0))),G59)))</f>
        <v>0</v>
      </c>
      <c r="Q59" s="318" t="n">
        <f aca="false">IF($A59="N/A"," ",IF(Pricetype2=2,MAX(H59,0),IF(OR(Pricetype2=1,Pricetype2=4),IF(H59=0,0,(EURO(H59,Strikeprice2,0,0,($AK59+IF(Smile=TRUE(),VLOOKUP(MAX(-5,Strikeprice2-H59),Volsmile,2),0)),($A59-DateToday)+15,IF(Pricetype2=1,1,0),0))),H59)))</f>
        <v>0</v>
      </c>
      <c r="R59" s="318" t="n">
        <f aca="false">IF($A59="N/A"," ",IF(Pricetype2=2,MAX(I59,0),IF(OR(Pricetype2=1,Pricetype2=4),IF(I59=0,0,(EURO(I59,Strikeprice2,0,0,($AK59+IF(Smile=TRUE(),VLOOKUP(MAX(-5,Strikeprice2-I59),Volsmile,2),0)),($A59-DateToday)+15,IF(Pricetype2=1,1,0),0))),I59)))</f>
        <v>0</v>
      </c>
      <c r="S59" s="318" t="n">
        <f aca="false">IF($A59="N/A"," ",IF(Pricetype2=2,MAX(J59,0),IF(OR(Pricetype2=1,Pricetype2=4),IF(J59=0,0,(EURO(J59,Strikeprice2,0,0,($AK59+IF(Smile=TRUE(),VLOOKUP(MAX(-5,Strikeprice2-J59),Volsmile,2),0)),($A59-DateToday)+15,IF(Pricetype2=1,1,0),0))),J59)))</f>
        <v>0</v>
      </c>
      <c r="T59" s="318" t="n">
        <f aca="false">IF($A59="N/A"," ",IF(Pricetype2=2,MAX(K59,0),IF(OR(Pricetype2=1,Pricetype2=4),IF(K59=0,0,(EURO(K59,Strikeprice2,0,0,($AK59+IF(Smile=TRUE(),VLOOKUP(MAX(-5,Strikeprice2-K59),Volsmile,2),0)),($A59-DateToday)+15,IF(Pricetype2=1,1,0),0))),K59)))</f>
        <v>0</v>
      </c>
      <c r="U59" s="319" t="e">
        <f aca="false">IF($A59="N/A"," ",Volume2*$AM59)</f>
        <v>#N/A</v>
      </c>
      <c r="V59" s="320" t="e">
        <f aca="false">IF($A59="N/A"," ",$U59*(8*($BQ59))*L59)</f>
        <v>#N/A</v>
      </c>
      <c r="W59" s="320" t="e">
        <f aca="false">IF($A59="N/A"," ",$U59*(8*($BQ59))*M59)</f>
        <v>#N/A</v>
      </c>
      <c r="X59" s="320" t="e">
        <f aca="false">IF($A59="N/A"," ",$U59*(8*($BQ59))*N59)</f>
        <v>#N/A</v>
      </c>
      <c r="Y59" s="320" t="e">
        <f aca="false">IF($A59="N/A"," ",$U59*(8*($BR59))*O59)</f>
        <v>#N/A</v>
      </c>
      <c r="Z59" s="320" t="e">
        <f aca="false">IF($A59="N/A"," ",$U59*(8*($BR59))*P59)</f>
        <v>#N/A</v>
      </c>
      <c r="AA59" s="320" t="e">
        <f aca="false">IF($A59="N/A"," ",$U59*(8*($BR59))*Q59)</f>
        <v>#N/A</v>
      </c>
      <c r="AB59" s="320" t="e">
        <f aca="false">IF($A59="N/A"," ",$U59*(8*($BS59))*R59)</f>
        <v>#N/A</v>
      </c>
      <c r="AC59" s="320" t="e">
        <f aca="false">IF($A59="N/A"," ",$U59*(8*($BS59))*S59)</f>
        <v>#N/A</v>
      </c>
      <c r="AD59" s="320" t="e">
        <f aca="false">IF($A59="N/A"," ",$U59*(8*($BS59))*T59)</f>
        <v>#N/A</v>
      </c>
      <c r="AE59" s="320" t="e">
        <f aca="false">IF($A59="N/A"," ",SUM(V59:AD59))</f>
        <v>#N/A</v>
      </c>
      <c r="AF59" s="321" t="n">
        <f aca="false">IF(A59="N/A"," ",(VLOOKUP(A59,PowerVolTable,(IF(VolBMO2=2,7,IF(VolBMO2=1,6,8))),FALSE())))</f>
        <v>0.24</v>
      </c>
      <c r="AG59" s="321" t="n">
        <f aca="false">IF(A59="N/A"," ",(VLOOKUP(A59,IntraPowerVol,(IF(VolBMO2=2,3,IF(VolBMO2=1,2,4))),FALSE())*VLOOKUP(MONTH($A59),Volscale,2)))</f>
        <v>0.48</v>
      </c>
      <c r="AH59" s="321" t="n">
        <f aca="false">IF($A59="N/A"," ",IF(VolType2=1,AG59,AF59))</f>
        <v>0.24</v>
      </c>
      <c r="AI59" s="321" t="n">
        <f aca="false">IF($A59="N/A"," ",(VLOOKUP($A59,OffPwrVolTable,(IF(VolBMO2=2,7,IF(VolBMO2=1,6,8))),FALSE())))</f>
        <v>0.12</v>
      </c>
      <c r="AJ59" s="321" t="n">
        <f aca="false">IF($A59="N/A"," ",(VLOOKUP($A59,OffPwrVolTable,(IF(VolBMO2=2,3,IF(VolBMO2=1,2,4))),FALSE())*VLOOKUP(MONTH($A59),Volscale,2)))</f>
        <v>0.288</v>
      </c>
      <c r="AK59" s="321" t="n">
        <f aca="false">IF($A59="N/A"," ",IF(VolType2=1,AJ59,AI59))</f>
        <v>0.12</v>
      </c>
      <c r="AL59" s="321" t="e">
        <f aca="false">IF($A59="N/A"," ",IF(PV=1,0,'Pricing Inputs2'!R92))</f>
        <v>#N/A</v>
      </c>
      <c r="AM59" s="323" t="e">
        <f aca="false">IF($A59="N/A"," ",(1+AL59/2)^(-2*((EOMONTH(A59,0)+20)-DateToday)/365.25))</f>
        <v>#N/A</v>
      </c>
      <c r="BQ59" s="0" t="n">
        <f aca="false">IF($A59="N/A"," ",(VLOOKUP($A59,NumberofDaysTable,2)))</f>
        <v>23</v>
      </c>
      <c r="BR59" s="0" t="n">
        <f aca="false">IF($A59="N/A"," ",(VLOOKUP($A59,NumberofDaysTable,3)))</f>
        <v>4</v>
      </c>
      <c r="BS59" s="0" t="n">
        <f aca="false">IF($A59="N/A"," ",(VLOOKUP($A59,NumberofDaysTable,4)))</f>
        <v>4</v>
      </c>
    </row>
    <row r="60" customFormat="false" ht="12.75" hidden="false" customHeight="false" outlineLevel="0" collapsed="false">
      <c r="A60" s="315" t="n">
        <f aca="false">IF(A59="N/A","N/A",IF(EDATE(A59,1)&gt;Inputs!$P$5,"N/A",EDATE(A59,1)))</f>
        <v>38961</v>
      </c>
      <c r="B60" s="316" t="n">
        <f aca="false">IF(A60="N/A"," ",YEAR(A60))</f>
        <v>2006</v>
      </c>
      <c r="C60" s="317" t="n">
        <f aca="false">IF($A60="N/A"," ",IF(Dayrun2=10,0,IF(Scaler2=1,(VLOOKUP(A60,ScaledPrice2,4)),(VLOOKUP(A60,ScaledPrice2,2)))))</f>
        <v>30.8299999237061</v>
      </c>
      <c r="D60" s="317" t="n">
        <f aca="false">IF(A60="N/A"," ",IF(Dayrun2&gt;=7,0,IF(Scaler2=2,VLOOKUP(A60,ScaledPrice2,2),(VLOOKUP(A60,ScaledPrice2,2))*(2-(VLOOKUP(A60,ScaledPrice2,3))))))</f>
        <v>30.8299999237061</v>
      </c>
      <c r="E60" s="317" t="n">
        <f aca="false">IF($A60="N/A"," ",IF(AND(Dayrun2&gt;=4,Dayrun2&lt;=9),0,VLOOKUP($A60,ScaledPrice2,9)))</f>
        <v>0</v>
      </c>
      <c r="F60" s="317" t="n">
        <f aca="false">IF(A60="N/A"," ",IF(OR(Dayrun2=2,Dayrun2=3,Dayrun2=5,Dayrun2=6,Dayrun2=8,Dayrun2=9),VLOOKUP(A60,ScaledPrice2,IF(Scaler2=1,6,5)),0))</f>
        <v>0</v>
      </c>
      <c r="G60" s="317" t="n">
        <f aca="false">IF(A60="N/A"," ",IF(OR(Dayrun2=2,Dayrun2=3,Dayrun2=5,Dayrun2=6),IF(Scaler2=2,F60,(VLOOKUP(A60,ScaledPrice2,5))*(2-(VLOOKUP(A60,ScaledPrice2,3)))),0))</f>
        <v>0</v>
      </c>
      <c r="H60" s="317" t="n">
        <f aca="false">IF($A60="N/A"," ",IF(OR(Dayrun2=2,Dayrun2=3,Dayrun2=10),VLOOKUP($A60,ScaledPrice2,9),0))</f>
        <v>0</v>
      </c>
      <c r="I60" s="317" t="n">
        <f aca="false">IF(A60="N/A"," ",IF(OR(Dayrun2=3,Dayrun2=6,Dayrun2=9),(VLOOKUP(A60,ScaledPrice2,IF(Scaler2=2,7,8))),0))</f>
        <v>0</v>
      </c>
      <c r="J60" s="317" t="n">
        <f aca="false">IF(A60="N/A"," ",IF(OR(Dayrun2=3,Dayrun2=6),IF(Scaler2=2,I60,(VLOOKUP(A60,ScaledPrice2,7))*(2-(VLOOKUP(A60,ScaledPrice2,3)))),0))</f>
        <v>0</v>
      </c>
      <c r="K60" s="317" t="n">
        <f aca="false">IF($A60="N/A"," ",IF(OR(Dayrun2=3,Dayrun2=10),VLOOKUP($A60,ScaledPrice2,9),0))</f>
        <v>0</v>
      </c>
      <c r="L60" s="318" t="e">
        <f aca="false">IF($A60="N/A"," ",IF(Pricetype2=2,MAX(C60,0),IF(OR(Pricetype2=1,Pricetype2=4),IF(C60=0,0,(EURO(C60,Strikeprice2,0,0,($AH60+IF(Smile=TRUE(),VLOOKUP(MAX(-5,Strikeprice2-C60),Volsmile,2),0)),($A60-DateToday)+15,IF(Pricetype2=1,1,0),0))),C60)))</f>
        <v>#NAME?</v>
      </c>
      <c r="M60" s="318" t="e">
        <f aca="false">IF($A60="N/A"," ",IF(Pricetype2=2,MAX(D60,0),IF(OR(Pricetype2=1,Pricetype2=4),IF(D60=0,0,(EURO(D60,Strikeprice2,0,0,($AH60+IF(Smile=TRUE(),VLOOKUP(MAX(-5,Strikeprice2-D60),Volsmile,2),0)),($A60-DateToday)+15,IF(Pricetype2=1,1,0),0))),D60)))</f>
        <v>#NAME?</v>
      </c>
      <c r="N60" s="318" t="n">
        <f aca="false">IF($A60="N/A"," ",IF(Pricetype2=2,MAX(E60,0),IF(OR(Pricetype2=1,Pricetype2=4),IF(E60=0,0,(EURO(E60,Strikeprice2,0,0,($AK60+IF(Smile=TRUE(),VLOOKUP(MAX(-5,Strikeprice2-E60),Volsmile,2),0)),($A60-DateToday)+15,IF(Pricetype2=1,1,0),0))),E60)))</f>
        <v>0</v>
      </c>
      <c r="O60" s="318" t="n">
        <f aca="false">IF($A60="N/A"," ",IF(Pricetype2=2,MAX(F60,0),IF(OR(Pricetype2=1,Pricetype2=4),IF(F60=0,0,(EURO(F60,Strikeprice2,0,0,($AK60+IF(Smile=TRUE(),VLOOKUP(MAX(-5,Strikeprice2-F60),Volsmile,2),0)),($A60-DateToday)+15,IF(Pricetype2=1,1,0),0))),F60)))</f>
        <v>0</v>
      </c>
      <c r="P60" s="318" t="n">
        <f aca="false">IF($A60="N/A"," ",IF(Pricetype2=2,MAX(G60,0),IF(OR(Pricetype2=1,Pricetype2=4),IF(G60=0,0,(EURO(G60,Strikeprice2,0,0,($AK60+IF(Smile=TRUE(),VLOOKUP(MAX(-5,Strikeprice2-G60),Volsmile,2),0)),($A60-DateToday)+15,IF(Pricetype2=1,1,0),0))),G60)))</f>
        <v>0</v>
      </c>
      <c r="Q60" s="318" t="n">
        <f aca="false">IF($A60="N/A"," ",IF(Pricetype2=2,MAX(H60,0),IF(OR(Pricetype2=1,Pricetype2=4),IF(H60=0,0,(EURO(H60,Strikeprice2,0,0,($AK60+IF(Smile=TRUE(),VLOOKUP(MAX(-5,Strikeprice2-H60),Volsmile,2),0)),($A60-DateToday)+15,IF(Pricetype2=1,1,0),0))),H60)))</f>
        <v>0</v>
      </c>
      <c r="R60" s="318" t="n">
        <f aca="false">IF($A60="N/A"," ",IF(Pricetype2=2,MAX(I60,0),IF(OR(Pricetype2=1,Pricetype2=4),IF(I60=0,0,(EURO(I60,Strikeprice2,0,0,($AK60+IF(Smile=TRUE(),VLOOKUP(MAX(-5,Strikeprice2-I60),Volsmile,2),0)),($A60-DateToday)+15,IF(Pricetype2=1,1,0),0))),I60)))</f>
        <v>0</v>
      </c>
      <c r="S60" s="318" t="n">
        <f aca="false">IF($A60="N/A"," ",IF(Pricetype2=2,MAX(J60,0),IF(OR(Pricetype2=1,Pricetype2=4),IF(J60=0,0,(EURO(J60,Strikeprice2,0,0,($AK60+IF(Smile=TRUE(),VLOOKUP(MAX(-5,Strikeprice2-J60),Volsmile,2),0)),($A60-DateToday)+15,IF(Pricetype2=1,1,0),0))),J60)))</f>
        <v>0</v>
      </c>
      <c r="T60" s="318" t="n">
        <f aca="false">IF($A60="N/A"," ",IF(Pricetype2=2,MAX(K60,0),IF(OR(Pricetype2=1,Pricetype2=4),IF(K60=0,0,(EURO(K60,Strikeprice2,0,0,($AK60+IF(Smile=TRUE(),VLOOKUP(MAX(-5,Strikeprice2-K60),Volsmile,2),0)),($A60-DateToday)+15,IF(Pricetype2=1,1,0),0))),K60)))</f>
        <v>0</v>
      </c>
      <c r="U60" s="319" t="e">
        <f aca="false">IF($A60="N/A"," ",Volume2*$AM60)</f>
        <v>#N/A</v>
      </c>
      <c r="V60" s="320" t="e">
        <f aca="false">IF($A60="N/A"," ",$U60*(8*($BQ60))*L60)</f>
        <v>#N/A</v>
      </c>
      <c r="W60" s="320" t="e">
        <f aca="false">IF($A60="N/A"," ",$U60*(8*($BQ60))*M60)</f>
        <v>#N/A</v>
      </c>
      <c r="X60" s="320" t="e">
        <f aca="false">IF($A60="N/A"," ",$U60*(8*($BQ60))*N60)</f>
        <v>#N/A</v>
      </c>
      <c r="Y60" s="320" t="e">
        <f aca="false">IF($A60="N/A"," ",$U60*(8*($BR60))*O60)</f>
        <v>#N/A</v>
      </c>
      <c r="Z60" s="320" t="e">
        <f aca="false">IF($A60="N/A"," ",$U60*(8*($BR60))*P60)</f>
        <v>#N/A</v>
      </c>
      <c r="AA60" s="320" t="e">
        <f aca="false">IF($A60="N/A"," ",$U60*(8*($BR60))*Q60)</f>
        <v>#N/A</v>
      </c>
      <c r="AB60" s="320" t="e">
        <f aca="false">IF($A60="N/A"," ",$U60*(8*($BS60))*R60)</f>
        <v>#N/A</v>
      </c>
      <c r="AC60" s="320" t="e">
        <f aca="false">IF($A60="N/A"," ",$U60*(8*($BS60))*S60)</f>
        <v>#N/A</v>
      </c>
      <c r="AD60" s="320" t="e">
        <f aca="false">IF($A60="N/A"," ",$U60*(8*($BS60))*T60)</f>
        <v>#N/A</v>
      </c>
      <c r="AE60" s="320" t="e">
        <f aca="false">IF($A60="N/A"," ",SUM(V60:AD60))</f>
        <v>#N/A</v>
      </c>
      <c r="AF60" s="321" t="n">
        <f aca="false">IF(A60="N/A"," ",(VLOOKUP(A60,PowerVolTable,(IF(VolBMO2=2,7,IF(VolBMO2=1,6,8))),FALSE())))</f>
        <v>0.16</v>
      </c>
      <c r="AG60" s="321" t="n">
        <f aca="false">IF(A60="N/A"," ",(VLOOKUP(A60,IntraPowerVol,(IF(VolBMO2=2,3,IF(VolBMO2=1,2,4))),FALSE())*VLOOKUP(MONTH($A60),Volscale,2)))</f>
        <v>0.36</v>
      </c>
      <c r="AH60" s="321" t="n">
        <f aca="false">IF($A60="N/A"," ",IF(VolType2=1,AG60,AF60))</f>
        <v>0.16</v>
      </c>
      <c r="AI60" s="321" t="n">
        <f aca="false">IF($A60="N/A"," ",(VLOOKUP($A60,OffPwrVolTable,(IF(VolBMO2=2,7,IF(VolBMO2=1,6,8))),FALSE())))</f>
        <v>0.08</v>
      </c>
      <c r="AJ60" s="321" t="n">
        <f aca="false">IF($A60="N/A"," ",(VLOOKUP($A60,OffPwrVolTable,(IF(VolBMO2=2,3,IF(VolBMO2=1,2,4))),FALSE())*VLOOKUP(MONTH($A60),Volscale,2)))</f>
        <v>0.216</v>
      </c>
      <c r="AK60" s="321" t="n">
        <f aca="false">IF($A60="N/A"," ",IF(VolType2=1,AJ60,AI60))</f>
        <v>0.08</v>
      </c>
      <c r="AL60" s="321" t="e">
        <f aca="false">IF($A60="N/A"," ",IF(PV=1,0,'Pricing Inputs2'!R93))</f>
        <v>#N/A</v>
      </c>
      <c r="AM60" s="323" t="e">
        <f aca="false">IF($A60="N/A"," ",(1+AL60/2)^(-2*((EOMONTH(A60,0)+20)-DateToday)/365.25))</f>
        <v>#N/A</v>
      </c>
      <c r="BQ60" s="0" t="n">
        <f aca="false">IF($A60="N/A"," ",(VLOOKUP($A60,NumberofDaysTable,2)))</f>
        <v>20</v>
      </c>
      <c r="BR60" s="0" t="n">
        <f aca="false">IF($A60="N/A"," ",(VLOOKUP($A60,NumberofDaysTable,3)))</f>
        <v>5</v>
      </c>
      <c r="BS60" s="0" t="n">
        <f aca="false">IF($A60="N/A"," ",(VLOOKUP($A60,NumberofDaysTable,4)))</f>
        <v>5</v>
      </c>
    </row>
    <row r="61" customFormat="false" ht="12.75" hidden="false" customHeight="false" outlineLevel="0" collapsed="false">
      <c r="A61" s="315" t="n">
        <f aca="false">IF(A60="N/A","N/A",IF(EDATE(A60,1)&gt;Inputs!$P$5,"N/A",EDATE(A60,1)))</f>
        <v>38991</v>
      </c>
      <c r="B61" s="316" t="n">
        <f aca="false">IF(A61="N/A"," ",YEAR(A61))</f>
        <v>2006</v>
      </c>
      <c r="C61" s="317" t="n">
        <f aca="false">IF($A61="N/A"," ",IF(Dayrun2=10,0,IF(Scaler2=1,(VLOOKUP(A61,ScaledPrice2,4)),(VLOOKUP(A61,ScaledPrice2,2)))))</f>
        <v>31.9815639257431</v>
      </c>
      <c r="D61" s="317" t="n">
        <f aca="false">IF(A61="N/A"," ",IF(Dayrun2&gt;=7,0,IF(Scaler2=2,VLOOKUP(A61,ScaledPrice2,2),(VLOOKUP(A61,ScaledPrice2,2))*(2-(VLOOKUP(A61,ScaledPrice2,3))))))</f>
        <v>31.9815639257431</v>
      </c>
      <c r="E61" s="317" t="n">
        <f aca="false">IF($A61="N/A"," ",IF(AND(Dayrun2&gt;=4,Dayrun2&lt;=9),0,VLOOKUP($A61,ScaledPrice2,9)))</f>
        <v>0</v>
      </c>
      <c r="F61" s="317" t="n">
        <f aca="false">IF(A61="N/A"," ",IF(OR(Dayrun2=2,Dayrun2=3,Dayrun2=5,Dayrun2=6,Dayrun2=8,Dayrun2=9),VLOOKUP(A61,ScaledPrice2,IF(Scaler2=1,6,5)),0))</f>
        <v>0</v>
      </c>
      <c r="G61" s="317" t="n">
        <f aca="false">IF(A61="N/A"," ",IF(OR(Dayrun2=2,Dayrun2=3,Dayrun2=5,Dayrun2=6),IF(Scaler2=2,F61,(VLOOKUP(A61,ScaledPrice2,5))*(2-(VLOOKUP(A61,ScaledPrice2,3)))),0))</f>
        <v>0</v>
      </c>
      <c r="H61" s="317" t="n">
        <f aca="false">IF($A61="N/A"," ",IF(OR(Dayrun2=2,Dayrun2=3,Dayrun2=10),VLOOKUP($A61,ScaledPrice2,9),0))</f>
        <v>0</v>
      </c>
      <c r="I61" s="317" t="n">
        <f aca="false">IF(A61="N/A"," ",IF(OR(Dayrun2=3,Dayrun2=6,Dayrun2=9),(VLOOKUP(A61,ScaledPrice2,IF(Scaler2=2,7,8))),0))</f>
        <v>0</v>
      </c>
      <c r="J61" s="317" t="n">
        <f aca="false">IF(A61="N/A"," ",IF(OR(Dayrun2=3,Dayrun2=6),IF(Scaler2=2,I61,(VLOOKUP(A61,ScaledPrice2,7))*(2-(VLOOKUP(A61,ScaledPrice2,3)))),0))</f>
        <v>0</v>
      </c>
      <c r="K61" s="317" t="n">
        <f aca="false">IF($A61="N/A"," ",IF(OR(Dayrun2=3,Dayrun2=10),VLOOKUP($A61,ScaledPrice2,9),0))</f>
        <v>0</v>
      </c>
      <c r="L61" s="318" t="e">
        <f aca="false">IF($A61="N/A"," ",IF(Pricetype2=2,MAX(C61,0),IF(OR(Pricetype2=1,Pricetype2=4),IF(C61=0,0,(EURO(C61,Strikeprice2,0,0,($AH61+IF(Smile=TRUE(),VLOOKUP(MAX(-5,Strikeprice2-C61),Volsmile,2),0)),($A61-DateToday)+15,IF(Pricetype2=1,1,0),0))),C61)))</f>
        <v>#NAME?</v>
      </c>
      <c r="M61" s="318" t="e">
        <f aca="false">IF($A61="N/A"," ",IF(Pricetype2=2,MAX(D61,0),IF(OR(Pricetype2=1,Pricetype2=4),IF(D61=0,0,(EURO(D61,Strikeprice2,0,0,($AH61+IF(Smile=TRUE(),VLOOKUP(MAX(-5,Strikeprice2-D61),Volsmile,2),0)),($A61-DateToday)+15,IF(Pricetype2=1,1,0),0))),D61)))</f>
        <v>#NAME?</v>
      </c>
      <c r="N61" s="318" t="n">
        <f aca="false">IF($A61="N/A"," ",IF(Pricetype2=2,MAX(E61,0),IF(OR(Pricetype2=1,Pricetype2=4),IF(E61=0,0,(EURO(E61,Strikeprice2,0,0,($AK61+IF(Smile=TRUE(),VLOOKUP(MAX(-5,Strikeprice2-E61),Volsmile,2),0)),($A61-DateToday)+15,IF(Pricetype2=1,1,0),0))),E61)))</f>
        <v>0</v>
      </c>
      <c r="O61" s="318" t="n">
        <f aca="false">IF($A61="N/A"," ",IF(Pricetype2=2,MAX(F61,0),IF(OR(Pricetype2=1,Pricetype2=4),IF(F61=0,0,(EURO(F61,Strikeprice2,0,0,($AK61+IF(Smile=TRUE(),VLOOKUP(MAX(-5,Strikeprice2-F61),Volsmile,2),0)),($A61-DateToday)+15,IF(Pricetype2=1,1,0),0))),F61)))</f>
        <v>0</v>
      </c>
      <c r="P61" s="318" t="n">
        <f aca="false">IF($A61="N/A"," ",IF(Pricetype2=2,MAX(G61,0),IF(OR(Pricetype2=1,Pricetype2=4),IF(G61=0,0,(EURO(G61,Strikeprice2,0,0,($AK61+IF(Smile=TRUE(),VLOOKUP(MAX(-5,Strikeprice2-G61),Volsmile,2),0)),($A61-DateToday)+15,IF(Pricetype2=1,1,0),0))),G61)))</f>
        <v>0</v>
      </c>
      <c r="Q61" s="318" t="n">
        <f aca="false">IF($A61="N/A"," ",IF(Pricetype2=2,MAX(H61,0),IF(OR(Pricetype2=1,Pricetype2=4),IF(H61=0,0,(EURO(H61,Strikeprice2,0,0,($AK61+IF(Smile=TRUE(),VLOOKUP(MAX(-5,Strikeprice2-H61),Volsmile,2),0)),($A61-DateToday)+15,IF(Pricetype2=1,1,0),0))),H61)))</f>
        <v>0</v>
      </c>
      <c r="R61" s="318" t="n">
        <f aca="false">IF($A61="N/A"," ",IF(Pricetype2=2,MAX(I61,0),IF(OR(Pricetype2=1,Pricetype2=4),IF(I61=0,0,(EURO(I61,Strikeprice2,0,0,($AK61+IF(Smile=TRUE(),VLOOKUP(MAX(-5,Strikeprice2-I61),Volsmile,2),0)),($A61-DateToday)+15,IF(Pricetype2=1,1,0),0))),I61)))</f>
        <v>0</v>
      </c>
      <c r="S61" s="318" t="n">
        <f aca="false">IF($A61="N/A"," ",IF(Pricetype2=2,MAX(J61,0),IF(OR(Pricetype2=1,Pricetype2=4),IF(J61=0,0,(EURO(J61,Strikeprice2,0,0,($AK61+IF(Smile=TRUE(),VLOOKUP(MAX(-5,Strikeprice2-J61),Volsmile,2),0)),($A61-DateToday)+15,IF(Pricetype2=1,1,0),0))),J61)))</f>
        <v>0</v>
      </c>
      <c r="T61" s="318" t="n">
        <f aca="false">IF($A61="N/A"," ",IF(Pricetype2=2,MAX(K61,0),IF(OR(Pricetype2=1,Pricetype2=4),IF(K61=0,0,(EURO(K61,Strikeprice2,0,0,($AK61+IF(Smile=TRUE(),VLOOKUP(MAX(-5,Strikeprice2-K61),Volsmile,2),0)),($A61-DateToday)+15,IF(Pricetype2=1,1,0),0))),K61)))</f>
        <v>0</v>
      </c>
      <c r="U61" s="319" t="e">
        <f aca="false">IF($A61="N/A"," ",Volume2*$AM61)</f>
        <v>#N/A</v>
      </c>
      <c r="V61" s="320" t="e">
        <f aca="false">IF($A61="N/A"," ",$U61*(8*($BQ61))*L61)</f>
        <v>#N/A</v>
      </c>
      <c r="W61" s="320" t="e">
        <f aca="false">IF($A61="N/A"," ",$U61*(8*($BQ61))*M61)</f>
        <v>#N/A</v>
      </c>
      <c r="X61" s="320" t="e">
        <f aca="false">IF($A61="N/A"," ",$U61*(8*($BQ61))*N61)</f>
        <v>#N/A</v>
      </c>
      <c r="Y61" s="320" t="e">
        <f aca="false">IF($A61="N/A"," ",$U61*(8*($BR61))*O61)</f>
        <v>#N/A</v>
      </c>
      <c r="Z61" s="320" t="e">
        <f aca="false">IF($A61="N/A"," ",$U61*(8*($BR61))*P61)</f>
        <v>#N/A</v>
      </c>
      <c r="AA61" s="320" t="e">
        <f aca="false">IF($A61="N/A"," ",$U61*(8*($BR61))*Q61)</f>
        <v>#N/A</v>
      </c>
      <c r="AB61" s="320" t="e">
        <f aca="false">IF($A61="N/A"," ",$U61*(8*($BS61))*R61)</f>
        <v>#N/A</v>
      </c>
      <c r="AC61" s="320" t="e">
        <f aca="false">IF($A61="N/A"," ",$U61*(8*($BS61))*S61)</f>
        <v>#N/A</v>
      </c>
      <c r="AD61" s="320" t="e">
        <f aca="false">IF($A61="N/A"," ",$U61*(8*($BS61))*T61)</f>
        <v>#N/A</v>
      </c>
      <c r="AE61" s="320" t="e">
        <f aca="false">IF($A61="N/A"," ",SUM(V61:AD61))</f>
        <v>#N/A</v>
      </c>
      <c r="AF61" s="321" t="n">
        <f aca="false">IF(A61="N/A"," ",(VLOOKUP(A61,PowerVolTable,(IF(VolBMO2=2,7,IF(VolBMO2=1,6,8))),FALSE())))</f>
        <v>0.16</v>
      </c>
      <c r="AG61" s="321" t="n">
        <f aca="false">IF(A61="N/A"," ",(VLOOKUP(A61,IntraPowerVol,(IF(VolBMO2=2,3,IF(VolBMO2=1,2,4))),FALSE())*VLOOKUP(MONTH($A61),Volscale,2)))</f>
        <v>0.36</v>
      </c>
      <c r="AH61" s="321" t="n">
        <f aca="false">IF($A61="N/A"," ",IF(VolType2=1,AG61,AF61))</f>
        <v>0.16</v>
      </c>
      <c r="AI61" s="321" t="n">
        <f aca="false">IF($A61="N/A"," ",(VLOOKUP($A61,OffPwrVolTable,(IF(VolBMO2=2,7,IF(VolBMO2=1,6,8))),FALSE())))</f>
        <v>0.08</v>
      </c>
      <c r="AJ61" s="321" t="n">
        <f aca="false">IF($A61="N/A"," ",(VLOOKUP($A61,OffPwrVolTable,(IF(VolBMO2=2,3,IF(VolBMO2=1,2,4))),FALSE())*VLOOKUP(MONTH($A61),Volscale,2)))</f>
        <v>0.216</v>
      </c>
      <c r="AK61" s="321" t="n">
        <f aca="false">IF($A61="N/A"," ",IF(VolType2=1,AJ61,AI61))</f>
        <v>0.08</v>
      </c>
      <c r="AL61" s="321" t="e">
        <f aca="false">IF($A61="N/A"," ",IF(PV=1,0,'Pricing Inputs2'!R94))</f>
        <v>#N/A</v>
      </c>
      <c r="AM61" s="323" t="e">
        <f aca="false">IF($A61="N/A"," ",(1+AL61/2)^(-2*((EOMONTH(A61,0)+20)-DateToday)/365.25))</f>
        <v>#N/A</v>
      </c>
      <c r="BQ61" s="0" t="n">
        <f aca="false">IF($A61="N/A"," ",(VLOOKUP($A61,NumberofDaysTable,2)))</f>
        <v>22</v>
      </c>
      <c r="BR61" s="0" t="n">
        <f aca="false">IF($A61="N/A"," ",(VLOOKUP($A61,NumberofDaysTable,3)))</f>
        <v>4</v>
      </c>
      <c r="BS61" s="0" t="n">
        <f aca="false">IF($A61="N/A"," ",(VLOOKUP($A61,NumberofDaysTable,4)))</f>
        <v>5</v>
      </c>
    </row>
    <row r="62" customFormat="false" ht="12.75" hidden="false" customHeight="false" outlineLevel="0" collapsed="false">
      <c r="A62" s="315" t="n">
        <f aca="false">IF(A61="N/A","N/A",IF(EDATE(A61,1)&gt;Inputs!$P$5,"N/A",EDATE(A61,1)))</f>
        <v>39022</v>
      </c>
      <c r="B62" s="316" t="n">
        <f aca="false">IF(A62="N/A"," ",YEAR(A62))</f>
        <v>2006</v>
      </c>
      <c r="C62" s="317" t="n">
        <f aca="false">IF($A62="N/A"," ",IF(Dayrun2=10,0,IF(Scaler2=1,(VLOOKUP(A62,ScaledPrice2,4)),(VLOOKUP(A62,ScaledPrice2,2)))))</f>
        <v>32.0815623998642</v>
      </c>
      <c r="D62" s="317" t="n">
        <f aca="false">IF(A62="N/A"," ",IF(Dayrun2&gt;=7,0,IF(Scaler2=2,VLOOKUP(A62,ScaledPrice2,2),(VLOOKUP(A62,ScaledPrice2,2))*(2-(VLOOKUP(A62,ScaledPrice2,3))))))</f>
        <v>32.0815623998642</v>
      </c>
      <c r="E62" s="317" t="n">
        <f aca="false">IF($A62="N/A"," ",IF(AND(Dayrun2&gt;=4,Dayrun2&lt;=9),0,VLOOKUP($A62,ScaledPrice2,9)))</f>
        <v>0</v>
      </c>
      <c r="F62" s="317" t="n">
        <f aca="false">IF(A62="N/A"," ",IF(OR(Dayrun2=2,Dayrun2=3,Dayrun2=5,Dayrun2=6,Dayrun2=8,Dayrun2=9),VLOOKUP(A62,ScaledPrice2,IF(Scaler2=1,6,5)),0))</f>
        <v>0</v>
      </c>
      <c r="G62" s="317" t="n">
        <f aca="false">IF(A62="N/A"," ",IF(OR(Dayrun2=2,Dayrun2=3,Dayrun2=5,Dayrun2=6),IF(Scaler2=2,F62,(VLOOKUP(A62,ScaledPrice2,5))*(2-(VLOOKUP(A62,ScaledPrice2,3)))),0))</f>
        <v>0</v>
      </c>
      <c r="H62" s="317" t="n">
        <f aca="false">IF($A62="N/A"," ",IF(OR(Dayrun2=2,Dayrun2=3,Dayrun2=10),VLOOKUP($A62,ScaledPrice2,9),0))</f>
        <v>0</v>
      </c>
      <c r="I62" s="317" t="n">
        <f aca="false">IF(A62="N/A"," ",IF(OR(Dayrun2=3,Dayrun2=6,Dayrun2=9),(VLOOKUP(A62,ScaledPrice2,IF(Scaler2=2,7,8))),0))</f>
        <v>0</v>
      </c>
      <c r="J62" s="317" t="n">
        <f aca="false">IF(A62="N/A"," ",IF(OR(Dayrun2=3,Dayrun2=6),IF(Scaler2=2,I62,(VLOOKUP(A62,ScaledPrice2,7))*(2-(VLOOKUP(A62,ScaledPrice2,3)))),0))</f>
        <v>0</v>
      </c>
      <c r="K62" s="317" t="n">
        <f aca="false">IF($A62="N/A"," ",IF(OR(Dayrun2=3,Dayrun2=10),VLOOKUP($A62,ScaledPrice2,9),0))</f>
        <v>0</v>
      </c>
      <c r="L62" s="318" t="e">
        <f aca="false">IF($A62="N/A"," ",IF(Pricetype2=2,MAX(C62,0),IF(OR(Pricetype2=1,Pricetype2=4),IF(C62=0,0,(EURO(C62,Strikeprice2,0,0,($AH62+IF(Smile=TRUE(),VLOOKUP(MAX(-5,Strikeprice2-C62),Volsmile,2),0)),($A62-DateToday)+15,IF(Pricetype2=1,1,0),0))),C62)))</f>
        <v>#NAME?</v>
      </c>
      <c r="M62" s="318" t="e">
        <f aca="false">IF($A62="N/A"," ",IF(Pricetype2=2,MAX(D62,0),IF(OR(Pricetype2=1,Pricetype2=4),IF(D62=0,0,(EURO(D62,Strikeprice2,0,0,($AH62+IF(Smile=TRUE(),VLOOKUP(MAX(-5,Strikeprice2-D62),Volsmile,2),0)),($A62-DateToday)+15,IF(Pricetype2=1,1,0),0))),D62)))</f>
        <v>#NAME?</v>
      </c>
      <c r="N62" s="318" t="n">
        <f aca="false">IF($A62="N/A"," ",IF(Pricetype2=2,MAX(E62,0),IF(OR(Pricetype2=1,Pricetype2=4),IF(E62=0,0,(EURO(E62,Strikeprice2,0,0,($AK62+IF(Smile=TRUE(),VLOOKUP(MAX(-5,Strikeprice2-E62),Volsmile,2),0)),($A62-DateToday)+15,IF(Pricetype2=1,1,0),0))),E62)))</f>
        <v>0</v>
      </c>
      <c r="O62" s="318" t="n">
        <f aca="false">IF($A62="N/A"," ",IF(Pricetype2=2,MAX(F62,0),IF(OR(Pricetype2=1,Pricetype2=4),IF(F62=0,0,(EURO(F62,Strikeprice2,0,0,($AK62+IF(Smile=TRUE(),VLOOKUP(MAX(-5,Strikeprice2-F62),Volsmile,2),0)),($A62-DateToday)+15,IF(Pricetype2=1,1,0),0))),F62)))</f>
        <v>0</v>
      </c>
      <c r="P62" s="318" t="n">
        <f aca="false">IF($A62="N/A"," ",IF(Pricetype2=2,MAX(G62,0),IF(OR(Pricetype2=1,Pricetype2=4),IF(G62=0,0,(EURO(G62,Strikeprice2,0,0,($AK62+IF(Smile=TRUE(),VLOOKUP(MAX(-5,Strikeprice2-G62),Volsmile,2),0)),($A62-DateToday)+15,IF(Pricetype2=1,1,0),0))),G62)))</f>
        <v>0</v>
      </c>
      <c r="Q62" s="318" t="n">
        <f aca="false">IF($A62="N/A"," ",IF(Pricetype2=2,MAX(H62,0),IF(OR(Pricetype2=1,Pricetype2=4),IF(H62=0,0,(EURO(H62,Strikeprice2,0,0,($AK62+IF(Smile=TRUE(),VLOOKUP(MAX(-5,Strikeprice2-H62),Volsmile,2),0)),($A62-DateToday)+15,IF(Pricetype2=1,1,0),0))),H62)))</f>
        <v>0</v>
      </c>
      <c r="R62" s="318" t="n">
        <f aca="false">IF($A62="N/A"," ",IF(Pricetype2=2,MAX(I62,0),IF(OR(Pricetype2=1,Pricetype2=4),IF(I62=0,0,(EURO(I62,Strikeprice2,0,0,($AK62+IF(Smile=TRUE(),VLOOKUP(MAX(-5,Strikeprice2-I62),Volsmile,2),0)),($A62-DateToday)+15,IF(Pricetype2=1,1,0),0))),I62)))</f>
        <v>0</v>
      </c>
      <c r="S62" s="318" t="n">
        <f aca="false">IF($A62="N/A"," ",IF(Pricetype2=2,MAX(J62,0),IF(OR(Pricetype2=1,Pricetype2=4),IF(J62=0,0,(EURO(J62,Strikeprice2,0,0,($AK62+IF(Smile=TRUE(),VLOOKUP(MAX(-5,Strikeprice2-J62),Volsmile,2),0)),($A62-DateToday)+15,IF(Pricetype2=1,1,0),0))),J62)))</f>
        <v>0</v>
      </c>
      <c r="T62" s="318" t="n">
        <f aca="false">IF($A62="N/A"," ",IF(Pricetype2=2,MAX(K62,0),IF(OR(Pricetype2=1,Pricetype2=4),IF(K62=0,0,(EURO(K62,Strikeprice2,0,0,($AK62+IF(Smile=TRUE(),VLOOKUP(MAX(-5,Strikeprice2-K62),Volsmile,2),0)),($A62-DateToday)+15,IF(Pricetype2=1,1,0),0))),K62)))</f>
        <v>0</v>
      </c>
      <c r="U62" s="319" t="e">
        <f aca="false">IF($A62="N/A"," ",Volume2*$AM62)</f>
        <v>#N/A</v>
      </c>
      <c r="V62" s="320" t="e">
        <f aca="false">IF($A62="N/A"," ",$U62*(8*($BQ62))*L62)</f>
        <v>#N/A</v>
      </c>
      <c r="W62" s="320" t="e">
        <f aca="false">IF($A62="N/A"," ",$U62*(8*($BQ62))*M62)</f>
        <v>#N/A</v>
      </c>
      <c r="X62" s="320" t="e">
        <f aca="false">IF($A62="N/A"," ",$U62*(8*($BQ62))*N62)</f>
        <v>#N/A</v>
      </c>
      <c r="Y62" s="320" t="e">
        <f aca="false">IF($A62="N/A"," ",$U62*(8*($BR62))*O62)</f>
        <v>#N/A</v>
      </c>
      <c r="Z62" s="320" t="e">
        <f aca="false">IF($A62="N/A"," ",$U62*(8*($BR62))*P62)</f>
        <v>#N/A</v>
      </c>
      <c r="AA62" s="320" t="e">
        <f aca="false">IF($A62="N/A"," ",$U62*(8*($BR62))*Q62)</f>
        <v>#N/A</v>
      </c>
      <c r="AB62" s="320" t="e">
        <f aca="false">IF($A62="N/A"," ",$U62*(8*($BS62))*R62)</f>
        <v>#N/A</v>
      </c>
      <c r="AC62" s="320" t="e">
        <f aca="false">IF($A62="N/A"," ",$U62*(8*($BS62))*S62)</f>
        <v>#N/A</v>
      </c>
      <c r="AD62" s="320" t="e">
        <f aca="false">IF($A62="N/A"," ",$U62*(8*($BS62))*T62)</f>
        <v>#N/A</v>
      </c>
      <c r="AE62" s="320" t="e">
        <f aca="false">IF($A62="N/A"," ",SUM(V62:AD62))</f>
        <v>#N/A</v>
      </c>
      <c r="AF62" s="321" t="n">
        <f aca="false">IF(A62="N/A"," ",(VLOOKUP(A62,PowerVolTable,(IF(VolBMO2=2,7,IF(VolBMO2=1,6,8))),FALSE())))</f>
        <v>0.16</v>
      </c>
      <c r="AG62" s="321" t="n">
        <f aca="false">IF(A62="N/A"," ",(VLOOKUP(A62,IntraPowerVol,(IF(VolBMO2=2,3,IF(VolBMO2=1,2,4))),FALSE())*VLOOKUP(MONTH($A62),Volscale,2)))</f>
        <v>0.28</v>
      </c>
      <c r="AH62" s="321" t="n">
        <f aca="false">IF($A62="N/A"," ",IF(VolType2=1,AG62,AF62))</f>
        <v>0.16</v>
      </c>
      <c r="AI62" s="321" t="n">
        <f aca="false">IF($A62="N/A"," ",(VLOOKUP($A62,OffPwrVolTable,(IF(VolBMO2=2,7,IF(VolBMO2=1,6,8))),FALSE())))</f>
        <v>0.08</v>
      </c>
      <c r="AJ62" s="321" t="n">
        <f aca="false">IF($A62="N/A"," ",(VLOOKUP($A62,OffPwrVolTable,(IF(VolBMO2=2,3,IF(VolBMO2=1,2,4))),FALSE())*VLOOKUP(MONTH($A62),Volscale,2)))</f>
        <v>0.168</v>
      </c>
      <c r="AK62" s="321" t="n">
        <f aca="false">IF($A62="N/A"," ",IF(VolType2=1,AJ62,AI62))</f>
        <v>0.08</v>
      </c>
      <c r="AL62" s="321" t="e">
        <f aca="false">IF($A62="N/A"," ",IF(PV=1,0,'Pricing Inputs2'!R95))</f>
        <v>#N/A</v>
      </c>
      <c r="AM62" s="323" t="e">
        <f aca="false">IF($A62="N/A"," ",(1+AL62/2)^(-2*((EOMONTH(A62,0)+20)-DateToday)/365.25))</f>
        <v>#N/A</v>
      </c>
      <c r="BQ62" s="0" t="n">
        <f aca="false">IF($A62="N/A"," ",(VLOOKUP($A62,NumberofDaysTable,2)))</f>
        <v>21</v>
      </c>
      <c r="BR62" s="0" t="n">
        <f aca="false">IF($A62="N/A"," ",(VLOOKUP($A62,NumberofDaysTable,3)))</f>
        <v>4</v>
      </c>
      <c r="BS62" s="0" t="n">
        <f aca="false">IF($A62="N/A"," ",(VLOOKUP($A62,NumberofDaysTable,4)))</f>
        <v>5</v>
      </c>
    </row>
    <row r="63" customFormat="false" ht="12.75" hidden="false" customHeight="false" outlineLevel="0" collapsed="false">
      <c r="A63" s="315" t="n">
        <f aca="false">IF(A62="N/A","N/A",IF(EDATE(A62,1)&gt;Inputs!$P$5,"N/A",EDATE(A62,1)))</f>
        <v>39052</v>
      </c>
      <c r="B63" s="316" t="n">
        <f aca="false">IF(A63="N/A"," ",YEAR(A63))</f>
        <v>2006</v>
      </c>
      <c r="C63" s="317" t="n">
        <f aca="false">IF($A63="N/A"," ",IF(Dayrun2=10,0,IF(Scaler2=1,(VLOOKUP(A63,ScaledPrice2,4)),(VLOOKUP(A63,ScaledPrice2,2)))))</f>
        <v>32.1815608739853</v>
      </c>
      <c r="D63" s="317" t="n">
        <f aca="false">IF(A63="N/A"," ",IF(Dayrun2&gt;=7,0,IF(Scaler2=2,VLOOKUP(A63,ScaledPrice2,2),(VLOOKUP(A63,ScaledPrice2,2))*(2-(VLOOKUP(A63,ScaledPrice2,3))))))</f>
        <v>32.1815608739853</v>
      </c>
      <c r="E63" s="317" t="n">
        <f aca="false">IF($A63="N/A"," ",IF(AND(Dayrun2&gt;=4,Dayrun2&lt;=9),0,VLOOKUP($A63,ScaledPrice2,9)))</f>
        <v>0</v>
      </c>
      <c r="F63" s="317" t="n">
        <f aca="false">IF(A63="N/A"," ",IF(OR(Dayrun2=2,Dayrun2=3,Dayrun2=5,Dayrun2=6,Dayrun2=8,Dayrun2=9),VLOOKUP(A63,ScaledPrice2,IF(Scaler2=1,6,5)),0))</f>
        <v>0</v>
      </c>
      <c r="G63" s="317" t="n">
        <f aca="false">IF(A63="N/A"," ",IF(OR(Dayrun2=2,Dayrun2=3,Dayrun2=5,Dayrun2=6),IF(Scaler2=2,F63,(VLOOKUP(A63,ScaledPrice2,5))*(2-(VLOOKUP(A63,ScaledPrice2,3)))),0))</f>
        <v>0</v>
      </c>
      <c r="H63" s="317" t="n">
        <f aca="false">IF($A63="N/A"," ",IF(OR(Dayrun2=2,Dayrun2=3,Dayrun2=10),VLOOKUP($A63,ScaledPrice2,9),0))</f>
        <v>0</v>
      </c>
      <c r="I63" s="317" t="n">
        <f aca="false">IF(A63="N/A"," ",IF(OR(Dayrun2=3,Dayrun2=6,Dayrun2=9),(VLOOKUP(A63,ScaledPrice2,IF(Scaler2=2,7,8))),0))</f>
        <v>0</v>
      </c>
      <c r="J63" s="317" t="n">
        <f aca="false">IF(A63="N/A"," ",IF(OR(Dayrun2=3,Dayrun2=6),IF(Scaler2=2,I63,(VLOOKUP(A63,ScaledPrice2,7))*(2-(VLOOKUP(A63,ScaledPrice2,3)))),0))</f>
        <v>0</v>
      </c>
      <c r="K63" s="317" t="n">
        <f aca="false">IF($A63="N/A"," ",IF(OR(Dayrun2=3,Dayrun2=10),VLOOKUP($A63,ScaledPrice2,9),0))</f>
        <v>0</v>
      </c>
      <c r="L63" s="318" t="e">
        <f aca="false">IF($A63="N/A"," ",IF(Pricetype2=2,MAX(C63,0),IF(OR(Pricetype2=1,Pricetype2=4),IF(C63=0,0,(EURO(C63,Strikeprice2,0,0,($AH63+IF(Smile=TRUE(),VLOOKUP(MAX(-5,Strikeprice2-C63),Volsmile,2),0)),($A63-DateToday)+15,IF(Pricetype2=1,1,0),0))),C63)))</f>
        <v>#NAME?</v>
      </c>
      <c r="M63" s="318" t="e">
        <f aca="false">IF($A63="N/A"," ",IF(Pricetype2=2,MAX(D63,0),IF(OR(Pricetype2=1,Pricetype2=4),IF(D63=0,0,(EURO(D63,Strikeprice2,0,0,($AH63+IF(Smile=TRUE(),VLOOKUP(MAX(-5,Strikeprice2-D63),Volsmile,2),0)),($A63-DateToday)+15,IF(Pricetype2=1,1,0),0))),D63)))</f>
        <v>#NAME?</v>
      </c>
      <c r="N63" s="318" t="n">
        <f aca="false">IF($A63="N/A"," ",IF(Pricetype2=2,MAX(E63,0),IF(OR(Pricetype2=1,Pricetype2=4),IF(E63=0,0,(EURO(E63,Strikeprice2,0,0,($AK63+IF(Smile=TRUE(),VLOOKUP(MAX(-5,Strikeprice2-E63),Volsmile,2),0)),($A63-DateToday)+15,IF(Pricetype2=1,1,0),0))),E63)))</f>
        <v>0</v>
      </c>
      <c r="O63" s="318" t="n">
        <f aca="false">IF($A63="N/A"," ",IF(Pricetype2=2,MAX(F63,0),IF(OR(Pricetype2=1,Pricetype2=4),IF(F63=0,0,(EURO(F63,Strikeprice2,0,0,($AK63+IF(Smile=TRUE(),VLOOKUP(MAX(-5,Strikeprice2-F63),Volsmile,2),0)),($A63-DateToday)+15,IF(Pricetype2=1,1,0),0))),F63)))</f>
        <v>0</v>
      </c>
      <c r="P63" s="318" t="n">
        <f aca="false">IF($A63="N/A"," ",IF(Pricetype2=2,MAX(G63,0),IF(OR(Pricetype2=1,Pricetype2=4),IF(G63=0,0,(EURO(G63,Strikeprice2,0,0,($AK63+IF(Smile=TRUE(),VLOOKUP(MAX(-5,Strikeprice2-G63),Volsmile,2),0)),($A63-DateToday)+15,IF(Pricetype2=1,1,0),0))),G63)))</f>
        <v>0</v>
      </c>
      <c r="Q63" s="318" t="n">
        <f aca="false">IF($A63="N/A"," ",IF(Pricetype2=2,MAX(H63,0),IF(OR(Pricetype2=1,Pricetype2=4),IF(H63=0,0,(EURO(H63,Strikeprice2,0,0,($AK63+IF(Smile=TRUE(),VLOOKUP(MAX(-5,Strikeprice2-H63),Volsmile,2),0)),($A63-DateToday)+15,IF(Pricetype2=1,1,0),0))),H63)))</f>
        <v>0</v>
      </c>
      <c r="R63" s="318" t="n">
        <f aca="false">IF($A63="N/A"," ",IF(Pricetype2=2,MAX(I63,0),IF(OR(Pricetype2=1,Pricetype2=4),IF(I63=0,0,(EURO(I63,Strikeprice2,0,0,($AK63+IF(Smile=TRUE(),VLOOKUP(MAX(-5,Strikeprice2-I63),Volsmile,2),0)),($A63-DateToday)+15,IF(Pricetype2=1,1,0),0))),I63)))</f>
        <v>0</v>
      </c>
      <c r="S63" s="318" t="n">
        <f aca="false">IF($A63="N/A"," ",IF(Pricetype2=2,MAX(J63,0),IF(OR(Pricetype2=1,Pricetype2=4),IF(J63=0,0,(EURO(J63,Strikeprice2,0,0,($AK63+IF(Smile=TRUE(),VLOOKUP(MAX(-5,Strikeprice2-J63),Volsmile,2),0)),($A63-DateToday)+15,IF(Pricetype2=1,1,0),0))),J63)))</f>
        <v>0</v>
      </c>
      <c r="T63" s="318" t="n">
        <f aca="false">IF($A63="N/A"," ",IF(Pricetype2=2,MAX(K63,0),IF(OR(Pricetype2=1,Pricetype2=4),IF(K63=0,0,(EURO(K63,Strikeprice2,0,0,($AK63+IF(Smile=TRUE(),VLOOKUP(MAX(-5,Strikeprice2-K63),Volsmile,2),0)),($A63-DateToday)+15,IF(Pricetype2=1,1,0),0))),K63)))</f>
        <v>0</v>
      </c>
      <c r="U63" s="319" t="e">
        <f aca="false">IF($A63="N/A"," ",Volume2*$AM63)</f>
        <v>#N/A</v>
      </c>
      <c r="V63" s="320" t="e">
        <f aca="false">IF($A63="N/A"," ",$U63*(8*($BQ63))*L63)</f>
        <v>#N/A</v>
      </c>
      <c r="W63" s="320" t="e">
        <f aca="false">IF($A63="N/A"," ",$U63*(8*($BQ63))*M63)</f>
        <v>#N/A</v>
      </c>
      <c r="X63" s="320" t="e">
        <f aca="false">IF($A63="N/A"," ",$U63*(8*($BQ63))*N63)</f>
        <v>#N/A</v>
      </c>
      <c r="Y63" s="320" t="e">
        <f aca="false">IF($A63="N/A"," ",$U63*(8*($BR63))*O63)</f>
        <v>#N/A</v>
      </c>
      <c r="Z63" s="320" t="e">
        <f aca="false">IF($A63="N/A"," ",$U63*(8*($BR63))*P63)</f>
        <v>#N/A</v>
      </c>
      <c r="AA63" s="320" t="e">
        <f aca="false">IF($A63="N/A"," ",$U63*(8*($BR63))*Q63)</f>
        <v>#N/A</v>
      </c>
      <c r="AB63" s="320" t="e">
        <f aca="false">IF($A63="N/A"," ",$U63*(8*($BS63))*R63)</f>
        <v>#N/A</v>
      </c>
      <c r="AC63" s="320" t="e">
        <f aca="false">IF($A63="N/A"," ",$U63*(8*($BS63))*S63)</f>
        <v>#N/A</v>
      </c>
      <c r="AD63" s="320" t="e">
        <f aca="false">IF($A63="N/A"," ",$U63*(8*($BS63))*T63)</f>
        <v>#N/A</v>
      </c>
      <c r="AE63" s="320" t="e">
        <f aca="false">IF($A63="N/A"," ",SUM(V63:AD63))</f>
        <v>#N/A</v>
      </c>
      <c r="AF63" s="321" t="n">
        <f aca="false">IF(A63="N/A"," ",(VLOOKUP(A63,PowerVolTable,(IF(VolBMO2=2,7,IF(VolBMO2=1,6,8))),FALSE())))</f>
        <v>0.16</v>
      </c>
      <c r="AG63" s="321" t="n">
        <f aca="false">IF(A63="N/A"," ",(VLOOKUP(A63,IntraPowerVol,(IF(VolBMO2=2,3,IF(VolBMO2=1,2,4))),FALSE())*VLOOKUP(MONTH($A63),Volscale,2)))</f>
        <v>0.28</v>
      </c>
      <c r="AH63" s="321" t="n">
        <f aca="false">IF($A63="N/A"," ",IF(VolType2=1,AG63,AF63))</f>
        <v>0.16</v>
      </c>
      <c r="AI63" s="321" t="n">
        <f aca="false">IF($A63="N/A"," ",(VLOOKUP($A63,OffPwrVolTable,(IF(VolBMO2=2,7,IF(VolBMO2=1,6,8))),FALSE())))</f>
        <v>0.08</v>
      </c>
      <c r="AJ63" s="321" t="n">
        <f aca="false">IF($A63="N/A"," ",(VLOOKUP($A63,OffPwrVolTable,(IF(VolBMO2=2,3,IF(VolBMO2=1,2,4))),FALSE())*VLOOKUP(MONTH($A63),Volscale,2)))</f>
        <v>0.168</v>
      </c>
      <c r="AK63" s="321" t="n">
        <f aca="false">IF($A63="N/A"," ",IF(VolType2=1,AJ63,AI63))</f>
        <v>0.08</v>
      </c>
      <c r="AL63" s="321" t="e">
        <f aca="false">IF($A63="N/A"," ",IF(PV=1,0,'Pricing Inputs2'!R96))</f>
        <v>#N/A</v>
      </c>
      <c r="AM63" s="323" t="e">
        <f aca="false">IF($A63="N/A"," ",(1+AL63/2)^(-2*((EOMONTH(A63,0)+20)-DateToday)/365.25))</f>
        <v>#N/A</v>
      </c>
      <c r="BQ63" s="0" t="n">
        <f aca="false">IF($A63="N/A"," ",(VLOOKUP($A63,NumberofDaysTable,2)))</f>
        <v>20</v>
      </c>
      <c r="BR63" s="0" t="n">
        <f aca="false">IF($A63="N/A"," ",(VLOOKUP($A63,NumberofDaysTable,3)))</f>
        <v>5</v>
      </c>
      <c r="BS63" s="0" t="n">
        <f aca="false">IF($A63="N/A"," ",(VLOOKUP($A63,NumberofDaysTable,4)))</f>
        <v>6</v>
      </c>
    </row>
    <row r="64" customFormat="false" ht="12.75" hidden="false" customHeight="false" outlineLevel="0" collapsed="false">
      <c r="A64" s="315" t="str">
        <f aca="false">IF(A63="N/A","N/A",IF(EDATE(A63,1)&gt;Inputs!$P$5,"N/A",EDATE(A63,1)))</f>
        <v>N/A</v>
      </c>
      <c r="B64" s="316" t="str">
        <f aca="false">IF(A64="N/A"," ",YEAR(A64))</f>
        <v> </v>
      </c>
      <c r="C64" s="317" t="str">
        <f aca="false">IF($A64="N/A"," ",IF(Dayrun2=10,0,IF(Scaler2=1,(VLOOKUP(A64,ScaledPrice2,4)),(VLOOKUP(A64,ScaledPrice2,2)))))</f>
        <v> </v>
      </c>
      <c r="D64" s="317" t="str">
        <f aca="false">IF(A64="N/A"," ",IF(Dayrun2&gt;=7,0,IF(Scaler2=2,VLOOKUP(A64,ScaledPrice2,2),(VLOOKUP(A64,ScaledPrice2,2))*(2-(VLOOKUP(A64,ScaledPrice2,3))))))</f>
        <v> </v>
      </c>
      <c r="E64" s="317" t="str">
        <f aca="false">IF($A64="N/A"," ",IF(AND(Dayrun2&gt;=4,Dayrun2&lt;=9),0,VLOOKUP($A64,ScaledPrice2,9)))</f>
        <v> </v>
      </c>
      <c r="F64" s="317" t="str">
        <f aca="false">IF(A64="N/A"," ",IF(OR(Dayrun2=2,Dayrun2=3,Dayrun2=5,Dayrun2=6,Dayrun2=8,Dayrun2=9),VLOOKUP(A64,ScaledPrice2,IF(Scaler2=1,6,5)),0))</f>
        <v> </v>
      </c>
      <c r="G64" s="317" t="str">
        <f aca="false">IF(A64="N/A"," ",IF(OR(Dayrun2=2,Dayrun2=3,Dayrun2=5,Dayrun2=6),IF(Scaler2=2,F64,(VLOOKUP(A64,ScaledPrice2,5))*(2-(VLOOKUP(A64,ScaledPrice2,3)))),0))</f>
        <v> </v>
      </c>
      <c r="H64" s="317" t="str">
        <f aca="false">IF($A64="N/A"," ",IF(OR(Dayrun2=2,Dayrun2=3,Dayrun2=10),VLOOKUP($A64,ScaledPrice2,9),0))</f>
        <v> </v>
      </c>
      <c r="I64" s="317" t="str">
        <f aca="false">IF(A64="N/A"," ",IF(OR(Dayrun2=3,Dayrun2=6,Dayrun2=9),(VLOOKUP(A64,ScaledPrice2,IF(Scaler2=2,7,8))),0))</f>
        <v> </v>
      </c>
      <c r="J64" s="317" t="str">
        <f aca="false">IF(A64="N/A"," ",IF(OR(Dayrun2=3,Dayrun2=6),IF(Scaler2=2,I64,(VLOOKUP(A64,ScaledPrice2,7))*(2-(VLOOKUP(A64,ScaledPrice2,3)))),0))</f>
        <v> </v>
      </c>
      <c r="K64" s="317" t="str">
        <f aca="false">IF($A64="N/A"," ",IF(OR(Dayrun2=3,Dayrun2=10),VLOOKUP($A64,ScaledPrice2,9),0))</f>
        <v> </v>
      </c>
      <c r="L64" s="318" t="str">
        <f aca="false">IF($A64="N/A"," ",IF(Pricetype2=2,MAX(C64,0),IF(OR(Pricetype2=1,Pricetype2=4),IF(C64=0,0,(EURO(C64,Strikeprice2,0,0,($AH64+IF(Smile=TRUE(),VLOOKUP(MAX(-5,Strikeprice2-C64),Volsmile,2),0)),($A64-DateToday)+15,IF(Pricetype2=1,1,0),0))),C64)))</f>
        <v> </v>
      </c>
      <c r="M64" s="318" t="str">
        <f aca="false">IF($A64="N/A"," ",IF(Pricetype2=2,MAX(D64,0),IF(OR(Pricetype2=1,Pricetype2=4),IF(D64=0,0,(EURO(D64,Strikeprice2,0,0,($AH64+IF(Smile=TRUE(),VLOOKUP(MAX(-5,Strikeprice2-D64),Volsmile,2),0)),($A64-DateToday)+15,IF(Pricetype2=1,1,0),0))),D64)))</f>
        <v> </v>
      </c>
      <c r="N64" s="318" t="str">
        <f aca="false">IF($A64="N/A"," ",IF(Pricetype2=2,MAX(E64,0),IF(OR(Pricetype2=1,Pricetype2=4),IF(E64=0,0,(EURO(E64,Strikeprice2,0,0,($AK64+IF(Smile=TRUE(),VLOOKUP(MAX(-5,Strikeprice2-E64),Volsmile,2),0)),($A64-DateToday)+15,IF(Pricetype2=1,1,0),0))),E64)))</f>
        <v> </v>
      </c>
      <c r="O64" s="318" t="str">
        <f aca="false">IF($A64="N/A"," ",IF(Pricetype2=2,MAX(F64,0),IF(OR(Pricetype2=1,Pricetype2=4),IF(F64=0,0,(EURO(F64,Strikeprice2,0,0,($AK64+IF(Smile=TRUE(),VLOOKUP(MAX(-5,Strikeprice2-F64),Volsmile,2),0)),($A64-DateToday)+15,IF(Pricetype2=1,1,0),0))),F64)))</f>
        <v> </v>
      </c>
      <c r="P64" s="318" t="str">
        <f aca="false">IF($A64="N/A"," ",IF(Pricetype2=2,MAX(G64,0),IF(OR(Pricetype2=1,Pricetype2=4),IF(G64=0,0,(EURO(G64,Strikeprice2,0,0,($AK64+IF(Smile=TRUE(),VLOOKUP(MAX(-5,Strikeprice2-G64),Volsmile,2),0)),($A64-DateToday)+15,IF(Pricetype2=1,1,0),0))),G64)))</f>
        <v> </v>
      </c>
      <c r="Q64" s="318" t="str">
        <f aca="false">IF($A64="N/A"," ",IF(Pricetype2=2,MAX(H64,0),IF(OR(Pricetype2=1,Pricetype2=4),IF(H64=0,0,(EURO(H64,Strikeprice2,0,0,($AK64+IF(Smile=TRUE(),VLOOKUP(MAX(-5,Strikeprice2-H64),Volsmile,2),0)),($A64-DateToday)+15,IF(Pricetype2=1,1,0),0))),H64)))</f>
        <v> </v>
      </c>
      <c r="R64" s="318" t="str">
        <f aca="false">IF($A64="N/A"," ",IF(Pricetype2=2,MAX(I64,0),IF(OR(Pricetype2=1,Pricetype2=4),IF(I64=0,0,(EURO(I64,Strikeprice2,0,0,($AK64+IF(Smile=TRUE(),VLOOKUP(MAX(-5,Strikeprice2-I64),Volsmile,2),0)),($A64-DateToday)+15,IF(Pricetype2=1,1,0),0))),I64)))</f>
        <v> </v>
      </c>
      <c r="S64" s="318" t="str">
        <f aca="false">IF($A64="N/A"," ",IF(Pricetype2=2,MAX(J64,0),IF(OR(Pricetype2=1,Pricetype2=4),IF(J64=0,0,(EURO(J64,Strikeprice2,0,0,($AK64+IF(Smile=TRUE(),VLOOKUP(MAX(-5,Strikeprice2-J64),Volsmile,2),0)),($A64-DateToday)+15,IF(Pricetype2=1,1,0),0))),J64)))</f>
        <v> </v>
      </c>
      <c r="T64" s="318" t="str">
        <f aca="false">IF($A64="N/A"," ",IF(Pricetype2=2,MAX(K64,0),IF(OR(Pricetype2=1,Pricetype2=4),IF(K64=0,0,(EURO(K64,Strikeprice2,0,0,($AK64+IF(Smile=TRUE(),VLOOKUP(MAX(-5,Strikeprice2-K64),Volsmile,2),0)),($A64-DateToday)+15,IF(Pricetype2=1,1,0),0))),K64)))</f>
        <v> </v>
      </c>
      <c r="U64" s="319" t="str">
        <f aca="false">IF($A64="N/A"," ",Volume2*$AM64)</f>
        <v> </v>
      </c>
      <c r="V64" s="320" t="str">
        <f aca="false">IF($A64="N/A"," ",$U64*(8*($BQ64))*L64)</f>
        <v> </v>
      </c>
      <c r="W64" s="320" t="str">
        <f aca="false">IF($A64="N/A"," ",$U64*(8*($BQ64))*M64)</f>
        <v> </v>
      </c>
      <c r="X64" s="320" t="str">
        <f aca="false">IF($A64="N/A"," ",$U64*(8*($BQ64))*N64)</f>
        <v> </v>
      </c>
      <c r="Y64" s="320" t="str">
        <f aca="false">IF($A64="N/A"," ",$U64*(8*($BR64))*O64)</f>
        <v> </v>
      </c>
      <c r="Z64" s="320" t="str">
        <f aca="false">IF($A64="N/A"," ",$U64*(8*($BR64))*P64)</f>
        <v> </v>
      </c>
      <c r="AA64" s="320" t="str">
        <f aca="false">IF($A64="N/A"," ",$U64*(8*($BR64))*Q64)</f>
        <v> </v>
      </c>
      <c r="AB64" s="320" t="str">
        <f aca="false">IF($A64="N/A"," ",$U64*(8*($BS64))*R64)</f>
        <v> </v>
      </c>
      <c r="AC64" s="320" t="str">
        <f aca="false">IF($A64="N/A"," ",$U64*(8*($BS64))*S64)</f>
        <v> </v>
      </c>
      <c r="AD64" s="320" t="str">
        <f aca="false">IF($A64="N/A"," ",$U64*(8*($BS64))*T64)</f>
        <v> </v>
      </c>
      <c r="AE64" s="320" t="str">
        <f aca="false">IF($A64="N/A"," ",SUM(V64:AD64))</f>
        <v> </v>
      </c>
      <c r="AF64" s="321" t="str">
        <f aca="false">IF(A64="N/A"," ",(VLOOKUP(A64,PowerVolTable,(IF(VolBMO2=2,7,IF(VolBMO2=1,6,8))),FALSE())))</f>
        <v> </v>
      </c>
      <c r="AG64" s="321" t="str">
        <f aca="false">IF(A64="N/A"," ",(VLOOKUP(A64,IntraPowerVol,(IF(VolBMO2=2,3,IF(VolBMO2=1,2,4))),FALSE())*VLOOKUP(MONTH($A64),Volscale,2)))</f>
        <v> </v>
      </c>
      <c r="AH64" s="321" t="str">
        <f aca="false">IF($A64="N/A"," ",IF(VolType2=1,AG64,AF64))</f>
        <v> </v>
      </c>
      <c r="AI64" s="321" t="str">
        <f aca="false">IF($A64="N/A"," ",(VLOOKUP($A64,OffPwrVolTable,(IF(VolBMO2=2,7,IF(VolBMO2=1,6,8))),FALSE())))</f>
        <v> </v>
      </c>
      <c r="AJ64" s="321" t="str">
        <f aca="false">IF($A64="N/A"," ",(VLOOKUP($A64,OffPwrVolTable,(IF(VolBMO2=2,3,IF(VolBMO2=1,2,4))),FALSE())*VLOOKUP(MONTH($A64),Volscale,2)))</f>
        <v> </v>
      </c>
      <c r="AK64" s="321" t="str">
        <f aca="false">IF($A64="N/A"," ",IF(VolType2=1,AJ64,AI64))</f>
        <v> </v>
      </c>
      <c r="AL64" s="321" t="str">
        <f aca="false">IF($A64="N/A"," ",IF(PV=1,0,'Pricing Inputs2'!R97))</f>
        <v> </v>
      </c>
      <c r="AM64" s="323" t="str">
        <f aca="false">IF($A64="N/A"," ",(1+AL64/2)^(-2*((EOMONTH(A64,0)+20)-DateToday)/365.25))</f>
        <v> </v>
      </c>
      <c r="BQ64" s="0" t="str">
        <f aca="false">IF($A64="N/A"," ",(VLOOKUP($A64,NumberofDaysTable,2)))</f>
        <v> </v>
      </c>
      <c r="BR64" s="0" t="str">
        <f aca="false">IF($A64="N/A"," ",(VLOOKUP($A64,NumberofDaysTable,3)))</f>
        <v> </v>
      </c>
      <c r="BS64" s="0" t="str">
        <f aca="false">IF($A64="N/A"," ",(VLOOKUP($A64,NumberofDaysTable,4)))</f>
        <v> </v>
      </c>
    </row>
    <row r="65" customFormat="false" ht="12.75" hidden="false" customHeight="false" outlineLevel="0" collapsed="false">
      <c r="A65" s="315" t="str">
        <f aca="false">IF(A64="N/A","N/A",IF(EDATE(A64,1)&gt;Inputs!$P$5,"N/A",EDATE(A64,1)))</f>
        <v>N/A</v>
      </c>
      <c r="B65" s="316" t="str">
        <f aca="false">IF(A65="N/A"," ",YEAR(A65))</f>
        <v> </v>
      </c>
      <c r="C65" s="317" t="str">
        <f aca="false">IF($A65="N/A"," ",IF(Dayrun2=10,0,IF(Scaler2=1,(VLOOKUP(A65,ScaledPrice2,4)),(VLOOKUP(A65,ScaledPrice2,2)))))</f>
        <v> </v>
      </c>
      <c r="D65" s="317" t="str">
        <f aca="false">IF(A65="N/A"," ",IF(Dayrun2&gt;=7,0,IF(Scaler2=2,VLOOKUP(A65,ScaledPrice2,2),(VLOOKUP(A65,ScaledPrice2,2))*(2-(VLOOKUP(A65,ScaledPrice2,3))))))</f>
        <v> </v>
      </c>
      <c r="E65" s="317" t="str">
        <f aca="false">IF($A65="N/A"," ",IF(AND(Dayrun2&gt;=4,Dayrun2&lt;=9),0,VLOOKUP($A65,ScaledPrice2,9)))</f>
        <v> </v>
      </c>
      <c r="F65" s="317" t="str">
        <f aca="false">IF(A65="N/A"," ",IF(OR(Dayrun2=2,Dayrun2=3,Dayrun2=5,Dayrun2=6,Dayrun2=8,Dayrun2=9),VLOOKUP(A65,ScaledPrice2,IF(Scaler2=1,6,5)),0))</f>
        <v> </v>
      </c>
      <c r="G65" s="317" t="str">
        <f aca="false">IF(A65="N/A"," ",IF(OR(Dayrun2=2,Dayrun2=3,Dayrun2=5,Dayrun2=6),IF(Scaler2=2,F65,(VLOOKUP(A65,ScaledPrice2,5))*(2-(VLOOKUP(A65,ScaledPrice2,3)))),0))</f>
        <v> </v>
      </c>
      <c r="H65" s="317" t="str">
        <f aca="false">IF($A65="N/A"," ",IF(OR(Dayrun2=2,Dayrun2=3,Dayrun2=10),VLOOKUP($A65,ScaledPrice2,9),0))</f>
        <v> </v>
      </c>
      <c r="I65" s="317" t="str">
        <f aca="false">IF(A65="N/A"," ",IF(OR(Dayrun2=3,Dayrun2=6,Dayrun2=9),(VLOOKUP(A65,ScaledPrice2,IF(Scaler2=2,7,8))),0))</f>
        <v> </v>
      </c>
      <c r="J65" s="317" t="str">
        <f aca="false">IF(A65="N/A"," ",IF(OR(Dayrun2=3,Dayrun2=6),IF(Scaler2=2,I65,(VLOOKUP(A65,ScaledPrice2,7))*(2-(VLOOKUP(A65,ScaledPrice2,3)))),0))</f>
        <v> </v>
      </c>
      <c r="K65" s="317" t="str">
        <f aca="false">IF($A65="N/A"," ",IF(OR(Dayrun2=3,Dayrun2=10),VLOOKUP($A65,ScaledPrice2,9),0))</f>
        <v> </v>
      </c>
      <c r="L65" s="318" t="str">
        <f aca="false">IF($A65="N/A"," ",IF(Pricetype2=2,MAX(C65,0),IF(OR(Pricetype2=1,Pricetype2=4),IF(C65=0,0,(EURO(C65,Strikeprice2,0,0,($AH65+IF(Smile=TRUE(),VLOOKUP(MAX(-5,Strikeprice2-C65),Volsmile,2),0)),($A65-DateToday)+15,IF(Pricetype2=1,1,0),0))),C65)))</f>
        <v> </v>
      </c>
      <c r="M65" s="318" t="str">
        <f aca="false">IF($A65="N/A"," ",IF(Pricetype2=2,MAX(D65,0),IF(OR(Pricetype2=1,Pricetype2=4),IF(D65=0,0,(EURO(D65,Strikeprice2,0,0,($AH65+IF(Smile=TRUE(),VLOOKUP(MAX(-5,Strikeprice2-D65),Volsmile,2),0)),($A65-DateToday)+15,IF(Pricetype2=1,1,0),0))),D65)))</f>
        <v> </v>
      </c>
      <c r="N65" s="318" t="str">
        <f aca="false">IF($A65="N/A"," ",IF(Pricetype2=2,MAX(E65,0),IF(OR(Pricetype2=1,Pricetype2=4),IF(E65=0,0,(EURO(E65,Strikeprice2,0,0,($AK65+IF(Smile=TRUE(),VLOOKUP(MAX(-5,Strikeprice2-E65),Volsmile,2),0)),($A65-DateToday)+15,IF(Pricetype2=1,1,0),0))),E65)))</f>
        <v> </v>
      </c>
      <c r="O65" s="318" t="str">
        <f aca="false">IF($A65="N/A"," ",IF(Pricetype2=2,MAX(F65,0),IF(OR(Pricetype2=1,Pricetype2=4),IF(F65=0,0,(EURO(F65,Strikeprice2,0,0,($AK65+IF(Smile=TRUE(),VLOOKUP(MAX(-5,Strikeprice2-F65),Volsmile,2),0)),($A65-DateToday)+15,IF(Pricetype2=1,1,0),0))),F65)))</f>
        <v> </v>
      </c>
      <c r="P65" s="318" t="str">
        <f aca="false">IF($A65="N/A"," ",IF(Pricetype2=2,MAX(G65,0),IF(OR(Pricetype2=1,Pricetype2=4),IF(G65=0,0,(EURO(G65,Strikeprice2,0,0,($AK65+IF(Smile=TRUE(),VLOOKUP(MAX(-5,Strikeprice2-G65),Volsmile,2),0)),($A65-DateToday)+15,IF(Pricetype2=1,1,0),0))),G65)))</f>
        <v> </v>
      </c>
      <c r="Q65" s="318" t="str">
        <f aca="false">IF($A65="N/A"," ",IF(Pricetype2=2,MAX(H65,0),IF(OR(Pricetype2=1,Pricetype2=4),IF(H65=0,0,(EURO(H65,Strikeprice2,0,0,($AK65+IF(Smile=TRUE(),VLOOKUP(MAX(-5,Strikeprice2-H65),Volsmile,2),0)),($A65-DateToday)+15,IF(Pricetype2=1,1,0),0))),H65)))</f>
        <v> </v>
      </c>
      <c r="R65" s="318" t="str">
        <f aca="false">IF($A65="N/A"," ",IF(Pricetype2=2,MAX(I65,0),IF(OR(Pricetype2=1,Pricetype2=4),IF(I65=0,0,(EURO(I65,Strikeprice2,0,0,($AK65+IF(Smile=TRUE(),VLOOKUP(MAX(-5,Strikeprice2-I65),Volsmile,2),0)),($A65-DateToday)+15,IF(Pricetype2=1,1,0),0))),I65)))</f>
        <v> </v>
      </c>
      <c r="S65" s="318" t="str">
        <f aca="false">IF($A65="N/A"," ",IF(Pricetype2=2,MAX(J65,0),IF(OR(Pricetype2=1,Pricetype2=4),IF(J65=0,0,(EURO(J65,Strikeprice2,0,0,($AK65+IF(Smile=TRUE(),VLOOKUP(MAX(-5,Strikeprice2-J65),Volsmile,2),0)),($A65-DateToday)+15,IF(Pricetype2=1,1,0),0))),J65)))</f>
        <v> </v>
      </c>
      <c r="T65" s="318" t="str">
        <f aca="false">IF($A65="N/A"," ",IF(Pricetype2=2,MAX(K65,0),IF(OR(Pricetype2=1,Pricetype2=4),IF(K65=0,0,(EURO(K65,Strikeprice2,0,0,($AK65+IF(Smile=TRUE(),VLOOKUP(MAX(-5,Strikeprice2-K65),Volsmile,2),0)),($A65-DateToday)+15,IF(Pricetype2=1,1,0),0))),K65)))</f>
        <v> </v>
      </c>
      <c r="U65" s="319" t="str">
        <f aca="false">IF($A65="N/A"," ",Volume2*$AM65)</f>
        <v> </v>
      </c>
      <c r="V65" s="320" t="str">
        <f aca="false">IF($A65="N/A"," ",$U65*(8*($BQ65))*L65)</f>
        <v> </v>
      </c>
      <c r="W65" s="320" t="str">
        <f aca="false">IF($A65="N/A"," ",$U65*(8*($BQ65))*M65)</f>
        <v> </v>
      </c>
      <c r="X65" s="320" t="str">
        <f aca="false">IF($A65="N/A"," ",$U65*(8*($BQ65))*N65)</f>
        <v> </v>
      </c>
      <c r="Y65" s="320" t="str">
        <f aca="false">IF($A65="N/A"," ",$U65*(8*($BR65))*O65)</f>
        <v> </v>
      </c>
      <c r="Z65" s="320" t="str">
        <f aca="false">IF($A65="N/A"," ",$U65*(8*($BR65))*P65)</f>
        <v> </v>
      </c>
      <c r="AA65" s="320" t="str">
        <f aca="false">IF($A65="N/A"," ",$U65*(8*($BR65))*Q65)</f>
        <v> </v>
      </c>
      <c r="AB65" s="320" t="str">
        <f aca="false">IF($A65="N/A"," ",$U65*(8*($BS65))*R65)</f>
        <v> </v>
      </c>
      <c r="AC65" s="320" t="str">
        <f aca="false">IF($A65="N/A"," ",$U65*(8*($BS65))*S65)</f>
        <v> </v>
      </c>
      <c r="AD65" s="320" t="str">
        <f aca="false">IF($A65="N/A"," ",$U65*(8*($BS65))*T65)</f>
        <v> </v>
      </c>
      <c r="AE65" s="320" t="str">
        <f aca="false">IF($A65="N/A"," ",SUM(V65:AD65))</f>
        <v> </v>
      </c>
      <c r="AF65" s="321" t="str">
        <f aca="false">IF(A65="N/A"," ",(VLOOKUP(A65,PowerVolTable,(IF(VolBMO2=2,7,IF(VolBMO2=1,6,8))),FALSE())))</f>
        <v> </v>
      </c>
      <c r="AG65" s="321" t="str">
        <f aca="false">IF(A65="N/A"," ",(VLOOKUP(A65,IntraPowerVol,(IF(VolBMO2=2,3,IF(VolBMO2=1,2,4))),FALSE())*VLOOKUP(MONTH($A65),Volscale,2)))</f>
        <v> </v>
      </c>
      <c r="AH65" s="321" t="str">
        <f aca="false">IF($A65="N/A"," ",IF(VolType2=1,AG65,AF65))</f>
        <v> </v>
      </c>
      <c r="AI65" s="321" t="str">
        <f aca="false">IF($A65="N/A"," ",(VLOOKUP($A65,OffPwrVolTable,(IF(VolBMO2=2,7,IF(VolBMO2=1,6,8))),FALSE())))</f>
        <v> </v>
      </c>
      <c r="AJ65" s="321" t="str">
        <f aca="false">IF($A65="N/A"," ",(VLOOKUP($A65,OffPwrVolTable,(IF(VolBMO2=2,3,IF(VolBMO2=1,2,4))),FALSE())*VLOOKUP(MONTH($A65),Volscale,2)))</f>
        <v> </v>
      </c>
      <c r="AK65" s="321" t="str">
        <f aca="false">IF($A65="N/A"," ",IF(VolType2=1,AJ65,AI65))</f>
        <v> </v>
      </c>
      <c r="AL65" s="321" t="str">
        <f aca="false">IF($A65="N/A"," ",IF(PV=1,0,'Pricing Inputs2'!R98))</f>
        <v> </v>
      </c>
      <c r="AM65" s="323" t="str">
        <f aca="false">IF($A65="N/A"," ",(1+AL65/2)^(-2*((EOMONTH(A65,0)+20)-DateToday)/365.25))</f>
        <v> </v>
      </c>
      <c r="BQ65" s="0" t="str">
        <f aca="false">IF($A65="N/A"," ",(VLOOKUP($A65,NumberofDaysTable,2)))</f>
        <v> </v>
      </c>
      <c r="BR65" s="0" t="str">
        <f aca="false">IF($A65="N/A"," ",(VLOOKUP($A65,NumberofDaysTable,3)))</f>
        <v> </v>
      </c>
      <c r="BS65" s="0" t="str">
        <f aca="false">IF($A65="N/A"," ",(VLOOKUP($A65,NumberofDaysTable,4)))</f>
        <v> </v>
      </c>
    </row>
    <row r="66" customFormat="false" ht="12.75" hidden="false" customHeight="false" outlineLevel="0" collapsed="false">
      <c r="A66" s="315" t="str">
        <f aca="false">IF(A65="N/A","N/A",IF(EDATE(A65,1)&gt;Inputs!$P$5,"N/A",EDATE(A65,1)))</f>
        <v>N/A</v>
      </c>
      <c r="B66" s="316" t="str">
        <f aca="false">IF(A66="N/A"," ",YEAR(A66))</f>
        <v> </v>
      </c>
      <c r="C66" s="317" t="str">
        <f aca="false">IF($A66="N/A"," ",IF(Dayrun2=10,0,IF(Scaler2=1,(VLOOKUP(A66,ScaledPrice2,4)),(VLOOKUP(A66,ScaledPrice2,2)))))</f>
        <v> </v>
      </c>
      <c r="D66" s="317" t="str">
        <f aca="false">IF(A66="N/A"," ",IF(Dayrun2&gt;=7,0,IF(Scaler2=2,VLOOKUP(A66,ScaledPrice2,2),(VLOOKUP(A66,ScaledPrice2,2))*(2-(VLOOKUP(A66,ScaledPrice2,3))))))</f>
        <v> </v>
      </c>
      <c r="E66" s="317" t="str">
        <f aca="false">IF($A66="N/A"," ",IF(AND(Dayrun2&gt;=4,Dayrun2&lt;=9),0,VLOOKUP($A66,ScaledPrice2,9)))</f>
        <v> </v>
      </c>
      <c r="F66" s="317" t="str">
        <f aca="false">IF(A66="N/A"," ",IF(OR(Dayrun2=2,Dayrun2=3,Dayrun2=5,Dayrun2=6,Dayrun2=8,Dayrun2=9),VLOOKUP(A66,ScaledPrice2,IF(Scaler2=1,6,5)),0))</f>
        <v> </v>
      </c>
      <c r="G66" s="317" t="str">
        <f aca="false">IF(A66="N/A"," ",IF(OR(Dayrun2=2,Dayrun2=3,Dayrun2=5,Dayrun2=6),IF(Scaler2=2,F66,(VLOOKUP(A66,ScaledPrice2,5))*(2-(VLOOKUP(A66,ScaledPrice2,3)))),0))</f>
        <v> </v>
      </c>
      <c r="H66" s="317" t="str">
        <f aca="false">IF($A66="N/A"," ",IF(OR(Dayrun2=2,Dayrun2=3,Dayrun2=10),VLOOKUP($A66,ScaledPrice2,9),0))</f>
        <v> </v>
      </c>
      <c r="I66" s="317" t="str">
        <f aca="false">IF(A66="N/A"," ",IF(OR(Dayrun2=3,Dayrun2=6,Dayrun2=9),(VLOOKUP(A66,ScaledPrice2,IF(Scaler2=2,7,8))),0))</f>
        <v> </v>
      </c>
      <c r="J66" s="317" t="str">
        <f aca="false">IF(A66="N/A"," ",IF(OR(Dayrun2=3,Dayrun2=6),IF(Scaler2=2,I66,(VLOOKUP(A66,ScaledPrice2,7))*(2-(VLOOKUP(A66,ScaledPrice2,3)))),0))</f>
        <v> </v>
      </c>
      <c r="K66" s="317" t="str">
        <f aca="false">IF($A66="N/A"," ",IF(OR(Dayrun2=3,Dayrun2=10),VLOOKUP($A66,ScaledPrice2,9),0))</f>
        <v> </v>
      </c>
      <c r="L66" s="318" t="str">
        <f aca="false">IF($A66="N/A"," ",IF(Pricetype2=2,MAX(C66,0),IF(OR(Pricetype2=1,Pricetype2=4),IF(C66=0,0,(EURO(C66,Strikeprice2,0,0,($AH66+IF(Smile=TRUE(),VLOOKUP(MAX(-5,Strikeprice2-C66),Volsmile,2),0)),($A66-DateToday)+15,IF(Pricetype2=1,1,0),0))),C66)))</f>
        <v> </v>
      </c>
      <c r="M66" s="318" t="str">
        <f aca="false">IF($A66="N/A"," ",IF(Pricetype2=2,MAX(D66,0),IF(OR(Pricetype2=1,Pricetype2=4),IF(D66=0,0,(EURO(D66,Strikeprice2,0,0,($AH66+IF(Smile=TRUE(),VLOOKUP(MAX(-5,Strikeprice2-D66),Volsmile,2),0)),($A66-DateToday)+15,IF(Pricetype2=1,1,0),0))),D66)))</f>
        <v> </v>
      </c>
      <c r="N66" s="318" t="str">
        <f aca="false">IF($A66="N/A"," ",IF(Pricetype2=2,MAX(E66,0),IF(OR(Pricetype2=1,Pricetype2=4),IF(E66=0,0,(EURO(E66,Strikeprice2,0,0,($AK66+IF(Smile=TRUE(),VLOOKUP(MAX(-5,Strikeprice2-E66),Volsmile,2),0)),($A66-DateToday)+15,IF(Pricetype2=1,1,0),0))),E66)))</f>
        <v> </v>
      </c>
      <c r="O66" s="318" t="str">
        <f aca="false">IF($A66="N/A"," ",IF(Pricetype2=2,MAX(F66,0),IF(OR(Pricetype2=1,Pricetype2=4),IF(F66=0,0,(EURO(F66,Strikeprice2,0,0,($AK66+IF(Smile=TRUE(),VLOOKUP(MAX(-5,Strikeprice2-F66),Volsmile,2),0)),($A66-DateToday)+15,IF(Pricetype2=1,1,0),0))),F66)))</f>
        <v> </v>
      </c>
      <c r="P66" s="318" t="str">
        <f aca="false">IF($A66="N/A"," ",IF(Pricetype2=2,MAX(G66,0),IF(OR(Pricetype2=1,Pricetype2=4),IF(G66=0,0,(EURO(G66,Strikeprice2,0,0,($AK66+IF(Smile=TRUE(),VLOOKUP(MAX(-5,Strikeprice2-G66),Volsmile,2),0)),($A66-DateToday)+15,IF(Pricetype2=1,1,0),0))),G66)))</f>
        <v> </v>
      </c>
      <c r="Q66" s="318" t="str">
        <f aca="false">IF($A66="N/A"," ",IF(Pricetype2=2,MAX(H66,0),IF(OR(Pricetype2=1,Pricetype2=4),IF(H66=0,0,(EURO(H66,Strikeprice2,0,0,($AK66+IF(Smile=TRUE(),VLOOKUP(MAX(-5,Strikeprice2-H66),Volsmile,2),0)),($A66-DateToday)+15,IF(Pricetype2=1,1,0),0))),H66)))</f>
        <v> </v>
      </c>
      <c r="R66" s="318" t="str">
        <f aca="false">IF($A66="N/A"," ",IF(Pricetype2=2,MAX(I66,0),IF(OR(Pricetype2=1,Pricetype2=4),IF(I66=0,0,(EURO(I66,Strikeprice2,0,0,($AK66+IF(Smile=TRUE(),VLOOKUP(MAX(-5,Strikeprice2-I66),Volsmile,2),0)),($A66-DateToday)+15,IF(Pricetype2=1,1,0),0))),I66)))</f>
        <v> </v>
      </c>
      <c r="S66" s="318" t="str">
        <f aca="false">IF($A66="N/A"," ",IF(Pricetype2=2,MAX(J66,0),IF(OR(Pricetype2=1,Pricetype2=4),IF(J66=0,0,(EURO(J66,Strikeprice2,0,0,($AK66+IF(Smile=TRUE(),VLOOKUP(MAX(-5,Strikeprice2-J66),Volsmile,2),0)),($A66-DateToday)+15,IF(Pricetype2=1,1,0),0))),J66)))</f>
        <v> </v>
      </c>
      <c r="T66" s="318" t="str">
        <f aca="false">IF($A66="N/A"," ",IF(Pricetype2=2,MAX(K66,0),IF(OR(Pricetype2=1,Pricetype2=4),IF(K66=0,0,(EURO(K66,Strikeprice2,0,0,($AK66+IF(Smile=TRUE(),VLOOKUP(MAX(-5,Strikeprice2-K66),Volsmile,2),0)),($A66-DateToday)+15,IF(Pricetype2=1,1,0),0))),K66)))</f>
        <v> </v>
      </c>
      <c r="U66" s="319" t="str">
        <f aca="false">IF($A66="N/A"," ",Volume2*$AM66)</f>
        <v> </v>
      </c>
      <c r="V66" s="320" t="str">
        <f aca="false">IF($A66="N/A"," ",$U66*(8*($BQ66))*L66)</f>
        <v> </v>
      </c>
      <c r="W66" s="320" t="str">
        <f aca="false">IF($A66="N/A"," ",$U66*(8*($BQ66))*M66)</f>
        <v> </v>
      </c>
      <c r="X66" s="320" t="str">
        <f aca="false">IF($A66="N/A"," ",$U66*(8*($BQ66))*N66)</f>
        <v> </v>
      </c>
      <c r="Y66" s="320" t="str">
        <f aca="false">IF($A66="N/A"," ",$U66*(8*($BR66))*O66)</f>
        <v> </v>
      </c>
      <c r="Z66" s="320" t="str">
        <f aca="false">IF($A66="N/A"," ",$U66*(8*($BR66))*P66)</f>
        <v> </v>
      </c>
      <c r="AA66" s="320" t="str">
        <f aca="false">IF($A66="N/A"," ",$U66*(8*($BR66))*Q66)</f>
        <v> </v>
      </c>
      <c r="AB66" s="320" t="str">
        <f aca="false">IF($A66="N/A"," ",$U66*(8*($BS66))*R66)</f>
        <v> </v>
      </c>
      <c r="AC66" s="320" t="str">
        <f aca="false">IF($A66="N/A"," ",$U66*(8*($BS66))*S66)</f>
        <v> </v>
      </c>
      <c r="AD66" s="320" t="str">
        <f aca="false">IF($A66="N/A"," ",$U66*(8*($BS66))*T66)</f>
        <v> </v>
      </c>
      <c r="AE66" s="320" t="str">
        <f aca="false">IF($A66="N/A"," ",SUM(V66:AD66))</f>
        <v> </v>
      </c>
      <c r="AF66" s="321" t="str">
        <f aca="false">IF(A66="N/A"," ",(VLOOKUP(A66,PowerVolTable,(IF(VolBMO2=2,7,IF(VolBMO2=1,6,8))),FALSE())))</f>
        <v> </v>
      </c>
      <c r="AG66" s="321" t="str">
        <f aca="false">IF(A66="N/A"," ",(VLOOKUP(A66,IntraPowerVol,(IF(VolBMO2=2,3,IF(VolBMO2=1,2,4))),FALSE())*VLOOKUP(MONTH($A66),Volscale,2)))</f>
        <v> </v>
      </c>
      <c r="AH66" s="321" t="str">
        <f aca="false">IF($A66="N/A"," ",IF(VolType2=1,AG66,AF66))</f>
        <v> </v>
      </c>
      <c r="AI66" s="321" t="str">
        <f aca="false">IF($A66="N/A"," ",(VLOOKUP($A66,OffPwrVolTable,(IF(VolBMO2=2,7,IF(VolBMO2=1,6,8))),FALSE())))</f>
        <v> </v>
      </c>
      <c r="AJ66" s="321" t="str">
        <f aca="false">IF($A66="N/A"," ",(VLOOKUP($A66,OffPwrVolTable,(IF(VolBMO2=2,3,IF(VolBMO2=1,2,4))),FALSE())*VLOOKUP(MONTH($A66),Volscale,2)))</f>
        <v> </v>
      </c>
      <c r="AK66" s="321" t="str">
        <f aca="false">IF($A66="N/A"," ",IF(VolType2=1,AJ66,AI66))</f>
        <v> </v>
      </c>
      <c r="AL66" s="321" t="str">
        <f aca="false">IF($A66="N/A"," ",IF(PV=1,0,'Pricing Inputs2'!R99))</f>
        <v> </v>
      </c>
      <c r="AM66" s="323" t="str">
        <f aca="false">IF($A66="N/A"," ",(1+AL66/2)^(-2*((EOMONTH(A66,0)+20)-DateToday)/365.25))</f>
        <v> </v>
      </c>
      <c r="BQ66" s="0" t="str">
        <f aca="false">IF($A66="N/A"," ",(VLOOKUP($A66,NumberofDaysTable,2)))</f>
        <v> </v>
      </c>
      <c r="BR66" s="0" t="str">
        <f aca="false">IF($A66="N/A"," ",(VLOOKUP($A66,NumberofDaysTable,3)))</f>
        <v> </v>
      </c>
      <c r="BS66" s="0" t="str">
        <f aca="false">IF($A66="N/A"," ",(VLOOKUP($A66,NumberofDaysTable,4)))</f>
        <v> </v>
      </c>
    </row>
    <row r="67" customFormat="false" ht="12.75" hidden="false" customHeight="false" outlineLevel="0" collapsed="false">
      <c r="A67" s="315" t="str">
        <f aca="false">IF(A66="N/A","N/A",IF(EDATE(A66,1)&gt;Inputs!$P$5,"N/A",EDATE(A66,1)))</f>
        <v>N/A</v>
      </c>
      <c r="B67" s="316" t="str">
        <f aca="false">IF(A67="N/A"," ",YEAR(A67))</f>
        <v> </v>
      </c>
      <c r="C67" s="317" t="str">
        <f aca="false">IF($A67="N/A"," ",IF(Dayrun2=10,0,IF(Scaler2=1,(VLOOKUP(A67,ScaledPrice2,4)),(VLOOKUP(A67,ScaledPrice2,2)))))</f>
        <v> </v>
      </c>
      <c r="D67" s="317" t="str">
        <f aca="false">IF(A67="N/A"," ",IF(Dayrun2&gt;=7,0,IF(Scaler2=2,VLOOKUP(A67,ScaledPrice2,2),(VLOOKUP(A67,ScaledPrice2,2))*(2-(VLOOKUP(A67,ScaledPrice2,3))))))</f>
        <v> </v>
      </c>
      <c r="E67" s="317" t="str">
        <f aca="false">IF($A67="N/A"," ",IF(AND(Dayrun2&gt;=4,Dayrun2&lt;=9),0,VLOOKUP($A67,ScaledPrice2,9)))</f>
        <v> </v>
      </c>
      <c r="F67" s="317" t="str">
        <f aca="false">IF(A67="N/A"," ",IF(OR(Dayrun2=2,Dayrun2=3,Dayrun2=5,Dayrun2=6,Dayrun2=8,Dayrun2=9),VLOOKUP(A67,ScaledPrice2,IF(Scaler2=1,6,5)),0))</f>
        <v> </v>
      </c>
      <c r="G67" s="317" t="str">
        <f aca="false">IF(A67="N/A"," ",IF(OR(Dayrun2=2,Dayrun2=3,Dayrun2=5,Dayrun2=6),IF(Scaler2=2,F67,(VLOOKUP(A67,ScaledPrice2,5))*(2-(VLOOKUP(A67,ScaledPrice2,3)))),0))</f>
        <v> </v>
      </c>
      <c r="H67" s="317" t="str">
        <f aca="false">IF($A67="N/A"," ",IF(OR(Dayrun2=2,Dayrun2=3,Dayrun2=10),VLOOKUP($A67,ScaledPrice2,9),0))</f>
        <v> </v>
      </c>
      <c r="I67" s="317" t="str">
        <f aca="false">IF(A67="N/A"," ",IF(OR(Dayrun2=3,Dayrun2=6,Dayrun2=9),(VLOOKUP(A67,ScaledPrice2,IF(Scaler2=2,7,8))),0))</f>
        <v> </v>
      </c>
      <c r="J67" s="317" t="str">
        <f aca="false">IF(A67="N/A"," ",IF(OR(Dayrun2=3,Dayrun2=6),IF(Scaler2=2,I67,(VLOOKUP(A67,ScaledPrice2,7))*(2-(VLOOKUP(A67,ScaledPrice2,3)))),0))</f>
        <v> </v>
      </c>
      <c r="K67" s="317" t="str">
        <f aca="false">IF($A67="N/A"," ",IF(OR(Dayrun2=3,Dayrun2=10),VLOOKUP($A67,ScaledPrice2,9),0))</f>
        <v> </v>
      </c>
      <c r="L67" s="318" t="str">
        <f aca="false">IF($A67="N/A"," ",IF(Pricetype2=2,MAX(C67,0),IF(OR(Pricetype2=1,Pricetype2=4),IF(C67=0,0,(EURO(C67,Strikeprice2,0,0,($AH67+IF(Smile=TRUE(),VLOOKUP(MAX(-5,Strikeprice2-C67),Volsmile,2),0)),($A67-DateToday)+15,IF(Pricetype2=1,1,0),0))),C67)))</f>
        <v> </v>
      </c>
      <c r="M67" s="318" t="str">
        <f aca="false">IF($A67="N/A"," ",IF(Pricetype2=2,MAX(D67,0),IF(OR(Pricetype2=1,Pricetype2=4),IF(D67=0,0,(EURO(D67,Strikeprice2,0,0,($AH67+IF(Smile=TRUE(),VLOOKUP(MAX(-5,Strikeprice2-D67),Volsmile,2),0)),($A67-DateToday)+15,IF(Pricetype2=1,1,0),0))),D67)))</f>
        <v> </v>
      </c>
      <c r="N67" s="318" t="str">
        <f aca="false">IF($A67="N/A"," ",IF(Pricetype2=2,MAX(E67,0),IF(OR(Pricetype2=1,Pricetype2=4),IF(E67=0,0,(EURO(E67,Strikeprice2,0,0,($AK67+IF(Smile=TRUE(),VLOOKUP(MAX(-5,Strikeprice2-E67),Volsmile,2),0)),($A67-DateToday)+15,IF(Pricetype2=1,1,0),0))),E67)))</f>
        <v> </v>
      </c>
      <c r="O67" s="318" t="str">
        <f aca="false">IF($A67="N/A"," ",IF(Pricetype2=2,MAX(F67,0),IF(OR(Pricetype2=1,Pricetype2=4),IF(F67=0,0,(EURO(F67,Strikeprice2,0,0,($AK67+IF(Smile=TRUE(),VLOOKUP(MAX(-5,Strikeprice2-F67),Volsmile,2),0)),($A67-DateToday)+15,IF(Pricetype2=1,1,0),0))),F67)))</f>
        <v> </v>
      </c>
      <c r="P67" s="318" t="str">
        <f aca="false">IF($A67="N/A"," ",IF(Pricetype2=2,MAX(G67,0),IF(OR(Pricetype2=1,Pricetype2=4),IF(G67=0,0,(EURO(G67,Strikeprice2,0,0,($AK67+IF(Smile=TRUE(),VLOOKUP(MAX(-5,Strikeprice2-G67),Volsmile,2),0)),($A67-DateToday)+15,IF(Pricetype2=1,1,0),0))),G67)))</f>
        <v> </v>
      </c>
      <c r="Q67" s="318" t="str">
        <f aca="false">IF($A67="N/A"," ",IF(Pricetype2=2,MAX(H67,0),IF(OR(Pricetype2=1,Pricetype2=4),IF(H67=0,0,(EURO(H67,Strikeprice2,0,0,($AK67+IF(Smile=TRUE(),VLOOKUP(MAX(-5,Strikeprice2-H67),Volsmile,2),0)),($A67-DateToday)+15,IF(Pricetype2=1,1,0),0))),H67)))</f>
        <v> </v>
      </c>
      <c r="R67" s="318" t="str">
        <f aca="false">IF($A67="N/A"," ",IF(Pricetype2=2,MAX(I67,0),IF(OR(Pricetype2=1,Pricetype2=4),IF(I67=0,0,(EURO(I67,Strikeprice2,0,0,($AK67+IF(Smile=TRUE(),VLOOKUP(MAX(-5,Strikeprice2-I67),Volsmile,2),0)),($A67-DateToday)+15,IF(Pricetype2=1,1,0),0))),I67)))</f>
        <v> </v>
      </c>
      <c r="S67" s="318" t="str">
        <f aca="false">IF($A67="N/A"," ",IF(Pricetype2=2,MAX(J67,0),IF(OR(Pricetype2=1,Pricetype2=4),IF(J67=0,0,(EURO(J67,Strikeprice2,0,0,($AK67+IF(Smile=TRUE(),VLOOKUP(MAX(-5,Strikeprice2-J67),Volsmile,2),0)),($A67-DateToday)+15,IF(Pricetype2=1,1,0),0))),J67)))</f>
        <v> </v>
      </c>
      <c r="T67" s="318" t="str">
        <f aca="false">IF($A67="N/A"," ",IF(Pricetype2=2,MAX(K67,0),IF(OR(Pricetype2=1,Pricetype2=4),IF(K67=0,0,(EURO(K67,Strikeprice2,0,0,($AK67+IF(Smile=TRUE(),VLOOKUP(MAX(-5,Strikeprice2-K67),Volsmile,2),0)),($A67-DateToday)+15,IF(Pricetype2=1,1,0),0))),K67)))</f>
        <v> </v>
      </c>
      <c r="U67" s="319" t="str">
        <f aca="false">IF($A67="N/A"," ",Volume2*$AM67)</f>
        <v> </v>
      </c>
      <c r="V67" s="320" t="str">
        <f aca="false">IF($A67="N/A"," ",$U67*(8*($BQ67))*L67)</f>
        <v> </v>
      </c>
      <c r="W67" s="320" t="str">
        <f aca="false">IF($A67="N/A"," ",$U67*(8*($BQ67))*M67)</f>
        <v> </v>
      </c>
      <c r="X67" s="320" t="str">
        <f aca="false">IF($A67="N/A"," ",$U67*(8*($BQ67))*N67)</f>
        <v> </v>
      </c>
      <c r="Y67" s="320" t="str">
        <f aca="false">IF($A67="N/A"," ",$U67*(8*($BR67))*O67)</f>
        <v> </v>
      </c>
      <c r="Z67" s="320" t="str">
        <f aca="false">IF($A67="N/A"," ",$U67*(8*($BR67))*P67)</f>
        <v> </v>
      </c>
      <c r="AA67" s="320" t="str">
        <f aca="false">IF($A67="N/A"," ",$U67*(8*($BR67))*Q67)</f>
        <v> </v>
      </c>
      <c r="AB67" s="320" t="str">
        <f aca="false">IF($A67="N/A"," ",$U67*(8*($BS67))*R67)</f>
        <v> </v>
      </c>
      <c r="AC67" s="320" t="str">
        <f aca="false">IF($A67="N/A"," ",$U67*(8*($BS67))*S67)</f>
        <v> </v>
      </c>
      <c r="AD67" s="320" t="str">
        <f aca="false">IF($A67="N/A"," ",$U67*(8*($BS67))*T67)</f>
        <v> </v>
      </c>
      <c r="AE67" s="320" t="str">
        <f aca="false">IF($A67="N/A"," ",SUM(V67:AD67))</f>
        <v> </v>
      </c>
      <c r="AF67" s="321" t="str">
        <f aca="false">IF(A67="N/A"," ",(VLOOKUP(A67,PowerVolTable,(IF(VolBMO2=2,7,IF(VolBMO2=1,6,8))),FALSE())))</f>
        <v> </v>
      </c>
      <c r="AG67" s="321" t="str">
        <f aca="false">IF(A67="N/A"," ",(VLOOKUP(A67,IntraPowerVol,(IF(VolBMO2=2,3,IF(VolBMO2=1,2,4))),FALSE())*VLOOKUP(MONTH($A67),Volscale,2)))</f>
        <v> </v>
      </c>
      <c r="AH67" s="321" t="str">
        <f aca="false">IF($A67="N/A"," ",IF(VolType2=1,AG67,AF67))</f>
        <v> </v>
      </c>
      <c r="AI67" s="321" t="str">
        <f aca="false">IF($A67="N/A"," ",(VLOOKUP($A67,OffPwrVolTable,(IF(VolBMO2=2,7,IF(VolBMO2=1,6,8))),FALSE())))</f>
        <v> </v>
      </c>
      <c r="AJ67" s="321" t="str">
        <f aca="false">IF($A67="N/A"," ",(VLOOKUP($A67,OffPwrVolTable,(IF(VolBMO2=2,3,IF(VolBMO2=1,2,4))),FALSE())*VLOOKUP(MONTH($A67),Volscale,2)))</f>
        <v> </v>
      </c>
      <c r="AK67" s="321" t="str">
        <f aca="false">IF($A67="N/A"," ",IF(VolType2=1,AJ67,AI67))</f>
        <v> </v>
      </c>
      <c r="AL67" s="321" t="str">
        <f aca="false">IF($A67="N/A"," ",IF(PV=1,0,'Pricing Inputs2'!R100))</f>
        <v> </v>
      </c>
      <c r="AM67" s="323" t="str">
        <f aca="false">IF($A67="N/A"," ",(1+AL67/2)^(-2*((EOMONTH(A67,0)+20)-DateToday)/365.25))</f>
        <v> </v>
      </c>
      <c r="BQ67" s="0" t="str">
        <f aca="false">IF($A67="N/A"," ",(VLOOKUP($A67,NumberofDaysTable,2)))</f>
        <v> </v>
      </c>
      <c r="BR67" s="0" t="str">
        <f aca="false">IF($A67="N/A"," ",(VLOOKUP($A67,NumberofDaysTable,3)))</f>
        <v> </v>
      </c>
      <c r="BS67" s="0" t="str">
        <f aca="false">IF($A67="N/A"," ",(VLOOKUP($A67,NumberofDaysTable,4)))</f>
        <v> </v>
      </c>
    </row>
    <row r="68" customFormat="false" ht="12.75" hidden="false" customHeight="false" outlineLevel="0" collapsed="false">
      <c r="A68" s="315" t="str">
        <f aca="false">IF(A67="N/A","N/A",IF(EDATE(A67,1)&gt;Inputs!$P$5,"N/A",EDATE(A67,1)))</f>
        <v>N/A</v>
      </c>
      <c r="B68" s="316" t="str">
        <f aca="false">IF(A68="N/A"," ",YEAR(A68))</f>
        <v> </v>
      </c>
      <c r="C68" s="317" t="str">
        <f aca="false">IF($A68="N/A"," ",IF(Dayrun2=10,0,IF(Scaler2=1,(VLOOKUP(A68,ScaledPrice2,4)),(VLOOKUP(A68,ScaledPrice2,2)))))</f>
        <v> </v>
      </c>
      <c r="D68" s="317" t="str">
        <f aca="false">IF(A68="N/A"," ",IF(Dayrun2&gt;=7,0,IF(Scaler2=2,VLOOKUP(A68,ScaledPrice2,2),(VLOOKUP(A68,ScaledPrice2,2))*(2-(VLOOKUP(A68,ScaledPrice2,3))))))</f>
        <v> </v>
      </c>
      <c r="E68" s="317" t="str">
        <f aca="false">IF($A68="N/A"," ",IF(AND(Dayrun2&gt;=4,Dayrun2&lt;=9),0,VLOOKUP($A68,ScaledPrice2,9)))</f>
        <v> </v>
      </c>
      <c r="F68" s="317" t="str">
        <f aca="false">IF(A68="N/A"," ",IF(OR(Dayrun2=2,Dayrun2=3,Dayrun2=5,Dayrun2=6,Dayrun2=8,Dayrun2=9),VLOOKUP(A68,ScaledPrice2,IF(Scaler2=1,6,5)),0))</f>
        <v> </v>
      </c>
      <c r="G68" s="317" t="str">
        <f aca="false">IF(A68="N/A"," ",IF(OR(Dayrun2=2,Dayrun2=3,Dayrun2=5,Dayrun2=6),IF(Scaler2=2,F68,(VLOOKUP(A68,ScaledPrice2,5))*(2-(VLOOKUP(A68,ScaledPrice2,3)))),0))</f>
        <v> </v>
      </c>
      <c r="H68" s="317" t="str">
        <f aca="false">IF($A68="N/A"," ",IF(OR(Dayrun2=2,Dayrun2=3,Dayrun2=10),VLOOKUP($A68,ScaledPrice2,9),0))</f>
        <v> </v>
      </c>
      <c r="I68" s="317" t="str">
        <f aca="false">IF(A68="N/A"," ",IF(OR(Dayrun2=3,Dayrun2=6,Dayrun2=9),(VLOOKUP(A68,ScaledPrice2,IF(Scaler2=2,7,8))),0))</f>
        <v> </v>
      </c>
      <c r="J68" s="317" t="str">
        <f aca="false">IF(A68="N/A"," ",IF(OR(Dayrun2=3,Dayrun2=6),IF(Scaler2=2,I68,(VLOOKUP(A68,ScaledPrice2,7))*(2-(VLOOKUP(A68,ScaledPrice2,3)))),0))</f>
        <v> </v>
      </c>
      <c r="K68" s="317" t="str">
        <f aca="false">IF($A68="N/A"," ",IF(OR(Dayrun2=3,Dayrun2=10),VLOOKUP($A68,ScaledPrice2,9),0))</f>
        <v> </v>
      </c>
      <c r="L68" s="318" t="str">
        <f aca="false">IF($A68="N/A"," ",IF(Pricetype2=2,MAX(C68,0),IF(OR(Pricetype2=1,Pricetype2=4),IF(C68=0,0,(EURO(C68,Strikeprice2,0,0,($AH68+IF(Smile=TRUE(),VLOOKUP(MAX(-5,Strikeprice2-C68),Volsmile,2),0)),($A68-DateToday)+15,IF(Pricetype2=1,1,0),0))),C68)))</f>
        <v> </v>
      </c>
      <c r="M68" s="318" t="str">
        <f aca="false">IF($A68="N/A"," ",IF(Pricetype2=2,MAX(D68,0),IF(OR(Pricetype2=1,Pricetype2=4),IF(D68=0,0,(EURO(D68,Strikeprice2,0,0,($AH68+IF(Smile=TRUE(),VLOOKUP(MAX(-5,Strikeprice2-D68),Volsmile,2),0)),($A68-DateToday)+15,IF(Pricetype2=1,1,0),0))),D68)))</f>
        <v> </v>
      </c>
      <c r="N68" s="318" t="str">
        <f aca="false">IF($A68="N/A"," ",IF(Pricetype2=2,MAX(E68,0),IF(OR(Pricetype2=1,Pricetype2=4),IF(E68=0,0,(EURO(E68,Strikeprice2,0,0,($AK68+IF(Smile=TRUE(),VLOOKUP(MAX(-5,Strikeprice2-E68),Volsmile,2),0)),($A68-DateToday)+15,IF(Pricetype2=1,1,0),0))),E68)))</f>
        <v> </v>
      </c>
      <c r="O68" s="318" t="str">
        <f aca="false">IF($A68="N/A"," ",IF(Pricetype2=2,MAX(F68,0),IF(OR(Pricetype2=1,Pricetype2=4),IF(F68=0,0,(EURO(F68,Strikeprice2,0,0,($AK68+IF(Smile=TRUE(),VLOOKUP(MAX(-5,Strikeprice2-F68),Volsmile,2),0)),($A68-DateToday)+15,IF(Pricetype2=1,1,0),0))),F68)))</f>
        <v> </v>
      </c>
      <c r="P68" s="318" t="str">
        <f aca="false">IF($A68="N/A"," ",IF(Pricetype2=2,MAX(G68,0),IF(OR(Pricetype2=1,Pricetype2=4),IF(G68=0,0,(EURO(G68,Strikeprice2,0,0,($AK68+IF(Smile=TRUE(),VLOOKUP(MAX(-5,Strikeprice2-G68),Volsmile,2),0)),($A68-DateToday)+15,IF(Pricetype2=1,1,0),0))),G68)))</f>
        <v> </v>
      </c>
      <c r="Q68" s="318" t="str">
        <f aca="false">IF($A68="N/A"," ",IF(Pricetype2=2,MAX(H68,0),IF(OR(Pricetype2=1,Pricetype2=4),IF(H68=0,0,(EURO(H68,Strikeprice2,0,0,($AK68+IF(Smile=TRUE(),VLOOKUP(MAX(-5,Strikeprice2-H68),Volsmile,2),0)),($A68-DateToday)+15,IF(Pricetype2=1,1,0),0))),H68)))</f>
        <v> </v>
      </c>
      <c r="R68" s="318" t="str">
        <f aca="false">IF($A68="N/A"," ",IF(Pricetype2=2,MAX(I68,0),IF(OR(Pricetype2=1,Pricetype2=4),IF(I68=0,0,(EURO(I68,Strikeprice2,0,0,($AK68+IF(Smile=TRUE(),VLOOKUP(MAX(-5,Strikeprice2-I68),Volsmile,2),0)),($A68-DateToday)+15,IF(Pricetype2=1,1,0),0))),I68)))</f>
        <v> </v>
      </c>
      <c r="S68" s="318" t="str">
        <f aca="false">IF($A68="N/A"," ",IF(Pricetype2=2,MAX(J68,0),IF(OR(Pricetype2=1,Pricetype2=4),IF(J68=0,0,(EURO(J68,Strikeprice2,0,0,($AK68+IF(Smile=TRUE(),VLOOKUP(MAX(-5,Strikeprice2-J68),Volsmile,2),0)),($A68-DateToday)+15,IF(Pricetype2=1,1,0),0))),J68)))</f>
        <v> </v>
      </c>
      <c r="T68" s="318" t="str">
        <f aca="false">IF($A68="N/A"," ",IF(Pricetype2=2,MAX(K68,0),IF(OR(Pricetype2=1,Pricetype2=4),IF(K68=0,0,(EURO(K68,Strikeprice2,0,0,($AK68+IF(Smile=TRUE(),VLOOKUP(MAX(-5,Strikeprice2-K68),Volsmile,2),0)),($A68-DateToday)+15,IF(Pricetype2=1,1,0),0))),K68)))</f>
        <v> </v>
      </c>
      <c r="U68" s="319" t="str">
        <f aca="false">IF($A68="N/A"," ",Volume2*$AM68)</f>
        <v> </v>
      </c>
      <c r="V68" s="320" t="str">
        <f aca="false">IF($A68="N/A"," ",$U68*(8*($BQ68))*L68)</f>
        <v> </v>
      </c>
      <c r="W68" s="320" t="str">
        <f aca="false">IF($A68="N/A"," ",$U68*(8*($BQ68))*M68)</f>
        <v> </v>
      </c>
      <c r="X68" s="320" t="str">
        <f aca="false">IF($A68="N/A"," ",$U68*(8*($BQ68))*N68)</f>
        <v> </v>
      </c>
      <c r="Y68" s="320" t="str">
        <f aca="false">IF($A68="N/A"," ",$U68*(8*($BR68))*O68)</f>
        <v> </v>
      </c>
      <c r="Z68" s="320" t="str">
        <f aca="false">IF($A68="N/A"," ",$U68*(8*($BR68))*P68)</f>
        <v> </v>
      </c>
      <c r="AA68" s="320" t="str">
        <f aca="false">IF($A68="N/A"," ",$U68*(8*($BR68))*Q68)</f>
        <v> </v>
      </c>
      <c r="AB68" s="320" t="str">
        <f aca="false">IF($A68="N/A"," ",$U68*(8*($BS68))*R68)</f>
        <v> </v>
      </c>
      <c r="AC68" s="320" t="str">
        <f aca="false">IF($A68="N/A"," ",$U68*(8*($BS68))*S68)</f>
        <v> </v>
      </c>
      <c r="AD68" s="320" t="str">
        <f aca="false">IF($A68="N/A"," ",$U68*(8*($BS68))*T68)</f>
        <v> </v>
      </c>
      <c r="AE68" s="320" t="str">
        <f aca="false">IF($A68="N/A"," ",SUM(V68:AD68))</f>
        <v> </v>
      </c>
      <c r="AF68" s="321" t="str">
        <f aca="false">IF(A68="N/A"," ",(VLOOKUP(A68,PowerVolTable,(IF(VolBMO2=2,7,IF(VolBMO2=1,6,8))),FALSE())))</f>
        <v> </v>
      </c>
      <c r="AG68" s="321" t="str">
        <f aca="false">IF(A68="N/A"," ",(VLOOKUP(A68,IntraPowerVol,(IF(VolBMO2=2,3,IF(VolBMO2=1,2,4))),FALSE())*VLOOKUP(MONTH($A68),Volscale,2)))</f>
        <v> </v>
      </c>
      <c r="AH68" s="321" t="str">
        <f aca="false">IF($A68="N/A"," ",IF(VolType2=1,AG68,AF68))</f>
        <v> </v>
      </c>
      <c r="AI68" s="321" t="str">
        <f aca="false">IF($A68="N/A"," ",(VLOOKUP($A68,OffPwrVolTable,(IF(VolBMO2=2,7,IF(VolBMO2=1,6,8))),FALSE())))</f>
        <v> </v>
      </c>
      <c r="AJ68" s="321" t="str">
        <f aca="false">IF($A68="N/A"," ",(VLOOKUP($A68,OffPwrVolTable,(IF(VolBMO2=2,3,IF(VolBMO2=1,2,4))),FALSE())*VLOOKUP(MONTH($A68),Volscale,2)))</f>
        <v> </v>
      </c>
      <c r="AK68" s="321" t="str">
        <f aca="false">IF($A68="N/A"," ",IF(VolType2=1,AJ68,AI68))</f>
        <v> </v>
      </c>
      <c r="AL68" s="321" t="str">
        <f aca="false">IF($A68="N/A"," ",IF(PV=1,0,'Pricing Inputs2'!R101))</f>
        <v> </v>
      </c>
      <c r="AM68" s="323" t="str">
        <f aca="false">IF($A68="N/A"," ",(1+AL68/2)^(-2*((EOMONTH(A68,0)+20)-DateToday)/365.25))</f>
        <v> </v>
      </c>
      <c r="BQ68" s="0" t="str">
        <f aca="false">IF($A68="N/A"," ",(VLOOKUP($A68,NumberofDaysTable,2)))</f>
        <v> </v>
      </c>
      <c r="BR68" s="0" t="str">
        <f aca="false">IF($A68="N/A"," ",(VLOOKUP($A68,NumberofDaysTable,3)))</f>
        <v> </v>
      </c>
      <c r="BS68" s="0" t="str">
        <f aca="false">IF($A68="N/A"," ",(VLOOKUP($A68,NumberofDaysTable,4)))</f>
        <v> </v>
      </c>
    </row>
    <row r="69" customFormat="false" ht="12.75" hidden="false" customHeight="false" outlineLevel="0" collapsed="false">
      <c r="A69" s="315" t="str">
        <f aca="false">IF(A68="N/A","N/A",IF(EDATE(A68,1)&gt;Inputs!$P$5,"N/A",EDATE(A68,1)))</f>
        <v>N/A</v>
      </c>
      <c r="B69" s="316" t="str">
        <f aca="false">IF(A69="N/A"," ",YEAR(A69))</f>
        <v> </v>
      </c>
      <c r="C69" s="317" t="str">
        <f aca="false">IF($A69="N/A"," ",IF(Dayrun2=10,0,IF(Scaler2=1,(VLOOKUP(A69,ScaledPrice2,4)),(VLOOKUP(A69,ScaledPrice2,2)))))</f>
        <v> </v>
      </c>
      <c r="D69" s="317" t="str">
        <f aca="false">IF(A69="N/A"," ",IF(Dayrun2&gt;=7,0,IF(Scaler2=2,VLOOKUP(A69,ScaledPrice2,2),(VLOOKUP(A69,ScaledPrice2,2))*(2-(VLOOKUP(A69,ScaledPrice2,3))))))</f>
        <v> </v>
      </c>
      <c r="E69" s="317" t="str">
        <f aca="false">IF($A69="N/A"," ",IF(AND(Dayrun2&gt;=4,Dayrun2&lt;=9),0,VLOOKUP($A69,ScaledPrice2,9)))</f>
        <v> </v>
      </c>
      <c r="F69" s="317" t="str">
        <f aca="false">IF(A69="N/A"," ",IF(OR(Dayrun2=2,Dayrun2=3,Dayrun2=5,Dayrun2=6,Dayrun2=8,Dayrun2=9),VLOOKUP(A69,ScaledPrice2,IF(Scaler2=1,6,5)),0))</f>
        <v> </v>
      </c>
      <c r="G69" s="317" t="str">
        <f aca="false">IF(A69="N/A"," ",IF(OR(Dayrun2=2,Dayrun2=3,Dayrun2=5,Dayrun2=6),IF(Scaler2=2,F69,(VLOOKUP(A69,ScaledPrice2,5))*(2-(VLOOKUP(A69,ScaledPrice2,3)))),0))</f>
        <v> </v>
      </c>
      <c r="H69" s="317" t="str">
        <f aca="false">IF($A69="N/A"," ",IF(OR(Dayrun2=2,Dayrun2=3,Dayrun2=10),VLOOKUP($A69,ScaledPrice2,9),0))</f>
        <v> </v>
      </c>
      <c r="I69" s="317" t="str">
        <f aca="false">IF(A69="N/A"," ",IF(OR(Dayrun2=3,Dayrun2=6,Dayrun2=9),(VLOOKUP(A69,ScaledPrice2,IF(Scaler2=2,7,8))),0))</f>
        <v> </v>
      </c>
      <c r="J69" s="317" t="str">
        <f aca="false">IF(A69="N/A"," ",IF(OR(Dayrun2=3,Dayrun2=6),IF(Scaler2=2,I69,(VLOOKUP(A69,ScaledPrice2,7))*(2-(VLOOKUP(A69,ScaledPrice2,3)))),0))</f>
        <v> </v>
      </c>
      <c r="K69" s="317" t="str">
        <f aca="false">IF($A69="N/A"," ",IF(OR(Dayrun2=3,Dayrun2=10),VLOOKUP($A69,ScaledPrice2,9),0))</f>
        <v> </v>
      </c>
      <c r="L69" s="318" t="str">
        <f aca="false">IF($A69="N/A"," ",IF(Pricetype2=2,MAX(C69,0),IF(OR(Pricetype2=1,Pricetype2=4),IF(C69=0,0,(EURO(C69,Strikeprice2,0,0,($AH69+IF(Smile=TRUE(),VLOOKUP(MAX(-5,Strikeprice2-C69),Volsmile,2),0)),($A69-DateToday)+15,IF(Pricetype2=1,1,0),0))),C69)))</f>
        <v> </v>
      </c>
      <c r="M69" s="318" t="str">
        <f aca="false">IF($A69="N/A"," ",IF(Pricetype2=2,MAX(D69,0),IF(OR(Pricetype2=1,Pricetype2=4),IF(D69=0,0,(EURO(D69,Strikeprice2,0,0,($AH69+IF(Smile=TRUE(),VLOOKUP(MAX(-5,Strikeprice2-D69),Volsmile,2),0)),($A69-DateToday)+15,IF(Pricetype2=1,1,0),0))),D69)))</f>
        <v> </v>
      </c>
      <c r="N69" s="318" t="str">
        <f aca="false">IF($A69="N/A"," ",IF(Pricetype2=2,MAX(E69,0),IF(OR(Pricetype2=1,Pricetype2=4),IF(E69=0,0,(EURO(E69,Strikeprice2,0,0,($AK69+IF(Smile=TRUE(),VLOOKUP(MAX(-5,Strikeprice2-E69),Volsmile,2),0)),($A69-DateToday)+15,IF(Pricetype2=1,1,0),0))),E69)))</f>
        <v> </v>
      </c>
      <c r="O69" s="318" t="str">
        <f aca="false">IF($A69="N/A"," ",IF(Pricetype2=2,MAX(F69,0),IF(OR(Pricetype2=1,Pricetype2=4),IF(F69=0,0,(EURO(F69,Strikeprice2,0,0,($AK69+IF(Smile=TRUE(),VLOOKUP(MAX(-5,Strikeprice2-F69),Volsmile,2),0)),($A69-DateToday)+15,IF(Pricetype2=1,1,0),0))),F69)))</f>
        <v> </v>
      </c>
      <c r="P69" s="318" t="str">
        <f aca="false">IF($A69="N/A"," ",IF(Pricetype2=2,MAX(G69,0),IF(OR(Pricetype2=1,Pricetype2=4),IF(G69=0,0,(EURO(G69,Strikeprice2,0,0,($AK69+IF(Smile=TRUE(),VLOOKUP(MAX(-5,Strikeprice2-G69),Volsmile,2),0)),($A69-DateToday)+15,IF(Pricetype2=1,1,0),0))),G69)))</f>
        <v> </v>
      </c>
      <c r="Q69" s="318" t="str">
        <f aca="false">IF($A69="N/A"," ",IF(Pricetype2=2,MAX(H69,0),IF(OR(Pricetype2=1,Pricetype2=4),IF(H69=0,0,(EURO(H69,Strikeprice2,0,0,($AK69+IF(Smile=TRUE(),VLOOKUP(MAX(-5,Strikeprice2-H69),Volsmile,2),0)),($A69-DateToday)+15,IF(Pricetype2=1,1,0),0))),H69)))</f>
        <v> </v>
      </c>
      <c r="R69" s="318" t="str">
        <f aca="false">IF($A69="N/A"," ",IF(Pricetype2=2,MAX(I69,0),IF(OR(Pricetype2=1,Pricetype2=4),IF(I69=0,0,(EURO(I69,Strikeprice2,0,0,($AK69+IF(Smile=TRUE(),VLOOKUP(MAX(-5,Strikeprice2-I69),Volsmile,2),0)),($A69-DateToday)+15,IF(Pricetype2=1,1,0),0))),I69)))</f>
        <v> </v>
      </c>
      <c r="S69" s="318" t="str">
        <f aca="false">IF($A69="N/A"," ",IF(Pricetype2=2,MAX(J69,0),IF(OR(Pricetype2=1,Pricetype2=4),IF(J69=0,0,(EURO(J69,Strikeprice2,0,0,($AK69+IF(Smile=TRUE(),VLOOKUP(MAX(-5,Strikeprice2-J69),Volsmile,2),0)),($A69-DateToday)+15,IF(Pricetype2=1,1,0),0))),J69)))</f>
        <v> </v>
      </c>
      <c r="T69" s="318" t="str">
        <f aca="false">IF($A69="N/A"," ",IF(Pricetype2=2,MAX(K69,0),IF(OR(Pricetype2=1,Pricetype2=4),IF(K69=0,0,(EURO(K69,Strikeprice2,0,0,($AK69+IF(Smile=TRUE(),VLOOKUP(MAX(-5,Strikeprice2-K69),Volsmile,2),0)),($A69-DateToday)+15,IF(Pricetype2=1,1,0),0))),K69)))</f>
        <v> </v>
      </c>
      <c r="U69" s="319" t="str">
        <f aca="false">IF($A69="N/A"," ",Volume2*$AM69)</f>
        <v> </v>
      </c>
      <c r="V69" s="320" t="str">
        <f aca="false">IF($A69="N/A"," ",$U69*(8*($BQ69))*L69)</f>
        <v> </v>
      </c>
      <c r="W69" s="320" t="str">
        <f aca="false">IF($A69="N/A"," ",$U69*(8*($BQ69))*M69)</f>
        <v> </v>
      </c>
      <c r="X69" s="320" t="str">
        <f aca="false">IF($A69="N/A"," ",$U69*(8*($BQ69))*N69)</f>
        <v> </v>
      </c>
      <c r="Y69" s="320" t="str">
        <f aca="false">IF($A69="N/A"," ",$U69*(8*($BR69))*O69)</f>
        <v> </v>
      </c>
      <c r="Z69" s="320" t="str">
        <f aca="false">IF($A69="N/A"," ",$U69*(8*($BR69))*P69)</f>
        <v> </v>
      </c>
      <c r="AA69" s="320" t="str">
        <f aca="false">IF($A69="N/A"," ",$U69*(8*($BR69))*Q69)</f>
        <v> </v>
      </c>
      <c r="AB69" s="320" t="str">
        <f aca="false">IF($A69="N/A"," ",$U69*(8*($BS69))*R69)</f>
        <v> </v>
      </c>
      <c r="AC69" s="320" t="str">
        <f aca="false">IF($A69="N/A"," ",$U69*(8*($BS69))*S69)</f>
        <v> </v>
      </c>
      <c r="AD69" s="320" t="str">
        <f aca="false">IF($A69="N/A"," ",$U69*(8*($BS69))*T69)</f>
        <v> </v>
      </c>
      <c r="AE69" s="320" t="str">
        <f aca="false">IF($A69="N/A"," ",SUM(V69:AD69))</f>
        <v> </v>
      </c>
      <c r="AF69" s="321" t="str">
        <f aca="false">IF(A69="N/A"," ",(VLOOKUP(A69,PowerVolTable,(IF(VolBMO2=2,7,IF(VolBMO2=1,6,8))),FALSE())))</f>
        <v> </v>
      </c>
      <c r="AG69" s="321" t="str">
        <f aca="false">IF(A69="N/A"," ",(VLOOKUP(A69,IntraPowerVol,(IF(VolBMO2=2,3,IF(VolBMO2=1,2,4))),FALSE())*VLOOKUP(MONTH($A69),Volscale,2)))</f>
        <v> </v>
      </c>
      <c r="AH69" s="321" t="str">
        <f aca="false">IF($A69="N/A"," ",IF(VolType2=1,AG69,AF69))</f>
        <v> </v>
      </c>
      <c r="AI69" s="321" t="str">
        <f aca="false">IF($A69="N/A"," ",(VLOOKUP($A69,OffPwrVolTable,(IF(VolBMO2=2,7,IF(VolBMO2=1,6,8))),FALSE())))</f>
        <v> </v>
      </c>
      <c r="AJ69" s="321" t="str">
        <f aca="false">IF($A69="N/A"," ",(VLOOKUP($A69,OffPwrVolTable,(IF(VolBMO2=2,3,IF(VolBMO2=1,2,4))),FALSE())*VLOOKUP(MONTH($A69),Volscale,2)))</f>
        <v> </v>
      </c>
      <c r="AK69" s="321" t="str">
        <f aca="false">IF($A69="N/A"," ",IF(VolType2=1,AJ69,AI69))</f>
        <v> </v>
      </c>
      <c r="AL69" s="321" t="str">
        <f aca="false">IF($A69="N/A"," ",IF(PV=1,0,'Pricing Inputs2'!R102))</f>
        <v> </v>
      </c>
      <c r="AM69" s="323" t="str">
        <f aca="false">IF($A69="N/A"," ",(1+AL69/2)^(-2*((EOMONTH(A69,0)+20)-DateToday)/365.25))</f>
        <v> </v>
      </c>
      <c r="BQ69" s="0" t="str">
        <f aca="false">IF($A69="N/A"," ",(VLOOKUP($A69,NumberofDaysTable,2)))</f>
        <v> </v>
      </c>
      <c r="BR69" s="0" t="str">
        <f aca="false">IF($A69="N/A"," ",(VLOOKUP($A69,NumberofDaysTable,3)))</f>
        <v> </v>
      </c>
      <c r="BS69" s="0" t="str">
        <f aca="false">IF($A69="N/A"," ",(VLOOKUP($A69,NumberofDaysTable,4)))</f>
        <v> </v>
      </c>
    </row>
    <row r="70" customFormat="false" ht="12.75" hidden="false" customHeight="false" outlineLevel="0" collapsed="false">
      <c r="A70" s="315" t="str">
        <f aca="false">IF(A69="N/A","N/A",IF(EDATE(A69,1)&gt;Inputs!$P$5,"N/A",EDATE(A69,1)))</f>
        <v>N/A</v>
      </c>
      <c r="B70" s="316" t="str">
        <f aca="false">IF(A70="N/A"," ",YEAR(A70))</f>
        <v> </v>
      </c>
      <c r="C70" s="317" t="str">
        <f aca="false">IF($A70="N/A"," ",IF(Dayrun2=10,0,IF(Scaler2=1,(VLOOKUP(A70,ScaledPrice2,4)),(VLOOKUP(A70,ScaledPrice2,2)))))</f>
        <v> </v>
      </c>
      <c r="D70" s="317" t="str">
        <f aca="false">IF(A70="N/A"," ",IF(Dayrun2&gt;=7,0,IF(Scaler2=2,VLOOKUP(A70,ScaledPrice2,2),(VLOOKUP(A70,ScaledPrice2,2))*(2-(VLOOKUP(A70,ScaledPrice2,3))))))</f>
        <v> </v>
      </c>
      <c r="E70" s="317" t="str">
        <f aca="false">IF($A70="N/A"," ",IF(AND(Dayrun2&gt;=4,Dayrun2&lt;=9),0,VLOOKUP($A70,ScaledPrice2,9)))</f>
        <v> </v>
      </c>
      <c r="F70" s="317" t="str">
        <f aca="false">IF(A70="N/A"," ",IF(OR(Dayrun2=2,Dayrun2=3,Dayrun2=5,Dayrun2=6,Dayrun2=8,Dayrun2=9),VLOOKUP(A70,ScaledPrice2,IF(Scaler2=1,6,5)),0))</f>
        <v> </v>
      </c>
      <c r="G70" s="317" t="str">
        <f aca="false">IF(A70="N/A"," ",IF(OR(Dayrun2=2,Dayrun2=3,Dayrun2=5,Dayrun2=6),IF(Scaler2=2,F70,(VLOOKUP(A70,ScaledPrice2,5))*(2-(VLOOKUP(A70,ScaledPrice2,3)))),0))</f>
        <v> </v>
      </c>
      <c r="H70" s="317" t="str">
        <f aca="false">IF($A70="N/A"," ",IF(OR(Dayrun2=2,Dayrun2=3,Dayrun2=10),VLOOKUP($A70,ScaledPrice2,9),0))</f>
        <v> </v>
      </c>
      <c r="I70" s="317" t="str">
        <f aca="false">IF(A70="N/A"," ",IF(OR(Dayrun2=3,Dayrun2=6,Dayrun2=9),(VLOOKUP(A70,ScaledPrice2,IF(Scaler2=2,7,8))),0))</f>
        <v> </v>
      </c>
      <c r="J70" s="317" t="str">
        <f aca="false">IF(A70="N/A"," ",IF(OR(Dayrun2=3,Dayrun2=6),IF(Scaler2=2,I70,(VLOOKUP(A70,ScaledPrice2,7))*(2-(VLOOKUP(A70,ScaledPrice2,3)))),0))</f>
        <v> </v>
      </c>
      <c r="K70" s="317" t="str">
        <f aca="false">IF($A70="N/A"," ",IF(OR(Dayrun2=3,Dayrun2=10),VLOOKUP($A70,ScaledPrice2,9),0))</f>
        <v> </v>
      </c>
      <c r="L70" s="318" t="str">
        <f aca="false">IF($A70="N/A"," ",IF(Pricetype2=2,MAX(C70,0),IF(OR(Pricetype2=1,Pricetype2=4),IF(C70=0,0,(EURO(C70,Strikeprice2,0,0,($AH70+IF(Smile=TRUE(),VLOOKUP(MAX(-5,Strikeprice2-C70),Volsmile,2),0)),($A70-DateToday)+15,IF(Pricetype2=1,1,0),0))),C70)))</f>
        <v> </v>
      </c>
      <c r="M70" s="318" t="str">
        <f aca="false">IF($A70="N/A"," ",IF(Pricetype2=2,MAX(D70,0),IF(OR(Pricetype2=1,Pricetype2=4),IF(D70=0,0,(EURO(D70,Strikeprice2,0,0,($AH70+IF(Smile=TRUE(),VLOOKUP(MAX(-5,Strikeprice2-D70),Volsmile,2),0)),($A70-DateToday)+15,IF(Pricetype2=1,1,0),0))),D70)))</f>
        <v> </v>
      </c>
      <c r="N70" s="318" t="str">
        <f aca="false">IF($A70="N/A"," ",IF(Pricetype2=2,MAX(E70,0),IF(OR(Pricetype2=1,Pricetype2=4),IF(E70=0,0,(EURO(E70,Strikeprice2,0,0,($AK70+IF(Smile=TRUE(),VLOOKUP(MAX(-5,Strikeprice2-E70),Volsmile,2),0)),($A70-DateToday)+15,IF(Pricetype2=1,1,0),0))),E70)))</f>
        <v> </v>
      </c>
      <c r="O70" s="318" t="str">
        <f aca="false">IF($A70="N/A"," ",IF(Pricetype2=2,MAX(F70,0),IF(OR(Pricetype2=1,Pricetype2=4),IF(F70=0,0,(EURO(F70,Strikeprice2,0,0,($AK70+IF(Smile=TRUE(),VLOOKUP(MAX(-5,Strikeprice2-F70),Volsmile,2),0)),($A70-DateToday)+15,IF(Pricetype2=1,1,0),0))),F70)))</f>
        <v> </v>
      </c>
      <c r="P70" s="318" t="str">
        <f aca="false">IF($A70="N/A"," ",IF(Pricetype2=2,MAX(G70,0),IF(OR(Pricetype2=1,Pricetype2=4),IF(G70=0,0,(EURO(G70,Strikeprice2,0,0,($AK70+IF(Smile=TRUE(),VLOOKUP(MAX(-5,Strikeprice2-G70),Volsmile,2),0)),($A70-DateToday)+15,IF(Pricetype2=1,1,0),0))),G70)))</f>
        <v> </v>
      </c>
      <c r="Q70" s="318" t="str">
        <f aca="false">IF($A70="N/A"," ",IF(Pricetype2=2,MAX(H70,0),IF(OR(Pricetype2=1,Pricetype2=4),IF(H70=0,0,(EURO(H70,Strikeprice2,0,0,($AK70+IF(Smile=TRUE(),VLOOKUP(MAX(-5,Strikeprice2-H70),Volsmile,2),0)),($A70-DateToday)+15,IF(Pricetype2=1,1,0),0))),H70)))</f>
        <v> </v>
      </c>
      <c r="R70" s="318" t="str">
        <f aca="false">IF($A70="N/A"," ",IF(Pricetype2=2,MAX(I70,0),IF(OR(Pricetype2=1,Pricetype2=4),IF(I70=0,0,(EURO(I70,Strikeprice2,0,0,($AK70+IF(Smile=TRUE(),VLOOKUP(MAX(-5,Strikeprice2-I70),Volsmile,2),0)),($A70-DateToday)+15,IF(Pricetype2=1,1,0),0))),I70)))</f>
        <v> </v>
      </c>
      <c r="S70" s="318" t="str">
        <f aca="false">IF($A70="N/A"," ",IF(Pricetype2=2,MAX(J70,0),IF(OR(Pricetype2=1,Pricetype2=4),IF(J70=0,0,(EURO(J70,Strikeprice2,0,0,($AK70+IF(Smile=TRUE(),VLOOKUP(MAX(-5,Strikeprice2-J70),Volsmile,2),0)),($A70-DateToday)+15,IF(Pricetype2=1,1,0),0))),J70)))</f>
        <v> </v>
      </c>
      <c r="T70" s="318" t="str">
        <f aca="false">IF($A70="N/A"," ",IF(Pricetype2=2,MAX(K70,0),IF(OR(Pricetype2=1,Pricetype2=4),IF(K70=0,0,(EURO(K70,Strikeprice2,0,0,($AK70+IF(Smile=TRUE(),VLOOKUP(MAX(-5,Strikeprice2-K70),Volsmile,2),0)),($A70-DateToday)+15,IF(Pricetype2=1,1,0),0))),K70)))</f>
        <v> </v>
      </c>
      <c r="U70" s="319" t="str">
        <f aca="false">IF($A70="N/A"," ",Volume2*$AM70)</f>
        <v> </v>
      </c>
      <c r="V70" s="320" t="str">
        <f aca="false">IF($A70="N/A"," ",$U70*(8*($BQ70))*L70)</f>
        <v> </v>
      </c>
      <c r="W70" s="320" t="str">
        <f aca="false">IF($A70="N/A"," ",$U70*(8*($BQ70))*M70)</f>
        <v> </v>
      </c>
      <c r="X70" s="320" t="str">
        <f aca="false">IF($A70="N/A"," ",$U70*(8*($BQ70))*N70)</f>
        <v> </v>
      </c>
      <c r="Y70" s="320" t="str">
        <f aca="false">IF($A70="N/A"," ",$U70*(8*($BR70))*O70)</f>
        <v> </v>
      </c>
      <c r="Z70" s="320" t="str">
        <f aca="false">IF($A70="N/A"," ",$U70*(8*($BR70))*P70)</f>
        <v> </v>
      </c>
      <c r="AA70" s="320" t="str">
        <f aca="false">IF($A70="N/A"," ",$U70*(8*($BR70))*Q70)</f>
        <v> </v>
      </c>
      <c r="AB70" s="320" t="str">
        <f aca="false">IF($A70="N/A"," ",$U70*(8*($BS70))*R70)</f>
        <v> </v>
      </c>
      <c r="AC70" s="320" t="str">
        <f aca="false">IF($A70="N/A"," ",$U70*(8*($BS70))*S70)</f>
        <v> </v>
      </c>
      <c r="AD70" s="320" t="str">
        <f aca="false">IF($A70="N/A"," ",$U70*(8*($BS70))*T70)</f>
        <v> </v>
      </c>
      <c r="AE70" s="320" t="str">
        <f aca="false">IF($A70="N/A"," ",SUM(V70:AD70))</f>
        <v> </v>
      </c>
      <c r="AF70" s="321" t="str">
        <f aca="false">IF(A70="N/A"," ",(VLOOKUP(A70,PowerVolTable,(IF(VolBMO2=2,7,IF(VolBMO2=1,6,8))),FALSE())))</f>
        <v> </v>
      </c>
      <c r="AG70" s="321" t="str">
        <f aca="false">IF(A70="N/A"," ",(VLOOKUP(A70,IntraPowerVol,(IF(VolBMO2=2,3,IF(VolBMO2=1,2,4))),FALSE())*VLOOKUP(MONTH($A70),Volscale,2)))</f>
        <v> </v>
      </c>
      <c r="AH70" s="321" t="str">
        <f aca="false">IF($A70="N/A"," ",IF(VolType2=1,AG70,AF70))</f>
        <v> </v>
      </c>
      <c r="AI70" s="321" t="str">
        <f aca="false">IF($A70="N/A"," ",(VLOOKUP($A70,OffPwrVolTable,(IF(VolBMO2=2,7,IF(VolBMO2=1,6,8))),FALSE())))</f>
        <v> </v>
      </c>
      <c r="AJ70" s="321" t="str">
        <f aca="false">IF($A70="N/A"," ",(VLOOKUP($A70,OffPwrVolTable,(IF(VolBMO2=2,3,IF(VolBMO2=1,2,4))),FALSE())*VLOOKUP(MONTH($A70),Volscale,2)))</f>
        <v> </v>
      </c>
      <c r="AK70" s="321" t="str">
        <f aca="false">IF($A70="N/A"," ",IF(VolType2=1,AJ70,AI70))</f>
        <v> </v>
      </c>
      <c r="AL70" s="321" t="str">
        <f aca="false">IF($A70="N/A"," ",IF(PV=1,0,'Pricing Inputs2'!R103))</f>
        <v> </v>
      </c>
      <c r="AM70" s="323" t="str">
        <f aca="false">IF($A70="N/A"," ",(1+AL70/2)^(-2*((EOMONTH(A70,0)+20)-DateToday)/365.25))</f>
        <v> </v>
      </c>
      <c r="BQ70" s="0" t="str">
        <f aca="false">IF($A70="N/A"," ",(VLOOKUP($A70,NumberofDaysTable,2)))</f>
        <v> </v>
      </c>
      <c r="BR70" s="0" t="str">
        <f aca="false">IF($A70="N/A"," ",(VLOOKUP($A70,NumberofDaysTable,3)))</f>
        <v> </v>
      </c>
      <c r="BS70" s="0" t="str">
        <f aca="false">IF($A70="N/A"," ",(VLOOKUP($A70,NumberofDaysTable,4)))</f>
        <v> </v>
      </c>
    </row>
    <row r="71" customFormat="false" ht="12.75" hidden="false" customHeight="false" outlineLevel="0" collapsed="false">
      <c r="A71" s="315" t="str">
        <f aca="false">IF(A70="N/A","N/A",IF(EDATE(A70,1)&gt;Inputs!$P$5,"N/A",EDATE(A70,1)))</f>
        <v>N/A</v>
      </c>
      <c r="B71" s="316" t="str">
        <f aca="false">IF(A71="N/A"," ",YEAR(A71))</f>
        <v> </v>
      </c>
      <c r="C71" s="317" t="str">
        <f aca="false">IF($A71="N/A"," ",IF(Dayrun2=10,0,IF(Scaler2=1,(VLOOKUP(A71,ScaledPrice2,4)),(VLOOKUP(A71,ScaledPrice2,2)))))</f>
        <v> </v>
      </c>
      <c r="D71" s="317" t="str">
        <f aca="false">IF(A71="N/A"," ",IF(Dayrun2&gt;=7,0,IF(Scaler2=2,VLOOKUP(A71,ScaledPrice2,2),(VLOOKUP(A71,ScaledPrice2,2))*(2-(VLOOKUP(A71,ScaledPrice2,3))))))</f>
        <v> </v>
      </c>
      <c r="E71" s="317" t="str">
        <f aca="false">IF($A71="N/A"," ",IF(AND(Dayrun2&gt;=4,Dayrun2&lt;=9),0,VLOOKUP($A71,ScaledPrice2,9)))</f>
        <v> </v>
      </c>
      <c r="F71" s="317" t="str">
        <f aca="false">IF(A71="N/A"," ",IF(OR(Dayrun2=2,Dayrun2=3,Dayrun2=5,Dayrun2=6,Dayrun2=8,Dayrun2=9),VLOOKUP(A71,ScaledPrice2,IF(Scaler2=1,6,5)),0))</f>
        <v> </v>
      </c>
      <c r="G71" s="317" t="str">
        <f aca="false">IF(A71="N/A"," ",IF(OR(Dayrun2=2,Dayrun2=3,Dayrun2=5,Dayrun2=6),IF(Scaler2=2,F71,(VLOOKUP(A71,ScaledPrice2,5))*(2-(VLOOKUP(A71,ScaledPrice2,3)))),0))</f>
        <v> </v>
      </c>
      <c r="H71" s="317" t="str">
        <f aca="false">IF($A71="N/A"," ",IF(OR(Dayrun2=2,Dayrun2=3,Dayrun2=10),VLOOKUP($A71,ScaledPrice2,9),0))</f>
        <v> </v>
      </c>
      <c r="I71" s="317" t="str">
        <f aca="false">IF(A71="N/A"," ",IF(OR(Dayrun2=3,Dayrun2=6,Dayrun2=9),(VLOOKUP(A71,ScaledPrice2,IF(Scaler2=2,7,8))),0))</f>
        <v> </v>
      </c>
      <c r="J71" s="317" t="str">
        <f aca="false">IF(A71="N/A"," ",IF(OR(Dayrun2=3,Dayrun2=6),IF(Scaler2=2,I71,(VLOOKUP(A71,ScaledPrice2,7))*(2-(VLOOKUP(A71,ScaledPrice2,3)))),0))</f>
        <v> </v>
      </c>
      <c r="K71" s="317" t="str">
        <f aca="false">IF($A71="N/A"," ",IF(OR(Dayrun2=3,Dayrun2=10),VLOOKUP($A71,ScaledPrice2,9),0))</f>
        <v> </v>
      </c>
      <c r="L71" s="318" t="str">
        <f aca="false">IF($A71="N/A"," ",IF(Pricetype2=2,MAX(C71,0),IF(OR(Pricetype2=1,Pricetype2=4),IF(C71=0,0,(EURO(C71,Strikeprice2,0,0,($AH71+IF(Smile=TRUE(),VLOOKUP(MAX(-5,Strikeprice2-C71),Volsmile,2),0)),($A71-DateToday)+15,IF(Pricetype2=1,1,0),0))),C71)))</f>
        <v> </v>
      </c>
      <c r="M71" s="318" t="str">
        <f aca="false">IF($A71="N/A"," ",IF(Pricetype2=2,MAX(D71,0),IF(OR(Pricetype2=1,Pricetype2=4),IF(D71=0,0,(EURO(D71,Strikeprice2,0,0,($AH71+IF(Smile=TRUE(),VLOOKUP(MAX(-5,Strikeprice2-D71),Volsmile,2),0)),($A71-DateToday)+15,IF(Pricetype2=1,1,0),0))),D71)))</f>
        <v> </v>
      </c>
      <c r="N71" s="318" t="str">
        <f aca="false">IF($A71="N/A"," ",IF(Pricetype2=2,MAX(E71,0),IF(OR(Pricetype2=1,Pricetype2=4),IF(E71=0,0,(EURO(E71,Strikeprice2,0,0,($AK71+IF(Smile=TRUE(),VLOOKUP(MAX(-5,Strikeprice2-E71),Volsmile,2),0)),($A71-DateToday)+15,IF(Pricetype2=1,1,0),0))),E71)))</f>
        <v> </v>
      </c>
      <c r="O71" s="318" t="str">
        <f aca="false">IF($A71="N/A"," ",IF(Pricetype2=2,MAX(F71,0),IF(OR(Pricetype2=1,Pricetype2=4),IF(F71=0,0,(EURO(F71,Strikeprice2,0,0,($AK71+IF(Smile=TRUE(),VLOOKUP(MAX(-5,Strikeprice2-F71),Volsmile,2),0)),($A71-DateToday)+15,IF(Pricetype2=1,1,0),0))),F71)))</f>
        <v> </v>
      </c>
      <c r="P71" s="318" t="str">
        <f aca="false">IF($A71="N/A"," ",IF(Pricetype2=2,MAX(G71,0),IF(OR(Pricetype2=1,Pricetype2=4),IF(G71=0,0,(EURO(G71,Strikeprice2,0,0,($AK71+IF(Smile=TRUE(),VLOOKUP(MAX(-5,Strikeprice2-G71),Volsmile,2),0)),($A71-DateToday)+15,IF(Pricetype2=1,1,0),0))),G71)))</f>
        <v> </v>
      </c>
      <c r="Q71" s="318" t="str">
        <f aca="false">IF($A71="N/A"," ",IF(Pricetype2=2,MAX(H71,0),IF(OR(Pricetype2=1,Pricetype2=4),IF(H71=0,0,(EURO(H71,Strikeprice2,0,0,($AK71+IF(Smile=TRUE(),VLOOKUP(MAX(-5,Strikeprice2-H71),Volsmile,2),0)),($A71-DateToday)+15,IF(Pricetype2=1,1,0),0))),H71)))</f>
        <v> </v>
      </c>
      <c r="R71" s="318" t="str">
        <f aca="false">IF($A71="N/A"," ",IF(Pricetype2=2,MAX(I71,0),IF(OR(Pricetype2=1,Pricetype2=4),IF(I71=0,0,(EURO(I71,Strikeprice2,0,0,($AK71+IF(Smile=TRUE(),VLOOKUP(MAX(-5,Strikeprice2-I71),Volsmile,2),0)),($A71-DateToday)+15,IF(Pricetype2=1,1,0),0))),I71)))</f>
        <v> </v>
      </c>
      <c r="S71" s="318" t="str">
        <f aca="false">IF($A71="N/A"," ",IF(Pricetype2=2,MAX(J71,0),IF(OR(Pricetype2=1,Pricetype2=4),IF(J71=0,0,(EURO(J71,Strikeprice2,0,0,($AK71+IF(Smile=TRUE(),VLOOKUP(MAX(-5,Strikeprice2-J71),Volsmile,2),0)),($A71-DateToday)+15,IF(Pricetype2=1,1,0),0))),J71)))</f>
        <v> </v>
      </c>
      <c r="T71" s="318" t="str">
        <f aca="false">IF($A71="N/A"," ",IF(Pricetype2=2,MAX(K71,0),IF(OR(Pricetype2=1,Pricetype2=4),IF(K71=0,0,(EURO(K71,Strikeprice2,0,0,($AK71+IF(Smile=TRUE(),VLOOKUP(MAX(-5,Strikeprice2-K71),Volsmile,2),0)),($A71-DateToday)+15,IF(Pricetype2=1,1,0),0))),K71)))</f>
        <v> </v>
      </c>
      <c r="U71" s="319" t="str">
        <f aca="false">IF($A71="N/A"," ",Volume2*$AM71)</f>
        <v> </v>
      </c>
      <c r="V71" s="320" t="str">
        <f aca="false">IF($A71="N/A"," ",$U71*(8*($BQ71))*L71)</f>
        <v> </v>
      </c>
      <c r="W71" s="320" t="str">
        <f aca="false">IF($A71="N/A"," ",$U71*(8*($BQ71))*M71)</f>
        <v> </v>
      </c>
      <c r="X71" s="320" t="str">
        <f aca="false">IF($A71="N/A"," ",$U71*(8*($BQ71))*N71)</f>
        <v> </v>
      </c>
      <c r="Y71" s="320" t="str">
        <f aca="false">IF($A71="N/A"," ",$U71*(8*($BR71))*O71)</f>
        <v> </v>
      </c>
      <c r="Z71" s="320" t="str">
        <f aca="false">IF($A71="N/A"," ",$U71*(8*($BR71))*P71)</f>
        <v> </v>
      </c>
      <c r="AA71" s="320" t="str">
        <f aca="false">IF($A71="N/A"," ",$U71*(8*($BR71))*Q71)</f>
        <v> </v>
      </c>
      <c r="AB71" s="320" t="str">
        <f aca="false">IF($A71="N/A"," ",$U71*(8*($BS71))*R71)</f>
        <v> </v>
      </c>
      <c r="AC71" s="320" t="str">
        <f aca="false">IF($A71="N/A"," ",$U71*(8*($BS71))*S71)</f>
        <v> </v>
      </c>
      <c r="AD71" s="320" t="str">
        <f aca="false">IF($A71="N/A"," ",$U71*(8*($BS71))*T71)</f>
        <v> </v>
      </c>
      <c r="AE71" s="320" t="str">
        <f aca="false">IF($A71="N/A"," ",SUM(V71:AD71))</f>
        <v> </v>
      </c>
      <c r="AF71" s="321" t="str">
        <f aca="false">IF(A71="N/A"," ",(VLOOKUP(A71,PowerVolTable,(IF(VolBMO2=2,7,IF(VolBMO2=1,6,8))),FALSE())))</f>
        <v> </v>
      </c>
      <c r="AG71" s="321" t="str">
        <f aca="false">IF(A71="N/A"," ",(VLOOKUP(A71,IntraPowerVol,(IF(VolBMO2=2,3,IF(VolBMO2=1,2,4))),FALSE())*VLOOKUP(MONTH($A71),Volscale,2)))</f>
        <v> </v>
      </c>
      <c r="AH71" s="321" t="str">
        <f aca="false">IF($A71="N/A"," ",IF(VolType2=1,AG71,AF71))</f>
        <v> </v>
      </c>
      <c r="AI71" s="321" t="str">
        <f aca="false">IF($A71="N/A"," ",(VLOOKUP($A71,OffPwrVolTable,(IF(VolBMO2=2,7,IF(VolBMO2=1,6,8))),FALSE())))</f>
        <v> </v>
      </c>
      <c r="AJ71" s="321" t="str">
        <f aca="false">IF($A71="N/A"," ",(VLOOKUP($A71,OffPwrVolTable,(IF(VolBMO2=2,3,IF(VolBMO2=1,2,4))),FALSE())*VLOOKUP(MONTH($A71),Volscale,2)))</f>
        <v> </v>
      </c>
      <c r="AK71" s="321" t="str">
        <f aca="false">IF($A71="N/A"," ",IF(VolType2=1,AJ71,AI71))</f>
        <v> </v>
      </c>
      <c r="AL71" s="321" t="str">
        <f aca="false">IF($A71="N/A"," ",IF(PV=1,0,'Pricing Inputs2'!R104))</f>
        <v> </v>
      </c>
      <c r="AM71" s="323" t="str">
        <f aca="false">IF($A71="N/A"," ",(1+AL71/2)^(-2*((EOMONTH(A71,0)+20)-DateToday)/365.25))</f>
        <v> </v>
      </c>
      <c r="BQ71" s="0" t="str">
        <f aca="false">IF($A71="N/A"," ",(VLOOKUP($A71,NumberofDaysTable,2)))</f>
        <v> </v>
      </c>
      <c r="BR71" s="0" t="str">
        <f aca="false">IF($A71="N/A"," ",(VLOOKUP($A71,NumberofDaysTable,3)))</f>
        <v> </v>
      </c>
      <c r="BS71" s="0" t="str">
        <f aca="false">IF($A71="N/A"," ",(VLOOKUP($A71,NumberofDaysTable,4)))</f>
        <v> </v>
      </c>
    </row>
    <row r="72" customFormat="false" ht="12.75" hidden="false" customHeight="false" outlineLevel="0" collapsed="false">
      <c r="A72" s="315" t="str">
        <f aca="false">IF(A71="N/A","N/A",IF(EDATE(A71,1)&gt;Inputs!$P$5,"N/A",EDATE(A71,1)))</f>
        <v>N/A</v>
      </c>
      <c r="B72" s="316" t="str">
        <f aca="false">IF(A72="N/A"," ",YEAR(A72))</f>
        <v> </v>
      </c>
      <c r="C72" s="317" t="str">
        <f aca="false">IF($A72="N/A"," ",IF(Dayrun2=10,0,IF(Scaler2=1,(VLOOKUP(A72,ScaledPrice2,4)),(VLOOKUP(A72,ScaledPrice2,2)))))</f>
        <v> </v>
      </c>
      <c r="D72" s="317" t="str">
        <f aca="false">IF(A72="N/A"," ",IF(Dayrun2&gt;=7,0,IF(Scaler2=2,VLOOKUP(A72,ScaledPrice2,2),(VLOOKUP(A72,ScaledPrice2,2))*(2-(VLOOKUP(A72,ScaledPrice2,3))))))</f>
        <v> </v>
      </c>
      <c r="E72" s="317" t="str">
        <f aca="false">IF($A72="N/A"," ",IF(AND(Dayrun2&gt;=4,Dayrun2&lt;=9),0,VLOOKUP($A72,ScaledPrice2,9)))</f>
        <v> </v>
      </c>
      <c r="F72" s="317" t="str">
        <f aca="false">IF(A72="N/A"," ",IF(OR(Dayrun2=2,Dayrun2=3,Dayrun2=5,Dayrun2=6,Dayrun2=8,Dayrun2=9),VLOOKUP(A72,ScaledPrice2,IF(Scaler2=1,6,5)),0))</f>
        <v> </v>
      </c>
      <c r="G72" s="317" t="str">
        <f aca="false">IF(A72="N/A"," ",IF(OR(Dayrun2=2,Dayrun2=3,Dayrun2=5,Dayrun2=6),IF(Scaler2=2,F72,(VLOOKUP(A72,ScaledPrice2,5))*(2-(VLOOKUP(A72,ScaledPrice2,3)))),0))</f>
        <v> </v>
      </c>
      <c r="H72" s="317" t="str">
        <f aca="false">IF($A72="N/A"," ",IF(OR(Dayrun2=2,Dayrun2=3,Dayrun2=10),VLOOKUP($A72,ScaledPrice2,9),0))</f>
        <v> </v>
      </c>
      <c r="I72" s="317" t="str">
        <f aca="false">IF(A72="N/A"," ",IF(OR(Dayrun2=3,Dayrun2=6,Dayrun2=9),(VLOOKUP(A72,ScaledPrice2,IF(Scaler2=2,7,8))),0))</f>
        <v> </v>
      </c>
      <c r="J72" s="317" t="str">
        <f aca="false">IF(A72="N/A"," ",IF(OR(Dayrun2=3,Dayrun2=6),IF(Scaler2=2,I72,(VLOOKUP(A72,ScaledPrice2,7))*(2-(VLOOKUP(A72,ScaledPrice2,3)))),0))</f>
        <v> </v>
      </c>
      <c r="K72" s="317" t="str">
        <f aca="false">IF($A72="N/A"," ",IF(OR(Dayrun2=3,Dayrun2=10),VLOOKUP($A72,ScaledPrice2,9),0))</f>
        <v> </v>
      </c>
      <c r="L72" s="318" t="str">
        <f aca="false">IF($A72="N/A"," ",IF(Pricetype2=2,MAX(C72,0),IF(OR(Pricetype2=1,Pricetype2=4),IF(C72=0,0,(EURO(C72,Strikeprice2,0,0,($AH72+IF(Smile=TRUE(),VLOOKUP(MAX(-5,Strikeprice2-C72),Volsmile,2),0)),($A72-DateToday)+15,IF(Pricetype2=1,1,0),0))),C72)))</f>
        <v> </v>
      </c>
      <c r="M72" s="318" t="str">
        <f aca="false">IF($A72="N/A"," ",IF(Pricetype2=2,MAX(D72,0),IF(OR(Pricetype2=1,Pricetype2=4),IF(D72=0,0,(EURO(D72,Strikeprice2,0,0,($AH72+IF(Smile=TRUE(),VLOOKUP(MAX(-5,Strikeprice2-D72),Volsmile,2),0)),($A72-DateToday)+15,IF(Pricetype2=1,1,0),0))),D72)))</f>
        <v> </v>
      </c>
      <c r="N72" s="318" t="str">
        <f aca="false">IF($A72="N/A"," ",IF(Pricetype2=2,MAX(E72,0),IF(OR(Pricetype2=1,Pricetype2=4),IF(E72=0,0,(EURO(E72,Strikeprice2,0,0,($AK72+IF(Smile=TRUE(),VLOOKUP(MAX(-5,Strikeprice2-E72),Volsmile,2),0)),($A72-DateToday)+15,IF(Pricetype2=1,1,0),0))),E72)))</f>
        <v> </v>
      </c>
      <c r="O72" s="318" t="str">
        <f aca="false">IF($A72="N/A"," ",IF(Pricetype2=2,MAX(F72,0),IF(OR(Pricetype2=1,Pricetype2=4),IF(F72=0,0,(EURO(F72,Strikeprice2,0,0,($AK72+IF(Smile=TRUE(),VLOOKUP(MAX(-5,Strikeprice2-F72),Volsmile,2),0)),($A72-DateToday)+15,IF(Pricetype2=1,1,0),0))),F72)))</f>
        <v> </v>
      </c>
      <c r="P72" s="318" t="str">
        <f aca="false">IF($A72="N/A"," ",IF(Pricetype2=2,MAX(G72,0),IF(OR(Pricetype2=1,Pricetype2=4),IF(G72=0,0,(EURO(G72,Strikeprice2,0,0,($AK72+IF(Smile=TRUE(),VLOOKUP(MAX(-5,Strikeprice2-G72),Volsmile,2),0)),($A72-DateToday)+15,IF(Pricetype2=1,1,0),0))),G72)))</f>
        <v> </v>
      </c>
      <c r="Q72" s="318" t="str">
        <f aca="false">IF($A72="N/A"," ",IF(Pricetype2=2,MAX(H72,0),IF(OR(Pricetype2=1,Pricetype2=4),IF(H72=0,0,(EURO(H72,Strikeprice2,0,0,($AK72+IF(Smile=TRUE(),VLOOKUP(MAX(-5,Strikeprice2-H72),Volsmile,2),0)),($A72-DateToday)+15,IF(Pricetype2=1,1,0),0))),H72)))</f>
        <v> </v>
      </c>
      <c r="R72" s="318" t="str">
        <f aca="false">IF($A72="N/A"," ",IF(Pricetype2=2,MAX(I72,0),IF(OR(Pricetype2=1,Pricetype2=4),IF(I72=0,0,(EURO(I72,Strikeprice2,0,0,($AK72+IF(Smile=TRUE(),VLOOKUP(MAX(-5,Strikeprice2-I72),Volsmile,2),0)),($A72-DateToday)+15,IF(Pricetype2=1,1,0),0))),I72)))</f>
        <v> </v>
      </c>
      <c r="S72" s="318" t="str">
        <f aca="false">IF($A72="N/A"," ",IF(Pricetype2=2,MAX(J72,0),IF(OR(Pricetype2=1,Pricetype2=4),IF(J72=0,0,(EURO(J72,Strikeprice2,0,0,($AK72+IF(Smile=TRUE(),VLOOKUP(MAX(-5,Strikeprice2-J72),Volsmile,2),0)),($A72-DateToday)+15,IF(Pricetype2=1,1,0),0))),J72)))</f>
        <v> </v>
      </c>
      <c r="T72" s="318" t="str">
        <f aca="false">IF($A72="N/A"," ",IF(Pricetype2=2,MAX(K72,0),IF(OR(Pricetype2=1,Pricetype2=4),IF(K72=0,0,(EURO(K72,Strikeprice2,0,0,($AK72+IF(Smile=TRUE(),VLOOKUP(MAX(-5,Strikeprice2-K72),Volsmile,2),0)),($A72-DateToday)+15,IF(Pricetype2=1,1,0),0))),K72)))</f>
        <v> </v>
      </c>
      <c r="U72" s="319" t="str">
        <f aca="false">IF($A72="N/A"," ",Volume2*$AM72)</f>
        <v> </v>
      </c>
      <c r="V72" s="320" t="str">
        <f aca="false">IF($A72="N/A"," ",$U72*(8*($BQ72))*L72)</f>
        <v> </v>
      </c>
      <c r="W72" s="320" t="str">
        <f aca="false">IF($A72="N/A"," ",$U72*(8*($BQ72))*M72)</f>
        <v> </v>
      </c>
      <c r="X72" s="320" t="str">
        <f aca="false">IF($A72="N/A"," ",$U72*(8*($BQ72))*N72)</f>
        <v> </v>
      </c>
      <c r="Y72" s="320" t="str">
        <f aca="false">IF($A72="N/A"," ",$U72*(8*($BR72))*O72)</f>
        <v> </v>
      </c>
      <c r="Z72" s="320" t="str">
        <f aca="false">IF($A72="N/A"," ",$U72*(8*($BR72))*P72)</f>
        <v> </v>
      </c>
      <c r="AA72" s="320" t="str">
        <f aca="false">IF($A72="N/A"," ",$U72*(8*($BR72))*Q72)</f>
        <v> </v>
      </c>
      <c r="AB72" s="320" t="str">
        <f aca="false">IF($A72="N/A"," ",$U72*(8*($BS72))*R72)</f>
        <v> </v>
      </c>
      <c r="AC72" s="320" t="str">
        <f aca="false">IF($A72="N/A"," ",$U72*(8*($BS72))*S72)</f>
        <v> </v>
      </c>
      <c r="AD72" s="320" t="str">
        <f aca="false">IF($A72="N/A"," ",$U72*(8*($BS72))*T72)</f>
        <v> </v>
      </c>
      <c r="AE72" s="320" t="str">
        <f aca="false">IF($A72="N/A"," ",SUM(V72:AD72))</f>
        <v> </v>
      </c>
      <c r="AF72" s="321" t="str">
        <f aca="false">IF(A72="N/A"," ",(VLOOKUP(A72,PowerVolTable,(IF(VolBMO2=2,7,IF(VolBMO2=1,6,8))),FALSE())))</f>
        <v> </v>
      </c>
      <c r="AG72" s="321" t="str">
        <f aca="false">IF(A72="N/A"," ",(VLOOKUP(A72,IntraPowerVol,(IF(VolBMO2=2,3,IF(VolBMO2=1,2,4))),FALSE())*VLOOKUP(MONTH($A72),Volscale,2)))</f>
        <v> </v>
      </c>
      <c r="AH72" s="321" t="str">
        <f aca="false">IF($A72="N/A"," ",IF(VolType2=1,AG72,AF72))</f>
        <v> </v>
      </c>
      <c r="AI72" s="321" t="str">
        <f aca="false">IF($A72="N/A"," ",(VLOOKUP($A72,OffPwrVolTable,(IF(VolBMO2=2,7,IF(VolBMO2=1,6,8))),FALSE())))</f>
        <v> </v>
      </c>
      <c r="AJ72" s="321" t="str">
        <f aca="false">IF($A72="N/A"," ",(VLOOKUP($A72,OffPwrVolTable,(IF(VolBMO2=2,3,IF(VolBMO2=1,2,4))),FALSE())*VLOOKUP(MONTH($A72),Volscale,2)))</f>
        <v> </v>
      </c>
      <c r="AK72" s="321" t="str">
        <f aca="false">IF($A72="N/A"," ",IF(VolType2=1,AJ72,AI72))</f>
        <v> </v>
      </c>
      <c r="AL72" s="321" t="str">
        <f aca="false">IF($A72="N/A"," ",IF(PV=1,0,'Pricing Inputs2'!R105))</f>
        <v> </v>
      </c>
      <c r="AM72" s="323" t="str">
        <f aca="false">IF($A72="N/A"," ",(1+AL72/2)^(-2*((EOMONTH(A72,0)+20)-DateToday)/365.25))</f>
        <v> </v>
      </c>
      <c r="BQ72" s="0" t="str">
        <f aca="false">IF($A72="N/A"," ",(VLOOKUP($A72,NumberofDaysTable,2)))</f>
        <v> </v>
      </c>
      <c r="BR72" s="0" t="str">
        <f aca="false">IF($A72="N/A"," ",(VLOOKUP($A72,NumberofDaysTable,3)))</f>
        <v> </v>
      </c>
      <c r="BS72" s="0" t="str">
        <f aca="false">IF($A72="N/A"," ",(VLOOKUP($A72,NumberofDaysTable,4)))</f>
        <v> </v>
      </c>
    </row>
    <row r="73" customFormat="false" ht="12.75" hidden="false" customHeight="false" outlineLevel="0" collapsed="false">
      <c r="A73" s="315" t="str">
        <f aca="false">IF(A72="N/A","N/A",IF(EDATE(A72,1)&gt;Inputs!$P$5,"N/A",EDATE(A72,1)))</f>
        <v>N/A</v>
      </c>
      <c r="B73" s="316" t="str">
        <f aca="false">IF(A73="N/A"," ",YEAR(A73))</f>
        <v> </v>
      </c>
      <c r="C73" s="317" t="str">
        <f aca="false">IF($A73="N/A"," ",IF(Dayrun2=10,0,IF(Scaler2=1,(VLOOKUP(A73,ScaledPrice2,4)),(VLOOKUP(A73,ScaledPrice2,2)))))</f>
        <v> </v>
      </c>
      <c r="D73" s="317" t="str">
        <f aca="false">IF(A73="N/A"," ",IF(Dayrun2&gt;=7,0,IF(Scaler2=2,VLOOKUP(A73,ScaledPrice2,2),(VLOOKUP(A73,ScaledPrice2,2))*(2-(VLOOKUP(A73,ScaledPrice2,3))))))</f>
        <v> </v>
      </c>
      <c r="E73" s="317" t="str">
        <f aca="false">IF($A73="N/A"," ",IF(AND(Dayrun2&gt;=4,Dayrun2&lt;=9),0,VLOOKUP($A73,ScaledPrice2,9)))</f>
        <v> </v>
      </c>
      <c r="F73" s="317" t="str">
        <f aca="false">IF(A73="N/A"," ",IF(OR(Dayrun2=2,Dayrun2=3,Dayrun2=5,Dayrun2=6,Dayrun2=8,Dayrun2=9),VLOOKUP(A73,ScaledPrice2,IF(Scaler2=1,6,5)),0))</f>
        <v> </v>
      </c>
      <c r="G73" s="317" t="str">
        <f aca="false">IF(A73="N/A"," ",IF(OR(Dayrun2=2,Dayrun2=3,Dayrun2=5,Dayrun2=6),IF(Scaler2=2,F73,(VLOOKUP(A73,ScaledPrice2,5))*(2-(VLOOKUP(A73,ScaledPrice2,3)))),0))</f>
        <v> </v>
      </c>
      <c r="H73" s="317" t="str">
        <f aca="false">IF($A73="N/A"," ",IF(OR(Dayrun2=2,Dayrun2=3,Dayrun2=10),VLOOKUP($A73,ScaledPrice2,9),0))</f>
        <v> </v>
      </c>
      <c r="I73" s="317" t="str">
        <f aca="false">IF(A73="N/A"," ",IF(OR(Dayrun2=3,Dayrun2=6,Dayrun2=9),(VLOOKUP(A73,ScaledPrice2,IF(Scaler2=2,7,8))),0))</f>
        <v> </v>
      </c>
      <c r="J73" s="317" t="str">
        <f aca="false">IF(A73="N/A"," ",IF(OR(Dayrun2=3,Dayrun2=6),IF(Scaler2=2,I73,(VLOOKUP(A73,ScaledPrice2,7))*(2-(VLOOKUP(A73,ScaledPrice2,3)))),0))</f>
        <v> </v>
      </c>
      <c r="K73" s="317" t="str">
        <f aca="false">IF($A73="N/A"," ",IF(OR(Dayrun2=3,Dayrun2=10),VLOOKUP($A73,ScaledPrice2,9),0))</f>
        <v> </v>
      </c>
      <c r="L73" s="318" t="str">
        <f aca="false">IF($A73="N/A"," ",IF(Pricetype2=2,MAX(C73,0),IF(OR(Pricetype2=1,Pricetype2=4),IF(C73=0,0,(EURO(C73,Strikeprice2,0,0,($AH73+IF(Smile=TRUE(),VLOOKUP(MAX(-5,Strikeprice2-C73),Volsmile,2),0)),($A73-DateToday)+15,IF(Pricetype2=1,1,0),0))),C73)))</f>
        <v> </v>
      </c>
      <c r="M73" s="318" t="str">
        <f aca="false">IF($A73="N/A"," ",IF(Pricetype2=2,MAX(D73,0),IF(OR(Pricetype2=1,Pricetype2=4),IF(D73=0,0,(EURO(D73,Strikeprice2,0,0,($AH73+IF(Smile=TRUE(),VLOOKUP(MAX(-5,Strikeprice2-D73),Volsmile,2),0)),($A73-DateToday)+15,IF(Pricetype2=1,1,0),0))),D73)))</f>
        <v> </v>
      </c>
      <c r="N73" s="318" t="str">
        <f aca="false">IF($A73="N/A"," ",IF(Pricetype2=2,MAX(E73,0),IF(OR(Pricetype2=1,Pricetype2=4),IF(E73=0,0,(EURO(E73,Strikeprice2,0,0,($AK73+IF(Smile=TRUE(),VLOOKUP(MAX(-5,Strikeprice2-E73),Volsmile,2),0)),($A73-DateToday)+15,IF(Pricetype2=1,1,0),0))),E73)))</f>
        <v> </v>
      </c>
      <c r="O73" s="318" t="str">
        <f aca="false">IF($A73="N/A"," ",IF(Pricetype2=2,MAX(F73,0),IF(OR(Pricetype2=1,Pricetype2=4),IF(F73=0,0,(EURO(F73,Strikeprice2,0,0,($AK73+IF(Smile=TRUE(),VLOOKUP(MAX(-5,Strikeprice2-F73),Volsmile,2),0)),($A73-DateToday)+15,IF(Pricetype2=1,1,0),0))),F73)))</f>
        <v> </v>
      </c>
      <c r="P73" s="318" t="str">
        <f aca="false">IF($A73="N/A"," ",IF(Pricetype2=2,MAX(G73,0),IF(OR(Pricetype2=1,Pricetype2=4),IF(G73=0,0,(EURO(G73,Strikeprice2,0,0,($AK73+IF(Smile=TRUE(),VLOOKUP(MAX(-5,Strikeprice2-G73),Volsmile,2),0)),($A73-DateToday)+15,IF(Pricetype2=1,1,0),0))),G73)))</f>
        <v> </v>
      </c>
      <c r="Q73" s="318" t="str">
        <f aca="false">IF($A73="N/A"," ",IF(Pricetype2=2,MAX(H73,0),IF(OR(Pricetype2=1,Pricetype2=4),IF(H73=0,0,(EURO(H73,Strikeprice2,0,0,($AK73+IF(Smile=TRUE(),VLOOKUP(MAX(-5,Strikeprice2-H73),Volsmile,2),0)),($A73-DateToday)+15,IF(Pricetype2=1,1,0),0))),H73)))</f>
        <v> </v>
      </c>
      <c r="R73" s="318" t="str">
        <f aca="false">IF($A73="N/A"," ",IF(Pricetype2=2,MAX(I73,0),IF(OR(Pricetype2=1,Pricetype2=4),IF(I73=0,0,(EURO(I73,Strikeprice2,0,0,($AK73+IF(Smile=TRUE(),VLOOKUP(MAX(-5,Strikeprice2-I73),Volsmile,2),0)),($A73-DateToday)+15,IF(Pricetype2=1,1,0),0))),I73)))</f>
        <v> </v>
      </c>
      <c r="S73" s="318" t="str">
        <f aca="false">IF($A73="N/A"," ",IF(Pricetype2=2,MAX(J73,0),IF(OR(Pricetype2=1,Pricetype2=4),IF(J73=0,0,(EURO(J73,Strikeprice2,0,0,($AK73+IF(Smile=TRUE(),VLOOKUP(MAX(-5,Strikeprice2-J73),Volsmile,2),0)),($A73-DateToday)+15,IF(Pricetype2=1,1,0),0))),J73)))</f>
        <v> </v>
      </c>
      <c r="T73" s="318" t="str">
        <f aca="false">IF($A73="N/A"," ",IF(Pricetype2=2,MAX(K73,0),IF(OR(Pricetype2=1,Pricetype2=4),IF(K73=0,0,(EURO(K73,Strikeprice2,0,0,($AK73+IF(Smile=TRUE(),VLOOKUP(MAX(-5,Strikeprice2-K73),Volsmile,2),0)),($A73-DateToday)+15,IF(Pricetype2=1,1,0),0))),K73)))</f>
        <v> </v>
      </c>
      <c r="U73" s="319" t="str">
        <f aca="false">IF($A73="N/A"," ",Volume2*$AM73)</f>
        <v> </v>
      </c>
      <c r="V73" s="320" t="str">
        <f aca="false">IF($A73="N/A"," ",$U73*(8*($BQ73))*L73)</f>
        <v> </v>
      </c>
      <c r="W73" s="320" t="str">
        <f aca="false">IF($A73="N/A"," ",$U73*(8*($BQ73))*M73)</f>
        <v> </v>
      </c>
      <c r="X73" s="320" t="str">
        <f aca="false">IF($A73="N/A"," ",$U73*(8*($BQ73))*N73)</f>
        <v> </v>
      </c>
      <c r="Y73" s="320" t="str">
        <f aca="false">IF($A73="N/A"," ",$U73*(8*($BR73))*O73)</f>
        <v> </v>
      </c>
      <c r="Z73" s="320" t="str">
        <f aca="false">IF($A73="N/A"," ",$U73*(8*($BR73))*P73)</f>
        <v> </v>
      </c>
      <c r="AA73" s="320" t="str">
        <f aca="false">IF($A73="N/A"," ",$U73*(8*($BR73))*Q73)</f>
        <v> </v>
      </c>
      <c r="AB73" s="320" t="str">
        <f aca="false">IF($A73="N/A"," ",$U73*(8*($BS73))*R73)</f>
        <v> </v>
      </c>
      <c r="AC73" s="320" t="str">
        <f aca="false">IF($A73="N/A"," ",$U73*(8*($BS73))*S73)</f>
        <v> </v>
      </c>
      <c r="AD73" s="320" t="str">
        <f aca="false">IF($A73="N/A"," ",$U73*(8*($BS73))*T73)</f>
        <v> </v>
      </c>
      <c r="AE73" s="320" t="str">
        <f aca="false">IF($A73="N/A"," ",SUM(V73:AD73))</f>
        <v> </v>
      </c>
      <c r="AF73" s="321" t="str">
        <f aca="false">IF(A73="N/A"," ",(VLOOKUP(A73,PowerVolTable,(IF(VolBMO2=2,7,IF(VolBMO2=1,6,8))),FALSE())))</f>
        <v> </v>
      </c>
      <c r="AG73" s="321" t="str">
        <f aca="false">IF(A73="N/A"," ",(VLOOKUP(A73,IntraPowerVol,(IF(VolBMO2=2,3,IF(VolBMO2=1,2,4))),FALSE())*VLOOKUP(MONTH($A73),Volscale,2)))</f>
        <v> </v>
      </c>
      <c r="AH73" s="321" t="str">
        <f aca="false">IF($A73="N/A"," ",IF(VolType2=1,AG73,AF73))</f>
        <v> </v>
      </c>
      <c r="AI73" s="321" t="str">
        <f aca="false">IF($A73="N/A"," ",(VLOOKUP($A73,OffPwrVolTable,(IF(VolBMO2=2,7,IF(VolBMO2=1,6,8))),FALSE())))</f>
        <v> </v>
      </c>
      <c r="AJ73" s="321" t="str">
        <f aca="false">IF($A73="N/A"," ",(VLOOKUP($A73,OffPwrVolTable,(IF(VolBMO2=2,3,IF(VolBMO2=1,2,4))),FALSE())*VLOOKUP(MONTH($A73),Volscale,2)))</f>
        <v> </v>
      </c>
      <c r="AK73" s="321" t="str">
        <f aca="false">IF($A73="N/A"," ",IF(VolType2=1,AJ73,AI73))</f>
        <v> </v>
      </c>
      <c r="AL73" s="321" t="str">
        <f aca="false">IF($A73="N/A"," ",IF(PV=1,0,'Pricing Inputs2'!R106))</f>
        <v> </v>
      </c>
      <c r="AM73" s="323" t="str">
        <f aca="false">IF($A73="N/A"," ",(1+AL73/2)^(-2*((EOMONTH(A73,0)+20)-DateToday)/365.25))</f>
        <v> </v>
      </c>
      <c r="BQ73" s="0" t="str">
        <f aca="false">IF($A73="N/A"," ",(VLOOKUP($A73,NumberofDaysTable,2)))</f>
        <v> </v>
      </c>
      <c r="BR73" s="0" t="str">
        <f aca="false">IF($A73="N/A"," ",(VLOOKUP($A73,NumberofDaysTable,3)))</f>
        <v> </v>
      </c>
      <c r="BS73" s="0" t="str">
        <f aca="false">IF($A73="N/A"," ",(VLOOKUP($A73,NumberofDaysTable,4)))</f>
        <v> </v>
      </c>
    </row>
    <row r="74" customFormat="false" ht="12.75" hidden="false" customHeight="false" outlineLevel="0" collapsed="false">
      <c r="A74" s="315" t="str">
        <f aca="false">IF(A73="N/A","N/A",IF(EDATE(A73,1)&gt;Inputs!$P$5,"N/A",EDATE(A73,1)))</f>
        <v>N/A</v>
      </c>
      <c r="B74" s="316" t="str">
        <f aca="false">IF(A74="N/A"," ",YEAR(A74))</f>
        <v> </v>
      </c>
      <c r="C74" s="317" t="str">
        <f aca="false">IF($A74="N/A"," ",IF(Dayrun2=10,0,IF(Scaler2=1,(VLOOKUP(A74,ScaledPrice2,4)),(VLOOKUP(A74,ScaledPrice2,2)))))</f>
        <v> </v>
      </c>
      <c r="D74" s="317" t="str">
        <f aca="false">IF(A74="N/A"," ",IF(Dayrun2&gt;=7,0,IF(Scaler2=2,VLOOKUP(A74,ScaledPrice2,2),(VLOOKUP(A74,ScaledPrice2,2))*(2-(VLOOKUP(A74,ScaledPrice2,3))))))</f>
        <v> </v>
      </c>
      <c r="E74" s="317" t="str">
        <f aca="false">IF($A74="N/A"," ",IF(AND(Dayrun2&gt;=4,Dayrun2&lt;=9),0,VLOOKUP($A74,ScaledPrice2,9)))</f>
        <v> </v>
      </c>
      <c r="F74" s="317" t="str">
        <f aca="false">IF(A74="N/A"," ",IF(OR(Dayrun2=2,Dayrun2=3,Dayrun2=5,Dayrun2=6,Dayrun2=8,Dayrun2=9),VLOOKUP(A74,ScaledPrice2,IF(Scaler2=1,6,5)),0))</f>
        <v> </v>
      </c>
      <c r="G74" s="317" t="str">
        <f aca="false">IF(A74="N/A"," ",IF(OR(Dayrun2=2,Dayrun2=3,Dayrun2=5,Dayrun2=6),IF(Scaler2=2,F74,(VLOOKUP(A74,ScaledPrice2,5))*(2-(VLOOKUP(A74,ScaledPrice2,3)))),0))</f>
        <v> </v>
      </c>
      <c r="H74" s="317" t="str">
        <f aca="false">IF($A74="N/A"," ",IF(OR(Dayrun2=2,Dayrun2=3,Dayrun2=10),VLOOKUP($A74,ScaledPrice2,9),0))</f>
        <v> </v>
      </c>
      <c r="I74" s="317" t="str">
        <f aca="false">IF(A74="N/A"," ",IF(OR(Dayrun2=3,Dayrun2=6,Dayrun2=9),(VLOOKUP(A74,ScaledPrice2,IF(Scaler2=2,7,8))),0))</f>
        <v> </v>
      </c>
      <c r="J74" s="317" t="str">
        <f aca="false">IF(A74="N/A"," ",IF(OR(Dayrun2=3,Dayrun2=6),IF(Scaler2=2,I74,(VLOOKUP(A74,ScaledPrice2,7))*(2-(VLOOKUP(A74,ScaledPrice2,3)))),0))</f>
        <v> </v>
      </c>
      <c r="K74" s="317" t="str">
        <f aca="false">IF($A74="N/A"," ",IF(OR(Dayrun2=3,Dayrun2=10),VLOOKUP($A74,ScaledPrice2,9),0))</f>
        <v> </v>
      </c>
      <c r="L74" s="318" t="str">
        <f aca="false">IF($A74="N/A"," ",IF(Pricetype2=2,MAX(C74,0),IF(OR(Pricetype2=1,Pricetype2=4),IF(C74=0,0,(EURO(C74,Strikeprice2,0,0,($AH74+IF(Smile=TRUE(),VLOOKUP(MAX(-5,Strikeprice2-C74),Volsmile,2),0)),($A74-DateToday)+15,IF(Pricetype2=1,1,0),0))),C74)))</f>
        <v> </v>
      </c>
      <c r="M74" s="318" t="str">
        <f aca="false">IF($A74="N/A"," ",IF(Pricetype2=2,MAX(D74,0),IF(OR(Pricetype2=1,Pricetype2=4),IF(D74=0,0,(EURO(D74,Strikeprice2,0,0,($AH74+IF(Smile=TRUE(),VLOOKUP(MAX(-5,Strikeprice2-D74),Volsmile,2),0)),($A74-DateToday)+15,IF(Pricetype2=1,1,0),0))),D74)))</f>
        <v> </v>
      </c>
      <c r="N74" s="318" t="str">
        <f aca="false">IF($A74="N/A"," ",IF(Pricetype2=2,MAX(E74,0),IF(OR(Pricetype2=1,Pricetype2=4),IF(E74=0,0,(EURO(E74,Strikeprice2,0,0,($AK74+IF(Smile=TRUE(),VLOOKUP(MAX(-5,Strikeprice2-E74),Volsmile,2),0)),($A74-DateToday)+15,IF(Pricetype2=1,1,0),0))),E74)))</f>
        <v> </v>
      </c>
      <c r="O74" s="318" t="str">
        <f aca="false">IF($A74="N/A"," ",IF(Pricetype2=2,MAX(F74,0),IF(OR(Pricetype2=1,Pricetype2=4),IF(F74=0,0,(EURO(F74,Strikeprice2,0,0,($AK74+IF(Smile=TRUE(),VLOOKUP(MAX(-5,Strikeprice2-F74),Volsmile,2),0)),($A74-DateToday)+15,IF(Pricetype2=1,1,0),0))),F74)))</f>
        <v> </v>
      </c>
      <c r="P74" s="318" t="str">
        <f aca="false">IF($A74="N/A"," ",IF(Pricetype2=2,MAX(G74,0),IF(OR(Pricetype2=1,Pricetype2=4),IF(G74=0,0,(EURO(G74,Strikeprice2,0,0,($AK74+IF(Smile=TRUE(),VLOOKUP(MAX(-5,Strikeprice2-G74),Volsmile,2),0)),($A74-DateToday)+15,IF(Pricetype2=1,1,0),0))),G74)))</f>
        <v> </v>
      </c>
      <c r="Q74" s="318" t="str">
        <f aca="false">IF($A74="N/A"," ",IF(Pricetype2=2,MAX(H74,0),IF(OR(Pricetype2=1,Pricetype2=4),IF(H74=0,0,(EURO(H74,Strikeprice2,0,0,($AK74+IF(Smile=TRUE(),VLOOKUP(MAX(-5,Strikeprice2-H74),Volsmile,2),0)),($A74-DateToday)+15,IF(Pricetype2=1,1,0),0))),H74)))</f>
        <v> </v>
      </c>
      <c r="R74" s="318" t="str">
        <f aca="false">IF($A74="N/A"," ",IF(Pricetype2=2,MAX(I74,0),IF(OR(Pricetype2=1,Pricetype2=4),IF(I74=0,0,(EURO(I74,Strikeprice2,0,0,($AK74+IF(Smile=TRUE(),VLOOKUP(MAX(-5,Strikeprice2-I74),Volsmile,2),0)),($A74-DateToday)+15,IF(Pricetype2=1,1,0),0))),I74)))</f>
        <v> </v>
      </c>
      <c r="S74" s="318" t="str">
        <f aca="false">IF($A74="N/A"," ",IF(Pricetype2=2,MAX(J74,0),IF(OR(Pricetype2=1,Pricetype2=4),IF(J74=0,0,(EURO(J74,Strikeprice2,0,0,($AK74+IF(Smile=TRUE(),VLOOKUP(MAX(-5,Strikeprice2-J74),Volsmile,2),0)),($A74-DateToday)+15,IF(Pricetype2=1,1,0),0))),J74)))</f>
        <v> </v>
      </c>
      <c r="T74" s="318" t="str">
        <f aca="false">IF($A74="N/A"," ",IF(Pricetype2=2,MAX(K74,0),IF(OR(Pricetype2=1,Pricetype2=4),IF(K74=0,0,(EURO(K74,Strikeprice2,0,0,($AK74+IF(Smile=TRUE(),VLOOKUP(MAX(-5,Strikeprice2-K74),Volsmile,2),0)),($A74-DateToday)+15,IF(Pricetype2=1,1,0),0))),K74)))</f>
        <v> </v>
      </c>
      <c r="U74" s="319" t="str">
        <f aca="false">IF($A74="N/A"," ",Volume2*$AM74)</f>
        <v> </v>
      </c>
      <c r="V74" s="320" t="str">
        <f aca="false">IF($A74="N/A"," ",$U74*(8*($BQ74))*L74)</f>
        <v> </v>
      </c>
      <c r="W74" s="320" t="str">
        <f aca="false">IF($A74="N/A"," ",$U74*(8*($BQ74))*M74)</f>
        <v> </v>
      </c>
      <c r="X74" s="320" t="str">
        <f aca="false">IF($A74="N/A"," ",$U74*(8*($BQ74))*N74)</f>
        <v> </v>
      </c>
      <c r="Y74" s="320" t="str">
        <f aca="false">IF($A74="N/A"," ",$U74*(8*($BR74))*O74)</f>
        <v> </v>
      </c>
      <c r="Z74" s="320" t="str">
        <f aca="false">IF($A74="N/A"," ",$U74*(8*($BR74))*P74)</f>
        <v> </v>
      </c>
      <c r="AA74" s="320" t="str">
        <f aca="false">IF($A74="N/A"," ",$U74*(8*($BR74))*Q74)</f>
        <v> </v>
      </c>
      <c r="AB74" s="320" t="str">
        <f aca="false">IF($A74="N/A"," ",$U74*(8*($BS74))*R74)</f>
        <v> </v>
      </c>
      <c r="AC74" s="320" t="str">
        <f aca="false">IF($A74="N/A"," ",$U74*(8*($BS74))*S74)</f>
        <v> </v>
      </c>
      <c r="AD74" s="320" t="str">
        <f aca="false">IF($A74="N/A"," ",$U74*(8*($BS74))*T74)</f>
        <v> </v>
      </c>
      <c r="AE74" s="320" t="str">
        <f aca="false">IF($A74="N/A"," ",SUM(V74:AD74))</f>
        <v> </v>
      </c>
      <c r="AF74" s="321" t="str">
        <f aca="false">IF(A74="N/A"," ",(VLOOKUP(A74,PowerVolTable,(IF(VolBMO2=2,7,IF(VolBMO2=1,6,8))),FALSE())))</f>
        <v> </v>
      </c>
      <c r="AG74" s="321" t="str">
        <f aca="false">IF(A74="N/A"," ",(VLOOKUP(A74,IntraPowerVol,(IF(VolBMO2=2,3,IF(VolBMO2=1,2,4))),FALSE())*VLOOKUP(MONTH($A74),Volscale,2)))</f>
        <v> </v>
      </c>
      <c r="AH74" s="321" t="str">
        <f aca="false">IF($A74="N/A"," ",IF(VolType2=1,AG74,AF74))</f>
        <v> </v>
      </c>
      <c r="AI74" s="321" t="str">
        <f aca="false">IF($A74="N/A"," ",(VLOOKUP($A74,OffPwrVolTable,(IF(VolBMO2=2,7,IF(VolBMO2=1,6,8))),FALSE())))</f>
        <v> </v>
      </c>
      <c r="AJ74" s="321" t="str">
        <f aca="false">IF($A74="N/A"," ",(VLOOKUP($A74,OffPwrVolTable,(IF(VolBMO2=2,3,IF(VolBMO2=1,2,4))),FALSE())*VLOOKUP(MONTH($A74),Volscale,2)))</f>
        <v> </v>
      </c>
      <c r="AK74" s="321" t="str">
        <f aca="false">IF($A74="N/A"," ",IF(VolType2=1,AJ74,AI74))</f>
        <v> </v>
      </c>
      <c r="AL74" s="321" t="str">
        <f aca="false">IF($A74="N/A"," ",IF(PV=1,0,'Pricing Inputs2'!R107))</f>
        <v> </v>
      </c>
      <c r="AM74" s="323" t="str">
        <f aca="false">IF($A74="N/A"," ",(1+AL74/2)^(-2*((EOMONTH(A74,0)+20)-DateToday)/365.25))</f>
        <v> </v>
      </c>
      <c r="BQ74" s="0" t="str">
        <f aca="false">IF($A74="N/A"," ",(VLOOKUP($A74,NumberofDaysTable,2)))</f>
        <v> </v>
      </c>
      <c r="BR74" s="0" t="str">
        <f aca="false">IF($A74="N/A"," ",(VLOOKUP($A74,NumberofDaysTable,3)))</f>
        <v> </v>
      </c>
      <c r="BS74" s="0" t="str">
        <f aca="false">IF($A74="N/A"," ",(VLOOKUP($A74,NumberofDaysTable,4)))</f>
        <v> </v>
      </c>
    </row>
    <row r="75" customFormat="false" ht="12.75" hidden="false" customHeight="false" outlineLevel="0" collapsed="false">
      <c r="A75" s="315" t="str">
        <f aca="false">IF(A74="N/A","N/A",IF(EDATE(A74,1)&gt;Inputs!$P$5,"N/A",EDATE(A74,1)))</f>
        <v>N/A</v>
      </c>
      <c r="B75" s="316" t="str">
        <f aca="false">IF(A75="N/A"," ",YEAR(A75))</f>
        <v> </v>
      </c>
      <c r="C75" s="317" t="str">
        <f aca="false">IF($A75="N/A"," ",IF(Dayrun2=10,0,IF(Scaler2=1,(VLOOKUP(A75,ScaledPrice2,4)),(VLOOKUP(A75,ScaledPrice2,2)))))</f>
        <v> </v>
      </c>
      <c r="D75" s="317" t="str">
        <f aca="false">IF(A75="N/A"," ",IF(Dayrun2&gt;=7,0,IF(Scaler2=2,VLOOKUP(A75,ScaledPrice2,2),(VLOOKUP(A75,ScaledPrice2,2))*(2-(VLOOKUP(A75,ScaledPrice2,3))))))</f>
        <v> </v>
      </c>
      <c r="E75" s="317" t="str">
        <f aca="false">IF($A75="N/A"," ",IF(AND(Dayrun2&gt;=4,Dayrun2&lt;=9),0,VLOOKUP($A75,ScaledPrice2,9)))</f>
        <v> </v>
      </c>
      <c r="F75" s="317" t="str">
        <f aca="false">IF(A75="N/A"," ",IF(OR(Dayrun2=2,Dayrun2=3,Dayrun2=5,Dayrun2=6,Dayrun2=8,Dayrun2=9),VLOOKUP(A75,ScaledPrice2,IF(Scaler2=1,6,5)),0))</f>
        <v> </v>
      </c>
      <c r="G75" s="317" t="str">
        <f aca="false">IF(A75="N/A"," ",IF(OR(Dayrun2=2,Dayrun2=3,Dayrun2=5,Dayrun2=6),IF(Scaler2=2,F75,(VLOOKUP(A75,ScaledPrice2,5))*(2-(VLOOKUP(A75,ScaledPrice2,3)))),0))</f>
        <v> </v>
      </c>
      <c r="H75" s="317" t="str">
        <f aca="false">IF($A75="N/A"," ",IF(OR(Dayrun2=2,Dayrun2=3,Dayrun2=10),VLOOKUP($A75,ScaledPrice2,9),0))</f>
        <v> </v>
      </c>
      <c r="I75" s="317" t="str">
        <f aca="false">IF(A75="N/A"," ",IF(OR(Dayrun2=3,Dayrun2=6,Dayrun2=9),(VLOOKUP(A75,ScaledPrice2,IF(Scaler2=2,7,8))),0))</f>
        <v> </v>
      </c>
      <c r="J75" s="317" t="str">
        <f aca="false">IF(A75="N/A"," ",IF(OR(Dayrun2=3,Dayrun2=6),IF(Scaler2=2,I75,(VLOOKUP(A75,ScaledPrice2,7))*(2-(VLOOKUP(A75,ScaledPrice2,3)))),0))</f>
        <v> </v>
      </c>
      <c r="K75" s="317" t="str">
        <f aca="false">IF($A75="N/A"," ",IF(OR(Dayrun2=3,Dayrun2=10),VLOOKUP($A75,ScaledPrice2,9),0))</f>
        <v> </v>
      </c>
      <c r="L75" s="318" t="str">
        <f aca="false">IF($A75="N/A"," ",IF(Pricetype2=2,MAX(C75,0),IF(OR(Pricetype2=1,Pricetype2=4),IF(C75=0,0,(EURO(C75,Strikeprice2,0,0,($AH75+IF(Smile=TRUE(),VLOOKUP(MAX(-5,Strikeprice2-C75),Volsmile,2),0)),($A75-DateToday)+15,IF(Pricetype2=1,1,0),0))),C75)))</f>
        <v> </v>
      </c>
      <c r="M75" s="318" t="str">
        <f aca="false">IF($A75="N/A"," ",IF(Pricetype2=2,MAX(D75,0),IF(OR(Pricetype2=1,Pricetype2=4),IF(D75=0,0,(EURO(D75,Strikeprice2,0,0,($AH75+IF(Smile=TRUE(),VLOOKUP(MAX(-5,Strikeprice2-D75),Volsmile,2),0)),($A75-DateToday)+15,IF(Pricetype2=1,1,0),0))),D75)))</f>
        <v> </v>
      </c>
      <c r="N75" s="318" t="str">
        <f aca="false">IF($A75="N/A"," ",IF(Pricetype2=2,MAX(E75,0),IF(OR(Pricetype2=1,Pricetype2=4),IF(E75=0,0,(EURO(E75,Strikeprice2,0,0,($AK75+IF(Smile=TRUE(),VLOOKUP(MAX(-5,Strikeprice2-E75),Volsmile,2),0)),($A75-DateToday)+15,IF(Pricetype2=1,1,0),0))),E75)))</f>
        <v> </v>
      </c>
      <c r="O75" s="318" t="str">
        <f aca="false">IF($A75="N/A"," ",IF(Pricetype2=2,MAX(F75,0),IF(OR(Pricetype2=1,Pricetype2=4),IF(F75=0,0,(EURO(F75,Strikeprice2,0,0,($AK75+IF(Smile=TRUE(),VLOOKUP(MAX(-5,Strikeprice2-F75),Volsmile,2),0)),($A75-DateToday)+15,IF(Pricetype2=1,1,0),0))),F75)))</f>
        <v> </v>
      </c>
      <c r="P75" s="318" t="str">
        <f aca="false">IF($A75="N/A"," ",IF(Pricetype2=2,MAX(G75,0),IF(OR(Pricetype2=1,Pricetype2=4),IF(G75=0,0,(EURO(G75,Strikeprice2,0,0,($AK75+IF(Smile=TRUE(),VLOOKUP(MAX(-5,Strikeprice2-G75),Volsmile,2),0)),($A75-DateToday)+15,IF(Pricetype2=1,1,0),0))),G75)))</f>
        <v> </v>
      </c>
      <c r="Q75" s="318" t="str">
        <f aca="false">IF($A75="N/A"," ",IF(Pricetype2=2,MAX(H75,0),IF(OR(Pricetype2=1,Pricetype2=4),IF(H75=0,0,(EURO(H75,Strikeprice2,0,0,($AK75+IF(Smile=TRUE(),VLOOKUP(MAX(-5,Strikeprice2-H75),Volsmile,2),0)),($A75-DateToday)+15,IF(Pricetype2=1,1,0),0))),H75)))</f>
        <v> </v>
      </c>
      <c r="R75" s="318" t="str">
        <f aca="false">IF($A75="N/A"," ",IF(Pricetype2=2,MAX(I75,0),IF(OR(Pricetype2=1,Pricetype2=4),IF(I75=0,0,(EURO(I75,Strikeprice2,0,0,($AK75+IF(Smile=TRUE(),VLOOKUP(MAX(-5,Strikeprice2-I75),Volsmile,2),0)),($A75-DateToday)+15,IF(Pricetype2=1,1,0),0))),I75)))</f>
        <v> </v>
      </c>
      <c r="S75" s="318" t="str">
        <f aca="false">IF($A75="N/A"," ",IF(Pricetype2=2,MAX(J75,0),IF(OR(Pricetype2=1,Pricetype2=4),IF(J75=0,0,(EURO(J75,Strikeprice2,0,0,($AK75+IF(Smile=TRUE(),VLOOKUP(MAX(-5,Strikeprice2-J75),Volsmile,2),0)),($A75-DateToday)+15,IF(Pricetype2=1,1,0),0))),J75)))</f>
        <v> </v>
      </c>
      <c r="T75" s="318" t="str">
        <f aca="false">IF($A75="N/A"," ",IF(Pricetype2=2,MAX(K75,0),IF(OR(Pricetype2=1,Pricetype2=4),IF(K75=0,0,(EURO(K75,Strikeprice2,0,0,($AK75+IF(Smile=TRUE(),VLOOKUP(MAX(-5,Strikeprice2-K75),Volsmile,2),0)),($A75-DateToday)+15,IF(Pricetype2=1,1,0),0))),K75)))</f>
        <v> </v>
      </c>
      <c r="U75" s="319" t="str">
        <f aca="false">IF($A75="N/A"," ",Volume2*$AM75)</f>
        <v> </v>
      </c>
      <c r="V75" s="320" t="str">
        <f aca="false">IF($A75="N/A"," ",$U75*(8*($BQ75))*L75)</f>
        <v> </v>
      </c>
      <c r="W75" s="320" t="str">
        <f aca="false">IF($A75="N/A"," ",$U75*(8*($BQ75))*M75)</f>
        <v> </v>
      </c>
      <c r="X75" s="320" t="str">
        <f aca="false">IF($A75="N/A"," ",$U75*(8*($BQ75))*N75)</f>
        <v> </v>
      </c>
      <c r="Y75" s="320" t="str">
        <f aca="false">IF($A75="N/A"," ",$U75*(8*($BR75))*O75)</f>
        <v> </v>
      </c>
      <c r="Z75" s="320" t="str">
        <f aca="false">IF($A75="N/A"," ",$U75*(8*($BR75))*P75)</f>
        <v> </v>
      </c>
      <c r="AA75" s="320" t="str">
        <f aca="false">IF($A75="N/A"," ",$U75*(8*($BR75))*Q75)</f>
        <v> </v>
      </c>
      <c r="AB75" s="320" t="str">
        <f aca="false">IF($A75="N/A"," ",$U75*(8*($BS75))*R75)</f>
        <v> </v>
      </c>
      <c r="AC75" s="320" t="str">
        <f aca="false">IF($A75="N/A"," ",$U75*(8*($BS75))*S75)</f>
        <v> </v>
      </c>
      <c r="AD75" s="320" t="str">
        <f aca="false">IF($A75="N/A"," ",$U75*(8*($BS75))*T75)</f>
        <v> </v>
      </c>
      <c r="AE75" s="320" t="str">
        <f aca="false">IF($A75="N/A"," ",SUM(V75:AD75))</f>
        <v> </v>
      </c>
      <c r="AF75" s="321" t="str">
        <f aca="false">IF(A75="N/A"," ",(VLOOKUP(A75,PowerVolTable,(IF(VolBMO2=2,7,IF(VolBMO2=1,6,8))),FALSE())))</f>
        <v> </v>
      </c>
      <c r="AG75" s="321" t="str">
        <f aca="false">IF(A75="N/A"," ",(VLOOKUP(A75,IntraPowerVol,(IF(VolBMO2=2,3,IF(VolBMO2=1,2,4))),FALSE())*VLOOKUP(MONTH($A75),Volscale,2)))</f>
        <v> </v>
      </c>
      <c r="AH75" s="321" t="str">
        <f aca="false">IF($A75="N/A"," ",IF(VolType2=1,AG75,AF75))</f>
        <v> </v>
      </c>
      <c r="AI75" s="321" t="str">
        <f aca="false">IF($A75="N/A"," ",(VLOOKUP($A75,OffPwrVolTable,(IF(VolBMO2=2,7,IF(VolBMO2=1,6,8))),FALSE())))</f>
        <v> </v>
      </c>
      <c r="AJ75" s="321" t="str">
        <f aca="false">IF($A75="N/A"," ",(VLOOKUP($A75,OffPwrVolTable,(IF(VolBMO2=2,3,IF(VolBMO2=1,2,4))),FALSE())*VLOOKUP(MONTH($A75),Volscale,2)))</f>
        <v> </v>
      </c>
      <c r="AK75" s="321" t="str">
        <f aca="false">IF($A75="N/A"," ",IF(VolType2=1,AJ75,AI75))</f>
        <v> </v>
      </c>
      <c r="AL75" s="321" t="str">
        <f aca="false">IF($A75="N/A"," ",IF(PV=1,0,'Pricing Inputs2'!R108))</f>
        <v> </v>
      </c>
      <c r="AM75" s="323" t="str">
        <f aca="false">IF($A75="N/A"," ",(1+AL75/2)^(-2*((EOMONTH(A75,0)+20)-DateToday)/365.25))</f>
        <v> </v>
      </c>
      <c r="BQ75" s="0" t="str">
        <f aca="false">IF($A75="N/A"," ",(VLOOKUP($A75,NumberofDaysTable,2)))</f>
        <v> </v>
      </c>
      <c r="BR75" s="0" t="str">
        <f aca="false">IF($A75="N/A"," ",(VLOOKUP($A75,NumberofDaysTable,3)))</f>
        <v> </v>
      </c>
      <c r="BS75" s="0" t="str">
        <f aca="false">IF($A75="N/A"," ",(VLOOKUP($A75,NumberofDaysTable,4)))</f>
        <v> </v>
      </c>
    </row>
    <row r="76" customFormat="false" ht="12.75" hidden="false" customHeight="false" outlineLevel="0" collapsed="false">
      <c r="A76" s="315" t="str">
        <f aca="false">IF(A75="N/A","N/A",IF(EDATE(A75,1)&gt;Inputs!$P$5,"N/A",EDATE(A75,1)))</f>
        <v>N/A</v>
      </c>
      <c r="B76" s="316" t="str">
        <f aca="false">IF(A76="N/A"," ",YEAR(A76))</f>
        <v> </v>
      </c>
      <c r="C76" s="317" t="str">
        <f aca="false">IF($A76="N/A"," ",IF(Dayrun2=10,0,IF(Scaler2=1,(VLOOKUP(A76,ScaledPrice2,4)),(VLOOKUP(A76,ScaledPrice2,2)))))</f>
        <v> </v>
      </c>
      <c r="D76" s="317" t="str">
        <f aca="false">IF(A76="N/A"," ",IF(Dayrun2&gt;=7,0,IF(Scaler2=2,VLOOKUP(A76,ScaledPrice2,2),(VLOOKUP(A76,ScaledPrice2,2))*(2-(VLOOKUP(A76,ScaledPrice2,3))))))</f>
        <v> </v>
      </c>
      <c r="E76" s="317" t="str">
        <f aca="false">IF($A76="N/A"," ",IF(AND(Dayrun2&gt;=4,Dayrun2&lt;=9),0,VLOOKUP($A76,ScaledPrice2,9)))</f>
        <v> </v>
      </c>
      <c r="F76" s="317" t="str">
        <f aca="false">IF(A76="N/A"," ",IF(OR(Dayrun2=2,Dayrun2=3,Dayrun2=5,Dayrun2=6,Dayrun2=8,Dayrun2=9),VLOOKUP(A76,ScaledPrice2,IF(Scaler2=1,6,5)),0))</f>
        <v> </v>
      </c>
      <c r="G76" s="317" t="str">
        <f aca="false">IF(A76="N/A"," ",IF(OR(Dayrun2=2,Dayrun2=3,Dayrun2=5,Dayrun2=6),IF(Scaler2=2,F76,(VLOOKUP(A76,ScaledPrice2,5))*(2-(VLOOKUP(A76,ScaledPrice2,3)))),0))</f>
        <v> </v>
      </c>
      <c r="H76" s="317" t="str">
        <f aca="false">IF($A76="N/A"," ",IF(OR(Dayrun2=2,Dayrun2=3,Dayrun2=10),VLOOKUP($A76,ScaledPrice2,9),0))</f>
        <v> </v>
      </c>
      <c r="I76" s="317" t="str">
        <f aca="false">IF(A76="N/A"," ",IF(OR(Dayrun2=3,Dayrun2=6,Dayrun2=9),(VLOOKUP(A76,ScaledPrice2,IF(Scaler2=2,7,8))),0))</f>
        <v> </v>
      </c>
      <c r="J76" s="317" t="str">
        <f aca="false">IF(A76="N/A"," ",IF(OR(Dayrun2=3,Dayrun2=6),IF(Scaler2=2,I76,(VLOOKUP(A76,ScaledPrice2,7))*(2-(VLOOKUP(A76,ScaledPrice2,3)))),0))</f>
        <v> </v>
      </c>
      <c r="K76" s="317" t="str">
        <f aca="false">IF($A76="N/A"," ",IF(OR(Dayrun2=3,Dayrun2=10),VLOOKUP($A76,ScaledPrice2,9),0))</f>
        <v> </v>
      </c>
      <c r="L76" s="318" t="str">
        <f aca="false">IF($A76="N/A"," ",IF(Pricetype2=2,MAX(C76,0),IF(OR(Pricetype2=1,Pricetype2=4),IF(C76=0,0,(EURO(C76,Strikeprice2,0,0,($AH76+IF(Smile=TRUE(),VLOOKUP(MAX(-5,Strikeprice2-C76),Volsmile,2),0)),($A76-DateToday)+15,IF(Pricetype2=1,1,0),0))),C76)))</f>
        <v> </v>
      </c>
      <c r="M76" s="318" t="str">
        <f aca="false">IF($A76="N/A"," ",IF(Pricetype2=2,MAX(D76,0),IF(OR(Pricetype2=1,Pricetype2=4),IF(D76=0,0,(EURO(D76,Strikeprice2,0,0,($AH76+IF(Smile=TRUE(),VLOOKUP(MAX(-5,Strikeprice2-D76),Volsmile,2),0)),($A76-DateToday)+15,IF(Pricetype2=1,1,0),0))),D76)))</f>
        <v> </v>
      </c>
      <c r="N76" s="318" t="str">
        <f aca="false">IF($A76="N/A"," ",IF(Pricetype2=2,MAX(E76,0),IF(OR(Pricetype2=1,Pricetype2=4),IF(E76=0,0,(EURO(E76,Strikeprice2,0,0,($AK76+IF(Smile=TRUE(),VLOOKUP(MAX(-5,Strikeprice2-E76),Volsmile,2),0)),($A76-DateToday)+15,IF(Pricetype2=1,1,0),0))),E76)))</f>
        <v> </v>
      </c>
      <c r="O76" s="318" t="str">
        <f aca="false">IF($A76="N/A"," ",IF(Pricetype2=2,MAX(F76,0),IF(OR(Pricetype2=1,Pricetype2=4),IF(F76=0,0,(EURO(F76,Strikeprice2,0,0,($AK76+IF(Smile=TRUE(),VLOOKUP(MAX(-5,Strikeprice2-F76),Volsmile,2),0)),($A76-DateToday)+15,IF(Pricetype2=1,1,0),0))),F76)))</f>
        <v> </v>
      </c>
      <c r="P76" s="318" t="str">
        <f aca="false">IF($A76="N/A"," ",IF(Pricetype2=2,MAX(G76,0),IF(OR(Pricetype2=1,Pricetype2=4),IF(G76=0,0,(EURO(G76,Strikeprice2,0,0,($AK76+IF(Smile=TRUE(),VLOOKUP(MAX(-5,Strikeprice2-G76),Volsmile,2),0)),($A76-DateToday)+15,IF(Pricetype2=1,1,0),0))),G76)))</f>
        <v> </v>
      </c>
      <c r="Q76" s="318" t="str">
        <f aca="false">IF($A76="N/A"," ",IF(Pricetype2=2,MAX(H76,0),IF(OR(Pricetype2=1,Pricetype2=4),IF(H76=0,0,(EURO(H76,Strikeprice2,0,0,($AK76+IF(Smile=TRUE(),VLOOKUP(MAX(-5,Strikeprice2-H76),Volsmile,2),0)),($A76-DateToday)+15,IF(Pricetype2=1,1,0),0))),H76)))</f>
        <v> </v>
      </c>
      <c r="R76" s="318" t="str">
        <f aca="false">IF($A76="N/A"," ",IF(Pricetype2=2,MAX(I76,0),IF(OR(Pricetype2=1,Pricetype2=4),IF(I76=0,0,(EURO(I76,Strikeprice2,0,0,($AK76+IF(Smile=TRUE(),VLOOKUP(MAX(-5,Strikeprice2-I76),Volsmile,2),0)),($A76-DateToday)+15,IF(Pricetype2=1,1,0),0))),I76)))</f>
        <v> </v>
      </c>
      <c r="S76" s="318" t="str">
        <f aca="false">IF($A76="N/A"," ",IF(Pricetype2=2,MAX(J76,0),IF(OR(Pricetype2=1,Pricetype2=4),IF(J76=0,0,(EURO(J76,Strikeprice2,0,0,($AK76+IF(Smile=TRUE(),VLOOKUP(MAX(-5,Strikeprice2-J76),Volsmile,2),0)),($A76-DateToday)+15,IF(Pricetype2=1,1,0),0))),J76)))</f>
        <v> </v>
      </c>
      <c r="T76" s="318" t="str">
        <f aca="false">IF($A76="N/A"," ",IF(Pricetype2=2,MAX(K76,0),IF(OR(Pricetype2=1,Pricetype2=4),IF(K76=0,0,(EURO(K76,Strikeprice2,0,0,($AK76+IF(Smile=TRUE(),VLOOKUP(MAX(-5,Strikeprice2-K76),Volsmile,2),0)),($A76-DateToday)+15,IF(Pricetype2=1,1,0),0))),K76)))</f>
        <v> </v>
      </c>
      <c r="U76" s="319" t="str">
        <f aca="false">IF($A76="N/A"," ",Volume2*$AM76)</f>
        <v> </v>
      </c>
      <c r="V76" s="320" t="str">
        <f aca="false">IF($A76="N/A"," ",$U76*(8*($BQ76))*L76)</f>
        <v> </v>
      </c>
      <c r="W76" s="320" t="str">
        <f aca="false">IF($A76="N/A"," ",$U76*(8*($BQ76))*M76)</f>
        <v> </v>
      </c>
      <c r="X76" s="320" t="str">
        <f aca="false">IF($A76="N/A"," ",$U76*(8*($BQ76))*N76)</f>
        <v> </v>
      </c>
      <c r="Y76" s="320" t="str">
        <f aca="false">IF($A76="N/A"," ",$U76*(8*($BR76))*O76)</f>
        <v> </v>
      </c>
      <c r="Z76" s="320" t="str">
        <f aca="false">IF($A76="N/A"," ",$U76*(8*($BR76))*P76)</f>
        <v> </v>
      </c>
      <c r="AA76" s="320" t="str">
        <f aca="false">IF($A76="N/A"," ",$U76*(8*($BR76))*Q76)</f>
        <v> </v>
      </c>
      <c r="AB76" s="320" t="str">
        <f aca="false">IF($A76="N/A"," ",$U76*(8*($BS76))*R76)</f>
        <v> </v>
      </c>
      <c r="AC76" s="320" t="str">
        <f aca="false">IF($A76="N/A"," ",$U76*(8*($BS76))*S76)</f>
        <v> </v>
      </c>
      <c r="AD76" s="320" t="str">
        <f aca="false">IF($A76="N/A"," ",$U76*(8*($BS76))*T76)</f>
        <v> </v>
      </c>
      <c r="AE76" s="320" t="str">
        <f aca="false">IF($A76="N/A"," ",SUM(V76:AD76))</f>
        <v> </v>
      </c>
      <c r="AF76" s="321" t="str">
        <f aca="false">IF(A76="N/A"," ",(VLOOKUP(A76,PowerVolTable,(IF(VolBMO2=2,7,IF(VolBMO2=1,6,8))),FALSE())))</f>
        <v> </v>
      </c>
      <c r="AG76" s="321" t="str">
        <f aca="false">IF(A76="N/A"," ",(VLOOKUP(A76,IntraPowerVol,(IF(VolBMO2=2,3,IF(VolBMO2=1,2,4))),FALSE())*VLOOKUP(MONTH($A76),Volscale,2)))</f>
        <v> </v>
      </c>
      <c r="AH76" s="321" t="str">
        <f aca="false">IF($A76="N/A"," ",IF(VolType2=1,AG76,AF76))</f>
        <v> </v>
      </c>
      <c r="AI76" s="321" t="str">
        <f aca="false">IF($A76="N/A"," ",(VLOOKUP($A76,OffPwrVolTable,(IF(VolBMO2=2,7,IF(VolBMO2=1,6,8))),FALSE())))</f>
        <v> </v>
      </c>
      <c r="AJ76" s="321" t="str">
        <f aca="false">IF($A76="N/A"," ",(VLOOKUP($A76,OffPwrVolTable,(IF(VolBMO2=2,3,IF(VolBMO2=1,2,4))),FALSE())*VLOOKUP(MONTH($A76),Volscale,2)))</f>
        <v> </v>
      </c>
      <c r="AK76" s="321" t="str">
        <f aca="false">IF($A76="N/A"," ",IF(VolType2=1,AJ76,AI76))</f>
        <v> </v>
      </c>
      <c r="AL76" s="321" t="str">
        <f aca="false">IF($A76="N/A"," ",IF(PV=1,0,'Pricing Inputs2'!R109))</f>
        <v> </v>
      </c>
      <c r="AM76" s="323" t="str">
        <f aca="false">IF($A76="N/A"," ",(1+AL76/2)^(-2*((EOMONTH(A76,0)+20)-DateToday)/365.25))</f>
        <v> </v>
      </c>
      <c r="BQ76" s="0" t="str">
        <f aca="false">IF($A76="N/A"," ",(VLOOKUP($A76,NumberofDaysTable,2)))</f>
        <v> </v>
      </c>
      <c r="BR76" s="0" t="str">
        <f aca="false">IF($A76="N/A"," ",(VLOOKUP($A76,NumberofDaysTable,3)))</f>
        <v> </v>
      </c>
      <c r="BS76" s="0" t="str">
        <f aca="false">IF($A76="N/A"," ",(VLOOKUP($A76,NumberofDaysTable,4)))</f>
        <v> </v>
      </c>
    </row>
    <row r="77" customFormat="false" ht="12.75" hidden="false" customHeight="false" outlineLevel="0" collapsed="false">
      <c r="A77" s="315" t="str">
        <f aca="false">IF(A76="N/A","N/A",IF(EDATE(A76,1)&gt;Inputs!$P$5,"N/A",EDATE(A76,1)))</f>
        <v>N/A</v>
      </c>
      <c r="B77" s="316" t="str">
        <f aca="false">IF(A77="N/A"," ",YEAR(A77))</f>
        <v> </v>
      </c>
      <c r="C77" s="317" t="str">
        <f aca="false">IF($A77="N/A"," ",IF(Dayrun2=10,0,IF(Scaler2=1,(VLOOKUP(A77,ScaledPrice2,4)),(VLOOKUP(A77,ScaledPrice2,2)))))</f>
        <v> </v>
      </c>
      <c r="D77" s="317" t="str">
        <f aca="false">IF(A77="N/A"," ",IF(Dayrun2&gt;=7,0,IF(Scaler2=2,VLOOKUP(A77,ScaledPrice2,2),(VLOOKUP(A77,ScaledPrice2,2))*(2-(VLOOKUP(A77,ScaledPrice2,3))))))</f>
        <v> </v>
      </c>
      <c r="E77" s="317" t="str">
        <f aca="false">IF($A77="N/A"," ",IF(AND(Dayrun2&gt;=4,Dayrun2&lt;=9),0,VLOOKUP($A77,ScaledPrice2,9)))</f>
        <v> </v>
      </c>
      <c r="F77" s="317" t="str">
        <f aca="false">IF(A77="N/A"," ",IF(OR(Dayrun2=2,Dayrun2=3,Dayrun2=5,Dayrun2=6,Dayrun2=8,Dayrun2=9),VLOOKUP(A77,ScaledPrice2,IF(Scaler2=1,6,5)),0))</f>
        <v> </v>
      </c>
      <c r="G77" s="317" t="str">
        <f aca="false">IF(A77="N/A"," ",IF(OR(Dayrun2=2,Dayrun2=3,Dayrun2=5,Dayrun2=6),IF(Scaler2=2,F77,(VLOOKUP(A77,ScaledPrice2,5))*(2-(VLOOKUP(A77,ScaledPrice2,3)))),0))</f>
        <v> </v>
      </c>
      <c r="H77" s="317" t="str">
        <f aca="false">IF($A77="N/A"," ",IF(OR(Dayrun2=2,Dayrun2=3,Dayrun2=10),VLOOKUP($A77,ScaledPrice2,9),0))</f>
        <v> </v>
      </c>
      <c r="I77" s="317" t="str">
        <f aca="false">IF(A77="N/A"," ",IF(OR(Dayrun2=3,Dayrun2=6,Dayrun2=9),(VLOOKUP(A77,ScaledPrice2,IF(Scaler2=2,7,8))),0))</f>
        <v> </v>
      </c>
      <c r="J77" s="317" t="str">
        <f aca="false">IF(A77="N/A"," ",IF(OR(Dayrun2=3,Dayrun2=6),IF(Scaler2=2,I77,(VLOOKUP(A77,ScaledPrice2,7))*(2-(VLOOKUP(A77,ScaledPrice2,3)))),0))</f>
        <v> </v>
      </c>
      <c r="K77" s="317" t="str">
        <f aca="false">IF($A77="N/A"," ",IF(OR(Dayrun2=3,Dayrun2=10),VLOOKUP($A77,ScaledPrice2,9),0))</f>
        <v> </v>
      </c>
      <c r="L77" s="318" t="str">
        <f aca="false">IF($A77="N/A"," ",IF(Pricetype2=2,MAX(C77,0),IF(OR(Pricetype2=1,Pricetype2=4),IF(C77=0,0,(EURO(C77,Strikeprice2,0,0,($AH77+IF(Smile=TRUE(),VLOOKUP(MAX(-5,Strikeprice2-C77),Volsmile,2),0)),($A77-DateToday)+15,IF(Pricetype2=1,1,0),0))),C77)))</f>
        <v> </v>
      </c>
      <c r="M77" s="318" t="str">
        <f aca="false">IF($A77="N/A"," ",IF(Pricetype2=2,MAX(D77,0),IF(OR(Pricetype2=1,Pricetype2=4),IF(D77=0,0,(EURO(D77,Strikeprice2,0,0,($AH77+IF(Smile=TRUE(),VLOOKUP(MAX(-5,Strikeprice2-D77),Volsmile,2),0)),($A77-DateToday)+15,IF(Pricetype2=1,1,0),0))),D77)))</f>
        <v> </v>
      </c>
      <c r="N77" s="318" t="str">
        <f aca="false">IF($A77="N/A"," ",IF(Pricetype2=2,MAX(E77,0),IF(OR(Pricetype2=1,Pricetype2=4),IF(E77=0,0,(EURO(E77,Strikeprice2,0,0,($AK77+IF(Smile=TRUE(),VLOOKUP(MAX(-5,Strikeprice2-E77),Volsmile,2),0)),($A77-DateToday)+15,IF(Pricetype2=1,1,0),0))),E77)))</f>
        <v> </v>
      </c>
      <c r="O77" s="318" t="str">
        <f aca="false">IF($A77="N/A"," ",IF(Pricetype2=2,MAX(F77,0),IF(OR(Pricetype2=1,Pricetype2=4),IF(F77=0,0,(EURO(F77,Strikeprice2,0,0,($AK77+IF(Smile=TRUE(),VLOOKUP(MAX(-5,Strikeprice2-F77),Volsmile,2),0)),($A77-DateToday)+15,IF(Pricetype2=1,1,0),0))),F77)))</f>
        <v> </v>
      </c>
      <c r="P77" s="318" t="str">
        <f aca="false">IF($A77="N/A"," ",IF(Pricetype2=2,MAX(G77,0),IF(OR(Pricetype2=1,Pricetype2=4),IF(G77=0,0,(EURO(G77,Strikeprice2,0,0,($AK77+IF(Smile=TRUE(),VLOOKUP(MAX(-5,Strikeprice2-G77),Volsmile,2),0)),($A77-DateToday)+15,IF(Pricetype2=1,1,0),0))),G77)))</f>
        <v> </v>
      </c>
      <c r="Q77" s="318" t="str">
        <f aca="false">IF($A77="N/A"," ",IF(Pricetype2=2,MAX(H77,0),IF(OR(Pricetype2=1,Pricetype2=4),IF(H77=0,0,(EURO(H77,Strikeprice2,0,0,($AK77+IF(Smile=TRUE(),VLOOKUP(MAX(-5,Strikeprice2-H77),Volsmile,2),0)),($A77-DateToday)+15,IF(Pricetype2=1,1,0),0))),H77)))</f>
        <v> </v>
      </c>
      <c r="R77" s="318" t="str">
        <f aca="false">IF($A77="N/A"," ",IF(Pricetype2=2,MAX(I77,0),IF(OR(Pricetype2=1,Pricetype2=4),IF(I77=0,0,(EURO(I77,Strikeprice2,0,0,($AK77+IF(Smile=TRUE(),VLOOKUP(MAX(-5,Strikeprice2-I77),Volsmile,2),0)),($A77-DateToday)+15,IF(Pricetype2=1,1,0),0))),I77)))</f>
        <v> </v>
      </c>
      <c r="S77" s="318" t="str">
        <f aca="false">IF($A77="N/A"," ",IF(Pricetype2=2,MAX(J77,0),IF(OR(Pricetype2=1,Pricetype2=4),IF(J77=0,0,(EURO(J77,Strikeprice2,0,0,($AK77+IF(Smile=TRUE(),VLOOKUP(MAX(-5,Strikeprice2-J77),Volsmile,2),0)),($A77-DateToday)+15,IF(Pricetype2=1,1,0),0))),J77)))</f>
        <v> </v>
      </c>
      <c r="T77" s="318" t="str">
        <f aca="false">IF($A77="N/A"," ",IF(Pricetype2=2,MAX(K77,0),IF(OR(Pricetype2=1,Pricetype2=4),IF(K77=0,0,(EURO(K77,Strikeprice2,0,0,($AK77+IF(Smile=TRUE(),VLOOKUP(MAX(-5,Strikeprice2-K77),Volsmile,2),0)),($A77-DateToday)+15,IF(Pricetype2=1,1,0),0))),K77)))</f>
        <v> </v>
      </c>
      <c r="U77" s="319" t="str">
        <f aca="false">IF($A77="N/A"," ",Volume2*$AM77)</f>
        <v> </v>
      </c>
      <c r="V77" s="320" t="str">
        <f aca="false">IF($A77="N/A"," ",$U77*(8*($BQ77))*L77)</f>
        <v> </v>
      </c>
      <c r="W77" s="320" t="str">
        <f aca="false">IF($A77="N/A"," ",$U77*(8*($BQ77))*M77)</f>
        <v> </v>
      </c>
      <c r="X77" s="320" t="str">
        <f aca="false">IF($A77="N/A"," ",$U77*(8*($BQ77))*N77)</f>
        <v> </v>
      </c>
      <c r="Y77" s="320" t="str">
        <f aca="false">IF($A77="N/A"," ",$U77*(8*($BR77))*O77)</f>
        <v> </v>
      </c>
      <c r="Z77" s="320" t="str">
        <f aca="false">IF($A77="N/A"," ",$U77*(8*($BR77))*P77)</f>
        <v> </v>
      </c>
      <c r="AA77" s="320" t="str">
        <f aca="false">IF($A77="N/A"," ",$U77*(8*($BR77))*Q77)</f>
        <v> </v>
      </c>
      <c r="AB77" s="320" t="str">
        <f aca="false">IF($A77="N/A"," ",$U77*(8*($BS77))*R77)</f>
        <v> </v>
      </c>
      <c r="AC77" s="320" t="str">
        <f aca="false">IF($A77="N/A"," ",$U77*(8*($BS77))*S77)</f>
        <v> </v>
      </c>
      <c r="AD77" s="320" t="str">
        <f aca="false">IF($A77="N/A"," ",$U77*(8*($BS77))*T77)</f>
        <v> </v>
      </c>
      <c r="AE77" s="320" t="str">
        <f aca="false">IF($A77="N/A"," ",SUM(V77:AD77))</f>
        <v> </v>
      </c>
      <c r="AF77" s="321" t="str">
        <f aca="false">IF(A77="N/A"," ",(VLOOKUP(A77,PowerVolTable,(IF(VolBMO2=2,7,IF(VolBMO2=1,6,8))),FALSE())))</f>
        <v> </v>
      </c>
      <c r="AG77" s="321" t="str">
        <f aca="false">IF(A77="N/A"," ",(VLOOKUP(A77,IntraPowerVol,(IF(VolBMO2=2,3,IF(VolBMO2=1,2,4))),FALSE())*VLOOKUP(MONTH($A77),Volscale,2)))</f>
        <v> </v>
      </c>
      <c r="AH77" s="321" t="str">
        <f aca="false">IF($A77="N/A"," ",IF(VolType2=1,AG77,AF77))</f>
        <v> </v>
      </c>
      <c r="AI77" s="321" t="str">
        <f aca="false">IF($A77="N/A"," ",(VLOOKUP($A77,OffPwrVolTable,(IF(VolBMO2=2,7,IF(VolBMO2=1,6,8))),FALSE())))</f>
        <v> </v>
      </c>
      <c r="AJ77" s="321" t="str">
        <f aca="false">IF($A77="N/A"," ",(VLOOKUP($A77,OffPwrVolTable,(IF(VolBMO2=2,3,IF(VolBMO2=1,2,4))),FALSE())*VLOOKUP(MONTH($A77),Volscale,2)))</f>
        <v> </v>
      </c>
      <c r="AK77" s="321" t="str">
        <f aca="false">IF($A77="N/A"," ",IF(VolType2=1,AJ77,AI77))</f>
        <v> </v>
      </c>
      <c r="AL77" s="321" t="str">
        <f aca="false">IF($A77="N/A"," ",IF(PV=1,0,'Pricing Inputs2'!R110))</f>
        <v> </v>
      </c>
      <c r="AM77" s="323" t="str">
        <f aca="false">IF($A77="N/A"," ",(1+AL77/2)^(-2*((EOMONTH(A77,0)+20)-DateToday)/365.25))</f>
        <v> </v>
      </c>
      <c r="BQ77" s="0" t="str">
        <f aca="false">IF($A77="N/A"," ",(VLOOKUP($A77,NumberofDaysTable,2)))</f>
        <v> </v>
      </c>
      <c r="BR77" s="0" t="str">
        <f aca="false">IF($A77="N/A"," ",(VLOOKUP($A77,NumberofDaysTable,3)))</f>
        <v> </v>
      </c>
      <c r="BS77" s="0" t="str">
        <f aca="false">IF($A77="N/A"," ",(VLOOKUP($A77,NumberofDaysTable,4)))</f>
        <v> </v>
      </c>
    </row>
    <row r="78" customFormat="false" ht="12.75" hidden="false" customHeight="false" outlineLevel="0" collapsed="false">
      <c r="A78" s="315" t="str">
        <f aca="false">IF(A77="N/A","N/A",IF(EDATE(A77,1)&gt;Inputs!$P$5,"N/A",EDATE(A77,1)))</f>
        <v>N/A</v>
      </c>
      <c r="B78" s="316" t="str">
        <f aca="false">IF(A78="N/A"," ",YEAR(A78))</f>
        <v> </v>
      </c>
      <c r="C78" s="317" t="str">
        <f aca="false">IF($A78="N/A"," ",IF(Dayrun2=10,0,IF(Scaler2=1,(VLOOKUP(A78,ScaledPrice2,4)),(VLOOKUP(A78,ScaledPrice2,2)))))</f>
        <v> </v>
      </c>
      <c r="D78" s="317" t="str">
        <f aca="false">IF(A78="N/A"," ",IF(Dayrun2&gt;=7,0,IF(Scaler2=2,VLOOKUP(A78,ScaledPrice2,2),(VLOOKUP(A78,ScaledPrice2,2))*(2-(VLOOKUP(A78,ScaledPrice2,3))))))</f>
        <v> </v>
      </c>
      <c r="E78" s="317" t="str">
        <f aca="false">IF($A78="N/A"," ",IF(AND(Dayrun2&gt;=4,Dayrun2&lt;=9),0,VLOOKUP($A78,ScaledPrice2,9)))</f>
        <v> </v>
      </c>
      <c r="F78" s="317" t="str">
        <f aca="false">IF(A78="N/A"," ",IF(OR(Dayrun2=2,Dayrun2=3,Dayrun2=5,Dayrun2=6,Dayrun2=8,Dayrun2=9),VLOOKUP(A78,ScaledPrice2,IF(Scaler2=1,6,5)),0))</f>
        <v> </v>
      </c>
      <c r="G78" s="317" t="str">
        <f aca="false">IF(A78="N/A"," ",IF(OR(Dayrun2=2,Dayrun2=3,Dayrun2=5,Dayrun2=6),IF(Scaler2=2,F78,(VLOOKUP(A78,ScaledPrice2,5))*(2-(VLOOKUP(A78,ScaledPrice2,3)))),0))</f>
        <v> </v>
      </c>
      <c r="H78" s="317" t="str">
        <f aca="false">IF($A78="N/A"," ",IF(OR(Dayrun2=2,Dayrun2=3,Dayrun2=10),VLOOKUP($A78,ScaledPrice2,9),0))</f>
        <v> </v>
      </c>
      <c r="I78" s="317" t="str">
        <f aca="false">IF(A78="N/A"," ",IF(OR(Dayrun2=3,Dayrun2=6,Dayrun2=9),(VLOOKUP(A78,ScaledPrice2,IF(Scaler2=2,7,8))),0))</f>
        <v> </v>
      </c>
      <c r="J78" s="317" t="str">
        <f aca="false">IF(A78="N/A"," ",IF(OR(Dayrun2=3,Dayrun2=6),IF(Scaler2=2,I78,(VLOOKUP(A78,ScaledPrice2,7))*(2-(VLOOKUP(A78,ScaledPrice2,3)))),0))</f>
        <v> </v>
      </c>
      <c r="K78" s="317" t="str">
        <f aca="false">IF($A78="N/A"," ",IF(OR(Dayrun2=3,Dayrun2=10),VLOOKUP($A78,ScaledPrice2,9),0))</f>
        <v> </v>
      </c>
      <c r="L78" s="318" t="str">
        <f aca="false">IF($A78="N/A"," ",IF(Pricetype2=2,MAX(C78,0),IF(OR(Pricetype2=1,Pricetype2=4),IF(C78=0,0,(EURO(C78,Strikeprice2,0,0,($AH78+IF(Smile=TRUE(),VLOOKUP(MAX(-5,Strikeprice2-C78),Volsmile,2),0)),($A78-DateToday)+15,IF(Pricetype2=1,1,0),0))),C78)))</f>
        <v> </v>
      </c>
      <c r="M78" s="318" t="str">
        <f aca="false">IF($A78="N/A"," ",IF(Pricetype2=2,MAX(D78,0),IF(OR(Pricetype2=1,Pricetype2=4),IF(D78=0,0,(EURO(D78,Strikeprice2,0,0,($AH78+IF(Smile=TRUE(),VLOOKUP(MAX(-5,Strikeprice2-D78),Volsmile,2),0)),($A78-DateToday)+15,IF(Pricetype2=1,1,0),0))),D78)))</f>
        <v> </v>
      </c>
      <c r="N78" s="318" t="str">
        <f aca="false">IF($A78="N/A"," ",IF(Pricetype2=2,MAX(E78,0),IF(OR(Pricetype2=1,Pricetype2=4),IF(E78=0,0,(EURO(E78,Strikeprice2,0,0,($AK78+IF(Smile=TRUE(),VLOOKUP(MAX(-5,Strikeprice2-E78),Volsmile,2),0)),($A78-DateToday)+15,IF(Pricetype2=1,1,0),0))),E78)))</f>
        <v> </v>
      </c>
      <c r="O78" s="318" t="str">
        <f aca="false">IF($A78="N/A"," ",IF(Pricetype2=2,MAX(F78,0),IF(OR(Pricetype2=1,Pricetype2=4),IF(F78=0,0,(EURO(F78,Strikeprice2,0,0,($AK78+IF(Smile=TRUE(),VLOOKUP(MAX(-5,Strikeprice2-F78),Volsmile,2),0)),($A78-DateToday)+15,IF(Pricetype2=1,1,0),0))),F78)))</f>
        <v> </v>
      </c>
      <c r="P78" s="318" t="str">
        <f aca="false">IF($A78="N/A"," ",IF(Pricetype2=2,MAX(G78,0),IF(OR(Pricetype2=1,Pricetype2=4),IF(G78=0,0,(EURO(G78,Strikeprice2,0,0,($AK78+IF(Smile=TRUE(),VLOOKUP(MAX(-5,Strikeprice2-G78),Volsmile,2),0)),($A78-DateToday)+15,IF(Pricetype2=1,1,0),0))),G78)))</f>
        <v> </v>
      </c>
      <c r="Q78" s="318" t="str">
        <f aca="false">IF($A78="N/A"," ",IF(Pricetype2=2,MAX(H78,0),IF(OR(Pricetype2=1,Pricetype2=4),IF(H78=0,0,(EURO(H78,Strikeprice2,0,0,($AK78+IF(Smile=TRUE(),VLOOKUP(MAX(-5,Strikeprice2-H78),Volsmile,2),0)),($A78-DateToday)+15,IF(Pricetype2=1,1,0),0))),H78)))</f>
        <v> </v>
      </c>
      <c r="R78" s="318" t="str">
        <f aca="false">IF($A78="N/A"," ",IF(Pricetype2=2,MAX(I78,0),IF(OR(Pricetype2=1,Pricetype2=4),IF(I78=0,0,(EURO(I78,Strikeprice2,0,0,($AK78+IF(Smile=TRUE(),VLOOKUP(MAX(-5,Strikeprice2-I78),Volsmile,2),0)),($A78-DateToday)+15,IF(Pricetype2=1,1,0),0))),I78)))</f>
        <v> </v>
      </c>
      <c r="S78" s="318" t="str">
        <f aca="false">IF($A78="N/A"," ",IF(Pricetype2=2,MAX(J78,0),IF(OR(Pricetype2=1,Pricetype2=4),IF(J78=0,0,(EURO(J78,Strikeprice2,0,0,($AK78+IF(Smile=TRUE(),VLOOKUP(MAX(-5,Strikeprice2-J78),Volsmile,2),0)),($A78-DateToday)+15,IF(Pricetype2=1,1,0),0))),J78)))</f>
        <v> </v>
      </c>
      <c r="T78" s="318" t="str">
        <f aca="false">IF($A78="N/A"," ",IF(Pricetype2=2,MAX(K78,0),IF(OR(Pricetype2=1,Pricetype2=4),IF(K78=0,0,(EURO(K78,Strikeprice2,0,0,($AK78+IF(Smile=TRUE(),VLOOKUP(MAX(-5,Strikeprice2-K78),Volsmile,2),0)),($A78-DateToday)+15,IF(Pricetype2=1,1,0),0))),K78)))</f>
        <v> </v>
      </c>
      <c r="U78" s="319" t="str">
        <f aca="false">IF($A78="N/A"," ",Volume2*$AM78)</f>
        <v> </v>
      </c>
      <c r="V78" s="320" t="str">
        <f aca="false">IF($A78="N/A"," ",$U78*(8*($BQ78))*L78)</f>
        <v> </v>
      </c>
      <c r="W78" s="320" t="str">
        <f aca="false">IF($A78="N/A"," ",$U78*(8*($BQ78))*M78)</f>
        <v> </v>
      </c>
      <c r="X78" s="320" t="str">
        <f aca="false">IF($A78="N/A"," ",$U78*(8*($BQ78))*N78)</f>
        <v> </v>
      </c>
      <c r="Y78" s="320" t="str">
        <f aca="false">IF($A78="N/A"," ",$U78*(8*($BR78))*O78)</f>
        <v> </v>
      </c>
      <c r="Z78" s="320" t="str">
        <f aca="false">IF($A78="N/A"," ",$U78*(8*($BR78))*P78)</f>
        <v> </v>
      </c>
      <c r="AA78" s="320" t="str">
        <f aca="false">IF($A78="N/A"," ",$U78*(8*($BR78))*Q78)</f>
        <v> </v>
      </c>
      <c r="AB78" s="320" t="str">
        <f aca="false">IF($A78="N/A"," ",$U78*(8*($BS78))*R78)</f>
        <v> </v>
      </c>
      <c r="AC78" s="320" t="str">
        <f aca="false">IF($A78="N/A"," ",$U78*(8*($BS78))*S78)</f>
        <v> </v>
      </c>
      <c r="AD78" s="320" t="str">
        <f aca="false">IF($A78="N/A"," ",$U78*(8*($BS78))*T78)</f>
        <v> </v>
      </c>
      <c r="AE78" s="320" t="str">
        <f aca="false">IF($A78="N/A"," ",SUM(V78:AD78))</f>
        <v> </v>
      </c>
      <c r="AF78" s="321" t="str">
        <f aca="false">IF(A78="N/A"," ",(VLOOKUP(A78,PowerVolTable,(IF(VolBMO2=2,7,IF(VolBMO2=1,6,8))),FALSE())))</f>
        <v> </v>
      </c>
      <c r="AG78" s="321" t="str">
        <f aca="false">IF(A78="N/A"," ",(VLOOKUP(A78,IntraPowerVol,(IF(VolBMO2=2,3,IF(VolBMO2=1,2,4))),FALSE())*VLOOKUP(MONTH($A78),Volscale,2)))</f>
        <v> </v>
      </c>
      <c r="AH78" s="321" t="str">
        <f aca="false">IF($A78="N/A"," ",IF(VolType2=1,AG78,AF78))</f>
        <v> </v>
      </c>
      <c r="AI78" s="321" t="str">
        <f aca="false">IF($A78="N/A"," ",(VLOOKUP($A78,OffPwrVolTable,(IF(VolBMO2=2,7,IF(VolBMO2=1,6,8))),FALSE())))</f>
        <v> </v>
      </c>
      <c r="AJ78" s="321" t="str">
        <f aca="false">IF($A78="N/A"," ",(VLOOKUP($A78,OffPwrVolTable,(IF(VolBMO2=2,3,IF(VolBMO2=1,2,4))),FALSE())*VLOOKUP(MONTH($A78),Volscale,2)))</f>
        <v> </v>
      </c>
      <c r="AK78" s="321" t="str">
        <f aca="false">IF($A78="N/A"," ",IF(VolType2=1,AJ78,AI78))</f>
        <v> </v>
      </c>
      <c r="AL78" s="321" t="str">
        <f aca="false">IF($A78="N/A"," ",IF(PV=1,0,'Pricing Inputs2'!R111))</f>
        <v> </v>
      </c>
      <c r="AM78" s="323" t="str">
        <f aca="false">IF($A78="N/A"," ",(1+AL78/2)^(-2*((EOMONTH(A78,0)+20)-DateToday)/365.25))</f>
        <v> </v>
      </c>
      <c r="BQ78" s="0" t="str">
        <f aca="false">IF($A78="N/A"," ",(VLOOKUP($A78,NumberofDaysTable,2)))</f>
        <v> </v>
      </c>
      <c r="BR78" s="0" t="str">
        <f aca="false">IF($A78="N/A"," ",(VLOOKUP($A78,NumberofDaysTable,3)))</f>
        <v> </v>
      </c>
      <c r="BS78" s="0" t="str">
        <f aca="false">IF($A78="N/A"," ",(VLOOKUP($A78,NumberofDaysTable,4)))</f>
        <v> </v>
      </c>
    </row>
    <row r="79" customFormat="false" ht="12.75" hidden="false" customHeight="false" outlineLevel="0" collapsed="false">
      <c r="A79" s="315" t="str">
        <f aca="false">IF(A78="N/A","N/A",IF(EDATE(A78,1)&gt;Inputs!$P$5,"N/A",EDATE(A78,1)))</f>
        <v>N/A</v>
      </c>
      <c r="B79" s="316" t="str">
        <f aca="false">IF(A79="N/A"," ",YEAR(A79))</f>
        <v> </v>
      </c>
      <c r="C79" s="317" t="str">
        <f aca="false">IF($A79="N/A"," ",IF(Dayrun2=10,0,IF(Scaler2=1,(VLOOKUP(A79,ScaledPrice2,4)),(VLOOKUP(A79,ScaledPrice2,2)))))</f>
        <v> </v>
      </c>
      <c r="D79" s="317" t="str">
        <f aca="false">IF(A79="N/A"," ",IF(Dayrun2&gt;=7,0,IF(Scaler2=2,VLOOKUP(A79,ScaledPrice2,2),(VLOOKUP(A79,ScaledPrice2,2))*(2-(VLOOKUP(A79,ScaledPrice2,3))))))</f>
        <v> </v>
      </c>
      <c r="E79" s="317" t="str">
        <f aca="false">IF($A79="N/A"," ",IF(AND(Dayrun2&gt;=4,Dayrun2&lt;=9),0,VLOOKUP($A79,ScaledPrice2,9)))</f>
        <v> </v>
      </c>
      <c r="F79" s="317" t="str">
        <f aca="false">IF(A79="N/A"," ",IF(OR(Dayrun2=2,Dayrun2=3,Dayrun2=5,Dayrun2=6,Dayrun2=8,Dayrun2=9),VLOOKUP(A79,ScaledPrice2,IF(Scaler2=1,6,5)),0))</f>
        <v> </v>
      </c>
      <c r="G79" s="317" t="str">
        <f aca="false">IF(A79="N/A"," ",IF(OR(Dayrun2=2,Dayrun2=3,Dayrun2=5,Dayrun2=6),IF(Scaler2=2,F79,(VLOOKUP(A79,ScaledPrice2,5))*(2-(VLOOKUP(A79,ScaledPrice2,3)))),0))</f>
        <v> </v>
      </c>
      <c r="H79" s="317" t="str">
        <f aca="false">IF($A79="N/A"," ",IF(OR(Dayrun2=2,Dayrun2=3,Dayrun2=10),VLOOKUP($A79,ScaledPrice2,9),0))</f>
        <v> </v>
      </c>
      <c r="I79" s="317" t="str">
        <f aca="false">IF(A79="N/A"," ",IF(OR(Dayrun2=3,Dayrun2=6,Dayrun2=9),(VLOOKUP(A79,ScaledPrice2,IF(Scaler2=2,7,8))),0))</f>
        <v> </v>
      </c>
      <c r="J79" s="317" t="str">
        <f aca="false">IF(A79="N/A"," ",IF(OR(Dayrun2=3,Dayrun2=6),IF(Scaler2=2,I79,(VLOOKUP(A79,ScaledPrice2,7))*(2-(VLOOKUP(A79,ScaledPrice2,3)))),0))</f>
        <v> </v>
      </c>
      <c r="K79" s="317" t="str">
        <f aca="false">IF($A79="N/A"," ",IF(OR(Dayrun2=3,Dayrun2=10),VLOOKUP($A79,ScaledPrice2,9),0))</f>
        <v> </v>
      </c>
      <c r="L79" s="318" t="str">
        <f aca="false">IF($A79="N/A"," ",IF(Pricetype2=2,MAX(C79,0),IF(OR(Pricetype2=1,Pricetype2=4),IF(C79=0,0,(EURO(C79,Strikeprice2,0,0,($AH79+IF(Smile=TRUE(),VLOOKUP(MAX(-5,Strikeprice2-C79),Volsmile,2),0)),($A79-DateToday)+15,IF(Pricetype2=1,1,0),0))),C79)))</f>
        <v> </v>
      </c>
      <c r="M79" s="318" t="str">
        <f aca="false">IF($A79="N/A"," ",IF(Pricetype2=2,MAX(D79,0),IF(OR(Pricetype2=1,Pricetype2=4),IF(D79=0,0,(EURO(D79,Strikeprice2,0,0,($AH79+IF(Smile=TRUE(),VLOOKUP(MAX(-5,Strikeprice2-D79),Volsmile,2),0)),($A79-DateToday)+15,IF(Pricetype2=1,1,0),0))),D79)))</f>
        <v> </v>
      </c>
      <c r="N79" s="318" t="str">
        <f aca="false">IF($A79="N/A"," ",IF(Pricetype2=2,MAX(E79,0),IF(OR(Pricetype2=1,Pricetype2=4),IF(E79=0,0,(EURO(E79,Strikeprice2,0,0,($AK79+IF(Smile=TRUE(),VLOOKUP(MAX(-5,Strikeprice2-E79),Volsmile,2),0)),($A79-DateToday)+15,IF(Pricetype2=1,1,0),0))),E79)))</f>
        <v> </v>
      </c>
      <c r="O79" s="318" t="str">
        <f aca="false">IF($A79="N/A"," ",IF(Pricetype2=2,MAX(F79,0),IF(OR(Pricetype2=1,Pricetype2=4),IF(F79=0,0,(EURO(F79,Strikeprice2,0,0,($AK79+IF(Smile=TRUE(),VLOOKUP(MAX(-5,Strikeprice2-F79),Volsmile,2),0)),($A79-DateToday)+15,IF(Pricetype2=1,1,0),0))),F79)))</f>
        <v> </v>
      </c>
      <c r="P79" s="318" t="str">
        <f aca="false">IF($A79="N/A"," ",IF(Pricetype2=2,MAX(G79,0),IF(OR(Pricetype2=1,Pricetype2=4),IF(G79=0,0,(EURO(G79,Strikeprice2,0,0,($AK79+IF(Smile=TRUE(),VLOOKUP(MAX(-5,Strikeprice2-G79),Volsmile,2),0)),($A79-DateToday)+15,IF(Pricetype2=1,1,0),0))),G79)))</f>
        <v> </v>
      </c>
      <c r="Q79" s="318" t="str">
        <f aca="false">IF($A79="N/A"," ",IF(Pricetype2=2,MAX(H79,0),IF(OR(Pricetype2=1,Pricetype2=4),IF(H79=0,0,(EURO(H79,Strikeprice2,0,0,($AK79+IF(Smile=TRUE(),VLOOKUP(MAX(-5,Strikeprice2-H79),Volsmile,2),0)),($A79-DateToday)+15,IF(Pricetype2=1,1,0),0))),H79)))</f>
        <v> </v>
      </c>
      <c r="R79" s="318" t="str">
        <f aca="false">IF($A79="N/A"," ",IF(Pricetype2=2,MAX(I79,0),IF(OR(Pricetype2=1,Pricetype2=4),IF(I79=0,0,(EURO(I79,Strikeprice2,0,0,($AK79+IF(Smile=TRUE(),VLOOKUP(MAX(-5,Strikeprice2-I79),Volsmile,2),0)),($A79-DateToday)+15,IF(Pricetype2=1,1,0),0))),I79)))</f>
        <v> </v>
      </c>
      <c r="S79" s="318" t="str">
        <f aca="false">IF($A79="N/A"," ",IF(Pricetype2=2,MAX(J79,0),IF(OR(Pricetype2=1,Pricetype2=4),IF(J79=0,0,(EURO(J79,Strikeprice2,0,0,($AK79+IF(Smile=TRUE(),VLOOKUP(MAX(-5,Strikeprice2-J79),Volsmile,2),0)),($A79-DateToday)+15,IF(Pricetype2=1,1,0),0))),J79)))</f>
        <v> </v>
      </c>
      <c r="T79" s="318" t="str">
        <f aca="false">IF($A79="N/A"," ",IF(Pricetype2=2,MAX(K79,0),IF(OR(Pricetype2=1,Pricetype2=4),IF(K79=0,0,(EURO(K79,Strikeprice2,0,0,($AK79+IF(Smile=TRUE(),VLOOKUP(MAX(-5,Strikeprice2-K79),Volsmile,2),0)),($A79-DateToday)+15,IF(Pricetype2=1,1,0),0))),K79)))</f>
        <v> </v>
      </c>
      <c r="U79" s="319" t="str">
        <f aca="false">IF($A79="N/A"," ",Volume2*$AM79)</f>
        <v> </v>
      </c>
      <c r="V79" s="320" t="str">
        <f aca="false">IF($A79="N/A"," ",$U79*(8*($BQ79))*L79)</f>
        <v> </v>
      </c>
      <c r="W79" s="320" t="str">
        <f aca="false">IF($A79="N/A"," ",$U79*(8*($BQ79))*M79)</f>
        <v> </v>
      </c>
      <c r="X79" s="320" t="str">
        <f aca="false">IF($A79="N/A"," ",$U79*(8*($BQ79))*N79)</f>
        <v> </v>
      </c>
      <c r="Y79" s="320" t="str">
        <f aca="false">IF($A79="N/A"," ",$U79*(8*($BR79))*O79)</f>
        <v> </v>
      </c>
      <c r="Z79" s="320" t="str">
        <f aca="false">IF($A79="N/A"," ",$U79*(8*($BR79))*P79)</f>
        <v> </v>
      </c>
      <c r="AA79" s="320" t="str">
        <f aca="false">IF($A79="N/A"," ",$U79*(8*($BR79))*Q79)</f>
        <v> </v>
      </c>
      <c r="AB79" s="320" t="str">
        <f aca="false">IF($A79="N/A"," ",$U79*(8*($BS79))*R79)</f>
        <v> </v>
      </c>
      <c r="AC79" s="320" t="str">
        <f aca="false">IF($A79="N/A"," ",$U79*(8*($BS79))*S79)</f>
        <v> </v>
      </c>
      <c r="AD79" s="320" t="str">
        <f aca="false">IF($A79="N/A"," ",$U79*(8*($BS79))*T79)</f>
        <v> </v>
      </c>
      <c r="AE79" s="320" t="str">
        <f aca="false">IF($A79="N/A"," ",SUM(V79:AD79))</f>
        <v> </v>
      </c>
      <c r="AF79" s="321" t="str">
        <f aca="false">IF(A79="N/A"," ",(VLOOKUP(A79,PowerVolTable,(IF(VolBMO2=2,7,IF(VolBMO2=1,6,8))),FALSE())))</f>
        <v> </v>
      </c>
      <c r="AG79" s="321" t="str">
        <f aca="false">IF(A79="N/A"," ",(VLOOKUP(A79,IntraPowerVol,(IF(VolBMO2=2,3,IF(VolBMO2=1,2,4))),FALSE())*VLOOKUP(MONTH($A79),Volscale,2)))</f>
        <v> </v>
      </c>
      <c r="AH79" s="321" t="str">
        <f aca="false">IF($A79="N/A"," ",IF(VolType2=1,AG79,AF79))</f>
        <v> </v>
      </c>
      <c r="AI79" s="321" t="str">
        <f aca="false">IF($A79="N/A"," ",(VLOOKUP($A79,OffPwrVolTable,(IF(VolBMO2=2,7,IF(VolBMO2=1,6,8))),FALSE())))</f>
        <v> </v>
      </c>
      <c r="AJ79" s="321" t="str">
        <f aca="false">IF($A79="N/A"," ",(VLOOKUP($A79,OffPwrVolTable,(IF(VolBMO2=2,3,IF(VolBMO2=1,2,4))),FALSE())*VLOOKUP(MONTH($A79),Volscale,2)))</f>
        <v> </v>
      </c>
      <c r="AK79" s="321" t="str">
        <f aca="false">IF($A79="N/A"," ",IF(VolType2=1,AJ79,AI79))</f>
        <v> </v>
      </c>
      <c r="AL79" s="321" t="str">
        <f aca="false">IF($A79="N/A"," ",IF(PV=1,0,'Pricing Inputs2'!R112))</f>
        <v> </v>
      </c>
      <c r="AM79" s="323" t="str">
        <f aca="false">IF($A79="N/A"," ",(1+AL79/2)^(-2*((EOMONTH(A79,0)+20)-DateToday)/365.25))</f>
        <v> </v>
      </c>
      <c r="BQ79" s="0" t="str">
        <f aca="false">IF($A79="N/A"," ",(VLOOKUP($A79,NumberofDaysTable,2)))</f>
        <v> </v>
      </c>
      <c r="BR79" s="0" t="str">
        <f aca="false">IF($A79="N/A"," ",(VLOOKUP($A79,NumberofDaysTable,3)))</f>
        <v> </v>
      </c>
      <c r="BS79" s="0" t="str">
        <f aca="false">IF($A79="N/A"," ",(VLOOKUP($A79,NumberofDaysTable,4)))</f>
        <v> </v>
      </c>
    </row>
    <row r="80" customFormat="false" ht="12.75" hidden="false" customHeight="false" outlineLevel="0" collapsed="false">
      <c r="A80" s="315" t="str">
        <f aca="false">IF(A79="N/A","N/A",IF(EDATE(A79,1)&gt;Inputs!$P$5,"N/A",EDATE(A79,1)))</f>
        <v>N/A</v>
      </c>
      <c r="B80" s="316" t="str">
        <f aca="false">IF(A80="N/A"," ",YEAR(A80))</f>
        <v> </v>
      </c>
      <c r="C80" s="317" t="str">
        <f aca="false">IF($A80="N/A"," ",IF(Dayrun2=10,0,IF(Scaler2=1,(VLOOKUP(A80,ScaledPrice2,4)),(VLOOKUP(A80,ScaledPrice2,2)))))</f>
        <v> </v>
      </c>
      <c r="D80" s="317" t="str">
        <f aca="false">IF(A80="N/A"," ",IF(Dayrun2&gt;=7,0,IF(Scaler2=2,VLOOKUP(A80,ScaledPrice2,2),(VLOOKUP(A80,ScaledPrice2,2))*(2-(VLOOKUP(A80,ScaledPrice2,3))))))</f>
        <v> </v>
      </c>
      <c r="E80" s="317" t="str">
        <f aca="false">IF($A80="N/A"," ",IF(AND(Dayrun2&gt;=4,Dayrun2&lt;=9),0,VLOOKUP($A80,ScaledPrice2,9)))</f>
        <v> </v>
      </c>
      <c r="F80" s="317" t="str">
        <f aca="false">IF(A80="N/A"," ",IF(OR(Dayrun2=2,Dayrun2=3,Dayrun2=5,Dayrun2=6,Dayrun2=8,Dayrun2=9),VLOOKUP(A80,ScaledPrice2,IF(Scaler2=1,6,5)),0))</f>
        <v> </v>
      </c>
      <c r="G80" s="317" t="str">
        <f aca="false">IF(A80="N/A"," ",IF(OR(Dayrun2=2,Dayrun2=3,Dayrun2=5,Dayrun2=6),IF(Scaler2=2,F80,(VLOOKUP(A80,ScaledPrice2,5))*(2-(VLOOKUP(A80,ScaledPrice2,3)))),0))</f>
        <v> </v>
      </c>
      <c r="H80" s="317" t="str">
        <f aca="false">IF($A80="N/A"," ",IF(OR(Dayrun2=2,Dayrun2=3,Dayrun2=10),VLOOKUP($A80,ScaledPrice2,9),0))</f>
        <v> </v>
      </c>
      <c r="I80" s="317" t="str">
        <f aca="false">IF(A80="N/A"," ",IF(OR(Dayrun2=3,Dayrun2=6,Dayrun2=9),(VLOOKUP(A80,ScaledPrice2,IF(Scaler2=2,7,8))),0))</f>
        <v> </v>
      </c>
      <c r="J80" s="317" t="str">
        <f aca="false">IF(A80="N/A"," ",IF(OR(Dayrun2=3,Dayrun2=6),IF(Scaler2=2,I80,(VLOOKUP(A80,ScaledPrice2,7))*(2-(VLOOKUP(A80,ScaledPrice2,3)))),0))</f>
        <v> </v>
      </c>
      <c r="K80" s="317" t="str">
        <f aca="false">IF($A80="N/A"," ",IF(OR(Dayrun2=3,Dayrun2=10),VLOOKUP($A80,ScaledPrice2,9),0))</f>
        <v> </v>
      </c>
      <c r="L80" s="318" t="str">
        <f aca="false">IF($A80="N/A"," ",IF(Pricetype2=2,MAX(C80,0),IF(OR(Pricetype2=1,Pricetype2=4),IF(C80=0,0,(EURO(C80,Strikeprice2,0,0,($AH80+IF(Smile=TRUE(),VLOOKUP(MAX(-5,Strikeprice2-C80),Volsmile,2),0)),($A80-DateToday)+15,IF(Pricetype2=1,1,0),0))),C80)))</f>
        <v> </v>
      </c>
      <c r="M80" s="318" t="str">
        <f aca="false">IF($A80="N/A"," ",IF(Pricetype2=2,MAX(D80,0),IF(OR(Pricetype2=1,Pricetype2=4),IF(D80=0,0,(EURO(D80,Strikeprice2,0,0,($AH80+IF(Smile=TRUE(),VLOOKUP(MAX(-5,Strikeprice2-D80),Volsmile,2),0)),($A80-DateToday)+15,IF(Pricetype2=1,1,0),0))),D80)))</f>
        <v> </v>
      </c>
      <c r="N80" s="318" t="str">
        <f aca="false">IF($A80="N/A"," ",IF(Pricetype2=2,MAX(E80,0),IF(OR(Pricetype2=1,Pricetype2=4),IF(E80=0,0,(EURO(E80,Strikeprice2,0,0,($AK80+IF(Smile=TRUE(),VLOOKUP(MAX(-5,Strikeprice2-E80),Volsmile,2),0)),($A80-DateToday)+15,IF(Pricetype2=1,1,0),0))),E80)))</f>
        <v> </v>
      </c>
      <c r="O80" s="318" t="str">
        <f aca="false">IF($A80="N/A"," ",IF(Pricetype2=2,MAX(F80,0),IF(OR(Pricetype2=1,Pricetype2=4),IF(F80=0,0,(EURO(F80,Strikeprice2,0,0,($AK80+IF(Smile=TRUE(),VLOOKUP(MAX(-5,Strikeprice2-F80),Volsmile,2),0)),($A80-DateToday)+15,IF(Pricetype2=1,1,0),0))),F80)))</f>
        <v> </v>
      </c>
      <c r="P80" s="318" t="str">
        <f aca="false">IF($A80="N/A"," ",IF(Pricetype2=2,MAX(G80,0),IF(OR(Pricetype2=1,Pricetype2=4),IF(G80=0,0,(EURO(G80,Strikeprice2,0,0,($AK80+IF(Smile=TRUE(),VLOOKUP(MAX(-5,Strikeprice2-G80),Volsmile,2),0)),($A80-DateToday)+15,IF(Pricetype2=1,1,0),0))),G80)))</f>
        <v> </v>
      </c>
      <c r="Q80" s="318" t="str">
        <f aca="false">IF($A80="N/A"," ",IF(Pricetype2=2,MAX(H80,0),IF(OR(Pricetype2=1,Pricetype2=4),IF(H80=0,0,(EURO(H80,Strikeprice2,0,0,($AK80+IF(Smile=TRUE(),VLOOKUP(MAX(-5,Strikeprice2-H80),Volsmile,2),0)),($A80-DateToday)+15,IF(Pricetype2=1,1,0),0))),H80)))</f>
        <v> </v>
      </c>
      <c r="R80" s="318" t="str">
        <f aca="false">IF($A80="N/A"," ",IF(Pricetype2=2,MAX(I80,0),IF(OR(Pricetype2=1,Pricetype2=4),IF(I80=0,0,(EURO(I80,Strikeprice2,0,0,($AK80+IF(Smile=TRUE(),VLOOKUP(MAX(-5,Strikeprice2-I80),Volsmile,2),0)),($A80-DateToday)+15,IF(Pricetype2=1,1,0),0))),I80)))</f>
        <v> </v>
      </c>
      <c r="S80" s="318" t="str">
        <f aca="false">IF($A80="N/A"," ",IF(Pricetype2=2,MAX(J80,0),IF(OR(Pricetype2=1,Pricetype2=4),IF(J80=0,0,(EURO(J80,Strikeprice2,0,0,($AK80+IF(Smile=TRUE(),VLOOKUP(MAX(-5,Strikeprice2-J80),Volsmile,2),0)),($A80-DateToday)+15,IF(Pricetype2=1,1,0),0))),J80)))</f>
        <v> </v>
      </c>
      <c r="T80" s="318" t="str">
        <f aca="false">IF($A80="N/A"," ",IF(Pricetype2=2,MAX(K80,0),IF(OR(Pricetype2=1,Pricetype2=4),IF(K80=0,0,(EURO(K80,Strikeprice2,0,0,($AK80+IF(Smile=TRUE(),VLOOKUP(MAX(-5,Strikeprice2-K80),Volsmile,2),0)),($A80-DateToday)+15,IF(Pricetype2=1,1,0),0))),K80)))</f>
        <v> </v>
      </c>
      <c r="U80" s="319" t="str">
        <f aca="false">IF($A80="N/A"," ",Volume2*$AM80)</f>
        <v> </v>
      </c>
      <c r="V80" s="320" t="str">
        <f aca="false">IF($A80="N/A"," ",$U80*(8*($BQ80))*L80)</f>
        <v> </v>
      </c>
      <c r="W80" s="320" t="str">
        <f aca="false">IF($A80="N/A"," ",$U80*(8*($BQ80))*M80)</f>
        <v> </v>
      </c>
      <c r="X80" s="320" t="str">
        <f aca="false">IF($A80="N/A"," ",$U80*(8*($BQ80))*N80)</f>
        <v> </v>
      </c>
      <c r="Y80" s="320" t="str">
        <f aca="false">IF($A80="N/A"," ",$U80*(8*($BR80))*O80)</f>
        <v> </v>
      </c>
      <c r="Z80" s="320" t="str">
        <f aca="false">IF($A80="N/A"," ",$U80*(8*($BR80))*P80)</f>
        <v> </v>
      </c>
      <c r="AA80" s="320" t="str">
        <f aca="false">IF($A80="N/A"," ",$U80*(8*($BR80))*Q80)</f>
        <v> </v>
      </c>
      <c r="AB80" s="320" t="str">
        <f aca="false">IF($A80="N/A"," ",$U80*(8*($BS80))*R80)</f>
        <v> </v>
      </c>
      <c r="AC80" s="320" t="str">
        <f aca="false">IF($A80="N/A"," ",$U80*(8*($BS80))*S80)</f>
        <v> </v>
      </c>
      <c r="AD80" s="320" t="str">
        <f aca="false">IF($A80="N/A"," ",$U80*(8*($BS80))*T80)</f>
        <v> </v>
      </c>
      <c r="AE80" s="320" t="str">
        <f aca="false">IF($A80="N/A"," ",SUM(V80:AD80))</f>
        <v> </v>
      </c>
      <c r="AF80" s="321" t="str">
        <f aca="false">IF(A80="N/A"," ",(VLOOKUP(A80,PowerVolTable,(IF(VolBMO2=2,7,IF(VolBMO2=1,6,8))),FALSE())))</f>
        <v> </v>
      </c>
      <c r="AG80" s="321" t="str">
        <f aca="false">IF(A80="N/A"," ",(VLOOKUP(A80,IntraPowerVol,(IF(VolBMO2=2,3,IF(VolBMO2=1,2,4))),FALSE())*VLOOKUP(MONTH($A80),Volscale,2)))</f>
        <v> </v>
      </c>
      <c r="AH80" s="321" t="str">
        <f aca="false">IF($A80="N/A"," ",IF(VolType2=1,AG80,AF80))</f>
        <v> </v>
      </c>
      <c r="AI80" s="321" t="str">
        <f aca="false">IF($A80="N/A"," ",(VLOOKUP($A80,OffPwrVolTable,(IF(VolBMO2=2,7,IF(VolBMO2=1,6,8))),FALSE())))</f>
        <v> </v>
      </c>
      <c r="AJ80" s="321" t="str">
        <f aca="false">IF($A80="N/A"," ",(VLOOKUP($A80,OffPwrVolTable,(IF(VolBMO2=2,3,IF(VolBMO2=1,2,4))),FALSE())*VLOOKUP(MONTH($A80),Volscale,2)))</f>
        <v> </v>
      </c>
      <c r="AK80" s="321" t="str">
        <f aca="false">IF($A80="N/A"," ",IF(VolType2=1,AJ80,AI80))</f>
        <v> </v>
      </c>
      <c r="AL80" s="321" t="str">
        <f aca="false">IF($A80="N/A"," ",IF(PV=1,0,'Pricing Inputs2'!R113))</f>
        <v> </v>
      </c>
      <c r="AM80" s="323" t="str">
        <f aca="false">IF($A80="N/A"," ",(1+AL80/2)^(-2*((EOMONTH(A80,0)+20)-DateToday)/365.25))</f>
        <v> </v>
      </c>
      <c r="BQ80" s="0" t="str">
        <f aca="false">IF($A80="N/A"," ",(VLOOKUP($A80,NumberofDaysTable,2)))</f>
        <v> </v>
      </c>
      <c r="BR80" s="0" t="str">
        <f aca="false">IF($A80="N/A"," ",(VLOOKUP($A80,NumberofDaysTable,3)))</f>
        <v> </v>
      </c>
      <c r="BS80" s="0" t="str">
        <f aca="false">IF($A80="N/A"," ",(VLOOKUP($A80,NumberofDaysTable,4)))</f>
        <v> </v>
      </c>
    </row>
    <row r="81" customFormat="false" ht="12.75" hidden="false" customHeight="false" outlineLevel="0" collapsed="false">
      <c r="A81" s="315" t="str">
        <f aca="false">IF(A80="N/A","N/A",IF(EDATE(A80,1)&gt;Inputs!$P$5,"N/A",EDATE(A80,1)))</f>
        <v>N/A</v>
      </c>
      <c r="B81" s="316" t="str">
        <f aca="false">IF(A81="N/A"," ",YEAR(A81))</f>
        <v> </v>
      </c>
      <c r="C81" s="317" t="str">
        <f aca="false">IF($A81="N/A"," ",IF(Dayrun2=10,0,IF(Scaler2=1,(VLOOKUP(A81,ScaledPrice2,4)),(VLOOKUP(A81,ScaledPrice2,2)))))</f>
        <v> </v>
      </c>
      <c r="D81" s="317" t="str">
        <f aca="false">IF(A81="N/A"," ",IF(Dayrun2&gt;=7,0,IF(Scaler2=2,VLOOKUP(A81,ScaledPrice2,2),(VLOOKUP(A81,ScaledPrice2,2))*(2-(VLOOKUP(A81,ScaledPrice2,3))))))</f>
        <v> </v>
      </c>
      <c r="E81" s="317" t="str">
        <f aca="false">IF($A81="N/A"," ",IF(AND(Dayrun2&gt;=4,Dayrun2&lt;=9),0,VLOOKUP($A81,ScaledPrice2,9)))</f>
        <v> </v>
      </c>
      <c r="F81" s="317" t="str">
        <f aca="false">IF(A81="N/A"," ",IF(OR(Dayrun2=2,Dayrun2=3,Dayrun2=5,Dayrun2=6,Dayrun2=8,Dayrun2=9),VLOOKUP(A81,ScaledPrice2,IF(Scaler2=1,6,5)),0))</f>
        <v> </v>
      </c>
      <c r="G81" s="317" t="str">
        <f aca="false">IF(A81="N/A"," ",IF(OR(Dayrun2=2,Dayrun2=3,Dayrun2=5,Dayrun2=6),IF(Scaler2=2,F81,(VLOOKUP(A81,ScaledPrice2,5))*(2-(VLOOKUP(A81,ScaledPrice2,3)))),0))</f>
        <v> </v>
      </c>
      <c r="H81" s="317" t="str">
        <f aca="false">IF($A81="N/A"," ",IF(OR(Dayrun2=2,Dayrun2=3,Dayrun2=10),VLOOKUP($A81,ScaledPrice2,9),0))</f>
        <v> </v>
      </c>
      <c r="I81" s="317" t="str">
        <f aca="false">IF(A81="N/A"," ",IF(OR(Dayrun2=3,Dayrun2=6,Dayrun2=9),(VLOOKUP(A81,ScaledPrice2,IF(Scaler2=2,7,8))),0))</f>
        <v> </v>
      </c>
      <c r="J81" s="317" t="str">
        <f aca="false">IF(A81="N/A"," ",IF(OR(Dayrun2=3,Dayrun2=6),IF(Scaler2=2,I81,(VLOOKUP(A81,ScaledPrice2,7))*(2-(VLOOKUP(A81,ScaledPrice2,3)))),0))</f>
        <v> </v>
      </c>
      <c r="K81" s="317" t="str">
        <f aca="false">IF($A81="N/A"," ",IF(OR(Dayrun2=3,Dayrun2=10),VLOOKUP($A81,ScaledPrice2,9),0))</f>
        <v> </v>
      </c>
      <c r="L81" s="318" t="str">
        <f aca="false">IF($A81="N/A"," ",IF(Pricetype2=2,MAX(C81,0),IF(OR(Pricetype2=1,Pricetype2=4),IF(C81=0,0,(EURO(C81,Strikeprice2,0,0,($AH81+IF(Smile=TRUE(),VLOOKUP(MAX(-5,Strikeprice2-C81),Volsmile,2),0)),($A81-DateToday)+15,IF(Pricetype2=1,1,0),0))),C81)))</f>
        <v> </v>
      </c>
      <c r="M81" s="318" t="str">
        <f aca="false">IF($A81="N/A"," ",IF(Pricetype2=2,MAX(D81,0),IF(OR(Pricetype2=1,Pricetype2=4),IF(D81=0,0,(EURO(D81,Strikeprice2,0,0,($AH81+IF(Smile=TRUE(),VLOOKUP(MAX(-5,Strikeprice2-D81),Volsmile,2),0)),($A81-DateToday)+15,IF(Pricetype2=1,1,0),0))),D81)))</f>
        <v> </v>
      </c>
      <c r="N81" s="318" t="str">
        <f aca="false">IF($A81="N/A"," ",IF(Pricetype2=2,MAX(E81,0),IF(OR(Pricetype2=1,Pricetype2=4),IF(E81=0,0,(EURO(E81,Strikeprice2,0,0,($AK81+IF(Smile=TRUE(),VLOOKUP(MAX(-5,Strikeprice2-E81),Volsmile,2),0)),($A81-DateToday)+15,IF(Pricetype2=1,1,0),0))),E81)))</f>
        <v> </v>
      </c>
      <c r="O81" s="318" t="str">
        <f aca="false">IF($A81="N/A"," ",IF(Pricetype2=2,MAX(F81,0),IF(OR(Pricetype2=1,Pricetype2=4),IF(F81=0,0,(EURO(F81,Strikeprice2,0,0,($AK81+IF(Smile=TRUE(),VLOOKUP(MAX(-5,Strikeprice2-F81),Volsmile,2),0)),($A81-DateToday)+15,IF(Pricetype2=1,1,0),0))),F81)))</f>
        <v> </v>
      </c>
      <c r="P81" s="318" t="str">
        <f aca="false">IF($A81="N/A"," ",IF(Pricetype2=2,MAX(G81,0),IF(OR(Pricetype2=1,Pricetype2=4),IF(G81=0,0,(EURO(G81,Strikeprice2,0,0,($AK81+IF(Smile=TRUE(),VLOOKUP(MAX(-5,Strikeprice2-G81),Volsmile,2),0)),($A81-DateToday)+15,IF(Pricetype2=1,1,0),0))),G81)))</f>
        <v> </v>
      </c>
      <c r="Q81" s="318" t="str">
        <f aca="false">IF($A81="N/A"," ",IF(Pricetype2=2,MAX(H81,0),IF(OR(Pricetype2=1,Pricetype2=4),IF(H81=0,0,(EURO(H81,Strikeprice2,0,0,($AK81+IF(Smile=TRUE(),VLOOKUP(MAX(-5,Strikeprice2-H81),Volsmile,2),0)),($A81-DateToday)+15,IF(Pricetype2=1,1,0),0))),H81)))</f>
        <v> </v>
      </c>
      <c r="R81" s="318" t="str">
        <f aca="false">IF($A81="N/A"," ",IF(Pricetype2=2,MAX(I81,0),IF(OR(Pricetype2=1,Pricetype2=4),IF(I81=0,0,(EURO(I81,Strikeprice2,0,0,($AK81+IF(Smile=TRUE(),VLOOKUP(MAX(-5,Strikeprice2-I81),Volsmile,2),0)),($A81-DateToday)+15,IF(Pricetype2=1,1,0),0))),I81)))</f>
        <v> </v>
      </c>
      <c r="S81" s="318" t="str">
        <f aca="false">IF($A81="N/A"," ",IF(Pricetype2=2,MAX(J81,0),IF(OR(Pricetype2=1,Pricetype2=4),IF(J81=0,0,(EURO(J81,Strikeprice2,0,0,($AK81+IF(Smile=TRUE(),VLOOKUP(MAX(-5,Strikeprice2-J81),Volsmile,2),0)),($A81-DateToday)+15,IF(Pricetype2=1,1,0),0))),J81)))</f>
        <v> </v>
      </c>
      <c r="T81" s="318" t="str">
        <f aca="false">IF($A81="N/A"," ",IF(Pricetype2=2,MAX(K81,0),IF(OR(Pricetype2=1,Pricetype2=4),IF(K81=0,0,(EURO(K81,Strikeprice2,0,0,($AK81+IF(Smile=TRUE(),VLOOKUP(MAX(-5,Strikeprice2-K81),Volsmile,2),0)),($A81-DateToday)+15,IF(Pricetype2=1,1,0),0))),K81)))</f>
        <v> </v>
      </c>
      <c r="U81" s="319" t="str">
        <f aca="false">IF($A81="N/A"," ",Volume2*$AM81)</f>
        <v> </v>
      </c>
      <c r="V81" s="320" t="str">
        <f aca="false">IF($A81="N/A"," ",$U81*(8*($BQ81))*L81)</f>
        <v> </v>
      </c>
      <c r="W81" s="320" t="str">
        <f aca="false">IF($A81="N/A"," ",$U81*(8*($BQ81))*M81)</f>
        <v> </v>
      </c>
      <c r="X81" s="320" t="str">
        <f aca="false">IF($A81="N/A"," ",$U81*(8*($BQ81))*N81)</f>
        <v> </v>
      </c>
      <c r="Y81" s="320" t="str">
        <f aca="false">IF($A81="N/A"," ",$U81*(8*($BR81))*O81)</f>
        <v> </v>
      </c>
      <c r="Z81" s="320" t="str">
        <f aca="false">IF($A81="N/A"," ",$U81*(8*($BR81))*P81)</f>
        <v> </v>
      </c>
      <c r="AA81" s="320" t="str">
        <f aca="false">IF($A81="N/A"," ",$U81*(8*($BR81))*Q81)</f>
        <v> </v>
      </c>
      <c r="AB81" s="320" t="str">
        <f aca="false">IF($A81="N/A"," ",$U81*(8*($BS81))*R81)</f>
        <v> </v>
      </c>
      <c r="AC81" s="320" t="str">
        <f aca="false">IF($A81="N/A"," ",$U81*(8*($BS81))*S81)</f>
        <v> </v>
      </c>
      <c r="AD81" s="320" t="str">
        <f aca="false">IF($A81="N/A"," ",$U81*(8*($BS81))*T81)</f>
        <v> </v>
      </c>
      <c r="AE81" s="320" t="str">
        <f aca="false">IF($A81="N/A"," ",SUM(V81:AD81))</f>
        <v> </v>
      </c>
      <c r="AF81" s="321" t="str">
        <f aca="false">IF(A81="N/A"," ",(VLOOKUP(A81,PowerVolTable,(IF(VolBMO2=2,7,IF(VolBMO2=1,6,8))),FALSE())))</f>
        <v> </v>
      </c>
      <c r="AG81" s="321" t="str">
        <f aca="false">IF(A81="N/A"," ",(VLOOKUP(A81,IntraPowerVol,(IF(VolBMO2=2,3,IF(VolBMO2=1,2,4))),FALSE())*VLOOKUP(MONTH($A81),Volscale,2)))</f>
        <v> </v>
      </c>
      <c r="AH81" s="321" t="str">
        <f aca="false">IF($A81="N/A"," ",IF(VolType2=1,AG81,AF81))</f>
        <v> </v>
      </c>
      <c r="AI81" s="321" t="str">
        <f aca="false">IF($A81="N/A"," ",(VLOOKUP($A81,OffPwrVolTable,(IF(VolBMO2=2,7,IF(VolBMO2=1,6,8))),FALSE())))</f>
        <v> </v>
      </c>
      <c r="AJ81" s="321" t="str">
        <f aca="false">IF($A81="N/A"," ",(VLOOKUP($A81,OffPwrVolTable,(IF(VolBMO2=2,3,IF(VolBMO2=1,2,4))),FALSE())*VLOOKUP(MONTH($A81),Volscale,2)))</f>
        <v> </v>
      </c>
      <c r="AK81" s="321" t="str">
        <f aca="false">IF($A81="N/A"," ",IF(VolType2=1,AJ81,AI81))</f>
        <v> </v>
      </c>
      <c r="AL81" s="321" t="str">
        <f aca="false">IF($A81="N/A"," ",IF(PV=1,0,'Pricing Inputs2'!R114))</f>
        <v> </v>
      </c>
      <c r="AM81" s="323" t="str">
        <f aca="false">IF($A81="N/A"," ",(1+AL81/2)^(-2*((EOMONTH(A81,0)+20)-DateToday)/365.25))</f>
        <v> </v>
      </c>
      <c r="BQ81" s="0" t="str">
        <f aca="false">IF($A81="N/A"," ",(VLOOKUP($A81,NumberofDaysTable,2)))</f>
        <v> </v>
      </c>
      <c r="BR81" s="0" t="str">
        <f aca="false">IF($A81="N/A"," ",(VLOOKUP($A81,NumberofDaysTable,3)))</f>
        <v> </v>
      </c>
      <c r="BS81" s="0" t="str">
        <f aca="false">IF($A81="N/A"," ",(VLOOKUP($A81,NumberofDaysTable,4)))</f>
        <v> </v>
      </c>
    </row>
    <row r="82" customFormat="false" ht="12.75" hidden="false" customHeight="false" outlineLevel="0" collapsed="false">
      <c r="A82" s="315" t="str">
        <f aca="false">IF(A81="N/A","N/A",IF(EDATE(A81,1)&gt;Inputs!$P$5,"N/A",EDATE(A81,1)))</f>
        <v>N/A</v>
      </c>
      <c r="B82" s="316" t="str">
        <f aca="false">IF(A82="N/A"," ",YEAR(A82))</f>
        <v> </v>
      </c>
      <c r="C82" s="317" t="str">
        <f aca="false">IF($A82="N/A"," ",IF(Dayrun2=10,0,IF(Scaler2=1,(VLOOKUP(A82,ScaledPrice2,4)),(VLOOKUP(A82,ScaledPrice2,2)))))</f>
        <v> </v>
      </c>
      <c r="D82" s="317" t="str">
        <f aca="false">IF(A82="N/A"," ",IF(Dayrun2&gt;=7,0,IF(Scaler2=2,VLOOKUP(A82,ScaledPrice2,2),(VLOOKUP(A82,ScaledPrice2,2))*(2-(VLOOKUP(A82,ScaledPrice2,3))))))</f>
        <v> </v>
      </c>
      <c r="E82" s="317" t="str">
        <f aca="false">IF($A82="N/A"," ",IF(AND(Dayrun2&gt;=4,Dayrun2&lt;=9),0,VLOOKUP($A82,ScaledPrice2,9)))</f>
        <v> </v>
      </c>
      <c r="F82" s="317" t="str">
        <f aca="false">IF(A82="N/A"," ",IF(OR(Dayrun2=2,Dayrun2=3,Dayrun2=5,Dayrun2=6,Dayrun2=8,Dayrun2=9),VLOOKUP(A82,ScaledPrice2,IF(Scaler2=1,6,5)),0))</f>
        <v> </v>
      </c>
      <c r="G82" s="317" t="str">
        <f aca="false">IF(A82="N/A"," ",IF(OR(Dayrun2=2,Dayrun2=3,Dayrun2=5,Dayrun2=6),IF(Scaler2=2,F82,(VLOOKUP(A82,ScaledPrice2,5))*(2-(VLOOKUP(A82,ScaledPrice2,3)))),0))</f>
        <v> </v>
      </c>
      <c r="H82" s="317" t="str">
        <f aca="false">IF($A82="N/A"," ",IF(OR(Dayrun2=2,Dayrun2=3,Dayrun2=10),VLOOKUP($A82,ScaledPrice2,9),0))</f>
        <v> </v>
      </c>
      <c r="I82" s="317" t="str">
        <f aca="false">IF(A82="N/A"," ",IF(OR(Dayrun2=3,Dayrun2=6,Dayrun2=9),(VLOOKUP(A82,ScaledPrice2,IF(Scaler2=2,7,8))),0))</f>
        <v> </v>
      </c>
      <c r="J82" s="317" t="str">
        <f aca="false">IF(A82="N/A"," ",IF(OR(Dayrun2=3,Dayrun2=6),IF(Scaler2=2,I82,(VLOOKUP(A82,ScaledPrice2,7))*(2-(VLOOKUP(A82,ScaledPrice2,3)))),0))</f>
        <v> </v>
      </c>
      <c r="K82" s="317" t="str">
        <f aca="false">IF($A82="N/A"," ",IF(OR(Dayrun2=3,Dayrun2=10),VLOOKUP($A82,ScaledPrice2,9),0))</f>
        <v> </v>
      </c>
      <c r="L82" s="318" t="str">
        <f aca="false">IF($A82="N/A"," ",IF(Pricetype2=2,MAX(C82,0),IF(OR(Pricetype2=1,Pricetype2=4),IF(C82=0,0,(EURO(C82,Strikeprice2,0,0,($AH82+IF(Smile=TRUE(),VLOOKUP(MAX(-5,Strikeprice2-C82),Volsmile,2),0)),($A82-DateToday)+15,IF(Pricetype2=1,1,0),0))),C82)))</f>
        <v> </v>
      </c>
      <c r="M82" s="318" t="str">
        <f aca="false">IF($A82="N/A"," ",IF(Pricetype2=2,MAX(D82,0),IF(OR(Pricetype2=1,Pricetype2=4),IF(D82=0,0,(EURO(D82,Strikeprice2,0,0,($AH82+IF(Smile=TRUE(),VLOOKUP(MAX(-5,Strikeprice2-D82),Volsmile,2),0)),($A82-DateToday)+15,IF(Pricetype2=1,1,0),0))),D82)))</f>
        <v> </v>
      </c>
      <c r="N82" s="318" t="str">
        <f aca="false">IF($A82="N/A"," ",IF(Pricetype2=2,MAX(E82,0),IF(OR(Pricetype2=1,Pricetype2=4),IF(E82=0,0,(EURO(E82,Strikeprice2,0,0,($AK82+IF(Smile=TRUE(),VLOOKUP(MAX(-5,Strikeprice2-E82),Volsmile,2),0)),($A82-DateToday)+15,IF(Pricetype2=1,1,0),0))),E82)))</f>
        <v> </v>
      </c>
      <c r="O82" s="318" t="str">
        <f aca="false">IF($A82="N/A"," ",IF(Pricetype2=2,MAX(F82,0),IF(OR(Pricetype2=1,Pricetype2=4),IF(F82=0,0,(EURO(F82,Strikeprice2,0,0,($AK82+IF(Smile=TRUE(),VLOOKUP(MAX(-5,Strikeprice2-F82),Volsmile,2),0)),($A82-DateToday)+15,IF(Pricetype2=1,1,0),0))),F82)))</f>
        <v> </v>
      </c>
      <c r="P82" s="318" t="str">
        <f aca="false">IF($A82="N/A"," ",IF(Pricetype2=2,MAX(G82,0),IF(OR(Pricetype2=1,Pricetype2=4),IF(G82=0,0,(EURO(G82,Strikeprice2,0,0,($AK82+IF(Smile=TRUE(),VLOOKUP(MAX(-5,Strikeprice2-G82),Volsmile,2),0)),($A82-DateToday)+15,IF(Pricetype2=1,1,0),0))),G82)))</f>
        <v> </v>
      </c>
      <c r="Q82" s="318" t="str">
        <f aca="false">IF($A82="N/A"," ",IF(Pricetype2=2,MAX(H82,0),IF(OR(Pricetype2=1,Pricetype2=4),IF(H82=0,0,(EURO(H82,Strikeprice2,0,0,($AK82+IF(Smile=TRUE(),VLOOKUP(MAX(-5,Strikeprice2-H82),Volsmile,2),0)),($A82-DateToday)+15,IF(Pricetype2=1,1,0),0))),H82)))</f>
        <v> </v>
      </c>
      <c r="R82" s="318" t="str">
        <f aca="false">IF($A82="N/A"," ",IF(Pricetype2=2,MAX(I82,0),IF(OR(Pricetype2=1,Pricetype2=4),IF(I82=0,0,(EURO(I82,Strikeprice2,0,0,($AK82+IF(Smile=TRUE(),VLOOKUP(MAX(-5,Strikeprice2-I82),Volsmile,2),0)),($A82-DateToday)+15,IF(Pricetype2=1,1,0),0))),I82)))</f>
        <v> </v>
      </c>
      <c r="S82" s="318" t="str">
        <f aca="false">IF($A82="N/A"," ",IF(Pricetype2=2,MAX(J82,0),IF(OR(Pricetype2=1,Pricetype2=4),IF(J82=0,0,(EURO(J82,Strikeprice2,0,0,($AK82+IF(Smile=TRUE(),VLOOKUP(MAX(-5,Strikeprice2-J82),Volsmile,2),0)),($A82-DateToday)+15,IF(Pricetype2=1,1,0),0))),J82)))</f>
        <v> </v>
      </c>
      <c r="T82" s="318" t="str">
        <f aca="false">IF($A82="N/A"," ",IF(Pricetype2=2,MAX(K82,0),IF(OR(Pricetype2=1,Pricetype2=4),IF(K82=0,0,(EURO(K82,Strikeprice2,0,0,($AK82+IF(Smile=TRUE(),VLOOKUP(MAX(-5,Strikeprice2-K82),Volsmile,2),0)),($A82-DateToday)+15,IF(Pricetype2=1,1,0),0))),K82)))</f>
        <v> </v>
      </c>
      <c r="U82" s="319" t="str">
        <f aca="false">IF($A82="N/A"," ",Volume2*$AM82)</f>
        <v> </v>
      </c>
      <c r="V82" s="320" t="str">
        <f aca="false">IF($A82="N/A"," ",$U82*(8*($BQ82))*L82)</f>
        <v> </v>
      </c>
      <c r="W82" s="320" t="str">
        <f aca="false">IF($A82="N/A"," ",$U82*(8*($BQ82))*M82)</f>
        <v> </v>
      </c>
      <c r="X82" s="320" t="str">
        <f aca="false">IF($A82="N/A"," ",$U82*(8*($BQ82))*N82)</f>
        <v> </v>
      </c>
      <c r="Y82" s="320" t="str">
        <f aca="false">IF($A82="N/A"," ",$U82*(8*($BR82))*O82)</f>
        <v> </v>
      </c>
      <c r="Z82" s="320" t="str">
        <f aca="false">IF($A82="N/A"," ",$U82*(8*($BR82))*P82)</f>
        <v> </v>
      </c>
      <c r="AA82" s="320" t="str">
        <f aca="false">IF($A82="N/A"," ",$U82*(8*($BR82))*Q82)</f>
        <v> </v>
      </c>
      <c r="AB82" s="320" t="str">
        <f aca="false">IF($A82="N/A"," ",$U82*(8*($BS82))*R82)</f>
        <v> </v>
      </c>
      <c r="AC82" s="320" t="str">
        <f aca="false">IF($A82="N/A"," ",$U82*(8*($BS82))*S82)</f>
        <v> </v>
      </c>
      <c r="AD82" s="320" t="str">
        <f aca="false">IF($A82="N/A"," ",$U82*(8*($BS82))*T82)</f>
        <v> </v>
      </c>
      <c r="AE82" s="320" t="str">
        <f aca="false">IF($A82="N/A"," ",SUM(V82:AD82))</f>
        <v> </v>
      </c>
      <c r="AF82" s="321" t="str">
        <f aca="false">IF(A82="N/A"," ",(VLOOKUP(A82,PowerVolTable,(IF(VolBMO2=2,7,IF(VolBMO2=1,6,8))),FALSE())))</f>
        <v> </v>
      </c>
      <c r="AG82" s="321" t="str">
        <f aca="false">IF(A82="N/A"," ",(VLOOKUP(A82,IntraPowerVol,(IF(VolBMO2=2,3,IF(VolBMO2=1,2,4))),FALSE())*VLOOKUP(MONTH($A82),Volscale,2)))</f>
        <v> </v>
      </c>
      <c r="AH82" s="321" t="str">
        <f aca="false">IF($A82="N/A"," ",IF(VolType2=1,AG82,AF82))</f>
        <v> </v>
      </c>
      <c r="AI82" s="321" t="str">
        <f aca="false">IF($A82="N/A"," ",(VLOOKUP($A82,OffPwrVolTable,(IF(VolBMO2=2,7,IF(VolBMO2=1,6,8))),FALSE())))</f>
        <v> </v>
      </c>
      <c r="AJ82" s="321" t="str">
        <f aca="false">IF($A82="N/A"," ",(VLOOKUP($A82,OffPwrVolTable,(IF(VolBMO2=2,3,IF(VolBMO2=1,2,4))),FALSE())*VLOOKUP(MONTH($A82),Volscale,2)))</f>
        <v> </v>
      </c>
      <c r="AK82" s="321" t="str">
        <f aca="false">IF($A82="N/A"," ",IF(VolType2=1,AJ82,AI82))</f>
        <v> </v>
      </c>
      <c r="AL82" s="321" t="str">
        <f aca="false">IF($A82="N/A"," ",IF(PV=1,0,'Pricing Inputs2'!R115))</f>
        <v> </v>
      </c>
      <c r="AM82" s="323" t="str">
        <f aca="false">IF($A82="N/A"," ",(1+AL82/2)^(-2*((EOMONTH(A82,0)+20)-DateToday)/365.25))</f>
        <v> </v>
      </c>
      <c r="BQ82" s="0" t="str">
        <f aca="false">IF($A82="N/A"," ",(VLOOKUP($A82,NumberofDaysTable,2)))</f>
        <v> </v>
      </c>
      <c r="BR82" s="0" t="str">
        <f aca="false">IF($A82="N/A"," ",(VLOOKUP($A82,NumberofDaysTable,3)))</f>
        <v> </v>
      </c>
      <c r="BS82" s="0" t="str">
        <f aca="false">IF($A82="N/A"," ",(VLOOKUP($A82,NumberofDaysTable,4)))</f>
        <v> </v>
      </c>
    </row>
    <row r="83" customFormat="false" ht="12.75" hidden="false" customHeight="false" outlineLevel="0" collapsed="false">
      <c r="A83" s="315" t="str">
        <f aca="false">IF(A82="N/A","N/A",IF(EDATE(A82,1)&gt;Inputs!$P$5,"N/A",EDATE(A82,1)))</f>
        <v>N/A</v>
      </c>
      <c r="B83" s="316" t="str">
        <f aca="false">IF(A83="N/A"," ",YEAR(A83))</f>
        <v> </v>
      </c>
      <c r="C83" s="317" t="str">
        <f aca="false">IF($A83="N/A"," ",IF(Dayrun2=10,0,IF(Scaler2=1,(VLOOKUP(A83,ScaledPrice2,4)),(VLOOKUP(A83,ScaledPrice2,2)))))</f>
        <v> </v>
      </c>
      <c r="D83" s="317" t="str">
        <f aca="false">IF(A83="N/A"," ",IF(Dayrun2&gt;=7,0,IF(Scaler2=2,VLOOKUP(A83,ScaledPrice2,2),(VLOOKUP(A83,ScaledPrice2,2))*(2-(VLOOKUP(A83,ScaledPrice2,3))))))</f>
        <v> </v>
      </c>
      <c r="E83" s="317" t="str">
        <f aca="false">IF($A83="N/A"," ",IF(AND(Dayrun2&gt;=4,Dayrun2&lt;=9),0,VLOOKUP($A83,ScaledPrice2,9)))</f>
        <v> </v>
      </c>
      <c r="F83" s="317" t="str">
        <f aca="false">IF(A83="N/A"," ",IF(OR(Dayrun2=2,Dayrun2=3,Dayrun2=5,Dayrun2=6,Dayrun2=8,Dayrun2=9),VLOOKUP(A83,ScaledPrice2,IF(Scaler2=1,6,5)),0))</f>
        <v> </v>
      </c>
      <c r="G83" s="317" t="str">
        <f aca="false">IF(A83="N/A"," ",IF(OR(Dayrun2=2,Dayrun2=3,Dayrun2=5,Dayrun2=6),IF(Scaler2=2,F83,(VLOOKUP(A83,ScaledPrice2,5))*(2-(VLOOKUP(A83,ScaledPrice2,3)))),0))</f>
        <v> </v>
      </c>
      <c r="H83" s="317" t="str">
        <f aca="false">IF($A83="N/A"," ",IF(OR(Dayrun2=2,Dayrun2=3,Dayrun2=10),VLOOKUP($A83,ScaledPrice2,9),0))</f>
        <v> </v>
      </c>
      <c r="I83" s="317" t="str">
        <f aca="false">IF(A83="N/A"," ",IF(OR(Dayrun2=3,Dayrun2=6,Dayrun2=9),(VLOOKUP(A83,ScaledPrice2,IF(Scaler2=2,7,8))),0))</f>
        <v> </v>
      </c>
      <c r="J83" s="317" t="str">
        <f aca="false">IF(A83="N/A"," ",IF(OR(Dayrun2=3,Dayrun2=6),IF(Scaler2=2,I83,(VLOOKUP(A83,ScaledPrice2,7))*(2-(VLOOKUP(A83,ScaledPrice2,3)))),0))</f>
        <v> </v>
      </c>
      <c r="K83" s="317" t="str">
        <f aca="false">IF($A83="N/A"," ",IF(OR(Dayrun2=3,Dayrun2=10),VLOOKUP($A83,ScaledPrice2,9),0))</f>
        <v> </v>
      </c>
      <c r="L83" s="318" t="str">
        <f aca="false">IF($A83="N/A"," ",IF(Pricetype2=2,MAX(C83,0),IF(OR(Pricetype2=1,Pricetype2=4),IF(C83=0,0,(EURO(C83,Strikeprice2,0,0,($AH83+IF(Smile=TRUE(),VLOOKUP(MAX(-5,Strikeprice2-C83),Volsmile,2),0)),($A83-DateToday)+15,IF(Pricetype2=1,1,0),0))),C83)))</f>
        <v> </v>
      </c>
      <c r="M83" s="318" t="str">
        <f aca="false">IF($A83="N/A"," ",IF(Pricetype2=2,MAX(D83,0),IF(OR(Pricetype2=1,Pricetype2=4),IF(D83=0,0,(EURO(D83,Strikeprice2,0,0,($AH83+IF(Smile=TRUE(),VLOOKUP(MAX(-5,Strikeprice2-D83),Volsmile,2),0)),($A83-DateToday)+15,IF(Pricetype2=1,1,0),0))),D83)))</f>
        <v> </v>
      </c>
      <c r="N83" s="318" t="str">
        <f aca="false">IF($A83="N/A"," ",IF(Pricetype2=2,MAX(E83,0),IF(OR(Pricetype2=1,Pricetype2=4),IF(E83=0,0,(EURO(E83,Strikeprice2,0,0,($AK83+IF(Smile=TRUE(),VLOOKUP(MAX(-5,Strikeprice2-E83),Volsmile,2),0)),($A83-DateToday)+15,IF(Pricetype2=1,1,0),0))),E83)))</f>
        <v> </v>
      </c>
      <c r="O83" s="318" t="str">
        <f aca="false">IF($A83="N/A"," ",IF(Pricetype2=2,MAX(F83,0),IF(OR(Pricetype2=1,Pricetype2=4),IF(F83=0,0,(EURO(F83,Strikeprice2,0,0,($AK83+IF(Smile=TRUE(),VLOOKUP(MAX(-5,Strikeprice2-F83),Volsmile,2),0)),($A83-DateToday)+15,IF(Pricetype2=1,1,0),0))),F83)))</f>
        <v> </v>
      </c>
      <c r="P83" s="318" t="str">
        <f aca="false">IF($A83="N/A"," ",IF(Pricetype2=2,MAX(G83,0),IF(OR(Pricetype2=1,Pricetype2=4),IF(G83=0,0,(EURO(G83,Strikeprice2,0,0,($AK83+IF(Smile=TRUE(),VLOOKUP(MAX(-5,Strikeprice2-G83),Volsmile,2),0)),($A83-DateToday)+15,IF(Pricetype2=1,1,0),0))),G83)))</f>
        <v> </v>
      </c>
      <c r="Q83" s="318" t="str">
        <f aca="false">IF($A83="N/A"," ",IF(Pricetype2=2,MAX(H83,0),IF(OR(Pricetype2=1,Pricetype2=4),IF(H83=0,0,(EURO(H83,Strikeprice2,0,0,($AK83+IF(Smile=TRUE(),VLOOKUP(MAX(-5,Strikeprice2-H83),Volsmile,2),0)),($A83-DateToday)+15,IF(Pricetype2=1,1,0),0))),H83)))</f>
        <v> </v>
      </c>
      <c r="R83" s="318" t="str">
        <f aca="false">IF($A83="N/A"," ",IF(Pricetype2=2,MAX(I83,0),IF(OR(Pricetype2=1,Pricetype2=4),IF(I83=0,0,(EURO(I83,Strikeprice2,0,0,($AK83+IF(Smile=TRUE(),VLOOKUP(MAX(-5,Strikeprice2-I83),Volsmile,2),0)),($A83-DateToday)+15,IF(Pricetype2=1,1,0),0))),I83)))</f>
        <v> </v>
      </c>
      <c r="S83" s="318" t="str">
        <f aca="false">IF($A83="N/A"," ",IF(Pricetype2=2,MAX(J83,0),IF(OR(Pricetype2=1,Pricetype2=4),IF(J83=0,0,(EURO(J83,Strikeprice2,0,0,($AK83+IF(Smile=TRUE(),VLOOKUP(MAX(-5,Strikeprice2-J83),Volsmile,2),0)),($A83-DateToday)+15,IF(Pricetype2=1,1,0),0))),J83)))</f>
        <v> </v>
      </c>
      <c r="T83" s="318" t="str">
        <f aca="false">IF($A83="N/A"," ",IF(Pricetype2=2,MAX(K83,0),IF(OR(Pricetype2=1,Pricetype2=4),IF(K83=0,0,(EURO(K83,Strikeprice2,0,0,($AK83+IF(Smile=TRUE(),VLOOKUP(MAX(-5,Strikeprice2-K83),Volsmile,2),0)),($A83-DateToday)+15,IF(Pricetype2=1,1,0),0))),K83)))</f>
        <v> </v>
      </c>
      <c r="U83" s="319" t="str">
        <f aca="false">IF($A83="N/A"," ",Volume2*$AM83)</f>
        <v> </v>
      </c>
      <c r="V83" s="320" t="str">
        <f aca="false">IF($A83="N/A"," ",$U83*(8*($BQ83))*L83)</f>
        <v> </v>
      </c>
      <c r="W83" s="320" t="str">
        <f aca="false">IF($A83="N/A"," ",$U83*(8*($BQ83))*M83)</f>
        <v> </v>
      </c>
      <c r="X83" s="320" t="str">
        <f aca="false">IF($A83="N/A"," ",$U83*(8*($BQ83))*N83)</f>
        <v> </v>
      </c>
      <c r="Y83" s="320" t="str">
        <f aca="false">IF($A83="N/A"," ",$U83*(8*($BR83))*O83)</f>
        <v> </v>
      </c>
      <c r="Z83" s="320" t="str">
        <f aca="false">IF($A83="N/A"," ",$U83*(8*($BR83))*P83)</f>
        <v> </v>
      </c>
      <c r="AA83" s="320" t="str">
        <f aca="false">IF($A83="N/A"," ",$U83*(8*($BR83))*Q83)</f>
        <v> </v>
      </c>
      <c r="AB83" s="320" t="str">
        <f aca="false">IF($A83="N/A"," ",$U83*(8*($BS83))*R83)</f>
        <v> </v>
      </c>
      <c r="AC83" s="320" t="str">
        <f aca="false">IF($A83="N/A"," ",$U83*(8*($BS83))*S83)</f>
        <v> </v>
      </c>
      <c r="AD83" s="320" t="str">
        <f aca="false">IF($A83="N/A"," ",$U83*(8*($BS83))*T83)</f>
        <v> </v>
      </c>
      <c r="AE83" s="320" t="str">
        <f aca="false">IF($A83="N/A"," ",SUM(V83:AD83))</f>
        <v> </v>
      </c>
      <c r="AF83" s="321" t="str">
        <f aca="false">IF(A83="N/A"," ",(VLOOKUP(A83,PowerVolTable,(IF(VolBMO2=2,7,IF(VolBMO2=1,6,8))),FALSE())))</f>
        <v> </v>
      </c>
      <c r="AG83" s="321" t="str">
        <f aca="false">IF(A83="N/A"," ",(VLOOKUP(A83,IntraPowerVol,(IF(VolBMO2=2,3,IF(VolBMO2=1,2,4))),FALSE())*VLOOKUP(MONTH($A83),Volscale,2)))</f>
        <v> </v>
      </c>
      <c r="AH83" s="321" t="str">
        <f aca="false">IF($A83="N/A"," ",IF(VolType2=1,AG83,AF83))</f>
        <v> </v>
      </c>
      <c r="AI83" s="321" t="str">
        <f aca="false">IF($A83="N/A"," ",(VLOOKUP($A83,OffPwrVolTable,(IF(VolBMO2=2,7,IF(VolBMO2=1,6,8))),FALSE())))</f>
        <v> </v>
      </c>
      <c r="AJ83" s="321" t="str">
        <f aca="false">IF($A83="N/A"," ",(VLOOKUP($A83,OffPwrVolTable,(IF(VolBMO2=2,3,IF(VolBMO2=1,2,4))),FALSE())*VLOOKUP(MONTH($A83),Volscale,2)))</f>
        <v> </v>
      </c>
      <c r="AK83" s="321" t="str">
        <f aca="false">IF($A83="N/A"," ",IF(VolType2=1,AJ83,AI83))</f>
        <v> </v>
      </c>
      <c r="AL83" s="321" t="str">
        <f aca="false">IF($A83="N/A"," ",IF(PV=1,0,'Pricing Inputs2'!R116))</f>
        <v> </v>
      </c>
      <c r="AM83" s="323" t="str">
        <f aca="false">IF($A83="N/A"," ",(1+AL83/2)^(-2*((EOMONTH(A83,0)+20)-DateToday)/365.25))</f>
        <v> </v>
      </c>
      <c r="BQ83" s="0" t="str">
        <f aca="false">IF($A83="N/A"," ",(VLOOKUP($A83,NumberofDaysTable,2)))</f>
        <v> </v>
      </c>
      <c r="BR83" s="0" t="str">
        <f aca="false">IF($A83="N/A"," ",(VLOOKUP($A83,NumberofDaysTable,3)))</f>
        <v> </v>
      </c>
      <c r="BS83" s="0" t="str">
        <f aca="false">IF($A83="N/A"," ",(VLOOKUP($A83,NumberofDaysTable,4)))</f>
        <v> </v>
      </c>
    </row>
    <row r="84" customFormat="false" ht="12.75" hidden="false" customHeight="false" outlineLevel="0" collapsed="false">
      <c r="A84" s="315" t="str">
        <f aca="false">IF(A83="N/A","N/A",IF(EDATE(A83,1)&gt;Inputs!$P$5,"N/A",EDATE(A83,1)))</f>
        <v>N/A</v>
      </c>
      <c r="B84" s="316" t="str">
        <f aca="false">IF(A84="N/A"," ",YEAR(A84))</f>
        <v> </v>
      </c>
      <c r="C84" s="317" t="str">
        <f aca="false">IF($A84="N/A"," ",IF(Dayrun2=10,0,IF(Scaler2=1,(VLOOKUP(A84,ScaledPrice2,4)),(VLOOKUP(A84,ScaledPrice2,2)))))</f>
        <v> </v>
      </c>
      <c r="D84" s="317" t="str">
        <f aca="false">IF(A84="N/A"," ",IF(Dayrun2&gt;=7,0,IF(Scaler2=2,VLOOKUP(A84,ScaledPrice2,2),(VLOOKUP(A84,ScaledPrice2,2))*(2-(VLOOKUP(A84,ScaledPrice2,3))))))</f>
        <v> </v>
      </c>
      <c r="E84" s="317" t="str">
        <f aca="false">IF($A84="N/A"," ",IF(AND(Dayrun2&gt;=4,Dayrun2&lt;=9),0,VLOOKUP($A84,ScaledPrice2,9)))</f>
        <v> </v>
      </c>
      <c r="F84" s="317" t="str">
        <f aca="false">IF(A84="N/A"," ",IF(OR(Dayrun2=2,Dayrun2=3,Dayrun2=5,Dayrun2=6,Dayrun2=8,Dayrun2=9),VLOOKUP(A84,ScaledPrice2,IF(Scaler2=1,6,5)),0))</f>
        <v> </v>
      </c>
      <c r="G84" s="317" t="str">
        <f aca="false">IF(A84="N/A"," ",IF(OR(Dayrun2=2,Dayrun2=3,Dayrun2=5,Dayrun2=6),IF(Scaler2=2,F84,(VLOOKUP(A84,ScaledPrice2,5))*(2-(VLOOKUP(A84,ScaledPrice2,3)))),0))</f>
        <v> </v>
      </c>
      <c r="H84" s="317" t="str">
        <f aca="false">IF($A84="N/A"," ",IF(OR(Dayrun2=2,Dayrun2=3,Dayrun2=10),VLOOKUP($A84,ScaledPrice2,9),0))</f>
        <v> </v>
      </c>
      <c r="I84" s="317" t="str">
        <f aca="false">IF(A84="N/A"," ",IF(OR(Dayrun2=3,Dayrun2=6,Dayrun2=9),(VLOOKUP(A84,ScaledPrice2,IF(Scaler2=2,7,8))),0))</f>
        <v> </v>
      </c>
      <c r="J84" s="317" t="str">
        <f aca="false">IF(A84="N/A"," ",IF(OR(Dayrun2=3,Dayrun2=6),IF(Scaler2=2,I84,(VLOOKUP(A84,ScaledPrice2,7))*(2-(VLOOKUP(A84,ScaledPrice2,3)))),0))</f>
        <v> </v>
      </c>
      <c r="K84" s="317" t="str">
        <f aca="false">IF($A84="N/A"," ",IF(OR(Dayrun2=3,Dayrun2=10),VLOOKUP($A84,ScaledPrice2,9),0))</f>
        <v> </v>
      </c>
      <c r="L84" s="318" t="str">
        <f aca="false">IF($A84="N/A"," ",IF(Pricetype2=2,MAX(C84,0),IF(OR(Pricetype2=1,Pricetype2=4),IF(C84=0,0,(EURO(C84,Strikeprice2,0,0,($AH84+IF(Smile=TRUE(),VLOOKUP(MAX(-5,Strikeprice2-C84),Volsmile,2),0)),($A84-DateToday)+15,IF(Pricetype2=1,1,0),0))),C84)))</f>
        <v> </v>
      </c>
      <c r="M84" s="318" t="str">
        <f aca="false">IF($A84="N/A"," ",IF(Pricetype2=2,MAX(D84,0),IF(OR(Pricetype2=1,Pricetype2=4),IF(D84=0,0,(EURO(D84,Strikeprice2,0,0,($AH84+IF(Smile=TRUE(),VLOOKUP(MAX(-5,Strikeprice2-D84),Volsmile,2),0)),($A84-DateToday)+15,IF(Pricetype2=1,1,0),0))),D84)))</f>
        <v> </v>
      </c>
      <c r="N84" s="318" t="str">
        <f aca="false">IF($A84="N/A"," ",IF(Pricetype2=2,MAX(E84,0),IF(OR(Pricetype2=1,Pricetype2=4),IF(E84=0,0,(EURO(E84,Strikeprice2,0,0,($AK84+IF(Smile=TRUE(),VLOOKUP(MAX(-5,Strikeprice2-E84),Volsmile,2),0)),($A84-DateToday)+15,IF(Pricetype2=1,1,0),0))),E84)))</f>
        <v> </v>
      </c>
      <c r="O84" s="318" t="str">
        <f aca="false">IF($A84="N/A"," ",IF(Pricetype2=2,MAX(F84,0),IF(OR(Pricetype2=1,Pricetype2=4),IF(F84=0,0,(EURO(F84,Strikeprice2,0,0,($AK84+IF(Smile=TRUE(),VLOOKUP(MAX(-5,Strikeprice2-F84),Volsmile,2),0)),($A84-DateToday)+15,IF(Pricetype2=1,1,0),0))),F84)))</f>
        <v> </v>
      </c>
      <c r="P84" s="318" t="str">
        <f aca="false">IF($A84="N/A"," ",IF(Pricetype2=2,MAX(G84,0),IF(OR(Pricetype2=1,Pricetype2=4),IF(G84=0,0,(EURO(G84,Strikeprice2,0,0,($AK84+IF(Smile=TRUE(),VLOOKUP(MAX(-5,Strikeprice2-G84),Volsmile,2),0)),($A84-DateToday)+15,IF(Pricetype2=1,1,0),0))),G84)))</f>
        <v> </v>
      </c>
      <c r="Q84" s="318" t="str">
        <f aca="false">IF($A84="N/A"," ",IF(Pricetype2=2,MAX(H84,0),IF(OR(Pricetype2=1,Pricetype2=4),IF(H84=0,0,(EURO(H84,Strikeprice2,0,0,($AK84+IF(Smile=TRUE(),VLOOKUP(MAX(-5,Strikeprice2-H84),Volsmile,2),0)),($A84-DateToday)+15,IF(Pricetype2=1,1,0),0))),H84)))</f>
        <v> </v>
      </c>
      <c r="R84" s="318" t="str">
        <f aca="false">IF($A84="N/A"," ",IF(Pricetype2=2,MAX(I84,0),IF(OR(Pricetype2=1,Pricetype2=4),IF(I84=0,0,(EURO(I84,Strikeprice2,0,0,($AK84+IF(Smile=TRUE(),VLOOKUP(MAX(-5,Strikeprice2-I84),Volsmile,2),0)),($A84-DateToday)+15,IF(Pricetype2=1,1,0),0))),I84)))</f>
        <v> </v>
      </c>
      <c r="S84" s="318" t="str">
        <f aca="false">IF($A84="N/A"," ",IF(Pricetype2=2,MAX(J84,0),IF(OR(Pricetype2=1,Pricetype2=4),IF(J84=0,0,(EURO(J84,Strikeprice2,0,0,($AK84+IF(Smile=TRUE(),VLOOKUP(MAX(-5,Strikeprice2-J84),Volsmile,2),0)),($A84-DateToday)+15,IF(Pricetype2=1,1,0),0))),J84)))</f>
        <v> </v>
      </c>
      <c r="T84" s="318" t="str">
        <f aca="false">IF($A84="N/A"," ",IF(Pricetype2=2,MAX(K84,0),IF(OR(Pricetype2=1,Pricetype2=4),IF(K84=0,0,(EURO(K84,Strikeprice2,0,0,($AK84+IF(Smile=TRUE(),VLOOKUP(MAX(-5,Strikeprice2-K84),Volsmile,2),0)),($A84-DateToday)+15,IF(Pricetype2=1,1,0),0))),K84)))</f>
        <v> </v>
      </c>
      <c r="U84" s="319" t="str">
        <f aca="false">IF($A84="N/A"," ",Volume2*$AM84)</f>
        <v> </v>
      </c>
      <c r="V84" s="320" t="str">
        <f aca="false">IF($A84="N/A"," ",$U84*(8*($BQ84))*L84)</f>
        <v> </v>
      </c>
      <c r="W84" s="320" t="str">
        <f aca="false">IF($A84="N/A"," ",$U84*(8*($BQ84))*M84)</f>
        <v> </v>
      </c>
      <c r="X84" s="320" t="str">
        <f aca="false">IF($A84="N/A"," ",$U84*(8*($BQ84))*N84)</f>
        <v> </v>
      </c>
      <c r="Y84" s="320" t="str">
        <f aca="false">IF($A84="N/A"," ",$U84*(8*($BR84))*O84)</f>
        <v> </v>
      </c>
      <c r="Z84" s="320" t="str">
        <f aca="false">IF($A84="N/A"," ",$U84*(8*($BR84))*P84)</f>
        <v> </v>
      </c>
      <c r="AA84" s="320" t="str">
        <f aca="false">IF($A84="N/A"," ",$U84*(8*($BR84))*Q84)</f>
        <v> </v>
      </c>
      <c r="AB84" s="320" t="str">
        <f aca="false">IF($A84="N/A"," ",$U84*(8*($BS84))*R84)</f>
        <v> </v>
      </c>
      <c r="AC84" s="320" t="str">
        <f aca="false">IF($A84="N/A"," ",$U84*(8*($BS84))*S84)</f>
        <v> </v>
      </c>
      <c r="AD84" s="320" t="str">
        <f aca="false">IF($A84="N/A"," ",$U84*(8*($BS84))*T84)</f>
        <v> </v>
      </c>
      <c r="AE84" s="320" t="str">
        <f aca="false">IF($A84="N/A"," ",SUM(V84:AD84))</f>
        <v> </v>
      </c>
      <c r="AF84" s="321" t="str">
        <f aca="false">IF(A84="N/A"," ",(VLOOKUP(A84,PowerVolTable,(IF(VolBMO2=2,7,IF(VolBMO2=1,6,8))),FALSE())))</f>
        <v> </v>
      </c>
      <c r="AG84" s="321" t="str">
        <f aca="false">IF(A84="N/A"," ",(VLOOKUP(A84,IntraPowerVol,(IF(VolBMO2=2,3,IF(VolBMO2=1,2,4))),FALSE())*VLOOKUP(MONTH($A84),Volscale,2)))</f>
        <v> </v>
      </c>
      <c r="AH84" s="321" t="str">
        <f aca="false">IF($A84="N/A"," ",IF(VolType2=1,AG84,AF84))</f>
        <v> </v>
      </c>
      <c r="AI84" s="321" t="str">
        <f aca="false">IF($A84="N/A"," ",(VLOOKUP($A84,OffPwrVolTable,(IF(VolBMO2=2,7,IF(VolBMO2=1,6,8))),FALSE())))</f>
        <v> </v>
      </c>
      <c r="AJ84" s="321" t="str">
        <f aca="false">IF($A84="N/A"," ",(VLOOKUP($A84,OffPwrVolTable,(IF(VolBMO2=2,3,IF(VolBMO2=1,2,4))),FALSE())*VLOOKUP(MONTH($A84),Volscale,2)))</f>
        <v> </v>
      </c>
      <c r="AK84" s="321" t="str">
        <f aca="false">IF($A84="N/A"," ",IF(VolType2=1,AJ84,AI84))</f>
        <v> </v>
      </c>
      <c r="AL84" s="321" t="str">
        <f aca="false">IF($A84="N/A"," ",IF(PV=1,0,'Pricing Inputs2'!R117))</f>
        <v> </v>
      </c>
      <c r="AM84" s="323" t="str">
        <f aca="false">IF($A84="N/A"," ",(1+AL84/2)^(-2*((EOMONTH(A84,0)+20)-DateToday)/365.25))</f>
        <v> </v>
      </c>
      <c r="BQ84" s="0" t="str">
        <f aca="false">IF($A84="N/A"," ",(VLOOKUP($A84,NumberofDaysTable,2)))</f>
        <v> </v>
      </c>
      <c r="BR84" s="0" t="str">
        <f aca="false">IF($A84="N/A"," ",(VLOOKUP($A84,NumberofDaysTable,3)))</f>
        <v> </v>
      </c>
      <c r="BS84" s="0" t="str">
        <f aca="false">IF($A84="N/A"," ",(VLOOKUP($A84,NumberofDaysTable,4)))</f>
        <v> </v>
      </c>
    </row>
    <row r="85" customFormat="false" ht="12.75" hidden="false" customHeight="false" outlineLevel="0" collapsed="false">
      <c r="A85" s="315" t="str">
        <f aca="false">IF(A84="N/A","N/A",IF(EDATE(A84,1)&gt;Inputs!$P$5,"N/A",EDATE(A84,1)))</f>
        <v>N/A</v>
      </c>
      <c r="B85" s="316" t="str">
        <f aca="false">IF(A85="N/A"," ",YEAR(A85))</f>
        <v> </v>
      </c>
      <c r="C85" s="317" t="str">
        <f aca="false">IF($A85="N/A"," ",IF(Dayrun2=10,0,IF(Scaler2=1,(VLOOKUP(A85,ScaledPrice2,4)),(VLOOKUP(A85,ScaledPrice2,2)))))</f>
        <v> </v>
      </c>
      <c r="D85" s="317" t="str">
        <f aca="false">IF(A85="N/A"," ",IF(Dayrun2&gt;=7,0,IF(Scaler2=2,VLOOKUP(A85,ScaledPrice2,2),(VLOOKUP(A85,ScaledPrice2,2))*(2-(VLOOKUP(A85,ScaledPrice2,3))))))</f>
        <v> </v>
      </c>
      <c r="E85" s="317" t="str">
        <f aca="false">IF($A85="N/A"," ",IF(AND(Dayrun2&gt;=4,Dayrun2&lt;=9),0,VLOOKUP($A85,ScaledPrice2,9)))</f>
        <v> </v>
      </c>
      <c r="F85" s="317" t="str">
        <f aca="false">IF(A85="N/A"," ",IF(OR(Dayrun2=2,Dayrun2=3,Dayrun2=5,Dayrun2=6,Dayrun2=8,Dayrun2=9),VLOOKUP(A85,ScaledPrice2,IF(Scaler2=1,6,5)),0))</f>
        <v> </v>
      </c>
      <c r="G85" s="317" t="str">
        <f aca="false">IF(A85="N/A"," ",IF(OR(Dayrun2=2,Dayrun2=3,Dayrun2=5,Dayrun2=6),IF(Scaler2=2,F85,(VLOOKUP(A85,ScaledPrice2,5))*(2-(VLOOKUP(A85,ScaledPrice2,3)))),0))</f>
        <v> </v>
      </c>
      <c r="H85" s="317" t="str">
        <f aca="false">IF($A85="N/A"," ",IF(OR(Dayrun2=2,Dayrun2=3,Dayrun2=10),VLOOKUP($A85,ScaledPrice2,9),0))</f>
        <v> </v>
      </c>
      <c r="I85" s="317" t="str">
        <f aca="false">IF(A85="N/A"," ",IF(OR(Dayrun2=3,Dayrun2=6,Dayrun2=9),(VLOOKUP(A85,ScaledPrice2,IF(Scaler2=2,7,8))),0))</f>
        <v> </v>
      </c>
      <c r="J85" s="317" t="str">
        <f aca="false">IF(A85="N/A"," ",IF(OR(Dayrun2=3,Dayrun2=6),IF(Scaler2=2,I85,(VLOOKUP(A85,ScaledPrice2,7))*(2-(VLOOKUP(A85,ScaledPrice2,3)))),0))</f>
        <v> </v>
      </c>
      <c r="K85" s="317" t="str">
        <f aca="false">IF($A85="N/A"," ",IF(OR(Dayrun2=3,Dayrun2=10),VLOOKUP($A85,ScaledPrice2,9),0))</f>
        <v> </v>
      </c>
      <c r="L85" s="318" t="str">
        <f aca="false">IF($A85="N/A"," ",IF(Pricetype2=2,MAX(C85,0),IF(OR(Pricetype2=1,Pricetype2=4),IF(C85=0,0,(EURO(C85,Strikeprice2,0,0,($AH85+IF(Smile=TRUE(),VLOOKUP(MAX(-5,Strikeprice2-C85),Volsmile,2),0)),($A85-DateToday)+15,IF(Pricetype2=1,1,0),0))),C85)))</f>
        <v> </v>
      </c>
      <c r="M85" s="318" t="str">
        <f aca="false">IF($A85="N/A"," ",IF(Pricetype2=2,MAX(D85,0),IF(OR(Pricetype2=1,Pricetype2=4),IF(D85=0,0,(EURO(D85,Strikeprice2,0,0,($AH85+IF(Smile=TRUE(),VLOOKUP(MAX(-5,Strikeprice2-D85),Volsmile,2),0)),($A85-DateToday)+15,IF(Pricetype2=1,1,0),0))),D85)))</f>
        <v> </v>
      </c>
      <c r="N85" s="318" t="str">
        <f aca="false">IF($A85="N/A"," ",IF(Pricetype2=2,MAX(E85,0),IF(OR(Pricetype2=1,Pricetype2=4),IF(E85=0,0,(EURO(E85,Strikeprice2,0,0,($AK85+IF(Smile=TRUE(),VLOOKUP(MAX(-5,Strikeprice2-E85),Volsmile,2),0)),($A85-DateToday)+15,IF(Pricetype2=1,1,0),0))),E85)))</f>
        <v> </v>
      </c>
      <c r="O85" s="318" t="str">
        <f aca="false">IF($A85="N/A"," ",IF(Pricetype2=2,MAX(F85,0),IF(OR(Pricetype2=1,Pricetype2=4),IF(F85=0,0,(EURO(F85,Strikeprice2,0,0,($AK85+IF(Smile=TRUE(),VLOOKUP(MAX(-5,Strikeprice2-F85),Volsmile,2),0)),($A85-DateToday)+15,IF(Pricetype2=1,1,0),0))),F85)))</f>
        <v> </v>
      </c>
      <c r="P85" s="318" t="str">
        <f aca="false">IF($A85="N/A"," ",IF(Pricetype2=2,MAX(G85,0),IF(OR(Pricetype2=1,Pricetype2=4),IF(G85=0,0,(EURO(G85,Strikeprice2,0,0,($AK85+IF(Smile=TRUE(),VLOOKUP(MAX(-5,Strikeprice2-G85),Volsmile,2),0)),($A85-DateToday)+15,IF(Pricetype2=1,1,0),0))),G85)))</f>
        <v> </v>
      </c>
      <c r="Q85" s="318" t="str">
        <f aca="false">IF($A85="N/A"," ",IF(Pricetype2=2,MAX(H85,0),IF(OR(Pricetype2=1,Pricetype2=4),IF(H85=0,0,(EURO(H85,Strikeprice2,0,0,($AK85+IF(Smile=TRUE(),VLOOKUP(MAX(-5,Strikeprice2-H85),Volsmile,2),0)),($A85-DateToday)+15,IF(Pricetype2=1,1,0),0))),H85)))</f>
        <v> </v>
      </c>
      <c r="R85" s="318" t="str">
        <f aca="false">IF($A85="N/A"," ",IF(Pricetype2=2,MAX(I85,0),IF(OR(Pricetype2=1,Pricetype2=4),IF(I85=0,0,(EURO(I85,Strikeprice2,0,0,($AK85+IF(Smile=TRUE(),VLOOKUP(MAX(-5,Strikeprice2-I85),Volsmile,2),0)),($A85-DateToday)+15,IF(Pricetype2=1,1,0),0))),I85)))</f>
        <v> </v>
      </c>
      <c r="S85" s="318" t="str">
        <f aca="false">IF($A85="N/A"," ",IF(Pricetype2=2,MAX(J85,0),IF(OR(Pricetype2=1,Pricetype2=4),IF(J85=0,0,(EURO(J85,Strikeprice2,0,0,($AK85+IF(Smile=TRUE(),VLOOKUP(MAX(-5,Strikeprice2-J85),Volsmile,2),0)),($A85-DateToday)+15,IF(Pricetype2=1,1,0),0))),J85)))</f>
        <v> </v>
      </c>
      <c r="T85" s="318" t="str">
        <f aca="false">IF($A85="N/A"," ",IF(Pricetype2=2,MAX(K85,0),IF(OR(Pricetype2=1,Pricetype2=4),IF(K85=0,0,(EURO(K85,Strikeprice2,0,0,($AK85+IF(Smile=TRUE(),VLOOKUP(MAX(-5,Strikeprice2-K85),Volsmile,2),0)),($A85-DateToday)+15,IF(Pricetype2=1,1,0),0))),K85)))</f>
        <v> </v>
      </c>
      <c r="U85" s="319" t="str">
        <f aca="false">IF($A85="N/A"," ",Volume2*$AM85)</f>
        <v> </v>
      </c>
      <c r="V85" s="320" t="str">
        <f aca="false">IF($A85="N/A"," ",$U85*(8*($BQ85))*L85)</f>
        <v> </v>
      </c>
      <c r="W85" s="320" t="str">
        <f aca="false">IF($A85="N/A"," ",$U85*(8*($BQ85))*M85)</f>
        <v> </v>
      </c>
      <c r="X85" s="320" t="str">
        <f aca="false">IF($A85="N/A"," ",$U85*(8*($BQ85))*N85)</f>
        <v> </v>
      </c>
      <c r="Y85" s="320" t="str">
        <f aca="false">IF($A85="N/A"," ",$U85*(8*($BR85))*O85)</f>
        <v> </v>
      </c>
      <c r="Z85" s="320" t="str">
        <f aca="false">IF($A85="N/A"," ",$U85*(8*($BR85))*P85)</f>
        <v> </v>
      </c>
      <c r="AA85" s="320" t="str">
        <f aca="false">IF($A85="N/A"," ",$U85*(8*($BR85))*Q85)</f>
        <v> </v>
      </c>
      <c r="AB85" s="320" t="str">
        <f aca="false">IF($A85="N/A"," ",$U85*(8*($BS85))*R85)</f>
        <v> </v>
      </c>
      <c r="AC85" s="320" t="str">
        <f aca="false">IF($A85="N/A"," ",$U85*(8*($BS85))*S85)</f>
        <v> </v>
      </c>
      <c r="AD85" s="320" t="str">
        <f aca="false">IF($A85="N/A"," ",$U85*(8*($BS85))*T85)</f>
        <v> </v>
      </c>
      <c r="AE85" s="320" t="str">
        <f aca="false">IF($A85="N/A"," ",SUM(V85:AD85))</f>
        <v> </v>
      </c>
      <c r="AF85" s="321" t="str">
        <f aca="false">IF(A85="N/A"," ",(VLOOKUP(A85,PowerVolTable,(IF(VolBMO2=2,7,IF(VolBMO2=1,6,8))),FALSE())))</f>
        <v> </v>
      </c>
      <c r="AG85" s="321" t="str">
        <f aca="false">IF(A85="N/A"," ",(VLOOKUP(A85,IntraPowerVol,(IF(VolBMO2=2,3,IF(VolBMO2=1,2,4))),FALSE())*VLOOKUP(MONTH($A85),Volscale,2)))</f>
        <v> </v>
      </c>
      <c r="AH85" s="321" t="str">
        <f aca="false">IF($A85="N/A"," ",IF(VolType2=1,AG85,AF85))</f>
        <v> </v>
      </c>
      <c r="AI85" s="321" t="str">
        <f aca="false">IF($A85="N/A"," ",(VLOOKUP($A85,OffPwrVolTable,(IF(VolBMO2=2,7,IF(VolBMO2=1,6,8))),FALSE())))</f>
        <v> </v>
      </c>
      <c r="AJ85" s="321" t="str">
        <f aca="false">IF($A85="N/A"," ",(VLOOKUP($A85,OffPwrVolTable,(IF(VolBMO2=2,3,IF(VolBMO2=1,2,4))),FALSE())*VLOOKUP(MONTH($A85),Volscale,2)))</f>
        <v> </v>
      </c>
      <c r="AK85" s="321" t="str">
        <f aca="false">IF($A85="N/A"," ",IF(VolType2=1,AJ85,AI85))</f>
        <v> </v>
      </c>
      <c r="AL85" s="321" t="str">
        <f aca="false">IF($A85="N/A"," ",IF(PV=1,0,'Pricing Inputs2'!R118))</f>
        <v> </v>
      </c>
      <c r="AM85" s="323" t="str">
        <f aca="false">IF($A85="N/A"," ",(1+AL85/2)^(-2*((EOMONTH(A85,0)+20)-DateToday)/365.25))</f>
        <v> </v>
      </c>
      <c r="BQ85" s="0" t="str">
        <f aca="false">IF($A85="N/A"," ",(VLOOKUP($A85,NumberofDaysTable,2)))</f>
        <v> </v>
      </c>
      <c r="BR85" s="0" t="str">
        <f aca="false">IF($A85="N/A"," ",(VLOOKUP($A85,NumberofDaysTable,3)))</f>
        <v> </v>
      </c>
      <c r="BS85" s="0" t="str">
        <f aca="false">IF($A85="N/A"," ",(VLOOKUP($A85,NumberofDaysTable,4)))</f>
        <v> </v>
      </c>
    </row>
    <row r="86" customFormat="false" ht="12.75" hidden="false" customHeight="false" outlineLevel="0" collapsed="false">
      <c r="A86" s="315" t="str">
        <f aca="false">IF(A85="N/A","N/A",IF(EDATE(A85,1)&gt;Inputs!$P$5,"N/A",EDATE(A85,1)))</f>
        <v>N/A</v>
      </c>
      <c r="B86" s="316" t="str">
        <f aca="false">IF(A86="N/A"," ",YEAR(A86))</f>
        <v> </v>
      </c>
      <c r="C86" s="317" t="str">
        <f aca="false">IF($A86="N/A"," ",IF(Dayrun2=10,0,IF(Scaler2=1,(VLOOKUP(A86,ScaledPrice2,4)),(VLOOKUP(A86,ScaledPrice2,2)))))</f>
        <v> </v>
      </c>
      <c r="D86" s="317" t="str">
        <f aca="false">IF(A86="N/A"," ",IF(Dayrun2&gt;=7,0,IF(Scaler2=2,VLOOKUP(A86,ScaledPrice2,2),(VLOOKUP(A86,ScaledPrice2,2))*(2-(VLOOKUP(A86,ScaledPrice2,3))))))</f>
        <v> </v>
      </c>
      <c r="E86" s="317" t="str">
        <f aca="false">IF($A86="N/A"," ",IF(AND(Dayrun2&gt;=4,Dayrun2&lt;=9),0,VLOOKUP($A86,ScaledPrice2,9)))</f>
        <v> </v>
      </c>
      <c r="F86" s="317" t="str">
        <f aca="false">IF(A86="N/A"," ",IF(OR(Dayrun2=2,Dayrun2=3,Dayrun2=5,Dayrun2=6,Dayrun2=8,Dayrun2=9),VLOOKUP(A86,ScaledPrice2,IF(Scaler2=1,6,5)),0))</f>
        <v> </v>
      </c>
      <c r="G86" s="317" t="str">
        <f aca="false">IF(A86="N/A"," ",IF(OR(Dayrun2=2,Dayrun2=3,Dayrun2=5,Dayrun2=6),IF(Scaler2=2,F86,(VLOOKUP(A86,ScaledPrice2,5))*(2-(VLOOKUP(A86,ScaledPrice2,3)))),0))</f>
        <v> </v>
      </c>
      <c r="H86" s="317" t="str">
        <f aca="false">IF($A86="N/A"," ",IF(OR(Dayrun2=2,Dayrun2=3,Dayrun2=10),VLOOKUP($A86,ScaledPrice2,9),0))</f>
        <v> </v>
      </c>
      <c r="I86" s="317" t="str">
        <f aca="false">IF(A86="N/A"," ",IF(OR(Dayrun2=3,Dayrun2=6,Dayrun2=9),(VLOOKUP(A86,ScaledPrice2,IF(Scaler2=2,7,8))),0))</f>
        <v> </v>
      </c>
      <c r="J86" s="317" t="str">
        <f aca="false">IF(A86="N/A"," ",IF(OR(Dayrun2=3,Dayrun2=6),IF(Scaler2=2,I86,(VLOOKUP(A86,ScaledPrice2,7))*(2-(VLOOKUP(A86,ScaledPrice2,3)))),0))</f>
        <v> </v>
      </c>
      <c r="K86" s="317" t="str">
        <f aca="false">IF($A86="N/A"," ",IF(OR(Dayrun2=3,Dayrun2=10),VLOOKUP($A86,ScaledPrice2,9),0))</f>
        <v> </v>
      </c>
      <c r="L86" s="318" t="str">
        <f aca="false">IF($A86="N/A"," ",IF(Pricetype2=2,MAX(C86,0),IF(OR(Pricetype2=1,Pricetype2=4),IF(C86=0,0,(EURO(C86,Strikeprice2,0,0,($AH86+IF(Smile=TRUE(),VLOOKUP(MAX(-5,Strikeprice2-C86),Volsmile,2),0)),($A86-DateToday)+15,IF(Pricetype2=1,1,0),0))),C86)))</f>
        <v> </v>
      </c>
      <c r="M86" s="318" t="str">
        <f aca="false">IF($A86="N/A"," ",IF(Pricetype2=2,MAX(D86,0),IF(OR(Pricetype2=1,Pricetype2=4),IF(D86=0,0,(EURO(D86,Strikeprice2,0,0,($AH86+IF(Smile=TRUE(),VLOOKUP(MAX(-5,Strikeprice2-D86),Volsmile,2),0)),($A86-DateToday)+15,IF(Pricetype2=1,1,0),0))),D86)))</f>
        <v> </v>
      </c>
      <c r="N86" s="318" t="str">
        <f aca="false">IF($A86="N/A"," ",IF(Pricetype2=2,MAX(E86,0),IF(OR(Pricetype2=1,Pricetype2=4),IF(E86=0,0,(EURO(E86,Strikeprice2,0,0,($AK86+IF(Smile=TRUE(),VLOOKUP(MAX(-5,Strikeprice2-E86),Volsmile,2),0)),($A86-DateToday)+15,IF(Pricetype2=1,1,0),0))),E86)))</f>
        <v> </v>
      </c>
      <c r="O86" s="318" t="str">
        <f aca="false">IF($A86="N/A"," ",IF(Pricetype2=2,MAX(F86,0),IF(OR(Pricetype2=1,Pricetype2=4),IF(F86=0,0,(EURO(F86,Strikeprice2,0,0,($AK86+IF(Smile=TRUE(),VLOOKUP(MAX(-5,Strikeprice2-F86),Volsmile,2),0)),($A86-DateToday)+15,IF(Pricetype2=1,1,0),0))),F86)))</f>
        <v> </v>
      </c>
      <c r="P86" s="318" t="str">
        <f aca="false">IF($A86="N/A"," ",IF(Pricetype2=2,MAX(G86,0),IF(OR(Pricetype2=1,Pricetype2=4),IF(G86=0,0,(EURO(G86,Strikeprice2,0,0,($AK86+IF(Smile=TRUE(),VLOOKUP(MAX(-5,Strikeprice2-G86),Volsmile,2),0)),($A86-DateToday)+15,IF(Pricetype2=1,1,0),0))),G86)))</f>
        <v> </v>
      </c>
      <c r="Q86" s="318" t="str">
        <f aca="false">IF($A86="N/A"," ",IF(Pricetype2=2,MAX(H86,0),IF(OR(Pricetype2=1,Pricetype2=4),IF(H86=0,0,(EURO(H86,Strikeprice2,0,0,($AK86+IF(Smile=TRUE(),VLOOKUP(MAX(-5,Strikeprice2-H86),Volsmile,2),0)),($A86-DateToday)+15,IF(Pricetype2=1,1,0),0))),H86)))</f>
        <v> </v>
      </c>
      <c r="R86" s="318" t="str">
        <f aca="false">IF($A86="N/A"," ",IF(Pricetype2=2,MAX(I86,0),IF(OR(Pricetype2=1,Pricetype2=4),IF(I86=0,0,(EURO(I86,Strikeprice2,0,0,($AK86+IF(Smile=TRUE(),VLOOKUP(MAX(-5,Strikeprice2-I86),Volsmile,2),0)),($A86-DateToday)+15,IF(Pricetype2=1,1,0),0))),I86)))</f>
        <v> </v>
      </c>
      <c r="S86" s="318" t="str">
        <f aca="false">IF($A86="N/A"," ",IF(Pricetype2=2,MAX(J86,0),IF(OR(Pricetype2=1,Pricetype2=4),IF(J86=0,0,(EURO(J86,Strikeprice2,0,0,($AK86+IF(Smile=TRUE(),VLOOKUP(MAX(-5,Strikeprice2-J86),Volsmile,2),0)),($A86-DateToday)+15,IF(Pricetype2=1,1,0),0))),J86)))</f>
        <v> </v>
      </c>
      <c r="T86" s="318" t="str">
        <f aca="false">IF($A86="N/A"," ",IF(Pricetype2=2,MAX(K86,0),IF(OR(Pricetype2=1,Pricetype2=4),IF(K86=0,0,(EURO(K86,Strikeprice2,0,0,($AK86+IF(Smile=TRUE(),VLOOKUP(MAX(-5,Strikeprice2-K86),Volsmile,2),0)),($A86-DateToday)+15,IF(Pricetype2=1,1,0),0))),K86)))</f>
        <v> </v>
      </c>
      <c r="U86" s="319" t="str">
        <f aca="false">IF($A86="N/A"," ",Volume2*$AM86)</f>
        <v> </v>
      </c>
      <c r="V86" s="320" t="str">
        <f aca="false">IF($A86="N/A"," ",$U86*(8*($BQ86))*L86)</f>
        <v> </v>
      </c>
      <c r="W86" s="320" t="str">
        <f aca="false">IF($A86="N/A"," ",$U86*(8*($BQ86))*M86)</f>
        <v> </v>
      </c>
      <c r="X86" s="320" t="str">
        <f aca="false">IF($A86="N/A"," ",$U86*(8*($BQ86))*N86)</f>
        <v> </v>
      </c>
      <c r="Y86" s="320" t="str">
        <f aca="false">IF($A86="N/A"," ",$U86*(8*($BR86))*O86)</f>
        <v> </v>
      </c>
      <c r="Z86" s="320" t="str">
        <f aca="false">IF($A86="N/A"," ",$U86*(8*($BR86))*P86)</f>
        <v> </v>
      </c>
      <c r="AA86" s="320" t="str">
        <f aca="false">IF($A86="N/A"," ",$U86*(8*($BR86))*Q86)</f>
        <v> </v>
      </c>
      <c r="AB86" s="320" t="str">
        <f aca="false">IF($A86="N/A"," ",$U86*(8*($BS86))*R86)</f>
        <v> </v>
      </c>
      <c r="AC86" s="320" t="str">
        <f aca="false">IF($A86="N/A"," ",$U86*(8*($BS86))*S86)</f>
        <v> </v>
      </c>
      <c r="AD86" s="320" t="str">
        <f aca="false">IF($A86="N/A"," ",$U86*(8*($BS86))*T86)</f>
        <v> </v>
      </c>
      <c r="AE86" s="320" t="str">
        <f aca="false">IF($A86="N/A"," ",SUM(V86:AD86))</f>
        <v> </v>
      </c>
      <c r="AF86" s="321" t="str">
        <f aca="false">IF(A86="N/A"," ",(VLOOKUP(A86,PowerVolTable,(IF(VolBMO2=2,7,IF(VolBMO2=1,6,8))),FALSE())))</f>
        <v> </v>
      </c>
      <c r="AG86" s="321" t="str">
        <f aca="false">IF(A86="N/A"," ",(VLOOKUP(A86,IntraPowerVol,(IF(VolBMO2=2,3,IF(VolBMO2=1,2,4))),FALSE())*VLOOKUP(MONTH($A86),Volscale,2)))</f>
        <v> </v>
      </c>
      <c r="AH86" s="321" t="str">
        <f aca="false">IF($A86="N/A"," ",IF(VolType2=1,AG86,AF86))</f>
        <v> </v>
      </c>
      <c r="AI86" s="321" t="str">
        <f aca="false">IF($A86="N/A"," ",(VLOOKUP($A86,OffPwrVolTable,(IF(VolBMO2=2,7,IF(VolBMO2=1,6,8))),FALSE())))</f>
        <v> </v>
      </c>
      <c r="AJ86" s="321" t="str">
        <f aca="false">IF($A86="N/A"," ",(VLOOKUP($A86,OffPwrVolTable,(IF(VolBMO2=2,3,IF(VolBMO2=1,2,4))),FALSE())*VLOOKUP(MONTH($A86),Volscale,2)))</f>
        <v> </v>
      </c>
      <c r="AK86" s="321" t="str">
        <f aca="false">IF($A86="N/A"," ",IF(VolType2=1,AJ86,AI86))</f>
        <v> </v>
      </c>
      <c r="AL86" s="321" t="str">
        <f aca="false">IF($A86="N/A"," ",IF(PV=1,0,'Pricing Inputs2'!R119))</f>
        <v> </v>
      </c>
      <c r="AM86" s="323" t="str">
        <f aca="false">IF($A86="N/A"," ",(1+AL86/2)^(-2*((EOMONTH(A86,0)+20)-DateToday)/365.25))</f>
        <v> </v>
      </c>
      <c r="BQ86" s="0" t="str">
        <f aca="false">IF($A86="N/A"," ",(VLOOKUP($A86,NumberofDaysTable,2)))</f>
        <v> </v>
      </c>
      <c r="BR86" s="0" t="str">
        <f aca="false">IF($A86="N/A"," ",(VLOOKUP($A86,NumberofDaysTable,3)))</f>
        <v> </v>
      </c>
      <c r="BS86" s="0" t="str">
        <f aca="false">IF($A86="N/A"," ",(VLOOKUP($A86,NumberofDaysTable,4)))</f>
        <v> </v>
      </c>
    </row>
    <row r="87" customFormat="false" ht="12.75" hidden="false" customHeight="false" outlineLevel="0" collapsed="false">
      <c r="A87" s="315" t="str">
        <f aca="false">IF(A86="N/A","N/A",IF(EDATE(A86,1)&gt;Inputs!$P$5,"N/A",EDATE(A86,1)))</f>
        <v>N/A</v>
      </c>
      <c r="B87" s="316" t="str">
        <f aca="false">IF(A87="N/A"," ",YEAR(A87))</f>
        <v> </v>
      </c>
      <c r="C87" s="317" t="str">
        <f aca="false">IF($A87="N/A"," ",IF(Dayrun2=10,0,IF(Scaler2=1,(VLOOKUP(A87,ScaledPrice2,4)),(VLOOKUP(A87,ScaledPrice2,2)))))</f>
        <v> </v>
      </c>
      <c r="D87" s="317" t="str">
        <f aca="false">IF(A87="N/A"," ",IF(Dayrun2&gt;=7,0,IF(Scaler2=2,VLOOKUP(A87,ScaledPrice2,2),(VLOOKUP(A87,ScaledPrice2,2))*(2-(VLOOKUP(A87,ScaledPrice2,3))))))</f>
        <v> </v>
      </c>
      <c r="E87" s="317" t="str">
        <f aca="false">IF($A87="N/A"," ",IF(AND(Dayrun2&gt;=4,Dayrun2&lt;=9),0,VLOOKUP($A87,ScaledPrice2,9)))</f>
        <v> </v>
      </c>
      <c r="F87" s="317" t="str">
        <f aca="false">IF(A87="N/A"," ",IF(OR(Dayrun2=2,Dayrun2=3,Dayrun2=5,Dayrun2=6,Dayrun2=8,Dayrun2=9),VLOOKUP(A87,ScaledPrice2,IF(Scaler2=1,6,5)),0))</f>
        <v> </v>
      </c>
      <c r="G87" s="317" t="str">
        <f aca="false">IF(A87="N/A"," ",IF(OR(Dayrun2=2,Dayrun2=3,Dayrun2=5,Dayrun2=6),IF(Scaler2=2,F87,(VLOOKUP(A87,ScaledPrice2,5))*(2-(VLOOKUP(A87,ScaledPrice2,3)))),0))</f>
        <v> </v>
      </c>
      <c r="H87" s="317" t="str">
        <f aca="false">IF($A87="N/A"," ",IF(OR(Dayrun2=2,Dayrun2=3,Dayrun2=10),VLOOKUP($A87,ScaledPrice2,9),0))</f>
        <v> </v>
      </c>
      <c r="I87" s="317" t="str">
        <f aca="false">IF(A87="N/A"," ",IF(OR(Dayrun2=3,Dayrun2=6,Dayrun2=9),(VLOOKUP(A87,ScaledPrice2,IF(Scaler2=2,7,8))),0))</f>
        <v> </v>
      </c>
      <c r="J87" s="317" t="str">
        <f aca="false">IF(A87="N/A"," ",IF(OR(Dayrun2=3,Dayrun2=6),IF(Scaler2=2,I87,(VLOOKUP(A87,ScaledPrice2,7))*(2-(VLOOKUP(A87,ScaledPrice2,3)))),0))</f>
        <v> </v>
      </c>
      <c r="K87" s="317" t="str">
        <f aca="false">IF($A87="N/A"," ",IF(OR(Dayrun2=3,Dayrun2=10),VLOOKUP($A87,ScaledPrice2,9),0))</f>
        <v> </v>
      </c>
      <c r="L87" s="318" t="str">
        <f aca="false">IF($A87="N/A"," ",IF(Pricetype2=2,MAX(C87,0),IF(OR(Pricetype2=1,Pricetype2=4),IF(C87=0,0,(EURO(C87,Strikeprice2,0,0,($AH87+IF(Smile=TRUE(),VLOOKUP(MAX(-5,Strikeprice2-C87),Volsmile,2),0)),($A87-DateToday)+15,IF(Pricetype2=1,1,0),0))),C87)))</f>
        <v> </v>
      </c>
      <c r="M87" s="318" t="str">
        <f aca="false">IF($A87="N/A"," ",IF(Pricetype2=2,MAX(D87,0),IF(OR(Pricetype2=1,Pricetype2=4),IF(D87=0,0,(EURO(D87,Strikeprice2,0,0,($AH87+IF(Smile=TRUE(),VLOOKUP(MAX(-5,Strikeprice2-D87),Volsmile,2),0)),($A87-DateToday)+15,IF(Pricetype2=1,1,0),0))),D87)))</f>
        <v> </v>
      </c>
      <c r="N87" s="318" t="str">
        <f aca="false">IF($A87="N/A"," ",IF(Pricetype2=2,MAX(E87,0),IF(OR(Pricetype2=1,Pricetype2=4),IF(E87=0,0,(EURO(E87,Strikeprice2,0,0,($AK87+IF(Smile=TRUE(),VLOOKUP(MAX(-5,Strikeprice2-E87),Volsmile,2),0)),($A87-DateToday)+15,IF(Pricetype2=1,1,0),0))),E87)))</f>
        <v> </v>
      </c>
      <c r="O87" s="318" t="str">
        <f aca="false">IF($A87="N/A"," ",IF(Pricetype2=2,MAX(F87,0),IF(OR(Pricetype2=1,Pricetype2=4),IF(F87=0,0,(EURO(F87,Strikeprice2,0,0,($AK87+IF(Smile=TRUE(),VLOOKUP(MAX(-5,Strikeprice2-F87),Volsmile,2),0)),($A87-DateToday)+15,IF(Pricetype2=1,1,0),0))),F87)))</f>
        <v> </v>
      </c>
      <c r="P87" s="318" t="str">
        <f aca="false">IF($A87="N/A"," ",IF(Pricetype2=2,MAX(G87,0),IF(OR(Pricetype2=1,Pricetype2=4),IF(G87=0,0,(EURO(G87,Strikeprice2,0,0,($AK87+IF(Smile=TRUE(),VLOOKUP(MAX(-5,Strikeprice2-G87),Volsmile,2),0)),($A87-DateToday)+15,IF(Pricetype2=1,1,0),0))),G87)))</f>
        <v> </v>
      </c>
      <c r="Q87" s="318" t="str">
        <f aca="false">IF($A87="N/A"," ",IF(Pricetype2=2,MAX(H87,0),IF(OR(Pricetype2=1,Pricetype2=4),IF(H87=0,0,(EURO(H87,Strikeprice2,0,0,($AK87+IF(Smile=TRUE(),VLOOKUP(MAX(-5,Strikeprice2-H87),Volsmile,2),0)),($A87-DateToday)+15,IF(Pricetype2=1,1,0),0))),H87)))</f>
        <v> </v>
      </c>
      <c r="R87" s="318" t="str">
        <f aca="false">IF($A87="N/A"," ",IF(Pricetype2=2,MAX(I87,0),IF(OR(Pricetype2=1,Pricetype2=4),IF(I87=0,0,(EURO(I87,Strikeprice2,0,0,($AK87+IF(Smile=TRUE(),VLOOKUP(MAX(-5,Strikeprice2-I87),Volsmile,2),0)),($A87-DateToday)+15,IF(Pricetype2=1,1,0),0))),I87)))</f>
        <v> </v>
      </c>
      <c r="S87" s="318" t="str">
        <f aca="false">IF($A87="N/A"," ",IF(Pricetype2=2,MAX(J87,0),IF(OR(Pricetype2=1,Pricetype2=4),IF(J87=0,0,(EURO(J87,Strikeprice2,0,0,($AK87+IF(Smile=TRUE(),VLOOKUP(MAX(-5,Strikeprice2-J87),Volsmile,2),0)),($A87-DateToday)+15,IF(Pricetype2=1,1,0),0))),J87)))</f>
        <v> </v>
      </c>
      <c r="T87" s="318" t="str">
        <f aca="false">IF($A87="N/A"," ",IF(Pricetype2=2,MAX(K87,0),IF(OR(Pricetype2=1,Pricetype2=4),IF(K87=0,0,(EURO(K87,Strikeprice2,0,0,($AK87+IF(Smile=TRUE(),VLOOKUP(MAX(-5,Strikeprice2-K87),Volsmile,2),0)),($A87-DateToday)+15,IF(Pricetype2=1,1,0),0))),K87)))</f>
        <v> </v>
      </c>
      <c r="U87" s="319" t="str">
        <f aca="false">IF($A87="N/A"," ",Volume2*$AM87)</f>
        <v> </v>
      </c>
      <c r="V87" s="320" t="str">
        <f aca="false">IF($A87="N/A"," ",$U87*(8*($BQ87))*L87)</f>
        <v> </v>
      </c>
      <c r="W87" s="320" t="str">
        <f aca="false">IF($A87="N/A"," ",$U87*(8*($BQ87))*M87)</f>
        <v> </v>
      </c>
      <c r="X87" s="320" t="str">
        <f aca="false">IF($A87="N/A"," ",$U87*(8*($BQ87))*N87)</f>
        <v> </v>
      </c>
      <c r="Y87" s="320" t="str">
        <f aca="false">IF($A87="N/A"," ",$U87*(8*($BR87))*O87)</f>
        <v> </v>
      </c>
      <c r="Z87" s="320" t="str">
        <f aca="false">IF($A87="N/A"," ",$U87*(8*($BR87))*P87)</f>
        <v> </v>
      </c>
      <c r="AA87" s="320" t="str">
        <f aca="false">IF($A87="N/A"," ",$U87*(8*($BR87))*Q87)</f>
        <v> </v>
      </c>
      <c r="AB87" s="320" t="str">
        <f aca="false">IF($A87="N/A"," ",$U87*(8*($BS87))*R87)</f>
        <v> </v>
      </c>
      <c r="AC87" s="320" t="str">
        <f aca="false">IF($A87="N/A"," ",$U87*(8*($BS87))*S87)</f>
        <v> </v>
      </c>
      <c r="AD87" s="320" t="str">
        <f aca="false">IF($A87="N/A"," ",$U87*(8*($BS87))*T87)</f>
        <v> </v>
      </c>
      <c r="AE87" s="320" t="str">
        <f aca="false">IF($A87="N/A"," ",SUM(V87:AD87))</f>
        <v> </v>
      </c>
      <c r="AF87" s="321" t="str">
        <f aca="false">IF(A87="N/A"," ",(VLOOKUP(A87,PowerVolTable,(IF(VolBMO2=2,7,IF(VolBMO2=1,6,8))),FALSE())))</f>
        <v> </v>
      </c>
      <c r="AG87" s="321" t="str">
        <f aca="false">IF(A87="N/A"," ",(VLOOKUP(A87,IntraPowerVol,(IF(VolBMO2=2,3,IF(VolBMO2=1,2,4))),FALSE())*VLOOKUP(MONTH($A87),Volscale,2)))</f>
        <v> </v>
      </c>
      <c r="AH87" s="321" t="str">
        <f aca="false">IF($A87="N/A"," ",IF(VolType2=1,AG87,AF87))</f>
        <v> </v>
      </c>
      <c r="AI87" s="321" t="str">
        <f aca="false">IF($A87="N/A"," ",(VLOOKUP($A87,OffPwrVolTable,(IF(VolBMO2=2,7,IF(VolBMO2=1,6,8))),FALSE())))</f>
        <v> </v>
      </c>
      <c r="AJ87" s="321" t="str">
        <f aca="false">IF($A87="N/A"," ",(VLOOKUP($A87,OffPwrVolTable,(IF(VolBMO2=2,3,IF(VolBMO2=1,2,4))),FALSE())*VLOOKUP(MONTH($A87),Volscale,2)))</f>
        <v> </v>
      </c>
      <c r="AK87" s="321" t="str">
        <f aca="false">IF($A87="N/A"," ",IF(VolType2=1,AJ87,AI87))</f>
        <v> </v>
      </c>
      <c r="AL87" s="321" t="str">
        <f aca="false">IF($A87="N/A"," ",IF(PV=1,0,'Pricing Inputs2'!R120))</f>
        <v> </v>
      </c>
      <c r="AM87" s="323" t="str">
        <f aca="false">IF($A87="N/A"," ",(1+AL87/2)^(-2*((EOMONTH(A87,0)+20)-DateToday)/365.25))</f>
        <v> </v>
      </c>
      <c r="BQ87" s="0" t="str">
        <f aca="false">IF($A87="N/A"," ",(VLOOKUP($A87,NumberofDaysTable,2)))</f>
        <v> </v>
      </c>
      <c r="BR87" s="0" t="str">
        <f aca="false">IF($A87="N/A"," ",(VLOOKUP($A87,NumberofDaysTable,3)))</f>
        <v> </v>
      </c>
      <c r="BS87" s="0" t="str">
        <f aca="false">IF($A87="N/A"," ",(VLOOKUP($A87,NumberofDaysTable,4)))</f>
        <v> </v>
      </c>
    </row>
    <row r="88" customFormat="false" ht="12.75" hidden="false" customHeight="false" outlineLevel="0" collapsed="false">
      <c r="A88" s="315" t="str">
        <f aca="false">IF(A87="N/A","N/A",IF(EDATE(A87,1)&gt;Inputs!$P$5,"N/A",EDATE(A87,1)))</f>
        <v>N/A</v>
      </c>
      <c r="B88" s="316" t="str">
        <f aca="false">IF(A88="N/A"," ",YEAR(A88))</f>
        <v> </v>
      </c>
      <c r="C88" s="317" t="str">
        <f aca="false">IF($A88="N/A"," ",IF(Dayrun2=10,0,IF(Scaler2=1,(VLOOKUP(A88,ScaledPrice2,4)),(VLOOKUP(A88,ScaledPrice2,2)))))</f>
        <v> </v>
      </c>
      <c r="D88" s="317" t="str">
        <f aca="false">IF(A88="N/A"," ",IF(Dayrun2&gt;=7,0,IF(Scaler2=2,VLOOKUP(A88,ScaledPrice2,2),(VLOOKUP(A88,ScaledPrice2,2))*(2-(VLOOKUP(A88,ScaledPrice2,3))))))</f>
        <v> </v>
      </c>
      <c r="E88" s="317" t="str">
        <f aca="false">IF($A88="N/A"," ",IF(AND(Dayrun2&gt;=4,Dayrun2&lt;=9),0,VLOOKUP($A88,ScaledPrice2,9)))</f>
        <v> </v>
      </c>
      <c r="F88" s="317" t="str">
        <f aca="false">IF(A88="N/A"," ",IF(OR(Dayrun2=2,Dayrun2=3,Dayrun2=5,Dayrun2=6,Dayrun2=8,Dayrun2=9),VLOOKUP(A88,ScaledPrice2,IF(Scaler2=1,6,5)),0))</f>
        <v> </v>
      </c>
      <c r="G88" s="317" t="str">
        <f aca="false">IF(A88="N/A"," ",IF(OR(Dayrun2=2,Dayrun2=3,Dayrun2=5,Dayrun2=6),IF(Scaler2=2,F88,(VLOOKUP(A88,ScaledPrice2,5))*(2-(VLOOKUP(A88,ScaledPrice2,3)))),0))</f>
        <v> </v>
      </c>
      <c r="H88" s="317" t="str">
        <f aca="false">IF($A88="N/A"," ",IF(OR(Dayrun2=2,Dayrun2=3,Dayrun2=10),VLOOKUP($A88,ScaledPrice2,9),0))</f>
        <v> </v>
      </c>
      <c r="I88" s="317" t="str">
        <f aca="false">IF(A88="N/A"," ",IF(OR(Dayrun2=3,Dayrun2=6,Dayrun2=9),(VLOOKUP(A88,ScaledPrice2,IF(Scaler2=2,7,8))),0))</f>
        <v> </v>
      </c>
      <c r="J88" s="317" t="str">
        <f aca="false">IF(A88="N/A"," ",IF(OR(Dayrun2=3,Dayrun2=6),IF(Scaler2=2,I88,(VLOOKUP(A88,ScaledPrice2,7))*(2-(VLOOKUP(A88,ScaledPrice2,3)))),0))</f>
        <v> </v>
      </c>
      <c r="K88" s="317" t="str">
        <f aca="false">IF($A88="N/A"," ",IF(OR(Dayrun2=3,Dayrun2=10),VLOOKUP($A88,ScaledPrice2,9),0))</f>
        <v> </v>
      </c>
      <c r="L88" s="318" t="str">
        <f aca="false">IF($A88="N/A"," ",IF(Pricetype2=2,MAX(C88,0),IF(OR(Pricetype2=1,Pricetype2=4),IF(C88=0,0,(EURO(C88,Strikeprice2,0,0,($AH88+IF(Smile=TRUE(),VLOOKUP(MAX(-5,Strikeprice2-C88),Volsmile,2),0)),($A88-DateToday)+15,IF(Pricetype2=1,1,0),0))),C88)))</f>
        <v> </v>
      </c>
      <c r="M88" s="318" t="str">
        <f aca="false">IF($A88="N/A"," ",IF(Pricetype2=2,MAX(D88,0),IF(OR(Pricetype2=1,Pricetype2=4),IF(D88=0,0,(EURO(D88,Strikeprice2,0,0,($AH88+IF(Smile=TRUE(),VLOOKUP(MAX(-5,Strikeprice2-D88),Volsmile,2),0)),($A88-DateToday)+15,IF(Pricetype2=1,1,0),0))),D88)))</f>
        <v> </v>
      </c>
      <c r="N88" s="318" t="str">
        <f aca="false">IF($A88="N/A"," ",IF(Pricetype2=2,MAX(E88,0),IF(OR(Pricetype2=1,Pricetype2=4),IF(E88=0,0,(EURO(E88,Strikeprice2,0,0,($AK88+IF(Smile=TRUE(),VLOOKUP(MAX(-5,Strikeprice2-E88),Volsmile,2),0)),($A88-DateToday)+15,IF(Pricetype2=1,1,0),0))),E88)))</f>
        <v> </v>
      </c>
      <c r="O88" s="318" t="str">
        <f aca="false">IF($A88="N/A"," ",IF(Pricetype2=2,MAX(F88,0),IF(OR(Pricetype2=1,Pricetype2=4),IF(F88=0,0,(EURO(F88,Strikeprice2,0,0,($AK88+IF(Smile=TRUE(),VLOOKUP(MAX(-5,Strikeprice2-F88),Volsmile,2),0)),($A88-DateToday)+15,IF(Pricetype2=1,1,0),0))),F88)))</f>
        <v> </v>
      </c>
      <c r="P88" s="318" t="str">
        <f aca="false">IF($A88="N/A"," ",IF(Pricetype2=2,MAX(G88,0),IF(OR(Pricetype2=1,Pricetype2=4),IF(G88=0,0,(EURO(G88,Strikeprice2,0,0,($AK88+IF(Smile=TRUE(),VLOOKUP(MAX(-5,Strikeprice2-G88),Volsmile,2),0)),($A88-DateToday)+15,IF(Pricetype2=1,1,0),0))),G88)))</f>
        <v> </v>
      </c>
      <c r="Q88" s="318" t="str">
        <f aca="false">IF($A88="N/A"," ",IF(Pricetype2=2,MAX(H88,0),IF(OR(Pricetype2=1,Pricetype2=4),IF(H88=0,0,(EURO(H88,Strikeprice2,0,0,($AK88+IF(Smile=TRUE(),VLOOKUP(MAX(-5,Strikeprice2-H88),Volsmile,2),0)),($A88-DateToday)+15,IF(Pricetype2=1,1,0),0))),H88)))</f>
        <v> </v>
      </c>
      <c r="R88" s="318" t="str">
        <f aca="false">IF($A88="N/A"," ",IF(Pricetype2=2,MAX(I88,0),IF(OR(Pricetype2=1,Pricetype2=4),IF(I88=0,0,(EURO(I88,Strikeprice2,0,0,($AK88+IF(Smile=TRUE(),VLOOKUP(MAX(-5,Strikeprice2-I88),Volsmile,2),0)),($A88-DateToday)+15,IF(Pricetype2=1,1,0),0))),I88)))</f>
        <v> </v>
      </c>
      <c r="S88" s="318" t="str">
        <f aca="false">IF($A88="N/A"," ",IF(Pricetype2=2,MAX(J88,0),IF(OR(Pricetype2=1,Pricetype2=4),IF(J88=0,0,(EURO(J88,Strikeprice2,0,0,($AK88+IF(Smile=TRUE(),VLOOKUP(MAX(-5,Strikeprice2-J88),Volsmile,2),0)),($A88-DateToday)+15,IF(Pricetype2=1,1,0),0))),J88)))</f>
        <v> </v>
      </c>
      <c r="T88" s="318" t="str">
        <f aca="false">IF($A88="N/A"," ",IF(Pricetype2=2,MAX(K88,0),IF(OR(Pricetype2=1,Pricetype2=4),IF(K88=0,0,(EURO(K88,Strikeprice2,0,0,($AK88+IF(Smile=TRUE(),VLOOKUP(MAX(-5,Strikeprice2-K88),Volsmile,2),0)),($A88-DateToday)+15,IF(Pricetype2=1,1,0),0))),K88)))</f>
        <v> </v>
      </c>
      <c r="U88" s="319" t="str">
        <f aca="false">IF($A88="N/A"," ",Volume2*$AM88)</f>
        <v> </v>
      </c>
      <c r="V88" s="320" t="str">
        <f aca="false">IF($A88="N/A"," ",$U88*(8*($BQ88))*L88)</f>
        <v> </v>
      </c>
      <c r="W88" s="320" t="str">
        <f aca="false">IF($A88="N/A"," ",$U88*(8*($BQ88))*M88)</f>
        <v> </v>
      </c>
      <c r="X88" s="320" t="str">
        <f aca="false">IF($A88="N/A"," ",$U88*(8*($BQ88))*N88)</f>
        <v> </v>
      </c>
      <c r="Y88" s="320" t="str">
        <f aca="false">IF($A88="N/A"," ",$U88*(8*($BR88))*O88)</f>
        <v> </v>
      </c>
      <c r="Z88" s="320" t="str">
        <f aca="false">IF($A88="N/A"," ",$U88*(8*($BR88))*P88)</f>
        <v> </v>
      </c>
      <c r="AA88" s="320" t="str">
        <f aca="false">IF($A88="N/A"," ",$U88*(8*($BR88))*Q88)</f>
        <v> </v>
      </c>
      <c r="AB88" s="320" t="str">
        <f aca="false">IF($A88="N/A"," ",$U88*(8*($BS88))*R88)</f>
        <v> </v>
      </c>
      <c r="AC88" s="320" t="str">
        <f aca="false">IF($A88="N/A"," ",$U88*(8*($BS88))*S88)</f>
        <v> </v>
      </c>
      <c r="AD88" s="320" t="str">
        <f aca="false">IF($A88="N/A"," ",$U88*(8*($BS88))*T88)</f>
        <v> </v>
      </c>
      <c r="AE88" s="320" t="str">
        <f aca="false">IF($A88="N/A"," ",SUM(V88:AD88))</f>
        <v> </v>
      </c>
      <c r="AF88" s="321" t="str">
        <f aca="false">IF(A88="N/A"," ",(VLOOKUP(A88,PowerVolTable,(IF(VolBMO2=2,7,IF(VolBMO2=1,6,8))),FALSE())))</f>
        <v> </v>
      </c>
      <c r="AG88" s="321" t="str">
        <f aca="false">IF(A88="N/A"," ",(VLOOKUP(A88,IntraPowerVol,(IF(VolBMO2=2,3,IF(VolBMO2=1,2,4))),FALSE())*VLOOKUP(MONTH($A88),Volscale,2)))</f>
        <v> </v>
      </c>
      <c r="AH88" s="321" t="str">
        <f aca="false">IF($A88="N/A"," ",IF(VolType2=1,AG88,AF88))</f>
        <v> </v>
      </c>
      <c r="AI88" s="321" t="str">
        <f aca="false">IF($A88="N/A"," ",(VLOOKUP($A88,OffPwrVolTable,(IF(VolBMO2=2,7,IF(VolBMO2=1,6,8))),FALSE())))</f>
        <v> </v>
      </c>
      <c r="AJ88" s="321" t="str">
        <f aca="false">IF($A88="N/A"," ",(VLOOKUP($A88,OffPwrVolTable,(IF(VolBMO2=2,3,IF(VolBMO2=1,2,4))),FALSE())*VLOOKUP(MONTH($A88),Volscale,2)))</f>
        <v> </v>
      </c>
      <c r="AK88" s="321" t="str">
        <f aca="false">IF($A88="N/A"," ",IF(VolType2=1,AJ88,AI88))</f>
        <v> </v>
      </c>
      <c r="AL88" s="321" t="str">
        <f aca="false">IF($A88="N/A"," ",IF(PV=1,0,'Pricing Inputs2'!R121))</f>
        <v> </v>
      </c>
      <c r="AM88" s="323" t="str">
        <f aca="false">IF($A88="N/A"," ",(1+AL88/2)^(-2*((EOMONTH(A88,0)+20)-DateToday)/365.25))</f>
        <v> </v>
      </c>
      <c r="BQ88" s="0" t="str">
        <f aca="false">IF($A88="N/A"," ",(VLOOKUP($A88,NumberofDaysTable,2)))</f>
        <v> </v>
      </c>
      <c r="BR88" s="0" t="str">
        <f aca="false">IF($A88="N/A"," ",(VLOOKUP($A88,NumberofDaysTable,3)))</f>
        <v> </v>
      </c>
      <c r="BS88" s="0" t="str">
        <f aca="false">IF($A88="N/A"," ",(VLOOKUP($A88,NumberofDaysTable,4)))</f>
        <v> </v>
      </c>
    </row>
    <row r="89" customFormat="false" ht="12.75" hidden="false" customHeight="false" outlineLevel="0" collapsed="false">
      <c r="A89" s="315" t="str">
        <f aca="false">IF(A88="N/A","N/A",IF(EDATE(A88,1)&gt;Inputs!$P$5,"N/A",EDATE(A88,1)))</f>
        <v>N/A</v>
      </c>
      <c r="B89" s="316" t="str">
        <f aca="false">IF(A89="N/A"," ",YEAR(A89))</f>
        <v> </v>
      </c>
      <c r="C89" s="317" t="str">
        <f aca="false">IF($A89="N/A"," ",IF(Dayrun2=10,0,IF(Scaler2=1,(VLOOKUP(A89,ScaledPrice2,4)),(VLOOKUP(A89,ScaledPrice2,2)))))</f>
        <v> </v>
      </c>
      <c r="D89" s="317" t="str">
        <f aca="false">IF(A89="N/A"," ",IF(Dayrun2&gt;=7,0,IF(Scaler2=2,VLOOKUP(A89,ScaledPrice2,2),(VLOOKUP(A89,ScaledPrice2,2))*(2-(VLOOKUP(A89,ScaledPrice2,3))))))</f>
        <v> </v>
      </c>
      <c r="E89" s="317" t="str">
        <f aca="false">IF($A89="N/A"," ",IF(AND(Dayrun2&gt;=4,Dayrun2&lt;=9),0,VLOOKUP($A89,ScaledPrice2,9)))</f>
        <v> </v>
      </c>
      <c r="F89" s="317" t="str">
        <f aca="false">IF(A89="N/A"," ",IF(OR(Dayrun2=2,Dayrun2=3,Dayrun2=5,Dayrun2=6,Dayrun2=8,Dayrun2=9),VLOOKUP(A89,ScaledPrice2,IF(Scaler2=1,6,5)),0))</f>
        <v> </v>
      </c>
      <c r="G89" s="317" t="str">
        <f aca="false">IF(A89="N/A"," ",IF(OR(Dayrun2=2,Dayrun2=3,Dayrun2=5,Dayrun2=6),IF(Scaler2=2,F89,(VLOOKUP(A89,ScaledPrice2,5))*(2-(VLOOKUP(A89,ScaledPrice2,3)))),0))</f>
        <v> </v>
      </c>
      <c r="H89" s="317" t="str">
        <f aca="false">IF($A89="N/A"," ",IF(OR(Dayrun2=2,Dayrun2=3,Dayrun2=10),VLOOKUP($A89,ScaledPrice2,9),0))</f>
        <v> </v>
      </c>
      <c r="I89" s="317" t="str">
        <f aca="false">IF(A89="N/A"," ",IF(OR(Dayrun2=3,Dayrun2=6,Dayrun2=9),(VLOOKUP(A89,ScaledPrice2,IF(Scaler2=2,7,8))),0))</f>
        <v> </v>
      </c>
      <c r="J89" s="317" t="str">
        <f aca="false">IF(A89="N/A"," ",IF(OR(Dayrun2=3,Dayrun2=6),IF(Scaler2=2,I89,(VLOOKUP(A89,ScaledPrice2,7))*(2-(VLOOKUP(A89,ScaledPrice2,3)))),0))</f>
        <v> </v>
      </c>
      <c r="K89" s="317" t="str">
        <f aca="false">IF($A89="N/A"," ",IF(OR(Dayrun2=3,Dayrun2=10),VLOOKUP($A89,ScaledPrice2,9),0))</f>
        <v> </v>
      </c>
      <c r="L89" s="318" t="str">
        <f aca="false">IF($A89="N/A"," ",IF(Pricetype2=2,MAX(C89,0),IF(OR(Pricetype2=1,Pricetype2=4),IF(C89=0,0,(EURO(C89,Strikeprice2,0,0,($AH89+IF(Smile=TRUE(),VLOOKUP(MAX(-5,Strikeprice2-C89),Volsmile,2),0)),($A89-DateToday)+15,IF(Pricetype2=1,1,0),0))),C89)))</f>
        <v> </v>
      </c>
      <c r="M89" s="318" t="str">
        <f aca="false">IF($A89="N/A"," ",IF(Pricetype2=2,MAX(D89,0),IF(OR(Pricetype2=1,Pricetype2=4),IF(D89=0,0,(EURO(D89,Strikeprice2,0,0,($AH89+IF(Smile=TRUE(),VLOOKUP(MAX(-5,Strikeprice2-D89),Volsmile,2),0)),($A89-DateToday)+15,IF(Pricetype2=1,1,0),0))),D89)))</f>
        <v> </v>
      </c>
      <c r="N89" s="318" t="str">
        <f aca="false">IF($A89="N/A"," ",IF(Pricetype2=2,MAX(E89,0),IF(OR(Pricetype2=1,Pricetype2=4),IF(E89=0,0,(EURO(E89,Strikeprice2,0,0,($AK89+IF(Smile=TRUE(),VLOOKUP(MAX(-5,Strikeprice2-E89),Volsmile,2),0)),($A89-DateToday)+15,IF(Pricetype2=1,1,0),0))),E89)))</f>
        <v> </v>
      </c>
      <c r="O89" s="318" t="str">
        <f aca="false">IF($A89="N/A"," ",IF(Pricetype2=2,MAX(F89,0),IF(OR(Pricetype2=1,Pricetype2=4),IF(F89=0,0,(EURO(F89,Strikeprice2,0,0,($AK89+IF(Smile=TRUE(),VLOOKUP(MAX(-5,Strikeprice2-F89),Volsmile,2),0)),($A89-DateToday)+15,IF(Pricetype2=1,1,0),0))),F89)))</f>
        <v> </v>
      </c>
      <c r="P89" s="318" t="str">
        <f aca="false">IF($A89="N/A"," ",IF(Pricetype2=2,MAX(G89,0),IF(OR(Pricetype2=1,Pricetype2=4),IF(G89=0,0,(EURO(G89,Strikeprice2,0,0,($AK89+IF(Smile=TRUE(),VLOOKUP(MAX(-5,Strikeprice2-G89),Volsmile,2),0)),($A89-DateToday)+15,IF(Pricetype2=1,1,0),0))),G89)))</f>
        <v> </v>
      </c>
      <c r="Q89" s="318" t="str">
        <f aca="false">IF($A89="N/A"," ",IF(Pricetype2=2,MAX(H89,0),IF(OR(Pricetype2=1,Pricetype2=4),IF(H89=0,0,(EURO(H89,Strikeprice2,0,0,($AK89+IF(Smile=TRUE(),VLOOKUP(MAX(-5,Strikeprice2-H89),Volsmile,2),0)),($A89-DateToday)+15,IF(Pricetype2=1,1,0),0))),H89)))</f>
        <v> </v>
      </c>
      <c r="R89" s="318" t="str">
        <f aca="false">IF($A89="N/A"," ",IF(Pricetype2=2,MAX(I89,0),IF(OR(Pricetype2=1,Pricetype2=4),IF(I89=0,0,(EURO(I89,Strikeprice2,0,0,($AK89+IF(Smile=TRUE(),VLOOKUP(MAX(-5,Strikeprice2-I89),Volsmile,2),0)),($A89-DateToday)+15,IF(Pricetype2=1,1,0),0))),I89)))</f>
        <v> </v>
      </c>
      <c r="S89" s="318" t="str">
        <f aca="false">IF($A89="N/A"," ",IF(Pricetype2=2,MAX(J89,0),IF(OR(Pricetype2=1,Pricetype2=4),IF(J89=0,0,(EURO(J89,Strikeprice2,0,0,($AK89+IF(Smile=TRUE(),VLOOKUP(MAX(-5,Strikeprice2-J89),Volsmile,2),0)),($A89-DateToday)+15,IF(Pricetype2=1,1,0),0))),J89)))</f>
        <v> </v>
      </c>
      <c r="T89" s="318" t="str">
        <f aca="false">IF($A89="N/A"," ",IF(Pricetype2=2,MAX(K89,0),IF(OR(Pricetype2=1,Pricetype2=4),IF(K89=0,0,(EURO(K89,Strikeprice2,0,0,($AK89+IF(Smile=TRUE(),VLOOKUP(MAX(-5,Strikeprice2-K89),Volsmile,2),0)),($A89-DateToday)+15,IF(Pricetype2=1,1,0),0))),K89)))</f>
        <v> </v>
      </c>
      <c r="U89" s="319" t="str">
        <f aca="false">IF($A89="N/A"," ",Volume2*$AM89)</f>
        <v> </v>
      </c>
      <c r="V89" s="320" t="str">
        <f aca="false">IF($A89="N/A"," ",$U89*(8*($BQ89))*L89)</f>
        <v> </v>
      </c>
      <c r="W89" s="320" t="str">
        <f aca="false">IF($A89="N/A"," ",$U89*(8*($BQ89))*M89)</f>
        <v> </v>
      </c>
      <c r="X89" s="320" t="str">
        <f aca="false">IF($A89="N/A"," ",$U89*(8*($BQ89))*N89)</f>
        <v> </v>
      </c>
      <c r="Y89" s="320" t="str">
        <f aca="false">IF($A89="N/A"," ",$U89*(8*($BR89))*O89)</f>
        <v> </v>
      </c>
      <c r="Z89" s="320" t="str">
        <f aca="false">IF($A89="N/A"," ",$U89*(8*($BR89))*P89)</f>
        <v> </v>
      </c>
      <c r="AA89" s="320" t="str">
        <f aca="false">IF($A89="N/A"," ",$U89*(8*($BR89))*Q89)</f>
        <v> </v>
      </c>
      <c r="AB89" s="320" t="str">
        <f aca="false">IF($A89="N/A"," ",$U89*(8*($BS89))*R89)</f>
        <v> </v>
      </c>
      <c r="AC89" s="320" t="str">
        <f aca="false">IF($A89="N/A"," ",$U89*(8*($BS89))*S89)</f>
        <v> </v>
      </c>
      <c r="AD89" s="320" t="str">
        <f aca="false">IF($A89="N/A"," ",$U89*(8*($BS89))*T89)</f>
        <v> </v>
      </c>
      <c r="AE89" s="320" t="str">
        <f aca="false">IF($A89="N/A"," ",SUM(V89:AD89))</f>
        <v> </v>
      </c>
      <c r="AF89" s="321" t="str">
        <f aca="false">IF(A89="N/A"," ",(VLOOKUP(A89,PowerVolTable,(IF(VolBMO2=2,7,IF(VolBMO2=1,6,8))),FALSE())))</f>
        <v> </v>
      </c>
      <c r="AG89" s="321" t="str">
        <f aca="false">IF(A89="N/A"," ",(VLOOKUP(A89,IntraPowerVol,(IF(VolBMO2=2,3,IF(VolBMO2=1,2,4))),FALSE())*VLOOKUP(MONTH($A89),Volscale,2)))</f>
        <v> </v>
      </c>
      <c r="AH89" s="321" t="str">
        <f aca="false">IF($A89="N/A"," ",IF(VolType2=1,AG89,AF89))</f>
        <v> </v>
      </c>
      <c r="AI89" s="321" t="str">
        <f aca="false">IF($A89="N/A"," ",(VLOOKUP($A89,OffPwrVolTable,(IF(VolBMO2=2,7,IF(VolBMO2=1,6,8))),FALSE())))</f>
        <v> </v>
      </c>
      <c r="AJ89" s="321" t="str">
        <f aca="false">IF($A89="N/A"," ",(VLOOKUP($A89,OffPwrVolTable,(IF(VolBMO2=2,3,IF(VolBMO2=1,2,4))),FALSE())*VLOOKUP(MONTH($A89),Volscale,2)))</f>
        <v> </v>
      </c>
      <c r="AK89" s="321" t="str">
        <f aca="false">IF($A89="N/A"," ",IF(VolType2=1,AJ89,AI89))</f>
        <v> </v>
      </c>
      <c r="AL89" s="321" t="str">
        <f aca="false">IF($A89="N/A"," ",IF(PV=1,0,'Pricing Inputs2'!R122))</f>
        <v> </v>
      </c>
      <c r="AM89" s="323" t="str">
        <f aca="false">IF($A89="N/A"," ",(1+AL89/2)^(-2*((EOMONTH(A89,0)+20)-DateToday)/365.25))</f>
        <v> </v>
      </c>
      <c r="BQ89" s="0" t="str">
        <f aca="false">IF($A89="N/A"," ",(VLOOKUP($A89,NumberofDaysTable,2)))</f>
        <v> </v>
      </c>
      <c r="BR89" s="0" t="str">
        <f aca="false">IF($A89="N/A"," ",(VLOOKUP($A89,NumberofDaysTable,3)))</f>
        <v> </v>
      </c>
      <c r="BS89" s="0" t="str">
        <f aca="false">IF($A89="N/A"," ",(VLOOKUP($A89,NumberofDaysTable,4)))</f>
        <v> </v>
      </c>
    </row>
    <row r="90" customFormat="false" ht="12.75" hidden="false" customHeight="false" outlineLevel="0" collapsed="false">
      <c r="A90" s="315" t="str">
        <f aca="false">IF(A89="N/A","N/A",IF(EDATE(A89,1)&gt;Inputs!$P$5,"N/A",EDATE(A89,1)))</f>
        <v>N/A</v>
      </c>
      <c r="B90" s="316" t="str">
        <f aca="false">IF(A90="N/A"," ",YEAR(A90))</f>
        <v> </v>
      </c>
      <c r="C90" s="317" t="str">
        <f aca="false">IF($A90="N/A"," ",IF(Dayrun2=10,0,IF(Scaler2=1,(VLOOKUP(A90,ScaledPrice2,4)),(VLOOKUP(A90,ScaledPrice2,2)))))</f>
        <v> </v>
      </c>
      <c r="D90" s="317" t="str">
        <f aca="false">IF(A90="N/A"," ",IF(Dayrun2&gt;=7,0,IF(Scaler2=2,VLOOKUP(A90,ScaledPrice2,2),(VLOOKUP(A90,ScaledPrice2,2))*(2-(VLOOKUP(A90,ScaledPrice2,3))))))</f>
        <v> </v>
      </c>
      <c r="E90" s="317" t="str">
        <f aca="false">IF($A90="N/A"," ",IF(AND(Dayrun2&gt;=4,Dayrun2&lt;=9),0,VLOOKUP($A90,ScaledPrice2,9)))</f>
        <v> </v>
      </c>
      <c r="F90" s="317" t="str">
        <f aca="false">IF(A90="N/A"," ",IF(OR(Dayrun2=2,Dayrun2=3,Dayrun2=5,Dayrun2=6,Dayrun2=8,Dayrun2=9),VLOOKUP(A90,ScaledPrice2,IF(Scaler2=1,6,5)),0))</f>
        <v> </v>
      </c>
      <c r="G90" s="317" t="str">
        <f aca="false">IF(A90="N/A"," ",IF(OR(Dayrun2=2,Dayrun2=3,Dayrun2=5,Dayrun2=6),IF(Scaler2=2,F90,(VLOOKUP(A90,ScaledPrice2,5))*(2-(VLOOKUP(A90,ScaledPrice2,3)))),0))</f>
        <v> </v>
      </c>
      <c r="H90" s="317" t="str">
        <f aca="false">IF($A90="N/A"," ",IF(OR(Dayrun2=2,Dayrun2=3,Dayrun2=10),VLOOKUP($A90,ScaledPrice2,9),0))</f>
        <v> </v>
      </c>
      <c r="I90" s="317" t="str">
        <f aca="false">IF(A90="N/A"," ",IF(OR(Dayrun2=3,Dayrun2=6,Dayrun2=9),(VLOOKUP(A90,ScaledPrice2,IF(Scaler2=2,7,8))),0))</f>
        <v> </v>
      </c>
      <c r="J90" s="317" t="str">
        <f aca="false">IF(A90="N/A"," ",IF(OR(Dayrun2=3,Dayrun2=6),IF(Scaler2=2,I90,(VLOOKUP(A90,ScaledPrice2,7))*(2-(VLOOKUP(A90,ScaledPrice2,3)))),0))</f>
        <v> </v>
      </c>
      <c r="K90" s="317" t="str">
        <f aca="false">IF($A90="N/A"," ",IF(OR(Dayrun2=3,Dayrun2=10),VLOOKUP($A90,ScaledPrice2,9),0))</f>
        <v> </v>
      </c>
      <c r="L90" s="318" t="str">
        <f aca="false">IF($A90="N/A"," ",IF(Pricetype2=2,MAX(C90,0),IF(OR(Pricetype2=1,Pricetype2=4),IF(C90=0,0,(EURO(C90,Strikeprice2,0,0,($AH90+IF(Smile=TRUE(),VLOOKUP(MAX(-5,Strikeprice2-C90),Volsmile,2),0)),($A90-DateToday)+15,IF(Pricetype2=1,1,0),0))),C90)))</f>
        <v> </v>
      </c>
      <c r="M90" s="318" t="str">
        <f aca="false">IF($A90="N/A"," ",IF(Pricetype2=2,MAX(D90,0),IF(OR(Pricetype2=1,Pricetype2=4),IF(D90=0,0,(EURO(D90,Strikeprice2,0,0,($AH90+IF(Smile=TRUE(),VLOOKUP(MAX(-5,Strikeprice2-D90),Volsmile,2),0)),($A90-DateToday)+15,IF(Pricetype2=1,1,0),0))),D90)))</f>
        <v> </v>
      </c>
      <c r="N90" s="318" t="str">
        <f aca="false">IF($A90="N/A"," ",IF(Pricetype2=2,MAX(E90,0),IF(OR(Pricetype2=1,Pricetype2=4),IF(E90=0,0,(EURO(E90,Strikeprice2,0,0,($AK90+IF(Smile=TRUE(),VLOOKUP(MAX(-5,Strikeprice2-E90),Volsmile,2),0)),($A90-DateToday)+15,IF(Pricetype2=1,1,0),0))),E90)))</f>
        <v> </v>
      </c>
      <c r="O90" s="318" t="str">
        <f aca="false">IF($A90="N/A"," ",IF(Pricetype2=2,MAX(F90,0),IF(OR(Pricetype2=1,Pricetype2=4),IF(F90=0,0,(EURO(F90,Strikeprice2,0,0,($AK90+IF(Smile=TRUE(),VLOOKUP(MAX(-5,Strikeprice2-F90),Volsmile,2),0)),($A90-DateToday)+15,IF(Pricetype2=1,1,0),0))),F90)))</f>
        <v> </v>
      </c>
      <c r="P90" s="318" t="str">
        <f aca="false">IF($A90="N/A"," ",IF(Pricetype2=2,MAX(G90,0),IF(OR(Pricetype2=1,Pricetype2=4),IF(G90=0,0,(EURO(G90,Strikeprice2,0,0,($AK90+IF(Smile=TRUE(),VLOOKUP(MAX(-5,Strikeprice2-G90),Volsmile,2),0)),($A90-DateToday)+15,IF(Pricetype2=1,1,0),0))),G90)))</f>
        <v> </v>
      </c>
      <c r="Q90" s="318" t="str">
        <f aca="false">IF($A90="N/A"," ",IF(Pricetype2=2,MAX(H90,0),IF(OR(Pricetype2=1,Pricetype2=4),IF(H90=0,0,(EURO(H90,Strikeprice2,0,0,($AK90+IF(Smile=TRUE(),VLOOKUP(MAX(-5,Strikeprice2-H90),Volsmile,2),0)),($A90-DateToday)+15,IF(Pricetype2=1,1,0),0))),H90)))</f>
        <v> </v>
      </c>
      <c r="R90" s="318" t="str">
        <f aca="false">IF($A90="N/A"," ",IF(Pricetype2=2,MAX(I90,0),IF(OR(Pricetype2=1,Pricetype2=4),IF(I90=0,0,(EURO(I90,Strikeprice2,0,0,($AK90+IF(Smile=TRUE(),VLOOKUP(MAX(-5,Strikeprice2-I90),Volsmile,2),0)),($A90-DateToday)+15,IF(Pricetype2=1,1,0),0))),I90)))</f>
        <v> </v>
      </c>
      <c r="S90" s="318" t="str">
        <f aca="false">IF($A90="N/A"," ",IF(Pricetype2=2,MAX(J90,0),IF(OR(Pricetype2=1,Pricetype2=4),IF(J90=0,0,(EURO(J90,Strikeprice2,0,0,($AK90+IF(Smile=TRUE(),VLOOKUP(MAX(-5,Strikeprice2-J90),Volsmile,2),0)),($A90-DateToday)+15,IF(Pricetype2=1,1,0),0))),J90)))</f>
        <v> </v>
      </c>
      <c r="T90" s="318" t="str">
        <f aca="false">IF($A90="N/A"," ",IF(Pricetype2=2,MAX(K90,0),IF(OR(Pricetype2=1,Pricetype2=4),IF(K90=0,0,(EURO(K90,Strikeprice2,0,0,($AK90+IF(Smile=TRUE(),VLOOKUP(MAX(-5,Strikeprice2-K90),Volsmile,2),0)),($A90-DateToday)+15,IF(Pricetype2=1,1,0),0))),K90)))</f>
        <v> </v>
      </c>
      <c r="U90" s="319" t="str">
        <f aca="false">IF($A90="N/A"," ",Volume2*$AM90)</f>
        <v> </v>
      </c>
      <c r="V90" s="320" t="str">
        <f aca="false">IF($A90="N/A"," ",$U90*(8*($BQ90))*L90)</f>
        <v> </v>
      </c>
      <c r="W90" s="320" t="str">
        <f aca="false">IF($A90="N/A"," ",$U90*(8*($BQ90))*M90)</f>
        <v> </v>
      </c>
      <c r="X90" s="320" t="str">
        <f aca="false">IF($A90="N/A"," ",$U90*(8*($BQ90))*N90)</f>
        <v> </v>
      </c>
      <c r="Y90" s="320" t="str">
        <f aca="false">IF($A90="N/A"," ",$U90*(8*($BR90))*O90)</f>
        <v> </v>
      </c>
      <c r="Z90" s="320" t="str">
        <f aca="false">IF($A90="N/A"," ",$U90*(8*($BR90))*P90)</f>
        <v> </v>
      </c>
      <c r="AA90" s="320" t="str">
        <f aca="false">IF($A90="N/A"," ",$U90*(8*($BR90))*Q90)</f>
        <v> </v>
      </c>
      <c r="AB90" s="320" t="str">
        <f aca="false">IF($A90="N/A"," ",$U90*(8*($BS90))*R90)</f>
        <v> </v>
      </c>
      <c r="AC90" s="320" t="str">
        <f aca="false">IF($A90="N/A"," ",$U90*(8*($BS90))*S90)</f>
        <v> </v>
      </c>
      <c r="AD90" s="320" t="str">
        <f aca="false">IF($A90="N/A"," ",$U90*(8*($BS90))*T90)</f>
        <v> </v>
      </c>
      <c r="AE90" s="320" t="str">
        <f aca="false">IF($A90="N/A"," ",SUM(V90:AD90))</f>
        <v> </v>
      </c>
      <c r="AF90" s="321" t="str">
        <f aca="false">IF(A90="N/A"," ",(VLOOKUP(A90,PowerVolTable,(IF(VolBMO2=2,7,IF(VolBMO2=1,6,8))),FALSE())))</f>
        <v> </v>
      </c>
      <c r="AG90" s="321" t="str">
        <f aca="false">IF(A90="N/A"," ",(VLOOKUP(A90,IntraPowerVol,(IF(VolBMO2=2,3,IF(VolBMO2=1,2,4))),FALSE())*VLOOKUP(MONTH($A90),Volscale,2)))</f>
        <v> </v>
      </c>
      <c r="AH90" s="321" t="str">
        <f aca="false">IF($A90="N/A"," ",IF(VolType2=1,AG90,AF90))</f>
        <v> </v>
      </c>
      <c r="AI90" s="321" t="str">
        <f aca="false">IF($A90="N/A"," ",(VLOOKUP($A90,OffPwrVolTable,(IF(VolBMO2=2,7,IF(VolBMO2=1,6,8))),FALSE())))</f>
        <v> </v>
      </c>
      <c r="AJ90" s="321" t="str">
        <f aca="false">IF($A90="N/A"," ",(VLOOKUP($A90,OffPwrVolTable,(IF(VolBMO2=2,3,IF(VolBMO2=1,2,4))),FALSE())*VLOOKUP(MONTH($A90),Volscale,2)))</f>
        <v> </v>
      </c>
      <c r="AK90" s="321" t="str">
        <f aca="false">IF($A90="N/A"," ",IF(VolType2=1,AJ90,AI90))</f>
        <v> </v>
      </c>
      <c r="AL90" s="321" t="str">
        <f aca="false">IF($A90="N/A"," ",IF(PV=1,0,'Pricing Inputs2'!R123))</f>
        <v> </v>
      </c>
      <c r="AM90" s="323" t="str">
        <f aca="false">IF($A90="N/A"," ",(1+AL90/2)^(-2*((EOMONTH(A90,0)+20)-DateToday)/365.25))</f>
        <v> </v>
      </c>
      <c r="BQ90" s="0" t="str">
        <f aca="false">IF($A90="N/A"," ",(VLOOKUP($A90,NumberofDaysTable,2)))</f>
        <v> </v>
      </c>
      <c r="BR90" s="0" t="str">
        <f aca="false">IF($A90="N/A"," ",(VLOOKUP($A90,NumberofDaysTable,3)))</f>
        <v> </v>
      </c>
      <c r="BS90" s="0" t="str">
        <f aca="false">IF($A90="N/A"," ",(VLOOKUP($A90,NumberofDaysTable,4)))</f>
        <v> </v>
      </c>
    </row>
    <row r="91" customFormat="false" ht="12.75" hidden="false" customHeight="false" outlineLevel="0" collapsed="false">
      <c r="A91" s="315" t="str">
        <f aca="false">IF(A90="N/A","N/A",IF(EDATE(A90,1)&gt;Inputs!$P$5,"N/A",EDATE(A90,1)))</f>
        <v>N/A</v>
      </c>
      <c r="B91" s="316" t="str">
        <f aca="false">IF(A91="N/A"," ",YEAR(A91))</f>
        <v> </v>
      </c>
      <c r="C91" s="317" t="str">
        <f aca="false">IF($A91="N/A"," ",IF(Dayrun2=10,0,IF(Scaler2=1,(VLOOKUP(A91,ScaledPrice2,4)),(VLOOKUP(A91,ScaledPrice2,2)))))</f>
        <v> </v>
      </c>
      <c r="D91" s="317" t="str">
        <f aca="false">IF(A91="N/A"," ",IF(Dayrun2&gt;=7,0,IF(Scaler2=2,VLOOKUP(A91,ScaledPrice2,2),(VLOOKUP(A91,ScaledPrice2,2))*(2-(VLOOKUP(A91,ScaledPrice2,3))))))</f>
        <v> </v>
      </c>
      <c r="E91" s="317" t="str">
        <f aca="false">IF($A91="N/A"," ",IF(AND(Dayrun2&gt;=4,Dayrun2&lt;=9),0,VLOOKUP($A91,ScaledPrice2,9)))</f>
        <v> </v>
      </c>
      <c r="F91" s="317" t="str">
        <f aca="false">IF(A91="N/A"," ",IF(OR(Dayrun2=2,Dayrun2=3,Dayrun2=5,Dayrun2=6,Dayrun2=8,Dayrun2=9),VLOOKUP(A91,ScaledPrice2,IF(Scaler2=1,6,5)),0))</f>
        <v> </v>
      </c>
      <c r="G91" s="317" t="str">
        <f aca="false">IF(A91="N/A"," ",IF(OR(Dayrun2=2,Dayrun2=3,Dayrun2=5,Dayrun2=6),IF(Scaler2=2,F91,(VLOOKUP(A91,ScaledPrice2,5))*(2-(VLOOKUP(A91,ScaledPrice2,3)))),0))</f>
        <v> </v>
      </c>
      <c r="H91" s="317" t="str">
        <f aca="false">IF($A91="N/A"," ",IF(OR(Dayrun2=2,Dayrun2=3,Dayrun2=10),VLOOKUP($A91,ScaledPrice2,9),0))</f>
        <v> </v>
      </c>
      <c r="I91" s="317" t="str">
        <f aca="false">IF(A91="N/A"," ",IF(OR(Dayrun2=3,Dayrun2=6,Dayrun2=9),(VLOOKUP(A91,ScaledPrice2,IF(Scaler2=2,7,8))),0))</f>
        <v> </v>
      </c>
      <c r="J91" s="317" t="str">
        <f aca="false">IF(A91="N/A"," ",IF(OR(Dayrun2=3,Dayrun2=6),IF(Scaler2=2,I91,(VLOOKUP(A91,ScaledPrice2,7))*(2-(VLOOKUP(A91,ScaledPrice2,3)))),0))</f>
        <v> </v>
      </c>
      <c r="K91" s="317" t="str">
        <f aca="false">IF($A91="N/A"," ",IF(OR(Dayrun2=3,Dayrun2=10),VLOOKUP($A91,ScaledPrice2,9),0))</f>
        <v> </v>
      </c>
      <c r="L91" s="318" t="str">
        <f aca="false">IF($A91="N/A"," ",IF(Pricetype2=2,MAX(C91,0),IF(OR(Pricetype2=1,Pricetype2=4),IF(C91=0,0,(EURO(C91,Strikeprice2,0,0,($AH91+IF(Smile=TRUE(),VLOOKUP(MAX(-5,Strikeprice2-C91),Volsmile,2),0)),($A91-DateToday)+15,IF(Pricetype2=1,1,0),0))),C91)))</f>
        <v> </v>
      </c>
      <c r="M91" s="318" t="str">
        <f aca="false">IF($A91="N/A"," ",IF(Pricetype2=2,MAX(D91,0),IF(OR(Pricetype2=1,Pricetype2=4),IF(D91=0,0,(EURO(D91,Strikeprice2,0,0,($AH91+IF(Smile=TRUE(),VLOOKUP(MAX(-5,Strikeprice2-D91),Volsmile,2),0)),($A91-DateToday)+15,IF(Pricetype2=1,1,0),0))),D91)))</f>
        <v> </v>
      </c>
      <c r="N91" s="318" t="str">
        <f aca="false">IF($A91="N/A"," ",IF(Pricetype2=2,MAX(E91,0),IF(OR(Pricetype2=1,Pricetype2=4),IF(E91=0,0,(EURO(E91,Strikeprice2,0,0,($AK91+IF(Smile=TRUE(),VLOOKUP(MAX(-5,Strikeprice2-E91),Volsmile,2),0)),($A91-DateToday)+15,IF(Pricetype2=1,1,0),0))),E91)))</f>
        <v> </v>
      </c>
      <c r="O91" s="318" t="str">
        <f aca="false">IF($A91="N/A"," ",IF(Pricetype2=2,MAX(F91,0),IF(OR(Pricetype2=1,Pricetype2=4),IF(F91=0,0,(EURO(F91,Strikeprice2,0,0,($AK91+IF(Smile=TRUE(),VLOOKUP(MAX(-5,Strikeprice2-F91),Volsmile,2),0)),($A91-DateToday)+15,IF(Pricetype2=1,1,0),0))),F91)))</f>
        <v> </v>
      </c>
      <c r="P91" s="318" t="str">
        <f aca="false">IF($A91="N/A"," ",IF(Pricetype2=2,MAX(G91,0),IF(OR(Pricetype2=1,Pricetype2=4),IF(G91=0,0,(EURO(G91,Strikeprice2,0,0,($AK91+IF(Smile=TRUE(),VLOOKUP(MAX(-5,Strikeprice2-G91),Volsmile,2),0)),($A91-DateToday)+15,IF(Pricetype2=1,1,0),0))),G91)))</f>
        <v> </v>
      </c>
      <c r="Q91" s="318" t="str">
        <f aca="false">IF($A91="N/A"," ",IF(Pricetype2=2,MAX(H91,0),IF(OR(Pricetype2=1,Pricetype2=4),IF(H91=0,0,(EURO(H91,Strikeprice2,0,0,($AK91+IF(Smile=TRUE(),VLOOKUP(MAX(-5,Strikeprice2-H91),Volsmile,2),0)),($A91-DateToday)+15,IF(Pricetype2=1,1,0),0))),H91)))</f>
        <v> </v>
      </c>
      <c r="R91" s="318" t="str">
        <f aca="false">IF($A91="N/A"," ",IF(Pricetype2=2,MAX(I91,0),IF(OR(Pricetype2=1,Pricetype2=4),IF(I91=0,0,(EURO(I91,Strikeprice2,0,0,($AK91+IF(Smile=TRUE(),VLOOKUP(MAX(-5,Strikeprice2-I91),Volsmile,2),0)),($A91-DateToday)+15,IF(Pricetype2=1,1,0),0))),I91)))</f>
        <v> </v>
      </c>
      <c r="S91" s="318" t="str">
        <f aca="false">IF($A91="N/A"," ",IF(Pricetype2=2,MAX(J91,0),IF(OR(Pricetype2=1,Pricetype2=4),IF(J91=0,0,(EURO(J91,Strikeprice2,0,0,($AK91+IF(Smile=TRUE(),VLOOKUP(MAX(-5,Strikeprice2-J91),Volsmile,2),0)),($A91-DateToday)+15,IF(Pricetype2=1,1,0),0))),J91)))</f>
        <v> </v>
      </c>
      <c r="T91" s="318" t="str">
        <f aca="false">IF($A91="N/A"," ",IF(Pricetype2=2,MAX(K91,0),IF(OR(Pricetype2=1,Pricetype2=4),IF(K91=0,0,(EURO(K91,Strikeprice2,0,0,($AK91+IF(Smile=TRUE(),VLOOKUP(MAX(-5,Strikeprice2-K91),Volsmile,2),0)),($A91-DateToday)+15,IF(Pricetype2=1,1,0),0))),K91)))</f>
        <v> </v>
      </c>
      <c r="U91" s="319" t="str">
        <f aca="false">IF($A91="N/A"," ",Volume2*$AM91)</f>
        <v> </v>
      </c>
      <c r="V91" s="320" t="str">
        <f aca="false">IF($A91="N/A"," ",$U91*(8*($BQ91))*L91)</f>
        <v> </v>
      </c>
      <c r="W91" s="320" t="str">
        <f aca="false">IF($A91="N/A"," ",$U91*(8*($BQ91))*M91)</f>
        <v> </v>
      </c>
      <c r="X91" s="320" t="str">
        <f aca="false">IF($A91="N/A"," ",$U91*(8*($BQ91))*N91)</f>
        <v> </v>
      </c>
      <c r="Y91" s="320" t="str">
        <f aca="false">IF($A91="N/A"," ",$U91*(8*($BR91))*O91)</f>
        <v> </v>
      </c>
      <c r="Z91" s="320" t="str">
        <f aca="false">IF($A91="N/A"," ",$U91*(8*($BR91))*P91)</f>
        <v> </v>
      </c>
      <c r="AA91" s="320" t="str">
        <f aca="false">IF($A91="N/A"," ",$U91*(8*($BR91))*Q91)</f>
        <v> </v>
      </c>
      <c r="AB91" s="320" t="str">
        <f aca="false">IF($A91="N/A"," ",$U91*(8*($BS91))*R91)</f>
        <v> </v>
      </c>
      <c r="AC91" s="320" t="str">
        <f aca="false">IF($A91="N/A"," ",$U91*(8*($BS91))*S91)</f>
        <v> </v>
      </c>
      <c r="AD91" s="320" t="str">
        <f aca="false">IF($A91="N/A"," ",$U91*(8*($BS91))*T91)</f>
        <v> </v>
      </c>
      <c r="AE91" s="320" t="str">
        <f aca="false">IF($A91="N/A"," ",SUM(V91:AD91))</f>
        <v> </v>
      </c>
      <c r="AF91" s="321" t="str">
        <f aca="false">IF(A91="N/A"," ",(VLOOKUP(A91,PowerVolTable,(IF(VolBMO2=2,7,IF(VolBMO2=1,6,8))),FALSE())))</f>
        <v> </v>
      </c>
      <c r="AG91" s="321" t="str">
        <f aca="false">IF(A91="N/A"," ",(VLOOKUP(A91,IntraPowerVol,(IF(VolBMO2=2,3,IF(VolBMO2=1,2,4))),FALSE())*VLOOKUP(MONTH($A91),Volscale,2)))</f>
        <v> </v>
      </c>
      <c r="AH91" s="321" t="str">
        <f aca="false">IF($A91="N/A"," ",IF(VolType2=1,AG91,AF91))</f>
        <v> </v>
      </c>
      <c r="AI91" s="321" t="str">
        <f aca="false">IF($A91="N/A"," ",(VLOOKUP($A91,OffPwrVolTable,(IF(VolBMO2=2,7,IF(VolBMO2=1,6,8))),FALSE())))</f>
        <v> </v>
      </c>
      <c r="AJ91" s="321" t="str">
        <f aca="false">IF($A91="N/A"," ",(VLOOKUP($A91,OffPwrVolTable,(IF(VolBMO2=2,3,IF(VolBMO2=1,2,4))),FALSE())*VLOOKUP(MONTH($A91),Volscale,2)))</f>
        <v> </v>
      </c>
      <c r="AK91" s="321" t="str">
        <f aca="false">IF($A91="N/A"," ",IF(VolType2=1,AJ91,AI91))</f>
        <v> </v>
      </c>
      <c r="AL91" s="321" t="str">
        <f aca="false">IF($A91="N/A"," ",IF(PV=1,0,'Pricing Inputs2'!R124))</f>
        <v> </v>
      </c>
      <c r="AM91" s="323" t="str">
        <f aca="false">IF($A91="N/A"," ",(1+AL91/2)^(-2*((EOMONTH(A91,0)+20)-DateToday)/365.25))</f>
        <v> </v>
      </c>
      <c r="BQ91" s="0" t="str">
        <f aca="false">IF($A91="N/A"," ",(VLOOKUP($A91,NumberofDaysTable,2)))</f>
        <v> </v>
      </c>
      <c r="BR91" s="0" t="str">
        <f aca="false">IF($A91="N/A"," ",(VLOOKUP($A91,NumberofDaysTable,3)))</f>
        <v> </v>
      </c>
      <c r="BS91" s="0" t="str">
        <f aca="false">IF($A91="N/A"," ",(VLOOKUP($A91,NumberofDaysTable,4)))</f>
        <v> </v>
      </c>
    </row>
    <row r="92" customFormat="false" ht="12.75" hidden="false" customHeight="false" outlineLevel="0" collapsed="false">
      <c r="A92" s="315" t="str">
        <f aca="false">IF(A91="N/A","N/A",IF(EDATE(A91,1)&gt;Inputs!$P$5,"N/A",EDATE(A91,1)))</f>
        <v>N/A</v>
      </c>
      <c r="B92" s="316" t="str">
        <f aca="false">IF(A92="N/A"," ",YEAR(A92))</f>
        <v> </v>
      </c>
      <c r="C92" s="317" t="str">
        <f aca="false">IF($A92="N/A"," ",IF(Dayrun2=10,0,IF(Scaler2=1,(VLOOKUP(A92,ScaledPrice2,4)),(VLOOKUP(A92,ScaledPrice2,2)))))</f>
        <v> </v>
      </c>
      <c r="D92" s="317" t="str">
        <f aca="false">IF(A92="N/A"," ",IF(Dayrun2&gt;=7,0,IF(Scaler2=2,VLOOKUP(A92,ScaledPrice2,2),(VLOOKUP(A92,ScaledPrice2,2))*(2-(VLOOKUP(A92,ScaledPrice2,3))))))</f>
        <v> </v>
      </c>
      <c r="E92" s="317" t="str">
        <f aca="false">IF($A92="N/A"," ",IF(AND(Dayrun2&gt;=4,Dayrun2&lt;=9),0,VLOOKUP($A92,ScaledPrice2,9)))</f>
        <v> </v>
      </c>
      <c r="F92" s="317" t="str">
        <f aca="false">IF(A92="N/A"," ",IF(OR(Dayrun2=2,Dayrun2=3,Dayrun2=5,Dayrun2=6,Dayrun2=8,Dayrun2=9),VLOOKUP(A92,ScaledPrice2,IF(Scaler2=1,6,5)),0))</f>
        <v> </v>
      </c>
      <c r="G92" s="317" t="str">
        <f aca="false">IF(A92="N/A"," ",IF(OR(Dayrun2=2,Dayrun2=3,Dayrun2=5,Dayrun2=6),IF(Scaler2=2,F92,(VLOOKUP(A92,ScaledPrice2,5))*(2-(VLOOKUP(A92,ScaledPrice2,3)))),0))</f>
        <v> </v>
      </c>
      <c r="H92" s="317" t="str">
        <f aca="false">IF($A92="N/A"," ",IF(OR(Dayrun2=2,Dayrun2=3,Dayrun2=10),VLOOKUP($A92,ScaledPrice2,9),0))</f>
        <v> </v>
      </c>
      <c r="I92" s="317" t="str">
        <f aca="false">IF(A92="N/A"," ",IF(OR(Dayrun2=3,Dayrun2=6,Dayrun2=9),(VLOOKUP(A92,ScaledPrice2,IF(Scaler2=2,7,8))),0))</f>
        <v> </v>
      </c>
      <c r="J92" s="317" t="str">
        <f aca="false">IF(A92="N/A"," ",IF(OR(Dayrun2=3,Dayrun2=6),IF(Scaler2=2,I92,(VLOOKUP(A92,ScaledPrice2,7))*(2-(VLOOKUP(A92,ScaledPrice2,3)))),0))</f>
        <v> </v>
      </c>
      <c r="K92" s="317" t="str">
        <f aca="false">IF($A92="N/A"," ",IF(OR(Dayrun2=3,Dayrun2=10),VLOOKUP($A92,ScaledPrice2,9),0))</f>
        <v> </v>
      </c>
      <c r="L92" s="318" t="str">
        <f aca="false">IF($A92="N/A"," ",IF(Pricetype2=2,MAX(C92,0),IF(OR(Pricetype2=1,Pricetype2=4),IF(C92=0,0,(EURO(C92,Strikeprice2,0,0,($AH92+IF(Smile=TRUE(),VLOOKUP(MAX(-5,Strikeprice2-C92),Volsmile,2),0)),($A92-DateToday)+15,IF(Pricetype2=1,1,0),0))),C92)))</f>
        <v> </v>
      </c>
      <c r="M92" s="318" t="str">
        <f aca="false">IF($A92="N/A"," ",IF(Pricetype2=2,MAX(D92,0),IF(OR(Pricetype2=1,Pricetype2=4),IF(D92=0,0,(EURO(D92,Strikeprice2,0,0,($AH92+IF(Smile=TRUE(),VLOOKUP(MAX(-5,Strikeprice2-D92),Volsmile,2),0)),($A92-DateToday)+15,IF(Pricetype2=1,1,0),0))),D92)))</f>
        <v> </v>
      </c>
      <c r="N92" s="318" t="str">
        <f aca="false">IF($A92="N/A"," ",IF(Pricetype2=2,MAX(E92,0),IF(OR(Pricetype2=1,Pricetype2=4),IF(E92=0,0,(EURO(E92,Strikeprice2,0,0,($AK92+IF(Smile=TRUE(),VLOOKUP(MAX(-5,Strikeprice2-E92),Volsmile,2),0)),($A92-DateToday)+15,IF(Pricetype2=1,1,0),0))),E92)))</f>
        <v> </v>
      </c>
      <c r="O92" s="318" t="str">
        <f aca="false">IF($A92="N/A"," ",IF(Pricetype2=2,MAX(F92,0),IF(OR(Pricetype2=1,Pricetype2=4),IF(F92=0,0,(EURO(F92,Strikeprice2,0,0,($AK92+IF(Smile=TRUE(),VLOOKUP(MAX(-5,Strikeprice2-F92),Volsmile,2),0)),($A92-DateToday)+15,IF(Pricetype2=1,1,0),0))),F92)))</f>
        <v> </v>
      </c>
      <c r="P92" s="318" t="str">
        <f aca="false">IF($A92="N/A"," ",IF(Pricetype2=2,MAX(G92,0),IF(OR(Pricetype2=1,Pricetype2=4),IF(G92=0,0,(EURO(G92,Strikeprice2,0,0,($AK92+IF(Smile=TRUE(),VLOOKUP(MAX(-5,Strikeprice2-G92),Volsmile,2),0)),($A92-DateToday)+15,IF(Pricetype2=1,1,0),0))),G92)))</f>
        <v> </v>
      </c>
      <c r="Q92" s="318" t="str">
        <f aca="false">IF($A92="N/A"," ",IF(Pricetype2=2,MAX(H92,0),IF(OR(Pricetype2=1,Pricetype2=4),IF(H92=0,0,(EURO(H92,Strikeprice2,0,0,($AK92+IF(Smile=TRUE(),VLOOKUP(MAX(-5,Strikeprice2-H92),Volsmile,2),0)),($A92-DateToday)+15,IF(Pricetype2=1,1,0),0))),H92)))</f>
        <v> </v>
      </c>
      <c r="R92" s="318" t="str">
        <f aca="false">IF($A92="N/A"," ",IF(Pricetype2=2,MAX(I92,0),IF(OR(Pricetype2=1,Pricetype2=4),IF(I92=0,0,(EURO(I92,Strikeprice2,0,0,($AK92+IF(Smile=TRUE(),VLOOKUP(MAX(-5,Strikeprice2-I92),Volsmile,2),0)),($A92-DateToday)+15,IF(Pricetype2=1,1,0),0))),I92)))</f>
        <v> </v>
      </c>
      <c r="S92" s="318" t="str">
        <f aca="false">IF($A92="N/A"," ",IF(Pricetype2=2,MAX(J92,0),IF(OR(Pricetype2=1,Pricetype2=4),IF(J92=0,0,(EURO(J92,Strikeprice2,0,0,($AK92+IF(Smile=TRUE(),VLOOKUP(MAX(-5,Strikeprice2-J92),Volsmile,2),0)),($A92-DateToday)+15,IF(Pricetype2=1,1,0),0))),J92)))</f>
        <v> </v>
      </c>
      <c r="T92" s="318" t="str">
        <f aca="false">IF($A92="N/A"," ",IF(Pricetype2=2,MAX(K92,0),IF(OR(Pricetype2=1,Pricetype2=4),IF(K92=0,0,(EURO(K92,Strikeprice2,0,0,($AK92+IF(Smile=TRUE(),VLOOKUP(MAX(-5,Strikeprice2-K92),Volsmile,2),0)),($A92-DateToday)+15,IF(Pricetype2=1,1,0),0))),K92)))</f>
        <v> </v>
      </c>
      <c r="U92" s="319" t="str">
        <f aca="false">IF($A92="N/A"," ",Volume2*$AM92)</f>
        <v> </v>
      </c>
      <c r="V92" s="320" t="str">
        <f aca="false">IF($A92="N/A"," ",$U92*(8*($BQ92))*L92)</f>
        <v> </v>
      </c>
      <c r="W92" s="320" t="str">
        <f aca="false">IF($A92="N/A"," ",$U92*(8*($BQ92))*M92)</f>
        <v> </v>
      </c>
      <c r="X92" s="320" t="str">
        <f aca="false">IF($A92="N/A"," ",$U92*(8*($BQ92))*N92)</f>
        <v> </v>
      </c>
      <c r="Y92" s="320" t="str">
        <f aca="false">IF($A92="N/A"," ",$U92*(8*($BR92))*O92)</f>
        <v> </v>
      </c>
      <c r="Z92" s="320" t="str">
        <f aca="false">IF($A92="N/A"," ",$U92*(8*($BR92))*P92)</f>
        <v> </v>
      </c>
      <c r="AA92" s="320" t="str">
        <f aca="false">IF($A92="N/A"," ",$U92*(8*($BR92))*Q92)</f>
        <v> </v>
      </c>
      <c r="AB92" s="320" t="str">
        <f aca="false">IF($A92="N/A"," ",$U92*(8*($BS92))*R92)</f>
        <v> </v>
      </c>
      <c r="AC92" s="320" t="str">
        <f aca="false">IF($A92="N/A"," ",$U92*(8*($BS92))*S92)</f>
        <v> </v>
      </c>
      <c r="AD92" s="320" t="str">
        <f aca="false">IF($A92="N/A"," ",$U92*(8*($BS92))*T92)</f>
        <v> </v>
      </c>
      <c r="AE92" s="320" t="str">
        <f aca="false">IF($A92="N/A"," ",SUM(V92:AD92))</f>
        <v> </v>
      </c>
      <c r="AF92" s="321" t="str">
        <f aca="false">IF(A92="N/A"," ",(VLOOKUP(A92,PowerVolTable,(IF(VolBMO2=2,7,IF(VolBMO2=1,6,8))),FALSE())))</f>
        <v> </v>
      </c>
      <c r="AG92" s="321" t="str">
        <f aca="false">IF(A92="N/A"," ",(VLOOKUP(A92,IntraPowerVol,(IF(VolBMO2=2,3,IF(VolBMO2=1,2,4))),FALSE())*VLOOKUP(MONTH($A92),Volscale,2)))</f>
        <v> </v>
      </c>
      <c r="AH92" s="321" t="str">
        <f aca="false">IF($A92="N/A"," ",IF(VolType2=1,AG92,AF92))</f>
        <v> </v>
      </c>
      <c r="AI92" s="321" t="str">
        <f aca="false">IF($A92="N/A"," ",(VLOOKUP($A92,OffPwrVolTable,(IF(VolBMO2=2,7,IF(VolBMO2=1,6,8))),FALSE())))</f>
        <v> </v>
      </c>
      <c r="AJ92" s="321" t="str">
        <f aca="false">IF($A92="N/A"," ",(VLOOKUP($A92,OffPwrVolTable,(IF(VolBMO2=2,3,IF(VolBMO2=1,2,4))),FALSE())*VLOOKUP(MONTH($A92),Volscale,2)))</f>
        <v> </v>
      </c>
      <c r="AK92" s="321" t="str">
        <f aca="false">IF($A92="N/A"," ",IF(VolType2=1,AJ92,AI92))</f>
        <v> </v>
      </c>
      <c r="AL92" s="321" t="str">
        <f aca="false">IF($A92="N/A"," ",IF(PV=1,0,'Pricing Inputs2'!R125))</f>
        <v> </v>
      </c>
      <c r="AM92" s="323" t="str">
        <f aca="false">IF($A92="N/A"," ",(1+AL92/2)^(-2*((EOMONTH(A92,0)+20)-DateToday)/365.25))</f>
        <v> </v>
      </c>
      <c r="BQ92" s="0" t="str">
        <f aca="false">IF($A92="N/A"," ",(VLOOKUP($A92,NumberofDaysTable,2)))</f>
        <v> </v>
      </c>
      <c r="BR92" s="0" t="str">
        <f aca="false">IF($A92="N/A"," ",(VLOOKUP($A92,NumberofDaysTable,3)))</f>
        <v> </v>
      </c>
      <c r="BS92" s="0" t="str">
        <f aca="false">IF($A92="N/A"," ",(VLOOKUP($A92,NumberofDaysTable,4)))</f>
        <v> </v>
      </c>
    </row>
    <row r="93" customFormat="false" ht="12.75" hidden="false" customHeight="false" outlineLevel="0" collapsed="false">
      <c r="A93" s="315" t="str">
        <f aca="false">IF(A92="N/A","N/A",IF(EDATE(A92,1)&gt;Inputs!$P$5,"N/A",EDATE(A92,1)))</f>
        <v>N/A</v>
      </c>
      <c r="B93" s="316" t="str">
        <f aca="false">IF(A93="N/A"," ",YEAR(A93))</f>
        <v> </v>
      </c>
      <c r="C93" s="317" t="str">
        <f aca="false">IF($A93="N/A"," ",IF(Dayrun2=10,0,IF(Scaler2=1,(VLOOKUP(A93,ScaledPrice2,4)),(VLOOKUP(A93,ScaledPrice2,2)))))</f>
        <v> </v>
      </c>
      <c r="D93" s="317" t="str">
        <f aca="false">IF(A93="N/A"," ",IF(Dayrun2&gt;=7,0,IF(Scaler2=2,VLOOKUP(A93,ScaledPrice2,2),(VLOOKUP(A93,ScaledPrice2,2))*(2-(VLOOKUP(A93,ScaledPrice2,3))))))</f>
        <v> </v>
      </c>
      <c r="E93" s="317" t="str">
        <f aca="false">IF($A93="N/A"," ",IF(AND(Dayrun2&gt;=4,Dayrun2&lt;=9),0,VLOOKUP($A93,ScaledPrice2,9)))</f>
        <v> </v>
      </c>
      <c r="F93" s="317" t="str">
        <f aca="false">IF(A93="N/A"," ",IF(OR(Dayrun2=2,Dayrun2=3,Dayrun2=5,Dayrun2=6,Dayrun2=8,Dayrun2=9),VLOOKUP(A93,ScaledPrice2,IF(Scaler2=1,6,5)),0))</f>
        <v> </v>
      </c>
      <c r="G93" s="317" t="str">
        <f aca="false">IF(A93="N/A"," ",IF(OR(Dayrun2=2,Dayrun2=3,Dayrun2=5,Dayrun2=6),IF(Scaler2=2,F93,(VLOOKUP(A93,ScaledPrice2,5))*(2-(VLOOKUP(A93,ScaledPrice2,3)))),0))</f>
        <v> </v>
      </c>
      <c r="H93" s="317" t="str">
        <f aca="false">IF($A93="N/A"," ",IF(OR(Dayrun2=2,Dayrun2=3,Dayrun2=10),VLOOKUP($A93,ScaledPrice2,9),0))</f>
        <v> </v>
      </c>
      <c r="I93" s="317" t="str">
        <f aca="false">IF(A93="N/A"," ",IF(OR(Dayrun2=3,Dayrun2=6,Dayrun2=9),(VLOOKUP(A93,ScaledPrice2,IF(Scaler2=2,7,8))),0))</f>
        <v> </v>
      </c>
      <c r="J93" s="317" t="str">
        <f aca="false">IF(A93="N/A"," ",IF(OR(Dayrun2=3,Dayrun2=6),IF(Scaler2=2,I93,(VLOOKUP(A93,ScaledPrice2,7))*(2-(VLOOKUP(A93,ScaledPrice2,3)))),0))</f>
        <v> </v>
      </c>
      <c r="K93" s="317" t="str">
        <f aca="false">IF($A93="N/A"," ",IF(OR(Dayrun2=3,Dayrun2=10),VLOOKUP($A93,ScaledPrice2,9),0))</f>
        <v> </v>
      </c>
      <c r="L93" s="318" t="str">
        <f aca="false">IF($A93="N/A"," ",IF(Pricetype2=2,MAX(C93,0),IF(OR(Pricetype2=1,Pricetype2=4),IF(C93=0,0,(EURO(C93,Strikeprice2,0,0,($AH93+IF(Smile=TRUE(),VLOOKUP(MAX(-5,Strikeprice2-C93),Volsmile,2),0)),($A93-DateToday)+15,IF(Pricetype2=1,1,0),0))),C93)))</f>
        <v> </v>
      </c>
      <c r="M93" s="318" t="str">
        <f aca="false">IF($A93="N/A"," ",IF(Pricetype2=2,MAX(D93,0),IF(OR(Pricetype2=1,Pricetype2=4),IF(D93=0,0,(EURO(D93,Strikeprice2,0,0,($AH93+IF(Smile=TRUE(),VLOOKUP(MAX(-5,Strikeprice2-D93),Volsmile,2),0)),($A93-DateToday)+15,IF(Pricetype2=1,1,0),0))),D93)))</f>
        <v> </v>
      </c>
      <c r="N93" s="318" t="str">
        <f aca="false">IF($A93="N/A"," ",IF(Pricetype2=2,MAX(E93,0),IF(OR(Pricetype2=1,Pricetype2=4),IF(E93=0,0,(EURO(E93,Strikeprice2,0,0,($AK93+IF(Smile=TRUE(),VLOOKUP(MAX(-5,Strikeprice2-E93),Volsmile,2),0)),($A93-DateToday)+15,IF(Pricetype2=1,1,0),0))),E93)))</f>
        <v> </v>
      </c>
      <c r="O93" s="318" t="str">
        <f aca="false">IF($A93="N/A"," ",IF(Pricetype2=2,MAX(F93,0),IF(OR(Pricetype2=1,Pricetype2=4),IF(F93=0,0,(EURO(F93,Strikeprice2,0,0,($AK93+IF(Smile=TRUE(),VLOOKUP(MAX(-5,Strikeprice2-F93),Volsmile,2),0)),($A93-DateToday)+15,IF(Pricetype2=1,1,0),0))),F93)))</f>
        <v> </v>
      </c>
      <c r="P93" s="318" t="str">
        <f aca="false">IF($A93="N/A"," ",IF(Pricetype2=2,MAX(G93,0),IF(OR(Pricetype2=1,Pricetype2=4),IF(G93=0,0,(EURO(G93,Strikeprice2,0,0,($AK93+IF(Smile=TRUE(),VLOOKUP(MAX(-5,Strikeprice2-G93),Volsmile,2),0)),($A93-DateToday)+15,IF(Pricetype2=1,1,0),0))),G93)))</f>
        <v> </v>
      </c>
      <c r="Q93" s="318" t="str">
        <f aca="false">IF($A93="N/A"," ",IF(Pricetype2=2,MAX(H93,0),IF(OR(Pricetype2=1,Pricetype2=4),IF(H93=0,0,(EURO(H93,Strikeprice2,0,0,($AK93+IF(Smile=TRUE(),VLOOKUP(MAX(-5,Strikeprice2-H93),Volsmile,2),0)),($A93-DateToday)+15,IF(Pricetype2=1,1,0),0))),H93)))</f>
        <v> </v>
      </c>
      <c r="R93" s="318" t="str">
        <f aca="false">IF($A93="N/A"," ",IF(Pricetype2=2,MAX(I93,0),IF(OR(Pricetype2=1,Pricetype2=4),IF(I93=0,0,(EURO(I93,Strikeprice2,0,0,($AK93+IF(Smile=TRUE(),VLOOKUP(MAX(-5,Strikeprice2-I93),Volsmile,2),0)),($A93-DateToday)+15,IF(Pricetype2=1,1,0),0))),I93)))</f>
        <v> </v>
      </c>
      <c r="S93" s="318" t="str">
        <f aca="false">IF($A93="N/A"," ",IF(Pricetype2=2,MAX(J93,0),IF(OR(Pricetype2=1,Pricetype2=4),IF(J93=0,0,(EURO(J93,Strikeprice2,0,0,($AK93+IF(Smile=TRUE(),VLOOKUP(MAX(-5,Strikeprice2-J93),Volsmile,2),0)),($A93-DateToday)+15,IF(Pricetype2=1,1,0),0))),J93)))</f>
        <v> </v>
      </c>
      <c r="T93" s="318" t="str">
        <f aca="false">IF($A93="N/A"," ",IF(Pricetype2=2,MAX(K93,0),IF(OR(Pricetype2=1,Pricetype2=4),IF(K93=0,0,(EURO(K93,Strikeprice2,0,0,($AK93+IF(Smile=TRUE(),VLOOKUP(MAX(-5,Strikeprice2-K93),Volsmile,2),0)),($A93-DateToday)+15,IF(Pricetype2=1,1,0),0))),K93)))</f>
        <v> </v>
      </c>
      <c r="U93" s="319" t="str">
        <f aca="false">IF($A93="N/A"," ",Volume2*$AM93)</f>
        <v> </v>
      </c>
      <c r="V93" s="320" t="str">
        <f aca="false">IF($A93="N/A"," ",$U93*(8*($BQ93))*L93)</f>
        <v> </v>
      </c>
      <c r="W93" s="320" t="str">
        <f aca="false">IF($A93="N/A"," ",$U93*(8*($BQ93))*M93)</f>
        <v> </v>
      </c>
      <c r="X93" s="320" t="str">
        <f aca="false">IF($A93="N/A"," ",$U93*(8*($BQ93))*N93)</f>
        <v> </v>
      </c>
      <c r="Y93" s="320" t="str">
        <f aca="false">IF($A93="N/A"," ",$U93*(8*($BR93))*O93)</f>
        <v> </v>
      </c>
      <c r="Z93" s="320" t="str">
        <f aca="false">IF($A93="N/A"," ",$U93*(8*($BR93))*P93)</f>
        <v> </v>
      </c>
      <c r="AA93" s="320" t="str">
        <f aca="false">IF($A93="N/A"," ",$U93*(8*($BR93))*Q93)</f>
        <v> </v>
      </c>
      <c r="AB93" s="320" t="str">
        <f aca="false">IF($A93="N/A"," ",$U93*(8*($BS93))*R93)</f>
        <v> </v>
      </c>
      <c r="AC93" s="320" t="str">
        <f aca="false">IF($A93="N/A"," ",$U93*(8*($BS93))*S93)</f>
        <v> </v>
      </c>
      <c r="AD93" s="320" t="str">
        <f aca="false">IF($A93="N/A"," ",$U93*(8*($BS93))*T93)</f>
        <v> </v>
      </c>
      <c r="AE93" s="320" t="str">
        <f aca="false">IF($A93="N/A"," ",SUM(V93:AD93))</f>
        <v> </v>
      </c>
      <c r="AF93" s="321" t="str">
        <f aca="false">IF(A93="N/A"," ",(VLOOKUP(A93,PowerVolTable,(IF(VolBMO2=2,7,IF(VolBMO2=1,6,8))),FALSE())))</f>
        <v> </v>
      </c>
      <c r="AG93" s="321" t="str">
        <f aca="false">IF(A93="N/A"," ",(VLOOKUP(A93,IntraPowerVol,(IF(VolBMO2=2,3,IF(VolBMO2=1,2,4))),FALSE())*VLOOKUP(MONTH($A93),Volscale,2)))</f>
        <v> </v>
      </c>
      <c r="AH93" s="321" t="str">
        <f aca="false">IF($A93="N/A"," ",IF(VolType2=1,AG93,AF93))</f>
        <v> </v>
      </c>
      <c r="AI93" s="321" t="str">
        <f aca="false">IF($A93="N/A"," ",(VLOOKUP($A93,OffPwrVolTable,(IF(VolBMO2=2,7,IF(VolBMO2=1,6,8))),FALSE())))</f>
        <v> </v>
      </c>
      <c r="AJ93" s="321" t="str">
        <f aca="false">IF($A93="N/A"," ",(VLOOKUP($A93,OffPwrVolTable,(IF(VolBMO2=2,3,IF(VolBMO2=1,2,4))),FALSE())*VLOOKUP(MONTH($A93),Volscale,2)))</f>
        <v> </v>
      </c>
      <c r="AK93" s="321" t="str">
        <f aca="false">IF($A93="N/A"," ",IF(VolType2=1,AJ93,AI93))</f>
        <v> </v>
      </c>
      <c r="AL93" s="321" t="str">
        <f aca="false">IF($A93="N/A"," ",IF(PV=1,0,'Pricing Inputs2'!R126))</f>
        <v> </v>
      </c>
      <c r="AM93" s="323" t="str">
        <f aca="false">IF($A93="N/A"," ",(1+AL93/2)^(-2*((EOMONTH(A93,0)+20)-DateToday)/365.25))</f>
        <v> </v>
      </c>
      <c r="BQ93" s="0" t="str">
        <f aca="false">IF($A93="N/A"," ",(VLOOKUP($A93,NumberofDaysTable,2)))</f>
        <v> </v>
      </c>
      <c r="BR93" s="0" t="str">
        <f aca="false">IF($A93="N/A"," ",(VLOOKUP($A93,NumberofDaysTable,3)))</f>
        <v> </v>
      </c>
      <c r="BS93" s="0" t="str">
        <f aca="false">IF($A93="N/A"," ",(VLOOKUP($A93,NumberofDaysTable,4)))</f>
        <v> </v>
      </c>
    </row>
    <row r="94" customFormat="false" ht="12.75" hidden="false" customHeight="false" outlineLevel="0" collapsed="false">
      <c r="A94" s="315" t="str">
        <f aca="false">IF(A93="N/A","N/A",IF(EDATE(A93,1)&gt;Inputs!$P$5,"N/A",EDATE(A93,1)))</f>
        <v>N/A</v>
      </c>
      <c r="B94" s="316" t="str">
        <f aca="false">IF(A94="N/A"," ",YEAR(A94))</f>
        <v> </v>
      </c>
      <c r="C94" s="317" t="str">
        <f aca="false">IF($A94="N/A"," ",IF(Dayrun2=10,0,IF(Scaler2=1,(VLOOKUP(A94,ScaledPrice2,4)),(VLOOKUP(A94,ScaledPrice2,2)))))</f>
        <v> </v>
      </c>
      <c r="D94" s="317" t="str">
        <f aca="false">IF(A94="N/A"," ",IF(Dayrun2&gt;=7,0,IF(Scaler2=2,VLOOKUP(A94,ScaledPrice2,2),(VLOOKUP(A94,ScaledPrice2,2))*(2-(VLOOKUP(A94,ScaledPrice2,3))))))</f>
        <v> </v>
      </c>
      <c r="E94" s="317" t="str">
        <f aca="false">IF($A94="N/A"," ",IF(AND(Dayrun2&gt;=4,Dayrun2&lt;=9),0,VLOOKUP($A94,ScaledPrice2,9)))</f>
        <v> </v>
      </c>
      <c r="F94" s="317" t="str">
        <f aca="false">IF(A94="N/A"," ",IF(OR(Dayrun2=2,Dayrun2=3,Dayrun2=5,Dayrun2=6,Dayrun2=8,Dayrun2=9),VLOOKUP(A94,ScaledPrice2,IF(Scaler2=1,6,5)),0))</f>
        <v> </v>
      </c>
      <c r="G94" s="317" t="str">
        <f aca="false">IF(A94="N/A"," ",IF(OR(Dayrun2=2,Dayrun2=3,Dayrun2=5,Dayrun2=6),IF(Scaler2=2,F94,(VLOOKUP(A94,ScaledPrice2,5))*(2-(VLOOKUP(A94,ScaledPrice2,3)))),0))</f>
        <v> </v>
      </c>
      <c r="H94" s="317" t="str">
        <f aca="false">IF($A94="N/A"," ",IF(OR(Dayrun2=2,Dayrun2=3,Dayrun2=10),VLOOKUP($A94,ScaledPrice2,9),0))</f>
        <v> </v>
      </c>
      <c r="I94" s="317" t="str">
        <f aca="false">IF(A94="N/A"," ",IF(OR(Dayrun2=3,Dayrun2=6,Dayrun2=9),(VLOOKUP(A94,ScaledPrice2,IF(Scaler2=2,7,8))),0))</f>
        <v> </v>
      </c>
      <c r="J94" s="317" t="str">
        <f aca="false">IF(A94="N/A"," ",IF(OR(Dayrun2=3,Dayrun2=6),IF(Scaler2=2,I94,(VLOOKUP(A94,ScaledPrice2,7))*(2-(VLOOKUP(A94,ScaledPrice2,3)))),0))</f>
        <v> </v>
      </c>
      <c r="K94" s="317" t="str">
        <f aca="false">IF($A94="N/A"," ",IF(OR(Dayrun2=3,Dayrun2=10),VLOOKUP($A94,ScaledPrice2,9),0))</f>
        <v> </v>
      </c>
      <c r="L94" s="318" t="str">
        <f aca="false">IF($A94="N/A"," ",IF(Pricetype2=2,MAX(C94,0),IF(OR(Pricetype2=1,Pricetype2=4),IF(C94=0,0,(EURO(C94,Strikeprice2,0,0,($AH94+IF(Smile=TRUE(),VLOOKUP(MAX(-5,Strikeprice2-C94),Volsmile,2),0)),($A94-DateToday)+15,IF(Pricetype2=1,1,0),0))),C94)))</f>
        <v> </v>
      </c>
      <c r="M94" s="318" t="str">
        <f aca="false">IF($A94="N/A"," ",IF(Pricetype2=2,MAX(D94,0),IF(OR(Pricetype2=1,Pricetype2=4),IF(D94=0,0,(EURO(D94,Strikeprice2,0,0,($AH94+IF(Smile=TRUE(),VLOOKUP(MAX(-5,Strikeprice2-D94),Volsmile,2),0)),($A94-DateToday)+15,IF(Pricetype2=1,1,0),0))),D94)))</f>
        <v> </v>
      </c>
      <c r="N94" s="318" t="str">
        <f aca="false">IF($A94="N/A"," ",IF(Pricetype2=2,MAX(E94,0),IF(OR(Pricetype2=1,Pricetype2=4),IF(E94=0,0,(EURO(E94,Strikeprice2,0,0,($AK94+IF(Smile=TRUE(),VLOOKUP(MAX(-5,Strikeprice2-E94),Volsmile,2),0)),($A94-DateToday)+15,IF(Pricetype2=1,1,0),0))),E94)))</f>
        <v> </v>
      </c>
      <c r="O94" s="318" t="str">
        <f aca="false">IF($A94="N/A"," ",IF(Pricetype2=2,MAX(F94,0),IF(OR(Pricetype2=1,Pricetype2=4),IF(F94=0,0,(EURO(F94,Strikeprice2,0,0,($AK94+IF(Smile=TRUE(),VLOOKUP(MAX(-5,Strikeprice2-F94),Volsmile,2),0)),($A94-DateToday)+15,IF(Pricetype2=1,1,0),0))),F94)))</f>
        <v> </v>
      </c>
      <c r="P94" s="318" t="str">
        <f aca="false">IF($A94="N/A"," ",IF(Pricetype2=2,MAX(G94,0),IF(OR(Pricetype2=1,Pricetype2=4),IF(G94=0,0,(EURO(G94,Strikeprice2,0,0,($AK94+IF(Smile=TRUE(),VLOOKUP(MAX(-5,Strikeprice2-G94),Volsmile,2),0)),($A94-DateToday)+15,IF(Pricetype2=1,1,0),0))),G94)))</f>
        <v> </v>
      </c>
      <c r="Q94" s="318" t="str">
        <f aca="false">IF($A94="N/A"," ",IF(Pricetype2=2,MAX(H94,0),IF(OR(Pricetype2=1,Pricetype2=4),IF(H94=0,0,(EURO(H94,Strikeprice2,0,0,($AK94+IF(Smile=TRUE(),VLOOKUP(MAX(-5,Strikeprice2-H94),Volsmile,2),0)),($A94-DateToday)+15,IF(Pricetype2=1,1,0),0))),H94)))</f>
        <v> </v>
      </c>
      <c r="R94" s="318" t="str">
        <f aca="false">IF($A94="N/A"," ",IF(Pricetype2=2,MAX(I94,0),IF(OR(Pricetype2=1,Pricetype2=4),IF(I94=0,0,(EURO(I94,Strikeprice2,0,0,($AK94+IF(Smile=TRUE(),VLOOKUP(MAX(-5,Strikeprice2-I94),Volsmile,2),0)),($A94-DateToday)+15,IF(Pricetype2=1,1,0),0))),I94)))</f>
        <v> </v>
      </c>
      <c r="S94" s="318" t="str">
        <f aca="false">IF($A94="N/A"," ",IF(Pricetype2=2,MAX(J94,0),IF(OR(Pricetype2=1,Pricetype2=4),IF(J94=0,0,(EURO(J94,Strikeprice2,0,0,($AK94+IF(Smile=TRUE(),VLOOKUP(MAX(-5,Strikeprice2-J94),Volsmile,2),0)),($A94-DateToday)+15,IF(Pricetype2=1,1,0),0))),J94)))</f>
        <v> </v>
      </c>
      <c r="T94" s="318" t="str">
        <f aca="false">IF($A94="N/A"," ",IF(Pricetype2=2,MAX(K94,0),IF(OR(Pricetype2=1,Pricetype2=4),IF(K94=0,0,(EURO(K94,Strikeprice2,0,0,($AK94+IF(Smile=TRUE(),VLOOKUP(MAX(-5,Strikeprice2-K94),Volsmile,2),0)),($A94-DateToday)+15,IF(Pricetype2=1,1,0),0))),K94)))</f>
        <v> </v>
      </c>
      <c r="U94" s="319" t="str">
        <f aca="false">IF($A94="N/A"," ",Volume2*$AM94)</f>
        <v> </v>
      </c>
      <c r="V94" s="320" t="str">
        <f aca="false">IF($A94="N/A"," ",$U94*(8*($BQ94))*L94)</f>
        <v> </v>
      </c>
      <c r="W94" s="320" t="str">
        <f aca="false">IF($A94="N/A"," ",$U94*(8*($BQ94))*M94)</f>
        <v> </v>
      </c>
      <c r="X94" s="320" t="str">
        <f aca="false">IF($A94="N/A"," ",$U94*(8*($BQ94))*N94)</f>
        <v> </v>
      </c>
      <c r="Y94" s="320" t="str">
        <f aca="false">IF($A94="N/A"," ",$U94*(8*($BR94))*O94)</f>
        <v> </v>
      </c>
      <c r="Z94" s="320" t="str">
        <f aca="false">IF($A94="N/A"," ",$U94*(8*($BR94))*P94)</f>
        <v> </v>
      </c>
      <c r="AA94" s="320" t="str">
        <f aca="false">IF($A94="N/A"," ",$U94*(8*($BR94))*Q94)</f>
        <v> </v>
      </c>
      <c r="AB94" s="320" t="str">
        <f aca="false">IF($A94="N/A"," ",$U94*(8*($BS94))*R94)</f>
        <v> </v>
      </c>
      <c r="AC94" s="320" t="str">
        <f aca="false">IF($A94="N/A"," ",$U94*(8*($BS94))*S94)</f>
        <v> </v>
      </c>
      <c r="AD94" s="320" t="str">
        <f aca="false">IF($A94="N/A"," ",$U94*(8*($BS94))*T94)</f>
        <v> </v>
      </c>
      <c r="AE94" s="320" t="str">
        <f aca="false">IF($A94="N/A"," ",SUM(V94:AD94))</f>
        <v> </v>
      </c>
      <c r="AF94" s="321" t="str">
        <f aca="false">IF(A94="N/A"," ",(VLOOKUP(A94,PowerVolTable,(IF(VolBMO2=2,7,IF(VolBMO2=1,6,8))),FALSE())))</f>
        <v> </v>
      </c>
      <c r="AG94" s="321" t="str">
        <f aca="false">IF(A94="N/A"," ",(VLOOKUP(A94,IntraPowerVol,(IF(VolBMO2=2,3,IF(VolBMO2=1,2,4))),FALSE())*VLOOKUP(MONTH($A94),Volscale,2)))</f>
        <v> </v>
      </c>
      <c r="AH94" s="321" t="str">
        <f aca="false">IF($A94="N/A"," ",IF(VolType2=1,AG94,AF94))</f>
        <v> </v>
      </c>
      <c r="AI94" s="321" t="str">
        <f aca="false">IF($A94="N/A"," ",(VLOOKUP($A94,OffPwrVolTable,(IF(VolBMO2=2,7,IF(VolBMO2=1,6,8))),FALSE())))</f>
        <v> </v>
      </c>
      <c r="AJ94" s="321" t="str">
        <f aca="false">IF($A94="N/A"," ",(VLOOKUP($A94,OffPwrVolTable,(IF(VolBMO2=2,3,IF(VolBMO2=1,2,4))),FALSE())*VLOOKUP(MONTH($A94),Volscale,2)))</f>
        <v> </v>
      </c>
      <c r="AK94" s="321" t="str">
        <f aca="false">IF($A94="N/A"," ",IF(VolType2=1,AJ94,AI94))</f>
        <v> </v>
      </c>
      <c r="AL94" s="321" t="str">
        <f aca="false">IF($A94="N/A"," ",IF(PV=1,0,'Pricing Inputs2'!R127))</f>
        <v> </v>
      </c>
      <c r="AM94" s="323" t="str">
        <f aca="false">IF($A94="N/A"," ",(1+AL94/2)^(-2*((EOMONTH(A94,0)+20)-DateToday)/365.25))</f>
        <v> </v>
      </c>
      <c r="BQ94" s="0" t="str">
        <f aca="false">IF($A94="N/A"," ",(VLOOKUP($A94,NumberofDaysTable,2)))</f>
        <v> </v>
      </c>
      <c r="BR94" s="0" t="str">
        <f aca="false">IF($A94="N/A"," ",(VLOOKUP($A94,NumberofDaysTable,3)))</f>
        <v> </v>
      </c>
      <c r="BS94" s="0" t="str">
        <f aca="false">IF($A94="N/A"," ",(VLOOKUP($A94,NumberofDaysTable,4)))</f>
        <v> </v>
      </c>
    </row>
    <row r="95" customFormat="false" ht="12.75" hidden="false" customHeight="false" outlineLevel="0" collapsed="false">
      <c r="A95" s="315" t="str">
        <f aca="false">IF(A94="N/A","N/A",IF(EDATE(A94,1)&gt;Inputs!$P$5,"N/A",EDATE(A94,1)))</f>
        <v>N/A</v>
      </c>
      <c r="B95" s="316" t="str">
        <f aca="false">IF(A95="N/A"," ",YEAR(A95))</f>
        <v> </v>
      </c>
      <c r="C95" s="317" t="str">
        <f aca="false">IF($A95="N/A"," ",IF(Dayrun2=10,0,IF(Scaler2=1,(VLOOKUP(A95,ScaledPrice2,4)),(VLOOKUP(A95,ScaledPrice2,2)))))</f>
        <v> </v>
      </c>
      <c r="D95" s="317" t="str">
        <f aca="false">IF(A95="N/A"," ",IF(Dayrun2&gt;=7,0,IF(Scaler2=2,VLOOKUP(A95,ScaledPrice2,2),(VLOOKUP(A95,ScaledPrice2,2))*(2-(VLOOKUP(A95,ScaledPrice2,3))))))</f>
        <v> </v>
      </c>
      <c r="E95" s="317" t="str">
        <f aca="false">IF($A95="N/A"," ",IF(AND(Dayrun2&gt;=4,Dayrun2&lt;=9),0,VLOOKUP($A95,ScaledPrice2,9)))</f>
        <v> </v>
      </c>
      <c r="F95" s="317" t="str">
        <f aca="false">IF(A95="N/A"," ",IF(OR(Dayrun2=2,Dayrun2=3,Dayrun2=5,Dayrun2=6,Dayrun2=8,Dayrun2=9),VLOOKUP(A95,ScaledPrice2,IF(Scaler2=1,6,5)),0))</f>
        <v> </v>
      </c>
      <c r="G95" s="317" t="str">
        <f aca="false">IF(A95="N/A"," ",IF(OR(Dayrun2=2,Dayrun2=3,Dayrun2=5,Dayrun2=6),IF(Scaler2=2,F95,(VLOOKUP(A95,ScaledPrice2,5))*(2-(VLOOKUP(A95,ScaledPrice2,3)))),0))</f>
        <v> </v>
      </c>
      <c r="H95" s="317" t="str">
        <f aca="false">IF($A95="N/A"," ",IF(OR(Dayrun2=2,Dayrun2=3,Dayrun2=10),VLOOKUP($A95,ScaledPrice2,9),0))</f>
        <v> </v>
      </c>
      <c r="I95" s="317" t="str">
        <f aca="false">IF(A95="N/A"," ",IF(OR(Dayrun2=3,Dayrun2=6,Dayrun2=9),(VLOOKUP(A95,ScaledPrice2,IF(Scaler2=2,7,8))),0))</f>
        <v> </v>
      </c>
      <c r="J95" s="317" t="str">
        <f aca="false">IF(A95="N/A"," ",IF(OR(Dayrun2=3,Dayrun2=6),IF(Scaler2=2,I95,(VLOOKUP(A95,ScaledPrice2,7))*(2-(VLOOKUP(A95,ScaledPrice2,3)))),0))</f>
        <v> </v>
      </c>
      <c r="K95" s="317" t="str">
        <f aca="false">IF($A95="N/A"," ",IF(OR(Dayrun2=3,Dayrun2=10),VLOOKUP($A95,ScaledPrice2,9),0))</f>
        <v> </v>
      </c>
      <c r="L95" s="318" t="str">
        <f aca="false">IF($A95="N/A"," ",IF(Pricetype2=2,MAX(C95,0),IF(OR(Pricetype2=1,Pricetype2=4),IF(C95=0,0,(EURO(C95,Strikeprice2,0,0,($AH95+IF(Smile=TRUE(),VLOOKUP(MAX(-5,Strikeprice2-C95),Volsmile,2),0)),($A95-DateToday)+15,IF(Pricetype2=1,1,0),0))),C95)))</f>
        <v> </v>
      </c>
      <c r="M95" s="318" t="str">
        <f aca="false">IF($A95="N/A"," ",IF(Pricetype2=2,MAX(D95,0),IF(OR(Pricetype2=1,Pricetype2=4),IF(D95=0,0,(EURO(D95,Strikeprice2,0,0,($AH95+IF(Smile=TRUE(),VLOOKUP(MAX(-5,Strikeprice2-D95),Volsmile,2),0)),($A95-DateToday)+15,IF(Pricetype2=1,1,0),0))),D95)))</f>
        <v> </v>
      </c>
      <c r="N95" s="318" t="str">
        <f aca="false">IF($A95="N/A"," ",IF(Pricetype2=2,MAX(E95,0),IF(OR(Pricetype2=1,Pricetype2=4),IF(E95=0,0,(EURO(E95,Strikeprice2,0,0,($AK95+IF(Smile=TRUE(),VLOOKUP(MAX(-5,Strikeprice2-E95),Volsmile,2),0)),($A95-DateToday)+15,IF(Pricetype2=1,1,0),0))),E95)))</f>
        <v> </v>
      </c>
      <c r="O95" s="318" t="str">
        <f aca="false">IF($A95="N/A"," ",IF(Pricetype2=2,MAX(F95,0),IF(OR(Pricetype2=1,Pricetype2=4),IF(F95=0,0,(EURO(F95,Strikeprice2,0,0,($AK95+IF(Smile=TRUE(),VLOOKUP(MAX(-5,Strikeprice2-F95),Volsmile,2),0)),($A95-DateToday)+15,IF(Pricetype2=1,1,0),0))),F95)))</f>
        <v> </v>
      </c>
      <c r="P95" s="318" t="str">
        <f aca="false">IF($A95="N/A"," ",IF(Pricetype2=2,MAX(G95,0),IF(OR(Pricetype2=1,Pricetype2=4),IF(G95=0,0,(EURO(G95,Strikeprice2,0,0,($AK95+IF(Smile=TRUE(),VLOOKUP(MAX(-5,Strikeprice2-G95),Volsmile,2),0)),($A95-DateToday)+15,IF(Pricetype2=1,1,0),0))),G95)))</f>
        <v> </v>
      </c>
      <c r="Q95" s="318" t="str">
        <f aca="false">IF($A95="N/A"," ",IF(Pricetype2=2,MAX(H95,0),IF(OR(Pricetype2=1,Pricetype2=4),IF(H95=0,0,(EURO(H95,Strikeprice2,0,0,($AK95+IF(Smile=TRUE(),VLOOKUP(MAX(-5,Strikeprice2-H95),Volsmile,2),0)),($A95-DateToday)+15,IF(Pricetype2=1,1,0),0))),H95)))</f>
        <v> </v>
      </c>
      <c r="R95" s="318" t="str">
        <f aca="false">IF($A95="N/A"," ",IF(Pricetype2=2,MAX(I95,0),IF(OR(Pricetype2=1,Pricetype2=4),IF(I95=0,0,(EURO(I95,Strikeprice2,0,0,($AK95+IF(Smile=TRUE(),VLOOKUP(MAX(-5,Strikeprice2-I95),Volsmile,2),0)),($A95-DateToday)+15,IF(Pricetype2=1,1,0),0))),I95)))</f>
        <v> </v>
      </c>
      <c r="S95" s="318" t="str">
        <f aca="false">IF($A95="N/A"," ",IF(Pricetype2=2,MAX(J95,0),IF(OR(Pricetype2=1,Pricetype2=4),IF(J95=0,0,(EURO(J95,Strikeprice2,0,0,($AK95+IF(Smile=TRUE(),VLOOKUP(MAX(-5,Strikeprice2-J95),Volsmile,2),0)),($A95-DateToday)+15,IF(Pricetype2=1,1,0),0))),J95)))</f>
        <v> </v>
      </c>
      <c r="T95" s="318" t="str">
        <f aca="false">IF($A95="N/A"," ",IF(Pricetype2=2,MAX(K95,0),IF(OR(Pricetype2=1,Pricetype2=4),IF(K95=0,0,(EURO(K95,Strikeprice2,0,0,($AK95+IF(Smile=TRUE(),VLOOKUP(MAX(-5,Strikeprice2-K95),Volsmile,2),0)),($A95-DateToday)+15,IF(Pricetype2=1,1,0),0))),K95)))</f>
        <v> </v>
      </c>
      <c r="U95" s="319" t="str">
        <f aca="false">IF($A95="N/A"," ",Volume2*$AM95)</f>
        <v> </v>
      </c>
      <c r="V95" s="320" t="str">
        <f aca="false">IF($A95="N/A"," ",$U95*(8*($BQ95))*L95)</f>
        <v> </v>
      </c>
      <c r="W95" s="320" t="str">
        <f aca="false">IF($A95="N/A"," ",$U95*(8*($BQ95))*M95)</f>
        <v> </v>
      </c>
      <c r="X95" s="320" t="str">
        <f aca="false">IF($A95="N/A"," ",$U95*(8*($BQ95))*N95)</f>
        <v> </v>
      </c>
      <c r="Y95" s="320" t="str">
        <f aca="false">IF($A95="N/A"," ",$U95*(8*($BR95))*O95)</f>
        <v> </v>
      </c>
      <c r="Z95" s="320" t="str">
        <f aca="false">IF($A95="N/A"," ",$U95*(8*($BR95))*P95)</f>
        <v> </v>
      </c>
      <c r="AA95" s="320" t="str">
        <f aca="false">IF($A95="N/A"," ",$U95*(8*($BR95))*Q95)</f>
        <v> </v>
      </c>
      <c r="AB95" s="320" t="str">
        <f aca="false">IF($A95="N/A"," ",$U95*(8*($BS95))*R95)</f>
        <v> </v>
      </c>
      <c r="AC95" s="320" t="str">
        <f aca="false">IF($A95="N/A"," ",$U95*(8*($BS95))*S95)</f>
        <v> </v>
      </c>
      <c r="AD95" s="320" t="str">
        <f aca="false">IF($A95="N/A"," ",$U95*(8*($BS95))*T95)</f>
        <v> </v>
      </c>
      <c r="AE95" s="320" t="str">
        <f aca="false">IF($A95="N/A"," ",SUM(V95:AD95))</f>
        <v> </v>
      </c>
      <c r="AF95" s="321" t="str">
        <f aca="false">IF(A95="N/A"," ",(VLOOKUP(A95,PowerVolTable,(IF(VolBMO2=2,7,IF(VolBMO2=1,6,8))),FALSE())))</f>
        <v> </v>
      </c>
      <c r="AG95" s="321" t="str">
        <f aca="false">IF(A95="N/A"," ",(VLOOKUP(A95,IntraPowerVol,(IF(VolBMO2=2,3,IF(VolBMO2=1,2,4))),FALSE())*VLOOKUP(MONTH($A95),Volscale,2)))</f>
        <v> </v>
      </c>
      <c r="AH95" s="321" t="str">
        <f aca="false">IF($A95="N/A"," ",IF(VolType2=1,AG95,AF95))</f>
        <v> </v>
      </c>
      <c r="AI95" s="321" t="str">
        <f aca="false">IF($A95="N/A"," ",(VLOOKUP($A95,OffPwrVolTable,(IF(VolBMO2=2,7,IF(VolBMO2=1,6,8))),FALSE())))</f>
        <v> </v>
      </c>
      <c r="AJ95" s="321" t="str">
        <f aca="false">IF($A95="N/A"," ",(VLOOKUP($A95,OffPwrVolTable,(IF(VolBMO2=2,3,IF(VolBMO2=1,2,4))),FALSE())*VLOOKUP(MONTH($A95),Volscale,2)))</f>
        <v> </v>
      </c>
      <c r="AK95" s="321" t="str">
        <f aca="false">IF($A95="N/A"," ",IF(VolType2=1,AJ95,AI95))</f>
        <v> </v>
      </c>
      <c r="AL95" s="321" t="str">
        <f aca="false">IF($A95="N/A"," ",IF(PV=1,0,'Pricing Inputs2'!R128))</f>
        <v> </v>
      </c>
      <c r="AM95" s="323" t="str">
        <f aca="false">IF($A95="N/A"," ",(1+AL95/2)^(-2*((EOMONTH(A95,0)+20)-DateToday)/365.25))</f>
        <v> </v>
      </c>
      <c r="BQ95" s="0" t="str">
        <f aca="false">IF($A95="N/A"," ",(VLOOKUP($A95,NumberofDaysTable,2)))</f>
        <v> </v>
      </c>
      <c r="BR95" s="0" t="str">
        <f aca="false">IF($A95="N/A"," ",(VLOOKUP($A95,NumberofDaysTable,3)))</f>
        <v> </v>
      </c>
      <c r="BS95" s="0" t="str">
        <f aca="false">IF($A95="N/A"," ",(VLOOKUP($A95,NumberofDaysTable,4)))</f>
        <v> </v>
      </c>
    </row>
    <row r="96" customFormat="false" ht="12.75" hidden="false" customHeight="false" outlineLevel="0" collapsed="false">
      <c r="A96" s="315" t="str">
        <f aca="false">IF(A95="N/A","N/A",IF(EDATE(A95,1)&gt;Inputs!$P$5,"N/A",EDATE(A95,1)))</f>
        <v>N/A</v>
      </c>
      <c r="B96" s="316" t="str">
        <f aca="false">IF(A96="N/A"," ",YEAR(A96))</f>
        <v> </v>
      </c>
      <c r="C96" s="317" t="str">
        <f aca="false">IF($A96="N/A"," ",IF(Dayrun2=10,0,IF(Scaler2=1,(VLOOKUP(A96,ScaledPrice2,4)),(VLOOKUP(A96,ScaledPrice2,2)))))</f>
        <v> </v>
      </c>
      <c r="D96" s="317" t="str">
        <f aca="false">IF(A96="N/A"," ",IF(Dayrun2&gt;=7,0,IF(Scaler2=2,VLOOKUP(A96,ScaledPrice2,2),(VLOOKUP(A96,ScaledPrice2,2))*(2-(VLOOKUP(A96,ScaledPrice2,3))))))</f>
        <v> </v>
      </c>
      <c r="E96" s="317" t="str">
        <f aca="false">IF($A96="N/A"," ",IF(AND(Dayrun2&gt;=4,Dayrun2&lt;=9),0,VLOOKUP($A96,ScaledPrice2,9)))</f>
        <v> </v>
      </c>
      <c r="F96" s="317" t="str">
        <f aca="false">IF(A96="N/A"," ",IF(OR(Dayrun2=2,Dayrun2=3,Dayrun2=5,Dayrun2=6,Dayrun2=8,Dayrun2=9),VLOOKUP(A96,ScaledPrice2,IF(Scaler2=1,6,5)),0))</f>
        <v> </v>
      </c>
      <c r="G96" s="317" t="str">
        <f aca="false">IF(A96="N/A"," ",IF(OR(Dayrun2=2,Dayrun2=3,Dayrun2=5,Dayrun2=6),IF(Scaler2=2,F96,(VLOOKUP(A96,ScaledPrice2,5))*(2-(VLOOKUP(A96,ScaledPrice2,3)))),0))</f>
        <v> </v>
      </c>
      <c r="H96" s="317" t="str">
        <f aca="false">IF($A96="N/A"," ",IF(OR(Dayrun2=2,Dayrun2=3,Dayrun2=10),VLOOKUP($A96,ScaledPrice2,9),0))</f>
        <v> </v>
      </c>
      <c r="I96" s="317" t="str">
        <f aca="false">IF(A96="N/A"," ",IF(OR(Dayrun2=3,Dayrun2=6,Dayrun2=9),(VLOOKUP(A96,ScaledPrice2,IF(Scaler2=2,7,8))),0))</f>
        <v> </v>
      </c>
      <c r="J96" s="317" t="str">
        <f aca="false">IF(A96="N/A"," ",IF(OR(Dayrun2=3,Dayrun2=6),IF(Scaler2=2,I96,(VLOOKUP(A96,ScaledPrice2,7))*(2-(VLOOKUP(A96,ScaledPrice2,3)))),0))</f>
        <v> </v>
      </c>
      <c r="K96" s="317" t="str">
        <f aca="false">IF($A96="N/A"," ",IF(OR(Dayrun2=3,Dayrun2=10),VLOOKUP($A96,ScaledPrice2,9),0))</f>
        <v> </v>
      </c>
      <c r="L96" s="318" t="str">
        <f aca="false">IF($A96="N/A"," ",IF(Pricetype2=2,MAX(C96,0),IF(OR(Pricetype2=1,Pricetype2=4),IF(C96=0,0,(EURO(C96,Strikeprice2,0,0,($AH96+IF(Smile=TRUE(),VLOOKUP(MAX(-5,Strikeprice2-C96),Volsmile,2),0)),($A96-DateToday)+15,IF(Pricetype2=1,1,0),0))),C96)))</f>
        <v> </v>
      </c>
      <c r="M96" s="318" t="str">
        <f aca="false">IF($A96="N/A"," ",IF(Pricetype2=2,MAX(D96,0),IF(OR(Pricetype2=1,Pricetype2=4),IF(D96=0,0,(EURO(D96,Strikeprice2,0,0,($AH96+IF(Smile=TRUE(),VLOOKUP(MAX(-5,Strikeprice2-D96),Volsmile,2),0)),($A96-DateToday)+15,IF(Pricetype2=1,1,0),0))),D96)))</f>
        <v> </v>
      </c>
      <c r="N96" s="318" t="str">
        <f aca="false">IF($A96="N/A"," ",IF(Pricetype2=2,MAX(E96,0),IF(OR(Pricetype2=1,Pricetype2=4),IF(E96=0,0,(EURO(E96,Strikeprice2,0,0,($AK96+IF(Smile=TRUE(),VLOOKUP(MAX(-5,Strikeprice2-E96),Volsmile,2),0)),($A96-DateToday)+15,IF(Pricetype2=1,1,0),0))),E96)))</f>
        <v> </v>
      </c>
      <c r="O96" s="318" t="str">
        <f aca="false">IF($A96="N/A"," ",IF(Pricetype2=2,MAX(F96,0),IF(OR(Pricetype2=1,Pricetype2=4),IF(F96=0,0,(EURO(F96,Strikeprice2,0,0,($AK96+IF(Smile=TRUE(),VLOOKUP(MAX(-5,Strikeprice2-F96),Volsmile,2),0)),($A96-DateToday)+15,IF(Pricetype2=1,1,0),0))),F96)))</f>
        <v> </v>
      </c>
      <c r="P96" s="318" t="str">
        <f aca="false">IF($A96="N/A"," ",IF(Pricetype2=2,MAX(G96,0),IF(OR(Pricetype2=1,Pricetype2=4),IF(G96=0,0,(EURO(G96,Strikeprice2,0,0,($AK96+IF(Smile=TRUE(),VLOOKUP(MAX(-5,Strikeprice2-G96),Volsmile,2),0)),($A96-DateToday)+15,IF(Pricetype2=1,1,0),0))),G96)))</f>
        <v> </v>
      </c>
      <c r="Q96" s="318" t="str">
        <f aca="false">IF($A96="N/A"," ",IF(Pricetype2=2,MAX(H96,0),IF(OR(Pricetype2=1,Pricetype2=4),IF(H96=0,0,(EURO(H96,Strikeprice2,0,0,($AK96+IF(Smile=TRUE(),VLOOKUP(MAX(-5,Strikeprice2-H96),Volsmile,2),0)),($A96-DateToday)+15,IF(Pricetype2=1,1,0),0))),H96)))</f>
        <v> </v>
      </c>
      <c r="R96" s="318" t="str">
        <f aca="false">IF($A96="N/A"," ",IF(Pricetype2=2,MAX(I96,0),IF(OR(Pricetype2=1,Pricetype2=4),IF(I96=0,0,(EURO(I96,Strikeprice2,0,0,($AK96+IF(Smile=TRUE(),VLOOKUP(MAX(-5,Strikeprice2-I96),Volsmile,2),0)),($A96-DateToday)+15,IF(Pricetype2=1,1,0),0))),I96)))</f>
        <v> </v>
      </c>
      <c r="S96" s="318" t="str">
        <f aca="false">IF($A96="N/A"," ",IF(Pricetype2=2,MAX(J96,0),IF(OR(Pricetype2=1,Pricetype2=4),IF(J96=0,0,(EURO(J96,Strikeprice2,0,0,($AK96+IF(Smile=TRUE(),VLOOKUP(MAX(-5,Strikeprice2-J96),Volsmile,2),0)),($A96-DateToday)+15,IF(Pricetype2=1,1,0),0))),J96)))</f>
        <v> </v>
      </c>
      <c r="T96" s="318" t="str">
        <f aca="false">IF($A96="N/A"," ",IF(Pricetype2=2,MAX(K96,0),IF(OR(Pricetype2=1,Pricetype2=4),IF(K96=0,0,(EURO(K96,Strikeprice2,0,0,($AK96+IF(Smile=TRUE(),VLOOKUP(MAX(-5,Strikeprice2-K96),Volsmile,2),0)),($A96-DateToday)+15,IF(Pricetype2=1,1,0),0))),K96)))</f>
        <v> </v>
      </c>
      <c r="U96" s="319" t="str">
        <f aca="false">IF($A96="N/A"," ",Volume2*$AM96)</f>
        <v> </v>
      </c>
      <c r="V96" s="320" t="str">
        <f aca="false">IF($A96="N/A"," ",$U96*(8*($BQ96))*L96)</f>
        <v> </v>
      </c>
      <c r="W96" s="320" t="str">
        <f aca="false">IF($A96="N/A"," ",$U96*(8*($BQ96))*M96)</f>
        <v> </v>
      </c>
      <c r="X96" s="320" t="str">
        <f aca="false">IF($A96="N/A"," ",$U96*(8*($BQ96))*N96)</f>
        <v> </v>
      </c>
      <c r="Y96" s="320" t="str">
        <f aca="false">IF($A96="N/A"," ",$U96*(8*($BR96))*O96)</f>
        <v> </v>
      </c>
      <c r="Z96" s="320" t="str">
        <f aca="false">IF($A96="N/A"," ",$U96*(8*($BR96))*P96)</f>
        <v> </v>
      </c>
      <c r="AA96" s="320" t="str">
        <f aca="false">IF($A96="N/A"," ",$U96*(8*($BR96))*Q96)</f>
        <v> </v>
      </c>
      <c r="AB96" s="320" t="str">
        <f aca="false">IF($A96="N/A"," ",$U96*(8*($BS96))*R96)</f>
        <v> </v>
      </c>
      <c r="AC96" s="320" t="str">
        <f aca="false">IF($A96="N/A"," ",$U96*(8*($BS96))*S96)</f>
        <v> </v>
      </c>
      <c r="AD96" s="320" t="str">
        <f aca="false">IF($A96="N/A"," ",$U96*(8*($BS96))*T96)</f>
        <v> </v>
      </c>
      <c r="AE96" s="320" t="str">
        <f aca="false">IF($A96="N/A"," ",SUM(V96:AD96))</f>
        <v> </v>
      </c>
      <c r="AF96" s="321" t="str">
        <f aca="false">IF(A96="N/A"," ",(VLOOKUP(A96,PowerVolTable,(IF(VolBMO2=2,7,IF(VolBMO2=1,6,8))),FALSE())))</f>
        <v> </v>
      </c>
      <c r="AG96" s="321" t="str">
        <f aca="false">IF(A96="N/A"," ",(VLOOKUP(A96,IntraPowerVol,(IF(VolBMO2=2,3,IF(VolBMO2=1,2,4))),FALSE())*VLOOKUP(MONTH($A96),Volscale,2)))</f>
        <v> </v>
      </c>
      <c r="AH96" s="321" t="str">
        <f aca="false">IF($A96="N/A"," ",IF(VolType2=1,AG96,AF96))</f>
        <v> </v>
      </c>
      <c r="AI96" s="321" t="str">
        <f aca="false">IF($A96="N/A"," ",(VLOOKUP($A96,OffPwrVolTable,(IF(VolBMO2=2,7,IF(VolBMO2=1,6,8))),FALSE())))</f>
        <v> </v>
      </c>
      <c r="AJ96" s="321" t="str">
        <f aca="false">IF($A96="N/A"," ",(VLOOKUP($A96,OffPwrVolTable,(IF(VolBMO2=2,3,IF(VolBMO2=1,2,4))),FALSE())*VLOOKUP(MONTH($A96),Volscale,2)))</f>
        <v> </v>
      </c>
      <c r="AK96" s="321" t="str">
        <f aca="false">IF($A96="N/A"," ",IF(VolType2=1,AJ96,AI96))</f>
        <v> </v>
      </c>
      <c r="AL96" s="321" t="str">
        <f aca="false">IF($A96="N/A"," ",IF(PV=1,0,'Pricing Inputs2'!R129))</f>
        <v> </v>
      </c>
      <c r="AM96" s="323" t="str">
        <f aca="false">IF($A96="N/A"," ",(1+AL96/2)^(-2*((EOMONTH(A96,0)+20)-DateToday)/365.25))</f>
        <v> </v>
      </c>
      <c r="BQ96" s="0" t="str">
        <f aca="false">IF($A96="N/A"," ",(VLOOKUP($A96,NumberofDaysTable,2)))</f>
        <v> </v>
      </c>
      <c r="BR96" s="0" t="str">
        <f aca="false">IF($A96="N/A"," ",(VLOOKUP($A96,NumberofDaysTable,3)))</f>
        <v> </v>
      </c>
      <c r="BS96" s="0" t="str">
        <f aca="false">IF($A96="N/A"," ",(VLOOKUP($A96,NumberofDaysTable,4)))</f>
        <v> </v>
      </c>
    </row>
    <row r="97" customFormat="false" ht="12.75" hidden="false" customHeight="false" outlineLevel="0" collapsed="false">
      <c r="A97" s="315" t="str">
        <f aca="false">IF(A96="N/A","N/A",IF(EDATE(A96,1)&gt;Inputs!$P$5,"N/A",EDATE(A96,1)))</f>
        <v>N/A</v>
      </c>
      <c r="B97" s="316" t="str">
        <f aca="false">IF(A97="N/A"," ",YEAR(A97))</f>
        <v> </v>
      </c>
      <c r="C97" s="317" t="str">
        <f aca="false">IF($A97="N/A"," ",IF(Dayrun2=10,0,IF(Scaler2=1,(VLOOKUP(A97,ScaledPrice2,4)),(VLOOKUP(A97,ScaledPrice2,2)))))</f>
        <v> </v>
      </c>
      <c r="D97" s="317" t="str">
        <f aca="false">IF(A97="N/A"," ",IF(Dayrun2&gt;=7,0,IF(Scaler2=2,VLOOKUP(A97,ScaledPrice2,2),(VLOOKUP(A97,ScaledPrice2,2))*(2-(VLOOKUP(A97,ScaledPrice2,3))))))</f>
        <v> </v>
      </c>
      <c r="E97" s="317" t="str">
        <f aca="false">IF($A97="N/A"," ",IF(AND(Dayrun2&gt;=4,Dayrun2&lt;=9),0,VLOOKUP($A97,ScaledPrice2,9)))</f>
        <v> </v>
      </c>
      <c r="F97" s="317" t="str">
        <f aca="false">IF(A97="N/A"," ",IF(OR(Dayrun2=2,Dayrun2=3,Dayrun2=5,Dayrun2=6,Dayrun2=8,Dayrun2=9),VLOOKUP(A97,ScaledPrice2,IF(Scaler2=1,6,5)),0))</f>
        <v> </v>
      </c>
      <c r="G97" s="317" t="str">
        <f aca="false">IF(A97="N/A"," ",IF(OR(Dayrun2=2,Dayrun2=3,Dayrun2=5,Dayrun2=6),IF(Scaler2=2,F97,(VLOOKUP(A97,ScaledPrice2,5))*(2-(VLOOKUP(A97,ScaledPrice2,3)))),0))</f>
        <v> </v>
      </c>
      <c r="H97" s="317" t="str">
        <f aca="false">IF($A97="N/A"," ",IF(OR(Dayrun2=2,Dayrun2=3,Dayrun2=10),VLOOKUP($A97,ScaledPrice2,9),0))</f>
        <v> </v>
      </c>
      <c r="I97" s="317" t="str">
        <f aca="false">IF(A97="N/A"," ",IF(OR(Dayrun2=3,Dayrun2=6,Dayrun2=9),(VLOOKUP(A97,ScaledPrice2,IF(Scaler2=2,7,8))),0))</f>
        <v> </v>
      </c>
      <c r="J97" s="317" t="str">
        <f aca="false">IF(A97="N/A"," ",IF(OR(Dayrun2=3,Dayrun2=6),IF(Scaler2=2,I97,(VLOOKUP(A97,ScaledPrice2,7))*(2-(VLOOKUP(A97,ScaledPrice2,3)))),0))</f>
        <v> </v>
      </c>
      <c r="K97" s="317" t="str">
        <f aca="false">IF($A97="N/A"," ",IF(OR(Dayrun2=3,Dayrun2=10),VLOOKUP($A97,ScaledPrice2,9),0))</f>
        <v> </v>
      </c>
      <c r="L97" s="318" t="str">
        <f aca="false">IF($A97="N/A"," ",IF(Pricetype2=2,MAX(C97,0),IF(OR(Pricetype2=1,Pricetype2=4),IF(C97=0,0,(EURO(C97,Strikeprice2,0,0,($AH97+IF(Smile=TRUE(),VLOOKUP(MAX(-5,Strikeprice2-C97),Volsmile,2),0)),($A97-DateToday)+15,IF(Pricetype2=1,1,0),0))),C97)))</f>
        <v> </v>
      </c>
      <c r="M97" s="318" t="str">
        <f aca="false">IF($A97="N/A"," ",IF(Pricetype2=2,MAX(D97,0),IF(OR(Pricetype2=1,Pricetype2=4),IF(D97=0,0,(EURO(D97,Strikeprice2,0,0,($AH97+IF(Smile=TRUE(),VLOOKUP(MAX(-5,Strikeprice2-D97),Volsmile,2),0)),($A97-DateToday)+15,IF(Pricetype2=1,1,0),0))),D97)))</f>
        <v> </v>
      </c>
      <c r="N97" s="318" t="str">
        <f aca="false">IF($A97="N/A"," ",IF(Pricetype2=2,MAX(E97,0),IF(OR(Pricetype2=1,Pricetype2=4),IF(E97=0,0,(EURO(E97,Strikeprice2,0,0,($AK97+IF(Smile=TRUE(),VLOOKUP(MAX(-5,Strikeprice2-E97),Volsmile,2),0)),($A97-DateToday)+15,IF(Pricetype2=1,1,0),0))),E97)))</f>
        <v> </v>
      </c>
      <c r="O97" s="318" t="str">
        <f aca="false">IF($A97="N/A"," ",IF(Pricetype2=2,MAX(F97,0),IF(OR(Pricetype2=1,Pricetype2=4),IF(F97=0,0,(EURO(F97,Strikeprice2,0,0,($AK97+IF(Smile=TRUE(),VLOOKUP(MAX(-5,Strikeprice2-F97),Volsmile,2),0)),($A97-DateToday)+15,IF(Pricetype2=1,1,0),0))),F97)))</f>
        <v> </v>
      </c>
      <c r="P97" s="318" t="str">
        <f aca="false">IF($A97="N/A"," ",IF(Pricetype2=2,MAX(G97,0),IF(OR(Pricetype2=1,Pricetype2=4),IF(G97=0,0,(EURO(G97,Strikeprice2,0,0,($AK97+IF(Smile=TRUE(),VLOOKUP(MAX(-5,Strikeprice2-G97),Volsmile,2),0)),($A97-DateToday)+15,IF(Pricetype2=1,1,0),0))),G97)))</f>
        <v> </v>
      </c>
      <c r="Q97" s="318" t="str">
        <f aca="false">IF($A97="N/A"," ",IF(Pricetype2=2,MAX(H97,0),IF(OR(Pricetype2=1,Pricetype2=4),IF(H97=0,0,(EURO(H97,Strikeprice2,0,0,($AK97+IF(Smile=TRUE(),VLOOKUP(MAX(-5,Strikeprice2-H97),Volsmile,2),0)),($A97-DateToday)+15,IF(Pricetype2=1,1,0),0))),H97)))</f>
        <v> </v>
      </c>
      <c r="R97" s="318" t="str">
        <f aca="false">IF($A97="N/A"," ",IF(Pricetype2=2,MAX(I97,0),IF(OR(Pricetype2=1,Pricetype2=4),IF(I97=0,0,(EURO(I97,Strikeprice2,0,0,($AK97+IF(Smile=TRUE(),VLOOKUP(MAX(-5,Strikeprice2-I97),Volsmile,2),0)),($A97-DateToday)+15,IF(Pricetype2=1,1,0),0))),I97)))</f>
        <v> </v>
      </c>
      <c r="S97" s="318" t="str">
        <f aca="false">IF($A97="N/A"," ",IF(Pricetype2=2,MAX(J97,0),IF(OR(Pricetype2=1,Pricetype2=4),IF(J97=0,0,(EURO(J97,Strikeprice2,0,0,($AK97+IF(Smile=TRUE(),VLOOKUP(MAX(-5,Strikeprice2-J97),Volsmile,2),0)),($A97-DateToday)+15,IF(Pricetype2=1,1,0),0))),J97)))</f>
        <v> </v>
      </c>
      <c r="T97" s="318" t="str">
        <f aca="false">IF($A97="N/A"," ",IF(Pricetype2=2,MAX(K97,0),IF(OR(Pricetype2=1,Pricetype2=4),IF(K97=0,0,(EURO(K97,Strikeprice2,0,0,($AK97+IF(Smile=TRUE(),VLOOKUP(MAX(-5,Strikeprice2-K97),Volsmile,2),0)),($A97-DateToday)+15,IF(Pricetype2=1,1,0),0))),K97)))</f>
        <v> </v>
      </c>
      <c r="U97" s="319" t="str">
        <f aca="false">IF($A97="N/A"," ",Volume2*$AM97)</f>
        <v> </v>
      </c>
      <c r="V97" s="320" t="str">
        <f aca="false">IF($A97="N/A"," ",$U97*(8*($BQ97))*L97)</f>
        <v> </v>
      </c>
      <c r="W97" s="320" t="str">
        <f aca="false">IF($A97="N/A"," ",$U97*(8*($BQ97))*M97)</f>
        <v> </v>
      </c>
      <c r="X97" s="320" t="str">
        <f aca="false">IF($A97="N/A"," ",$U97*(8*($BQ97))*N97)</f>
        <v> </v>
      </c>
      <c r="Y97" s="320" t="str">
        <f aca="false">IF($A97="N/A"," ",$U97*(8*($BR97))*O97)</f>
        <v> </v>
      </c>
      <c r="Z97" s="320" t="str">
        <f aca="false">IF($A97="N/A"," ",$U97*(8*($BR97))*P97)</f>
        <v> </v>
      </c>
      <c r="AA97" s="320" t="str">
        <f aca="false">IF($A97="N/A"," ",$U97*(8*($BR97))*Q97)</f>
        <v> </v>
      </c>
      <c r="AB97" s="320" t="str">
        <f aca="false">IF($A97="N/A"," ",$U97*(8*($BS97))*R97)</f>
        <v> </v>
      </c>
      <c r="AC97" s="320" t="str">
        <f aca="false">IF($A97="N/A"," ",$U97*(8*($BS97))*S97)</f>
        <v> </v>
      </c>
      <c r="AD97" s="320" t="str">
        <f aca="false">IF($A97="N/A"," ",$U97*(8*($BS97))*T97)</f>
        <v> </v>
      </c>
      <c r="AE97" s="320" t="str">
        <f aca="false">IF($A97="N/A"," ",SUM(V97:AD97))</f>
        <v> </v>
      </c>
      <c r="AF97" s="321" t="str">
        <f aca="false">IF(A97="N/A"," ",(VLOOKUP(A97,PowerVolTable,(IF(VolBMO2=2,7,IF(VolBMO2=1,6,8))),FALSE())))</f>
        <v> </v>
      </c>
      <c r="AG97" s="321" t="str">
        <f aca="false">IF(A97="N/A"," ",(VLOOKUP(A97,IntraPowerVol,(IF(VolBMO2=2,3,IF(VolBMO2=1,2,4))),FALSE())*VLOOKUP(MONTH($A97),Volscale,2)))</f>
        <v> </v>
      </c>
      <c r="AH97" s="321" t="str">
        <f aca="false">IF($A97="N/A"," ",IF(VolType2=1,AG97,AF97))</f>
        <v> </v>
      </c>
      <c r="AI97" s="321" t="str">
        <f aca="false">IF($A97="N/A"," ",(VLOOKUP($A97,OffPwrVolTable,(IF(VolBMO2=2,7,IF(VolBMO2=1,6,8))),FALSE())))</f>
        <v> </v>
      </c>
      <c r="AJ97" s="321" t="str">
        <f aca="false">IF($A97="N/A"," ",(VLOOKUP($A97,OffPwrVolTable,(IF(VolBMO2=2,3,IF(VolBMO2=1,2,4))),FALSE())*VLOOKUP(MONTH($A97),Volscale,2)))</f>
        <v> </v>
      </c>
      <c r="AK97" s="321" t="str">
        <f aca="false">IF($A97="N/A"," ",IF(VolType2=1,AJ97,AI97))</f>
        <v> </v>
      </c>
      <c r="AL97" s="321" t="str">
        <f aca="false">IF($A97="N/A"," ",IF(PV=1,0,'Pricing Inputs2'!R130))</f>
        <v> </v>
      </c>
      <c r="AM97" s="323" t="str">
        <f aca="false">IF($A97="N/A"," ",(1+AL97/2)^(-2*((EOMONTH(A97,0)+20)-DateToday)/365.25))</f>
        <v> </v>
      </c>
      <c r="BQ97" s="0" t="str">
        <f aca="false">IF($A97="N/A"," ",(VLOOKUP($A97,NumberofDaysTable,2)))</f>
        <v> </v>
      </c>
      <c r="BR97" s="0" t="str">
        <f aca="false">IF($A97="N/A"," ",(VLOOKUP($A97,NumberofDaysTable,3)))</f>
        <v> </v>
      </c>
      <c r="BS97" s="0" t="str">
        <f aca="false">IF($A97="N/A"," ",(VLOOKUP($A97,NumberofDaysTable,4)))</f>
        <v> </v>
      </c>
    </row>
    <row r="98" customFormat="false" ht="12.75" hidden="false" customHeight="false" outlineLevel="0" collapsed="false">
      <c r="A98" s="315" t="str">
        <f aca="false">IF(A97="N/A","N/A",IF(EDATE(A97,1)&gt;Inputs!$P$5,"N/A",EDATE(A97,1)))</f>
        <v>N/A</v>
      </c>
      <c r="B98" s="316" t="str">
        <f aca="false">IF(A98="N/A"," ",YEAR(A98))</f>
        <v> </v>
      </c>
      <c r="C98" s="317" t="str">
        <f aca="false">IF($A98="N/A"," ",IF(Dayrun2=10,0,IF(Scaler2=1,(VLOOKUP(A98,ScaledPrice2,4)),(VLOOKUP(A98,ScaledPrice2,2)))))</f>
        <v> </v>
      </c>
      <c r="D98" s="317" t="str">
        <f aca="false">IF(A98="N/A"," ",IF(Dayrun2&gt;=7,0,IF(Scaler2=2,VLOOKUP(A98,ScaledPrice2,2),(VLOOKUP(A98,ScaledPrice2,2))*(2-(VLOOKUP(A98,ScaledPrice2,3))))))</f>
        <v> </v>
      </c>
      <c r="E98" s="317" t="str">
        <f aca="false">IF($A98="N/A"," ",IF(AND(Dayrun2&gt;=4,Dayrun2&lt;=9),0,VLOOKUP($A98,ScaledPrice2,9)))</f>
        <v> </v>
      </c>
      <c r="F98" s="317" t="str">
        <f aca="false">IF(A98="N/A"," ",IF(OR(Dayrun2=2,Dayrun2=3,Dayrun2=5,Dayrun2=6,Dayrun2=8,Dayrun2=9),VLOOKUP(A98,ScaledPrice2,IF(Scaler2=1,6,5)),0))</f>
        <v> </v>
      </c>
      <c r="G98" s="317" t="str">
        <f aca="false">IF(A98="N/A"," ",IF(OR(Dayrun2=2,Dayrun2=3,Dayrun2=5,Dayrun2=6),IF(Scaler2=2,F98,(VLOOKUP(A98,ScaledPrice2,5))*(2-(VLOOKUP(A98,ScaledPrice2,3)))),0))</f>
        <v> </v>
      </c>
      <c r="H98" s="317" t="str">
        <f aca="false">IF($A98="N/A"," ",IF(OR(Dayrun2=2,Dayrun2=3,Dayrun2=10),VLOOKUP($A98,ScaledPrice2,9),0))</f>
        <v> </v>
      </c>
      <c r="I98" s="317" t="str">
        <f aca="false">IF(A98="N/A"," ",IF(OR(Dayrun2=3,Dayrun2=6,Dayrun2=9),(VLOOKUP(A98,ScaledPrice2,IF(Scaler2=2,7,8))),0))</f>
        <v> </v>
      </c>
      <c r="J98" s="317" t="str">
        <f aca="false">IF(A98="N/A"," ",IF(OR(Dayrun2=3,Dayrun2=6),IF(Scaler2=2,I98,(VLOOKUP(A98,ScaledPrice2,7))*(2-(VLOOKUP(A98,ScaledPrice2,3)))),0))</f>
        <v> </v>
      </c>
      <c r="K98" s="317" t="str">
        <f aca="false">IF($A98="N/A"," ",IF(OR(Dayrun2=3,Dayrun2=10),VLOOKUP($A98,ScaledPrice2,9),0))</f>
        <v> </v>
      </c>
      <c r="L98" s="318" t="str">
        <f aca="false">IF($A98="N/A"," ",IF(Pricetype2=2,MAX(C98,0),IF(OR(Pricetype2=1,Pricetype2=4),IF(C98=0,0,(EURO(C98,Strikeprice2,0,0,($AH98+IF(Smile=TRUE(),VLOOKUP(MAX(-5,Strikeprice2-C98),Volsmile,2),0)),($A98-DateToday)+15,IF(Pricetype2=1,1,0),0))),C98)))</f>
        <v> </v>
      </c>
      <c r="M98" s="318" t="str">
        <f aca="false">IF($A98="N/A"," ",IF(Pricetype2=2,MAX(D98,0),IF(OR(Pricetype2=1,Pricetype2=4),IF(D98=0,0,(EURO(D98,Strikeprice2,0,0,($AH98+IF(Smile=TRUE(),VLOOKUP(MAX(-5,Strikeprice2-D98),Volsmile,2),0)),($A98-DateToday)+15,IF(Pricetype2=1,1,0),0))),D98)))</f>
        <v> </v>
      </c>
      <c r="N98" s="318" t="str">
        <f aca="false">IF($A98="N/A"," ",IF(Pricetype2=2,MAX(E98,0),IF(OR(Pricetype2=1,Pricetype2=4),IF(E98=0,0,(EURO(E98,Strikeprice2,0,0,($AK98+IF(Smile=TRUE(),VLOOKUP(MAX(-5,Strikeprice2-E98),Volsmile,2),0)),($A98-DateToday)+15,IF(Pricetype2=1,1,0),0))),E98)))</f>
        <v> </v>
      </c>
      <c r="O98" s="318" t="str">
        <f aca="false">IF($A98="N/A"," ",IF(Pricetype2=2,MAX(F98,0),IF(OR(Pricetype2=1,Pricetype2=4),IF(F98=0,0,(EURO(F98,Strikeprice2,0,0,($AK98+IF(Smile=TRUE(),VLOOKUP(MAX(-5,Strikeprice2-F98),Volsmile,2),0)),($A98-DateToday)+15,IF(Pricetype2=1,1,0),0))),F98)))</f>
        <v> </v>
      </c>
      <c r="P98" s="318" t="str">
        <f aca="false">IF($A98="N/A"," ",IF(Pricetype2=2,MAX(G98,0),IF(OR(Pricetype2=1,Pricetype2=4),IF(G98=0,0,(EURO(G98,Strikeprice2,0,0,($AK98+IF(Smile=TRUE(),VLOOKUP(MAX(-5,Strikeprice2-G98),Volsmile,2),0)),($A98-DateToday)+15,IF(Pricetype2=1,1,0),0))),G98)))</f>
        <v> </v>
      </c>
      <c r="Q98" s="318" t="str">
        <f aca="false">IF($A98="N/A"," ",IF(Pricetype2=2,MAX(H98,0),IF(OR(Pricetype2=1,Pricetype2=4),IF(H98=0,0,(EURO(H98,Strikeprice2,0,0,($AK98+IF(Smile=TRUE(),VLOOKUP(MAX(-5,Strikeprice2-H98),Volsmile,2),0)),($A98-DateToday)+15,IF(Pricetype2=1,1,0),0))),H98)))</f>
        <v> </v>
      </c>
      <c r="R98" s="318" t="str">
        <f aca="false">IF($A98="N/A"," ",IF(Pricetype2=2,MAX(I98,0),IF(OR(Pricetype2=1,Pricetype2=4),IF(I98=0,0,(EURO(I98,Strikeprice2,0,0,($AK98+IF(Smile=TRUE(),VLOOKUP(MAX(-5,Strikeprice2-I98),Volsmile,2),0)),($A98-DateToday)+15,IF(Pricetype2=1,1,0),0))),I98)))</f>
        <v> </v>
      </c>
      <c r="S98" s="318" t="str">
        <f aca="false">IF($A98="N/A"," ",IF(Pricetype2=2,MAX(J98,0),IF(OR(Pricetype2=1,Pricetype2=4),IF(J98=0,0,(EURO(J98,Strikeprice2,0,0,($AK98+IF(Smile=TRUE(),VLOOKUP(MAX(-5,Strikeprice2-J98),Volsmile,2),0)),($A98-DateToday)+15,IF(Pricetype2=1,1,0),0))),J98)))</f>
        <v> </v>
      </c>
      <c r="T98" s="318" t="str">
        <f aca="false">IF($A98="N/A"," ",IF(Pricetype2=2,MAX(K98,0),IF(OR(Pricetype2=1,Pricetype2=4),IF(K98=0,0,(EURO(K98,Strikeprice2,0,0,($AK98+IF(Smile=TRUE(),VLOOKUP(MAX(-5,Strikeprice2-K98),Volsmile,2),0)),($A98-DateToday)+15,IF(Pricetype2=1,1,0),0))),K98)))</f>
        <v> </v>
      </c>
      <c r="U98" s="319" t="str">
        <f aca="false">IF($A98="N/A"," ",Volume2*$AM98)</f>
        <v> </v>
      </c>
      <c r="V98" s="320" t="str">
        <f aca="false">IF($A98="N/A"," ",$U98*(8*($BQ98))*L98)</f>
        <v> </v>
      </c>
      <c r="W98" s="320" t="str">
        <f aca="false">IF($A98="N/A"," ",$U98*(8*($BQ98))*M98)</f>
        <v> </v>
      </c>
      <c r="X98" s="320" t="str">
        <f aca="false">IF($A98="N/A"," ",$U98*(8*($BQ98))*N98)</f>
        <v> </v>
      </c>
      <c r="Y98" s="320" t="str">
        <f aca="false">IF($A98="N/A"," ",$U98*(8*($BR98))*O98)</f>
        <v> </v>
      </c>
      <c r="Z98" s="320" t="str">
        <f aca="false">IF($A98="N/A"," ",$U98*(8*($BR98))*P98)</f>
        <v> </v>
      </c>
      <c r="AA98" s="320" t="str">
        <f aca="false">IF($A98="N/A"," ",$U98*(8*($BR98))*Q98)</f>
        <v> </v>
      </c>
      <c r="AB98" s="320" t="str">
        <f aca="false">IF($A98="N/A"," ",$U98*(8*($BS98))*R98)</f>
        <v> </v>
      </c>
      <c r="AC98" s="320" t="str">
        <f aca="false">IF($A98="N/A"," ",$U98*(8*($BS98))*S98)</f>
        <v> </v>
      </c>
      <c r="AD98" s="320" t="str">
        <f aca="false">IF($A98="N/A"," ",$U98*(8*($BS98))*T98)</f>
        <v> </v>
      </c>
      <c r="AE98" s="320" t="str">
        <f aca="false">IF($A98="N/A"," ",SUM(V98:AD98))</f>
        <v> </v>
      </c>
      <c r="AF98" s="321" t="str">
        <f aca="false">IF(A98="N/A"," ",(VLOOKUP(A98,PowerVolTable,(IF(VolBMO2=2,7,IF(VolBMO2=1,6,8))),FALSE())))</f>
        <v> </v>
      </c>
      <c r="AG98" s="321" t="str">
        <f aca="false">IF(A98="N/A"," ",(VLOOKUP(A98,IntraPowerVol,(IF(VolBMO2=2,3,IF(VolBMO2=1,2,4))),FALSE())*VLOOKUP(MONTH($A98),Volscale,2)))</f>
        <v> </v>
      </c>
      <c r="AH98" s="321" t="str">
        <f aca="false">IF($A98="N/A"," ",IF(VolType2=1,AG98,AF98))</f>
        <v> </v>
      </c>
      <c r="AI98" s="321" t="str">
        <f aca="false">IF($A98="N/A"," ",(VLOOKUP($A98,OffPwrVolTable,(IF(VolBMO2=2,7,IF(VolBMO2=1,6,8))),FALSE())))</f>
        <v> </v>
      </c>
      <c r="AJ98" s="321" t="str">
        <f aca="false">IF($A98="N/A"," ",(VLOOKUP($A98,OffPwrVolTable,(IF(VolBMO2=2,3,IF(VolBMO2=1,2,4))),FALSE())*VLOOKUP(MONTH($A98),Volscale,2)))</f>
        <v> </v>
      </c>
      <c r="AK98" s="321" t="str">
        <f aca="false">IF($A98="N/A"," ",IF(VolType2=1,AJ98,AI98))</f>
        <v> </v>
      </c>
      <c r="AL98" s="321" t="str">
        <f aca="false">IF($A98="N/A"," ",IF(PV=1,0,'Pricing Inputs2'!R131))</f>
        <v> </v>
      </c>
      <c r="AM98" s="323" t="str">
        <f aca="false">IF($A98="N/A"," ",(1+AL98/2)^(-2*((EOMONTH(A98,0)+20)-DateToday)/365.25))</f>
        <v> </v>
      </c>
      <c r="BQ98" s="0" t="str">
        <f aca="false">IF($A98="N/A"," ",(VLOOKUP($A98,NumberofDaysTable,2)))</f>
        <v> </v>
      </c>
      <c r="BR98" s="0" t="str">
        <f aca="false">IF($A98="N/A"," ",(VLOOKUP($A98,NumberofDaysTable,3)))</f>
        <v> </v>
      </c>
      <c r="BS98" s="0" t="str">
        <f aca="false">IF($A98="N/A"," ",(VLOOKUP($A98,NumberofDaysTable,4)))</f>
        <v> </v>
      </c>
    </row>
    <row r="99" customFormat="false" ht="12.75" hidden="false" customHeight="false" outlineLevel="0" collapsed="false">
      <c r="A99" s="315" t="str">
        <f aca="false">IF(A98="N/A","N/A",IF(EDATE(A98,1)&gt;Inputs!$P$5,"N/A",EDATE(A98,1)))</f>
        <v>N/A</v>
      </c>
      <c r="B99" s="316" t="str">
        <f aca="false">IF(A99="N/A"," ",YEAR(A99))</f>
        <v> </v>
      </c>
      <c r="C99" s="317" t="str">
        <f aca="false">IF($A99="N/A"," ",IF(Dayrun2=10,0,IF(Scaler2=1,(VLOOKUP(A99,ScaledPrice2,4)),(VLOOKUP(A99,ScaledPrice2,2)))))</f>
        <v> </v>
      </c>
      <c r="D99" s="317" t="str">
        <f aca="false">IF(A99="N/A"," ",IF(Dayrun2&gt;=7,0,IF(Scaler2=2,VLOOKUP(A99,ScaledPrice2,2),(VLOOKUP(A99,ScaledPrice2,2))*(2-(VLOOKUP(A99,ScaledPrice2,3))))))</f>
        <v> </v>
      </c>
      <c r="E99" s="317" t="str">
        <f aca="false">IF($A99="N/A"," ",IF(AND(Dayrun2&gt;=4,Dayrun2&lt;=9),0,VLOOKUP($A99,ScaledPrice2,9)))</f>
        <v> </v>
      </c>
      <c r="F99" s="317" t="str">
        <f aca="false">IF(A99="N/A"," ",IF(OR(Dayrun2=2,Dayrun2=3,Dayrun2=5,Dayrun2=6,Dayrun2=8,Dayrun2=9),VLOOKUP(A99,ScaledPrice2,IF(Scaler2=1,6,5)),0))</f>
        <v> </v>
      </c>
      <c r="G99" s="317" t="str">
        <f aca="false">IF(A99="N/A"," ",IF(OR(Dayrun2=2,Dayrun2=3,Dayrun2=5,Dayrun2=6),IF(Scaler2=2,F99,(VLOOKUP(A99,ScaledPrice2,5))*(2-(VLOOKUP(A99,ScaledPrice2,3)))),0))</f>
        <v> </v>
      </c>
      <c r="H99" s="317" t="str">
        <f aca="false">IF($A99="N/A"," ",IF(OR(Dayrun2=2,Dayrun2=3,Dayrun2=10),VLOOKUP($A99,ScaledPrice2,9),0))</f>
        <v> </v>
      </c>
      <c r="I99" s="317" t="str">
        <f aca="false">IF(A99="N/A"," ",IF(OR(Dayrun2=3,Dayrun2=6,Dayrun2=9),(VLOOKUP(A99,ScaledPrice2,IF(Scaler2=2,7,8))),0))</f>
        <v> </v>
      </c>
      <c r="J99" s="317" t="str">
        <f aca="false">IF(A99="N/A"," ",IF(OR(Dayrun2=3,Dayrun2=6),IF(Scaler2=2,I99,(VLOOKUP(A99,ScaledPrice2,7))*(2-(VLOOKUP(A99,ScaledPrice2,3)))),0))</f>
        <v> </v>
      </c>
      <c r="K99" s="317" t="str">
        <f aca="false">IF($A99="N/A"," ",IF(OR(Dayrun2=3,Dayrun2=10),VLOOKUP($A99,ScaledPrice2,9),0))</f>
        <v> </v>
      </c>
      <c r="L99" s="318" t="str">
        <f aca="false">IF($A99="N/A"," ",IF(Pricetype2=2,MAX(C99,0),IF(OR(Pricetype2=1,Pricetype2=4),IF(C99=0,0,(EURO(C99,Strikeprice2,0,0,($AH99+IF(Smile=TRUE(),VLOOKUP(MAX(-5,Strikeprice2-C99),Volsmile,2),0)),($A99-DateToday)+15,IF(Pricetype2=1,1,0),0))),C99)))</f>
        <v> </v>
      </c>
      <c r="M99" s="318" t="str">
        <f aca="false">IF($A99="N/A"," ",IF(Pricetype2=2,MAX(D99,0),IF(OR(Pricetype2=1,Pricetype2=4),IF(D99=0,0,(EURO(D99,Strikeprice2,0,0,($AH99+IF(Smile=TRUE(),VLOOKUP(MAX(-5,Strikeprice2-D99),Volsmile,2),0)),($A99-DateToday)+15,IF(Pricetype2=1,1,0),0))),D99)))</f>
        <v> </v>
      </c>
      <c r="N99" s="318" t="str">
        <f aca="false">IF($A99="N/A"," ",IF(Pricetype2=2,MAX(E99,0),IF(OR(Pricetype2=1,Pricetype2=4),IF(E99=0,0,(EURO(E99,Strikeprice2,0,0,($AK99+IF(Smile=TRUE(),VLOOKUP(MAX(-5,Strikeprice2-E99),Volsmile,2),0)),($A99-DateToday)+15,IF(Pricetype2=1,1,0),0))),E99)))</f>
        <v> </v>
      </c>
      <c r="O99" s="318" t="str">
        <f aca="false">IF($A99="N/A"," ",IF(Pricetype2=2,MAX(F99,0),IF(OR(Pricetype2=1,Pricetype2=4),IF(F99=0,0,(EURO(F99,Strikeprice2,0,0,($AK99+IF(Smile=TRUE(),VLOOKUP(MAX(-5,Strikeprice2-F99),Volsmile,2),0)),($A99-DateToday)+15,IF(Pricetype2=1,1,0),0))),F99)))</f>
        <v> </v>
      </c>
      <c r="P99" s="318" t="str">
        <f aca="false">IF($A99="N/A"," ",IF(Pricetype2=2,MAX(G99,0),IF(OR(Pricetype2=1,Pricetype2=4),IF(G99=0,0,(EURO(G99,Strikeprice2,0,0,($AK99+IF(Smile=TRUE(),VLOOKUP(MAX(-5,Strikeprice2-G99),Volsmile,2),0)),($A99-DateToday)+15,IF(Pricetype2=1,1,0),0))),G99)))</f>
        <v> </v>
      </c>
      <c r="Q99" s="318" t="str">
        <f aca="false">IF($A99="N/A"," ",IF(Pricetype2=2,MAX(H99,0),IF(OR(Pricetype2=1,Pricetype2=4),IF(H99=0,0,(EURO(H99,Strikeprice2,0,0,($AK99+IF(Smile=TRUE(),VLOOKUP(MAX(-5,Strikeprice2-H99),Volsmile,2),0)),($A99-DateToday)+15,IF(Pricetype2=1,1,0),0))),H99)))</f>
        <v> </v>
      </c>
      <c r="R99" s="318" t="str">
        <f aca="false">IF($A99="N/A"," ",IF(Pricetype2=2,MAX(I99,0),IF(OR(Pricetype2=1,Pricetype2=4),IF(I99=0,0,(EURO(I99,Strikeprice2,0,0,($AK99+IF(Smile=TRUE(),VLOOKUP(MAX(-5,Strikeprice2-I99),Volsmile,2),0)),($A99-DateToday)+15,IF(Pricetype2=1,1,0),0))),I99)))</f>
        <v> </v>
      </c>
      <c r="S99" s="318" t="str">
        <f aca="false">IF($A99="N/A"," ",IF(Pricetype2=2,MAX(J99,0),IF(OR(Pricetype2=1,Pricetype2=4),IF(J99=0,0,(EURO(J99,Strikeprice2,0,0,($AK99+IF(Smile=TRUE(),VLOOKUP(MAX(-5,Strikeprice2-J99),Volsmile,2),0)),($A99-DateToday)+15,IF(Pricetype2=1,1,0),0))),J99)))</f>
        <v> </v>
      </c>
      <c r="T99" s="318" t="str">
        <f aca="false">IF($A99="N/A"," ",IF(Pricetype2=2,MAX(K99,0),IF(OR(Pricetype2=1,Pricetype2=4),IF(K99=0,0,(EURO(K99,Strikeprice2,0,0,($AK99+IF(Smile=TRUE(),VLOOKUP(MAX(-5,Strikeprice2-K99),Volsmile,2),0)),($A99-DateToday)+15,IF(Pricetype2=1,1,0),0))),K99)))</f>
        <v> </v>
      </c>
      <c r="U99" s="319" t="str">
        <f aca="false">IF($A99="N/A"," ",Volume2*$AM99)</f>
        <v> </v>
      </c>
      <c r="V99" s="320" t="str">
        <f aca="false">IF($A99="N/A"," ",$U99*(8*($BQ99))*L99)</f>
        <v> </v>
      </c>
      <c r="W99" s="320" t="str">
        <f aca="false">IF($A99="N/A"," ",$U99*(8*($BQ99))*M99)</f>
        <v> </v>
      </c>
      <c r="X99" s="320" t="str">
        <f aca="false">IF($A99="N/A"," ",$U99*(8*($BQ99))*N99)</f>
        <v> </v>
      </c>
      <c r="Y99" s="320" t="str">
        <f aca="false">IF($A99="N/A"," ",$U99*(8*($BR99))*O99)</f>
        <v> </v>
      </c>
      <c r="Z99" s="320" t="str">
        <f aca="false">IF($A99="N/A"," ",$U99*(8*($BR99))*P99)</f>
        <v> </v>
      </c>
      <c r="AA99" s="320" t="str">
        <f aca="false">IF($A99="N/A"," ",$U99*(8*($BR99))*Q99)</f>
        <v> </v>
      </c>
      <c r="AB99" s="320" t="str">
        <f aca="false">IF($A99="N/A"," ",$U99*(8*($BS99))*R99)</f>
        <v> </v>
      </c>
      <c r="AC99" s="320" t="str">
        <f aca="false">IF($A99="N/A"," ",$U99*(8*($BS99))*S99)</f>
        <v> </v>
      </c>
      <c r="AD99" s="320" t="str">
        <f aca="false">IF($A99="N/A"," ",$U99*(8*($BS99))*T99)</f>
        <v> </v>
      </c>
      <c r="AE99" s="320" t="str">
        <f aca="false">IF($A99="N/A"," ",SUM(V99:AD99))</f>
        <v> </v>
      </c>
      <c r="AF99" s="321" t="str">
        <f aca="false">IF(A99="N/A"," ",(VLOOKUP(A99,PowerVolTable,(IF(VolBMO2=2,7,IF(VolBMO2=1,6,8))),FALSE())))</f>
        <v> </v>
      </c>
      <c r="AG99" s="321" t="str">
        <f aca="false">IF(A99="N/A"," ",(VLOOKUP(A99,IntraPowerVol,(IF(VolBMO2=2,3,IF(VolBMO2=1,2,4))),FALSE())*VLOOKUP(MONTH($A99),Volscale,2)))</f>
        <v> </v>
      </c>
      <c r="AH99" s="321" t="str">
        <f aca="false">IF($A99="N/A"," ",IF(VolType2=1,AG99,AF99))</f>
        <v> </v>
      </c>
      <c r="AI99" s="321" t="str">
        <f aca="false">IF($A99="N/A"," ",(VLOOKUP($A99,OffPwrVolTable,(IF(VolBMO2=2,7,IF(VolBMO2=1,6,8))),FALSE())))</f>
        <v> </v>
      </c>
      <c r="AJ99" s="321" t="str">
        <f aca="false">IF($A99="N/A"," ",(VLOOKUP($A99,OffPwrVolTable,(IF(VolBMO2=2,3,IF(VolBMO2=1,2,4))),FALSE())*VLOOKUP(MONTH($A99),Volscale,2)))</f>
        <v> </v>
      </c>
      <c r="AK99" s="321" t="str">
        <f aca="false">IF($A99="N/A"," ",IF(VolType2=1,AJ99,AI99))</f>
        <v> </v>
      </c>
      <c r="AL99" s="321" t="str">
        <f aca="false">IF($A99="N/A"," ",IF(PV=1,0,'Pricing Inputs2'!R132))</f>
        <v> </v>
      </c>
      <c r="AM99" s="323" t="str">
        <f aca="false">IF($A99="N/A"," ",(1+AL99/2)^(-2*((EOMONTH(A99,0)+20)-DateToday)/365.25))</f>
        <v> </v>
      </c>
      <c r="BQ99" s="0" t="str">
        <f aca="false">IF($A99="N/A"," ",(VLOOKUP($A99,NumberofDaysTable,2)))</f>
        <v> </v>
      </c>
      <c r="BR99" s="0" t="str">
        <f aca="false">IF($A99="N/A"," ",(VLOOKUP($A99,NumberofDaysTable,3)))</f>
        <v> </v>
      </c>
      <c r="BS99" s="0" t="str">
        <f aca="false">IF($A99="N/A"," ",(VLOOKUP($A99,NumberofDaysTable,4)))</f>
        <v> </v>
      </c>
    </row>
    <row r="100" customFormat="false" ht="12.75" hidden="false" customHeight="false" outlineLevel="0" collapsed="false">
      <c r="A100" s="315" t="str">
        <f aca="false">IF(A99="N/A","N/A",IF(EDATE(A99,1)&gt;Inputs!$P$5,"N/A",EDATE(A99,1)))</f>
        <v>N/A</v>
      </c>
      <c r="B100" s="316" t="str">
        <f aca="false">IF(A100="N/A"," ",YEAR(A100))</f>
        <v> </v>
      </c>
      <c r="C100" s="317" t="str">
        <f aca="false">IF($A100="N/A"," ",IF(Dayrun2=10,0,IF(Scaler2=1,(VLOOKUP(A100,ScaledPrice2,4)),(VLOOKUP(A100,ScaledPrice2,2)))))</f>
        <v> </v>
      </c>
      <c r="D100" s="317" t="str">
        <f aca="false">IF(A100="N/A"," ",IF(Dayrun2&gt;=7,0,IF(Scaler2=2,VLOOKUP(A100,ScaledPrice2,2),(VLOOKUP(A100,ScaledPrice2,2))*(2-(VLOOKUP(A100,ScaledPrice2,3))))))</f>
        <v> </v>
      </c>
      <c r="E100" s="317" t="str">
        <f aca="false">IF($A100="N/A"," ",IF(AND(Dayrun2&gt;=4,Dayrun2&lt;=9),0,VLOOKUP($A100,ScaledPrice2,9)))</f>
        <v> </v>
      </c>
      <c r="F100" s="317" t="str">
        <f aca="false">IF(A100="N/A"," ",IF(OR(Dayrun2=2,Dayrun2=3,Dayrun2=5,Dayrun2=6,Dayrun2=8,Dayrun2=9),VLOOKUP(A100,ScaledPrice2,IF(Scaler2=1,6,5)),0))</f>
        <v> </v>
      </c>
      <c r="G100" s="317" t="str">
        <f aca="false">IF(A100="N/A"," ",IF(OR(Dayrun2=2,Dayrun2=3,Dayrun2=5,Dayrun2=6),IF(Scaler2=2,F100,(VLOOKUP(A100,ScaledPrice2,5))*(2-(VLOOKUP(A100,ScaledPrice2,3)))),0))</f>
        <v> </v>
      </c>
      <c r="H100" s="317" t="str">
        <f aca="false">IF($A100="N/A"," ",IF(OR(Dayrun2=2,Dayrun2=3,Dayrun2=10),VLOOKUP($A100,ScaledPrice2,9),0))</f>
        <v> </v>
      </c>
      <c r="I100" s="317" t="str">
        <f aca="false">IF(A100="N/A"," ",IF(OR(Dayrun2=3,Dayrun2=6,Dayrun2=9),(VLOOKUP(A100,ScaledPrice2,IF(Scaler2=2,7,8))),0))</f>
        <v> </v>
      </c>
      <c r="J100" s="317" t="str">
        <f aca="false">IF(A100="N/A"," ",IF(OR(Dayrun2=3,Dayrun2=6),IF(Scaler2=2,I100,(VLOOKUP(A100,ScaledPrice2,7))*(2-(VLOOKUP(A100,ScaledPrice2,3)))),0))</f>
        <v> </v>
      </c>
      <c r="K100" s="317" t="str">
        <f aca="false">IF($A100="N/A"," ",IF(OR(Dayrun2=3,Dayrun2=10),VLOOKUP($A100,ScaledPrice2,9),0))</f>
        <v> </v>
      </c>
      <c r="L100" s="318" t="str">
        <f aca="false">IF($A100="N/A"," ",IF(Pricetype2=2,MAX(C100,0),IF(OR(Pricetype2=1,Pricetype2=4),IF(C100=0,0,(EURO(C100,Strikeprice2,0,0,($AH100+IF(Smile=TRUE(),VLOOKUP(MAX(-5,Strikeprice2-C100),Volsmile,2),0)),($A100-DateToday)+15,IF(Pricetype2=1,1,0),0))),C100)))</f>
        <v> </v>
      </c>
      <c r="M100" s="318" t="str">
        <f aca="false">IF($A100="N/A"," ",IF(Pricetype2=2,MAX(D100,0),IF(OR(Pricetype2=1,Pricetype2=4),IF(D100=0,0,(EURO(D100,Strikeprice2,0,0,($AH100+IF(Smile=TRUE(),VLOOKUP(MAX(-5,Strikeprice2-D100),Volsmile,2),0)),($A100-DateToday)+15,IF(Pricetype2=1,1,0),0))),D100)))</f>
        <v> </v>
      </c>
      <c r="N100" s="318" t="str">
        <f aca="false">IF($A100="N/A"," ",IF(Pricetype2=2,MAX(E100,0),IF(OR(Pricetype2=1,Pricetype2=4),IF(E100=0,0,(EURO(E100,Strikeprice2,0,0,($AK100+IF(Smile=TRUE(),VLOOKUP(MAX(-5,Strikeprice2-E100),Volsmile,2),0)),($A100-DateToday)+15,IF(Pricetype2=1,1,0),0))),E100)))</f>
        <v> </v>
      </c>
      <c r="O100" s="318" t="str">
        <f aca="false">IF($A100="N/A"," ",IF(Pricetype2=2,MAX(F100,0),IF(OR(Pricetype2=1,Pricetype2=4),IF(F100=0,0,(EURO(F100,Strikeprice2,0,0,($AK100+IF(Smile=TRUE(),VLOOKUP(MAX(-5,Strikeprice2-F100),Volsmile,2),0)),($A100-DateToday)+15,IF(Pricetype2=1,1,0),0))),F100)))</f>
        <v> </v>
      </c>
      <c r="P100" s="318" t="str">
        <f aca="false">IF($A100="N/A"," ",IF(Pricetype2=2,MAX(G100,0),IF(OR(Pricetype2=1,Pricetype2=4),IF(G100=0,0,(EURO(G100,Strikeprice2,0,0,($AK100+IF(Smile=TRUE(),VLOOKUP(MAX(-5,Strikeprice2-G100),Volsmile,2),0)),($A100-DateToday)+15,IF(Pricetype2=1,1,0),0))),G100)))</f>
        <v> </v>
      </c>
      <c r="Q100" s="318" t="str">
        <f aca="false">IF($A100="N/A"," ",IF(Pricetype2=2,MAX(H100,0),IF(OR(Pricetype2=1,Pricetype2=4),IF(H100=0,0,(EURO(H100,Strikeprice2,0,0,($AK100+IF(Smile=TRUE(),VLOOKUP(MAX(-5,Strikeprice2-H100),Volsmile,2),0)),($A100-DateToday)+15,IF(Pricetype2=1,1,0),0))),H100)))</f>
        <v> </v>
      </c>
      <c r="R100" s="318" t="str">
        <f aca="false">IF($A100="N/A"," ",IF(Pricetype2=2,MAX(I100,0),IF(OR(Pricetype2=1,Pricetype2=4),IF(I100=0,0,(EURO(I100,Strikeprice2,0,0,($AK100+IF(Smile=TRUE(),VLOOKUP(MAX(-5,Strikeprice2-I100),Volsmile,2),0)),($A100-DateToday)+15,IF(Pricetype2=1,1,0),0))),I100)))</f>
        <v> </v>
      </c>
      <c r="S100" s="318" t="str">
        <f aca="false">IF($A100="N/A"," ",IF(Pricetype2=2,MAX(J100,0),IF(OR(Pricetype2=1,Pricetype2=4),IF(J100=0,0,(EURO(J100,Strikeprice2,0,0,($AK100+IF(Smile=TRUE(),VLOOKUP(MAX(-5,Strikeprice2-J100),Volsmile,2),0)),($A100-DateToday)+15,IF(Pricetype2=1,1,0),0))),J100)))</f>
        <v> </v>
      </c>
      <c r="T100" s="318" t="str">
        <f aca="false">IF($A100="N/A"," ",IF(Pricetype2=2,MAX(K100,0),IF(OR(Pricetype2=1,Pricetype2=4),IF(K100=0,0,(EURO(K100,Strikeprice2,0,0,($AK100+IF(Smile=TRUE(),VLOOKUP(MAX(-5,Strikeprice2-K100),Volsmile,2),0)),($A100-DateToday)+15,IF(Pricetype2=1,1,0),0))),K100)))</f>
        <v> </v>
      </c>
      <c r="U100" s="319" t="str">
        <f aca="false">IF($A100="N/A"," ",Volume2*$AM100)</f>
        <v> </v>
      </c>
      <c r="V100" s="320" t="str">
        <f aca="false">IF($A100="N/A"," ",$U100*(8*($BQ100))*L100)</f>
        <v> </v>
      </c>
      <c r="W100" s="320" t="str">
        <f aca="false">IF($A100="N/A"," ",$U100*(8*($BQ100))*M100)</f>
        <v> </v>
      </c>
      <c r="X100" s="320" t="str">
        <f aca="false">IF($A100="N/A"," ",$U100*(8*($BQ100))*N100)</f>
        <v> </v>
      </c>
      <c r="Y100" s="320" t="str">
        <f aca="false">IF($A100="N/A"," ",$U100*(8*($BR100))*O100)</f>
        <v> </v>
      </c>
      <c r="Z100" s="320" t="str">
        <f aca="false">IF($A100="N/A"," ",$U100*(8*($BR100))*P100)</f>
        <v> </v>
      </c>
      <c r="AA100" s="320" t="str">
        <f aca="false">IF($A100="N/A"," ",$U100*(8*($BR100))*Q100)</f>
        <v> </v>
      </c>
      <c r="AB100" s="320" t="str">
        <f aca="false">IF($A100="N/A"," ",$U100*(8*($BS100))*R100)</f>
        <v> </v>
      </c>
      <c r="AC100" s="320" t="str">
        <f aca="false">IF($A100="N/A"," ",$U100*(8*($BS100))*S100)</f>
        <v> </v>
      </c>
      <c r="AD100" s="320" t="str">
        <f aca="false">IF($A100="N/A"," ",$U100*(8*($BS100))*T100)</f>
        <v> </v>
      </c>
      <c r="AE100" s="320" t="str">
        <f aca="false">IF($A100="N/A"," ",SUM(V100:AD100))</f>
        <v> </v>
      </c>
      <c r="AF100" s="321" t="str">
        <f aca="false">IF(A100="N/A"," ",(VLOOKUP(A100,PowerVolTable,(IF(VolBMO2=2,7,IF(VolBMO2=1,6,8))),FALSE())))</f>
        <v> </v>
      </c>
      <c r="AG100" s="321" t="str">
        <f aca="false">IF(A100="N/A"," ",(VLOOKUP(A100,IntraPowerVol,(IF(VolBMO2=2,3,IF(VolBMO2=1,2,4))),FALSE())*VLOOKUP(MONTH($A100),Volscale,2)))</f>
        <v> </v>
      </c>
      <c r="AH100" s="321" t="str">
        <f aca="false">IF($A100="N/A"," ",IF(VolType2=1,AG100,AF100))</f>
        <v> </v>
      </c>
      <c r="AI100" s="321" t="str">
        <f aca="false">IF($A100="N/A"," ",(VLOOKUP($A100,OffPwrVolTable,(IF(VolBMO2=2,7,IF(VolBMO2=1,6,8))),FALSE())))</f>
        <v> </v>
      </c>
      <c r="AJ100" s="321" t="str">
        <f aca="false">IF($A100="N/A"," ",(VLOOKUP($A100,OffPwrVolTable,(IF(VolBMO2=2,3,IF(VolBMO2=1,2,4))),FALSE())*VLOOKUP(MONTH($A100),Volscale,2)))</f>
        <v> </v>
      </c>
      <c r="AK100" s="321" t="str">
        <f aca="false">IF($A100="N/A"," ",IF(VolType2=1,AJ100,AI100))</f>
        <v> </v>
      </c>
      <c r="AL100" s="321" t="str">
        <f aca="false">IF($A100="N/A"," ",IF(PV=1,0,'Pricing Inputs2'!R133))</f>
        <v> </v>
      </c>
      <c r="AM100" s="323" t="str">
        <f aca="false">IF($A100="N/A"," ",(1+AL100/2)^(-2*((EOMONTH(A100,0)+20)-DateToday)/365.25))</f>
        <v> </v>
      </c>
      <c r="BQ100" s="0" t="str">
        <f aca="false">IF($A100="N/A"," ",(VLOOKUP($A100,NumberofDaysTable,2)))</f>
        <v> </v>
      </c>
      <c r="BR100" s="0" t="str">
        <f aca="false">IF($A100="N/A"," ",(VLOOKUP($A100,NumberofDaysTable,3)))</f>
        <v> </v>
      </c>
      <c r="BS100" s="0" t="str">
        <f aca="false">IF($A100="N/A"," ",(VLOOKUP($A100,NumberofDaysTable,4)))</f>
        <v> </v>
      </c>
    </row>
    <row r="101" customFormat="false" ht="12.75" hidden="false" customHeight="false" outlineLevel="0" collapsed="false">
      <c r="A101" s="315" t="str">
        <f aca="false">IF(A100="N/A","N/A",IF(EDATE(A100,1)&gt;Inputs!$P$5,"N/A",EDATE(A100,1)))</f>
        <v>N/A</v>
      </c>
      <c r="B101" s="316" t="str">
        <f aca="false">IF(A101="N/A"," ",YEAR(A101))</f>
        <v> </v>
      </c>
      <c r="C101" s="317" t="str">
        <f aca="false">IF($A101="N/A"," ",IF(Dayrun2=10,0,IF(Scaler2=1,(VLOOKUP(A101,ScaledPrice2,4)),(VLOOKUP(A101,ScaledPrice2,2)))))</f>
        <v> </v>
      </c>
      <c r="D101" s="317" t="str">
        <f aca="false">IF(A101="N/A"," ",IF(Dayrun2&gt;=7,0,IF(Scaler2=2,VLOOKUP(A101,ScaledPrice2,2),(VLOOKUP(A101,ScaledPrice2,2))*(2-(VLOOKUP(A101,ScaledPrice2,3))))))</f>
        <v> </v>
      </c>
      <c r="E101" s="317" t="str">
        <f aca="false">IF($A101="N/A"," ",IF(AND(Dayrun2&gt;=4,Dayrun2&lt;=9),0,VLOOKUP($A101,ScaledPrice2,9)))</f>
        <v> </v>
      </c>
      <c r="F101" s="317" t="str">
        <f aca="false">IF(A101="N/A"," ",IF(OR(Dayrun2=2,Dayrun2=3,Dayrun2=5,Dayrun2=6,Dayrun2=8,Dayrun2=9),VLOOKUP(A101,ScaledPrice2,IF(Scaler2=1,6,5)),0))</f>
        <v> </v>
      </c>
      <c r="G101" s="317" t="str">
        <f aca="false">IF(A101="N/A"," ",IF(OR(Dayrun2=2,Dayrun2=3,Dayrun2=5,Dayrun2=6),IF(Scaler2=2,F101,(VLOOKUP(A101,ScaledPrice2,5))*(2-(VLOOKUP(A101,ScaledPrice2,3)))),0))</f>
        <v> </v>
      </c>
      <c r="H101" s="317" t="str">
        <f aca="false">IF($A101="N/A"," ",IF(OR(Dayrun2=2,Dayrun2=3,Dayrun2=10),VLOOKUP($A101,ScaledPrice2,9),0))</f>
        <v> </v>
      </c>
      <c r="I101" s="317" t="str">
        <f aca="false">IF(A101="N/A"," ",IF(OR(Dayrun2=3,Dayrun2=6,Dayrun2=9),(VLOOKUP(A101,ScaledPrice2,IF(Scaler2=2,7,8))),0))</f>
        <v> </v>
      </c>
      <c r="J101" s="317" t="str">
        <f aca="false">IF(A101="N/A"," ",IF(OR(Dayrun2=3,Dayrun2=6),IF(Scaler2=2,I101,(VLOOKUP(A101,ScaledPrice2,7))*(2-(VLOOKUP(A101,ScaledPrice2,3)))),0))</f>
        <v> </v>
      </c>
      <c r="K101" s="317" t="str">
        <f aca="false">IF($A101="N/A"," ",IF(OR(Dayrun2=3,Dayrun2=10),VLOOKUP($A101,ScaledPrice2,9),0))</f>
        <v> </v>
      </c>
      <c r="L101" s="318" t="str">
        <f aca="false">IF($A101="N/A"," ",IF(Pricetype2=2,MAX(C101,0),IF(OR(Pricetype2=1,Pricetype2=4),IF(C101=0,0,(EURO(C101,Strikeprice2,0,0,($AH101+IF(Smile=TRUE(),VLOOKUP(MAX(-5,Strikeprice2-C101),Volsmile,2),0)),($A101-DateToday)+15,IF(Pricetype2=1,1,0),0))),C101)))</f>
        <v> </v>
      </c>
      <c r="M101" s="318" t="str">
        <f aca="false">IF($A101="N/A"," ",IF(Pricetype2=2,MAX(D101,0),IF(OR(Pricetype2=1,Pricetype2=4),IF(D101=0,0,(EURO(D101,Strikeprice2,0,0,($AH101+IF(Smile=TRUE(),VLOOKUP(MAX(-5,Strikeprice2-D101),Volsmile,2),0)),($A101-DateToday)+15,IF(Pricetype2=1,1,0),0))),D101)))</f>
        <v> </v>
      </c>
      <c r="N101" s="318" t="str">
        <f aca="false">IF($A101="N/A"," ",IF(Pricetype2=2,MAX(E101,0),IF(OR(Pricetype2=1,Pricetype2=4),IF(E101=0,0,(EURO(E101,Strikeprice2,0,0,($AK101+IF(Smile=TRUE(),VLOOKUP(MAX(-5,Strikeprice2-E101),Volsmile,2),0)),($A101-DateToday)+15,IF(Pricetype2=1,1,0),0))),E101)))</f>
        <v> </v>
      </c>
      <c r="O101" s="318" t="str">
        <f aca="false">IF($A101="N/A"," ",IF(Pricetype2=2,MAX(F101,0),IF(OR(Pricetype2=1,Pricetype2=4),IF(F101=0,0,(EURO(F101,Strikeprice2,0,0,($AK101+IF(Smile=TRUE(),VLOOKUP(MAX(-5,Strikeprice2-F101),Volsmile,2),0)),($A101-DateToday)+15,IF(Pricetype2=1,1,0),0))),F101)))</f>
        <v> </v>
      </c>
      <c r="P101" s="318" t="str">
        <f aca="false">IF($A101="N/A"," ",IF(Pricetype2=2,MAX(G101,0),IF(OR(Pricetype2=1,Pricetype2=4),IF(G101=0,0,(EURO(G101,Strikeprice2,0,0,($AK101+IF(Smile=TRUE(),VLOOKUP(MAX(-5,Strikeprice2-G101),Volsmile,2),0)),($A101-DateToday)+15,IF(Pricetype2=1,1,0),0))),G101)))</f>
        <v> </v>
      </c>
      <c r="Q101" s="318" t="str">
        <f aca="false">IF($A101="N/A"," ",IF(Pricetype2=2,MAX(H101,0),IF(OR(Pricetype2=1,Pricetype2=4),IF(H101=0,0,(EURO(H101,Strikeprice2,0,0,($AK101+IF(Smile=TRUE(),VLOOKUP(MAX(-5,Strikeprice2-H101),Volsmile,2),0)),($A101-DateToday)+15,IF(Pricetype2=1,1,0),0))),H101)))</f>
        <v> </v>
      </c>
      <c r="R101" s="318" t="str">
        <f aca="false">IF($A101="N/A"," ",IF(Pricetype2=2,MAX(I101,0),IF(OR(Pricetype2=1,Pricetype2=4),IF(I101=0,0,(EURO(I101,Strikeprice2,0,0,($AK101+IF(Smile=TRUE(),VLOOKUP(MAX(-5,Strikeprice2-I101),Volsmile,2),0)),($A101-DateToday)+15,IF(Pricetype2=1,1,0),0))),I101)))</f>
        <v> </v>
      </c>
      <c r="S101" s="318" t="str">
        <f aca="false">IF($A101="N/A"," ",IF(Pricetype2=2,MAX(J101,0),IF(OR(Pricetype2=1,Pricetype2=4),IF(J101=0,0,(EURO(J101,Strikeprice2,0,0,($AK101+IF(Smile=TRUE(),VLOOKUP(MAX(-5,Strikeprice2-J101),Volsmile,2),0)),($A101-DateToday)+15,IF(Pricetype2=1,1,0),0))),J101)))</f>
        <v> </v>
      </c>
      <c r="T101" s="318" t="str">
        <f aca="false">IF($A101="N/A"," ",IF(Pricetype2=2,MAX(K101,0),IF(OR(Pricetype2=1,Pricetype2=4),IF(K101=0,0,(EURO(K101,Strikeprice2,0,0,($AK101+IF(Smile=TRUE(),VLOOKUP(MAX(-5,Strikeprice2-K101),Volsmile,2),0)),($A101-DateToday)+15,IF(Pricetype2=1,1,0),0))),K101)))</f>
        <v> </v>
      </c>
      <c r="U101" s="319" t="str">
        <f aca="false">IF($A101="N/A"," ",Volume2*$AM101)</f>
        <v> </v>
      </c>
      <c r="V101" s="320" t="str">
        <f aca="false">IF($A101="N/A"," ",$U101*(8*($BQ101))*L101)</f>
        <v> </v>
      </c>
      <c r="W101" s="320" t="str">
        <f aca="false">IF($A101="N/A"," ",$U101*(8*($BQ101))*M101)</f>
        <v> </v>
      </c>
      <c r="X101" s="320" t="str">
        <f aca="false">IF($A101="N/A"," ",$U101*(8*($BQ101))*N101)</f>
        <v> </v>
      </c>
      <c r="Y101" s="320" t="str">
        <f aca="false">IF($A101="N/A"," ",$U101*(8*($BR101))*O101)</f>
        <v> </v>
      </c>
      <c r="Z101" s="320" t="str">
        <f aca="false">IF($A101="N/A"," ",$U101*(8*($BR101))*P101)</f>
        <v> </v>
      </c>
      <c r="AA101" s="320" t="str">
        <f aca="false">IF($A101="N/A"," ",$U101*(8*($BR101))*Q101)</f>
        <v> </v>
      </c>
      <c r="AB101" s="320" t="str">
        <f aca="false">IF($A101="N/A"," ",$U101*(8*($BS101))*R101)</f>
        <v> </v>
      </c>
      <c r="AC101" s="320" t="str">
        <f aca="false">IF($A101="N/A"," ",$U101*(8*($BS101))*S101)</f>
        <v> </v>
      </c>
      <c r="AD101" s="320" t="str">
        <f aca="false">IF($A101="N/A"," ",$U101*(8*($BS101))*T101)</f>
        <v> </v>
      </c>
      <c r="AE101" s="320" t="str">
        <f aca="false">IF($A101="N/A"," ",SUM(V101:AD101))</f>
        <v> </v>
      </c>
      <c r="AF101" s="321" t="str">
        <f aca="false">IF(A101="N/A"," ",(VLOOKUP(A101,PowerVolTable,(IF(VolBMO2=2,7,IF(VolBMO2=1,6,8))),FALSE())))</f>
        <v> </v>
      </c>
      <c r="AG101" s="321" t="str">
        <f aca="false">IF(A101="N/A"," ",(VLOOKUP(A101,IntraPowerVol,(IF(VolBMO2=2,3,IF(VolBMO2=1,2,4))),FALSE())*VLOOKUP(MONTH($A101),Volscale,2)))</f>
        <v> </v>
      </c>
      <c r="AH101" s="321" t="str">
        <f aca="false">IF($A101="N/A"," ",IF(VolType2=1,AG101,AF101))</f>
        <v> </v>
      </c>
      <c r="AI101" s="321" t="str">
        <f aca="false">IF($A101="N/A"," ",(VLOOKUP($A101,OffPwrVolTable,(IF(VolBMO2=2,7,IF(VolBMO2=1,6,8))),FALSE())))</f>
        <v> </v>
      </c>
      <c r="AJ101" s="321" t="str">
        <f aca="false">IF($A101="N/A"," ",(VLOOKUP($A101,OffPwrVolTable,(IF(VolBMO2=2,3,IF(VolBMO2=1,2,4))),FALSE())*VLOOKUP(MONTH($A101),Volscale,2)))</f>
        <v> </v>
      </c>
      <c r="AK101" s="321" t="str">
        <f aca="false">IF($A101="N/A"," ",IF(VolType2=1,AJ101,AI101))</f>
        <v> </v>
      </c>
      <c r="AL101" s="321" t="str">
        <f aca="false">IF($A101="N/A"," ",IF(PV=1,0,'Pricing Inputs2'!R134))</f>
        <v> </v>
      </c>
      <c r="AM101" s="323" t="str">
        <f aca="false">IF($A101="N/A"," ",(1+AL101/2)^(-2*((EOMONTH(A101,0)+20)-DateToday)/365.25))</f>
        <v> </v>
      </c>
      <c r="BQ101" s="0" t="str">
        <f aca="false">IF($A101="N/A"," ",(VLOOKUP($A101,NumberofDaysTable,2)))</f>
        <v> </v>
      </c>
      <c r="BR101" s="0" t="str">
        <f aca="false">IF($A101="N/A"," ",(VLOOKUP($A101,NumberofDaysTable,3)))</f>
        <v> </v>
      </c>
      <c r="BS101" s="0" t="str">
        <f aca="false">IF($A101="N/A"," ",(VLOOKUP($A101,NumberofDaysTable,4)))</f>
        <v> </v>
      </c>
    </row>
    <row r="102" customFormat="false" ht="12.75" hidden="false" customHeight="false" outlineLevel="0" collapsed="false">
      <c r="A102" s="315" t="str">
        <f aca="false">IF(A101="N/A","N/A",IF(EDATE(A101,1)&gt;Inputs!$P$5,"N/A",EDATE(A101,1)))</f>
        <v>N/A</v>
      </c>
      <c r="B102" s="316" t="str">
        <f aca="false">IF(A102="N/A"," ",YEAR(A102))</f>
        <v> </v>
      </c>
      <c r="C102" s="317" t="str">
        <f aca="false">IF($A102="N/A"," ",IF(Dayrun2=10,0,IF(Scaler2=1,(VLOOKUP(A102,ScaledPrice2,4)),(VLOOKUP(A102,ScaledPrice2,2)))))</f>
        <v> </v>
      </c>
      <c r="D102" s="317" t="str">
        <f aca="false">IF(A102="N/A"," ",IF(Dayrun2&gt;=7,0,IF(Scaler2=2,VLOOKUP(A102,ScaledPrice2,2),(VLOOKUP(A102,ScaledPrice2,2))*(2-(VLOOKUP(A102,ScaledPrice2,3))))))</f>
        <v> </v>
      </c>
      <c r="E102" s="317" t="str">
        <f aca="false">IF($A102="N/A"," ",IF(AND(Dayrun2&gt;=4,Dayrun2&lt;=9),0,VLOOKUP($A102,ScaledPrice2,9)))</f>
        <v> </v>
      </c>
      <c r="F102" s="317" t="str">
        <f aca="false">IF(A102="N/A"," ",IF(OR(Dayrun2=2,Dayrun2=3,Dayrun2=5,Dayrun2=6,Dayrun2=8,Dayrun2=9),VLOOKUP(A102,ScaledPrice2,IF(Scaler2=1,6,5)),0))</f>
        <v> </v>
      </c>
      <c r="G102" s="317" t="str">
        <f aca="false">IF(A102="N/A"," ",IF(OR(Dayrun2=2,Dayrun2=3,Dayrun2=5,Dayrun2=6),IF(Scaler2=2,F102,(VLOOKUP(A102,ScaledPrice2,5))*(2-(VLOOKUP(A102,ScaledPrice2,3)))),0))</f>
        <v> </v>
      </c>
      <c r="H102" s="317" t="str">
        <f aca="false">IF($A102="N/A"," ",IF(OR(Dayrun2=2,Dayrun2=3,Dayrun2=10),VLOOKUP($A102,ScaledPrice2,9),0))</f>
        <v> </v>
      </c>
      <c r="I102" s="317" t="str">
        <f aca="false">IF(A102="N/A"," ",IF(OR(Dayrun2=3,Dayrun2=6,Dayrun2=9),(VLOOKUP(A102,ScaledPrice2,IF(Scaler2=2,7,8))),0))</f>
        <v> </v>
      </c>
      <c r="J102" s="317" t="str">
        <f aca="false">IF(A102="N/A"," ",IF(OR(Dayrun2=3,Dayrun2=6),IF(Scaler2=2,I102,(VLOOKUP(A102,ScaledPrice2,7))*(2-(VLOOKUP(A102,ScaledPrice2,3)))),0))</f>
        <v> </v>
      </c>
      <c r="K102" s="317" t="str">
        <f aca="false">IF($A102="N/A"," ",IF(OR(Dayrun2=3,Dayrun2=10),VLOOKUP($A102,ScaledPrice2,9),0))</f>
        <v> </v>
      </c>
      <c r="L102" s="318" t="str">
        <f aca="false">IF($A102="N/A"," ",IF(Pricetype2=2,MAX(C102,0),IF(OR(Pricetype2=1,Pricetype2=4),IF(C102=0,0,(EURO(C102,Strikeprice2,0,0,($AH102+IF(Smile=TRUE(),VLOOKUP(MAX(-5,Strikeprice2-C102),Volsmile,2),0)),($A102-DateToday)+15,IF(Pricetype2=1,1,0),0))),C102)))</f>
        <v> </v>
      </c>
      <c r="M102" s="318" t="str">
        <f aca="false">IF($A102="N/A"," ",IF(Pricetype2=2,MAX(D102,0),IF(OR(Pricetype2=1,Pricetype2=4),IF(D102=0,0,(EURO(D102,Strikeprice2,0,0,($AH102+IF(Smile=TRUE(),VLOOKUP(MAX(-5,Strikeprice2-D102),Volsmile,2),0)),($A102-DateToday)+15,IF(Pricetype2=1,1,0),0))),D102)))</f>
        <v> </v>
      </c>
      <c r="N102" s="318" t="str">
        <f aca="false">IF($A102="N/A"," ",IF(Pricetype2=2,MAX(E102,0),IF(OR(Pricetype2=1,Pricetype2=4),IF(E102=0,0,(EURO(E102,Strikeprice2,0,0,($AK102+IF(Smile=TRUE(),VLOOKUP(MAX(-5,Strikeprice2-E102),Volsmile,2),0)),($A102-DateToday)+15,IF(Pricetype2=1,1,0),0))),E102)))</f>
        <v> </v>
      </c>
      <c r="O102" s="318" t="str">
        <f aca="false">IF($A102="N/A"," ",IF(Pricetype2=2,MAX(F102,0),IF(OR(Pricetype2=1,Pricetype2=4),IF(F102=0,0,(EURO(F102,Strikeprice2,0,0,($AK102+IF(Smile=TRUE(),VLOOKUP(MAX(-5,Strikeprice2-F102),Volsmile,2),0)),($A102-DateToday)+15,IF(Pricetype2=1,1,0),0))),F102)))</f>
        <v> </v>
      </c>
      <c r="P102" s="318" t="str">
        <f aca="false">IF($A102="N/A"," ",IF(Pricetype2=2,MAX(G102,0),IF(OR(Pricetype2=1,Pricetype2=4),IF(G102=0,0,(EURO(G102,Strikeprice2,0,0,($AK102+IF(Smile=TRUE(),VLOOKUP(MAX(-5,Strikeprice2-G102),Volsmile,2),0)),($A102-DateToday)+15,IF(Pricetype2=1,1,0),0))),G102)))</f>
        <v> </v>
      </c>
      <c r="Q102" s="318" t="str">
        <f aca="false">IF($A102="N/A"," ",IF(Pricetype2=2,MAX(H102,0),IF(OR(Pricetype2=1,Pricetype2=4),IF(H102=0,0,(EURO(H102,Strikeprice2,0,0,($AK102+IF(Smile=TRUE(),VLOOKUP(MAX(-5,Strikeprice2-H102),Volsmile,2),0)),($A102-DateToday)+15,IF(Pricetype2=1,1,0),0))),H102)))</f>
        <v> </v>
      </c>
      <c r="R102" s="318" t="str">
        <f aca="false">IF($A102="N/A"," ",IF(Pricetype2=2,MAX(I102,0),IF(OR(Pricetype2=1,Pricetype2=4),IF(I102=0,0,(EURO(I102,Strikeprice2,0,0,($AK102+IF(Smile=TRUE(),VLOOKUP(MAX(-5,Strikeprice2-I102),Volsmile,2),0)),($A102-DateToday)+15,IF(Pricetype2=1,1,0),0))),I102)))</f>
        <v> </v>
      </c>
      <c r="S102" s="318" t="str">
        <f aca="false">IF($A102="N/A"," ",IF(Pricetype2=2,MAX(J102,0),IF(OR(Pricetype2=1,Pricetype2=4),IF(J102=0,0,(EURO(J102,Strikeprice2,0,0,($AK102+IF(Smile=TRUE(),VLOOKUP(MAX(-5,Strikeprice2-J102),Volsmile,2),0)),($A102-DateToday)+15,IF(Pricetype2=1,1,0),0))),J102)))</f>
        <v> </v>
      </c>
      <c r="T102" s="318" t="str">
        <f aca="false">IF($A102="N/A"," ",IF(Pricetype2=2,MAX(K102,0),IF(OR(Pricetype2=1,Pricetype2=4),IF(K102=0,0,(EURO(K102,Strikeprice2,0,0,($AK102+IF(Smile=TRUE(),VLOOKUP(MAX(-5,Strikeprice2-K102),Volsmile,2),0)),($A102-DateToday)+15,IF(Pricetype2=1,1,0),0))),K102)))</f>
        <v> </v>
      </c>
      <c r="U102" s="319" t="str">
        <f aca="false">IF($A102="N/A"," ",Volume2*$AM102)</f>
        <v> </v>
      </c>
      <c r="V102" s="320" t="str">
        <f aca="false">IF($A102="N/A"," ",$U102*(8*($BQ102))*L102)</f>
        <v> </v>
      </c>
      <c r="W102" s="320" t="str">
        <f aca="false">IF($A102="N/A"," ",$U102*(8*($BQ102))*M102)</f>
        <v> </v>
      </c>
      <c r="X102" s="320" t="str">
        <f aca="false">IF($A102="N/A"," ",$U102*(8*($BQ102))*N102)</f>
        <v> </v>
      </c>
      <c r="Y102" s="320" t="str">
        <f aca="false">IF($A102="N/A"," ",$U102*(8*($BR102))*O102)</f>
        <v> </v>
      </c>
      <c r="Z102" s="320" t="str">
        <f aca="false">IF($A102="N/A"," ",$U102*(8*($BR102))*P102)</f>
        <v> </v>
      </c>
      <c r="AA102" s="320" t="str">
        <f aca="false">IF($A102="N/A"," ",$U102*(8*($BR102))*Q102)</f>
        <v> </v>
      </c>
      <c r="AB102" s="320" t="str">
        <f aca="false">IF($A102="N/A"," ",$U102*(8*($BS102))*R102)</f>
        <v> </v>
      </c>
      <c r="AC102" s="320" t="str">
        <f aca="false">IF($A102="N/A"," ",$U102*(8*($BS102))*S102)</f>
        <v> </v>
      </c>
      <c r="AD102" s="320" t="str">
        <f aca="false">IF($A102="N/A"," ",$U102*(8*($BS102))*T102)</f>
        <v> </v>
      </c>
      <c r="AE102" s="320" t="str">
        <f aca="false">IF($A102="N/A"," ",SUM(V102:AD102))</f>
        <v> </v>
      </c>
      <c r="AF102" s="321" t="str">
        <f aca="false">IF(A102="N/A"," ",(VLOOKUP(A102,PowerVolTable,(IF(VolBMO2=2,7,IF(VolBMO2=1,6,8))),FALSE())))</f>
        <v> </v>
      </c>
      <c r="AG102" s="321" t="str">
        <f aca="false">IF(A102="N/A"," ",(VLOOKUP(A102,IntraPowerVol,(IF(VolBMO2=2,3,IF(VolBMO2=1,2,4))),FALSE())*VLOOKUP(MONTH($A102),Volscale,2)))</f>
        <v> </v>
      </c>
      <c r="AH102" s="321" t="str">
        <f aca="false">IF($A102="N/A"," ",IF(VolType2=1,AG102,AF102))</f>
        <v> </v>
      </c>
      <c r="AI102" s="321" t="str">
        <f aca="false">IF($A102="N/A"," ",(VLOOKUP($A102,OffPwrVolTable,(IF(VolBMO2=2,7,IF(VolBMO2=1,6,8))),FALSE())))</f>
        <v> </v>
      </c>
      <c r="AJ102" s="321" t="str">
        <f aca="false">IF($A102="N/A"," ",(VLOOKUP($A102,OffPwrVolTable,(IF(VolBMO2=2,3,IF(VolBMO2=1,2,4))),FALSE())*VLOOKUP(MONTH($A102),Volscale,2)))</f>
        <v> </v>
      </c>
      <c r="AK102" s="321" t="str">
        <f aca="false">IF($A102="N/A"," ",IF(VolType2=1,AJ102,AI102))</f>
        <v> </v>
      </c>
      <c r="AL102" s="321" t="str">
        <f aca="false">IF($A102="N/A"," ",IF(PV=1,0,'Pricing Inputs2'!R135))</f>
        <v> </v>
      </c>
      <c r="AM102" s="323" t="str">
        <f aca="false">IF($A102="N/A"," ",(1+AL102/2)^(-2*((EOMONTH(A102,0)+20)-DateToday)/365.25))</f>
        <v> </v>
      </c>
      <c r="BQ102" s="0" t="str">
        <f aca="false">IF($A102="N/A"," ",(VLOOKUP($A102,NumberofDaysTable,2)))</f>
        <v> </v>
      </c>
      <c r="BR102" s="0" t="str">
        <f aca="false">IF($A102="N/A"," ",(VLOOKUP($A102,NumberofDaysTable,3)))</f>
        <v> </v>
      </c>
      <c r="BS102" s="0" t="str">
        <f aca="false">IF($A102="N/A"," ",(VLOOKUP($A102,NumberofDaysTable,4)))</f>
        <v> </v>
      </c>
    </row>
    <row r="103" customFormat="false" ht="12.75" hidden="false" customHeight="false" outlineLevel="0" collapsed="false">
      <c r="A103" s="315" t="str">
        <f aca="false">IF(A102="N/A","N/A",IF(EDATE(A102,1)&gt;Inputs!$P$5,"N/A",EDATE(A102,1)))</f>
        <v>N/A</v>
      </c>
      <c r="B103" s="316" t="str">
        <f aca="false">IF(A103="N/A"," ",YEAR(A103))</f>
        <v> </v>
      </c>
      <c r="C103" s="317" t="str">
        <f aca="false">IF($A103="N/A"," ",IF(Dayrun2=10,0,IF(Scaler2=1,(VLOOKUP(A103,ScaledPrice2,4)),(VLOOKUP(A103,ScaledPrice2,2)))))</f>
        <v> </v>
      </c>
      <c r="D103" s="317" t="str">
        <f aca="false">IF(A103="N/A"," ",IF(Dayrun2&gt;=7,0,IF(Scaler2=2,VLOOKUP(A103,ScaledPrice2,2),(VLOOKUP(A103,ScaledPrice2,2))*(2-(VLOOKUP(A103,ScaledPrice2,3))))))</f>
        <v> </v>
      </c>
      <c r="E103" s="317" t="str">
        <f aca="false">IF($A103="N/A"," ",IF(AND(Dayrun2&gt;=4,Dayrun2&lt;=9),0,VLOOKUP($A103,ScaledPrice2,9)))</f>
        <v> </v>
      </c>
      <c r="F103" s="317" t="str">
        <f aca="false">IF(A103="N/A"," ",IF(OR(Dayrun2=2,Dayrun2=3,Dayrun2=5,Dayrun2=6,Dayrun2=8,Dayrun2=9),VLOOKUP(A103,ScaledPrice2,IF(Scaler2=1,6,5)),0))</f>
        <v> </v>
      </c>
      <c r="G103" s="317" t="str">
        <f aca="false">IF(A103="N/A"," ",IF(OR(Dayrun2=2,Dayrun2=3,Dayrun2=5,Dayrun2=6),IF(Scaler2=2,F103,(VLOOKUP(A103,ScaledPrice2,5))*(2-(VLOOKUP(A103,ScaledPrice2,3)))),0))</f>
        <v> </v>
      </c>
      <c r="H103" s="317" t="str">
        <f aca="false">IF($A103="N/A"," ",IF(OR(Dayrun2=2,Dayrun2=3,Dayrun2=10),VLOOKUP($A103,ScaledPrice2,9),0))</f>
        <v> </v>
      </c>
      <c r="I103" s="317" t="str">
        <f aca="false">IF(A103="N/A"," ",IF(OR(Dayrun2=3,Dayrun2=6,Dayrun2=9),(VLOOKUP(A103,ScaledPrice2,IF(Scaler2=2,7,8))),0))</f>
        <v> </v>
      </c>
      <c r="J103" s="317" t="str">
        <f aca="false">IF(A103="N/A"," ",IF(OR(Dayrun2=3,Dayrun2=6),IF(Scaler2=2,I103,(VLOOKUP(A103,ScaledPrice2,7))*(2-(VLOOKUP(A103,ScaledPrice2,3)))),0))</f>
        <v> </v>
      </c>
      <c r="K103" s="317" t="str">
        <f aca="false">IF($A103="N/A"," ",IF(OR(Dayrun2=3,Dayrun2=10),VLOOKUP($A103,ScaledPrice2,9),0))</f>
        <v> </v>
      </c>
      <c r="L103" s="318" t="str">
        <f aca="false">IF($A103="N/A"," ",IF(Pricetype2=2,MAX(C103,0),IF(OR(Pricetype2=1,Pricetype2=4),IF(C103=0,0,(EURO(C103,Strikeprice2,0,0,($AH103+IF(Smile=TRUE(),VLOOKUP(MAX(-5,Strikeprice2-C103),Volsmile,2),0)),($A103-DateToday)+15,IF(Pricetype2=1,1,0),0))),C103)))</f>
        <v> </v>
      </c>
      <c r="M103" s="318" t="str">
        <f aca="false">IF($A103="N/A"," ",IF(Pricetype2=2,MAX(D103,0),IF(OR(Pricetype2=1,Pricetype2=4),IF(D103=0,0,(EURO(D103,Strikeprice2,0,0,($AH103+IF(Smile=TRUE(),VLOOKUP(MAX(-5,Strikeprice2-D103),Volsmile,2),0)),($A103-DateToday)+15,IF(Pricetype2=1,1,0),0))),D103)))</f>
        <v> </v>
      </c>
      <c r="N103" s="318" t="str">
        <f aca="false">IF($A103="N/A"," ",IF(Pricetype2=2,MAX(E103,0),IF(OR(Pricetype2=1,Pricetype2=4),IF(E103=0,0,(EURO(E103,Strikeprice2,0,0,($AK103+IF(Smile=TRUE(),VLOOKUP(MAX(-5,Strikeprice2-E103),Volsmile,2),0)),($A103-DateToday)+15,IF(Pricetype2=1,1,0),0))),E103)))</f>
        <v> </v>
      </c>
      <c r="O103" s="318" t="str">
        <f aca="false">IF($A103="N/A"," ",IF(Pricetype2=2,MAX(F103,0),IF(OR(Pricetype2=1,Pricetype2=4),IF(F103=0,0,(EURO(F103,Strikeprice2,0,0,($AK103+IF(Smile=TRUE(),VLOOKUP(MAX(-5,Strikeprice2-F103),Volsmile,2),0)),($A103-DateToday)+15,IF(Pricetype2=1,1,0),0))),F103)))</f>
        <v> </v>
      </c>
      <c r="P103" s="318" t="str">
        <f aca="false">IF($A103="N/A"," ",IF(Pricetype2=2,MAX(G103,0),IF(OR(Pricetype2=1,Pricetype2=4),IF(G103=0,0,(EURO(G103,Strikeprice2,0,0,($AK103+IF(Smile=TRUE(),VLOOKUP(MAX(-5,Strikeprice2-G103),Volsmile,2),0)),($A103-DateToday)+15,IF(Pricetype2=1,1,0),0))),G103)))</f>
        <v> </v>
      </c>
      <c r="Q103" s="318" t="str">
        <f aca="false">IF($A103="N/A"," ",IF(Pricetype2=2,MAX(H103,0),IF(OR(Pricetype2=1,Pricetype2=4),IF(H103=0,0,(EURO(H103,Strikeprice2,0,0,($AK103+IF(Smile=TRUE(),VLOOKUP(MAX(-5,Strikeprice2-H103),Volsmile,2),0)),($A103-DateToday)+15,IF(Pricetype2=1,1,0),0))),H103)))</f>
        <v> </v>
      </c>
      <c r="R103" s="318" t="str">
        <f aca="false">IF($A103="N/A"," ",IF(Pricetype2=2,MAX(I103,0),IF(OR(Pricetype2=1,Pricetype2=4),IF(I103=0,0,(EURO(I103,Strikeprice2,0,0,($AK103+IF(Smile=TRUE(),VLOOKUP(MAX(-5,Strikeprice2-I103),Volsmile,2),0)),($A103-DateToday)+15,IF(Pricetype2=1,1,0),0))),I103)))</f>
        <v> </v>
      </c>
      <c r="S103" s="318" t="str">
        <f aca="false">IF($A103="N/A"," ",IF(Pricetype2=2,MAX(J103,0),IF(OR(Pricetype2=1,Pricetype2=4),IF(J103=0,0,(EURO(J103,Strikeprice2,0,0,($AK103+IF(Smile=TRUE(),VLOOKUP(MAX(-5,Strikeprice2-J103),Volsmile,2),0)),($A103-DateToday)+15,IF(Pricetype2=1,1,0),0))),J103)))</f>
        <v> </v>
      </c>
      <c r="T103" s="318" t="str">
        <f aca="false">IF($A103="N/A"," ",IF(Pricetype2=2,MAX(K103,0),IF(OR(Pricetype2=1,Pricetype2=4),IF(K103=0,0,(EURO(K103,Strikeprice2,0,0,($AK103+IF(Smile=TRUE(),VLOOKUP(MAX(-5,Strikeprice2-K103),Volsmile,2),0)),($A103-DateToday)+15,IF(Pricetype2=1,1,0),0))),K103)))</f>
        <v> </v>
      </c>
      <c r="U103" s="319" t="str">
        <f aca="false">IF($A103="N/A"," ",Volume2*$AM103)</f>
        <v> </v>
      </c>
      <c r="V103" s="320" t="str">
        <f aca="false">IF($A103="N/A"," ",$U103*(8*($BQ103))*L103)</f>
        <v> </v>
      </c>
      <c r="W103" s="320" t="str">
        <f aca="false">IF($A103="N/A"," ",$U103*(8*($BQ103))*M103)</f>
        <v> </v>
      </c>
      <c r="X103" s="320" t="str">
        <f aca="false">IF($A103="N/A"," ",$U103*(8*($BQ103))*N103)</f>
        <v> </v>
      </c>
      <c r="Y103" s="320" t="str">
        <f aca="false">IF($A103="N/A"," ",$U103*(8*($BR103))*O103)</f>
        <v> </v>
      </c>
      <c r="Z103" s="320" t="str">
        <f aca="false">IF($A103="N/A"," ",$U103*(8*($BR103))*P103)</f>
        <v> </v>
      </c>
      <c r="AA103" s="320" t="str">
        <f aca="false">IF($A103="N/A"," ",$U103*(8*($BR103))*Q103)</f>
        <v> </v>
      </c>
      <c r="AB103" s="320" t="str">
        <f aca="false">IF($A103="N/A"," ",$U103*(8*($BS103))*R103)</f>
        <v> </v>
      </c>
      <c r="AC103" s="320" t="str">
        <f aca="false">IF($A103="N/A"," ",$U103*(8*($BS103))*S103)</f>
        <v> </v>
      </c>
      <c r="AD103" s="320" t="str">
        <f aca="false">IF($A103="N/A"," ",$U103*(8*($BS103))*T103)</f>
        <v> </v>
      </c>
      <c r="AE103" s="320" t="str">
        <f aca="false">IF($A103="N/A"," ",SUM(V103:AD103))</f>
        <v> </v>
      </c>
      <c r="AF103" s="321" t="str">
        <f aca="false">IF(A103="N/A"," ",(VLOOKUP(A103,PowerVolTable,(IF(VolBMO2=2,7,IF(VolBMO2=1,6,8))),FALSE())))</f>
        <v> </v>
      </c>
      <c r="AG103" s="321" t="str">
        <f aca="false">IF(A103="N/A"," ",(VLOOKUP(A103,IntraPowerVol,(IF(VolBMO2=2,3,IF(VolBMO2=1,2,4))),FALSE())*VLOOKUP(MONTH($A103),Volscale,2)))</f>
        <v> </v>
      </c>
      <c r="AH103" s="321" t="str">
        <f aca="false">IF($A103="N/A"," ",IF(VolType2=1,AG103,AF103))</f>
        <v> </v>
      </c>
      <c r="AI103" s="321" t="str">
        <f aca="false">IF($A103="N/A"," ",(VLOOKUP($A103,OffPwrVolTable,(IF(VolBMO2=2,7,IF(VolBMO2=1,6,8))),FALSE())))</f>
        <v> </v>
      </c>
      <c r="AJ103" s="321" t="str">
        <f aca="false">IF($A103="N/A"," ",(VLOOKUP($A103,OffPwrVolTable,(IF(VolBMO2=2,3,IF(VolBMO2=1,2,4))),FALSE())*VLOOKUP(MONTH($A103),Volscale,2)))</f>
        <v> </v>
      </c>
      <c r="AK103" s="321" t="str">
        <f aca="false">IF($A103="N/A"," ",IF(VolType2=1,AJ103,AI103))</f>
        <v> </v>
      </c>
      <c r="AL103" s="321" t="str">
        <f aca="false">IF($A103="N/A"," ",IF(PV=1,0,'Pricing Inputs2'!R136))</f>
        <v> </v>
      </c>
      <c r="AM103" s="323" t="str">
        <f aca="false">IF($A103="N/A"," ",(1+AL103/2)^(-2*((EOMONTH(A103,0)+20)-DateToday)/365.25))</f>
        <v> </v>
      </c>
      <c r="BQ103" s="0" t="str">
        <f aca="false">IF($A103="N/A"," ",(VLOOKUP($A103,NumberofDaysTable,2)))</f>
        <v> </v>
      </c>
      <c r="BR103" s="0" t="str">
        <f aca="false">IF($A103="N/A"," ",(VLOOKUP($A103,NumberofDaysTable,3)))</f>
        <v> </v>
      </c>
      <c r="BS103" s="0" t="str">
        <f aca="false">IF($A103="N/A"," ",(VLOOKUP($A103,NumberofDaysTable,4)))</f>
        <v> </v>
      </c>
    </row>
    <row r="104" customFormat="false" ht="12.75" hidden="false" customHeight="false" outlineLevel="0" collapsed="false">
      <c r="A104" s="315" t="str">
        <f aca="false">IF(A103="N/A","N/A",IF(EDATE(A103,1)&gt;Inputs!$P$5,"N/A",EDATE(A103,1)))</f>
        <v>N/A</v>
      </c>
      <c r="B104" s="316" t="str">
        <f aca="false">IF(A104="N/A"," ",YEAR(A104))</f>
        <v> </v>
      </c>
      <c r="C104" s="317" t="str">
        <f aca="false">IF($A104="N/A"," ",IF(Dayrun2=10,0,IF(Scaler2=1,(VLOOKUP(A104,ScaledPrice2,4)),(VLOOKUP(A104,ScaledPrice2,2)))))</f>
        <v> </v>
      </c>
      <c r="D104" s="317" t="str">
        <f aca="false">IF(A104="N/A"," ",IF(Dayrun2&gt;=7,0,IF(Scaler2=2,VLOOKUP(A104,ScaledPrice2,2),(VLOOKUP(A104,ScaledPrice2,2))*(2-(VLOOKUP(A104,ScaledPrice2,3))))))</f>
        <v> </v>
      </c>
      <c r="E104" s="317" t="str">
        <f aca="false">IF($A104="N/A"," ",IF(AND(Dayrun2&gt;=4,Dayrun2&lt;=9),0,VLOOKUP($A104,ScaledPrice2,9)))</f>
        <v> </v>
      </c>
      <c r="F104" s="317" t="str">
        <f aca="false">IF(A104="N/A"," ",IF(OR(Dayrun2=2,Dayrun2=3,Dayrun2=5,Dayrun2=6,Dayrun2=8,Dayrun2=9),VLOOKUP(A104,ScaledPrice2,IF(Scaler2=1,6,5)),0))</f>
        <v> </v>
      </c>
      <c r="G104" s="317" t="str">
        <f aca="false">IF(A104="N/A"," ",IF(OR(Dayrun2=2,Dayrun2=3,Dayrun2=5,Dayrun2=6),IF(Scaler2=2,F104,(VLOOKUP(A104,ScaledPrice2,5))*(2-(VLOOKUP(A104,ScaledPrice2,3)))),0))</f>
        <v> </v>
      </c>
      <c r="H104" s="317" t="str">
        <f aca="false">IF($A104="N/A"," ",IF(OR(Dayrun2=2,Dayrun2=3,Dayrun2=10),VLOOKUP($A104,ScaledPrice2,9),0))</f>
        <v> </v>
      </c>
      <c r="I104" s="317" t="str">
        <f aca="false">IF(A104="N/A"," ",IF(OR(Dayrun2=3,Dayrun2=6,Dayrun2=9),(VLOOKUP(A104,ScaledPrice2,IF(Scaler2=2,7,8))),0))</f>
        <v> </v>
      </c>
      <c r="J104" s="317" t="str">
        <f aca="false">IF(A104="N/A"," ",IF(OR(Dayrun2=3,Dayrun2=6),IF(Scaler2=2,I104,(VLOOKUP(A104,ScaledPrice2,7))*(2-(VLOOKUP(A104,ScaledPrice2,3)))),0))</f>
        <v> </v>
      </c>
      <c r="K104" s="317" t="str">
        <f aca="false">IF($A104="N/A"," ",IF(OR(Dayrun2=3,Dayrun2=10),VLOOKUP($A104,ScaledPrice2,9),0))</f>
        <v> </v>
      </c>
      <c r="L104" s="318" t="str">
        <f aca="false">IF($A104="N/A"," ",IF(Pricetype2=2,MAX(C104,0),IF(OR(Pricetype2=1,Pricetype2=4),IF(C104=0,0,(EURO(C104,Strikeprice2,0,0,($AH104+IF(Smile=TRUE(),VLOOKUP(MAX(-5,Strikeprice2-C104),Volsmile,2),0)),($A104-DateToday)+15,IF(Pricetype2=1,1,0),0))),C104)))</f>
        <v> </v>
      </c>
      <c r="M104" s="318" t="str">
        <f aca="false">IF($A104="N/A"," ",IF(Pricetype2=2,MAX(D104,0),IF(OR(Pricetype2=1,Pricetype2=4),IF(D104=0,0,(EURO(D104,Strikeprice2,0,0,($AH104+IF(Smile=TRUE(),VLOOKUP(MAX(-5,Strikeprice2-D104),Volsmile,2),0)),($A104-DateToday)+15,IF(Pricetype2=1,1,0),0))),D104)))</f>
        <v> </v>
      </c>
      <c r="N104" s="318" t="str">
        <f aca="false">IF($A104="N/A"," ",IF(Pricetype2=2,MAX(E104,0),IF(OR(Pricetype2=1,Pricetype2=4),IF(E104=0,0,(EURO(E104,Strikeprice2,0,0,($AK104+IF(Smile=TRUE(),VLOOKUP(MAX(-5,Strikeprice2-E104),Volsmile,2),0)),($A104-DateToday)+15,IF(Pricetype2=1,1,0),0))),E104)))</f>
        <v> </v>
      </c>
      <c r="O104" s="318" t="str">
        <f aca="false">IF($A104="N/A"," ",IF(Pricetype2=2,MAX(F104,0),IF(OR(Pricetype2=1,Pricetype2=4),IF(F104=0,0,(EURO(F104,Strikeprice2,0,0,($AK104+IF(Smile=TRUE(),VLOOKUP(MAX(-5,Strikeprice2-F104),Volsmile,2),0)),($A104-DateToday)+15,IF(Pricetype2=1,1,0),0))),F104)))</f>
        <v> </v>
      </c>
      <c r="P104" s="318" t="str">
        <f aca="false">IF($A104="N/A"," ",IF(Pricetype2=2,MAX(G104,0),IF(OR(Pricetype2=1,Pricetype2=4),IF(G104=0,0,(EURO(G104,Strikeprice2,0,0,($AK104+IF(Smile=TRUE(),VLOOKUP(MAX(-5,Strikeprice2-G104),Volsmile,2),0)),($A104-DateToday)+15,IF(Pricetype2=1,1,0),0))),G104)))</f>
        <v> </v>
      </c>
      <c r="Q104" s="318" t="str">
        <f aca="false">IF($A104="N/A"," ",IF(Pricetype2=2,MAX(H104,0),IF(OR(Pricetype2=1,Pricetype2=4),IF(H104=0,0,(EURO(H104,Strikeprice2,0,0,($AK104+IF(Smile=TRUE(),VLOOKUP(MAX(-5,Strikeprice2-H104),Volsmile,2),0)),($A104-DateToday)+15,IF(Pricetype2=1,1,0),0))),H104)))</f>
        <v> </v>
      </c>
      <c r="R104" s="318" t="str">
        <f aca="false">IF($A104="N/A"," ",IF(Pricetype2=2,MAX(I104,0),IF(OR(Pricetype2=1,Pricetype2=4),IF(I104=0,0,(EURO(I104,Strikeprice2,0,0,($AK104+IF(Smile=TRUE(),VLOOKUP(MAX(-5,Strikeprice2-I104),Volsmile,2),0)),($A104-DateToday)+15,IF(Pricetype2=1,1,0),0))),I104)))</f>
        <v> </v>
      </c>
      <c r="S104" s="318" t="str">
        <f aca="false">IF($A104="N/A"," ",IF(Pricetype2=2,MAX(J104,0),IF(OR(Pricetype2=1,Pricetype2=4),IF(J104=0,0,(EURO(J104,Strikeprice2,0,0,($AK104+IF(Smile=TRUE(),VLOOKUP(MAX(-5,Strikeprice2-J104),Volsmile,2),0)),($A104-DateToday)+15,IF(Pricetype2=1,1,0),0))),J104)))</f>
        <v> </v>
      </c>
      <c r="T104" s="318" t="str">
        <f aca="false">IF($A104="N/A"," ",IF(Pricetype2=2,MAX(K104,0),IF(OR(Pricetype2=1,Pricetype2=4),IF(K104=0,0,(EURO(K104,Strikeprice2,0,0,($AK104+IF(Smile=TRUE(),VLOOKUP(MAX(-5,Strikeprice2-K104),Volsmile,2),0)),($A104-DateToday)+15,IF(Pricetype2=1,1,0),0))),K104)))</f>
        <v> </v>
      </c>
      <c r="U104" s="319" t="str">
        <f aca="false">IF($A104="N/A"," ",Volume2*$AM104)</f>
        <v> </v>
      </c>
      <c r="V104" s="320" t="str">
        <f aca="false">IF($A104="N/A"," ",$U104*(8*($BQ104))*L104)</f>
        <v> </v>
      </c>
      <c r="W104" s="320" t="str">
        <f aca="false">IF($A104="N/A"," ",$U104*(8*($BQ104))*M104)</f>
        <v> </v>
      </c>
      <c r="X104" s="320" t="str">
        <f aca="false">IF($A104="N/A"," ",$U104*(8*($BQ104))*N104)</f>
        <v> </v>
      </c>
      <c r="Y104" s="320" t="str">
        <f aca="false">IF($A104="N/A"," ",$U104*(8*($BR104))*O104)</f>
        <v> </v>
      </c>
      <c r="Z104" s="320" t="str">
        <f aca="false">IF($A104="N/A"," ",$U104*(8*($BR104))*P104)</f>
        <v> </v>
      </c>
      <c r="AA104" s="320" t="str">
        <f aca="false">IF($A104="N/A"," ",$U104*(8*($BR104))*Q104)</f>
        <v> </v>
      </c>
      <c r="AB104" s="320" t="str">
        <f aca="false">IF($A104="N/A"," ",$U104*(8*($BS104))*R104)</f>
        <v> </v>
      </c>
      <c r="AC104" s="320" t="str">
        <f aca="false">IF($A104="N/A"," ",$U104*(8*($BS104))*S104)</f>
        <v> </v>
      </c>
      <c r="AD104" s="320" t="str">
        <f aca="false">IF($A104="N/A"," ",$U104*(8*($BS104))*T104)</f>
        <v> </v>
      </c>
      <c r="AE104" s="320" t="str">
        <f aca="false">IF($A104="N/A"," ",SUM(V104:AD104))</f>
        <v> </v>
      </c>
      <c r="AF104" s="321" t="str">
        <f aca="false">IF(A104="N/A"," ",(VLOOKUP(A104,PowerVolTable,(IF(VolBMO2=2,7,IF(VolBMO2=1,6,8))),FALSE())))</f>
        <v> </v>
      </c>
      <c r="AG104" s="321" t="str">
        <f aca="false">IF(A104="N/A"," ",(VLOOKUP(A104,IntraPowerVol,(IF(VolBMO2=2,3,IF(VolBMO2=1,2,4))),FALSE())*VLOOKUP(MONTH($A104),Volscale,2)))</f>
        <v> </v>
      </c>
      <c r="AH104" s="321" t="str">
        <f aca="false">IF($A104="N/A"," ",IF(VolType2=1,AG104,AF104))</f>
        <v> </v>
      </c>
      <c r="AI104" s="321" t="str">
        <f aca="false">IF($A104="N/A"," ",(VLOOKUP($A104,OffPwrVolTable,(IF(VolBMO2=2,7,IF(VolBMO2=1,6,8))),FALSE())))</f>
        <v> </v>
      </c>
      <c r="AJ104" s="321" t="str">
        <f aca="false">IF($A104="N/A"," ",(VLOOKUP($A104,OffPwrVolTable,(IF(VolBMO2=2,3,IF(VolBMO2=1,2,4))),FALSE())*VLOOKUP(MONTH($A104),Volscale,2)))</f>
        <v> </v>
      </c>
      <c r="AK104" s="321" t="str">
        <f aca="false">IF($A104="N/A"," ",IF(VolType2=1,AJ104,AI104))</f>
        <v> </v>
      </c>
      <c r="AL104" s="321" t="str">
        <f aca="false">IF($A104="N/A"," ",IF(PV=1,0,'Pricing Inputs2'!R137))</f>
        <v> </v>
      </c>
      <c r="AM104" s="323" t="str">
        <f aca="false">IF($A104="N/A"," ",(1+AL104/2)^(-2*((EOMONTH(A104,0)+20)-DateToday)/365.25))</f>
        <v> </v>
      </c>
      <c r="BQ104" s="0" t="str">
        <f aca="false">IF($A104="N/A"," ",(VLOOKUP($A104,NumberofDaysTable,2)))</f>
        <v> </v>
      </c>
      <c r="BR104" s="0" t="str">
        <f aca="false">IF($A104="N/A"," ",(VLOOKUP($A104,NumberofDaysTable,3)))</f>
        <v> </v>
      </c>
      <c r="BS104" s="0" t="str">
        <f aca="false">IF($A104="N/A"," ",(VLOOKUP($A104,NumberofDaysTable,4)))</f>
        <v> </v>
      </c>
    </row>
    <row r="105" customFormat="false" ht="12.75" hidden="false" customHeight="false" outlineLevel="0" collapsed="false">
      <c r="A105" s="315" t="str">
        <f aca="false">IF(A104="N/A","N/A",IF(EDATE(A104,1)&gt;Inputs!$P$5,"N/A",EDATE(A104,1)))</f>
        <v>N/A</v>
      </c>
      <c r="B105" s="316" t="str">
        <f aca="false">IF(A105="N/A"," ",YEAR(A105))</f>
        <v> </v>
      </c>
      <c r="C105" s="317" t="str">
        <f aca="false">IF($A105="N/A"," ",IF(Dayrun2=10,0,IF(Scaler2=1,(VLOOKUP(A105,ScaledPrice2,4)),(VLOOKUP(A105,ScaledPrice2,2)))))</f>
        <v> </v>
      </c>
      <c r="D105" s="317" t="str">
        <f aca="false">IF(A105="N/A"," ",IF(Dayrun2&gt;=7,0,IF(Scaler2=2,VLOOKUP(A105,ScaledPrice2,2),(VLOOKUP(A105,ScaledPrice2,2))*(2-(VLOOKUP(A105,ScaledPrice2,3))))))</f>
        <v> </v>
      </c>
      <c r="E105" s="317" t="str">
        <f aca="false">IF($A105="N/A"," ",IF(AND(Dayrun2&gt;=4,Dayrun2&lt;=9),0,VLOOKUP($A105,ScaledPrice2,9)))</f>
        <v> </v>
      </c>
      <c r="F105" s="317" t="str">
        <f aca="false">IF(A105="N/A"," ",IF(OR(Dayrun2=2,Dayrun2=3,Dayrun2=5,Dayrun2=6,Dayrun2=8,Dayrun2=9),VLOOKUP(A105,ScaledPrice2,IF(Scaler2=1,6,5)),0))</f>
        <v> </v>
      </c>
      <c r="G105" s="317" t="str">
        <f aca="false">IF(A105="N/A"," ",IF(OR(Dayrun2=2,Dayrun2=3,Dayrun2=5,Dayrun2=6),IF(Scaler2=2,F105,(VLOOKUP(A105,ScaledPrice2,5))*(2-(VLOOKUP(A105,ScaledPrice2,3)))),0))</f>
        <v> </v>
      </c>
      <c r="H105" s="317" t="str">
        <f aca="false">IF($A105="N/A"," ",IF(OR(Dayrun2=2,Dayrun2=3,Dayrun2=10),VLOOKUP($A105,ScaledPrice2,9),0))</f>
        <v> </v>
      </c>
      <c r="I105" s="317" t="str">
        <f aca="false">IF(A105="N/A"," ",IF(OR(Dayrun2=3,Dayrun2=6,Dayrun2=9),(VLOOKUP(A105,ScaledPrice2,IF(Scaler2=2,7,8))),0))</f>
        <v> </v>
      </c>
      <c r="J105" s="317" t="str">
        <f aca="false">IF(A105="N/A"," ",IF(OR(Dayrun2=3,Dayrun2=6),IF(Scaler2=2,I105,(VLOOKUP(A105,ScaledPrice2,7))*(2-(VLOOKUP(A105,ScaledPrice2,3)))),0))</f>
        <v> </v>
      </c>
      <c r="K105" s="317" t="str">
        <f aca="false">IF($A105="N/A"," ",IF(OR(Dayrun2=3,Dayrun2=10),VLOOKUP($A105,ScaledPrice2,9),0))</f>
        <v> </v>
      </c>
      <c r="L105" s="318" t="str">
        <f aca="false">IF($A105="N/A"," ",IF(Pricetype2=2,MAX(C105,0),IF(OR(Pricetype2=1,Pricetype2=4),IF(C105=0,0,(EURO(C105,Strikeprice2,0,0,($AH105+IF(Smile=TRUE(),VLOOKUP(MAX(-5,Strikeprice2-C105),Volsmile,2),0)),($A105-DateToday)+15,IF(Pricetype2=1,1,0),0))),C105)))</f>
        <v> </v>
      </c>
      <c r="M105" s="318" t="str">
        <f aca="false">IF($A105="N/A"," ",IF(Pricetype2=2,MAX(D105,0),IF(OR(Pricetype2=1,Pricetype2=4),IF(D105=0,0,(EURO(D105,Strikeprice2,0,0,($AH105+IF(Smile=TRUE(),VLOOKUP(MAX(-5,Strikeprice2-D105),Volsmile,2),0)),($A105-DateToday)+15,IF(Pricetype2=1,1,0),0))),D105)))</f>
        <v> </v>
      </c>
      <c r="N105" s="318" t="str">
        <f aca="false">IF($A105="N/A"," ",IF(Pricetype2=2,MAX(E105,0),IF(OR(Pricetype2=1,Pricetype2=4),IF(E105=0,0,(EURO(E105,Strikeprice2,0,0,($AK105+IF(Smile=TRUE(),VLOOKUP(MAX(-5,Strikeprice2-E105),Volsmile,2),0)),($A105-DateToday)+15,IF(Pricetype2=1,1,0),0))),E105)))</f>
        <v> </v>
      </c>
      <c r="O105" s="318" t="str">
        <f aca="false">IF($A105="N/A"," ",IF(Pricetype2=2,MAX(F105,0),IF(OR(Pricetype2=1,Pricetype2=4),IF(F105=0,0,(EURO(F105,Strikeprice2,0,0,($AK105+IF(Smile=TRUE(),VLOOKUP(MAX(-5,Strikeprice2-F105),Volsmile,2),0)),($A105-DateToday)+15,IF(Pricetype2=1,1,0),0))),F105)))</f>
        <v> </v>
      </c>
      <c r="P105" s="318" t="str">
        <f aca="false">IF($A105="N/A"," ",IF(Pricetype2=2,MAX(G105,0),IF(OR(Pricetype2=1,Pricetype2=4),IF(G105=0,0,(EURO(G105,Strikeprice2,0,0,($AK105+IF(Smile=TRUE(),VLOOKUP(MAX(-5,Strikeprice2-G105),Volsmile,2),0)),($A105-DateToday)+15,IF(Pricetype2=1,1,0),0))),G105)))</f>
        <v> </v>
      </c>
      <c r="Q105" s="318" t="str">
        <f aca="false">IF($A105="N/A"," ",IF(Pricetype2=2,MAX(H105,0),IF(OR(Pricetype2=1,Pricetype2=4),IF(H105=0,0,(EURO(H105,Strikeprice2,0,0,($AK105+IF(Smile=TRUE(),VLOOKUP(MAX(-5,Strikeprice2-H105),Volsmile,2),0)),($A105-DateToday)+15,IF(Pricetype2=1,1,0),0))),H105)))</f>
        <v> </v>
      </c>
      <c r="R105" s="318" t="str">
        <f aca="false">IF($A105="N/A"," ",IF(Pricetype2=2,MAX(I105,0),IF(OR(Pricetype2=1,Pricetype2=4),IF(I105=0,0,(EURO(I105,Strikeprice2,0,0,($AK105+IF(Smile=TRUE(),VLOOKUP(MAX(-5,Strikeprice2-I105),Volsmile,2),0)),($A105-DateToday)+15,IF(Pricetype2=1,1,0),0))),I105)))</f>
        <v> </v>
      </c>
      <c r="S105" s="318" t="str">
        <f aca="false">IF($A105="N/A"," ",IF(Pricetype2=2,MAX(J105,0),IF(OR(Pricetype2=1,Pricetype2=4),IF(J105=0,0,(EURO(J105,Strikeprice2,0,0,($AK105+IF(Smile=TRUE(),VLOOKUP(MAX(-5,Strikeprice2-J105),Volsmile,2),0)),($A105-DateToday)+15,IF(Pricetype2=1,1,0),0))),J105)))</f>
        <v> </v>
      </c>
      <c r="T105" s="318" t="str">
        <f aca="false">IF($A105="N/A"," ",IF(Pricetype2=2,MAX(K105,0),IF(OR(Pricetype2=1,Pricetype2=4),IF(K105=0,0,(EURO(K105,Strikeprice2,0,0,($AK105+IF(Smile=TRUE(),VLOOKUP(MAX(-5,Strikeprice2-K105),Volsmile,2),0)),($A105-DateToday)+15,IF(Pricetype2=1,1,0),0))),K105)))</f>
        <v> </v>
      </c>
      <c r="U105" s="319" t="str">
        <f aca="false">IF($A105="N/A"," ",Volume2*$AM105)</f>
        <v> </v>
      </c>
      <c r="V105" s="320" t="str">
        <f aca="false">IF($A105="N/A"," ",$U105*(8*($BQ105))*L105)</f>
        <v> </v>
      </c>
      <c r="W105" s="320" t="str">
        <f aca="false">IF($A105="N/A"," ",$U105*(8*($BQ105))*M105)</f>
        <v> </v>
      </c>
      <c r="X105" s="320" t="str">
        <f aca="false">IF($A105="N/A"," ",$U105*(8*($BQ105))*N105)</f>
        <v> </v>
      </c>
      <c r="Y105" s="320" t="str">
        <f aca="false">IF($A105="N/A"," ",$U105*(8*($BR105))*O105)</f>
        <v> </v>
      </c>
      <c r="Z105" s="320" t="str">
        <f aca="false">IF($A105="N/A"," ",$U105*(8*($BR105))*P105)</f>
        <v> </v>
      </c>
      <c r="AA105" s="320" t="str">
        <f aca="false">IF($A105="N/A"," ",$U105*(8*($BR105))*Q105)</f>
        <v> </v>
      </c>
      <c r="AB105" s="320" t="str">
        <f aca="false">IF($A105="N/A"," ",$U105*(8*($BS105))*R105)</f>
        <v> </v>
      </c>
      <c r="AC105" s="320" t="str">
        <f aca="false">IF($A105="N/A"," ",$U105*(8*($BS105))*S105)</f>
        <v> </v>
      </c>
      <c r="AD105" s="320" t="str">
        <f aca="false">IF($A105="N/A"," ",$U105*(8*($BS105))*T105)</f>
        <v> </v>
      </c>
      <c r="AE105" s="320" t="str">
        <f aca="false">IF($A105="N/A"," ",SUM(V105:AD105))</f>
        <v> </v>
      </c>
      <c r="AF105" s="321" t="str">
        <f aca="false">IF(A105="N/A"," ",(VLOOKUP(A105,PowerVolTable,(IF(VolBMO2=2,7,IF(VolBMO2=1,6,8))),FALSE())))</f>
        <v> </v>
      </c>
      <c r="AG105" s="321" t="str">
        <f aca="false">IF(A105="N/A"," ",(VLOOKUP(A105,IntraPowerVol,(IF(VolBMO2=2,3,IF(VolBMO2=1,2,4))),FALSE())*VLOOKUP(MONTH($A105),Volscale,2)))</f>
        <v> </v>
      </c>
      <c r="AH105" s="321" t="str">
        <f aca="false">IF($A105="N/A"," ",IF(VolType2=1,AG105,AF105))</f>
        <v> </v>
      </c>
      <c r="AI105" s="321" t="str">
        <f aca="false">IF($A105="N/A"," ",(VLOOKUP($A105,OffPwrVolTable,(IF(VolBMO2=2,7,IF(VolBMO2=1,6,8))),FALSE())))</f>
        <v> </v>
      </c>
      <c r="AJ105" s="321" t="str">
        <f aca="false">IF($A105="N/A"," ",(VLOOKUP($A105,OffPwrVolTable,(IF(VolBMO2=2,3,IF(VolBMO2=1,2,4))),FALSE())*VLOOKUP(MONTH($A105),Volscale,2)))</f>
        <v> </v>
      </c>
      <c r="AK105" s="321" t="str">
        <f aca="false">IF($A105="N/A"," ",IF(VolType2=1,AJ105,AI105))</f>
        <v> </v>
      </c>
      <c r="AL105" s="321" t="str">
        <f aca="false">IF($A105="N/A"," ",IF(PV=1,0,'Pricing Inputs2'!R138))</f>
        <v> </v>
      </c>
      <c r="AM105" s="323" t="str">
        <f aca="false">IF($A105="N/A"," ",(1+AL105/2)^(-2*((EOMONTH(A105,0)+20)-DateToday)/365.25))</f>
        <v> </v>
      </c>
      <c r="BQ105" s="0" t="str">
        <f aca="false">IF($A105="N/A"," ",(VLOOKUP($A105,NumberofDaysTable,2)))</f>
        <v> </v>
      </c>
      <c r="BR105" s="0" t="str">
        <f aca="false">IF($A105="N/A"," ",(VLOOKUP($A105,NumberofDaysTable,3)))</f>
        <v> </v>
      </c>
      <c r="BS105" s="0" t="str">
        <f aca="false">IF($A105="N/A"," ",(VLOOKUP($A105,NumberofDaysTable,4)))</f>
        <v> </v>
      </c>
    </row>
    <row r="106" customFormat="false" ht="12.75" hidden="false" customHeight="false" outlineLevel="0" collapsed="false">
      <c r="A106" s="315" t="str">
        <f aca="false">IF(A105="N/A","N/A",IF(EDATE(A105,1)&gt;Inputs!$P$5,"N/A",EDATE(A105,1)))</f>
        <v>N/A</v>
      </c>
      <c r="B106" s="316" t="str">
        <f aca="false">IF(A106="N/A"," ",YEAR(A106))</f>
        <v> </v>
      </c>
      <c r="C106" s="317" t="str">
        <f aca="false">IF($A106="N/A"," ",IF(Dayrun2=10,0,IF(Scaler2=1,(VLOOKUP(A106,ScaledPrice2,4)),(VLOOKUP(A106,ScaledPrice2,2)))))</f>
        <v> </v>
      </c>
      <c r="D106" s="317" t="str">
        <f aca="false">IF(A106="N/A"," ",IF(Dayrun2&gt;=7,0,IF(Scaler2=2,VLOOKUP(A106,ScaledPrice2,2),(VLOOKUP(A106,ScaledPrice2,2))*(2-(VLOOKUP(A106,ScaledPrice2,3))))))</f>
        <v> </v>
      </c>
      <c r="E106" s="317" t="str">
        <f aca="false">IF($A106="N/A"," ",IF(AND(Dayrun2&gt;=4,Dayrun2&lt;=9),0,VLOOKUP($A106,ScaledPrice2,9)))</f>
        <v> </v>
      </c>
      <c r="F106" s="317" t="str">
        <f aca="false">IF(A106="N/A"," ",IF(OR(Dayrun2=2,Dayrun2=3,Dayrun2=5,Dayrun2=6,Dayrun2=8,Dayrun2=9),VLOOKUP(A106,ScaledPrice2,IF(Scaler2=1,6,5)),0))</f>
        <v> </v>
      </c>
      <c r="G106" s="317" t="str">
        <f aca="false">IF(A106="N/A"," ",IF(OR(Dayrun2=2,Dayrun2=3,Dayrun2=5,Dayrun2=6),IF(Scaler2=2,F106,(VLOOKUP(A106,ScaledPrice2,5))*(2-(VLOOKUP(A106,ScaledPrice2,3)))),0))</f>
        <v> </v>
      </c>
      <c r="H106" s="317" t="str">
        <f aca="false">IF($A106="N/A"," ",IF(OR(Dayrun2=2,Dayrun2=3,Dayrun2=10),VLOOKUP($A106,ScaledPrice2,9),0))</f>
        <v> </v>
      </c>
      <c r="I106" s="317" t="str">
        <f aca="false">IF(A106="N/A"," ",IF(OR(Dayrun2=3,Dayrun2=6,Dayrun2=9),(VLOOKUP(A106,ScaledPrice2,IF(Scaler2=2,7,8))),0))</f>
        <v> </v>
      </c>
      <c r="J106" s="317" t="str">
        <f aca="false">IF(A106="N/A"," ",IF(OR(Dayrun2=3,Dayrun2=6),IF(Scaler2=2,I106,(VLOOKUP(A106,ScaledPrice2,7))*(2-(VLOOKUP(A106,ScaledPrice2,3)))),0))</f>
        <v> </v>
      </c>
      <c r="K106" s="317" t="str">
        <f aca="false">IF($A106="N/A"," ",IF(OR(Dayrun2=3,Dayrun2=10),VLOOKUP($A106,ScaledPrice2,9),0))</f>
        <v> </v>
      </c>
      <c r="L106" s="318" t="str">
        <f aca="false">IF($A106="N/A"," ",IF(Pricetype2=2,MAX(C106,0),IF(OR(Pricetype2=1,Pricetype2=4),IF(C106=0,0,(EURO(C106,Strikeprice2,0,0,($AH106+IF(Smile=TRUE(),VLOOKUP(MAX(-5,Strikeprice2-C106),Volsmile,2),0)),($A106-DateToday)+15,IF(Pricetype2=1,1,0),0))),C106)))</f>
        <v> </v>
      </c>
      <c r="M106" s="318" t="str">
        <f aca="false">IF($A106="N/A"," ",IF(Pricetype2=2,MAX(D106,0),IF(OR(Pricetype2=1,Pricetype2=4),IF(D106=0,0,(EURO(D106,Strikeprice2,0,0,($AH106+IF(Smile=TRUE(),VLOOKUP(MAX(-5,Strikeprice2-D106),Volsmile,2),0)),($A106-DateToday)+15,IF(Pricetype2=1,1,0),0))),D106)))</f>
        <v> </v>
      </c>
      <c r="N106" s="318" t="str">
        <f aca="false">IF($A106="N/A"," ",IF(Pricetype2=2,MAX(E106,0),IF(OR(Pricetype2=1,Pricetype2=4),IF(E106=0,0,(EURO(E106,Strikeprice2,0,0,($AK106+IF(Smile=TRUE(),VLOOKUP(MAX(-5,Strikeprice2-E106),Volsmile,2),0)),($A106-DateToday)+15,IF(Pricetype2=1,1,0),0))),E106)))</f>
        <v> </v>
      </c>
      <c r="O106" s="318" t="str">
        <f aca="false">IF($A106="N/A"," ",IF(Pricetype2=2,MAX(F106,0),IF(OR(Pricetype2=1,Pricetype2=4),IF(F106=0,0,(EURO(F106,Strikeprice2,0,0,($AK106+IF(Smile=TRUE(),VLOOKUP(MAX(-5,Strikeprice2-F106),Volsmile,2),0)),($A106-DateToday)+15,IF(Pricetype2=1,1,0),0))),F106)))</f>
        <v> </v>
      </c>
      <c r="P106" s="318" t="str">
        <f aca="false">IF($A106="N/A"," ",IF(Pricetype2=2,MAX(G106,0),IF(OR(Pricetype2=1,Pricetype2=4),IF(G106=0,0,(EURO(G106,Strikeprice2,0,0,($AK106+IF(Smile=TRUE(),VLOOKUP(MAX(-5,Strikeprice2-G106),Volsmile,2),0)),($A106-DateToday)+15,IF(Pricetype2=1,1,0),0))),G106)))</f>
        <v> </v>
      </c>
      <c r="Q106" s="318" t="str">
        <f aca="false">IF($A106="N/A"," ",IF(Pricetype2=2,MAX(H106,0),IF(OR(Pricetype2=1,Pricetype2=4),IF(H106=0,0,(EURO(H106,Strikeprice2,0,0,($AK106+IF(Smile=TRUE(),VLOOKUP(MAX(-5,Strikeprice2-H106),Volsmile,2),0)),($A106-DateToday)+15,IF(Pricetype2=1,1,0),0))),H106)))</f>
        <v> </v>
      </c>
      <c r="R106" s="318" t="str">
        <f aca="false">IF($A106="N/A"," ",IF(Pricetype2=2,MAX(I106,0),IF(OR(Pricetype2=1,Pricetype2=4),IF(I106=0,0,(EURO(I106,Strikeprice2,0,0,($AK106+IF(Smile=TRUE(),VLOOKUP(MAX(-5,Strikeprice2-I106),Volsmile,2),0)),($A106-DateToday)+15,IF(Pricetype2=1,1,0),0))),I106)))</f>
        <v> </v>
      </c>
      <c r="S106" s="318" t="str">
        <f aca="false">IF($A106="N/A"," ",IF(Pricetype2=2,MAX(J106,0),IF(OR(Pricetype2=1,Pricetype2=4),IF(J106=0,0,(EURO(J106,Strikeprice2,0,0,($AK106+IF(Smile=TRUE(),VLOOKUP(MAX(-5,Strikeprice2-J106),Volsmile,2),0)),($A106-DateToday)+15,IF(Pricetype2=1,1,0),0))),J106)))</f>
        <v> </v>
      </c>
      <c r="T106" s="318" t="str">
        <f aca="false">IF($A106="N/A"," ",IF(Pricetype2=2,MAX(K106,0),IF(OR(Pricetype2=1,Pricetype2=4),IF(K106=0,0,(EURO(K106,Strikeprice2,0,0,($AK106+IF(Smile=TRUE(),VLOOKUP(MAX(-5,Strikeprice2-K106),Volsmile,2),0)),($A106-DateToday)+15,IF(Pricetype2=1,1,0),0))),K106)))</f>
        <v> </v>
      </c>
      <c r="U106" s="319" t="str">
        <f aca="false">IF($A106="N/A"," ",Volume2*$AM106)</f>
        <v> </v>
      </c>
      <c r="V106" s="320" t="str">
        <f aca="false">IF($A106="N/A"," ",$U106*(8*($BQ106))*L106)</f>
        <v> </v>
      </c>
      <c r="W106" s="320" t="str">
        <f aca="false">IF($A106="N/A"," ",$U106*(8*($BQ106))*M106)</f>
        <v> </v>
      </c>
      <c r="X106" s="320" t="str">
        <f aca="false">IF($A106="N/A"," ",$U106*(8*($BQ106))*N106)</f>
        <v> </v>
      </c>
      <c r="Y106" s="320" t="str">
        <f aca="false">IF($A106="N/A"," ",$U106*(8*($BR106))*O106)</f>
        <v> </v>
      </c>
      <c r="Z106" s="320" t="str">
        <f aca="false">IF($A106="N/A"," ",$U106*(8*($BR106))*P106)</f>
        <v> </v>
      </c>
      <c r="AA106" s="320" t="str">
        <f aca="false">IF($A106="N/A"," ",$U106*(8*($BR106))*Q106)</f>
        <v> </v>
      </c>
      <c r="AB106" s="320" t="str">
        <f aca="false">IF($A106="N/A"," ",$U106*(8*($BS106))*R106)</f>
        <v> </v>
      </c>
      <c r="AC106" s="320" t="str">
        <f aca="false">IF($A106="N/A"," ",$U106*(8*($BS106))*S106)</f>
        <v> </v>
      </c>
      <c r="AD106" s="320" t="str">
        <f aca="false">IF($A106="N/A"," ",$U106*(8*($BS106))*T106)</f>
        <v> </v>
      </c>
      <c r="AE106" s="320" t="str">
        <f aca="false">IF($A106="N/A"," ",SUM(V106:AD106))</f>
        <v> </v>
      </c>
      <c r="AF106" s="321" t="str">
        <f aca="false">IF(A106="N/A"," ",(VLOOKUP(A106,PowerVolTable,(IF(VolBMO2=2,7,IF(VolBMO2=1,6,8))),FALSE())))</f>
        <v> </v>
      </c>
      <c r="AG106" s="321" t="str">
        <f aca="false">IF(A106="N/A"," ",(VLOOKUP(A106,IntraPowerVol,(IF(VolBMO2=2,3,IF(VolBMO2=1,2,4))),FALSE())*VLOOKUP(MONTH($A106),Volscale,2)))</f>
        <v> </v>
      </c>
      <c r="AH106" s="321" t="str">
        <f aca="false">IF($A106="N/A"," ",IF(VolType2=1,AG106,AF106))</f>
        <v> </v>
      </c>
      <c r="AI106" s="321" t="str">
        <f aca="false">IF($A106="N/A"," ",(VLOOKUP($A106,OffPwrVolTable,(IF(VolBMO2=2,7,IF(VolBMO2=1,6,8))),FALSE())))</f>
        <v> </v>
      </c>
      <c r="AJ106" s="321" t="str">
        <f aca="false">IF($A106="N/A"," ",(VLOOKUP($A106,OffPwrVolTable,(IF(VolBMO2=2,3,IF(VolBMO2=1,2,4))),FALSE())*VLOOKUP(MONTH($A106),Volscale,2)))</f>
        <v> </v>
      </c>
      <c r="AK106" s="321" t="str">
        <f aca="false">IF($A106="N/A"," ",IF(VolType2=1,AJ106,AI106))</f>
        <v> </v>
      </c>
      <c r="AL106" s="321" t="str">
        <f aca="false">IF($A106="N/A"," ",IF(PV=1,0,'Pricing Inputs2'!R139))</f>
        <v> </v>
      </c>
      <c r="AM106" s="323" t="str">
        <f aca="false">IF($A106="N/A"," ",(1+AL106/2)^(-2*((EOMONTH(A106,0)+20)-DateToday)/365.25))</f>
        <v> </v>
      </c>
      <c r="BQ106" s="0" t="str">
        <f aca="false">IF($A106="N/A"," ",(VLOOKUP($A106,NumberofDaysTable,2)))</f>
        <v> </v>
      </c>
      <c r="BR106" s="0" t="str">
        <f aca="false">IF($A106="N/A"," ",(VLOOKUP($A106,NumberofDaysTable,3)))</f>
        <v> </v>
      </c>
      <c r="BS106" s="0" t="str">
        <f aca="false">IF($A106="N/A"," ",(VLOOKUP($A106,NumberofDaysTable,4)))</f>
        <v> </v>
      </c>
    </row>
    <row r="107" customFormat="false" ht="12.75" hidden="false" customHeight="false" outlineLevel="0" collapsed="false">
      <c r="A107" s="315" t="str">
        <f aca="false">IF(A106="N/A","N/A",IF(EDATE(A106,1)&gt;Inputs!$P$5,"N/A",EDATE(A106,1)))</f>
        <v>N/A</v>
      </c>
      <c r="B107" s="316" t="str">
        <f aca="false">IF(A107="N/A"," ",YEAR(A107))</f>
        <v> </v>
      </c>
      <c r="C107" s="317" t="str">
        <f aca="false">IF($A107="N/A"," ",IF(Dayrun2=10,0,IF(Scaler2=1,(VLOOKUP(A107,ScaledPrice2,4)),(VLOOKUP(A107,ScaledPrice2,2)))))</f>
        <v> </v>
      </c>
      <c r="D107" s="317" t="str">
        <f aca="false">IF(A107="N/A"," ",IF(Dayrun2&gt;=7,0,IF(Scaler2=2,VLOOKUP(A107,ScaledPrice2,2),(VLOOKUP(A107,ScaledPrice2,2))*(2-(VLOOKUP(A107,ScaledPrice2,3))))))</f>
        <v> </v>
      </c>
      <c r="E107" s="317" t="str">
        <f aca="false">IF($A107="N/A"," ",IF(AND(Dayrun2&gt;=4,Dayrun2&lt;=9),0,VLOOKUP($A107,ScaledPrice2,9)))</f>
        <v> </v>
      </c>
      <c r="F107" s="317" t="str">
        <f aca="false">IF(A107="N/A"," ",IF(OR(Dayrun2=2,Dayrun2=3,Dayrun2=5,Dayrun2=6,Dayrun2=8,Dayrun2=9),VLOOKUP(A107,ScaledPrice2,IF(Scaler2=1,6,5)),0))</f>
        <v> </v>
      </c>
      <c r="G107" s="317" t="str">
        <f aca="false">IF(A107="N/A"," ",IF(OR(Dayrun2=2,Dayrun2=3,Dayrun2=5,Dayrun2=6),IF(Scaler2=2,F107,(VLOOKUP(A107,ScaledPrice2,5))*(2-(VLOOKUP(A107,ScaledPrice2,3)))),0))</f>
        <v> </v>
      </c>
      <c r="H107" s="317" t="str">
        <f aca="false">IF($A107="N/A"," ",IF(OR(Dayrun2=2,Dayrun2=3,Dayrun2=10),VLOOKUP($A107,ScaledPrice2,9),0))</f>
        <v> </v>
      </c>
      <c r="I107" s="317" t="str">
        <f aca="false">IF(A107="N/A"," ",IF(OR(Dayrun2=3,Dayrun2=6,Dayrun2=9),(VLOOKUP(A107,ScaledPrice2,IF(Scaler2=2,7,8))),0))</f>
        <v> </v>
      </c>
      <c r="J107" s="317" t="str">
        <f aca="false">IF(A107="N/A"," ",IF(OR(Dayrun2=3,Dayrun2=6),IF(Scaler2=2,I107,(VLOOKUP(A107,ScaledPrice2,7))*(2-(VLOOKUP(A107,ScaledPrice2,3)))),0))</f>
        <v> </v>
      </c>
      <c r="K107" s="317" t="str">
        <f aca="false">IF($A107="N/A"," ",IF(OR(Dayrun2=3,Dayrun2=10),VLOOKUP($A107,ScaledPrice2,9),0))</f>
        <v> </v>
      </c>
      <c r="L107" s="318" t="str">
        <f aca="false">IF($A107="N/A"," ",IF(Pricetype2=2,MAX(C107,0),IF(OR(Pricetype2=1,Pricetype2=4),IF(C107=0,0,(EURO(C107,Strikeprice2,0,0,($AH107+IF(Smile=TRUE(),VLOOKUP(MAX(-5,Strikeprice2-C107),Volsmile,2),0)),($A107-DateToday)+15,IF(Pricetype2=1,1,0),0))),C107)))</f>
        <v> </v>
      </c>
      <c r="M107" s="318" t="str">
        <f aca="false">IF($A107="N/A"," ",IF(Pricetype2=2,MAX(D107,0),IF(OR(Pricetype2=1,Pricetype2=4),IF(D107=0,0,(EURO(D107,Strikeprice2,0,0,($AH107+IF(Smile=TRUE(),VLOOKUP(MAX(-5,Strikeprice2-D107),Volsmile,2),0)),($A107-DateToday)+15,IF(Pricetype2=1,1,0),0))),D107)))</f>
        <v> </v>
      </c>
      <c r="N107" s="318" t="str">
        <f aca="false">IF($A107="N/A"," ",IF(Pricetype2=2,MAX(E107,0),IF(OR(Pricetype2=1,Pricetype2=4),IF(E107=0,0,(EURO(E107,Strikeprice2,0,0,($AK107+IF(Smile=TRUE(),VLOOKUP(MAX(-5,Strikeprice2-E107),Volsmile,2),0)),($A107-DateToday)+15,IF(Pricetype2=1,1,0),0))),E107)))</f>
        <v> </v>
      </c>
      <c r="O107" s="318" t="str">
        <f aca="false">IF($A107="N/A"," ",IF(Pricetype2=2,MAX(F107,0),IF(OR(Pricetype2=1,Pricetype2=4),IF(F107=0,0,(EURO(F107,Strikeprice2,0,0,($AK107+IF(Smile=TRUE(),VLOOKUP(MAX(-5,Strikeprice2-F107),Volsmile,2),0)),($A107-DateToday)+15,IF(Pricetype2=1,1,0),0))),F107)))</f>
        <v> </v>
      </c>
      <c r="P107" s="318" t="str">
        <f aca="false">IF($A107="N/A"," ",IF(Pricetype2=2,MAX(G107,0),IF(OR(Pricetype2=1,Pricetype2=4),IF(G107=0,0,(EURO(G107,Strikeprice2,0,0,($AK107+IF(Smile=TRUE(),VLOOKUP(MAX(-5,Strikeprice2-G107),Volsmile,2),0)),($A107-DateToday)+15,IF(Pricetype2=1,1,0),0))),G107)))</f>
        <v> </v>
      </c>
      <c r="Q107" s="318" t="str">
        <f aca="false">IF($A107="N/A"," ",IF(Pricetype2=2,MAX(H107,0),IF(OR(Pricetype2=1,Pricetype2=4),IF(H107=0,0,(EURO(H107,Strikeprice2,0,0,($AK107+IF(Smile=TRUE(),VLOOKUP(MAX(-5,Strikeprice2-H107),Volsmile,2),0)),($A107-DateToday)+15,IF(Pricetype2=1,1,0),0))),H107)))</f>
        <v> </v>
      </c>
      <c r="R107" s="318" t="str">
        <f aca="false">IF($A107="N/A"," ",IF(Pricetype2=2,MAX(I107,0),IF(OR(Pricetype2=1,Pricetype2=4),IF(I107=0,0,(EURO(I107,Strikeprice2,0,0,($AK107+IF(Smile=TRUE(),VLOOKUP(MAX(-5,Strikeprice2-I107),Volsmile,2),0)),($A107-DateToday)+15,IF(Pricetype2=1,1,0),0))),I107)))</f>
        <v> </v>
      </c>
      <c r="S107" s="318" t="str">
        <f aca="false">IF($A107="N/A"," ",IF(Pricetype2=2,MAX(J107,0),IF(OR(Pricetype2=1,Pricetype2=4),IF(J107=0,0,(EURO(J107,Strikeprice2,0,0,($AK107+IF(Smile=TRUE(),VLOOKUP(MAX(-5,Strikeprice2-J107),Volsmile,2),0)),($A107-DateToday)+15,IF(Pricetype2=1,1,0),0))),J107)))</f>
        <v> </v>
      </c>
      <c r="T107" s="318" t="str">
        <f aca="false">IF($A107="N/A"," ",IF(Pricetype2=2,MAX(K107,0),IF(OR(Pricetype2=1,Pricetype2=4),IF(K107=0,0,(EURO(K107,Strikeprice2,0,0,($AK107+IF(Smile=TRUE(),VLOOKUP(MAX(-5,Strikeprice2-K107),Volsmile,2),0)),($A107-DateToday)+15,IF(Pricetype2=1,1,0),0))),K107)))</f>
        <v> </v>
      </c>
      <c r="U107" s="319" t="str">
        <f aca="false">IF($A107="N/A"," ",Volume2*$AM107)</f>
        <v> </v>
      </c>
      <c r="V107" s="320" t="str">
        <f aca="false">IF($A107="N/A"," ",$U107*(8*($BQ107))*L107)</f>
        <v> </v>
      </c>
      <c r="W107" s="320" t="str">
        <f aca="false">IF($A107="N/A"," ",$U107*(8*($BQ107))*M107)</f>
        <v> </v>
      </c>
      <c r="X107" s="320" t="str">
        <f aca="false">IF($A107="N/A"," ",$U107*(8*($BQ107))*N107)</f>
        <v> </v>
      </c>
      <c r="Y107" s="320" t="str">
        <f aca="false">IF($A107="N/A"," ",$U107*(8*($BR107))*O107)</f>
        <v> </v>
      </c>
      <c r="Z107" s="320" t="str">
        <f aca="false">IF($A107="N/A"," ",$U107*(8*($BR107))*P107)</f>
        <v> </v>
      </c>
      <c r="AA107" s="320" t="str">
        <f aca="false">IF($A107="N/A"," ",$U107*(8*($BR107))*Q107)</f>
        <v> </v>
      </c>
      <c r="AB107" s="320" t="str">
        <f aca="false">IF($A107="N/A"," ",$U107*(8*($BS107))*R107)</f>
        <v> </v>
      </c>
      <c r="AC107" s="320" t="str">
        <f aca="false">IF($A107="N/A"," ",$U107*(8*($BS107))*S107)</f>
        <v> </v>
      </c>
      <c r="AD107" s="320" t="str">
        <f aca="false">IF($A107="N/A"," ",$U107*(8*($BS107))*T107)</f>
        <v> </v>
      </c>
      <c r="AE107" s="320" t="str">
        <f aca="false">IF($A107="N/A"," ",SUM(V107:AD107))</f>
        <v> </v>
      </c>
      <c r="AF107" s="321" t="str">
        <f aca="false">IF(A107="N/A"," ",(VLOOKUP(A107,PowerVolTable,(IF(VolBMO2=2,7,IF(VolBMO2=1,6,8))),FALSE())))</f>
        <v> </v>
      </c>
      <c r="AG107" s="321" t="str">
        <f aca="false">IF(A107="N/A"," ",(VLOOKUP(A107,IntraPowerVol,(IF(VolBMO2=2,3,IF(VolBMO2=1,2,4))),FALSE())*VLOOKUP(MONTH($A107),Volscale,2)))</f>
        <v> </v>
      </c>
      <c r="AH107" s="321" t="str">
        <f aca="false">IF($A107="N/A"," ",IF(VolType2=1,AG107,AF107))</f>
        <v> </v>
      </c>
      <c r="AI107" s="321" t="str">
        <f aca="false">IF($A107="N/A"," ",(VLOOKUP($A107,OffPwrVolTable,(IF(VolBMO2=2,7,IF(VolBMO2=1,6,8))),FALSE())))</f>
        <v> </v>
      </c>
      <c r="AJ107" s="321" t="str">
        <f aca="false">IF($A107="N/A"," ",(VLOOKUP($A107,OffPwrVolTable,(IF(VolBMO2=2,3,IF(VolBMO2=1,2,4))),FALSE())*VLOOKUP(MONTH($A107),Volscale,2)))</f>
        <v> </v>
      </c>
      <c r="AK107" s="321" t="str">
        <f aca="false">IF($A107="N/A"," ",IF(VolType2=1,AJ107,AI107))</f>
        <v> </v>
      </c>
      <c r="AL107" s="321" t="str">
        <f aca="false">IF($A107="N/A"," ",IF(PV=1,0,'Pricing Inputs2'!R140))</f>
        <v> </v>
      </c>
      <c r="AM107" s="323" t="str">
        <f aca="false">IF($A107="N/A"," ",(1+AL107/2)^(-2*((EOMONTH(A107,0)+20)-DateToday)/365.25))</f>
        <v> </v>
      </c>
      <c r="BQ107" s="0" t="str">
        <f aca="false">IF($A107="N/A"," ",(VLOOKUP($A107,NumberofDaysTable,2)))</f>
        <v> </v>
      </c>
      <c r="BR107" s="0" t="str">
        <f aca="false">IF($A107="N/A"," ",(VLOOKUP($A107,NumberofDaysTable,3)))</f>
        <v> </v>
      </c>
      <c r="BS107" s="0" t="str">
        <f aca="false">IF($A107="N/A"," ",(VLOOKUP($A107,NumberofDaysTable,4)))</f>
        <v> </v>
      </c>
    </row>
    <row r="108" customFormat="false" ht="12.75" hidden="false" customHeight="false" outlineLevel="0" collapsed="false">
      <c r="A108" s="315" t="str">
        <f aca="false">IF(A107="N/A","N/A",IF(EDATE(A107,1)&gt;Inputs!$P$5,"N/A",EDATE(A107,1)))</f>
        <v>N/A</v>
      </c>
      <c r="B108" s="316" t="str">
        <f aca="false">IF(A108="N/A"," ",YEAR(A108))</f>
        <v> </v>
      </c>
      <c r="C108" s="317" t="str">
        <f aca="false">IF($A108="N/A"," ",IF(Dayrun2=10,0,IF(Scaler2=1,(VLOOKUP(A108,ScaledPrice2,4)),(VLOOKUP(A108,ScaledPrice2,2)))))</f>
        <v> </v>
      </c>
      <c r="D108" s="317" t="str">
        <f aca="false">IF(A108="N/A"," ",IF(Dayrun2&gt;=7,0,IF(Scaler2=2,VLOOKUP(A108,ScaledPrice2,2),(VLOOKUP(A108,ScaledPrice2,2))*(2-(VLOOKUP(A108,ScaledPrice2,3))))))</f>
        <v> </v>
      </c>
      <c r="E108" s="317" t="str">
        <f aca="false">IF($A108="N/A"," ",IF(AND(Dayrun2&gt;=4,Dayrun2&lt;=9),0,VLOOKUP($A108,ScaledPrice2,9)))</f>
        <v> </v>
      </c>
      <c r="F108" s="317" t="str">
        <f aca="false">IF(A108="N/A"," ",IF(OR(Dayrun2=2,Dayrun2=3,Dayrun2=5,Dayrun2=6,Dayrun2=8,Dayrun2=9),VLOOKUP(A108,ScaledPrice2,IF(Scaler2=1,6,5)),0))</f>
        <v> </v>
      </c>
      <c r="G108" s="317" t="str">
        <f aca="false">IF(A108="N/A"," ",IF(OR(Dayrun2=2,Dayrun2=3,Dayrun2=5,Dayrun2=6),IF(Scaler2=2,F108,(VLOOKUP(A108,ScaledPrice2,5))*(2-(VLOOKUP(A108,ScaledPrice2,3)))),0))</f>
        <v> </v>
      </c>
      <c r="H108" s="317" t="str">
        <f aca="false">IF($A108="N/A"," ",IF(OR(Dayrun2=2,Dayrun2=3,Dayrun2=10),VLOOKUP($A108,ScaledPrice2,9),0))</f>
        <v> </v>
      </c>
      <c r="I108" s="317" t="str">
        <f aca="false">IF(A108="N/A"," ",IF(OR(Dayrun2=3,Dayrun2=6,Dayrun2=9),(VLOOKUP(A108,ScaledPrice2,IF(Scaler2=2,7,8))),0))</f>
        <v> </v>
      </c>
      <c r="J108" s="317" t="str">
        <f aca="false">IF(A108="N/A"," ",IF(OR(Dayrun2=3,Dayrun2=6),IF(Scaler2=2,I108,(VLOOKUP(A108,ScaledPrice2,7))*(2-(VLOOKUP(A108,ScaledPrice2,3)))),0))</f>
        <v> </v>
      </c>
      <c r="K108" s="317" t="str">
        <f aca="false">IF($A108="N/A"," ",IF(OR(Dayrun2=3,Dayrun2=10),VLOOKUP($A108,ScaledPrice2,9),0))</f>
        <v> </v>
      </c>
      <c r="L108" s="318" t="str">
        <f aca="false">IF($A108="N/A"," ",IF(Pricetype2=2,MAX(C108,0),IF(OR(Pricetype2=1,Pricetype2=4),IF(C108=0,0,(EURO(C108,Strikeprice2,0,0,($AH108+IF(Smile=TRUE(),VLOOKUP(MAX(-5,Strikeprice2-C108),Volsmile,2),0)),($A108-DateToday)+15,IF(Pricetype2=1,1,0),0))),C108)))</f>
        <v> </v>
      </c>
      <c r="M108" s="318" t="str">
        <f aca="false">IF($A108="N/A"," ",IF(Pricetype2=2,MAX(D108,0),IF(OR(Pricetype2=1,Pricetype2=4),IF(D108=0,0,(EURO(D108,Strikeprice2,0,0,($AH108+IF(Smile=TRUE(),VLOOKUP(MAX(-5,Strikeprice2-D108),Volsmile,2),0)),($A108-DateToday)+15,IF(Pricetype2=1,1,0),0))),D108)))</f>
        <v> </v>
      </c>
      <c r="N108" s="318" t="str">
        <f aca="false">IF($A108="N/A"," ",IF(Pricetype2=2,MAX(E108,0),IF(OR(Pricetype2=1,Pricetype2=4),IF(E108=0,0,(EURO(E108,Strikeprice2,0,0,($AK108+IF(Smile=TRUE(),VLOOKUP(MAX(-5,Strikeprice2-E108),Volsmile,2),0)),($A108-DateToday)+15,IF(Pricetype2=1,1,0),0))),E108)))</f>
        <v> </v>
      </c>
      <c r="O108" s="318" t="str">
        <f aca="false">IF($A108="N/A"," ",IF(Pricetype2=2,MAX(F108,0),IF(OR(Pricetype2=1,Pricetype2=4),IF(F108=0,0,(EURO(F108,Strikeprice2,0,0,($AK108+IF(Smile=TRUE(),VLOOKUP(MAX(-5,Strikeprice2-F108),Volsmile,2),0)),($A108-DateToday)+15,IF(Pricetype2=1,1,0),0))),F108)))</f>
        <v> </v>
      </c>
      <c r="P108" s="318" t="str">
        <f aca="false">IF($A108="N/A"," ",IF(Pricetype2=2,MAX(G108,0),IF(OR(Pricetype2=1,Pricetype2=4),IF(G108=0,0,(EURO(G108,Strikeprice2,0,0,($AK108+IF(Smile=TRUE(),VLOOKUP(MAX(-5,Strikeprice2-G108),Volsmile,2),0)),($A108-DateToday)+15,IF(Pricetype2=1,1,0),0))),G108)))</f>
        <v> </v>
      </c>
      <c r="Q108" s="318" t="str">
        <f aca="false">IF($A108="N/A"," ",IF(Pricetype2=2,MAX(H108,0),IF(OR(Pricetype2=1,Pricetype2=4),IF(H108=0,0,(EURO(H108,Strikeprice2,0,0,($AK108+IF(Smile=TRUE(),VLOOKUP(MAX(-5,Strikeprice2-H108),Volsmile,2),0)),($A108-DateToday)+15,IF(Pricetype2=1,1,0),0))),H108)))</f>
        <v> </v>
      </c>
      <c r="R108" s="318" t="str">
        <f aca="false">IF($A108="N/A"," ",IF(Pricetype2=2,MAX(I108,0),IF(OR(Pricetype2=1,Pricetype2=4),IF(I108=0,0,(EURO(I108,Strikeprice2,0,0,($AK108+IF(Smile=TRUE(),VLOOKUP(MAX(-5,Strikeprice2-I108),Volsmile,2),0)),($A108-DateToday)+15,IF(Pricetype2=1,1,0),0))),I108)))</f>
        <v> </v>
      </c>
      <c r="S108" s="318" t="str">
        <f aca="false">IF($A108="N/A"," ",IF(Pricetype2=2,MAX(J108,0),IF(OR(Pricetype2=1,Pricetype2=4),IF(J108=0,0,(EURO(J108,Strikeprice2,0,0,($AK108+IF(Smile=TRUE(),VLOOKUP(MAX(-5,Strikeprice2-J108),Volsmile,2),0)),($A108-DateToday)+15,IF(Pricetype2=1,1,0),0))),J108)))</f>
        <v> </v>
      </c>
      <c r="T108" s="318" t="str">
        <f aca="false">IF($A108="N/A"," ",IF(Pricetype2=2,MAX(K108,0),IF(OR(Pricetype2=1,Pricetype2=4),IF(K108=0,0,(EURO(K108,Strikeprice2,0,0,($AK108+IF(Smile=TRUE(),VLOOKUP(MAX(-5,Strikeprice2-K108),Volsmile,2),0)),($A108-DateToday)+15,IF(Pricetype2=1,1,0),0))),K108)))</f>
        <v> </v>
      </c>
      <c r="U108" s="319" t="str">
        <f aca="false">IF($A108="N/A"," ",Volume2*$AM108)</f>
        <v> </v>
      </c>
      <c r="V108" s="320" t="str">
        <f aca="false">IF($A108="N/A"," ",$U108*(8*($BQ108))*L108)</f>
        <v> </v>
      </c>
      <c r="W108" s="320" t="str">
        <f aca="false">IF($A108="N/A"," ",$U108*(8*($BQ108))*M108)</f>
        <v> </v>
      </c>
      <c r="X108" s="320" t="str">
        <f aca="false">IF($A108="N/A"," ",$U108*(8*($BQ108))*N108)</f>
        <v> </v>
      </c>
      <c r="Y108" s="320" t="str">
        <f aca="false">IF($A108="N/A"," ",$U108*(8*($BR108))*O108)</f>
        <v> </v>
      </c>
      <c r="Z108" s="320" t="str">
        <f aca="false">IF($A108="N/A"," ",$U108*(8*($BR108))*P108)</f>
        <v> </v>
      </c>
      <c r="AA108" s="320" t="str">
        <f aca="false">IF($A108="N/A"," ",$U108*(8*($BR108))*Q108)</f>
        <v> </v>
      </c>
      <c r="AB108" s="320" t="str">
        <f aca="false">IF($A108="N/A"," ",$U108*(8*($BS108))*R108)</f>
        <v> </v>
      </c>
      <c r="AC108" s="320" t="str">
        <f aca="false">IF($A108="N/A"," ",$U108*(8*($BS108))*S108)</f>
        <v> </v>
      </c>
      <c r="AD108" s="320" t="str">
        <f aca="false">IF($A108="N/A"," ",$U108*(8*($BS108))*T108)</f>
        <v> </v>
      </c>
      <c r="AE108" s="320" t="str">
        <f aca="false">IF($A108="N/A"," ",SUM(V108:AD108))</f>
        <v> </v>
      </c>
      <c r="AF108" s="321" t="str">
        <f aca="false">IF(A108="N/A"," ",(VLOOKUP(A108,PowerVolTable,(IF(VolBMO2=2,7,IF(VolBMO2=1,6,8))),FALSE())))</f>
        <v> </v>
      </c>
      <c r="AG108" s="321" t="str">
        <f aca="false">IF(A108="N/A"," ",(VLOOKUP(A108,IntraPowerVol,(IF(VolBMO2=2,3,IF(VolBMO2=1,2,4))),FALSE())*VLOOKUP(MONTH($A108),Volscale,2)))</f>
        <v> </v>
      </c>
      <c r="AH108" s="321" t="str">
        <f aca="false">IF($A108="N/A"," ",IF(VolType2=1,AG108,AF108))</f>
        <v> </v>
      </c>
      <c r="AI108" s="321" t="str">
        <f aca="false">IF($A108="N/A"," ",(VLOOKUP($A108,OffPwrVolTable,(IF(VolBMO2=2,7,IF(VolBMO2=1,6,8))),FALSE())))</f>
        <v> </v>
      </c>
      <c r="AJ108" s="321" t="str">
        <f aca="false">IF($A108="N/A"," ",(VLOOKUP($A108,OffPwrVolTable,(IF(VolBMO2=2,3,IF(VolBMO2=1,2,4))),FALSE())*VLOOKUP(MONTH($A108),Volscale,2)))</f>
        <v> </v>
      </c>
      <c r="AK108" s="321" t="str">
        <f aca="false">IF($A108="N/A"," ",IF(VolType2=1,AJ108,AI108))</f>
        <v> </v>
      </c>
      <c r="AL108" s="321" t="str">
        <f aca="false">IF($A108="N/A"," ",IF(PV=1,0,'Pricing Inputs2'!R141))</f>
        <v> </v>
      </c>
      <c r="AM108" s="323" t="str">
        <f aca="false">IF($A108="N/A"," ",(1+AL108/2)^(-2*((EOMONTH(A108,0)+20)-DateToday)/365.25))</f>
        <v> </v>
      </c>
      <c r="BQ108" s="0" t="str">
        <f aca="false">IF($A108="N/A"," ",(VLOOKUP($A108,NumberofDaysTable,2)))</f>
        <v> </v>
      </c>
      <c r="BR108" s="0" t="str">
        <f aca="false">IF($A108="N/A"," ",(VLOOKUP($A108,NumberofDaysTable,3)))</f>
        <v> </v>
      </c>
      <c r="BS108" s="0" t="str">
        <f aca="false">IF($A108="N/A"," ",(VLOOKUP($A108,NumberofDaysTable,4)))</f>
        <v> </v>
      </c>
    </row>
    <row r="109" customFormat="false" ht="12.75" hidden="false" customHeight="false" outlineLevel="0" collapsed="false">
      <c r="A109" s="315" t="str">
        <f aca="false">IF(A108="N/A","N/A",IF(EDATE(A108,1)&gt;Inputs!$P$5,"N/A",EDATE(A108,1)))</f>
        <v>N/A</v>
      </c>
      <c r="B109" s="316" t="str">
        <f aca="false">IF(A109="N/A"," ",YEAR(A109))</f>
        <v> </v>
      </c>
      <c r="C109" s="317" t="str">
        <f aca="false">IF($A109="N/A"," ",IF(Dayrun2=10,0,IF(Scaler2=1,(VLOOKUP(A109,ScaledPrice2,4)),(VLOOKUP(A109,ScaledPrice2,2)))))</f>
        <v> </v>
      </c>
      <c r="D109" s="317" t="str">
        <f aca="false">IF(A109="N/A"," ",IF(Dayrun2&gt;=7,0,IF(Scaler2=2,VLOOKUP(A109,ScaledPrice2,2),(VLOOKUP(A109,ScaledPrice2,2))*(2-(VLOOKUP(A109,ScaledPrice2,3))))))</f>
        <v> </v>
      </c>
      <c r="E109" s="317" t="str">
        <f aca="false">IF($A109="N/A"," ",IF(AND(Dayrun2&gt;=4,Dayrun2&lt;=9),0,VLOOKUP($A109,ScaledPrice2,9)))</f>
        <v> </v>
      </c>
      <c r="F109" s="317" t="str">
        <f aca="false">IF(A109="N/A"," ",IF(OR(Dayrun2=2,Dayrun2=3,Dayrun2=5,Dayrun2=6,Dayrun2=8,Dayrun2=9),VLOOKUP(A109,ScaledPrice2,IF(Scaler2=1,6,5)),0))</f>
        <v> </v>
      </c>
      <c r="G109" s="317" t="str">
        <f aca="false">IF(A109="N/A"," ",IF(OR(Dayrun2=2,Dayrun2=3,Dayrun2=5,Dayrun2=6),IF(Scaler2=2,F109,(VLOOKUP(A109,ScaledPrice2,5))*(2-(VLOOKUP(A109,ScaledPrice2,3)))),0))</f>
        <v> </v>
      </c>
      <c r="H109" s="317" t="str">
        <f aca="false">IF($A109="N/A"," ",IF(OR(Dayrun2=2,Dayrun2=3,Dayrun2=10),VLOOKUP($A109,ScaledPrice2,9),0))</f>
        <v> </v>
      </c>
      <c r="I109" s="317" t="str">
        <f aca="false">IF(A109="N/A"," ",IF(OR(Dayrun2=3,Dayrun2=6,Dayrun2=9),(VLOOKUP(A109,ScaledPrice2,IF(Scaler2=2,7,8))),0))</f>
        <v> </v>
      </c>
      <c r="J109" s="317" t="str">
        <f aca="false">IF(A109="N/A"," ",IF(OR(Dayrun2=3,Dayrun2=6),IF(Scaler2=2,I109,(VLOOKUP(A109,ScaledPrice2,7))*(2-(VLOOKUP(A109,ScaledPrice2,3)))),0))</f>
        <v> </v>
      </c>
      <c r="K109" s="317" t="str">
        <f aca="false">IF($A109="N/A"," ",IF(OR(Dayrun2=3,Dayrun2=10),VLOOKUP($A109,ScaledPrice2,9),0))</f>
        <v> </v>
      </c>
      <c r="L109" s="318" t="str">
        <f aca="false">IF($A109="N/A"," ",IF(Pricetype2=2,MAX(C109,0),IF(OR(Pricetype2=1,Pricetype2=4),IF(C109=0,0,(EURO(C109,Strikeprice2,0,0,($AH109+IF(Smile=TRUE(),VLOOKUP(MAX(-5,Strikeprice2-C109),Volsmile,2),0)),($A109-DateToday)+15,IF(Pricetype2=1,1,0),0))),C109)))</f>
        <v> </v>
      </c>
      <c r="M109" s="318" t="str">
        <f aca="false">IF($A109="N/A"," ",IF(Pricetype2=2,MAX(D109,0),IF(OR(Pricetype2=1,Pricetype2=4),IF(D109=0,0,(EURO(D109,Strikeprice2,0,0,($AH109+IF(Smile=TRUE(),VLOOKUP(MAX(-5,Strikeprice2-D109),Volsmile,2),0)),($A109-DateToday)+15,IF(Pricetype2=1,1,0),0))),D109)))</f>
        <v> </v>
      </c>
      <c r="N109" s="318" t="str">
        <f aca="false">IF($A109="N/A"," ",IF(Pricetype2=2,MAX(E109,0),IF(OR(Pricetype2=1,Pricetype2=4),IF(E109=0,0,(EURO(E109,Strikeprice2,0,0,($AK109+IF(Smile=TRUE(),VLOOKUP(MAX(-5,Strikeprice2-E109),Volsmile,2),0)),($A109-DateToday)+15,IF(Pricetype2=1,1,0),0))),E109)))</f>
        <v> </v>
      </c>
      <c r="O109" s="318" t="str">
        <f aca="false">IF($A109="N/A"," ",IF(Pricetype2=2,MAX(F109,0),IF(OR(Pricetype2=1,Pricetype2=4),IF(F109=0,0,(EURO(F109,Strikeprice2,0,0,($AK109+IF(Smile=TRUE(),VLOOKUP(MAX(-5,Strikeprice2-F109),Volsmile,2),0)),($A109-DateToday)+15,IF(Pricetype2=1,1,0),0))),F109)))</f>
        <v> </v>
      </c>
      <c r="P109" s="318" t="str">
        <f aca="false">IF($A109="N/A"," ",IF(Pricetype2=2,MAX(G109,0),IF(OR(Pricetype2=1,Pricetype2=4),IF(G109=0,0,(EURO(G109,Strikeprice2,0,0,($AK109+IF(Smile=TRUE(),VLOOKUP(MAX(-5,Strikeprice2-G109),Volsmile,2),0)),($A109-DateToday)+15,IF(Pricetype2=1,1,0),0))),G109)))</f>
        <v> </v>
      </c>
      <c r="Q109" s="318" t="str">
        <f aca="false">IF($A109="N/A"," ",IF(Pricetype2=2,MAX(H109,0),IF(OR(Pricetype2=1,Pricetype2=4),IF(H109=0,0,(EURO(H109,Strikeprice2,0,0,($AK109+IF(Smile=TRUE(),VLOOKUP(MAX(-5,Strikeprice2-H109),Volsmile,2),0)),($A109-DateToday)+15,IF(Pricetype2=1,1,0),0))),H109)))</f>
        <v> </v>
      </c>
      <c r="R109" s="318" t="str">
        <f aca="false">IF($A109="N/A"," ",IF(Pricetype2=2,MAX(I109,0),IF(OR(Pricetype2=1,Pricetype2=4),IF(I109=0,0,(EURO(I109,Strikeprice2,0,0,($AK109+IF(Smile=TRUE(),VLOOKUP(MAX(-5,Strikeprice2-I109),Volsmile,2),0)),($A109-DateToday)+15,IF(Pricetype2=1,1,0),0))),I109)))</f>
        <v> </v>
      </c>
      <c r="S109" s="318" t="str">
        <f aca="false">IF($A109="N/A"," ",IF(Pricetype2=2,MAX(J109,0),IF(OR(Pricetype2=1,Pricetype2=4),IF(J109=0,0,(EURO(J109,Strikeprice2,0,0,($AK109+IF(Smile=TRUE(),VLOOKUP(MAX(-5,Strikeprice2-J109),Volsmile,2),0)),($A109-DateToday)+15,IF(Pricetype2=1,1,0),0))),J109)))</f>
        <v> </v>
      </c>
      <c r="T109" s="318" t="str">
        <f aca="false">IF($A109="N/A"," ",IF(Pricetype2=2,MAX(K109,0),IF(OR(Pricetype2=1,Pricetype2=4),IF(K109=0,0,(EURO(K109,Strikeprice2,0,0,($AK109+IF(Smile=TRUE(),VLOOKUP(MAX(-5,Strikeprice2-K109),Volsmile,2),0)),($A109-DateToday)+15,IF(Pricetype2=1,1,0),0))),K109)))</f>
        <v> </v>
      </c>
      <c r="U109" s="319" t="str">
        <f aca="false">IF($A109="N/A"," ",Volume2*$AM109)</f>
        <v> </v>
      </c>
      <c r="V109" s="320" t="str">
        <f aca="false">IF($A109="N/A"," ",$U109*(8*($BQ109))*L109)</f>
        <v> </v>
      </c>
      <c r="W109" s="320" t="str">
        <f aca="false">IF($A109="N/A"," ",$U109*(8*($BQ109))*M109)</f>
        <v> </v>
      </c>
      <c r="X109" s="320" t="str">
        <f aca="false">IF($A109="N/A"," ",$U109*(8*($BQ109))*N109)</f>
        <v> </v>
      </c>
      <c r="Y109" s="320" t="str">
        <f aca="false">IF($A109="N/A"," ",$U109*(8*($BR109))*O109)</f>
        <v> </v>
      </c>
      <c r="Z109" s="320" t="str">
        <f aca="false">IF($A109="N/A"," ",$U109*(8*($BR109))*P109)</f>
        <v> </v>
      </c>
      <c r="AA109" s="320" t="str">
        <f aca="false">IF($A109="N/A"," ",$U109*(8*($BR109))*Q109)</f>
        <v> </v>
      </c>
      <c r="AB109" s="320" t="str">
        <f aca="false">IF($A109="N/A"," ",$U109*(8*($BS109))*R109)</f>
        <v> </v>
      </c>
      <c r="AC109" s="320" t="str">
        <f aca="false">IF($A109="N/A"," ",$U109*(8*($BS109))*S109)</f>
        <v> </v>
      </c>
      <c r="AD109" s="320" t="str">
        <f aca="false">IF($A109="N/A"," ",$U109*(8*($BS109))*T109)</f>
        <v> </v>
      </c>
      <c r="AE109" s="320" t="str">
        <f aca="false">IF($A109="N/A"," ",SUM(V109:AD109))</f>
        <v> </v>
      </c>
      <c r="AF109" s="321" t="str">
        <f aca="false">IF(A109="N/A"," ",(VLOOKUP(A109,PowerVolTable,(IF(VolBMO2=2,7,IF(VolBMO2=1,6,8))),FALSE())))</f>
        <v> </v>
      </c>
      <c r="AG109" s="321" t="str">
        <f aca="false">IF(A109="N/A"," ",(VLOOKUP(A109,IntraPowerVol,(IF(VolBMO2=2,3,IF(VolBMO2=1,2,4))),FALSE())*VLOOKUP(MONTH($A109),Volscale,2)))</f>
        <v> </v>
      </c>
      <c r="AH109" s="321" t="str">
        <f aca="false">IF($A109="N/A"," ",IF(VolType2=1,AG109,AF109))</f>
        <v> </v>
      </c>
      <c r="AI109" s="321" t="str">
        <f aca="false">IF($A109="N/A"," ",(VLOOKUP($A109,OffPwrVolTable,(IF(VolBMO2=2,7,IF(VolBMO2=1,6,8))),FALSE())))</f>
        <v> </v>
      </c>
      <c r="AJ109" s="321" t="str">
        <f aca="false">IF($A109="N/A"," ",(VLOOKUP($A109,OffPwrVolTable,(IF(VolBMO2=2,3,IF(VolBMO2=1,2,4))),FALSE())*VLOOKUP(MONTH($A109),Volscale,2)))</f>
        <v> </v>
      </c>
      <c r="AK109" s="321" t="str">
        <f aca="false">IF($A109="N/A"," ",IF(VolType2=1,AJ109,AI109))</f>
        <v> </v>
      </c>
      <c r="AL109" s="321" t="str">
        <f aca="false">IF($A109="N/A"," ",IF(PV=1,0,'Pricing Inputs2'!R142))</f>
        <v> </v>
      </c>
      <c r="AM109" s="323" t="str">
        <f aca="false">IF($A109="N/A"," ",(1+AL109/2)^(-2*((EOMONTH(A109,0)+20)-DateToday)/365.25))</f>
        <v> </v>
      </c>
      <c r="BQ109" s="0" t="str">
        <f aca="false">IF($A109="N/A"," ",(VLOOKUP($A109,NumberofDaysTable,2)))</f>
        <v> </v>
      </c>
      <c r="BR109" s="0" t="str">
        <f aca="false">IF($A109="N/A"," ",(VLOOKUP($A109,NumberofDaysTable,3)))</f>
        <v> </v>
      </c>
      <c r="BS109" s="0" t="str">
        <f aca="false">IF($A109="N/A"," ",(VLOOKUP($A109,NumberofDaysTable,4)))</f>
        <v> </v>
      </c>
    </row>
    <row r="110" customFormat="false" ht="12.75" hidden="false" customHeight="false" outlineLevel="0" collapsed="false">
      <c r="A110" s="315" t="str">
        <f aca="false">IF(A109="N/A","N/A",IF(EDATE(A109,1)&gt;Inputs!$P$5,"N/A",EDATE(A109,1)))</f>
        <v>N/A</v>
      </c>
      <c r="B110" s="316" t="str">
        <f aca="false">IF(A110="N/A"," ",YEAR(A110))</f>
        <v> </v>
      </c>
      <c r="C110" s="317" t="str">
        <f aca="false">IF($A110="N/A"," ",IF(Dayrun2=10,0,IF(Scaler2=1,(VLOOKUP(A110,ScaledPrice2,4)),(VLOOKUP(A110,ScaledPrice2,2)))))</f>
        <v> </v>
      </c>
      <c r="D110" s="317" t="str">
        <f aca="false">IF(A110="N/A"," ",IF(Dayrun2&gt;=7,0,IF(Scaler2=2,VLOOKUP(A110,ScaledPrice2,2),(VLOOKUP(A110,ScaledPrice2,2))*(2-(VLOOKUP(A110,ScaledPrice2,3))))))</f>
        <v> </v>
      </c>
      <c r="E110" s="317" t="str">
        <f aca="false">IF($A110="N/A"," ",IF(AND(Dayrun2&gt;=4,Dayrun2&lt;=9),0,VLOOKUP($A110,ScaledPrice2,9)))</f>
        <v> </v>
      </c>
      <c r="F110" s="317" t="str">
        <f aca="false">IF(A110="N/A"," ",IF(OR(Dayrun2=2,Dayrun2=3,Dayrun2=5,Dayrun2=6,Dayrun2=8,Dayrun2=9),VLOOKUP(A110,ScaledPrice2,IF(Scaler2=1,6,5)),0))</f>
        <v> </v>
      </c>
      <c r="G110" s="317" t="str">
        <f aca="false">IF(A110="N/A"," ",IF(OR(Dayrun2=2,Dayrun2=3,Dayrun2=5,Dayrun2=6),IF(Scaler2=2,F110,(VLOOKUP(A110,ScaledPrice2,5))*(2-(VLOOKUP(A110,ScaledPrice2,3)))),0))</f>
        <v> </v>
      </c>
      <c r="H110" s="317" t="str">
        <f aca="false">IF($A110="N/A"," ",IF(OR(Dayrun2=2,Dayrun2=3,Dayrun2=10),VLOOKUP($A110,ScaledPrice2,9),0))</f>
        <v> </v>
      </c>
      <c r="I110" s="317" t="str">
        <f aca="false">IF(A110="N/A"," ",IF(OR(Dayrun2=3,Dayrun2=6,Dayrun2=9),(VLOOKUP(A110,ScaledPrice2,IF(Scaler2=2,7,8))),0))</f>
        <v> </v>
      </c>
      <c r="J110" s="317" t="str">
        <f aca="false">IF(A110="N/A"," ",IF(OR(Dayrun2=3,Dayrun2=6),IF(Scaler2=2,I110,(VLOOKUP(A110,ScaledPrice2,7))*(2-(VLOOKUP(A110,ScaledPrice2,3)))),0))</f>
        <v> </v>
      </c>
      <c r="K110" s="317" t="str">
        <f aca="false">IF($A110="N/A"," ",IF(OR(Dayrun2=3,Dayrun2=10),VLOOKUP($A110,ScaledPrice2,9),0))</f>
        <v> </v>
      </c>
      <c r="L110" s="318" t="str">
        <f aca="false">IF($A110="N/A"," ",IF(Pricetype2=2,MAX(C110,0),IF(OR(Pricetype2=1,Pricetype2=4),IF(C110=0,0,(EURO(C110,Strikeprice2,0,0,($AH110+IF(Smile=TRUE(),VLOOKUP(MAX(-5,Strikeprice2-C110),Volsmile,2),0)),($A110-DateToday)+15,IF(Pricetype2=1,1,0),0))),C110)))</f>
        <v> </v>
      </c>
      <c r="M110" s="318" t="str">
        <f aca="false">IF($A110="N/A"," ",IF(Pricetype2=2,MAX(D110,0),IF(OR(Pricetype2=1,Pricetype2=4),IF(D110=0,0,(EURO(D110,Strikeprice2,0,0,($AH110+IF(Smile=TRUE(),VLOOKUP(MAX(-5,Strikeprice2-D110),Volsmile,2),0)),($A110-DateToday)+15,IF(Pricetype2=1,1,0),0))),D110)))</f>
        <v> </v>
      </c>
      <c r="N110" s="318" t="str">
        <f aca="false">IF($A110="N/A"," ",IF(Pricetype2=2,MAX(E110,0),IF(OR(Pricetype2=1,Pricetype2=4),IF(E110=0,0,(EURO(E110,Strikeprice2,0,0,($AK110+IF(Smile=TRUE(),VLOOKUP(MAX(-5,Strikeprice2-E110),Volsmile,2),0)),($A110-DateToday)+15,IF(Pricetype2=1,1,0),0))),E110)))</f>
        <v> </v>
      </c>
      <c r="O110" s="318" t="str">
        <f aca="false">IF($A110="N/A"," ",IF(Pricetype2=2,MAX(F110,0),IF(OR(Pricetype2=1,Pricetype2=4),IF(F110=0,0,(EURO(F110,Strikeprice2,0,0,($AK110+IF(Smile=TRUE(),VLOOKUP(MAX(-5,Strikeprice2-F110),Volsmile,2),0)),($A110-DateToday)+15,IF(Pricetype2=1,1,0),0))),F110)))</f>
        <v> </v>
      </c>
      <c r="P110" s="318" t="str">
        <f aca="false">IF($A110="N/A"," ",IF(Pricetype2=2,MAX(G110,0),IF(OR(Pricetype2=1,Pricetype2=4),IF(G110=0,0,(EURO(G110,Strikeprice2,0,0,($AK110+IF(Smile=TRUE(),VLOOKUP(MAX(-5,Strikeprice2-G110),Volsmile,2),0)),($A110-DateToday)+15,IF(Pricetype2=1,1,0),0))),G110)))</f>
        <v> </v>
      </c>
      <c r="Q110" s="318" t="str">
        <f aca="false">IF($A110="N/A"," ",IF(Pricetype2=2,MAX(H110,0),IF(OR(Pricetype2=1,Pricetype2=4),IF(H110=0,0,(EURO(H110,Strikeprice2,0,0,($AK110+IF(Smile=TRUE(),VLOOKUP(MAX(-5,Strikeprice2-H110),Volsmile,2),0)),($A110-DateToday)+15,IF(Pricetype2=1,1,0),0))),H110)))</f>
        <v> </v>
      </c>
      <c r="R110" s="318" t="str">
        <f aca="false">IF($A110="N/A"," ",IF(Pricetype2=2,MAX(I110,0),IF(OR(Pricetype2=1,Pricetype2=4),IF(I110=0,0,(EURO(I110,Strikeprice2,0,0,($AK110+IF(Smile=TRUE(),VLOOKUP(MAX(-5,Strikeprice2-I110),Volsmile,2),0)),($A110-DateToday)+15,IF(Pricetype2=1,1,0),0))),I110)))</f>
        <v> </v>
      </c>
      <c r="S110" s="318" t="str">
        <f aca="false">IF($A110="N/A"," ",IF(Pricetype2=2,MAX(J110,0),IF(OR(Pricetype2=1,Pricetype2=4),IF(J110=0,0,(EURO(J110,Strikeprice2,0,0,($AK110+IF(Smile=TRUE(),VLOOKUP(MAX(-5,Strikeprice2-J110),Volsmile,2),0)),($A110-DateToday)+15,IF(Pricetype2=1,1,0),0))),J110)))</f>
        <v> </v>
      </c>
      <c r="T110" s="318" t="str">
        <f aca="false">IF($A110="N/A"," ",IF(Pricetype2=2,MAX(K110,0),IF(OR(Pricetype2=1,Pricetype2=4),IF(K110=0,0,(EURO(K110,Strikeprice2,0,0,($AK110+IF(Smile=TRUE(),VLOOKUP(MAX(-5,Strikeprice2-K110),Volsmile,2),0)),($A110-DateToday)+15,IF(Pricetype2=1,1,0),0))),K110)))</f>
        <v> </v>
      </c>
      <c r="U110" s="319" t="str">
        <f aca="false">IF($A110="N/A"," ",Volume2*$AM110)</f>
        <v> </v>
      </c>
      <c r="V110" s="320" t="str">
        <f aca="false">IF($A110="N/A"," ",$U110*(8*($BQ110))*L110)</f>
        <v> </v>
      </c>
      <c r="W110" s="320" t="str">
        <f aca="false">IF($A110="N/A"," ",$U110*(8*($BQ110))*M110)</f>
        <v> </v>
      </c>
      <c r="X110" s="320" t="str">
        <f aca="false">IF($A110="N/A"," ",$U110*(8*($BQ110))*N110)</f>
        <v> </v>
      </c>
      <c r="Y110" s="320" t="str">
        <f aca="false">IF($A110="N/A"," ",$U110*(8*($BR110))*O110)</f>
        <v> </v>
      </c>
      <c r="Z110" s="320" t="str">
        <f aca="false">IF($A110="N/A"," ",$U110*(8*($BR110))*P110)</f>
        <v> </v>
      </c>
      <c r="AA110" s="320" t="str">
        <f aca="false">IF($A110="N/A"," ",$U110*(8*($BR110))*Q110)</f>
        <v> </v>
      </c>
      <c r="AB110" s="320" t="str">
        <f aca="false">IF($A110="N/A"," ",$U110*(8*($BS110))*R110)</f>
        <v> </v>
      </c>
      <c r="AC110" s="320" t="str">
        <f aca="false">IF($A110="N/A"," ",$U110*(8*($BS110))*S110)</f>
        <v> </v>
      </c>
      <c r="AD110" s="320" t="str">
        <f aca="false">IF($A110="N/A"," ",$U110*(8*($BS110))*T110)</f>
        <v> </v>
      </c>
      <c r="AE110" s="320" t="str">
        <f aca="false">IF($A110="N/A"," ",SUM(V110:AD110))</f>
        <v> </v>
      </c>
      <c r="AF110" s="321" t="str">
        <f aca="false">IF(A110="N/A"," ",(VLOOKUP(A110,PowerVolTable,(IF(VolBMO2=2,7,IF(VolBMO2=1,6,8))),FALSE())))</f>
        <v> </v>
      </c>
      <c r="AG110" s="321" t="str">
        <f aca="false">IF(A110="N/A"," ",(VLOOKUP(A110,IntraPowerVol,(IF(VolBMO2=2,3,IF(VolBMO2=1,2,4))),FALSE())*VLOOKUP(MONTH($A110),Volscale,2)))</f>
        <v> </v>
      </c>
      <c r="AH110" s="321" t="str">
        <f aca="false">IF($A110="N/A"," ",IF(VolType2=1,AG110,AF110))</f>
        <v> </v>
      </c>
      <c r="AI110" s="321" t="str">
        <f aca="false">IF($A110="N/A"," ",(VLOOKUP($A110,OffPwrVolTable,(IF(VolBMO2=2,7,IF(VolBMO2=1,6,8))),FALSE())))</f>
        <v> </v>
      </c>
      <c r="AJ110" s="321" t="str">
        <f aca="false">IF($A110="N/A"," ",(VLOOKUP($A110,OffPwrVolTable,(IF(VolBMO2=2,3,IF(VolBMO2=1,2,4))),FALSE())*VLOOKUP(MONTH($A110),Volscale,2)))</f>
        <v> </v>
      </c>
      <c r="AK110" s="321" t="str">
        <f aca="false">IF($A110="N/A"," ",IF(VolType2=1,AJ110,AI110))</f>
        <v> </v>
      </c>
      <c r="AL110" s="321" t="str">
        <f aca="false">IF($A110="N/A"," ",IF(PV=1,0,'Pricing Inputs2'!R143))</f>
        <v> </v>
      </c>
      <c r="AM110" s="323" t="str">
        <f aca="false">IF($A110="N/A"," ",(1+AL110/2)^(-2*((EOMONTH(A110,0)+20)-DateToday)/365.25))</f>
        <v> </v>
      </c>
      <c r="BQ110" s="0" t="str">
        <f aca="false">IF($A110="N/A"," ",(VLOOKUP($A110,NumberofDaysTable,2)))</f>
        <v> </v>
      </c>
      <c r="BR110" s="0" t="str">
        <f aca="false">IF($A110="N/A"," ",(VLOOKUP($A110,NumberofDaysTable,3)))</f>
        <v> </v>
      </c>
      <c r="BS110" s="0" t="str">
        <f aca="false">IF($A110="N/A"," ",(VLOOKUP($A110,NumberofDaysTable,4)))</f>
        <v> </v>
      </c>
    </row>
    <row r="111" customFormat="false" ht="12.75" hidden="false" customHeight="false" outlineLevel="0" collapsed="false">
      <c r="A111" s="315" t="str">
        <f aca="false">IF(A110="N/A","N/A",IF(EDATE(A110,1)&gt;Inputs!$P$5,"N/A",EDATE(A110,1)))</f>
        <v>N/A</v>
      </c>
      <c r="B111" s="316" t="str">
        <f aca="false">IF(A111="N/A"," ",YEAR(A111))</f>
        <v> </v>
      </c>
      <c r="C111" s="317" t="str">
        <f aca="false">IF($A111="N/A"," ",IF(Dayrun2=10,0,IF(Scaler2=1,(VLOOKUP(A111,ScaledPrice2,4)),(VLOOKUP(A111,ScaledPrice2,2)))))</f>
        <v> </v>
      </c>
      <c r="D111" s="317" t="str">
        <f aca="false">IF(A111="N/A"," ",IF(Dayrun2&gt;=7,0,IF(Scaler2=2,VLOOKUP(A111,ScaledPrice2,2),(VLOOKUP(A111,ScaledPrice2,2))*(2-(VLOOKUP(A111,ScaledPrice2,3))))))</f>
        <v> </v>
      </c>
      <c r="E111" s="317" t="str">
        <f aca="false">IF($A111="N/A"," ",IF(AND(Dayrun2&gt;=4,Dayrun2&lt;=9),0,VLOOKUP($A111,ScaledPrice2,9)))</f>
        <v> </v>
      </c>
      <c r="F111" s="317" t="str">
        <f aca="false">IF(A111="N/A"," ",IF(OR(Dayrun2=2,Dayrun2=3,Dayrun2=5,Dayrun2=6,Dayrun2=8,Dayrun2=9),VLOOKUP(A111,ScaledPrice2,IF(Scaler2=1,6,5)),0))</f>
        <v> </v>
      </c>
      <c r="G111" s="317" t="str">
        <f aca="false">IF(A111="N/A"," ",IF(OR(Dayrun2=2,Dayrun2=3,Dayrun2=5,Dayrun2=6),IF(Scaler2=2,F111,(VLOOKUP(A111,ScaledPrice2,5))*(2-(VLOOKUP(A111,ScaledPrice2,3)))),0))</f>
        <v> </v>
      </c>
      <c r="H111" s="317" t="str">
        <f aca="false">IF($A111="N/A"," ",IF(OR(Dayrun2=2,Dayrun2=3,Dayrun2=10),VLOOKUP($A111,ScaledPrice2,9),0))</f>
        <v> </v>
      </c>
      <c r="I111" s="317" t="str">
        <f aca="false">IF(A111="N/A"," ",IF(OR(Dayrun2=3,Dayrun2=6,Dayrun2=9),(VLOOKUP(A111,ScaledPrice2,IF(Scaler2=2,7,8))),0))</f>
        <v> </v>
      </c>
      <c r="J111" s="317" t="str">
        <f aca="false">IF(A111="N/A"," ",IF(OR(Dayrun2=3,Dayrun2=6),IF(Scaler2=2,I111,(VLOOKUP(A111,ScaledPrice2,7))*(2-(VLOOKUP(A111,ScaledPrice2,3)))),0))</f>
        <v> </v>
      </c>
      <c r="K111" s="317" t="str">
        <f aca="false">IF($A111="N/A"," ",IF(OR(Dayrun2=3,Dayrun2=10),VLOOKUP($A111,ScaledPrice2,9),0))</f>
        <v> </v>
      </c>
      <c r="L111" s="318" t="str">
        <f aca="false">IF($A111="N/A"," ",IF(Pricetype2=2,MAX(C111,0),IF(OR(Pricetype2=1,Pricetype2=4),IF(C111=0,0,(EURO(C111,Strikeprice2,0,0,($AH111+IF(Smile=TRUE(),VLOOKUP(MAX(-5,Strikeprice2-C111),Volsmile,2),0)),($A111-DateToday)+15,IF(Pricetype2=1,1,0),0))),C111)))</f>
        <v> </v>
      </c>
      <c r="M111" s="318" t="str">
        <f aca="false">IF($A111="N/A"," ",IF(Pricetype2=2,MAX(D111,0),IF(OR(Pricetype2=1,Pricetype2=4),IF(D111=0,0,(EURO(D111,Strikeprice2,0,0,($AH111+IF(Smile=TRUE(),VLOOKUP(MAX(-5,Strikeprice2-D111),Volsmile,2),0)),($A111-DateToday)+15,IF(Pricetype2=1,1,0),0))),D111)))</f>
        <v> </v>
      </c>
      <c r="N111" s="318" t="str">
        <f aca="false">IF($A111="N/A"," ",IF(Pricetype2=2,MAX(E111,0),IF(OR(Pricetype2=1,Pricetype2=4),IF(E111=0,0,(EURO(E111,Strikeprice2,0,0,($AK111+IF(Smile=TRUE(),VLOOKUP(MAX(-5,Strikeprice2-E111),Volsmile,2),0)),($A111-DateToday)+15,IF(Pricetype2=1,1,0),0))),E111)))</f>
        <v> </v>
      </c>
      <c r="O111" s="318" t="str">
        <f aca="false">IF($A111="N/A"," ",IF(Pricetype2=2,MAX(F111,0),IF(OR(Pricetype2=1,Pricetype2=4),IF(F111=0,0,(EURO(F111,Strikeprice2,0,0,($AK111+IF(Smile=TRUE(),VLOOKUP(MAX(-5,Strikeprice2-F111),Volsmile,2),0)),($A111-DateToday)+15,IF(Pricetype2=1,1,0),0))),F111)))</f>
        <v> </v>
      </c>
      <c r="P111" s="318" t="str">
        <f aca="false">IF($A111="N/A"," ",IF(Pricetype2=2,MAX(G111,0),IF(OR(Pricetype2=1,Pricetype2=4),IF(G111=0,0,(EURO(G111,Strikeprice2,0,0,($AK111+IF(Smile=TRUE(),VLOOKUP(MAX(-5,Strikeprice2-G111),Volsmile,2),0)),($A111-DateToday)+15,IF(Pricetype2=1,1,0),0))),G111)))</f>
        <v> </v>
      </c>
      <c r="Q111" s="318" t="str">
        <f aca="false">IF($A111="N/A"," ",IF(Pricetype2=2,MAX(H111,0),IF(OR(Pricetype2=1,Pricetype2=4),IF(H111=0,0,(EURO(H111,Strikeprice2,0,0,($AK111+IF(Smile=TRUE(),VLOOKUP(MAX(-5,Strikeprice2-H111),Volsmile,2),0)),($A111-DateToday)+15,IF(Pricetype2=1,1,0),0))),H111)))</f>
        <v> </v>
      </c>
      <c r="R111" s="318" t="str">
        <f aca="false">IF($A111="N/A"," ",IF(Pricetype2=2,MAX(I111,0),IF(OR(Pricetype2=1,Pricetype2=4),IF(I111=0,0,(EURO(I111,Strikeprice2,0,0,($AK111+IF(Smile=TRUE(),VLOOKUP(MAX(-5,Strikeprice2-I111),Volsmile,2),0)),($A111-DateToday)+15,IF(Pricetype2=1,1,0),0))),I111)))</f>
        <v> </v>
      </c>
      <c r="S111" s="318" t="str">
        <f aca="false">IF($A111="N/A"," ",IF(Pricetype2=2,MAX(J111,0),IF(OR(Pricetype2=1,Pricetype2=4),IF(J111=0,0,(EURO(J111,Strikeprice2,0,0,($AK111+IF(Smile=TRUE(),VLOOKUP(MAX(-5,Strikeprice2-J111),Volsmile,2),0)),($A111-DateToday)+15,IF(Pricetype2=1,1,0),0))),J111)))</f>
        <v> </v>
      </c>
      <c r="T111" s="318" t="str">
        <f aca="false">IF($A111="N/A"," ",IF(Pricetype2=2,MAX(K111,0),IF(OR(Pricetype2=1,Pricetype2=4),IF(K111=0,0,(EURO(K111,Strikeprice2,0,0,($AK111+IF(Smile=TRUE(),VLOOKUP(MAX(-5,Strikeprice2-K111),Volsmile,2),0)),($A111-DateToday)+15,IF(Pricetype2=1,1,0),0))),K111)))</f>
        <v> </v>
      </c>
      <c r="U111" s="319" t="str">
        <f aca="false">IF($A111="N/A"," ",Volume2*$AM111)</f>
        <v> </v>
      </c>
      <c r="V111" s="320" t="str">
        <f aca="false">IF($A111="N/A"," ",$U111*(8*($BQ111))*L111)</f>
        <v> </v>
      </c>
      <c r="W111" s="320" t="str">
        <f aca="false">IF($A111="N/A"," ",$U111*(8*($BQ111))*M111)</f>
        <v> </v>
      </c>
      <c r="X111" s="320" t="str">
        <f aca="false">IF($A111="N/A"," ",$U111*(8*($BQ111))*N111)</f>
        <v> </v>
      </c>
      <c r="Y111" s="320" t="str">
        <f aca="false">IF($A111="N/A"," ",$U111*(8*($BR111))*O111)</f>
        <v> </v>
      </c>
      <c r="Z111" s="320" t="str">
        <f aca="false">IF($A111="N/A"," ",$U111*(8*($BR111))*P111)</f>
        <v> </v>
      </c>
      <c r="AA111" s="320" t="str">
        <f aca="false">IF($A111="N/A"," ",$U111*(8*($BR111))*Q111)</f>
        <v> </v>
      </c>
      <c r="AB111" s="320" t="str">
        <f aca="false">IF($A111="N/A"," ",$U111*(8*($BS111))*R111)</f>
        <v> </v>
      </c>
      <c r="AC111" s="320" t="str">
        <f aca="false">IF($A111="N/A"," ",$U111*(8*($BS111))*S111)</f>
        <v> </v>
      </c>
      <c r="AD111" s="320" t="str">
        <f aca="false">IF($A111="N/A"," ",$U111*(8*($BS111))*T111)</f>
        <v> </v>
      </c>
      <c r="AE111" s="320" t="str">
        <f aca="false">IF($A111="N/A"," ",SUM(V111:AD111))</f>
        <v> </v>
      </c>
      <c r="AF111" s="321" t="str">
        <f aca="false">IF(A111="N/A"," ",(VLOOKUP(A111,PowerVolTable,(IF(VolBMO2=2,7,IF(VolBMO2=1,6,8))),FALSE())))</f>
        <v> </v>
      </c>
      <c r="AG111" s="321" t="str">
        <f aca="false">IF(A111="N/A"," ",(VLOOKUP(A111,IntraPowerVol,(IF(VolBMO2=2,3,IF(VolBMO2=1,2,4))),FALSE())*VLOOKUP(MONTH($A111),Volscale,2)))</f>
        <v> </v>
      </c>
      <c r="AH111" s="321" t="str">
        <f aca="false">IF($A111="N/A"," ",IF(VolType2=1,AG111,AF111))</f>
        <v> </v>
      </c>
      <c r="AI111" s="321" t="str">
        <f aca="false">IF($A111="N/A"," ",(VLOOKUP($A111,OffPwrVolTable,(IF(VolBMO2=2,7,IF(VolBMO2=1,6,8))),FALSE())))</f>
        <v> </v>
      </c>
      <c r="AJ111" s="321" t="str">
        <f aca="false">IF($A111="N/A"," ",(VLOOKUP($A111,OffPwrVolTable,(IF(VolBMO2=2,3,IF(VolBMO2=1,2,4))),FALSE())*VLOOKUP(MONTH($A111),Volscale,2)))</f>
        <v> </v>
      </c>
      <c r="AK111" s="321" t="str">
        <f aca="false">IF($A111="N/A"," ",IF(VolType2=1,AJ111,AI111))</f>
        <v> </v>
      </c>
      <c r="AL111" s="321" t="str">
        <f aca="false">IF($A111="N/A"," ",IF(PV=1,0,'Pricing Inputs2'!R144))</f>
        <v> </v>
      </c>
      <c r="AM111" s="323" t="str">
        <f aca="false">IF($A111="N/A"," ",(1+AL111/2)^(-2*((EOMONTH(A111,0)+20)-DateToday)/365.25))</f>
        <v> </v>
      </c>
      <c r="BQ111" s="0" t="str">
        <f aca="false">IF($A111="N/A"," ",(VLOOKUP($A111,NumberofDaysTable,2)))</f>
        <v> </v>
      </c>
      <c r="BR111" s="0" t="str">
        <f aca="false">IF($A111="N/A"," ",(VLOOKUP($A111,NumberofDaysTable,3)))</f>
        <v> </v>
      </c>
      <c r="BS111" s="0" t="str">
        <f aca="false">IF($A111="N/A"," ",(VLOOKUP($A111,NumberofDaysTable,4)))</f>
        <v> </v>
      </c>
    </row>
    <row r="112" customFormat="false" ht="12.75" hidden="false" customHeight="false" outlineLevel="0" collapsed="false">
      <c r="A112" s="315" t="str">
        <f aca="false">IF(A111="N/A","N/A",IF(EDATE(A111,1)&gt;Inputs!$P$5,"N/A",EDATE(A111,1)))</f>
        <v>N/A</v>
      </c>
      <c r="B112" s="316" t="str">
        <f aca="false">IF(A112="N/A"," ",YEAR(A112))</f>
        <v> </v>
      </c>
      <c r="C112" s="317" t="str">
        <f aca="false">IF($A112="N/A"," ",IF(Dayrun2=10,0,IF(Scaler2=1,(VLOOKUP(A112,ScaledPrice2,4)),(VLOOKUP(A112,ScaledPrice2,2)))))</f>
        <v> </v>
      </c>
      <c r="D112" s="317" t="str">
        <f aca="false">IF(A112="N/A"," ",IF(Dayrun2&gt;=7,0,IF(Scaler2=2,VLOOKUP(A112,ScaledPrice2,2),(VLOOKUP(A112,ScaledPrice2,2))*(2-(VLOOKUP(A112,ScaledPrice2,3))))))</f>
        <v> </v>
      </c>
      <c r="E112" s="317" t="str">
        <f aca="false">IF($A112="N/A"," ",IF(AND(Dayrun2&gt;=4,Dayrun2&lt;=9),0,VLOOKUP($A112,ScaledPrice2,9)))</f>
        <v> </v>
      </c>
      <c r="F112" s="317" t="str">
        <f aca="false">IF(A112="N/A"," ",IF(OR(Dayrun2=2,Dayrun2=3,Dayrun2=5,Dayrun2=6,Dayrun2=8,Dayrun2=9),VLOOKUP(A112,ScaledPrice2,IF(Scaler2=1,6,5)),0))</f>
        <v> </v>
      </c>
      <c r="G112" s="317" t="str">
        <f aca="false">IF(A112="N/A"," ",IF(OR(Dayrun2=2,Dayrun2=3,Dayrun2=5,Dayrun2=6),IF(Scaler2=2,F112,(VLOOKUP(A112,ScaledPrice2,5))*(2-(VLOOKUP(A112,ScaledPrice2,3)))),0))</f>
        <v> </v>
      </c>
      <c r="H112" s="317" t="str">
        <f aca="false">IF($A112="N/A"," ",IF(OR(Dayrun2=2,Dayrun2=3,Dayrun2=10),VLOOKUP($A112,ScaledPrice2,9),0))</f>
        <v> </v>
      </c>
      <c r="I112" s="317" t="str">
        <f aca="false">IF(A112="N/A"," ",IF(OR(Dayrun2=3,Dayrun2=6,Dayrun2=9),(VLOOKUP(A112,ScaledPrice2,IF(Scaler2=2,7,8))),0))</f>
        <v> </v>
      </c>
      <c r="J112" s="317" t="str">
        <f aca="false">IF(A112="N/A"," ",IF(OR(Dayrun2=3,Dayrun2=6),IF(Scaler2=2,I112,(VLOOKUP(A112,ScaledPrice2,7))*(2-(VLOOKUP(A112,ScaledPrice2,3)))),0))</f>
        <v> </v>
      </c>
      <c r="K112" s="317" t="str">
        <f aca="false">IF($A112="N/A"," ",IF(OR(Dayrun2=3,Dayrun2=10),VLOOKUP($A112,ScaledPrice2,9),0))</f>
        <v> </v>
      </c>
      <c r="L112" s="318" t="str">
        <f aca="false">IF($A112="N/A"," ",IF(Pricetype2=2,MAX(C112,0),IF(OR(Pricetype2=1,Pricetype2=4),IF(C112=0,0,(EURO(C112,Strikeprice2,0,0,($AH112+IF(Smile=TRUE(),VLOOKUP(MAX(-5,Strikeprice2-C112),Volsmile,2),0)),($A112-DateToday)+15,IF(Pricetype2=1,1,0),0))),C112)))</f>
        <v> </v>
      </c>
      <c r="M112" s="318" t="str">
        <f aca="false">IF($A112="N/A"," ",IF(Pricetype2=2,MAX(D112,0),IF(OR(Pricetype2=1,Pricetype2=4),IF(D112=0,0,(EURO(D112,Strikeprice2,0,0,($AH112+IF(Smile=TRUE(),VLOOKUP(MAX(-5,Strikeprice2-D112),Volsmile,2),0)),($A112-DateToday)+15,IF(Pricetype2=1,1,0),0))),D112)))</f>
        <v> </v>
      </c>
      <c r="N112" s="318" t="str">
        <f aca="false">IF($A112="N/A"," ",IF(Pricetype2=2,MAX(E112,0),IF(OR(Pricetype2=1,Pricetype2=4),IF(E112=0,0,(EURO(E112,Strikeprice2,0,0,($AK112+IF(Smile=TRUE(),VLOOKUP(MAX(-5,Strikeprice2-E112),Volsmile,2),0)),($A112-DateToday)+15,IF(Pricetype2=1,1,0),0))),E112)))</f>
        <v> </v>
      </c>
      <c r="O112" s="318" t="str">
        <f aca="false">IF($A112="N/A"," ",IF(Pricetype2=2,MAX(F112,0),IF(OR(Pricetype2=1,Pricetype2=4),IF(F112=0,0,(EURO(F112,Strikeprice2,0,0,($AK112+IF(Smile=TRUE(),VLOOKUP(MAX(-5,Strikeprice2-F112),Volsmile,2),0)),($A112-DateToday)+15,IF(Pricetype2=1,1,0),0))),F112)))</f>
        <v> </v>
      </c>
      <c r="P112" s="318" t="str">
        <f aca="false">IF($A112="N/A"," ",IF(Pricetype2=2,MAX(G112,0),IF(OR(Pricetype2=1,Pricetype2=4),IF(G112=0,0,(EURO(G112,Strikeprice2,0,0,($AK112+IF(Smile=TRUE(),VLOOKUP(MAX(-5,Strikeprice2-G112),Volsmile,2),0)),($A112-DateToday)+15,IF(Pricetype2=1,1,0),0))),G112)))</f>
        <v> </v>
      </c>
      <c r="Q112" s="318" t="str">
        <f aca="false">IF($A112="N/A"," ",IF(Pricetype2=2,MAX(H112,0),IF(OR(Pricetype2=1,Pricetype2=4),IF(H112=0,0,(EURO(H112,Strikeprice2,0,0,($AK112+IF(Smile=TRUE(),VLOOKUP(MAX(-5,Strikeprice2-H112),Volsmile,2),0)),($A112-DateToday)+15,IF(Pricetype2=1,1,0),0))),H112)))</f>
        <v> </v>
      </c>
      <c r="R112" s="318" t="str">
        <f aca="false">IF($A112="N/A"," ",IF(Pricetype2=2,MAX(I112,0),IF(OR(Pricetype2=1,Pricetype2=4),IF(I112=0,0,(EURO(I112,Strikeprice2,0,0,($AK112+IF(Smile=TRUE(),VLOOKUP(MAX(-5,Strikeprice2-I112),Volsmile,2),0)),($A112-DateToday)+15,IF(Pricetype2=1,1,0),0))),I112)))</f>
        <v> </v>
      </c>
      <c r="S112" s="318" t="str">
        <f aca="false">IF($A112="N/A"," ",IF(Pricetype2=2,MAX(J112,0),IF(OR(Pricetype2=1,Pricetype2=4),IF(J112=0,0,(EURO(J112,Strikeprice2,0,0,($AK112+IF(Smile=TRUE(),VLOOKUP(MAX(-5,Strikeprice2-J112),Volsmile,2),0)),($A112-DateToday)+15,IF(Pricetype2=1,1,0),0))),J112)))</f>
        <v> </v>
      </c>
      <c r="T112" s="318" t="str">
        <f aca="false">IF($A112="N/A"," ",IF(Pricetype2=2,MAX(K112,0),IF(OR(Pricetype2=1,Pricetype2=4),IF(K112=0,0,(EURO(K112,Strikeprice2,0,0,($AK112+IF(Smile=TRUE(),VLOOKUP(MAX(-5,Strikeprice2-K112),Volsmile,2),0)),($A112-DateToday)+15,IF(Pricetype2=1,1,0),0))),K112)))</f>
        <v> </v>
      </c>
      <c r="U112" s="319" t="str">
        <f aca="false">IF($A112="N/A"," ",Volume2*$AM112)</f>
        <v> </v>
      </c>
      <c r="V112" s="320" t="str">
        <f aca="false">IF($A112="N/A"," ",$U112*(8*($BQ112))*L112)</f>
        <v> </v>
      </c>
      <c r="W112" s="320" t="str">
        <f aca="false">IF($A112="N/A"," ",$U112*(8*($BQ112))*M112)</f>
        <v> </v>
      </c>
      <c r="X112" s="320" t="str">
        <f aca="false">IF($A112="N/A"," ",$U112*(8*($BQ112))*N112)</f>
        <v> </v>
      </c>
      <c r="Y112" s="320" t="str">
        <f aca="false">IF($A112="N/A"," ",$U112*(8*($BR112))*O112)</f>
        <v> </v>
      </c>
      <c r="Z112" s="320" t="str">
        <f aca="false">IF($A112="N/A"," ",$U112*(8*($BR112))*P112)</f>
        <v> </v>
      </c>
      <c r="AA112" s="320" t="str">
        <f aca="false">IF($A112="N/A"," ",$U112*(8*($BR112))*Q112)</f>
        <v> </v>
      </c>
      <c r="AB112" s="320" t="str">
        <f aca="false">IF($A112="N/A"," ",$U112*(8*($BS112))*R112)</f>
        <v> </v>
      </c>
      <c r="AC112" s="320" t="str">
        <f aca="false">IF($A112="N/A"," ",$U112*(8*($BS112))*S112)</f>
        <v> </v>
      </c>
      <c r="AD112" s="320" t="str">
        <f aca="false">IF($A112="N/A"," ",$U112*(8*($BS112))*T112)</f>
        <v> </v>
      </c>
      <c r="AE112" s="320" t="str">
        <f aca="false">IF($A112="N/A"," ",SUM(V112:AD112))</f>
        <v> </v>
      </c>
      <c r="AF112" s="321" t="str">
        <f aca="false">IF(A112="N/A"," ",(VLOOKUP(A112,PowerVolTable,(IF(VolBMO2=2,7,IF(VolBMO2=1,6,8))),FALSE())))</f>
        <v> </v>
      </c>
      <c r="AG112" s="321" t="str">
        <f aca="false">IF(A112="N/A"," ",(VLOOKUP(A112,IntraPowerVol,(IF(VolBMO2=2,3,IF(VolBMO2=1,2,4))),FALSE())*VLOOKUP(MONTH($A112),Volscale,2)))</f>
        <v> </v>
      </c>
      <c r="AH112" s="321" t="str">
        <f aca="false">IF($A112="N/A"," ",IF(VolType2=1,AG112,AF112))</f>
        <v> </v>
      </c>
      <c r="AI112" s="321" t="str">
        <f aca="false">IF($A112="N/A"," ",(VLOOKUP($A112,OffPwrVolTable,(IF(VolBMO2=2,7,IF(VolBMO2=1,6,8))),FALSE())))</f>
        <v> </v>
      </c>
      <c r="AJ112" s="321" t="str">
        <f aca="false">IF($A112="N/A"," ",(VLOOKUP($A112,OffPwrVolTable,(IF(VolBMO2=2,3,IF(VolBMO2=1,2,4))),FALSE())*VLOOKUP(MONTH($A112),Volscale,2)))</f>
        <v> </v>
      </c>
      <c r="AK112" s="321" t="str">
        <f aca="false">IF($A112="N/A"," ",IF(VolType2=1,AJ112,AI112))</f>
        <v> </v>
      </c>
      <c r="AL112" s="321" t="str">
        <f aca="false">IF($A112="N/A"," ",IF(PV=1,0,'Pricing Inputs2'!R145))</f>
        <v> </v>
      </c>
      <c r="AM112" s="323" t="str">
        <f aca="false">IF($A112="N/A"," ",(1+AL112/2)^(-2*((EOMONTH(A112,0)+20)-DateToday)/365.25))</f>
        <v> </v>
      </c>
      <c r="BQ112" s="0" t="str">
        <f aca="false">IF($A112="N/A"," ",(VLOOKUP($A112,NumberofDaysTable,2)))</f>
        <v> </v>
      </c>
      <c r="BR112" s="0" t="str">
        <f aca="false">IF($A112="N/A"," ",(VLOOKUP($A112,NumberofDaysTable,3)))</f>
        <v> </v>
      </c>
      <c r="BS112" s="0" t="str">
        <f aca="false">IF($A112="N/A"," ",(VLOOKUP($A112,NumberofDaysTable,4)))</f>
        <v> </v>
      </c>
    </row>
    <row r="113" customFormat="false" ht="12.75" hidden="false" customHeight="false" outlineLevel="0" collapsed="false">
      <c r="A113" s="315" t="str">
        <f aca="false">IF(A112="N/A","N/A",IF(EDATE(A112,1)&gt;Inputs!$P$5,"N/A",EDATE(A112,1)))</f>
        <v>N/A</v>
      </c>
      <c r="B113" s="316" t="str">
        <f aca="false">IF(A113="N/A"," ",YEAR(A113))</f>
        <v> </v>
      </c>
      <c r="C113" s="317" t="str">
        <f aca="false">IF($A113="N/A"," ",IF(Dayrun2=10,0,IF(Scaler2=1,(VLOOKUP(A113,ScaledPrice2,4)),(VLOOKUP(A113,ScaledPrice2,2)))))</f>
        <v> </v>
      </c>
      <c r="D113" s="317" t="str">
        <f aca="false">IF(A113="N/A"," ",IF(Dayrun2&gt;=7,0,IF(Scaler2=2,VLOOKUP(A113,ScaledPrice2,2),(VLOOKUP(A113,ScaledPrice2,2))*(2-(VLOOKUP(A113,ScaledPrice2,3))))))</f>
        <v> </v>
      </c>
      <c r="E113" s="317" t="str">
        <f aca="false">IF($A113="N/A"," ",IF(AND(Dayrun2&gt;=4,Dayrun2&lt;=9),0,VLOOKUP($A113,ScaledPrice2,9)))</f>
        <v> </v>
      </c>
      <c r="F113" s="317" t="str">
        <f aca="false">IF(A113="N/A"," ",IF(OR(Dayrun2=2,Dayrun2=3,Dayrun2=5,Dayrun2=6,Dayrun2=8,Dayrun2=9),VLOOKUP(A113,ScaledPrice2,IF(Scaler2=1,6,5)),0))</f>
        <v> </v>
      </c>
      <c r="G113" s="317" t="str">
        <f aca="false">IF(A113="N/A"," ",IF(OR(Dayrun2=2,Dayrun2=3,Dayrun2=5,Dayrun2=6),IF(Scaler2=2,F113,(VLOOKUP(A113,ScaledPrice2,5))*(2-(VLOOKUP(A113,ScaledPrice2,3)))),0))</f>
        <v> </v>
      </c>
      <c r="H113" s="317" t="str">
        <f aca="false">IF($A113="N/A"," ",IF(OR(Dayrun2=2,Dayrun2=3,Dayrun2=10),VLOOKUP($A113,ScaledPrice2,9),0))</f>
        <v> </v>
      </c>
      <c r="I113" s="317" t="str">
        <f aca="false">IF(A113="N/A"," ",IF(OR(Dayrun2=3,Dayrun2=6,Dayrun2=9),(VLOOKUP(A113,ScaledPrice2,IF(Scaler2=2,7,8))),0))</f>
        <v> </v>
      </c>
      <c r="J113" s="317" t="str">
        <f aca="false">IF(A113="N/A"," ",IF(OR(Dayrun2=3,Dayrun2=6),IF(Scaler2=2,I113,(VLOOKUP(A113,ScaledPrice2,7))*(2-(VLOOKUP(A113,ScaledPrice2,3)))),0))</f>
        <v> </v>
      </c>
      <c r="K113" s="317" t="str">
        <f aca="false">IF($A113="N/A"," ",IF(OR(Dayrun2=3,Dayrun2=10),VLOOKUP($A113,ScaledPrice2,9),0))</f>
        <v> </v>
      </c>
      <c r="L113" s="318" t="str">
        <f aca="false">IF($A113="N/A"," ",IF(Pricetype2=2,MAX(C113,0),IF(OR(Pricetype2=1,Pricetype2=4),IF(C113=0,0,(EURO(C113,Strikeprice2,0,0,($AH113+IF(Smile=TRUE(),VLOOKUP(MAX(-5,Strikeprice2-C113),Volsmile,2),0)),($A113-DateToday)+15,IF(Pricetype2=1,1,0),0))),C113)))</f>
        <v> </v>
      </c>
      <c r="M113" s="318" t="str">
        <f aca="false">IF($A113="N/A"," ",IF(Pricetype2=2,MAX(D113,0),IF(OR(Pricetype2=1,Pricetype2=4),IF(D113=0,0,(EURO(D113,Strikeprice2,0,0,($AH113+IF(Smile=TRUE(),VLOOKUP(MAX(-5,Strikeprice2-D113),Volsmile,2),0)),($A113-DateToday)+15,IF(Pricetype2=1,1,0),0))),D113)))</f>
        <v> </v>
      </c>
      <c r="N113" s="318" t="str">
        <f aca="false">IF($A113="N/A"," ",IF(Pricetype2=2,MAX(E113,0),IF(OR(Pricetype2=1,Pricetype2=4),IF(E113=0,0,(EURO(E113,Strikeprice2,0,0,($AK113+IF(Smile=TRUE(),VLOOKUP(MAX(-5,Strikeprice2-E113),Volsmile,2),0)),($A113-DateToday)+15,IF(Pricetype2=1,1,0),0))),E113)))</f>
        <v> </v>
      </c>
      <c r="O113" s="318" t="str">
        <f aca="false">IF($A113="N/A"," ",IF(Pricetype2=2,MAX(F113,0),IF(OR(Pricetype2=1,Pricetype2=4),IF(F113=0,0,(EURO(F113,Strikeprice2,0,0,($AK113+IF(Smile=TRUE(),VLOOKUP(MAX(-5,Strikeprice2-F113),Volsmile,2),0)),($A113-DateToday)+15,IF(Pricetype2=1,1,0),0))),F113)))</f>
        <v> </v>
      </c>
      <c r="P113" s="318" t="str">
        <f aca="false">IF($A113="N/A"," ",IF(Pricetype2=2,MAX(G113,0),IF(OR(Pricetype2=1,Pricetype2=4),IF(G113=0,0,(EURO(G113,Strikeprice2,0,0,($AK113+IF(Smile=TRUE(),VLOOKUP(MAX(-5,Strikeprice2-G113),Volsmile,2),0)),($A113-DateToday)+15,IF(Pricetype2=1,1,0),0))),G113)))</f>
        <v> </v>
      </c>
      <c r="Q113" s="318" t="str">
        <f aca="false">IF($A113="N/A"," ",IF(Pricetype2=2,MAX(H113,0),IF(OR(Pricetype2=1,Pricetype2=4),IF(H113=0,0,(EURO(H113,Strikeprice2,0,0,($AK113+IF(Smile=TRUE(),VLOOKUP(MAX(-5,Strikeprice2-H113),Volsmile,2),0)),($A113-DateToday)+15,IF(Pricetype2=1,1,0),0))),H113)))</f>
        <v> </v>
      </c>
      <c r="R113" s="318" t="str">
        <f aca="false">IF($A113="N/A"," ",IF(Pricetype2=2,MAX(I113,0),IF(OR(Pricetype2=1,Pricetype2=4),IF(I113=0,0,(EURO(I113,Strikeprice2,0,0,($AK113+IF(Smile=TRUE(),VLOOKUP(MAX(-5,Strikeprice2-I113),Volsmile,2),0)),($A113-DateToday)+15,IF(Pricetype2=1,1,0),0))),I113)))</f>
        <v> </v>
      </c>
      <c r="S113" s="318" t="str">
        <f aca="false">IF($A113="N/A"," ",IF(Pricetype2=2,MAX(J113,0),IF(OR(Pricetype2=1,Pricetype2=4),IF(J113=0,0,(EURO(J113,Strikeprice2,0,0,($AK113+IF(Smile=TRUE(),VLOOKUP(MAX(-5,Strikeprice2-J113),Volsmile,2),0)),($A113-DateToday)+15,IF(Pricetype2=1,1,0),0))),J113)))</f>
        <v> </v>
      </c>
      <c r="T113" s="318" t="str">
        <f aca="false">IF($A113="N/A"," ",IF(Pricetype2=2,MAX(K113,0),IF(OR(Pricetype2=1,Pricetype2=4),IF(K113=0,0,(EURO(K113,Strikeprice2,0,0,($AK113+IF(Smile=TRUE(),VLOOKUP(MAX(-5,Strikeprice2-K113),Volsmile,2),0)),($A113-DateToday)+15,IF(Pricetype2=1,1,0),0))),K113)))</f>
        <v> </v>
      </c>
      <c r="U113" s="319" t="str">
        <f aca="false">IF($A113="N/A"," ",Volume2*$AM113)</f>
        <v> </v>
      </c>
      <c r="V113" s="320" t="str">
        <f aca="false">IF($A113="N/A"," ",$U113*(8*($BQ113))*L113)</f>
        <v> </v>
      </c>
      <c r="W113" s="320" t="str">
        <f aca="false">IF($A113="N/A"," ",$U113*(8*($BQ113))*M113)</f>
        <v> </v>
      </c>
      <c r="X113" s="320" t="str">
        <f aca="false">IF($A113="N/A"," ",$U113*(8*($BQ113))*N113)</f>
        <v> </v>
      </c>
      <c r="Y113" s="320" t="str">
        <f aca="false">IF($A113="N/A"," ",$U113*(8*($BR113))*O113)</f>
        <v> </v>
      </c>
      <c r="Z113" s="320" t="str">
        <f aca="false">IF($A113="N/A"," ",$U113*(8*($BR113))*P113)</f>
        <v> </v>
      </c>
      <c r="AA113" s="320" t="str">
        <f aca="false">IF($A113="N/A"," ",$U113*(8*($BR113))*Q113)</f>
        <v> </v>
      </c>
      <c r="AB113" s="320" t="str">
        <f aca="false">IF($A113="N/A"," ",$U113*(8*($BS113))*R113)</f>
        <v> </v>
      </c>
      <c r="AC113" s="320" t="str">
        <f aca="false">IF($A113="N/A"," ",$U113*(8*($BS113))*S113)</f>
        <v> </v>
      </c>
      <c r="AD113" s="320" t="str">
        <f aca="false">IF($A113="N/A"," ",$U113*(8*($BS113))*T113)</f>
        <v> </v>
      </c>
      <c r="AE113" s="320" t="str">
        <f aca="false">IF($A113="N/A"," ",SUM(V113:AD113))</f>
        <v> </v>
      </c>
      <c r="AF113" s="321" t="str">
        <f aca="false">IF(A113="N/A"," ",(VLOOKUP(A113,PowerVolTable,(IF(VolBMO2=2,7,IF(VolBMO2=1,6,8))),FALSE())))</f>
        <v> </v>
      </c>
      <c r="AG113" s="321" t="str">
        <f aca="false">IF(A113="N/A"," ",(VLOOKUP(A113,IntraPowerVol,(IF(VolBMO2=2,3,IF(VolBMO2=1,2,4))),FALSE())*VLOOKUP(MONTH($A113),Volscale,2)))</f>
        <v> </v>
      </c>
      <c r="AH113" s="321" t="str">
        <f aca="false">IF($A113="N/A"," ",IF(VolType2=1,AG113,AF113))</f>
        <v> </v>
      </c>
      <c r="AI113" s="321" t="str">
        <f aca="false">IF($A113="N/A"," ",(VLOOKUP($A113,OffPwrVolTable,(IF(VolBMO2=2,7,IF(VolBMO2=1,6,8))),FALSE())))</f>
        <v> </v>
      </c>
      <c r="AJ113" s="321" t="str">
        <f aca="false">IF($A113="N/A"," ",(VLOOKUP($A113,OffPwrVolTable,(IF(VolBMO2=2,3,IF(VolBMO2=1,2,4))),FALSE())*VLOOKUP(MONTH($A113),Volscale,2)))</f>
        <v> </v>
      </c>
      <c r="AK113" s="321" t="str">
        <f aca="false">IF($A113="N/A"," ",IF(VolType2=1,AJ113,AI113))</f>
        <v> </v>
      </c>
      <c r="AL113" s="321" t="str">
        <f aca="false">IF($A113="N/A"," ",IF(PV=1,0,'Pricing Inputs2'!R146))</f>
        <v> </v>
      </c>
      <c r="AM113" s="323" t="str">
        <f aca="false">IF($A113="N/A"," ",(1+AL113/2)^(-2*((EOMONTH(A113,0)+20)-DateToday)/365.25))</f>
        <v> </v>
      </c>
      <c r="BQ113" s="0" t="str">
        <f aca="false">IF($A113="N/A"," ",(VLOOKUP($A113,NumberofDaysTable,2)))</f>
        <v> </v>
      </c>
      <c r="BR113" s="0" t="str">
        <f aca="false">IF($A113="N/A"," ",(VLOOKUP($A113,NumberofDaysTable,3)))</f>
        <v> </v>
      </c>
      <c r="BS113" s="0" t="str">
        <f aca="false">IF($A113="N/A"," ",(VLOOKUP($A113,NumberofDaysTable,4)))</f>
        <v> </v>
      </c>
    </row>
    <row r="114" customFormat="false" ht="12.75" hidden="false" customHeight="false" outlineLevel="0" collapsed="false">
      <c r="A114" s="315" t="str">
        <f aca="false">IF(A113="N/A","N/A",IF(EDATE(A113,1)&gt;Inputs!$P$5,"N/A",EDATE(A113,1)))</f>
        <v>N/A</v>
      </c>
      <c r="B114" s="316" t="str">
        <f aca="false">IF(A114="N/A"," ",YEAR(A114))</f>
        <v> </v>
      </c>
      <c r="C114" s="317" t="str">
        <f aca="false">IF($A114="N/A"," ",IF(Dayrun2=10,0,IF(Scaler2=1,(VLOOKUP(A114,ScaledPrice2,4)),(VLOOKUP(A114,ScaledPrice2,2)))))</f>
        <v> </v>
      </c>
      <c r="D114" s="317" t="str">
        <f aca="false">IF(A114="N/A"," ",IF(Dayrun2&gt;=7,0,IF(Scaler2=2,VLOOKUP(A114,ScaledPrice2,2),(VLOOKUP(A114,ScaledPrice2,2))*(2-(VLOOKUP(A114,ScaledPrice2,3))))))</f>
        <v> </v>
      </c>
      <c r="E114" s="317" t="str">
        <f aca="false">IF($A114="N/A"," ",IF(AND(Dayrun2&gt;=4,Dayrun2&lt;=9),0,VLOOKUP($A114,ScaledPrice2,9)))</f>
        <v> </v>
      </c>
      <c r="F114" s="317" t="str">
        <f aca="false">IF(A114="N/A"," ",IF(OR(Dayrun2=2,Dayrun2=3,Dayrun2=5,Dayrun2=6,Dayrun2=8,Dayrun2=9),VLOOKUP(A114,ScaledPrice2,IF(Scaler2=1,6,5)),0))</f>
        <v> </v>
      </c>
      <c r="G114" s="317" t="str">
        <f aca="false">IF(A114="N/A"," ",IF(OR(Dayrun2=2,Dayrun2=3,Dayrun2=5,Dayrun2=6),IF(Scaler2=2,F114,(VLOOKUP(A114,ScaledPrice2,5))*(2-(VLOOKUP(A114,ScaledPrice2,3)))),0))</f>
        <v> </v>
      </c>
      <c r="H114" s="317" t="str">
        <f aca="false">IF($A114="N/A"," ",IF(OR(Dayrun2=2,Dayrun2=3,Dayrun2=10),VLOOKUP($A114,ScaledPrice2,9),0))</f>
        <v> </v>
      </c>
      <c r="I114" s="317" t="str">
        <f aca="false">IF(A114="N/A"," ",IF(OR(Dayrun2=3,Dayrun2=6,Dayrun2=9),(VLOOKUP(A114,ScaledPrice2,IF(Scaler2=2,7,8))),0))</f>
        <v> </v>
      </c>
      <c r="J114" s="317" t="str">
        <f aca="false">IF(A114="N/A"," ",IF(OR(Dayrun2=3,Dayrun2=6),IF(Scaler2=2,I114,(VLOOKUP(A114,ScaledPrice2,7))*(2-(VLOOKUP(A114,ScaledPrice2,3)))),0))</f>
        <v> </v>
      </c>
      <c r="K114" s="317" t="str">
        <f aca="false">IF($A114="N/A"," ",IF(OR(Dayrun2=3,Dayrun2=10),VLOOKUP($A114,ScaledPrice2,9),0))</f>
        <v> </v>
      </c>
      <c r="L114" s="318" t="str">
        <f aca="false">IF($A114="N/A"," ",IF(Pricetype2=2,MAX(C114,0),IF(OR(Pricetype2=1,Pricetype2=4),IF(C114=0,0,(EURO(C114,Strikeprice2,0,0,($AH114+IF(Smile=TRUE(),VLOOKUP(MAX(-5,Strikeprice2-C114),Volsmile,2),0)),($A114-DateToday)+15,IF(Pricetype2=1,1,0),0))),C114)))</f>
        <v> </v>
      </c>
      <c r="M114" s="318" t="str">
        <f aca="false">IF($A114="N/A"," ",IF(Pricetype2=2,MAX(D114,0),IF(OR(Pricetype2=1,Pricetype2=4),IF(D114=0,0,(EURO(D114,Strikeprice2,0,0,($AH114+IF(Smile=TRUE(),VLOOKUP(MAX(-5,Strikeprice2-D114),Volsmile,2),0)),($A114-DateToday)+15,IF(Pricetype2=1,1,0),0))),D114)))</f>
        <v> </v>
      </c>
      <c r="N114" s="318" t="str">
        <f aca="false">IF($A114="N/A"," ",IF(Pricetype2=2,MAX(E114,0),IF(OR(Pricetype2=1,Pricetype2=4),IF(E114=0,0,(EURO(E114,Strikeprice2,0,0,($AK114+IF(Smile=TRUE(),VLOOKUP(MAX(-5,Strikeprice2-E114),Volsmile,2),0)),($A114-DateToday)+15,IF(Pricetype2=1,1,0),0))),E114)))</f>
        <v> </v>
      </c>
      <c r="O114" s="318" t="str">
        <f aca="false">IF($A114="N/A"," ",IF(Pricetype2=2,MAX(F114,0),IF(OR(Pricetype2=1,Pricetype2=4),IF(F114=0,0,(EURO(F114,Strikeprice2,0,0,($AK114+IF(Smile=TRUE(),VLOOKUP(MAX(-5,Strikeprice2-F114),Volsmile,2),0)),($A114-DateToday)+15,IF(Pricetype2=1,1,0),0))),F114)))</f>
        <v> </v>
      </c>
      <c r="P114" s="318" t="str">
        <f aca="false">IF($A114="N/A"," ",IF(Pricetype2=2,MAX(G114,0),IF(OR(Pricetype2=1,Pricetype2=4),IF(G114=0,0,(EURO(G114,Strikeprice2,0,0,($AK114+IF(Smile=TRUE(),VLOOKUP(MAX(-5,Strikeprice2-G114),Volsmile,2),0)),($A114-DateToday)+15,IF(Pricetype2=1,1,0),0))),G114)))</f>
        <v> </v>
      </c>
      <c r="Q114" s="318" t="str">
        <f aca="false">IF($A114="N/A"," ",IF(Pricetype2=2,MAX(H114,0),IF(OR(Pricetype2=1,Pricetype2=4),IF(H114=0,0,(EURO(H114,Strikeprice2,0,0,($AK114+IF(Smile=TRUE(),VLOOKUP(MAX(-5,Strikeprice2-H114),Volsmile,2),0)),($A114-DateToday)+15,IF(Pricetype2=1,1,0),0))),H114)))</f>
        <v> </v>
      </c>
      <c r="R114" s="318" t="str">
        <f aca="false">IF($A114="N/A"," ",IF(Pricetype2=2,MAX(I114,0),IF(OR(Pricetype2=1,Pricetype2=4),IF(I114=0,0,(EURO(I114,Strikeprice2,0,0,($AK114+IF(Smile=TRUE(),VLOOKUP(MAX(-5,Strikeprice2-I114),Volsmile,2),0)),($A114-DateToday)+15,IF(Pricetype2=1,1,0),0))),I114)))</f>
        <v> </v>
      </c>
      <c r="S114" s="318" t="str">
        <f aca="false">IF($A114="N/A"," ",IF(Pricetype2=2,MAX(J114,0),IF(OR(Pricetype2=1,Pricetype2=4),IF(J114=0,0,(EURO(J114,Strikeprice2,0,0,($AK114+IF(Smile=TRUE(),VLOOKUP(MAX(-5,Strikeprice2-J114),Volsmile,2),0)),($A114-DateToday)+15,IF(Pricetype2=1,1,0),0))),J114)))</f>
        <v> </v>
      </c>
      <c r="T114" s="318" t="str">
        <f aca="false">IF($A114="N/A"," ",IF(Pricetype2=2,MAX(K114,0),IF(OR(Pricetype2=1,Pricetype2=4),IF(K114=0,0,(EURO(K114,Strikeprice2,0,0,($AK114+IF(Smile=TRUE(),VLOOKUP(MAX(-5,Strikeprice2-K114),Volsmile,2),0)),($A114-DateToday)+15,IF(Pricetype2=1,1,0),0))),K114)))</f>
        <v> </v>
      </c>
      <c r="U114" s="319" t="str">
        <f aca="false">IF($A114="N/A"," ",Volume2*$AM114)</f>
        <v> </v>
      </c>
      <c r="V114" s="320" t="str">
        <f aca="false">IF($A114="N/A"," ",$U114*(8*($BQ114))*L114)</f>
        <v> </v>
      </c>
      <c r="W114" s="320" t="str">
        <f aca="false">IF($A114="N/A"," ",$U114*(8*($BQ114))*M114)</f>
        <v> </v>
      </c>
      <c r="X114" s="320" t="str">
        <f aca="false">IF($A114="N/A"," ",$U114*(8*($BQ114))*N114)</f>
        <v> </v>
      </c>
      <c r="Y114" s="320" t="str">
        <f aca="false">IF($A114="N/A"," ",$U114*(8*($BR114))*O114)</f>
        <v> </v>
      </c>
      <c r="Z114" s="320" t="str">
        <f aca="false">IF($A114="N/A"," ",$U114*(8*($BR114))*P114)</f>
        <v> </v>
      </c>
      <c r="AA114" s="320" t="str">
        <f aca="false">IF($A114="N/A"," ",$U114*(8*($BR114))*Q114)</f>
        <v> </v>
      </c>
      <c r="AB114" s="320" t="str">
        <f aca="false">IF($A114="N/A"," ",$U114*(8*($BS114))*R114)</f>
        <v> </v>
      </c>
      <c r="AC114" s="320" t="str">
        <f aca="false">IF($A114="N/A"," ",$U114*(8*($BS114))*S114)</f>
        <v> </v>
      </c>
      <c r="AD114" s="320" t="str">
        <f aca="false">IF($A114="N/A"," ",$U114*(8*($BS114))*T114)</f>
        <v> </v>
      </c>
      <c r="AE114" s="320" t="str">
        <f aca="false">IF($A114="N/A"," ",SUM(V114:AD114))</f>
        <v> </v>
      </c>
      <c r="AF114" s="321" t="str">
        <f aca="false">IF(A114="N/A"," ",(VLOOKUP(A114,PowerVolTable,(IF(VolBMO2=2,7,IF(VolBMO2=1,6,8))),FALSE())))</f>
        <v> </v>
      </c>
      <c r="AG114" s="321" t="str">
        <f aca="false">IF(A114="N/A"," ",(VLOOKUP(A114,IntraPowerVol,(IF(VolBMO2=2,3,IF(VolBMO2=1,2,4))),FALSE())*VLOOKUP(MONTH($A114),Volscale,2)))</f>
        <v> </v>
      </c>
      <c r="AH114" s="321" t="str">
        <f aca="false">IF($A114="N/A"," ",IF(VolType2=1,AG114,AF114))</f>
        <v> </v>
      </c>
      <c r="AI114" s="321" t="str">
        <f aca="false">IF($A114="N/A"," ",(VLOOKUP($A114,OffPwrVolTable,(IF(VolBMO2=2,7,IF(VolBMO2=1,6,8))),FALSE())))</f>
        <v> </v>
      </c>
      <c r="AJ114" s="321" t="str">
        <f aca="false">IF($A114="N/A"," ",(VLOOKUP($A114,OffPwrVolTable,(IF(VolBMO2=2,3,IF(VolBMO2=1,2,4))),FALSE())*VLOOKUP(MONTH($A114),Volscale,2)))</f>
        <v> </v>
      </c>
      <c r="AK114" s="321" t="str">
        <f aca="false">IF($A114="N/A"," ",IF(VolType2=1,AJ114,AI114))</f>
        <v> </v>
      </c>
      <c r="AL114" s="321" t="str">
        <f aca="false">IF($A114="N/A"," ",IF(PV=1,0,'Pricing Inputs2'!R147))</f>
        <v> </v>
      </c>
      <c r="AM114" s="323" t="str">
        <f aca="false">IF($A114="N/A"," ",(1+AL114/2)^(-2*((EOMONTH(A114,0)+20)-DateToday)/365.25))</f>
        <v> </v>
      </c>
      <c r="BQ114" s="0" t="str">
        <f aca="false">IF($A114="N/A"," ",(VLOOKUP($A114,NumberofDaysTable,2)))</f>
        <v> </v>
      </c>
      <c r="BR114" s="0" t="str">
        <f aca="false">IF($A114="N/A"," ",(VLOOKUP($A114,NumberofDaysTable,3)))</f>
        <v> </v>
      </c>
      <c r="BS114" s="0" t="str">
        <f aca="false">IF($A114="N/A"," ",(VLOOKUP($A114,NumberofDaysTable,4)))</f>
        <v> </v>
      </c>
    </row>
    <row r="115" customFormat="false" ht="12.75" hidden="false" customHeight="false" outlineLevel="0" collapsed="false">
      <c r="A115" s="315" t="str">
        <f aca="false">IF(A114="N/A","N/A",IF(EDATE(A114,1)&gt;Inputs!$P$5,"N/A",EDATE(A114,1)))</f>
        <v>N/A</v>
      </c>
      <c r="B115" s="316" t="str">
        <f aca="false">IF(A115="N/A"," ",YEAR(A115))</f>
        <v> </v>
      </c>
      <c r="C115" s="317" t="str">
        <f aca="false">IF($A115="N/A"," ",IF(Dayrun2=10,0,IF(Scaler2=1,(VLOOKUP(A115,ScaledPrice2,4)),(VLOOKUP(A115,ScaledPrice2,2)))))</f>
        <v> </v>
      </c>
      <c r="D115" s="317" t="str">
        <f aca="false">IF(A115="N/A"," ",IF(Dayrun2&gt;=7,0,IF(Scaler2=2,VLOOKUP(A115,ScaledPrice2,2),(VLOOKUP(A115,ScaledPrice2,2))*(2-(VLOOKUP(A115,ScaledPrice2,3))))))</f>
        <v> </v>
      </c>
      <c r="E115" s="317" t="str">
        <f aca="false">IF($A115="N/A"," ",IF(AND(Dayrun2&gt;=4,Dayrun2&lt;=9),0,VLOOKUP($A115,ScaledPrice2,9)))</f>
        <v> </v>
      </c>
      <c r="F115" s="317" t="str">
        <f aca="false">IF(A115="N/A"," ",IF(OR(Dayrun2=2,Dayrun2=3,Dayrun2=5,Dayrun2=6,Dayrun2=8,Dayrun2=9),VLOOKUP(A115,ScaledPrice2,IF(Scaler2=1,6,5)),0))</f>
        <v> </v>
      </c>
      <c r="G115" s="317" t="str">
        <f aca="false">IF(A115="N/A"," ",IF(OR(Dayrun2=2,Dayrun2=3,Dayrun2=5,Dayrun2=6),IF(Scaler2=2,F115,(VLOOKUP(A115,ScaledPrice2,5))*(2-(VLOOKUP(A115,ScaledPrice2,3)))),0))</f>
        <v> </v>
      </c>
      <c r="H115" s="317" t="str">
        <f aca="false">IF($A115="N/A"," ",IF(OR(Dayrun2=2,Dayrun2=3,Dayrun2=10),VLOOKUP($A115,ScaledPrice2,9),0))</f>
        <v> </v>
      </c>
      <c r="I115" s="317" t="str">
        <f aca="false">IF(A115="N/A"," ",IF(OR(Dayrun2=3,Dayrun2=6,Dayrun2=9),(VLOOKUP(A115,ScaledPrice2,IF(Scaler2=2,7,8))),0))</f>
        <v> </v>
      </c>
      <c r="J115" s="317" t="str">
        <f aca="false">IF(A115="N/A"," ",IF(OR(Dayrun2=3,Dayrun2=6),IF(Scaler2=2,I115,(VLOOKUP(A115,ScaledPrice2,7))*(2-(VLOOKUP(A115,ScaledPrice2,3)))),0))</f>
        <v> </v>
      </c>
      <c r="K115" s="317" t="str">
        <f aca="false">IF($A115="N/A"," ",IF(OR(Dayrun2=3,Dayrun2=10),VLOOKUP($A115,ScaledPrice2,9),0))</f>
        <v> </v>
      </c>
      <c r="L115" s="318" t="str">
        <f aca="false">IF($A115="N/A"," ",IF(Pricetype2=2,MAX(C115,0),IF(OR(Pricetype2=1,Pricetype2=4),IF(C115=0,0,(EURO(C115,Strikeprice2,0,0,($AH115+IF(Smile=TRUE(),VLOOKUP(MAX(-5,Strikeprice2-C115),Volsmile,2),0)),($A115-DateToday)+15,IF(Pricetype2=1,1,0),0))),C115)))</f>
        <v> </v>
      </c>
      <c r="M115" s="318" t="str">
        <f aca="false">IF($A115="N/A"," ",IF(Pricetype2=2,MAX(D115,0),IF(OR(Pricetype2=1,Pricetype2=4),IF(D115=0,0,(EURO(D115,Strikeprice2,0,0,($AH115+IF(Smile=TRUE(),VLOOKUP(MAX(-5,Strikeprice2-D115),Volsmile,2),0)),($A115-DateToday)+15,IF(Pricetype2=1,1,0),0))),D115)))</f>
        <v> </v>
      </c>
      <c r="N115" s="318" t="str">
        <f aca="false">IF($A115="N/A"," ",IF(Pricetype2=2,MAX(E115,0),IF(OR(Pricetype2=1,Pricetype2=4),IF(E115=0,0,(EURO(E115,Strikeprice2,0,0,($AK115+IF(Smile=TRUE(),VLOOKUP(MAX(-5,Strikeprice2-E115),Volsmile,2),0)),($A115-DateToday)+15,IF(Pricetype2=1,1,0),0))),E115)))</f>
        <v> </v>
      </c>
      <c r="O115" s="318" t="str">
        <f aca="false">IF($A115="N/A"," ",IF(Pricetype2=2,MAX(F115,0),IF(OR(Pricetype2=1,Pricetype2=4),IF(F115=0,0,(EURO(F115,Strikeprice2,0,0,($AK115+IF(Smile=TRUE(),VLOOKUP(MAX(-5,Strikeprice2-F115),Volsmile,2),0)),($A115-DateToday)+15,IF(Pricetype2=1,1,0),0))),F115)))</f>
        <v> </v>
      </c>
      <c r="P115" s="318" t="str">
        <f aca="false">IF($A115="N/A"," ",IF(Pricetype2=2,MAX(G115,0),IF(OR(Pricetype2=1,Pricetype2=4),IF(G115=0,0,(EURO(G115,Strikeprice2,0,0,($AK115+IF(Smile=TRUE(),VLOOKUP(MAX(-5,Strikeprice2-G115),Volsmile,2),0)),($A115-DateToday)+15,IF(Pricetype2=1,1,0),0))),G115)))</f>
        <v> </v>
      </c>
      <c r="Q115" s="318" t="str">
        <f aca="false">IF($A115="N/A"," ",IF(Pricetype2=2,MAX(H115,0),IF(OR(Pricetype2=1,Pricetype2=4),IF(H115=0,0,(EURO(H115,Strikeprice2,0,0,($AK115+IF(Smile=TRUE(),VLOOKUP(MAX(-5,Strikeprice2-H115),Volsmile,2),0)),($A115-DateToday)+15,IF(Pricetype2=1,1,0),0))),H115)))</f>
        <v> </v>
      </c>
      <c r="R115" s="318" t="str">
        <f aca="false">IF($A115="N/A"," ",IF(Pricetype2=2,MAX(I115,0),IF(OR(Pricetype2=1,Pricetype2=4),IF(I115=0,0,(EURO(I115,Strikeprice2,0,0,($AK115+IF(Smile=TRUE(),VLOOKUP(MAX(-5,Strikeprice2-I115),Volsmile,2),0)),($A115-DateToday)+15,IF(Pricetype2=1,1,0),0))),I115)))</f>
        <v> </v>
      </c>
      <c r="S115" s="318" t="str">
        <f aca="false">IF($A115="N/A"," ",IF(Pricetype2=2,MAX(J115,0),IF(OR(Pricetype2=1,Pricetype2=4),IF(J115=0,0,(EURO(J115,Strikeprice2,0,0,($AK115+IF(Smile=TRUE(),VLOOKUP(MAX(-5,Strikeprice2-J115),Volsmile,2),0)),($A115-DateToday)+15,IF(Pricetype2=1,1,0),0))),J115)))</f>
        <v> </v>
      </c>
      <c r="T115" s="318" t="str">
        <f aca="false">IF($A115="N/A"," ",IF(Pricetype2=2,MAX(K115,0),IF(OR(Pricetype2=1,Pricetype2=4),IF(K115=0,0,(EURO(K115,Strikeprice2,0,0,($AK115+IF(Smile=TRUE(),VLOOKUP(MAX(-5,Strikeprice2-K115),Volsmile,2),0)),($A115-DateToday)+15,IF(Pricetype2=1,1,0),0))),K115)))</f>
        <v> </v>
      </c>
      <c r="U115" s="319" t="str">
        <f aca="false">IF($A115="N/A"," ",Volume2*$AM115)</f>
        <v> </v>
      </c>
      <c r="V115" s="320" t="str">
        <f aca="false">IF($A115="N/A"," ",$U115*(8*($BQ115))*L115)</f>
        <v> </v>
      </c>
      <c r="W115" s="320" t="str">
        <f aca="false">IF($A115="N/A"," ",$U115*(8*($BQ115))*M115)</f>
        <v> </v>
      </c>
      <c r="X115" s="320" t="str">
        <f aca="false">IF($A115="N/A"," ",$U115*(8*($BQ115))*N115)</f>
        <v> </v>
      </c>
      <c r="Y115" s="320" t="str">
        <f aca="false">IF($A115="N/A"," ",$U115*(8*($BR115))*O115)</f>
        <v> </v>
      </c>
      <c r="Z115" s="320" t="str">
        <f aca="false">IF($A115="N/A"," ",$U115*(8*($BR115))*P115)</f>
        <v> </v>
      </c>
      <c r="AA115" s="320" t="str">
        <f aca="false">IF($A115="N/A"," ",$U115*(8*($BR115))*Q115)</f>
        <v> </v>
      </c>
      <c r="AB115" s="320" t="str">
        <f aca="false">IF($A115="N/A"," ",$U115*(8*($BS115))*R115)</f>
        <v> </v>
      </c>
      <c r="AC115" s="320" t="str">
        <f aca="false">IF($A115="N/A"," ",$U115*(8*($BS115))*S115)</f>
        <v> </v>
      </c>
      <c r="AD115" s="320" t="str">
        <f aca="false">IF($A115="N/A"," ",$U115*(8*($BS115))*T115)</f>
        <v> </v>
      </c>
      <c r="AE115" s="320" t="str">
        <f aca="false">IF($A115="N/A"," ",SUM(V115:AD115))</f>
        <v> </v>
      </c>
      <c r="AF115" s="321" t="str">
        <f aca="false">IF(A115="N/A"," ",(VLOOKUP(A115,PowerVolTable,(IF(VolBMO2=2,7,IF(VolBMO2=1,6,8))),FALSE())))</f>
        <v> </v>
      </c>
      <c r="AG115" s="321" t="str">
        <f aca="false">IF(A115="N/A"," ",(VLOOKUP(A115,IntraPowerVol,(IF(VolBMO2=2,3,IF(VolBMO2=1,2,4))),FALSE())*VLOOKUP(MONTH($A115),Volscale,2)))</f>
        <v> </v>
      </c>
      <c r="AH115" s="321" t="str">
        <f aca="false">IF($A115="N/A"," ",IF(VolType2=1,AG115,AF115))</f>
        <v> </v>
      </c>
      <c r="AI115" s="321" t="str">
        <f aca="false">IF($A115="N/A"," ",(VLOOKUP($A115,OffPwrVolTable,(IF(VolBMO2=2,7,IF(VolBMO2=1,6,8))),FALSE())))</f>
        <v> </v>
      </c>
      <c r="AJ115" s="321" t="str">
        <f aca="false">IF($A115="N/A"," ",(VLOOKUP($A115,OffPwrVolTable,(IF(VolBMO2=2,3,IF(VolBMO2=1,2,4))),FALSE())*VLOOKUP(MONTH($A115),Volscale,2)))</f>
        <v> </v>
      </c>
      <c r="AK115" s="321" t="str">
        <f aca="false">IF($A115="N/A"," ",IF(VolType2=1,AJ115,AI115))</f>
        <v> </v>
      </c>
      <c r="AL115" s="321" t="str">
        <f aca="false">IF($A115="N/A"," ",IF(PV=1,0,'Pricing Inputs2'!R148))</f>
        <v> </v>
      </c>
      <c r="AM115" s="323" t="str">
        <f aca="false">IF($A115="N/A"," ",(1+AL115/2)^(-2*((EOMONTH(A115,0)+20)-DateToday)/365.25))</f>
        <v> </v>
      </c>
      <c r="BQ115" s="0" t="str">
        <f aca="false">IF($A115="N/A"," ",(VLOOKUP($A115,NumberofDaysTable,2)))</f>
        <v> </v>
      </c>
      <c r="BR115" s="0" t="str">
        <f aca="false">IF($A115="N/A"," ",(VLOOKUP($A115,NumberofDaysTable,3)))</f>
        <v> </v>
      </c>
      <c r="BS115" s="0" t="str">
        <f aca="false">IF($A115="N/A"," ",(VLOOKUP($A115,NumberofDaysTable,4)))</f>
        <v> </v>
      </c>
    </row>
    <row r="116" customFormat="false" ht="12.75" hidden="false" customHeight="false" outlineLevel="0" collapsed="false">
      <c r="A116" s="315" t="str">
        <f aca="false">IF(A115="N/A","N/A",IF(EDATE(A115,1)&gt;Inputs!$P$5,"N/A",EDATE(A115,1)))</f>
        <v>N/A</v>
      </c>
      <c r="B116" s="316" t="str">
        <f aca="false">IF(A116="N/A"," ",YEAR(A116))</f>
        <v> </v>
      </c>
      <c r="C116" s="317" t="str">
        <f aca="false">IF($A116="N/A"," ",IF(Dayrun2=10,0,IF(Scaler2=1,(VLOOKUP(A116,ScaledPrice2,4)),(VLOOKUP(A116,ScaledPrice2,2)))))</f>
        <v> </v>
      </c>
      <c r="D116" s="317" t="str">
        <f aca="false">IF(A116="N/A"," ",IF(Dayrun2&gt;=7,0,IF(Scaler2=2,VLOOKUP(A116,ScaledPrice2,2),(VLOOKUP(A116,ScaledPrice2,2))*(2-(VLOOKUP(A116,ScaledPrice2,3))))))</f>
        <v> </v>
      </c>
      <c r="E116" s="317" t="str">
        <f aca="false">IF($A116="N/A"," ",IF(AND(Dayrun2&gt;=4,Dayrun2&lt;=9),0,VLOOKUP($A116,ScaledPrice2,9)))</f>
        <v> </v>
      </c>
      <c r="F116" s="317" t="str">
        <f aca="false">IF(A116="N/A"," ",IF(OR(Dayrun2=2,Dayrun2=3,Dayrun2=5,Dayrun2=6,Dayrun2=8,Dayrun2=9),VLOOKUP(A116,ScaledPrice2,IF(Scaler2=1,6,5)),0))</f>
        <v> </v>
      </c>
      <c r="G116" s="317" t="str">
        <f aca="false">IF(A116="N/A"," ",IF(OR(Dayrun2=2,Dayrun2=3,Dayrun2=5,Dayrun2=6),IF(Scaler2=2,F116,(VLOOKUP(A116,ScaledPrice2,5))*(2-(VLOOKUP(A116,ScaledPrice2,3)))),0))</f>
        <v> </v>
      </c>
      <c r="H116" s="317" t="str">
        <f aca="false">IF($A116="N/A"," ",IF(OR(Dayrun2=2,Dayrun2=3,Dayrun2=10),VLOOKUP($A116,ScaledPrice2,9),0))</f>
        <v> </v>
      </c>
      <c r="I116" s="317" t="str">
        <f aca="false">IF(A116="N/A"," ",IF(OR(Dayrun2=3,Dayrun2=6,Dayrun2=9),(VLOOKUP(A116,ScaledPrice2,IF(Scaler2=2,7,8))),0))</f>
        <v> </v>
      </c>
      <c r="J116" s="317" t="str">
        <f aca="false">IF(A116="N/A"," ",IF(OR(Dayrun2=3,Dayrun2=6),IF(Scaler2=2,I116,(VLOOKUP(A116,ScaledPrice2,7))*(2-(VLOOKUP(A116,ScaledPrice2,3)))),0))</f>
        <v> </v>
      </c>
      <c r="K116" s="317" t="str">
        <f aca="false">IF($A116="N/A"," ",IF(OR(Dayrun2=3,Dayrun2=10),VLOOKUP($A116,ScaledPrice2,9),0))</f>
        <v> </v>
      </c>
      <c r="L116" s="318" t="str">
        <f aca="false">IF($A116="N/A"," ",IF(Pricetype2=2,MAX(C116,0),IF(OR(Pricetype2=1,Pricetype2=4),IF(C116=0,0,(EURO(C116,Strikeprice2,0,0,($AH116+IF(Smile=TRUE(),VLOOKUP(MAX(-5,Strikeprice2-C116),Volsmile,2),0)),($A116-DateToday)+15,IF(Pricetype2=1,1,0),0))),C116)))</f>
        <v> </v>
      </c>
      <c r="M116" s="318" t="str">
        <f aca="false">IF($A116="N/A"," ",IF(Pricetype2=2,MAX(D116,0),IF(OR(Pricetype2=1,Pricetype2=4),IF(D116=0,0,(EURO(D116,Strikeprice2,0,0,($AH116+IF(Smile=TRUE(),VLOOKUP(MAX(-5,Strikeprice2-D116),Volsmile,2),0)),($A116-DateToday)+15,IF(Pricetype2=1,1,0),0))),D116)))</f>
        <v> </v>
      </c>
      <c r="N116" s="318" t="str">
        <f aca="false">IF($A116="N/A"," ",IF(Pricetype2=2,MAX(E116,0),IF(OR(Pricetype2=1,Pricetype2=4),IF(E116=0,0,(EURO(E116,Strikeprice2,0,0,($AK116+IF(Smile=TRUE(),VLOOKUP(MAX(-5,Strikeprice2-E116),Volsmile,2),0)),($A116-DateToday)+15,IF(Pricetype2=1,1,0),0))),E116)))</f>
        <v> </v>
      </c>
      <c r="O116" s="318" t="str">
        <f aca="false">IF($A116="N/A"," ",IF(Pricetype2=2,MAX(F116,0),IF(OR(Pricetype2=1,Pricetype2=4),IF(F116=0,0,(EURO(F116,Strikeprice2,0,0,($AK116+IF(Smile=TRUE(),VLOOKUP(MAX(-5,Strikeprice2-F116),Volsmile,2),0)),($A116-DateToday)+15,IF(Pricetype2=1,1,0),0))),F116)))</f>
        <v> </v>
      </c>
      <c r="P116" s="318" t="str">
        <f aca="false">IF($A116="N/A"," ",IF(Pricetype2=2,MAX(G116,0),IF(OR(Pricetype2=1,Pricetype2=4),IF(G116=0,0,(EURO(G116,Strikeprice2,0,0,($AK116+IF(Smile=TRUE(),VLOOKUP(MAX(-5,Strikeprice2-G116),Volsmile,2),0)),($A116-DateToday)+15,IF(Pricetype2=1,1,0),0))),G116)))</f>
        <v> </v>
      </c>
      <c r="Q116" s="318" t="str">
        <f aca="false">IF($A116="N/A"," ",IF(Pricetype2=2,MAX(H116,0),IF(OR(Pricetype2=1,Pricetype2=4),IF(H116=0,0,(EURO(H116,Strikeprice2,0,0,($AK116+IF(Smile=TRUE(),VLOOKUP(MAX(-5,Strikeprice2-H116),Volsmile,2),0)),($A116-DateToday)+15,IF(Pricetype2=1,1,0),0))),H116)))</f>
        <v> </v>
      </c>
      <c r="R116" s="318" t="str">
        <f aca="false">IF($A116="N/A"," ",IF(Pricetype2=2,MAX(I116,0),IF(OR(Pricetype2=1,Pricetype2=4),IF(I116=0,0,(EURO(I116,Strikeprice2,0,0,($AK116+IF(Smile=TRUE(),VLOOKUP(MAX(-5,Strikeprice2-I116),Volsmile,2),0)),($A116-DateToday)+15,IF(Pricetype2=1,1,0),0))),I116)))</f>
        <v> </v>
      </c>
      <c r="S116" s="318" t="str">
        <f aca="false">IF($A116="N/A"," ",IF(Pricetype2=2,MAX(J116,0),IF(OR(Pricetype2=1,Pricetype2=4),IF(J116=0,0,(EURO(J116,Strikeprice2,0,0,($AK116+IF(Smile=TRUE(),VLOOKUP(MAX(-5,Strikeprice2-J116),Volsmile,2),0)),($A116-DateToday)+15,IF(Pricetype2=1,1,0),0))),J116)))</f>
        <v> </v>
      </c>
      <c r="T116" s="318" t="str">
        <f aca="false">IF($A116="N/A"," ",IF(Pricetype2=2,MAX(K116,0),IF(OR(Pricetype2=1,Pricetype2=4),IF(K116=0,0,(EURO(K116,Strikeprice2,0,0,($AK116+IF(Smile=TRUE(),VLOOKUP(MAX(-5,Strikeprice2-K116),Volsmile,2),0)),($A116-DateToday)+15,IF(Pricetype2=1,1,0),0))),K116)))</f>
        <v> </v>
      </c>
      <c r="U116" s="319" t="str">
        <f aca="false">IF($A116="N/A"," ",Volume2*$AM116)</f>
        <v> </v>
      </c>
      <c r="V116" s="320" t="str">
        <f aca="false">IF($A116="N/A"," ",$U116*(8*($BQ116))*L116)</f>
        <v> </v>
      </c>
      <c r="W116" s="320" t="str">
        <f aca="false">IF($A116="N/A"," ",$U116*(8*($BQ116))*M116)</f>
        <v> </v>
      </c>
      <c r="X116" s="320" t="str">
        <f aca="false">IF($A116="N/A"," ",$U116*(8*($BQ116))*N116)</f>
        <v> </v>
      </c>
      <c r="Y116" s="320" t="str">
        <f aca="false">IF($A116="N/A"," ",$U116*(8*($BR116))*O116)</f>
        <v> </v>
      </c>
      <c r="Z116" s="320" t="str">
        <f aca="false">IF($A116="N/A"," ",$U116*(8*($BR116))*P116)</f>
        <v> </v>
      </c>
      <c r="AA116" s="320" t="str">
        <f aca="false">IF($A116="N/A"," ",$U116*(8*($BR116))*Q116)</f>
        <v> </v>
      </c>
      <c r="AB116" s="320" t="str">
        <f aca="false">IF($A116="N/A"," ",$U116*(8*($BS116))*R116)</f>
        <v> </v>
      </c>
      <c r="AC116" s="320" t="str">
        <f aca="false">IF($A116="N/A"," ",$U116*(8*($BS116))*S116)</f>
        <v> </v>
      </c>
      <c r="AD116" s="320" t="str">
        <f aca="false">IF($A116="N/A"," ",$U116*(8*($BS116))*T116)</f>
        <v> </v>
      </c>
      <c r="AE116" s="320" t="str">
        <f aca="false">IF($A116="N/A"," ",SUM(V116:AD116))</f>
        <v> </v>
      </c>
      <c r="AF116" s="321" t="str">
        <f aca="false">IF(A116="N/A"," ",(VLOOKUP(A116,PowerVolTable,(IF(VolBMO2=2,7,IF(VolBMO2=1,6,8))),FALSE())))</f>
        <v> </v>
      </c>
      <c r="AG116" s="321" t="str">
        <f aca="false">IF(A116="N/A"," ",(VLOOKUP(A116,IntraPowerVol,(IF(VolBMO2=2,3,IF(VolBMO2=1,2,4))),FALSE())*VLOOKUP(MONTH($A116),Volscale,2)))</f>
        <v> </v>
      </c>
      <c r="AH116" s="321" t="str">
        <f aca="false">IF($A116="N/A"," ",IF(VolType2=1,AG116,AF116))</f>
        <v> </v>
      </c>
      <c r="AI116" s="321" t="str">
        <f aca="false">IF($A116="N/A"," ",(VLOOKUP($A116,OffPwrVolTable,(IF(VolBMO2=2,7,IF(VolBMO2=1,6,8))),FALSE())))</f>
        <v> </v>
      </c>
      <c r="AJ116" s="321" t="str">
        <f aca="false">IF($A116="N/A"," ",(VLOOKUP($A116,OffPwrVolTable,(IF(VolBMO2=2,3,IF(VolBMO2=1,2,4))),FALSE())*VLOOKUP(MONTH($A116),Volscale,2)))</f>
        <v> </v>
      </c>
      <c r="AK116" s="321" t="str">
        <f aca="false">IF($A116="N/A"," ",IF(VolType2=1,AJ116,AI116))</f>
        <v> </v>
      </c>
      <c r="AL116" s="321" t="str">
        <f aca="false">IF($A116="N/A"," ",IF(PV=1,0,'Pricing Inputs2'!R149))</f>
        <v> </v>
      </c>
      <c r="AM116" s="323" t="str">
        <f aca="false">IF($A116="N/A"," ",(1+AL116/2)^(-2*((EOMONTH(A116,0)+20)-DateToday)/365.25))</f>
        <v> </v>
      </c>
      <c r="BQ116" s="0" t="str">
        <f aca="false">IF($A116="N/A"," ",(VLOOKUP($A116,NumberofDaysTable,2)))</f>
        <v> </v>
      </c>
      <c r="BR116" s="0" t="str">
        <f aca="false">IF($A116="N/A"," ",(VLOOKUP($A116,NumberofDaysTable,3)))</f>
        <v> </v>
      </c>
      <c r="BS116" s="0" t="str">
        <f aca="false">IF($A116="N/A"," ",(VLOOKUP($A116,NumberofDaysTable,4)))</f>
        <v> </v>
      </c>
    </row>
    <row r="117" customFormat="false" ht="12.75" hidden="false" customHeight="false" outlineLevel="0" collapsed="false">
      <c r="A117" s="315" t="str">
        <f aca="false">IF(A116="N/A","N/A",IF(EDATE(A116,1)&gt;Inputs!$P$5,"N/A",EDATE(A116,1)))</f>
        <v>N/A</v>
      </c>
      <c r="B117" s="316" t="str">
        <f aca="false">IF(A117="N/A"," ",YEAR(A117))</f>
        <v> </v>
      </c>
      <c r="C117" s="317" t="str">
        <f aca="false">IF($A117="N/A"," ",IF(Dayrun2=10,0,IF(Scaler2=1,(VLOOKUP(A117,ScaledPrice2,4)),(VLOOKUP(A117,ScaledPrice2,2)))))</f>
        <v> </v>
      </c>
      <c r="D117" s="317" t="str">
        <f aca="false">IF(A117="N/A"," ",IF(Dayrun2&gt;=7,0,IF(Scaler2=2,VLOOKUP(A117,ScaledPrice2,2),(VLOOKUP(A117,ScaledPrice2,2))*(2-(VLOOKUP(A117,ScaledPrice2,3))))))</f>
        <v> </v>
      </c>
      <c r="E117" s="317" t="str">
        <f aca="false">IF($A117="N/A"," ",IF(AND(Dayrun2&gt;=4,Dayrun2&lt;=9),0,VLOOKUP($A117,ScaledPrice2,9)))</f>
        <v> </v>
      </c>
      <c r="F117" s="317" t="str">
        <f aca="false">IF(A117="N/A"," ",IF(OR(Dayrun2=2,Dayrun2=3,Dayrun2=5,Dayrun2=6,Dayrun2=8,Dayrun2=9),VLOOKUP(A117,ScaledPrice2,IF(Scaler2=1,6,5)),0))</f>
        <v> </v>
      </c>
      <c r="G117" s="317" t="str">
        <f aca="false">IF(A117="N/A"," ",IF(OR(Dayrun2=2,Dayrun2=3,Dayrun2=5,Dayrun2=6),IF(Scaler2=2,F117,(VLOOKUP(A117,ScaledPrice2,5))*(2-(VLOOKUP(A117,ScaledPrice2,3)))),0))</f>
        <v> </v>
      </c>
      <c r="H117" s="317" t="str">
        <f aca="false">IF($A117="N/A"," ",IF(OR(Dayrun2=2,Dayrun2=3,Dayrun2=10),VLOOKUP($A117,ScaledPrice2,9),0))</f>
        <v> </v>
      </c>
      <c r="I117" s="317" t="str">
        <f aca="false">IF(A117="N/A"," ",IF(OR(Dayrun2=3,Dayrun2=6,Dayrun2=9),(VLOOKUP(A117,ScaledPrice2,IF(Scaler2=2,7,8))),0))</f>
        <v> </v>
      </c>
      <c r="J117" s="317" t="str">
        <f aca="false">IF(A117="N/A"," ",IF(OR(Dayrun2=3,Dayrun2=6),IF(Scaler2=2,I117,(VLOOKUP(A117,ScaledPrice2,7))*(2-(VLOOKUP(A117,ScaledPrice2,3)))),0))</f>
        <v> </v>
      </c>
      <c r="K117" s="317" t="str">
        <f aca="false">IF($A117="N/A"," ",IF(OR(Dayrun2=3,Dayrun2=10),VLOOKUP($A117,ScaledPrice2,9),0))</f>
        <v> </v>
      </c>
      <c r="L117" s="318" t="str">
        <f aca="false">IF($A117="N/A"," ",IF(Pricetype2=2,MAX(C117,0),IF(OR(Pricetype2=1,Pricetype2=4),IF(C117=0,0,(EURO(C117,Strikeprice2,0,0,($AH117+IF(Smile=TRUE(),VLOOKUP(MAX(-5,Strikeprice2-C117),Volsmile,2),0)),($A117-DateToday)+15,IF(Pricetype2=1,1,0),0))),C117)))</f>
        <v> </v>
      </c>
      <c r="M117" s="318" t="str">
        <f aca="false">IF($A117="N/A"," ",IF(Pricetype2=2,MAX(D117,0),IF(OR(Pricetype2=1,Pricetype2=4),IF(D117=0,0,(EURO(D117,Strikeprice2,0,0,($AH117+IF(Smile=TRUE(),VLOOKUP(MAX(-5,Strikeprice2-D117),Volsmile,2),0)),($A117-DateToday)+15,IF(Pricetype2=1,1,0),0))),D117)))</f>
        <v> </v>
      </c>
      <c r="N117" s="318" t="str">
        <f aca="false">IF($A117="N/A"," ",IF(Pricetype2=2,MAX(E117,0),IF(OR(Pricetype2=1,Pricetype2=4),IF(E117=0,0,(EURO(E117,Strikeprice2,0,0,($AK117+IF(Smile=TRUE(),VLOOKUP(MAX(-5,Strikeprice2-E117),Volsmile,2),0)),($A117-DateToday)+15,IF(Pricetype2=1,1,0),0))),E117)))</f>
        <v> </v>
      </c>
      <c r="O117" s="318" t="str">
        <f aca="false">IF($A117="N/A"," ",IF(Pricetype2=2,MAX(F117,0),IF(OR(Pricetype2=1,Pricetype2=4),IF(F117=0,0,(EURO(F117,Strikeprice2,0,0,($AK117+IF(Smile=TRUE(),VLOOKUP(MAX(-5,Strikeprice2-F117),Volsmile,2),0)),($A117-DateToday)+15,IF(Pricetype2=1,1,0),0))),F117)))</f>
        <v> </v>
      </c>
      <c r="P117" s="318" t="str">
        <f aca="false">IF($A117="N/A"," ",IF(Pricetype2=2,MAX(G117,0),IF(OR(Pricetype2=1,Pricetype2=4),IF(G117=0,0,(EURO(G117,Strikeprice2,0,0,($AK117+IF(Smile=TRUE(),VLOOKUP(MAX(-5,Strikeprice2-G117),Volsmile,2),0)),($A117-DateToday)+15,IF(Pricetype2=1,1,0),0))),G117)))</f>
        <v> </v>
      </c>
      <c r="Q117" s="318" t="str">
        <f aca="false">IF($A117="N/A"," ",IF(Pricetype2=2,MAX(H117,0),IF(OR(Pricetype2=1,Pricetype2=4),IF(H117=0,0,(EURO(H117,Strikeprice2,0,0,($AK117+IF(Smile=TRUE(),VLOOKUP(MAX(-5,Strikeprice2-H117),Volsmile,2),0)),($A117-DateToday)+15,IF(Pricetype2=1,1,0),0))),H117)))</f>
        <v> </v>
      </c>
      <c r="R117" s="318" t="str">
        <f aca="false">IF($A117="N/A"," ",IF(Pricetype2=2,MAX(I117,0),IF(OR(Pricetype2=1,Pricetype2=4),IF(I117=0,0,(EURO(I117,Strikeprice2,0,0,($AK117+IF(Smile=TRUE(),VLOOKUP(MAX(-5,Strikeprice2-I117),Volsmile,2),0)),($A117-DateToday)+15,IF(Pricetype2=1,1,0),0))),I117)))</f>
        <v> </v>
      </c>
      <c r="S117" s="318" t="str">
        <f aca="false">IF($A117="N/A"," ",IF(Pricetype2=2,MAX(J117,0),IF(OR(Pricetype2=1,Pricetype2=4),IF(J117=0,0,(EURO(J117,Strikeprice2,0,0,($AK117+IF(Smile=TRUE(),VLOOKUP(MAX(-5,Strikeprice2-J117),Volsmile,2),0)),($A117-DateToday)+15,IF(Pricetype2=1,1,0),0))),J117)))</f>
        <v> </v>
      </c>
      <c r="T117" s="318" t="str">
        <f aca="false">IF($A117="N/A"," ",IF(Pricetype2=2,MAX(K117,0),IF(OR(Pricetype2=1,Pricetype2=4),IF(K117=0,0,(EURO(K117,Strikeprice2,0,0,($AK117+IF(Smile=TRUE(),VLOOKUP(MAX(-5,Strikeprice2-K117),Volsmile,2),0)),($A117-DateToday)+15,IF(Pricetype2=1,1,0),0))),K117)))</f>
        <v> </v>
      </c>
      <c r="U117" s="319" t="str">
        <f aca="false">IF($A117="N/A"," ",Volume2*$AM117)</f>
        <v> </v>
      </c>
      <c r="V117" s="320" t="str">
        <f aca="false">IF($A117="N/A"," ",$U117*(8*($BQ117))*L117)</f>
        <v> </v>
      </c>
      <c r="W117" s="320" t="str">
        <f aca="false">IF($A117="N/A"," ",$U117*(8*($BQ117))*M117)</f>
        <v> </v>
      </c>
      <c r="X117" s="320" t="str">
        <f aca="false">IF($A117="N/A"," ",$U117*(8*($BQ117))*N117)</f>
        <v> </v>
      </c>
      <c r="Y117" s="320" t="str">
        <f aca="false">IF($A117="N/A"," ",$U117*(8*($BR117))*O117)</f>
        <v> </v>
      </c>
      <c r="Z117" s="320" t="str">
        <f aca="false">IF($A117="N/A"," ",$U117*(8*($BR117))*P117)</f>
        <v> </v>
      </c>
      <c r="AA117" s="320" t="str">
        <f aca="false">IF($A117="N/A"," ",$U117*(8*($BR117))*Q117)</f>
        <v> </v>
      </c>
      <c r="AB117" s="320" t="str">
        <f aca="false">IF($A117="N/A"," ",$U117*(8*($BS117))*R117)</f>
        <v> </v>
      </c>
      <c r="AC117" s="320" t="str">
        <f aca="false">IF($A117="N/A"," ",$U117*(8*($BS117))*S117)</f>
        <v> </v>
      </c>
      <c r="AD117" s="320" t="str">
        <f aca="false">IF($A117="N/A"," ",$U117*(8*($BS117))*T117)</f>
        <v> </v>
      </c>
      <c r="AE117" s="320" t="str">
        <f aca="false">IF($A117="N/A"," ",SUM(V117:AD117))</f>
        <v> </v>
      </c>
      <c r="AF117" s="321" t="str">
        <f aca="false">IF(A117="N/A"," ",(VLOOKUP(A117,PowerVolTable,(IF(VolBMO2=2,7,IF(VolBMO2=1,6,8))),FALSE())))</f>
        <v> </v>
      </c>
      <c r="AG117" s="321" t="str">
        <f aca="false">IF(A117="N/A"," ",(VLOOKUP(A117,IntraPowerVol,(IF(VolBMO2=2,3,IF(VolBMO2=1,2,4))),FALSE())*VLOOKUP(MONTH($A117),Volscale,2)))</f>
        <v> </v>
      </c>
      <c r="AH117" s="321" t="str">
        <f aca="false">IF($A117="N/A"," ",IF(VolType2=1,AG117,AF117))</f>
        <v> </v>
      </c>
      <c r="AI117" s="321" t="str">
        <f aca="false">IF($A117="N/A"," ",(VLOOKUP($A117,OffPwrVolTable,(IF(VolBMO2=2,7,IF(VolBMO2=1,6,8))),FALSE())))</f>
        <v> </v>
      </c>
      <c r="AJ117" s="321" t="str">
        <f aca="false">IF($A117="N/A"," ",(VLOOKUP($A117,OffPwrVolTable,(IF(VolBMO2=2,3,IF(VolBMO2=1,2,4))),FALSE())*VLOOKUP(MONTH($A117),Volscale,2)))</f>
        <v> </v>
      </c>
      <c r="AK117" s="321" t="str">
        <f aca="false">IF($A117="N/A"," ",IF(VolType2=1,AJ117,AI117))</f>
        <v> </v>
      </c>
      <c r="AL117" s="321" t="str">
        <f aca="false">IF($A117="N/A"," ",IF(PV=1,0,'Pricing Inputs2'!R150))</f>
        <v> </v>
      </c>
      <c r="AM117" s="323" t="str">
        <f aca="false">IF($A117="N/A"," ",(1+AL117/2)^(-2*((EOMONTH(A117,0)+20)-DateToday)/365.25))</f>
        <v> </v>
      </c>
      <c r="BQ117" s="0" t="str">
        <f aca="false">IF($A117="N/A"," ",(VLOOKUP($A117,NumberofDaysTable,2)))</f>
        <v> </v>
      </c>
      <c r="BR117" s="0" t="str">
        <f aca="false">IF($A117="N/A"," ",(VLOOKUP($A117,NumberofDaysTable,3)))</f>
        <v> </v>
      </c>
      <c r="BS117" s="0" t="str">
        <f aca="false">IF($A117="N/A"," ",(VLOOKUP($A117,NumberofDaysTable,4)))</f>
        <v> </v>
      </c>
    </row>
    <row r="118" customFormat="false" ht="12.75" hidden="false" customHeight="false" outlineLevel="0" collapsed="false">
      <c r="A118" s="315" t="str">
        <f aca="false">IF(A117="N/A","N/A",IF(EDATE(A117,1)&gt;Inputs!$P$5,"N/A",EDATE(A117,1)))</f>
        <v>N/A</v>
      </c>
      <c r="B118" s="316" t="str">
        <f aca="false">IF(A118="N/A"," ",YEAR(A118))</f>
        <v> </v>
      </c>
      <c r="C118" s="317" t="str">
        <f aca="false">IF($A118="N/A"," ",IF(Dayrun2=10,0,IF(Scaler2=1,(VLOOKUP(A118,ScaledPrice2,4)),(VLOOKUP(A118,ScaledPrice2,2)))))</f>
        <v> </v>
      </c>
      <c r="D118" s="317" t="str">
        <f aca="false">IF(A118="N/A"," ",IF(Dayrun2&gt;=7,0,IF(Scaler2=2,VLOOKUP(A118,ScaledPrice2,2),(VLOOKUP(A118,ScaledPrice2,2))*(2-(VLOOKUP(A118,ScaledPrice2,3))))))</f>
        <v> </v>
      </c>
      <c r="E118" s="317" t="str">
        <f aca="false">IF($A118="N/A"," ",IF(AND(Dayrun2&gt;=4,Dayrun2&lt;=9),0,VLOOKUP($A118,ScaledPrice2,9)))</f>
        <v> </v>
      </c>
      <c r="F118" s="317" t="str">
        <f aca="false">IF(A118="N/A"," ",IF(OR(Dayrun2=2,Dayrun2=3,Dayrun2=5,Dayrun2=6,Dayrun2=8,Dayrun2=9),VLOOKUP(A118,ScaledPrice2,IF(Scaler2=1,6,5)),0))</f>
        <v> </v>
      </c>
      <c r="G118" s="317" t="str">
        <f aca="false">IF(A118="N/A"," ",IF(OR(Dayrun2=2,Dayrun2=3,Dayrun2=5,Dayrun2=6),IF(Scaler2=2,F118,(VLOOKUP(A118,ScaledPrice2,5))*(2-(VLOOKUP(A118,ScaledPrice2,3)))),0))</f>
        <v> </v>
      </c>
      <c r="H118" s="317" t="str">
        <f aca="false">IF($A118="N/A"," ",IF(OR(Dayrun2=2,Dayrun2=3,Dayrun2=10),VLOOKUP($A118,ScaledPrice2,9),0))</f>
        <v> </v>
      </c>
      <c r="I118" s="317" t="str">
        <f aca="false">IF(A118="N/A"," ",IF(OR(Dayrun2=3,Dayrun2=6,Dayrun2=9),(VLOOKUP(A118,ScaledPrice2,IF(Scaler2=2,7,8))),0))</f>
        <v> </v>
      </c>
      <c r="J118" s="317" t="str">
        <f aca="false">IF(A118="N/A"," ",IF(OR(Dayrun2=3,Dayrun2=6),IF(Scaler2=2,I118,(VLOOKUP(A118,ScaledPrice2,7))*(2-(VLOOKUP(A118,ScaledPrice2,3)))),0))</f>
        <v> </v>
      </c>
      <c r="K118" s="317" t="str">
        <f aca="false">IF($A118="N/A"," ",IF(OR(Dayrun2=3,Dayrun2=10),VLOOKUP($A118,ScaledPrice2,9),0))</f>
        <v> </v>
      </c>
      <c r="L118" s="318" t="str">
        <f aca="false">IF($A118="N/A"," ",IF(Pricetype2=2,MAX(C118,0),IF(OR(Pricetype2=1,Pricetype2=4),IF(C118=0,0,(EURO(C118,Strikeprice2,0,0,($AH118+IF(Smile=TRUE(),VLOOKUP(MAX(-5,Strikeprice2-C118),Volsmile,2),0)),($A118-DateToday)+15,IF(Pricetype2=1,1,0),0))),C118)))</f>
        <v> </v>
      </c>
      <c r="M118" s="318" t="str">
        <f aca="false">IF($A118="N/A"," ",IF(Pricetype2=2,MAX(D118,0),IF(OR(Pricetype2=1,Pricetype2=4),IF(D118=0,0,(EURO(D118,Strikeprice2,0,0,($AH118+IF(Smile=TRUE(),VLOOKUP(MAX(-5,Strikeprice2-D118),Volsmile,2),0)),($A118-DateToday)+15,IF(Pricetype2=1,1,0),0))),D118)))</f>
        <v> </v>
      </c>
      <c r="N118" s="318" t="str">
        <f aca="false">IF($A118="N/A"," ",IF(Pricetype2=2,MAX(E118,0),IF(OR(Pricetype2=1,Pricetype2=4),IF(E118=0,0,(EURO(E118,Strikeprice2,0,0,($AK118+IF(Smile=TRUE(),VLOOKUP(MAX(-5,Strikeprice2-E118),Volsmile,2),0)),($A118-DateToday)+15,IF(Pricetype2=1,1,0),0))),E118)))</f>
        <v> </v>
      </c>
      <c r="O118" s="318" t="str">
        <f aca="false">IF($A118="N/A"," ",IF(Pricetype2=2,MAX(F118,0),IF(OR(Pricetype2=1,Pricetype2=4),IF(F118=0,0,(EURO(F118,Strikeprice2,0,0,($AK118+IF(Smile=TRUE(),VLOOKUP(MAX(-5,Strikeprice2-F118),Volsmile,2),0)),($A118-DateToday)+15,IF(Pricetype2=1,1,0),0))),F118)))</f>
        <v> </v>
      </c>
      <c r="P118" s="318" t="str">
        <f aca="false">IF($A118="N/A"," ",IF(Pricetype2=2,MAX(G118,0),IF(OR(Pricetype2=1,Pricetype2=4),IF(G118=0,0,(EURO(G118,Strikeprice2,0,0,($AK118+IF(Smile=TRUE(),VLOOKUP(MAX(-5,Strikeprice2-G118),Volsmile,2),0)),($A118-DateToday)+15,IF(Pricetype2=1,1,0),0))),G118)))</f>
        <v> </v>
      </c>
      <c r="Q118" s="318" t="str">
        <f aca="false">IF($A118="N/A"," ",IF(Pricetype2=2,MAX(H118,0),IF(OR(Pricetype2=1,Pricetype2=4),IF(H118=0,0,(EURO(H118,Strikeprice2,0,0,($AK118+IF(Smile=TRUE(),VLOOKUP(MAX(-5,Strikeprice2-H118),Volsmile,2),0)),($A118-DateToday)+15,IF(Pricetype2=1,1,0),0))),H118)))</f>
        <v> </v>
      </c>
      <c r="R118" s="318" t="str">
        <f aca="false">IF($A118="N/A"," ",IF(Pricetype2=2,MAX(I118,0),IF(OR(Pricetype2=1,Pricetype2=4),IF(I118=0,0,(EURO(I118,Strikeprice2,0,0,($AK118+IF(Smile=TRUE(),VLOOKUP(MAX(-5,Strikeprice2-I118),Volsmile,2),0)),($A118-DateToday)+15,IF(Pricetype2=1,1,0),0))),I118)))</f>
        <v> </v>
      </c>
      <c r="S118" s="318" t="str">
        <f aca="false">IF($A118="N/A"," ",IF(Pricetype2=2,MAX(J118,0),IF(OR(Pricetype2=1,Pricetype2=4),IF(J118=0,0,(EURO(J118,Strikeprice2,0,0,($AK118+IF(Smile=TRUE(),VLOOKUP(MAX(-5,Strikeprice2-J118),Volsmile,2),0)),($A118-DateToday)+15,IF(Pricetype2=1,1,0),0))),J118)))</f>
        <v> </v>
      </c>
      <c r="T118" s="318" t="str">
        <f aca="false">IF($A118="N/A"," ",IF(Pricetype2=2,MAX(K118,0),IF(OR(Pricetype2=1,Pricetype2=4),IF(K118=0,0,(EURO(K118,Strikeprice2,0,0,($AK118+IF(Smile=TRUE(),VLOOKUP(MAX(-5,Strikeprice2-K118),Volsmile,2),0)),($A118-DateToday)+15,IF(Pricetype2=1,1,0),0))),K118)))</f>
        <v> </v>
      </c>
      <c r="U118" s="319" t="str">
        <f aca="false">IF($A118="N/A"," ",Volume2*$AM118)</f>
        <v> </v>
      </c>
      <c r="V118" s="320" t="str">
        <f aca="false">IF($A118="N/A"," ",$U118*(8*($BQ118))*L118)</f>
        <v> </v>
      </c>
      <c r="W118" s="320" t="str">
        <f aca="false">IF($A118="N/A"," ",$U118*(8*($BQ118))*M118)</f>
        <v> </v>
      </c>
      <c r="X118" s="320" t="str">
        <f aca="false">IF($A118="N/A"," ",$U118*(8*($BQ118))*N118)</f>
        <v> </v>
      </c>
      <c r="Y118" s="320" t="str">
        <f aca="false">IF($A118="N/A"," ",$U118*(8*($BR118))*O118)</f>
        <v> </v>
      </c>
      <c r="Z118" s="320" t="str">
        <f aca="false">IF($A118="N/A"," ",$U118*(8*($BR118))*P118)</f>
        <v> </v>
      </c>
      <c r="AA118" s="320" t="str">
        <f aca="false">IF($A118="N/A"," ",$U118*(8*($BR118))*Q118)</f>
        <v> </v>
      </c>
      <c r="AB118" s="320" t="str">
        <f aca="false">IF($A118="N/A"," ",$U118*(8*($BS118))*R118)</f>
        <v> </v>
      </c>
      <c r="AC118" s="320" t="str">
        <f aca="false">IF($A118="N/A"," ",$U118*(8*($BS118))*S118)</f>
        <v> </v>
      </c>
      <c r="AD118" s="320" t="str">
        <f aca="false">IF($A118="N/A"," ",$U118*(8*($BS118))*T118)</f>
        <v> </v>
      </c>
      <c r="AE118" s="320" t="str">
        <f aca="false">IF($A118="N/A"," ",SUM(V118:AD118))</f>
        <v> </v>
      </c>
      <c r="AF118" s="321" t="str">
        <f aca="false">IF(A118="N/A"," ",(VLOOKUP(A118,PowerVolTable,(IF(VolBMO2=2,7,IF(VolBMO2=1,6,8))),FALSE())))</f>
        <v> </v>
      </c>
      <c r="AG118" s="321" t="str">
        <f aca="false">IF(A118="N/A"," ",(VLOOKUP(A118,IntraPowerVol,(IF(VolBMO2=2,3,IF(VolBMO2=1,2,4))),FALSE())*VLOOKUP(MONTH($A118),Volscale,2)))</f>
        <v> </v>
      </c>
      <c r="AH118" s="321" t="str">
        <f aca="false">IF($A118="N/A"," ",IF(VolType2=1,AG118,AF118))</f>
        <v> </v>
      </c>
      <c r="AI118" s="321" t="str">
        <f aca="false">IF($A118="N/A"," ",(VLOOKUP($A118,OffPwrVolTable,(IF(VolBMO2=2,7,IF(VolBMO2=1,6,8))),FALSE())))</f>
        <v> </v>
      </c>
      <c r="AJ118" s="321" t="str">
        <f aca="false">IF($A118="N/A"," ",(VLOOKUP($A118,OffPwrVolTable,(IF(VolBMO2=2,3,IF(VolBMO2=1,2,4))),FALSE())*VLOOKUP(MONTH($A118),Volscale,2)))</f>
        <v> </v>
      </c>
      <c r="AK118" s="321" t="str">
        <f aca="false">IF($A118="N/A"," ",IF(VolType2=1,AJ118,AI118))</f>
        <v> </v>
      </c>
      <c r="AL118" s="321" t="str">
        <f aca="false">IF($A118="N/A"," ",IF(PV=1,0,'Pricing Inputs2'!R151))</f>
        <v> </v>
      </c>
      <c r="AM118" s="323" t="str">
        <f aca="false">IF($A118="N/A"," ",(1+AL118/2)^(-2*((EOMONTH(A118,0)+20)-DateToday)/365.25))</f>
        <v> </v>
      </c>
      <c r="BQ118" s="0" t="str">
        <f aca="false">IF($A118="N/A"," ",(VLOOKUP($A118,NumberofDaysTable,2)))</f>
        <v> </v>
      </c>
      <c r="BR118" s="0" t="str">
        <f aca="false">IF($A118="N/A"," ",(VLOOKUP($A118,NumberofDaysTable,3)))</f>
        <v> </v>
      </c>
      <c r="BS118" s="0" t="str">
        <f aca="false">IF($A118="N/A"," ",(VLOOKUP($A118,NumberofDaysTable,4)))</f>
        <v> </v>
      </c>
    </row>
    <row r="119" customFormat="false" ht="12.75" hidden="false" customHeight="false" outlineLevel="0" collapsed="false">
      <c r="A119" s="315" t="str">
        <f aca="false">IF(A118="N/A","N/A",IF(EDATE(A118,1)&gt;Inputs!$P$5,"N/A",EDATE(A118,1)))</f>
        <v>N/A</v>
      </c>
      <c r="B119" s="316" t="str">
        <f aca="false">IF(A119="N/A"," ",YEAR(A119))</f>
        <v> </v>
      </c>
      <c r="C119" s="317" t="str">
        <f aca="false">IF($A119="N/A"," ",IF(Dayrun2=10,0,IF(Scaler2=1,(VLOOKUP(A119,ScaledPrice2,4)),(VLOOKUP(A119,ScaledPrice2,2)))))</f>
        <v> </v>
      </c>
      <c r="D119" s="317" t="str">
        <f aca="false">IF(A119="N/A"," ",IF(Dayrun2&gt;=7,0,IF(Scaler2=2,VLOOKUP(A119,ScaledPrice2,2),(VLOOKUP(A119,ScaledPrice2,2))*(2-(VLOOKUP(A119,ScaledPrice2,3))))))</f>
        <v> </v>
      </c>
      <c r="E119" s="317" t="str">
        <f aca="false">IF($A119="N/A"," ",IF(AND(Dayrun2&gt;=4,Dayrun2&lt;=9),0,VLOOKUP($A119,ScaledPrice2,9)))</f>
        <v> </v>
      </c>
      <c r="F119" s="317" t="str">
        <f aca="false">IF(A119="N/A"," ",IF(OR(Dayrun2=2,Dayrun2=3,Dayrun2=5,Dayrun2=6,Dayrun2=8,Dayrun2=9),VLOOKUP(A119,ScaledPrice2,IF(Scaler2=1,6,5)),0))</f>
        <v> </v>
      </c>
      <c r="G119" s="317" t="str">
        <f aca="false">IF(A119="N/A"," ",IF(OR(Dayrun2=2,Dayrun2=3,Dayrun2=5,Dayrun2=6),IF(Scaler2=2,F119,(VLOOKUP(A119,ScaledPrice2,5))*(2-(VLOOKUP(A119,ScaledPrice2,3)))),0))</f>
        <v> </v>
      </c>
      <c r="H119" s="317" t="str">
        <f aca="false">IF($A119="N/A"," ",IF(OR(Dayrun2=2,Dayrun2=3,Dayrun2=10),VLOOKUP($A119,ScaledPrice2,9),0))</f>
        <v> </v>
      </c>
      <c r="I119" s="317" t="str">
        <f aca="false">IF(A119="N/A"," ",IF(OR(Dayrun2=3,Dayrun2=6,Dayrun2=9),(VLOOKUP(A119,ScaledPrice2,IF(Scaler2=2,7,8))),0))</f>
        <v> </v>
      </c>
      <c r="J119" s="317" t="str">
        <f aca="false">IF(A119="N/A"," ",IF(OR(Dayrun2=3,Dayrun2=6),IF(Scaler2=2,I119,(VLOOKUP(A119,ScaledPrice2,7))*(2-(VLOOKUP(A119,ScaledPrice2,3)))),0))</f>
        <v> </v>
      </c>
      <c r="K119" s="317" t="str">
        <f aca="false">IF($A119="N/A"," ",IF(OR(Dayrun2=3,Dayrun2=10),VLOOKUP($A119,ScaledPrice2,9),0))</f>
        <v> </v>
      </c>
      <c r="L119" s="318" t="str">
        <f aca="false">IF($A119="N/A"," ",IF(Pricetype2=2,MAX(C119,0),IF(OR(Pricetype2=1,Pricetype2=4),IF(C119=0,0,(EURO(C119,Strikeprice2,0,0,($AH119+IF(Smile=TRUE(),VLOOKUP(MAX(-5,Strikeprice2-C119),Volsmile,2),0)),($A119-DateToday)+15,IF(Pricetype2=1,1,0),0))),C119)))</f>
        <v> </v>
      </c>
      <c r="M119" s="318" t="str">
        <f aca="false">IF($A119="N/A"," ",IF(Pricetype2=2,MAX(D119,0),IF(OR(Pricetype2=1,Pricetype2=4),IF(D119=0,0,(EURO(D119,Strikeprice2,0,0,($AH119+IF(Smile=TRUE(),VLOOKUP(MAX(-5,Strikeprice2-D119),Volsmile,2),0)),($A119-DateToday)+15,IF(Pricetype2=1,1,0),0))),D119)))</f>
        <v> </v>
      </c>
      <c r="N119" s="318" t="str">
        <f aca="false">IF($A119="N/A"," ",IF(Pricetype2=2,MAX(E119,0),IF(OR(Pricetype2=1,Pricetype2=4),IF(E119=0,0,(EURO(E119,Strikeprice2,0,0,($AK119+IF(Smile=TRUE(),VLOOKUP(MAX(-5,Strikeprice2-E119),Volsmile,2),0)),($A119-DateToday)+15,IF(Pricetype2=1,1,0),0))),E119)))</f>
        <v> </v>
      </c>
      <c r="O119" s="318" t="str">
        <f aca="false">IF($A119="N/A"," ",IF(Pricetype2=2,MAX(F119,0),IF(OR(Pricetype2=1,Pricetype2=4),IF(F119=0,0,(EURO(F119,Strikeprice2,0,0,($AK119+IF(Smile=TRUE(),VLOOKUP(MAX(-5,Strikeprice2-F119),Volsmile,2),0)),($A119-DateToday)+15,IF(Pricetype2=1,1,0),0))),F119)))</f>
        <v> </v>
      </c>
      <c r="P119" s="318" t="str">
        <f aca="false">IF($A119="N/A"," ",IF(Pricetype2=2,MAX(G119,0),IF(OR(Pricetype2=1,Pricetype2=4),IF(G119=0,0,(EURO(G119,Strikeprice2,0,0,($AK119+IF(Smile=TRUE(),VLOOKUP(MAX(-5,Strikeprice2-G119),Volsmile,2),0)),($A119-DateToday)+15,IF(Pricetype2=1,1,0),0))),G119)))</f>
        <v> </v>
      </c>
      <c r="Q119" s="318" t="str">
        <f aca="false">IF($A119="N/A"," ",IF(Pricetype2=2,MAX(H119,0),IF(OR(Pricetype2=1,Pricetype2=4),IF(H119=0,0,(EURO(H119,Strikeprice2,0,0,($AK119+IF(Smile=TRUE(),VLOOKUP(MAX(-5,Strikeprice2-H119),Volsmile,2),0)),($A119-DateToday)+15,IF(Pricetype2=1,1,0),0))),H119)))</f>
        <v> </v>
      </c>
      <c r="R119" s="318" t="str">
        <f aca="false">IF($A119="N/A"," ",IF(Pricetype2=2,MAX(I119,0),IF(OR(Pricetype2=1,Pricetype2=4),IF(I119=0,0,(EURO(I119,Strikeprice2,0,0,($AK119+IF(Smile=TRUE(),VLOOKUP(MAX(-5,Strikeprice2-I119),Volsmile,2),0)),($A119-DateToday)+15,IF(Pricetype2=1,1,0),0))),I119)))</f>
        <v> </v>
      </c>
      <c r="S119" s="318" t="str">
        <f aca="false">IF($A119="N/A"," ",IF(Pricetype2=2,MAX(J119,0),IF(OR(Pricetype2=1,Pricetype2=4),IF(J119=0,0,(EURO(J119,Strikeprice2,0,0,($AK119+IF(Smile=TRUE(),VLOOKUP(MAX(-5,Strikeprice2-J119),Volsmile,2),0)),($A119-DateToday)+15,IF(Pricetype2=1,1,0),0))),J119)))</f>
        <v> </v>
      </c>
      <c r="T119" s="318" t="str">
        <f aca="false">IF($A119="N/A"," ",IF(Pricetype2=2,MAX(K119,0),IF(OR(Pricetype2=1,Pricetype2=4),IF(K119=0,0,(EURO(K119,Strikeprice2,0,0,($AK119+IF(Smile=TRUE(),VLOOKUP(MAX(-5,Strikeprice2-K119),Volsmile,2),0)),($A119-DateToday)+15,IF(Pricetype2=1,1,0),0))),K119)))</f>
        <v> </v>
      </c>
      <c r="U119" s="319" t="str">
        <f aca="false">IF($A119="N/A"," ",Volume2*$AM119)</f>
        <v> </v>
      </c>
      <c r="V119" s="320" t="str">
        <f aca="false">IF($A119="N/A"," ",$U119*(8*($BQ119))*L119)</f>
        <v> </v>
      </c>
      <c r="W119" s="320" t="str">
        <f aca="false">IF($A119="N/A"," ",$U119*(8*($BQ119))*M119)</f>
        <v> </v>
      </c>
      <c r="X119" s="320" t="str">
        <f aca="false">IF($A119="N/A"," ",$U119*(8*($BQ119))*N119)</f>
        <v> </v>
      </c>
      <c r="Y119" s="320" t="str">
        <f aca="false">IF($A119="N/A"," ",$U119*(8*($BR119))*O119)</f>
        <v> </v>
      </c>
      <c r="Z119" s="320" t="str">
        <f aca="false">IF($A119="N/A"," ",$U119*(8*($BR119))*P119)</f>
        <v> </v>
      </c>
      <c r="AA119" s="320" t="str">
        <f aca="false">IF($A119="N/A"," ",$U119*(8*($BR119))*Q119)</f>
        <v> </v>
      </c>
      <c r="AB119" s="320" t="str">
        <f aca="false">IF($A119="N/A"," ",$U119*(8*($BS119))*R119)</f>
        <v> </v>
      </c>
      <c r="AC119" s="320" t="str">
        <f aca="false">IF($A119="N/A"," ",$U119*(8*($BS119))*S119)</f>
        <v> </v>
      </c>
      <c r="AD119" s="320" t="str">
        <f aca="false">IF($A119="N/A"," ",$U119*(8*($BS119))*T119)</f>
        <v> </v>
      </c>
      <c r="AE119" s="320" t="str">
        <f aca="false">IF($A119="N/A"," ",SUM(V119:AD119))</f>
        <v> </v>
      </c>
      <c r="AF119" s="321" t="str">
        <f aca="false">IF(A119="N/A"," ",(VLOOKUP(A119,PowerVolTable,(IF(VolBMO2=2,7,IF(VolBMO2=1,6,8))),FALSE())))</f>
        <v> </v>
      </c>
      <c r="AG119" s="321" t="str">
        <f aca="false">IF(A119="N/A"," ",(VLOOKUP(A119,IntraPowerVol,(IF(VolBMO2=2,3,IF(VolBMO2=1,2,4))),FALSE())*VLOOKUP(MONTH($A119),Volscale,2)))</f>
        <v> </v>
      </c>
      <c r="AH119" s="321" t="str">
        <f aca="false">IF($A119="N/A"," ",IF(VolType2=1,AG119,AF119))</f>
        <v> </v>
      </c>
      <c r="AI119" s="321" t="str">
        <f aca="false">IF($A119="N/A"," ",(VLOOKUP($A119,OffPwrVolTable,(IF(VolBMO2=2,7,IF(VolBMO2=1,6,8))),FALSE())))</f>
        <v> </v>
      </c>
      <c r="AJ119" s="321" t="str">
        <f aca="false">IF($A119="N/A"," ",(VLOOKUP($A119,OffPwrVolTable,(IF(VolBMO2=2,3,IF(VolBMO2=1,2,4))),FALSE())*VLOOKUP(MONTH($A119),Volscale,2)))</f>
        <v> </v>
      </c>
      <c r="AK119" s="321" t="str">
        <f aca="false">IF($A119="N/A"," ",IF(VolType2=1,AJ119,AI119))</f>
        <v> </v>
      </c>
      <c r="AL119" s="321" t="str">
        <f aca="false">IF($A119="N/A"," ",IF(PV=1,0,'Pricing Inputs2'!R152))</f>
        <v> </v>
      </c>
      <c r="AM119" s="323" t="str">
        <f aca="false">IF($A119="N/A"," ",(1+AL119/2)^(-2*((EOMONTH(A119,0)+20)-DateToday)/365.25))</f>
        <v> </v>
      </c>
      <c r="BQ119" s="0" t="str">
        <f aca="false">IF($A119="N/A"," ",(VLOOKUP($A119,NumberofDaysTable,2)))</f>
        <v> </v>
      </c>
      <c r="BR119" s="0" t="str">
        <f aca="false">IF($A119="N/A"," ",(VLOOKUP($A119,NumberofDaysTable,3)))</f>
        <v> </v>
      </c>
      <c r="BS119" s="0" t="str">
        <f aca="false">IF($A119="N/A"," ",(VLOOKUP($A119,NumberofDaysTable,4)))</f>
        <v> </v>
      </c>
    </row>
    <row r="120" customFormat="false" ht="12.75" hidden="false" customHeight="false" outlineLevel="0" collapsed="false">
      <c r="A120" s="315" t="str">
        <f aca="false">IF(A119="N/A","N/A",IF(EDATE(A119,1)&gt;Inputs!$P$5,"N/A",EDATE(A119,1)))</f>
        <v>N/A</v>
      </c>
      <c r="B120" s="316" t="str">
        <f aca="false">IF(A120="N/A"," ",YEAR(A120))</f>
        <v> </v>
      </c>
      <c r="C120" s="317" t="str">
        <f aca="false">IF($A120="N/A"," ",IF(Dayrun2=10,0,IF(Scaler2=1,(VLOOKUP(A120,ScaledPrice2,4)),(VLOOKUP(A120,ScaledPrice2,2)))))</f>
        <v> </v>
      </c>
      <c r="D120" s="317" t="str">
        <f aca="false">IF(A120="N/A"," ",IF(Dayrun2&gt;=7,0,IF(Scaler2=2,VLOOKUP(A120,ScaledPrice2,2),(VLOOKUP(A120,ScaledPrice2,2))*(2-(VLOOKUP(A120,ScaledPrice2,3))))))</f>
        <v> </v>
      </c>
      <c r="E120" s="317" t="str">
        <f aca="false">IF($A120="N/A"," ",IF(AND(Dayrun2&gt;=4,Dayrun2&lt;=9),0,VLOOKUP($A120,ScaledPrice2,9)))</f>
        <v> </v>
      </c>
      <c r="F120" s="317" t="str">
        <f aca="false">IF(A120="N/A"," ",IF(OR(Dayrun2=2,Dayrun2=3,Dayrun2=5,Dayrun2=6,Dayrun2=8,Dayrun2=9),VLOOKUP(A120,ScaledPrice2,IF(Scaler2=1,6,5)),0))</f>
        <v> </v>
      </c>
      <c r="G120" s="317" t="str">
        <f aca="false">IF(A120="N/A"," ",IF(OR(Dayrun2=2,Dayrun2=3,Dayrun2=5,Dayrun2=6),IF(Scaler2=2,F120,(VLOOKUP(A120,ScaledPrice2,5))*(2-(VLOOKUP(A120,ScaledPrice2,3)))),0))</f>
        <v> </v>
      </c>
      <c r="H120" s="317" t="str">
        <f aca="false">IF($A120="N/A"," ",IF(OR(Dayrun2=2,Dayrun2=3,Dayrun2=10),VLOOKUP($A120,ScaledPrice2,9),0))</f>
        <v> </v>
      </c>
      <c r="I120" s="317" t="str">
        <f aca="false">IF(A120="N/A"," ",IF(OR(Dayrun2=3,Dayrun2=6,Dayrun2=9),(VLOOKUP(A120,ScaledPrice2,IF(Scaler2=2,7,8))),0))</f>
        <v> </v>
      </c>
      <c r="J120" s="317" t="str">
        <f aca="false">IF(A120="N/A"," ",IF(OR(Dayrun2=3,Dayrun2=6),IF(Scaler2=2,I120,(VLOOKUP(A120,ScaledPrice2,7))*(2-(VLOOKUP(A120,ScaledPrice2,3)))),0))</f>
        <v> </v>
      </c>
      <c r="K120" s="317" t="str">
        <f aca="false">IF($A120="N/A"," ",IF(OR(Dayrun2=3,Dayrun2=10),VLOOKUP($A120,ScaledPrice2,9),0))</f>
        <v> </v>
      </c>
      <c r="L120" s="318" t="str">
        <f aca="false">IF($A120="N/A"," ",IF(Pricetype2=2,MAX(C120,0),IF(OR(Pricetype2=1,Pricetype2=4),IF(C120=0,0,(EURO(C120,Strikeprice2,0,0,($AH120+IF(Smile=TRUE(),VLOOKUP(MAX(-5,Strikeprice2-C120),Volsmile,2),0)),($A120-DateToday)+15,IF(Pricetype2=1,1,0),0))),C120)))</f>
        <v> </v>
      </c>
      <c r="M120" s="318" t="str">
        <f aca="false">IF($A120="N/A"," ",IF(Pricetype2=2,MAX(D120,0),IF(OR(Pricetype2=1,Pricetype2=4),IF(D120=0,0,(EURO(D120,Strikeprice2,0,0,($AH120+IF(Smile=TRUE(),VLOOKUP(MAX(-5,Strikeprice2-D120),Volsmile,2),0)),($A120-DateToday)+15,IF(Pricetype2=1,1,0),0))),D120)))</f>
        <v> </v>
      </c>
      <c r="N120" s="318" t="str">
        <f aca="false">IF($A120="N/A"," ",IF(Pricetype2=2,MAX(E120,0),IF(OR(Pricetype2=1,Pricetype2=4),IF(E120=0,0,(EURO(E120,Strikeprice2,0,0,($AK120+IF(Smile=TRUE(),VLOOKUP(MAX(-5,Strikeprice2-E120),Volsmile,2),0)),($A120-DateToday)+15,IF(Pricetype2=1,1,0),0))),E120)))</f>
        <v> </v>
      </c>
      <c r="O120" s="318" t="str">
        <f aca="false">IF($A120="N/A"," ",IF(Pricetype2=2,MAX(F120,0),IF(OR(Pricetype2=1,Pricetype2=4),IF(F120=0,0,(EURO(F120,Strikeprice2,0,0,($AK120+IF(Smile=TRUE(),VLOOKUP(MAX(-5,Strikeprice2-F120),Volsmile,2),0)),($A120-DateToday)+15,IF(Pricetype2=1,1,0),0))),F120)))</f>
        <v> </v>
      </c>
      <c r="P120" s="318" t="str">
        <f aca="false">IF($A120="N/A"," ",IF(Pricetype2=2,MAX(G120,0),IF(OR(Pricetype2=1,Pricetype2=4),IF(G120=0,0,(EURO(G120,Strikeprice2,0,0,($AK120+IF(Smile=TRUE(),VLOOKUP(MAX(-5,Strikeprice2-G120),Volsmile,2),0)),($A120-DateToday)+15,IF(Pricetype2=1,1,0),0))),G120)))</f>
        <v> </v>
      </c>
      <c r="Q120" s="318" t="str">
        <f aca="false">IF($A120="N/A"," ",IF(Pricetype2=2,MAX(H120,0),IF(OR(Pricetype2=1,Pricetype2=4),IF(H120=0,0,(EURO(H120,Strikeprice2,0,0,($AK120+IF(Smile=TRUE(),VLOOKUP(MAX(-5,Strikeprice2-H120),Volsmile,2),0)),($A120-DateToday)+15,IF(Pricetype2=1,1,0),0))),H120)))</f>
        <v> </v>
      </c>
      <c r="R120" s="318" t="str">
        <f aca="false">IF($A120="N/A"," ",IF(Pricetype2=2,MAX(I120,0),IF(OR(Pricetype2=1,Pricetype2=4),IF(I120=0,0,(EURO(I120,Strikeprice2,0,0,($AK120+IF(Smile=TRUE(),VLOOKUP(MAX(-5,Strikeprice2-I120),Volsmile,2),0)),($A120-DateToday)+15,IF(Pricetype2=1,1,0),0))),I120)))</f>
        <v> </v>
      </c>
      <c r="S120" s="318" t="str">
        <f aca="false">IF($A120="N/A"," ",IF(Pricetype2=2,MAX(J120,0),IF(OR(Pricetype2=1,Pricetype2=4),IF(J120=0,0,(EURO(J120,Strikeprice2,0,0,($AK120+IF(Smile=TRUE(),VLOOKUP(MAX(-5,Strikeprice2-J120),Volsmile,2),0)),($A120-DateToday)+15,IF(Pricetype2=1,1,0),0))),J120)))</f>
        <v> </v>
      </c>
      <c r="T120" s="318" t="str">
        <f aca="false">IF($A120="N/A"," ",IF(Pricetype2=2,MAX(K120,0),IF(OR(Pricetype2=1,Pricetype2=4),IF(K120=0,0,(EURO(K120,Strikeprice2,0,0,($AK120+IF(Smile=TRUE(),VLOOKUP(MAX(-5,Strikeprice2-K120),Volsmile,2),0)),($A120-DateToday)+15,IF(Pricetype2=1,1,0),0))),K120)))</f>
        <v> </v>
      </c>
      <c r="U120" s="319" t="str">
        <f aca="false">IF($A120="N/A"," ",Volume2*$AM120)</f>
        <v> </v>
      </c>
      <c r="V120" s="320" t="str">
        <f aca="false">IF($A120="N/A"," ",$U120*(8*($BQ120))*L120)</f>
        <v> </v>
      </c>
      <c r="W120" s="320" t="str">
        <f aca="false">IF($A120="N/A"," ",$U120*(8*($BQ120))*M120)</f>
        <v> </v>
      </c>
      <c r="X120" s="320" t="str">
        <f aca="false">IF($A120="N/A"," ",$U120*(8*($BQ120))*N120)</f>
        <v> </v>
      </c>
      <c r="Y120" s="320" t="str">
        <f aca="false">IF($A120="N/A"," ",$U120*(8*($BR120))*O120)</f>
        <v> </v>
      </c>
      <c r="Z120" s="320" t="str">
        <f aca="false">IF($A120="N/A"," ",$U120*(8*($BR120))*P120)</f>
        <v> </v>
      </c>
      <c r="AA120" s="320" t="str">
        <f aca="false">IF($A120="N/A"," ",$U120*(8*($BR120))*Q120)</f>
        <v> </v>
      </c>
      <c r="AB120" s="320" t="str">
        <f aca="false">IF($A120="N/A"," ",$U120*(8*($BS120))*R120)</f>
        <v> </v>
      </c>
      <c r="AC120" s="320" t="str">
        <f aca="false">IF($A120="N/A"," ",$U120*(8*($BS120))*S120)</f>
        <v> </v>
      </c>
      <c r="AD120" s="320" t="str">
        <f aca="false">IF($A120="N/A"," ",$U120*(8*($BS120))*T120)</f>
        <v> </v>
      </c>
      <c r="AE120" s="320" t="str">
        <f aca="false">IF($A120="N/A"," ",SUM(V120:AD120))</f>
        <v> </v>
      </c>
      <c r="AF120" s="321" t="str">
        <f aca="false">IF(A120="N/A"," ",(VLOOKUP(A120,PowerVolTable,(IF(VolBMO2=2,7,IF(VolBMO2=1,6,8))),FALSE())))</f>
        <v> </v>
      </c>
      <c r="AG120" s="321" t="str">
        <f aca="false">IF(A120="N/A"," ",(VLOOKUP(A120,IntraPowerVol,(IF(VolBMO2=2,3,IF(VolBMO2=1,2,4))),FALSE())*VLOOKUP(MONTH($A120),Volscale,2)))</f>
        <v> </v>
      </c>
      <c r="AH120" s="321" t="str">
        <f aca="false">IF($A120="N/A"," ",IF(VolType2=1,AG120,AF120))</f>
        <v> </v>
      </c>
      <c r="AI120" s="321" t="str">
        <f aca="false">IF($A120="N/A"," ",(VLOOKUP($A120,OffPwrVolTable,(IF(VolBMO2=2,7,IF(VolBMO2=1,6,8))),FALSE())))</f>
        <v> </v>
      </c>
      <c r="AJ120" s="321" t="str">
        <f aca="false">IF($A120="N/A"," ",(VLOOKUP($A120,OffPwrVolTable,(IF(VolBMO2=2,3,IF(VolBMO2=1,2,4))),FALSE())*VLOOKUP(MONTH($A120),Volscale,2)))</f>
        <v> </v>
      </c>
      <c r="AK120" s="321" t="str">
        <f aca="false">IF($A120="N/A"," ",IF(VolType2=1,AJ120,AI120))</f>
        <v> </v>
      </c>
      <c r="AL120" s="321" t="str">
        <f aca="false">IF($A120="N/A"," ",IF(PV=1,0,'Pricing Inputs2'!R153))</f>
        <v> </v>
      </c>
      <c r="AM120" s="323" t="str">
        <f aca="false">IF($A120="N/A"," ",(1+AL120/2)^(-2*((EOMONTH(A120,0)+20)-DateToday)/365.25))</f>
        <v> </v>
      </c>
      <c r="BQ120" s="0" t="str">
        <f aca="false">IF($A120="N/A"," ",(VLOOKUP($A120,NumberofDaysTable,2)))</f>
        <v> </v>
      </c>
      <c r="BR120" s="0" t="str">
        <f aca="false">IF($A120="N/A"," ",(VLOOKUP($A120,NumberofDaysTable,3)))</f>
        <v> </v>
      </c>
      <c r="BS120" s="0" t="str">
        <f aca="false">IF($A120="N/A"," ",(VLOOKUP($A120,NumberofDaysTable,4)))</f>
        <v> </v>
      </c>
    </row>
    <row r="121" customFormat="false" ht="12.75" hidden="false" customHeight="false" outlineLevel="0" collapsed="false">
      <c r="A121" s="315" t="str">
        <f aca="false">IF(A120="N/A","N/A",IF(EDATE(A120,1)&gt;Inputs!$P$5,"N/A",EDATE(A120,1)))</f>
        <v>N/A</v>
      </c>
      <c r="B121" s="316" t="str">
        <f aca="false">IF(A121="N/A"," ",YEAR(A121))</f>
        <v> </v>
      </c>
      <c r="C121" s="317" t="str">
        <f aca="false">IF($A121="N/A"," ",IF(Dayrun2=10,0,IF(Scaler2=1,(VLOOKUP(A121,ScaledPrice2,4)),(VLOOKUP(A121,ScaledPrice2,2)))))</f>
        <v> </v>
      </c>
      <c r="D121" s="317" t="str">
        <f aca="false">IF(A121="N/A"," ",IF(Dayrun2&gt;=7,0,IF(Scaler2=2,VLOOKUP(A121,ScaledPrice2,2),(VLOOKUP(A121,ScaledPrice2,2))*(2-(VLOOKUP(A121,ScaledPrice2,3))))))</f>
        <v> </v>
      </c>
      <c r="E121" s="317" t="str">
        <f aca="false">IF($A121="N/A"," ",IF(AND(Dayrun2&gt;=4,Dayrun2&lt;=9),0,VLOOKUP($A121,ScaledPrice2,9)))</f>
        <v> </v>
      </c>
      <c r="F121" s="317" t="str">
        <f aca="false">IF(A121="N/A"," ",IF(OR(Dayrun2=2,Dayrun2=3,Dayrun2=5,Dayrun2=6,Dayrun2=8,Dayrun2=9),VLOOKUP(A121,ScaledPrice2,IF(Scaler2=1,6,5)),0))</f>
        <v> </v>
      </c>
      <c r="G121" s="317" t="str">
        <f aca="false">IF(A121="N/A"," ",IF(OR(Dayrun2=2,Dayrun2=3,Dayrun2=5,Dayrun2=6),IF(Scaler2=2,F121,(VLOOKUP(A121,ScaledPrice2,5))*(2-(VLOOKUP(A121,ScaledPrice2,3)))),0))</f>
        <v> </v>
      </c>
      <c r="H121" s="317" t="str">
        <f aca="false">IF($A121="N/A"," ",IF(OR(Dayrun2=2,Dayrun2=3,Dayrun2=10),VLOOKUP($A121,ScaledPrice2,9),0))</f>
        <v> </v>
      </c>
      <c r="I121" s="317" t="str">
        <f aca="false">IF(A121="N/A"," ",IF(OR(Dayrun2=3,Dayrun2=6,Dayrun2=9),(VLOOKUP(A121,ScaledPrice2,IF(Scaler2=2,7,8))),0))</f>
        <v> </v>
      </c>
      <c r="J121" s="317" t="str">
        <f aca="false">IF(A121="N/A"," ",IF(OR(Dayrun2=3,Dayrun2=6),IF(Scaler2=2,I121,(VLOOKUP(A121,ScaledPrice2,7))*(2-(VLOOKUP(A121,ScaledPrice2,3)))),0))</f>
        <v> </v>
      </c>
      <c r="K121" s="317" t="str">
        <f aca="false">IF($A121="N/A"," ",IF(OR(Dayrun2=3,Dayrun2=10),VLOOKUP($A121,ScaledPrice2,9),0))</f>
        <v> </v>
      </c>
      <c r="L121" s="318" t="str">
        <f aca="false">IF($A121="N/A"," ",IF(Pricetype2=2,MAX(C121,0),IF(OR(Pricetype2=1,Pricetype2=4),IF(C121=0,0,(EURO(C121,Strikeprice2,0,0,($AH121+IF(Smile=TRUE(),VLOOKUP(MAX(-5,Strikeprice2-C121),Volsmile,2),0)),($A121-DateToday)+15,IF(Pricetype2=1,1,0),0))),C121)))</f>
        <v> </v>
      </c>
      <c r="M121" s="318" t="str">
        <f aca="false">IF($A121="N/A"," ",IF(Pricetype2=2,MAX(D121,0),IF(OR(Pricetype2=1,Pricetype2=4),IF(D121=0,0,(EURO(D121,Strikeprice2,0,0,($AH121+IF(Smile=TRUE(),VLOOKUP(MAX(-5,Strikeprice2-D121),Volsmile,2),0)),($A121-DateToday)+15,IF(Pricetype2=1,1,0),0))),D121)))</f>
        <v> </v>
      </c>
      <c r="N121" s="318" t="str">
        <f aca="false">IF($A121="N/A"," ",IF(Pricetype2=2,MAX(E121,0),IF(OR(Pricetype2=1,Pricetype2=4),IF(E121=0,0,(EURO(E121,Strikeprice2,0,0,($AK121+IF(Smile=TRUE(),VLOOKUP(MAX(-5,Strikeprice2-E121),Volsmile,2),0)),($A121-DateToday)+15,IF(Pricetype2=1,1,0),0))),E121)))</f>
        <v> </v>
      </c>
      <c r="O121" s="318" t="str">
        <f aca="false">IF($A121="N/A"," ",IF(Pricetype2=2,MAX(F121,0),IF(OR(Pricetype2=1,Pricetype2=4),IF(F121=0,0,(EURO(F121,Strikeprice2,0,0,($AK121+IF(Smile=TRUE(),VLOOKUP(MAX(-5,Strikeprice2-F121),Volsmile,2),0)),($A121-DateToday)+15,IF(Pricetype2=1,1,0),0))),F121)))</f>
        <v> </v>
      </c>
      <c r="P121" s="318" t="str">
        <f aca="false">IF($A121="N/A"," ",IF(Pricetype2=2,MAX(G121,0),IF(OR(Pricetype2=1,Pricetype2=4),IF(G121=0,0,(EURO(G121,Strikeprice2,0,0,($AK121+IF(Smile=TRUE(),VLOOKUP(MAX(-5,Strikeprice2-G121),Volsmile,2),0)),($A121-DateToday)+15,IF(Pricetype2=1,1,0),0))),G121)))</f>
        <v> </v>
      </c>
      <c r="Q121" s="318" t="str">
        <f aca="false">IF($A121="N/A"," ",IF(Pricetype2=2,MAX(H121,0),IF(OR(Pricetype2=1,Pricetype2=4),IF(H121=0,0,(EURO(H121,Strikeprice2,0,0,($AK121+IF(Smile=TRUE(),VLOOKUP(MAX(-5,Strikeprice2-H121),Volsmile,2),0)),($A121-DateToday)+15,IF(Pricetype2=1,1,0),0))),H121)))</f>
        <v> </v>
      </c>
      <c r="R121" s="318" t="str">
        <f aca="false">IF($A121="N/A"," ",IF(Pricetype2=2,MAX(I121,0),IF(OR(Pricetype2=1,Pricetype2=4),IF(I121=0,0,(EURO(I121,Strikeprice2,0,0,($AK121+IF(Smile=TRUE(),VLOOKUP(MAX(-5,Strikeprice2-I121),Volsmile,2),0)),($A121-DateToday)+15,IF(Pricetype2=1,1,0),0))),I121)))</f>
        <v> </v>
      </c>
      <c r="S121" s="318" t="str">
        <f aca="false">IF($A121="N/A"," ",IF(Pricetype2=2,MAX(J121,0),IF(OR(Pricetype2=1,Pricetype2=4),IF(J121=0,0,(EURO(J121,Strikeprice2,0,0,($AK121+IF(Smile=TRUE(),VLOOKUP(MAX(-5,Strikeprice2-J121),Volsmile,2),0)),($A121-DateToday)+15,IF(Pricetype2=1,1,0),0))),J121)))</f>
        <v> </v>
      </c>
      <c r="T121" s="318" t="str">
        <f aca="false">IF($A121="N/A"," ",IF(Pricetype2=2,MAX(K121,0),IF(OR(Pricetype2=1,Pricetype2=4),IF(K121=0,0,(EURO(K121,Strikeprice2,0,0,($AK121+IF(Smile=TRUE(),VLOOKUP(MAX(-5,Strikeprice2-K121),Volsmile,2),0)),($A121-DateToday)+15,IF(Pricetype2=1,1,0),0))),K121)))</f>
        <v> </v>
      </c>
      <c r="U121" s="319" t="str">
        <f aca="false">IF($A121="N/A"," ",Volume2*$AM121)</f>
        <v> </v>
      </c>
      <c r="V121" s="320" t="str">
        <f aca="false">IF($A121="N/A"," ",$U121*(8*($BQ121))*L121)</f>
        <v> </v>
      </c>
      <c r="W121" s="320" t="str">
        <f aca="false">IF($A121="N/A"," ",$U121*(8*($BQ121))*M121)</f>
        <v> </v>
      </c>
      <c r="X121" s="320" t="str">
        <f aca="false">IF($A121="N/A"," ",$U121*(8*($BQ121))*N121)</f>
        <v> </v>
      </c>
      <c r="Y121" s="320" t="str">
        <f aca="false">IF($A121="N/A"," ",$U121*(8*($BR121))*O121)</f>
        <v> </v>
      </c>
      <c r="Z121" s="320" t="str">
        <f aca="false">IF($A121="N/A"," ",$U121*(8*($BR121))*P121)</f>
        <v> </v>
      </c>
      <c r="AA121" s="320" t="str">
        <f aca="false">IF($A121="N/A"," ",$U121*(8*($BR121))*Q121)</f>
        <v> </v>
      </c>
      <c r="AB121" s="320" t="str">
        <f aca="false">IF($A121="N/A"," ",$U121*(8*($BS121))*R121)</f>
        <v> </v>
      </c>
      <c r="AC121" s="320" t="str">
        <f aca="false">IF($A121="N/A"," ",$U121*(8*($BS121))*S121)</f>
        <v> </v>
      </c>
      <c r="AD121" s="320" t="str">
        <f aca="false">IF($A121="N/A"," ",$U121*(8*($BS121))*T121)</f>
        <v> </v>
      </c>
      <c r="AE121" s="320" t="str">
        <f aca="false">IF($A121="N/A"," ",SUM(V121:AD121))</f>
        <v> </v>
      </c>
      <c r="AF121" s="321" t="str">
        <f aca="false">IF(A121="N/A"," ",(VLOOKUP(A121,PowerVolTable,(IF(VolBMO2=2,7,IF(VolBMO2=1,6,8))),FALSE())))</f>
        <v> </v>
      </c>
      <c r="AG121" s="321" t="str">
        <f aca="false">IF(A121="N/A"," ",(VLOOKUP(A121,IntraPowerVol,(IF(VolBMO2=2,3,IF(VolBMO2=1,2,4))),FALSE())*VLOOKUP(MONTH($A121),Volscale,2)))</f>
        <v> </v>
      </c>
      <c r="AH121" s="321" t="str">
        <f aca="false">IF($A121="N/A"," ",IF(VolType2=1,AG121,AF121))</f>
        <v> </v>
      </c>
      <c r="AI121" s="321" t="str">
        <f aca="false">IF($A121="N/A"," ",(VLOOKUP($A121,OffPwrVolTable,(IF(VolBMO2=2,7,IF(VolBMO2=1,6,8))),FALSE())))</f>
        <v> </v>
      </c>
      <c r="AJ121" s="321" t="str">
        <f aca="false">IF($A121="N/A"," ",(VLOOKUP($A121,OffPwrVolTable,(IF(VolBMO2=2,3,IF(VolBMO2=1,2,4))),FALSE())*VLOOKUP(MONTH($A121),Volscale,2)))</f>
        <v> </v>
      </c>
      <c r="AK121" s="321" t="str">
        <f aca="false">IF($A121="N/A"," ",IF(VolType2=1,AJ121,AI121))</f>
        <v> </v>
      </c>
      <c r="AL121" s="321" t="str">
        <f aca="false">IF($A121="N/A"," ",IF(PV=1,0,'Pricing Inputs2'!R154))</f>
        <v> </v>
      </c>
      <c r="AM121" s="323" t="str">
        <f aca="false">IF($A121="N/A"," ",(1+AL121/2)^(-2*((EOMONTH(A121,0)+20)-DateToday)/365.25))</f>
        <v> </v>
      </c>
      <c r="BQ121" s="0" t="str">
        <f aca="false">IF($A121="N/A"," ",(VLOOKUP($A121,NumberofDaysTable,2)))</f>
        <v> </v>
      </c>
      <c r="BR121" s="0" t="str">
        <f aca="false">IF($A121="N/A"," ",(VLOOKUP($A121,NumberofDaysTable,3)))</f>
        <v> </v>
      </c>
      <c r="BS121" s="0" t="str">
        <f aca="false">IF($A121="N/A"," ",(VLOOKUP($A121,NumberofDaysTable,4)))</f>
        <v> </v>
      </c>
    </row>
    <row r="122" customFormat="false" ht="12.75" hidden="false" customHeight="false" outlineLevel="0" collapsed="false">
      <c r="A122" s="315" t="str">
        <f aca="false">IF(A121="N/A","N/A",IF(EDATE(A121,1)&gt;Inputs!$P$5,"N/A",EDATE(A121,1)))</f>
        <v>N/A</v>
      </c>
      <c r="B122" s="316" t="str">
        <f aca="false">IF(A122="N/A"," ",YEAR(A122))</f>
        <v> </v>
      </c>
      <c r="C122" s="317" t="str">
        <f aca="false">IF($A122="N/A"," ",IF(Dayrun2=10,0,IF(Scaler2=1,(VLOOKUP(A122,ScaledPrice2,4)),(VLOOKUP(A122,ScaledPrice2,2)))))</f>
        <v> </v>
      </c>
      <c r="D122" s="317" t="str">
        <f aca="false">IF(A122="N/A"," ",IF(Dayrun2&gt;=7,0,IF(Scaler2=2,VLOOKUP(A122,ScaledPrice2,2),(VLOOKUP(A122,ScaledPrice2,2))*(2-(VLOOKUP(A122,ScaledPrice2,3))))))</f>
        <v> </v>
      </c>
      <c r="E122" s="317" t="str">
        <f aca="false">IF($A122="N/A"," ",IF(AND(Dayrun2&gt;=4,Dayrun2&lt;=9),0,VLOOKUP($A122,ScaledPrice2,9)))</f>
        <v> </v>
      </c>
      <c r="F122" s="317" t="str">
        <f aca="false">IF(A122="N/A"," ",IF(OR(Dayrun2=2,Dayrun2=3,Dayrun2=5,Dayrun2=6,Dayrun2=8,Dayrun2=9),VLOOKUP(A122,ScaledPrice2,IF(Scaler2=1,6,5)),0))</f>
        <v> </v>
      </c>
      <c r="G122" s="317" t="str">
        <f aca="false">IF(A122="N/A"," ",IF(OR(Dayrun2=2,Dayrun2=3,Dayrun2=5,Dayrun2=6),IF(Scaler2=2,F122,(VLOOKUP(A122,ScaledPrice2,5))*(2-(VLOOKUP(A122,ScaledPrice2,3)))),0))</f>
        <v> </v>
      </c>
      <c r="H122" s="317" t="str">
        <f aca="false">IF($A122="N/A"," ",IF(OR(Dayrun2=2,Dayrun2=3,Dayrun2=10),VLOOKUP($A122,ScaledPrice2,9),0))</f>
        <v> </v>
      </c>
      <c r="I122" s="317" t="str">
        <f aca="false">IF(A122="N/A"," ",IF(OR(Dayrun2=3,Dayrun2=6,Dayrun2=9),(VLOOKUP(A122,ScaledPrice2,IF(Scaler2=2,7,8))),0))</f>
        <v> </v>
      </c>
      <c r="J122" s="317" t="str">
        <f aca="false">IF(A122="N/A"," ",IF(OR(Dayrun2=3,Dayrun2=6),IF(Scaler2=2,I122,(VLOOKUP(A122,ScaledPrice2,7))*(2-(VLOOKUP(A122,ScaledPrice2,3)))),0))</f>
        <v> </v>
      </c>
      <c r="K122" s="317" t="str">
        <f aca="false">IF($A122="N/A"," ",IF(OR(Dayrun2=3,Dayrun2=10),VLOOKUP($A122,ScaledPrice2,9),0))</f>
        <v> </v>
      </c>
      <c r="L122" s="318" t="str">
        <f aca="false">IF($A122="N/A"," ",IF(Pricetype2=2,MAX(C122,0),IF(OR(Pricetype2=1,Pricetype2=4),IF(C122=0,0,(EURO(C122,Strikeprice2,0,0,($AH122+IF(Smile=TRUE(),VLOOKUP(MAX(-5,Strikeprice2-C122),Volsmile,2),0)),($A122-DateToday)+15,IF(Pricetype2=1,1,0),0))),C122)))</f>
        <v> </v>
      </c>
      <c r="M122" s="318" t="str">
        <f aca="false">IF($A122="N/A"," ",IF(Pricetype2=2,MAX(D122,0),IF(OR(Pricetype2=1,Pricetype2=4),IF(D122=0,0,(EURO(D122,Strikeprice2,0,0,($AH122+IF(Smile=TRUE(),VLOOKUP(MAX(-5,Strikeprice2-D122),Volsmile,2),0)),($A122-DateToday)+15,IF(Pricetype2=1,1,0),0))),D122)))</f>
        <v> </v>
      </c>
      <c r="N122" s="318" t="str">
        <f aca="false">IF($A122="N/A"," ",IF(Pricetype2=2,MAX(E122,0),IF(OR(Pricetype2=1,Pricetype2=4),IF(E122=0,0,(EURO(E122,Strikeprice2,0,0,($AK122+IF(Smile=TRUE(),VLOOKUP(MAX(-5,Strikeprice2-E122),Volsmile,2),0)),($A122-DateToday)+15,IF(Pricetype2=1,1,0),0))),E122)))</f>
        <v> </v>
      </c>
      <c r="O122" s="318" t="str">
        <f aca="false">IF($A122="N/A"," ",IF(Pricetype2=2,MAX(F122,0),IF(OR(Pricetype2=1,Pricetype2=4),IF(F122=0,0,(EURO(F122,Strikeprice2,0,0,($AK122+IF(Smile=TRUE(),VLOOKUP(MAX(-5,Strikeprice2-F122),Volsmile,2),0)),($A122-DateToday)+15,IF(Pricetype2=1,1,0),0))),F122)))</f>
        <v> </v>
      </c>
      <c r="P122" s="318" t="str">
        <f aca="false">IF($A122="N/A"," ",IF(Pricetype2=2,MAX(G122,0),IF(OR(Pricetype2=1,Pricetype2=4),IF(G122=0,0,(EURO(G122,Strikeprice2,0,0,($AK122+IF(Smile=TRUE(),VLOOKUP(MAX(-5,Strikeprice2-G122),Volsmile,2),0)),($A122-DateToday)+15,IF(Pricetype2=1,1,0),0))),G122)))</f>
        <v> </v>
      </c>
      <c r="Q122" s="318" t="str">
        <f aca="false">IF($A122="N/A"," ",IF(Pricetype2=2,MAX(H122,0),IF(OR(Pricetype2=1,Pricetype2=4),IF(H122=0,0,(EURO(H122,Strikeprice2,0,0,($AK122+IF(Smile=TRUE(),VLOOKUP(MAX(-5,Strikeprice2-H122),Volsmile,2),0)),($A122-DateToday)+15,IF(Pricetype2=1,1,0),0))),H122)))</f>
        <v> </v>
      </c>
      <c r="R122" s="318" t="str">
        <f aca="false">IF($A122="N/A"," ",IF(Pricetype2=2,MAX(I122,0),IF(OR(Pricetype2=1,Pricetype2=4),IF(I122=0,0,(EURO(I122,Strikeprice2,0,0,($AK122+IF(Smile=TRUE(),VLOOKUP(MAX(-5,Strikeprice2-I122),Volsmile,2),0)),($A122-DateToday)+15,IF(Pricetype2=1,1,0),0))),I122)))</f>
        <v> </v>
      </c>
      <c r="S122" s="318" t="str">
        <f aca="false">IF($A122="N/A"," ",IF(Pricetype2=2,MAX(J122,0),IF(OR(Pricetype2=1,Pricetype2=4),IF(J122=0,0,(EURO(J122,Strikeprice2,0,0,($AK122+IF(Smile=TRUE(),VLOOKUP(MAX(-5,Strikeprice2-J122),Volsmile,2),0)),($A122-DateToday)+15,IF(Pricetype2=1,1,0),0))),J122)))</f>
        <v> </v>
      </c>
      <c r="T122" s="318" t="str">
        <f aca="false">IF($A122="N/A"," ",IF(Pricetype2=2,MAX(K122,0),IF(OR(Pricetype2=1,Pricetype2=4),IF(K122=0,0,(EURO(K122,Strikeprice2,0,0,($AK122+IF(Smile=TRUE(),VLOOKUP(MAX(-5,Strikeprice2-K122),Volsmile,2),0)),($A122-DateToday)+15,IF(Pricetype2=1,1,0),0))),K122)))</f>
        <v> </v>
      </c>
      <c r="U122" s="319" t="str">
        <f aca="false">IF($A122="N/A"," ",Volume2*$AM122)</f>
        <v> </v>
      </c>
      <c r="V122" s="320" t="str">
        <f aca="false">IF($A122="N/A"," ",$U122*(8*($BQ122))*L122)</f>
        <v> </v>
      </c>
      <c r="W122" s="320" t="str">
        <f aca="false">IF($A122="N/A"," ",$U122*(8*($BQ122))*M122)</f>
        <v> </v>
      </c>
      <c r="X122" s="320" t="str">
        <f aca="false">IF($A122="N/A"," ",$U122*(8*($BQ122))*N122)</f>
        <v> </v>
      </c>
      <c r="Y122" s="320" t="str">
        <f aca="false">IF($A122="N/A"," ",$U122*(8*($BR122))*O122)</f>
        <v> </v>
      </c>
      <c r="Z122" s="320" t="str">
        <f aca="false">IF($A122="N/A"," ",$U122*(8*($BR122))*P122)</f>
        <v> </v>
      </c>
      <c r="AA122" s="320" t="str">
        <f aca="false">IF($A122="N/A"," ",$U122*(8*($BR122))*Q122)</f>
        <v> </v>
      </c>
      <c r="AB122" s="320" t="str">
        <f aca="false">IF($A122="N/A"," ",$U122*(8*($BS122))*R122)</f>
        <v> </v>
      </c>
      <c r="AC122" s="320" t="str">
        <f aca="false">IF($A122="N/A"," ",$U122*(8*($BS122))*S122)</f>
        <v> </v>
      </c>
      <c r="AD122" s="320" t="str">
        <f aca="false">IF($A122="N/A"," ",$U122*(8*($BS122))*T122)</f>
        <v> </v>
      </c>
      <c r="AE122" s="320" t="str">
        <f aca="false">IF($A122="N/A"," ",SUM(V122:AD122))</f>
        <v> </v>
      </c>
      <c r="AF122" s="321" t="str">
        <f aca="false">IF(A122="N/A"," ",(VLOOKUP(A122,PowerVolTable,(IF(VolBMO2=2,7,IF(VolBMO2=1,6,8))),FALSE())))</f>
        <v> </v>
      </c>
      <c r="AG122" s="321" t="str">
        <f aca="false">IF(A122="N/A"," ",(VLOOKUP(A122,IntraPowerVol,(IF(VolBMO2=2,3,IF(VolBMO2=1,2,4))),FALSE())*VLOOKUP(MONTH($A122),Volscale,2)))</f>
        <v> </v>
      </c>
      <c r="AH122" s="321" t="str">
        <f aca="false">IF($A122="N/A"," ",IF(VolType2=1,AG122,AF122))</f>
        <v> </v>
      </c>
      <c r="AI122" s="321" t="str">
        <f aca="false">IF($A122="N/A"," ",(VLOOKUP($A122,OffPwrVolTable,(IF(VolBMO2=2,7,IF(VolBMO2=1,6,8))),FALSE())))</f>
        <v> </v>
      </c>
      <c r="AJ122" s="321" t="str">
        <f aca="false">IF($A122="N/A"," ",(VLOOKUP($A122,OffPwrVolTable,(IF(VolBMO2=2,3,IF(VolBMO2=1,2,4))),FALSE())*VLOOKUP(MONTH($A122),Volscale,2)))</f>
        <v> </v>
      </c>
      <c r="AK122" s="321" t="str">
        <f aca="false">IF($A122="N/A"," ",IF(VolType2=1,AJ122,AI122))</f>
        <v> </v>
      </c>
      <c r="AL122" s="321" t="str">
        <f aca="false">IF($A122="N/A"," ",IF(PV=1,0,'Pricing Inputs2'!R155))</f>
        <v> </v>
      </c>
      <c r="AM122" s="323" t="str">
        <f aca="false">IF($A122="N/A"," ",(1+AL122/2)^(-2*((EOMONTH(A122,0)+20)-DateToday)/365.25))</f>
        <v> </v>
      </c>
      <c r="BQ122" s="0" t="str">
        <f aca="false">IF($A122="N/A"," ",(VLOOKUP($A122,NumberofDaysTable,2)))</f>
        <v> </v>
      </c>
      <c r="BR122" s="0" t="str">
        <f aca="false">IF($A122="N/A"," ",(VLOOKUP($A122,NumberofDaysTable,3)))</f>
        <v> </v>
      </c>
      <c r="BS122" s="0" t="str">
        <f aca="false">IF($A122="N/A"," ",(VLOOKUP($A122,NumberofDaysTable,4)))</f>
        <v> </v>
      </c>
    </row>
    <row r="123" customFormat="false" ht="12.75" hidden="false" customHeight="false" outlineLevel="0" collapsed="false">
      <c r="A123" s="315" t="str">
        <f aca="false">IF(A122="N/A","N/A",IF(EDATE(A122,1)&gt;Inputs!$P$5,"N/A",EDATE(A122,1)))</f>
        <v>N/A</v>
      </c>
      <c r="B123" s="316" t="str">
        <f aca="false">IF(A123="N/A"," ",YEAR(A123))</f>
        <v> </v>
      </c>
      <c r="C123" s="317" t="str">
        <f aca="false">IF($A123="N/A"," ",IF(Dayrun2=10,0,IF(Scaler2=1,(VLOOKUP(A123,ScaledPrice2,4)),(VLOOKUP(A123,ScaledPrice2,2)))))</f>
        <v> </v>
      </c>
      <c r="D123" s="317" t="str">
        <f aca="false">IF(A123="N/A"," ",IF(Dayrun2&gt;=7,0,IF(Scaler2=2,VLOOKUP(A123,ScaledPrice2,2),(VLOOKUP(A123,ScaledPrice2,2))*(2-(VLOOKUP(A123,ScaledPrice2,3))))))</f>
        <v> </v>
      </c>
      <c r="E123" s="317" t="str">
        <f aca="false">IF($A123="N/A"," ",IF(AND(Dayrun2&gt;=4,Dayrun2&lt;=9),0,VLOOKUP($A123,ScaledPrice2,9)))</f>
        <v> </v>
      </c>
      <c r="F123" s="317" t="str">
        <f aca="false">IF(A123="N/A"," ",IF(OR(Dayrun2=2,Dayrun2=3,Dayrun2=5,Dayrun2=6,Dayrun2=8,Dayrun2=9),VLOOKUP(A123,ScaledPrice2,IF(Scaler2=1,6,5)),0))</f>
        <v> </v>
      </c>
      <c r="G123" s="317" t="str">
        <f aca="false">IF(A123="N/A"," ",IF(OR(Dayrun2=2,Dayrun2=3,Dayrun2=5,Dayrun2=6),IF(Scaler2=2,F123,(VLOOKUP(A123,ScaledPrice2,5))*(2-(VLOOKUP(A123,ScaledPrice2,3)))),0))</f>
        <v> </v>
      </c>
      <c r="H123" s="317" t="str">
        <f aca="false">IF($A123="N/A"," ",IF(OR(Dayrun2=2,Dayrun2=3,Dayrun2=10),VLOOKUP($A123,ScaledPrice2,9),0))</f>
        <v> </v>
      </c>
      <c r="I123" s="317" t="str">
        <f aca="false">IF(A123="N/A"," ",IF(OR(Dayrun2=3,Dayrun2=6,Dayrun2=9),(VLOOKUP(A123,ScaledPrice2,IF(Scaler2=2,7,8))),0))</f>
        <v> </v>
      </c>
      <c r="J123" s="317" t="str">
        <f aca="false">IF(A123="N/A"," ",IF(OR(Dayrun2=3,Dayrun2=6),IF(Scaler2=2,I123,(VLOOKUP(A123,ScaledPrice2,7))*(2-(VLOOKUP(A123,ScaledPrice2,3)))),0))</f>
        <v> </v>
      </c>
      <c r="K123" s="317" t="str">
        <f aca="false">IF($A123="N/A"," ",IF(OR(Dayrun2=3,Dayrun2=10),VLOOKUP($A123,ScaledPrice2,9),0))</f>
        <v> </v>
      </c>
      <c r="L123" s="318" t="str">
        <f aca="false">IF($A123="N/A"," ",IF(Pricetype2=2,MAX(C123,0),IF(OR(Pricetype2=1,Pricetype2=4),IF(C123=0,0,(EURO(C123,Strikeprice2,0,0,($AH123+IF(Smile=TRUE(),VLOOKUP(MAX(-5,Strikeprice2-C123),Volsmile,2),0)),($A123-DateToday)+15,IF(Pricetype2=1,1,0),0))),C123)))</f>
        <v> </v>
      </c>
      <c r="M123" s="318" t="str">
        <f aca="false">IF($A123="N/A"," ",IF(Pricetype2=2,MAX(D123,0),IF(OR(Pricetype2=1,Pricetype2=4),IF(D123=0,0,(EURO(D123,Strikeprice2,0,0,($AH123+IF(Smile=TRUE(),VLOOKUP(MAX(-5,Strikeprice2-D123),Volsmile,2),0)),($A123-DateToday)+15,IF(Pricetype2=1,1,0),0))),D123)))</f>
        <v> </v>
      </c>
      <c r="N123" s="318" t="str">
        <f aca="false">IF($A123="N/A"," ",IF(Pricetype2=2,MAX(E123,0),IF(OR(Pricetype2=1,Pricetype2=4),IF(E123=0,0,(EURO(E123,Strikeprice2,0,0,($AK123+IF(Smile=TRUE(),VLOOKUP(MAX(-5,Strikeprice2-E123),Volsmile,2),0)),($A123-DateToday)+15,IF(Pricetype2=1,1,0),0))),E123)))</f>
        <v> </v>
      </c>
      <c r="O123" s="318" t="str">
        <f aca="false">IF($A123="N/A"," ",IF(Pricetype2=2,MAX(F123,0),IF(OR(Pricetype2=1,Pricetype2=4),IF(F123=0,0,(EURO(F123,Strikeprice2,0,0,($AK123+IF(Smile=TRUE(),VLOOKUP(MAX(-5,Strikeprice2-F123),Volsmile,2),0)),($A123-DateToday)+15,IF(Pricetype2=1,1,0),0))),F123)))</f>
        <v> </v>
      </c>
      <c r="P123" s="318" t="str">
        <f aca="false">IF($A123="N/A"," ",IF(Pricetype2=2,MAX(G123,0),IF(OR(Pricetype2=1,Pricetype2=4),IF(G123=0,0,(EURO(G123,Strikeprice2,0,0,($AK123+IF(Smile=TRUE(),VLOOKUP(MAX(-5,Strikeprice2-G123),Volsmile,2),0)),($A123-DateToday)+15,IF(Pricetype2=1,1,0),0))),G123)))</f>
        <v> </v>
      </c>
      <c r="Q123" s="318" t="str">
        <f aca="false">IF($A123="N/A"," ",IF(Pricetype2=2,MAX(H123,0),IF(OR(Pricetype2=1,Pricetype2=4),IF(H123=0,0,(EURO(H123,Strikeprice2,0,0,($AK123+IF(Smile=TRUE(),VLOOKUP(MAX(-5,Strikeprice2-H123),Volsmile,2),0)),($A123-DateToday)+15,IF(Pricetype2=1,1,0),0))),H123)))</f>
        <v> </v>
      </c>
      <c r="R123" s="318" t="str">
        <f aca="false">IF($A123="N/A"," ",IF(Pricetype2=2,MAX(I123,0),IF(OR(Pricetype2=1,Pricetype2=4),IF(I123=0,0,(EURO(I123,Strikeprice2,0,0,($AK123+IF(Smile=TRUE(),VLOOKUP(MAX(-5,Strikeprice2-I123),Volsmile,2),0)),($A123-DateToday)+15,IF(Pricetype2=1,1,0),0))),I123)))</f>
        <v> </v>
      </c>
      <c r="S123" s="318" t="str">
        <f aca="false">IF($A123="N/A"," ",IF(Pricetype2=2,MAX(J123,0),IF(OR(Pricetype2=1,Pricetype2=4),IF(J123=0,0,(EURO(J123,Strikeprice2,0,0,($AK123+IF(Smile=TRUE(),VLOOKUP(MAX(-5,Strikeprice2-J123),Volsmile,2),0)),($A123-DateToday)+15,IF(Pricetype2=1,1,0),0))),J123)))</f>
        <v> </v>
      </c>
      <c r="T123" s="318" t="str">
        <f aca="false">IF($A123="N/A"," ",IF(Pricetype2=2,MAX(K123,0),IF(OR(Pricetype2=1,Pricetype2=4),IF(K123=0,0,(EURO(K123,Strikeprice2,0,0,($AK123+IF(Smile=TRUE(),VLOOKUP(MAX(-5,Strikeprice2-K123),Volsmile,2),0)),($A123-DateToday)+15,IF(Pricetype2=1,1,0),0))),K123)))</f>
        <v> </v>
      </c>
      <c r="U123" s="319" t="str">
        <f aca="false">IF($A123="N/A"," ",Volume2*$AM123)</f>
        <v> </v>
      </c>
      <c r="V123" s="320" t="str">
        <f aca="false">IF($A123="N/A"," ",$U123*(8*($BQ123))*L123)</f>
        <v> </v>
      </c>
      <c r="W123" s="320" t="str">
        <f aca="false">IF($A123="N/A"," ",$U123*(8*($BQ123))*M123)</f>
        <v> </v>
      </c>
      <c r="X123" s="320" t="str">
        <f aca="false">IF($A123="N/A"," ",$U123*(8*($BQ123))*N123)</f>
        <v> </v>
      </c>
      <c r="Y123" s="320" t="str">
        <f aca="false">IF($A123="N/A"," ",$U123*(8*($BR123))*O123)</f>
        <v> </v>
      </c>
      <c r="Z123" s="320" t="str">
        <f aca="false">IF($A123="N/A"," ",$U123*(8*($BR123))*P123)</f>
        <v> </v>
      </c>
      <c r="AA123" s="320" t="str">
        <f aca="false">IF($A123="N/A"," ",$U123*(8*($BR123))*Q123)</f>
        <v> </v>
      </c>
      <c r="AB123" s="320" t="str">
        <f aca="false">IF($A123="N/A"," ",$U123*(8*($BS123))*R123)</f>
        <v> </v>
      </c>
      <c r="AC123" s="320" t="str">
        <f aca="false">IF($A123="N/A"," ",$U123*(8*($BS123))*S123)</f>
        <v> </v>
      </c>
      <c r="AD123" s="320" t="str">
        <f aca="false">IF($A123="N/A"," ",$U123*(8*($BS123))*T123)</f>
        <v> </v>
      </c>
      <c r="AE123" s="320" t="str">
        <f aca="false">IF($A123="N/A"," ",SUM(V123:AD123))</f>
        <v> </v>
      </c>
      <c r="AF123" s="321" t="str">
        <f aca="false">IF(A123="N/A"," ",(VLOOKUP(A123,PowerVolTable,(IF(VolBMO2=2,7,IF(VolBMO2=1,6,8))),FALSE())))</f>
        <v> </v>
      </c>
      <c r="AG123" s="321" t="str">
        <f aca="false">IF(A123="N/A"," ",(VLOOKUP(A123,IntraPowerVol,(IF(VolBMO2=2,3,IF(VolBMO2=1,2,4))),FALSE())*VLOOKUP(MONTH($A123),Volscale,2)))</f>
        <v> </v>
      </c>
      <c r="AH123" s="321" t="str">
        <f aca="false">IF($A123="N/A"," ",IF(VolType2=1,AG123,AF123))</f>
        <v> </v>
      </c>
      <c r="AI123" s="321" t="str">
        <f aca="false">IF($A123="N/A"," ",(VLOOKUP($A123,OffPwrVolTable,(IF(VolBMO2=2,7,IF(VolBMO2=1,6,8))),FALSE())))</f>
        <v> </v>
      </c>
      <c r="AJ123" s="321" t="str">
        <f aca="false">IF($A123="N/A"," ",(VLOOKUP($A123,OffPwrVolTable,(IF(VolBMO2=2,3,IF(VolBMO2=1,2,4))),FALSE())*VLOOKUP(MONTH($A123),Volscale,2)))</f>
        <v> </v>
      </c>
      <c r="AK123" s="321" t="str">
        <f aca="false">IF($A123="N/A"," ",IF(VolType2=1,AJ123,AI123))</f>
        <v> </v>
      </c>
      <c r="AL123" s="321" t="str">
        <f aca="false">IF($A123="N/A"," ",IF(PV=1,0,'Pricing Inputs2'!R156))</f>
        <v> </v>
      </c>
      <c r="AM123" s="323" t="str">
        <f aca="false">IF($A123="N/A"," ",(1+AL123/2)^(-2*((EOMONTH(A123,0)+20)-DateToday)/365.25))</f>
        <v> </v>
      </c>
      <c r="BQ123" s="0" t="str">
        <f aca="false">IF($A123="N/A"," ",(VLOOKUP($A123,NumberofDaysTable,2)))</f>
        <v> </v>
      </c>
      <c r="BR123" s="0" t="str">
        <f aca="false">IF($A123="N/A"," ",(VLOOKUP($A123,NumberofDaysTable,3)))</f>
        <v> </v>
      </c>
      <c r="BS123" s="0" t="str">
        <f aca="false">IF($A123="N/A"," ",(VLOOKUP($A123,NumberofDaysTable,4)))</f>
        <v> </v>
      </c>
    </row>
    <row r="124" customFormat="false" ht="12.75" hidden="false" customHeight="false" outlineLevel="0" collapsed="false">
      <c r="A124" s="315" t="str">
        <f aca="false">IF(A123="N/A","N/A",IF(EDATE(A123,1)&gt;Inputs!$P$5,"N/A",EDATE(A123,1)))</f>
        <v>N/A</v>
      </c>
      <c r="B124" s="316" t="str">
        <f aca="false">IF(A124="N/A"," ",YEAR(A124))</f>
        <v> </v>
      </c>
      <c r="C124" s="317" t="str">
        <f aca="false">IF($A124="N/A"," ",IF(Dayrun2=10,0,IF(Scaler2=1,(VLOOKUP(A124,ScaledPrice2,4)),(VLOOKUP(A124,ScaledPrice2,2)))))</f>
        <v> </v>
      </c>
      <c r="D124" s="317" t="str">
        <f aca="false">IF(A124="N/A"," ",IF(Dayrun2&gt;=7,0,IF(Scaler2=2,VLOOKUP(A124,ScaledPrice2,2),(VLOOKUP(A124,ScaledPrice2,2))*(2-(VLOOKUP(A124,ScaledPrice2,3))))))</f>
        <v> </v>
      </c>
      <c r="E124" s="317" t="str">
        <f aca="false">IF($A124="N/A"," ",IF(AND(Dayrun2&gt;=4,Dayrun2&lt;=9),0,VLOOKUP($A124,ScaledPrice2,9)))</f>
        <v> </v>
      </c>
      <c r="F124" s="317" t="str">
        <f aca="false">IF(A124="N/A"," ",IF(OR(Dayrun2=2,Dayrun2=3,Dayrun2=5,Dayrun2=6,Dayrun2=8,Dayrun2=9),VLOOKUP(A124,ScaledPrice2,IF(Scaler2=1,6,5)),0))</f>
        <v> </v>
      </c>
      <c r="G124" s="317" t="str">
        <f aca="false">IF(A124="N/A"," ",IF(OR(Dayrun2=2,Dayrun2=3,Dayrun2=5,Dayrun2=6),IF(Scaler2=2,F124,(VLOOKUP(A124,ScaledPrice2,5))*(2-(VLOOKUP(A124,ScaledPrice2,3)))),0))</f>
        <v> </v>
      </c>
      <c r="H124" s="317" t="str">
        <f aca="false">IF($A124="N/A"," ",IF(OR(Dayrun2=2,Dayrun2=3,Dayrun2=10),VLOOKUP($A124,ScaledPrice2,9),0))</f>
        <v> </v>
      </c>
      <c r="I124" s="317" t="str">
        <f aca="false">IF(A124="N/A"," ",IF(OR(Dayrun2=3,Dayrun2=6,Dayrun2=9),(VLOOKUP(A124,ScaledPrice2,IF(Scaler2=2,7,8))),0))</f>
        <v> </v>
      </c>
      <c r="J124" s="317" t="str">
        <f aca="false">IF(A124="N/A"," ",IF(OR(Dayrun2=3,Dayrun2=6),IF(Scaler2=2,I124,(VLOOKUP(A124,ScaledPrice2,7))*(2-(VLOOKUP(A124,ScaledPrice2,3)))),0))</f>
        <v> </v>
      </c>
      <c r="K124" s="317" t="str">
        <f aca="false">IF($A124="N/A"," ",IF(OR(Dayrun2=3,Dayrun2=10),VLOOKUP($A124,ScaledPrice2,9),0))</f>
        <v> </v>
      </c>
      <c r="L124" s="318" t="str">
        <f aca="false">IF($A124="N/A"," ",IF(Pricetype2=2,MAX(C124,0),IF(OR(Pricetype2=1,Pricetype2=4),IF(C124=0,0,(EURO(C124,Strikeprice2,0,0,($AH124+IF(Smile=TRUE(),VLOOKUP(MAX(-5,Strikeprice2-C124),Volsmile,2),0)),($A124-DateToday)+15,IF(Pricetype2=1,1,0),0))),C124)))</f>
        <v> </v>
      </c>
      <c r="M124" s="318" t="str">
        <f aca="false">IF($A124="N/A"," ",IF(Pricetype2=2,MAX(D124,0),IF(OR(Pricetype2=1,Pricetype2=4),IF(D124=0,0,(EURO(D124,Strikeprice2,0,0,($AH124+IF(Smile=TRUE(),VLOOKUP(MAX(-5,Strikeprice2-D124),Volsmile,2),0)),($A124-DateToday)+15,IF(Pricetype2=1,1,0),0))),D124)))</f>
        <v> </v>
      </c>
      <c r="N124" s="318" t="str">
        <f aca="false">IF($A124="N/A"," ",IF(Pricetype2=2,MAX(E124,0),IF(OR(Pricetype2=1,Pricetype2=4),IF(E124=0,0,(EURO(E124,Strikeprice2,0,0,($AK124+IF(Smile=TRUE(),VLOOKUP(MAX(-5,Strikeprice2-E124),Volsmile,2),0)),($A124-DateToday)+15,IF(Pricetype2=1,1,0),0))),E124)))</f>
        <v> </v>
      </c>
      <c r="O124" s="318" t="str">
        <f aca="false">IF($A124="N/A"," ",IF(Pricetype2=2,MAX(F124,0),IF(OR(Pricetype2=1,Pricetype2=4),IF(F124=0,0,(EURO(F124,Strikeprice2,0,0,($AK124+IF(Smile=TRUE(),VLOOKUP(MAX(-5,Strikeprice2-F124),Volsmile,2),0)),($A124-DateToday)+15,IF(Pricetype2=1,1,0),0))),F124)))</f>
        <v> </v>
      </c>
      <c r="P124" s="318" t="str">
        <f aca="false">IF($A124="N/A"," ",IF(Pricetype2=2,MAX(G124,0),IF(OR(Pricetype2=1,Pricetype2=4),IF(G124=0,0,(EURO(G124,Strikeprice2,0,0,($AK124+IF(Smile=TRUE(),VLOOKUP(MAX(-5,Strikeprice2-G124),Volsmile,2),0)),($A124-DateToday)+15,IF(Pricetype2=1,1,0),0))),G124)))</f>
        <v> </v>
      </c>
      <c r="Q124" s="318" t="str">
        <f aca="false">IF($A124="N/A"," ",IF(Pricetype2=2,MAX(H124,0),IF(OR(Pricetype2=1,Pricetype2=4),IF(H124=0,0,(EURO(H124,Strikeprice2,0,0,($AK124+IF(Smile=TRUE(),VLOOKUP(MAX(-5,Strikeprice2-H124),Volsmile,2),0)),($A124-DateToday)+15,IF(Pricetype2=1,1,0),0))),H124)))</f>
        <v> </v>
      </c>
      <c r="R124" s="318" t="str">
        <f aca="false">IF($A124="N/A"," ",IF(Pricetype2=2,MAX(I124,0),IF(OR(Pricetype2=1,Pricetype2=4),IF(I124=0,0,(EURO(I124,Strikeprice2,0,0,($AK124+IF(Smile=TRUE(),VLOOKUP(MAX(-5,Strikeprice2-I124),Volsmile,2),0)),($A124-DateToday)+15,IF(Pricetype2=1,1,0),0))),I124)))</f>
        <v> </v>
      </c>
      <c r="S124" s="318" t="str">
        <f aca="false">IF($A124="N/A"," ",IF(Pricetype2=2,MAX(J124,0),IF(OR(Pricetype2=1,Pricetype2=4),IF(J124=0,0,(EURO(J124,Strikeprice2,0,0,($AK124+IF(Smile=TRUE(),VLOOKUP(MAX(-5,Strikeprice2-J124),Volsmile,2),0)),($A124-DateToday)+15,IF(Pricetype2=1,1,0),0))),J124)))</f>
        <v> </v>
      </c>
      <c r="T124" s="318" t="str">
        <f aca="false">IF($A124="N/A"," ",IF(Pricetype2=2,MAX(K124,0),IF(OR(Pricetype2=1,Pricetype2=4),IF(K124=0,0,(EURO(K124,Strikeprice2,0,0,($AK124+IF(Smile=TRUE(),VLOOKUP(MAX(-5,Strikeprice2-K124),Volsmile,2),0)),($A124-DateToday)+15,IF(Pricetype2=1,1,0),0))),K124)))</f>
        <v> </v>
      </c>
      <c r="U124" s="319" t="str">
        <f aca="false">IF($A124="N/A"," ",Volume2*$AM124)</f>
        <v> </v>
      </c>
      <c r="V124" s="320" t="str">
        <f aca="false">IF($A124="N/A"," ",$U124*(8*($BQ124))*L124)</f>
        <v> </v>
      </c>
      <c r="W124" s="320" t="str">
        <f aca="false">IF($A124="N/A"," ",$U124*(8*($BQ124))*M124)</f>
        <v> </v>
      </c>
      <c r="X124" s="320" t="str">
        <f aca="false">IF($A124="N/A"," ",$U124*(8*($BQ124))*N124)</f>
        <v> </v>
      </c>
      <c r="Y124" s="320" t="str">
        <f aca="false">IF($A124="N/A"," ",$U124*(8*($BR124))*O124)</f>
        <v> </v>
      </c>
      <c r="Z124" s="320" t="str">
        <f aca="false">IF($A124="N/A"," ",$U124*(8*($BR124))*P124)</f>
        <v> </v>
      </c>
      <c r="AA124" s="320" t="str">
        <f aca="false">IF($A124="N/A"," ",$U124*(8*($BR124))*Q124)</f>
        <v> </v>
      </c>
      <c r="AB124" s="320" t="str">
        <f aca="false">IF($A124="N/A"," ",$U124*(8*($BS124))*R124)</f>
        <v> </v>
      </c>
      <c r="AC124" s="320" t="str">
        <f aca="false">IF($A124="N/A"," ",$U124*(8*($BS124))*S124)</f>
        <v> </v>
      </c>
      <c r="AD124" s="320" t="str">
        <f aca="false">IF($A124="N/A"," ",$U124*(8*($BS124))*T124)</f>
        <v> </v>
      </c>
      <c r="AE124" s="320" t="str">
        <f aca="false">IF($A124="N/A"," ",SUM(V124:AD124))</f>
        <v> </v>
      </c>
      <c r="AF124" s="321" t="str">
        <f aca="false">IF(A124="N/A"," ",(VLOOKUP(A124,PowerVolTable,(IF(VolBMO2=2,7,IF(VolBMO2=1,6,8))),FALSE())))</f>
        <v> </v>
      </c>
      <c r="AG124" s="321" t="str">
        <f aca="false">IF(A124="N/A"," ",(VLOOKUP(A124,IntraPowerVol,(IF(VolBMO2=2,3,IF(VolBMO2=1,2,4))),FALSE())*VLOOKUP(MONTH($A124),Volscale,2)))</f>
        <v> </v>
      </c>
      <c r="AH124" s="321" t="str">
        <f aca="false">IF($A124="N/A"," ",IF(VolType2=1,AG124,AF124))</f>
        <v> </v>
      </c>
      <c r="AI124" s="321" t="str">
        <f aca="false">IF($A124="N/A"," ",(VLOOKUP($A124,OffPwrVolTable,(IF(VolBMO2=2,7,IF(VolBMO2=1,6,8))),FALSE())))</f>
        <v> </v>
      </c>
      <c r="AJ124" s="321" t="str">
        <f aca="false">IF($A124="N/A"," ",(VLOOKUP($A124,OffPwrVolTable,(IF(VolBMO2=2,3,IF(VolBMO2=1,2,4))),FALSE())*VLOOKUP(MONTH($A124),Volscale,2)))</f>
        <v> </v>
      </c>
      <c r="AK124" s="321" t="str">
        <f aca="false">IF($A124="N/A"," ",IF(VolType2=1,AJ124,AI124))</f>
        <v> </v>
      </c>
      <c r="AL124" s="321" t="str">
        <f aca="false">IF($A124="N/A"," ",IF(PV=1,0,'Pricing Inputs2'!R157))</f>
        <v> </v>
      </c>
      <c r="AM124" s="323" t="str">
        <f aca="false">IF($A124="N/A"," ",(1+AL124/2)^(-2*((EOMONTH(A124,0)+20)-DateToday)/365.25))</f>
        <v> </v>
      </c>
      <c r="BQ124" s="0" t="str">
        <f aca="false">IF($A124="N/A"," ",(VLOOKUP($A124,NumberofDaysTable,2)))</f>
        <v> </v>
      </c>
      <c r="BR124" s="0" t="str">
        <f aca="false">IF($A124="N/A"," ",(VLOOKUP($A124,NumberofDaysTable,3)))</f>
        <v> </v>
      </c>
      <c r="BS124" s="0" t="str">
        <f aca="false">IF($A124="N/A"," ",(VLOOKUP($A124,NumberofDaysTable,4)))</f>
        <v> </v>
      </c>
    </row>
    <row r="125" customFormat="false" ht="12.75" hidden="false" customHeight="false" outlineLevel="0" collapsed="false">
      <c r="A125" s="315" t="str">
        <f aca="false">IF(A124="N/A","N/A",IF(EDATE(A124,1)&gt;Inputs!$P$5,"N/A",EDATE(A124,1)))</f>
        <v>N/A</v>
      </c>
      <c r="B125" s="316" t="str">
        <f aca="false">IF(A125="N/A"," ",YEAR(A125))</f>
        <v> </v>
      </c>
      <c r="C125" s="317" t="str">
        <f aca="false">IF($A125="N/A"," ",IF(Dayrun2=10,0,IF(Scaler2=1,(VLOOKUP(A125,ScaledPrice2,4)),(VLOOKUP(A125,ScaledPrice2,2)))))</f>
        <v> </v>
      </c>
      <c r="D125" s="317" t="str">
        <f aca="false">IF(A125="N/A"," ",IF(Dayrun2&gt;=7,0,IF(Scaler2=2,VLOOKUP(A125,ScaledPrice2,2),(VLOOKUP(A125,ScaledPrice2,2))*(2-(VLOOKUP(A125,ScaledPrice2,3))))))</f>
        <v> </v>
      </c>
      <c r="E125" s="317" t="str">
        <f aca="false">IF($A125="N/A"," ",IF(AND(Dayrun2&gt;=4,Dayrun2&lt;=9),0,VLOOKUP($A125,ScaledPrice2,9)))</f>
        <v> </v>
      </c>
      <c r="F125" s="317" t="str">
        <f aca="false">IF(A125="N/A"," ",IF(OR(Dayrun2=2,Dayrun2=3,Dayrun2=5,Dayrun2=6,Dayrun2=8,Dayrun2=9),VLOOKUP(A125,ScaledPrice2,IF(Scaler2=1,6,5)),0))</f>
        <v> </v>
      </c>
      <c r="G125" s="317" t="str">
        <f aca="false">IF(A125="N/A"," ",IF(OR(Dayrun2=2,Dayrun2=3,Dayrun2=5,Dayrun2=6),IF(Scaler2=2,F125,(VLOOKUP(A125,ScaledPrice2,5))*(2-(VLOOKUP(A125,ScaledPrice2,3)))),0))</f>
        <v> </v>
      </c>
      <c r="H125" s="317" t="str">
        <f aca="false">IF($A125="N/A"," ",IF(OR(Dayrun2=2,Dayrun2=3,Dayrun2=10),VLOOKUP($A125,ScaledPrice2,9),0))</f>
        <v> </v>
      </c>
      <c r="I125" s="317" t="str">
        <f aca="false">IF(A125="N/A"," ",IF(OR(Dayrun2=3,Dayrun2=6,Dayrun2=9),(VLOOKUP(A125,ScaledPrice2,IF(Scaler2=2,7,8))),0))</f>
        <v> </v>
      </c>
      <c r="J125" s="317" t="str">
        <f aca="false">IF(A125="N/A"," ",IF(OR(Dayrun2=3,Dayrun2=6),IF(Scaler2=2,I125,(VLOOKUP(A125,ScaledPrice2,7))*(2-(VLOOKUP(A125,ScaledPrice2,3)))),0))</f>
        <v> </v>
      </c>
      <c r="K125" s="317" t="str">
        <f aca="false">IF($A125="N/A"," ",IF(OR(Dayrun2=3,Dayrun2=10),VLOOKUP($A125,ScaledPrice2,9),0))</f>
        <v> </v>
      </c>
      <c r="L125" s="318" t="str">
        <f aca="false">IF($A125="N/A"," ",IF(Pricetype2=2,MAX(C125,0),IF(OR(Pricetype2=1,Pricetype2=4),IF(C125=0,0,(EURO(C125,Strikeprice2,0,0,($AH125+IF(Smile=TRUE(),VLOOKUP(MAX(-5,Strikeprice2-C125),Volsmile,2),0)),($A125-DateToday)+15,IF(Pricetype2=1,1,0),0))),C125)))</f>
        <v> </v>
      </c>
      <c r="M125" s="318" t="str">
        <f aca="false">IF($A125="N/A"," ",IF(Pricetype2=2,MAX(D125,0),IF(OR(Pricetype2=1,Pricetype2=4),IF(D125=0,0,(EURO(D125,Strikeprice2,0,0,($AH125+IF(Smile=TRUE(),VLOOKUP(MAX(-5,Strikeprice2-D125),Volsmile,2),0)),($A125-DateToday)+15,IF(Pricetype2=1,1,0),0))),D125)))</f>
        <v> </v>
      </c>
      <c r="N125" s="318" t="str">
        <f aca="false">IF($A125="N/A"," ",IF(Pricetype2=2,MAX(E125,0),IF(OR(Pricetype2=1,Pricetype2=4),IF(E125=0,0,(EURO(E125,Strikeprice2,0,0,($AK125+IF(Smile=TRUE(),VLOOKUP(MAX(-5,Strikeprice2-E125),Volsmile,2),0)),($A125-DateToday)+15,IF(Pricetype2=1,1,0),0))),E125)))</f>
        <v> </v>
      </c>
      <c r="O125" s="318" t="str">
        <f aca="false">IF($A125="N/A"," ",IF(Pricetype2=2,MAX(F125,0),IF(OR(Pricetype2=1,Pricetype2=4),IF(F125=0,0,(EURO(F125,Strikeprice2,0,0,($AK125+IF(Smile=TRUE(),VLOOKUP(MAX(-5,Strikeprice2-F125),Volsmile,2),0)),($A125-DateToday)+15,IF(Pricetype2=1,1,0),0))),F125)))</f>
        <v> </v>
      </c>
      <c r="P125" s="318" t="str">
        <f aca="false">IF($A125="N/A"," ",IF(Pricetype2=2,MAX(G125,0),IF(OR(Pricetype2=1,Pricetype2=4),IF(G125=0,0,(EURO(G125,Strikeprice2,0,0,($AK125+IF(Smile=TRUE(),VLOOKUP(MAX(-5,Strikeprice2-G125),Volsmile,2),0)),($A125-DateToday)+15,IF(Pricetype2=1,1,0),0))),G125)))</f>
        <v> </v>
      </c>
      <c r="Q125" s="318" t="str">
        <f aca="false">IF($A125="N/A"," ",IF(Pricetype2=2,MAX(H125,0),IF(OR(Pricetype2=1,Pricetype2=4),IF(H125=0,0,(EURO(H125,Strikeprice2,0,0,($AK125+IF(Smile=TRUE(),VLOOKUP(MAX(-5,Strikeprice2-H125),Volsmile,2),0)),($A125-DateToday)+15,IF(Pricetype2=1,1,0),0))),H125)))</f>
        <v> </v>
      </c>
      <c r="R125" s="318" t="str">
        <f aca="false">IF($A125="N/A"," ",IF(Pricetype2=2,MAX(I125,0),IF(OR(Pricetype2=1,Pricetype2=4),IF(I125=0,0,(EURO(I125,Strikeprice2,0,0,($AK125+IF(Smile=TRUE(),VLOOKUP(MAX(-5,Strikeprice2-I125),Volsmile,2),0)),($A125-DateToday)+15,IF(Pricetype2=1,1,0),0))),I125)))</f>
        <v> </v>
      </c>
      <c r="S125" s="318" t="str">
        <f aca="false">IF($A125="N/A"," ",IF(Pricetype2=2,MAX(J125,0),IF(OR(Pricetype2=1,Pricetype2=4),IF(J125=0,0,(EURO(J125,Strikeprice2,0,0,($AK125+IF(Smile=TRUE(),VLOOKUP(MAX(-5,Strikeprice2-J125),Volsmile,2),0)),($A125-DateToday)+15,IF(Pricetype2=1,1,0),0))),J125)))</f>
        <v> </v>
      </c>
      <c r="T125" s="318" t="str">
        <f aca="false">IF($A125="N/A"," ",IF(Pricetype2=2,MAX(K125,0),IF(OR(Pricetype2=1,Pricetype2=4),IF(K125=0,0,(EURO(K125,Strikeprice2,0,0,($AK125+IF(Smile=TRUE(),VLOOKUP(MAX(-5,Strikeprice2-K125),Volsmile,2),0)),($A125-DateToday)+15,IF(Pricetype2=1,1,0),0))),K125)))</f>
        <v> </v>
      </c>
      <c r="U125" s="319" t="str">
        <f aca="false">IF($A125="N/A"," ",Volume2*$AM125)</f>
        <v> </v>
      </c>
      <c r="V125" s="320" t="str">
        <f aca="false">IF($A125="N/A"," ",$U125*(8*($BQ125))*L125)</f>
        <v> </v>
      </c>
      <c r="W125" s="320" t="str">
        <f aca="false">IF($A125="N/A"," ",$U125*(8*($BQ125))*M125)</f>
        <v> </v>
      </c>
      <c r="X125" s="320" t="str">
        <f aca="false">IF($A125="N/A"," ",$U125*(8*($BQ125))*N125)</f>
        <v> </v>
      </c>
      <c r="Y125" s="320" t="str">
        <f aca="false">IF($A125="N/A"," ",$U125*(8*($BR125))*O125)</f>
        <v> </v>
      </c>
      <c r="Z125" s="320" t="str">
        <f aca="false">IF($A125="N/A"," ",$U125*(8*($BR125))*P125)</f>
        <v> </v>
      </c>
      <c r="AA125" s="320" t="str">
        <f aca="false">IF($A125="N/A"," ",$U125*(8*($BR125))*Q125)</f>
        <v> </v>
      </c>
      <c r="AB125" s="320" t="str">
        <f aca="false">IF($A125="N/A"," ",$U125*(8*($BS125))*R125)</f>
        <v> </v>
      </c>
      <c r="AC125" s="320" t="str">
        <f aca="false">IF($A125="N/A"," ",$U125*(8*($BS125))*S125)</f>
        <v> </v>
      </c>
      <c r="AD125" s="320" t="str">
        <f aca="false">IF($A125="N/A"," ",$U125*(8*($BS125))*T125)</f>
        <v> </v>
      </c>
      <c r="AE125" s="320" t="str">
        <f aca="false">IF($A125="N/A"," ",SUM(V125:AD125))</f>
        <v> </v>
      </c>
      <c r="AF125" s="321" t="str">
        <f aca="false">IF(A125="N/A"," ",(VLOOKUP(A125,PowerVolTable,(IF(VolBMO2=2,7,IF(VolBMO2=1,6,8))),FALSE())))</f>
        <v> </v>
      </c>
      <c r="AG125" s="321" t="str">
        <f aca="false">IF(A125="N/A"," ",(VLOOKUP(A125,IntraPowerVol,(IF(VolBMO2=2,3,IF(VolBMO2=1,2,4))),FALSE())*VLOOKUP(MONTH($A125),Volscale,2)))</f>
        <v> </v>
      </c>
      <c r="AH125" s="321" t="str">
        <f aca="false">IF($A125="N/A"," ",IF(VolType2=1,AG125,AF125))</f>
        <v> </v>
      </c>
      <c r="AI125" s="321" t="str">
        <f aca="false">IF($A125="N/A"," ",(VLOOKUP($A125,OffPwrVolTable,(IF(VolBMO2=2,7,IF(VolBMO2=1,6,8))),FALSE())))</f>
        <v> </v>
      </c>
      <c r="AJ125" s="321" t="str">
        <f aca="false">IF($A125="N/A"," ",(VLOOKUP($A125,OffPwrVolTable,(IF(VolBMO2=2,3,IF(VolBMO2=1,2,4))),FALSE())*VLOOKUP(MONTH($A125),Volscale,2)))</f>
        <v> </v>
      </c>
      <c r="AK125" s="321" t="str">
        <f aca="false">IF($A125="N/A"," ",IF(VolType2=1,AJ125,AI125))</f>
        <v> </v>
      </c>
      <c r="AL125" s="321" t="str">
        <f aca="false">IF($A125="N/A"," ",IF(PV=1,0,'Pricing Inputs2'!R158))</f>
        <v> </v>
      </c>
      <c r="AM125" s="323" t="str">
        <f aca="false">IF($A125="N/A"," ",(1+AL125/2)^(-2*((EOMONTH(A125,0)+20)-DateToday)/365.25))</f>
        <v> </v>
      </c>
      <c r="BQ125" s="0" t="str">
        <f aca="false">IF($A125="N/A"," ",(VLOOKUP($A125,NumberofDaysTable,2)))</f>
        <v> </v>
      </c>
      <c r="BR125" s="0" t="str">
        <f aca="false">IF($A125="N/A"," ",(VLOOKUP($A125,NumberofDaysTable,3)))</f>
        <v> </v>
      </c>
      <c r="BS125" s="0" t="str">
        <f aca="false">IF($A125="N/A"," ",(VLOOKUP($A125,NumberofDaysTable,4)))</f>
        <v> </v>
      </c>
    </row>
    <row r="126" customFormat="false" ht="12.75" hidden="false" customHeight="false" outlineLevel="0" collapsed="false">
      <c r="A126" s="315" t="str">
        <f aca="false">IF(A125="N/A","N/A",IF(EDATE(A125,1)&gt;Inputs!$P$5,"N/A",EDATE(A125,1)))</f>
        <v>N/A</v>
      </c>
      <c r="B126" s="316" t="str">
        <f aca="false">IF(A126="N/A"," ",YEAR(A126))</f>
        <v> </v>
      </c>
      <c r="C126" s="317" t="str">
        <f aca="false">IF($A126="N/A"," ",IF(Dayrun2=10,0,IF(Scaler2=1,(VLOOKUP(A126,ScaledPrice2,4)),(VLOOKUP(A126,ScaledPrice2,2)))))</f>
        <v> </v>
      </c>
      <c r="D126" s="317" t="str">
        <f aca="false">IF(A126="N/A"," ",IF(Dayrun2&gt;=7,0,IF(Scaler2=2,VLOOKUP(A126,ScaledPrice2,2),(VLOOKUP(A126,ScaledPrice2,2))*(2-(VLOOKUP(A126,ScaledPrice2,3))))))</f>
        <v> </v>
      </c>
      <c r="E126" s="317" t="str">
        <f aca="false">IF($A126="N/A"," ",IF(AND(Dayrun2&gt;=4,Dayrun2&lt;=9),0,VLOOKUP($A126,ScaledPrice2,9)))</f>
        <v> </v>
      </c>
      <c r="F126" s="317" t="str">
        <f aca="false">IF(A126="N/A"," ",IF(OR(Dayrun2=2,Dayrun2=3,Dayrun2=5,Dayrun2=6,Dayrun2=8,Dayrun2=9),VLOOKUP(A126,ScaledPrice2,IF(Scaler2=1,6,5)),0))</f>
        <v> </v>
      </c>
      <c r="G126" s="317" t="str">
        <f aca="false">IF(A126="N/A"," ",IF(OR(Dayrun2=2,Dayrun2=3,Dayrun2=5,Dayrun2=6),IF(Scaler2=2,F126,(VLOOKUP(A126,ScaledPrice2,5))*(2-(VLOOKUP(A126,ScaledPrice2,3)))),0))</f>
        <v> </v>
      </c>
      <c r="H126" s="317" t="str">
        <f aca="false">IF($A126="N/A"," ",IF(OR(Dayrun2=2,Dayrun2=3,Dayrun2=10),VLOOKUP($A126,ScaledPrice2,9),0))</f>
        <v> </v>
      </c>
      <c r="I126" s="317" t="str">
        <f aca="false">IF(A126="N/A"," ",IF(OR(Dayrun2=3,Dayrun2=6,Dayrun2=9),(VLOOKUP(A126,ScaledPrice2,IF(Scaler2=2,7,8))),0))</f>
        <v> </v>
      </c>
      <c r="J126" s="317" t="str">
        <f aca="false">IF(A126="N/A"," ",IF(OR(Dayrun2=3,Dayrun2=6),IF(Scaler2=2,I126,(VLOOKUP(A126,ScaledPrice2,7))*(2-(VLOOKUP(A126,ScaledPrice2,3)))),0))</f>
        <v> </v>
      </c>
      <c r="K126" s="317" t="str">
        <f aca="false">IF($A126="N/A"," ",IF(OR(Dayrun2=3,Dayrun2=10),VLOOKUP($A126,ScaledPrice2,9),0))</f>
        <v> </v>
      </c>
      <c r="L126" s="318" t="str">
        <f aca="false">IF($A126="N/A"," ",IF(Pricetype2=2,MAX(C126,0),IF(OR(Pricetype2=1,Pricetype2=4),IF(C126=0,0,(EURO(C126,Strikeprice2,0,0,($AH126+IF(Smile=TRUE(),VLOOKUP(MAX(-5,Strikeprice2-C126),Volsmile,2),0)),($A126-DateToday)+15,IF(Pricetype2=1,1,0),0))),C126)))</f>
        <v> </v>
      </c>
      <c r="M126" s="318" t="str">
        <f aca="false">IF($A126="N/A"," ",IF(Pricetype2=2,MAX(D126,0),IF(OR(Pricetype2=1,Pricetype2=4),IF(D126=0,0,(EURO(D126,Strikeprice2,0,0,($AH126+IF(Smile=TRUE(),VLOOKUP(MAX(-5,Strikeprice2-D126),Volsmile,2),0)),($A126-DateToday)+15,IF(Pricetype2=1,1,0),0))),D126)))</f>
        <v> </v>
      </c>
      <c r="N126" s="318" t="str">
        <f aca="false">IF($A126="N/A"," ",IF(Pricetype2=2,MAX(E126,0),IF(OR(Pricetype2=1,Pricetype2=4),IF(E126=0,0,(EURO(E126,Strikeprice2,0,0,($AK126+IF(Smile=TRUE(),VLOOKUP(MAX(-5,Strikeprice2-E126),Volsmile,2),0)),($A126-DateToday)+15,IF(Pricetype2=1,1,0),0))),E126)))</f>
        <v> </v>
      </c>
      <c r="O126" s="318" t="str">
        <f aca="false">IF($A126="N/A"," ",IF(Pricetype2=2,MAX(F126,0),IF(OR(Pricetype2=1,Pricetype2=4),IF(F126=0,0,(EURO(F126,Strikeprice2,0,0,($AK126+IF(Smile=TRUE(),VLOOKUP(MAX(-5,Strikeprice2-F126),Volsmile,2),0)),($A126-DateToday)+15,IF(Pricetype2=1,1,0),0))),F126)))</f>
        <v> </v>
      </c>
      <c r="P126" s="318" t="str">
        <f aca="false">IF($A126="N/A"," ",IF(Pricetype2=2,MAX(G126,0),IF(OR(Pricetype2=1,Pricetype2=4),IF(G126=0,0,(EURO(G126,Strikeprice2,0,0,($AK126+IF(Smile=TRUE(),VLOOKUP(MAX(-5,Strikeprice2-G126),Volsmile,2),0)),($A126-DateToday)+15,IF(Pricetype2=1,1,0),0))),G126)))</f>
        <v> </v>
      </c>
      <c r="Q126" s="318" t="str">
        <f aca="false">IF($A126="N/A"," ",IF(Pricetype2=2,MAX(H126,0),IF(OR(Pricetype2=1,Pricetype2=4),IF(H126=0,0,(EURO(H126,Strikeprice2,0,0,($AK126+IF(Smile=TRUE(),VLOOKUP(MAX(-5,Strikeprice2-H126),Volsmile,2),0)),($A126-DateToday)+15,IF(Pricetype2=1,1,0),0))),H126)))</f>
        <v> </v>
      </c>
      <c r="R126" s="318" t="str">
        <f aca="false">IF($A126="N/A"," ",IF(Pricetype2=2,MAX(I126,0),IF(OR(Pricetype2=1,Pricetype2=4),IF(I126=0,0,(EURO(I126,Strikeprice2,0,0,($AK126+IF(Smile=TRUE(),VLOOKUP(MAX(-5,Strikeprice2-I126),Volsmile,2),0)),($A126-DateToday)+15,IF(Pricetype2=1,1,0),0))),I126)))</f>
        <v> </v>
      </c>
      <c r="S126" s="318" t="str">
        <f aca="false">IF($A126="N/A"," ",IF(Pricetype2=2,MAX(J126,0),IF(OR(Pricetype2=1,Pricetype2=4),IF(J126=0,0,(EURO(J126,Strikeprice2,0,0,($AK126+IF(Smile=TRUE(),VLOOKUP(MAX(-5,Strikeprice2-J126),Volsmile,2),0)),($A126-DateToday)+15,IF(Pricetype2=1,1,0),0))),J126)))</f>
        <v> </v>
      </c>
      <c r="T126" s="318" t="str">
        <f aca="false">IF($A126="N/A"," ",IF(Pricetype2=2,MAX(K126,0),IF(OR(Pricetype2=1,Pricetype2=4),IF(K126=0,0,(EURO(K126,Strikeprice2,0,0,($AK126+IF(Smile=TRUE(),VLOOKUP(MAX(-5,Strikeprice2-K126),Volsmile,2),0)),($A126-DateToday)+15,IF(Pricetype2=1,1,0),0))),K126)))</f>
        <v> </v>
      </c>
      <c r="U126" s="319" t="str">
        <f aca="false">IF($A126="N/A"," ",Volume2*$AM126)</f>
        <v> </v>
      </c>
      <c r="V126" s="320" t="str">
        <f aca="false">IF($A126="N/A"," ",$U126*(8*($BQ126))*L126)</f>
        <v> </v>
      </c>
      <c r="W126" s="320" t="str">
        <f aca="false">IF($A126="N/A"," ",$U126*(8*($BQ126))*M126)</f>
        <v> </v>
      </c>
      <c r="X126" s="320" t="str">
        <f aca="false">IF($A126="N/A"," ",$U126*(8*($BQ126))*N126)</f>
        <v> </v>
      </c>
      <c r="Y126" s="320" t="str">
        <f aca="false">IF($A126="N/A"," ",$U126*(8*($BR126))*O126)</f>
        <v> </v>
      </c>
      <c r="Z126" s="320" t="str">
        <f aca="false">IF($A126="N/A"," ",$U126*(8*($BR126))*P126)</f>
        <v> </v>
      </c>
      <c r="AA126" s="320" t="str">
        <f aca="false">IF($A126="N/A"," ",$U126*(8*($BR126))*Q126)</f>
        <v> </v>
      </c>
      <c r="AB126" s="320" t="str">
        <f aca="false">IF($A126="N/A"," ",$U126*(8*($BS126))*R126)</f>
        <v> </v>
      </c>
      <c r="AC126" s="320" t="str">
        <f aca="false">IF($A126="N/A"," ",$U126*(8*($BS126))*S126)</f>
        <v> </v>
      </c>
      <c r="AD126" s="320" t="str">
        <f aca="false">IF($A126="N/A"," ",$U126*(8*($BS126))*T126)</f>
        <v> </v>
      </c>
      <c r="AE126" s="320" t="str">
        <f aca="false">IF($A126="N/A"," ",SUM(V126:AD126))</f>
        <v> </v>
      </c>
      <c r="AF126" s="321" t="str">
        <f aca="false">IF(A126="N/A"," ",(VLOOKUP(A126,PowerVolTable,(IF(VolBMO2=2,7,IF(VolBMO2=1,6,8))),FALSE())))</f>
        <v> </v>
      </c>
      <c r="AG126" s="321" t="str">
        <f aca="false">IF(A126="N/A"," ",(VLOOKUP(A126,IntraPowerVol,(IF(VolBMO2=2,3,IF(VolBMO2=1,2,4))),FALSE())*VLOOKUP(MONTH($A126),Volscale,2)))</f>
        <v> </v>
      </c>
      <c r="AH126" s="321" t="str">
        <f aca="false">IF($A126="N/A"," ",IF(VolType2=1,AG126,AF126))</f>
        <v> </v>
      </c>
      <c r="AI126" s="321" t="str">
        <f aca="false">IF($A126="N/A"," ",(VLOOKUP($A126,OffPwrVolTable,(IF(VolBMO2=2,7,IF(VolBMO2=1,6,8))),FALSE())))</f>
        <v> </v>
      </c>
      <c r="AJ126" s="321" t="str">
        <f aca="false">IF($A126="N/A"," ",(VLOOKUP($A126,OffPwrVolTable,(IF(VolBMO2=2,3,IF(VolBMO2=1,2,4))),FALSE())*VLOOKUP(MONTH($A126),Volscale,2)))</f>
        <v> </v>
      </c>
      <c r="AK126" s="321" t="str">
        <f aca="false">IF($A126="N/A"," ",IF(VolType2=1,AJ126,AI126))</f>
        <v> </v>
      </c>
      <c r="AL126" s="321" t="str">
        <f aca="false">IF($A126="N/A"," ",IF(PV=1,0,'Pricing Inputs2'!R159))</f>
        <v> </v>
      </c>
      <c r="AM126" s="323" t="str">
        <f aca="false">IF($A126="N/A"," ",(1+AL126/2)^(-2*((EOMONTH(A126,0)+20)-DateToday)/365.25))</f>
        <v> </v>
      </c>
      <c r="BQ126" s="0" t="str">
        <f aca="false">IF($A126="N/A"," ",(VLOOKUP($A126,NumberofDaysTable,2)))</f>
        <v> </v>
      </c>
      <c r="BR126" s="0" t="str">
        <f aca="false">IF($A126="N/A"," ",(VLOOKUP($A126,NumberofDaysTable,3)))</f>
        <v> </v>
      </c>
      <c r="BS126" s="0" t="str">
        <f aca="false">IF($A126="N/A"," ",(VLOOKUP($A126,NumberofDaysTable,4)))</f>
        <v> </v>
      </c>
    </row>
    <row r="127" customFormat="false" ht="12.75" hidden="false" customHeight="false" outlineLevel="0" collapsed="false">
      <c r="A127" s="315" t="str">
        <f aca="false">IF(A126="N/A","N/A",IF(EDATE(A126,1)&gt;Inputs!$P$5,"N/A",EDATE(A126,1)))</f>
        <v>N/A</v>
      </c>
      <c r="B127" s="316" t="str">
        <f aca="false">IF(A127="N/A"," ",YEAR(A127))</f>
        <v> </v>
      </c>
      <c r="C127" s="317" t="str">
        <f aca="false">IF($A127="N/A"," ",IF(Dayrun2=10,0,IF(Scaler2=1,(VLOOKUP(A127,ScaledPrice2,4)),(VLOOKUP(A127,ScaledPrice2,2)))))</f>
        <v> </v>
      </c>
      <c r="D127" s="317" t="str">
        <f aca="false">IF(A127="N/A"," ",IF(Dayrun2&gt;=7,0,IF(Scaler2=2,VLOOKUP(A127,ScaledPrice2,2),(VLOOKUP(A127,ScaledPrice2,2))*(2-(VLOOKUP(A127,ScaledPrice2,3))))))</f>
        <v> </v>
      </c>
      <c r="E127" s="317" t="str">
        <f aca="false">IF($A127="N/A"," ",IF(AND(Dayrun2&gt;=4,Dayrun2&lt;=9),0,VLOOKUP($A127,ScaledPrice2,9)))</f>
        <v> </v>
      </c>
      <c r="F127" s="317" t="str">
        <f aca="false">IF(A127="N/A"," ",IF(OR(Dayrun2=2,Dayrun2=3,Dayrun2=5,Dayrun2=6,Dayrun2=8,Dayrun2=9),VLOOKUP(A127,ScaledPrice2,IF(Scaler2=1,6,5)),0))</f>
        <v> </v>
      </c>
      <c r="G127" s="317" t="str">
        <f aca="false">IF(A127="N/A"," ",IF(OR(Dayrun2=2,Dayrun2=3,Dayrun2=5,Dayrun2=6),IF(Scaler2=2,F127,(VLOOKUP(A127,ScaledPrice2,5))*(2-(VLOOKUP(A127,ScaledPrice2,3)))),0))</f>
        <v> </v>
      </c>
      <c r="H127" s="317" t="str">
        <f aca="false">IF($A127="N/A"," ",IF(OR(Dayrun2=2,Dayrun2=3,Dayrun2=10),VLOOKUP($A127,ScaledPrice2,9),0))</f>
        <v> </v>
      </c>
      <c r="I127" s="317" t="str">
        <f aca="false">IF(A127="N/A"," ",IF(OR(Dayrun2=3,Dayrun2=6,Dayrun2=9),(VLOOKUP(A127,ScaledPrice2,IF(Scaler2=2,7,8))),0))</f>
        <v> </v>
      </c>
      <c r="J127" s="317" t="str">
        <f aca="false">IF(A127="N/A"," ",IF(OR(Dayrun2=3,Dayrun2=6),IF(Scaler2=2,I127,(VLOOKUP(A127,ScaledPrice2,7))*(2-(VLOOKUP(A127,ScaledPrice2,3)))),0))</f>
        <v> </v>
      </c>
      <c r="K127" s="317" t="str">
        <f aca="false">IF($A127="N/A"," ",IF(OR(Dayrun2=3,Dayrun2=10),VLOOKUP($A127,ScaledPrice2,9),0))</f>
        <v> </v>
      </c>
      <c r="L127" s="318" t="str">
        <f aca="false">IF($A127="N/A"," ",IF(Pricetype2=2,MAX(C127,0),IF(OR(Pricetype2=1,Pricetype2=4),IF(C127=0,0,(EURO(C127,Strikeprice2,0,0,($AH127+IF(Smile=TRUE(),VLOOKUP(MAX(-5,Strikeprice2-C127),Volsmile,2),0)),($A127-DateToday)+15,IF(Pricetype2=1,1,0),0))),C127)))</f>
        <v> </v>
      </c>
      <c r="M127" s="318" t="str">
        <f aca="false">IF($A127="N/A"," ",IF(Pricetype2=2,MAX(D127,0),IF(OR(Pricetype2=1,Pricetype2=4),IF(D127=0,0,(EURO(D127,Strikeprice2,0,0,($AH127+IF(Smile=TRUE(),VLOOKUP(MAX(-5,Strikeprice2-D127),Volsmile,2),0)),($A127-DateToday)+15,IF(Pricetype2=1,1,0),0))),D127)))</f>
        <v> </v>
      </c>
      <c r="N127" s="318" t="str">
        <f aca="false">IF($A127="N/A"," ",IF(Pricetype2=2,MAX(E127,0),IF(OR(Pricetype2=1,Pricetype2=4),IF(E127=0,0,(EURO(E127,Strikeprice2,0,0,($AK127+IF(Smile=TRUE(),VLOOKUP(MAX(-5,Strikeprice2-E127),Volsmile,2),0)),($A127-DateToday)+15,IF(Pricetype2=1,1,0),0))),E127)))</f>
        <v> </v>
      </c>
      <c r="O127" s="318" t="str">
        <f aca="false">IF($A127="N/A"," ",IF(Pricetype2=2,MAX(F127,0),IF(OR(Pricetype2=1,Pricetype2=4),IF(F127=0,0,(EURO(F127,Strikeprice2,0,0,($AK127+IF(Smile=TRUE(),VLOOKUP(MAX(-5,Strikeprice2-F127),Volsmile,2),0)),($A127-DateToday)+15,IF(Pricetype2=1,1,0),0))),F127)))</f>
        <v> </v>
      </c>
      <c r="P127" s="318" t="str">
        <f aca="false">IF($A127="N/A"," ",IF(Pricetype2=2,MAX(G127,0),IF(OR(Pricetype2=1,Pricetype2=4),IF(G127=0,0,(EURO(G127,Strikeprice2,0,0,($AK127+IF(Smile=TRUE(),VLOOKUP(MAX(-5,Strikeprice2-G127),Volsmile,2),0)),($A127-DateToday)+15,IF(Pricetype2=1,1,0),0))),G127)))</f>
        <v> </v>
      </c>
      <c r="Q127" s="318" t="str">
        <f aca="false">IF($A127="N/A"," ",IF(Pricetype2=2,MAX(H127,0),IF(OR(Pricetype2=1,Pricetype2=4),IF(H127=0,0,(EURO(H127,Strikeprice2,0,0,($AK127+IF(Smile=TRUE(),VLOOKUP(MAX(-5,Strikeprice2-H127),Volsmile,2),0)),($A127-DateToday)+15,IF(Pricetype2=1,1,0),0))),H127)))</f>
        <v> </v>
      </c>
      <c r="R127" s="318" t="str">
        <f aca="false">IF($A127="N/A"," ",IF(Pricetype2=2,MAX(I127,0),IF(OR(Pricetype2=1,Pricetype2=4),IF(I127=0,0,(EURO(I127,Strikeprice2,0,0,($AK127+IF(Smile=TRUE(),VLOOKUP(MAX(-5,Strikeprice2-I127),Volsmile,2),0)),($A127-DateToday)+15,IF(Pricetype2=1,1,0),0))),I127)))</f>
        <v> </v>
      </c>
      <c r="S127" s="318" t="str">
        <f aca="false">IF($A127="N/A"," ",IF(Pricetype2=2,MAX(J127,0),IF(OR(Pricetype2=1,Pricetype2=4),IF(J127=0,0,(EURO(J127,Strikeprice2,0,0,($AK127+IF(Smile=TRUE(),VLOOKUP(MAX(-5,Strikeprice2-J127),Volsmile,2),0)),($A127-DateToday)+15,IF(Pricetype2=1,1,0),0))),J127)))</f>
        <v> </v>
      </c>
      <c r="T127" s="318" t="str">
        <f aca="false">IF($A127="N/A"," ",IF(Pricetype2=2,MAX(K127,0),IF(OR(Pricetype2=1,Pricetype2=4),IF(K127=0,0,(EURO(K127,Strikeprice2,0,0,($AK127+IF(Smile=TRUE(),VLOOKUP(MAX(-5,Strikeprice2-K127),Volsmile,2),0)),($A127-DateToday)+15,IF(Pricetype2=1,1,0),0))),K127)))</f>
        <v> </v>
      </c>
      <c r="U127" s="319" t="str">
        <f aca="false">IF($A127="N/A"," ",Volume2*$AM127)</f>
        <v> </v>
      </c>
      <c r="V127" s="320" t="str">
        <f aca="false">IF($A127="N/A"," ",$U127*(8*($BQ127))*L127)</f>
        <v> </v>
      </c>
      <c r="W127" s="320" t="str">
        <f aca="false">IF($A127="N/A"," ",$U127*(8*($BQ127))*M127)</f>
        <v> </v>
      </c>
      <c r="X127" s="320" t="str">
        <f aca="false">IF($A127="N/A"," ",$U127*(8*($BQ127))*N127)</f>
        <v> </v>
      </c>
      <c r="Y127" s="320" t="str">
        <f aca="false">IF($A127="N/A"," ",$U127*(8*($BR127))*O127)</f>
        <v> </v>
      </c>
      <c r="Z127" s="320" t="str">
        <f aca="false">IF($A127="N/A"," ",$U127*(8*($BR127))*P127)</f>
        <v> </v>
      </c>
      <c r="AA127" s="320" t="str">
        <f aca="false">IF($A127="N/A"," ",$U127*(8*($BR127))*Q127)</f>
        <v> </v>
      </c>
      <c r="AB127" s="320" t="str">
        <f aca="false">IF($A127="N/A"," ",$U127*(8*($BS127))*R127)</f>
        <v> </v>
      </c>
      <c r="AC127" s="320" t="str">
        <f aca="false">IF($A127="N/A"," ",$U127*(8*($BS127))*S127)</f>
        <v> </v>
      </c>
      <c r="AD127" s="320" t="str">
        <f aca="false">IF($A127="N/A"," ",$U127*(8*($BS127))*T127)</f>
        <v> </v>
      </c>
      <c r="AE127" s="320" t="str">
        <f aca="false">IF($A127="N/A"," ",SUM(V127:AD127))</f>
        <v> </v>
      </c>
      <c r="AF127" s="321" t="str">
        <f aca="false">IF(A127="N/A"," ",(VLOOKUP(A127,PowerVolTable,(IF(VolBMO2=2,7,IF(VolBMO2=1,6,8))),FALSE())))</f>
        <v> </v>
      </c>
      <c r="AG127" s="321" t="str">
        <f aca="false">IF(A127="N/A"," ",(VLOOKUP(A127,IntraPowerVol,(IF(VolBMO2=2,3,IF(VolBMO2=1,2,4))),FALSE())*VLOOKUP(MONTH($A127),Volscale,2)))</f>
        <v> </v>
      </c>
      <c r="AH127" s="321" t="str">
        <f aca="false">IF($A127="N/A"," ",IF(VolType2=1,AG127,AF127))</f>
        <v> </v>
      </c>
      <c r="AI127" s="321" t="str">
        <f aca="false">IF($A127="N/A"," ",(VLOOKUP($A127,OffPwrVolTable,(IF(VolBMO2=2,7,IF(VolBMO2=1,6,8))),FALSE())))</f>
        <v> </v>
      </c>
      <c r="AJ127" s="321" t="str">
        <f aca="false">IF($A127="N/A"," ",(VLOOKUP($A127,OffPwrVolTable,(IF(VolBMO2=2,3,IF(VolBMO2=1,2,4))),FALSE())*VLOOKUP(MONTH($A127),Volscale,2)))</f>
        <v> </v>
      </c>
      <c r="AK127" s="321" t="str">
        <f aca="false">IF($A127="N/A"," ",IF(VolType2=1,AJ127,AI127))</f>
        <v> </v>
      </c>
      <c r="AL127" s="321" t="str">
        <f aca="false">IF($A127="N/A"," ",IF(PV=1,0,'Pricing Inputs2'!R160))</f>
        <v> </v>
      </c>
      <c r="AM127" s="323" t="str">
        <f aca="false">IF($A127="N/A"," ",(1+AL127/2)^(-2*((EOMONTH(A127,0)+20)-DateToday)/365.25))</f>
        <v> </v>
      </c>
      <c r="BQ127" s="0" t="str">
        <f aca="false">IF($A127="N/A"," ",(VLOOKUP($A127,NumberofDaysTable,2)))</f>
        <v> </v>
      </c>
      <c r="BR127" s="0" t="str">
        <f aca="false">IF($A127="N/A"," ",(VLOOKUP($A127,NumberofDaysTable,3)))</f>
        <v> </v>
      </c>
      <c r="BS127" s="0" t="str">
        <f aca="false">IF($A127="N/A"," ",(VLOOKUP($A127,NumberofDaysTable,4)))</f>
        <v> </v>
      </c>
    </row>
    <row r="128" customFormat="false" ht="12.75" hidden="false" customHeight="false" outlineLevel="0" collapsed="false">
      <c r="A128" s="315" t="str">
        <f aca="false">IF(A127="N/A","N/A",IF(EDATE(A127,1)&gt;Inputs!$P$5,"N/A",EDATE(A127,1)))</f>
        <v>N/A</v>
      </c>
      <c r="B128" s="316" t="str">
        <f aca="false">IF(A128="N/A"," ",YEAR(A128))</f>
        <v> </v>
      </c>
      <c r="C128" s="317" t="str">
        <f aca="false">IF($A128="N/A"," ",IF(Dayrun2=10,0,IF(Scaler2=1,(VLOOKUP(A128,ScaledPrice2,4)),(VLOOKUP(A128,ScaledPrice2,2)))))</f>
        <v> </v>
      </c>
      <c r="D128" s="317" t="str">
        <f aca="false">IF(A128="N/A"," ",IF(Dayrun2&gt;=7,0,IF(Scaler2=2,VLOOKUP(A128,ScaledPrice2,2),(VLOOKUP(A128,ScaledPrice2,2))*(2-(VLOOKUP(A128,ScaledPrice2,3))))))</f>
        <v> </v>
      </c>
      <c r="E128" s="317" t="str">
        <f aca="false">IF($A128="N/A"," ",IF(AND(Dayrun2&gt;=4,Dayrun2&lt;=9),0,VLOOKUP($A128,ScaledPrice2,9)))</f>
        <v> </v>
      </c>
      <c r="F128" s="317" t="str">
        <f aca="false">IF(A128="N/A"," ",IF(OR(Dayrun2=2,Dayrun2=3,Dayrun2=5,Dayrun2=6,Dayrun2=8,Dayrun2=9),VLOOKUP(A128,ScaledPrice2,IF(Scaler2=1,6,5)),0))</f>
        <v> </v>
      </c>
      <c r="G128" s="317" t="str">
        <f aca="false">IF(A128="N/A"," ",IF(OR(Dayrun2=2,Dayrun2=3,Dayrun2=5,Dayrun2=6),IF(Scaler2=2,F128,(VLOOKUP(A128,ScaledPrice2,5))*(2-(VLOOKUP(A128,ScaledPrice2,3)))),0))</f>
        <v> </v>
      </c>
      <c r="H128" s="317" t="str">
        <f aca="false">IF($A128="N/A"," ",IF(OR(Dayrun2=2,Dayrun2=3,Dayrun2=10),VLOOKUP($A128,ScaledPrice2,9),0))</f>
        <v> </v>
      </c>
      <c r="I128" s="317" t="str">
        <f aca="false">IF(A128="N/A"," ",IF(OR(Dayrun2=3,Dayrun2=6,Dayrun2=9),(VLOOKUP(A128,ScaledPrice2,IF(Scaler2=2,7,8))),0))</f>
        <v> </v>
      </c>
      <c r="J128" s="317" t="str">
        <f aca="false">IF(A128="N/A"," ",IF(OR(Dayrun2=3,Dayrun2=6),IF(Scaler2=2,I128,(VLOOKUP(A128,ScaledPrice2,7))*(2-(VLOOKUP(A128,ScaledPrice2,3)))),0))</f>
        <v> </v>
      </c>
      <c r="K128" s="317" t="str">
        <f aca="false">IF($A128="N/A"," ",IF(OR(Dayrun2=3,Dayrun2=10),VLOOKUP($A128,ScaledPrice2,9),0))</f>
        <v> </v>
      </c>
      <c r="L128" s="318" t="str">
        <f aca="false">IF($A128="N/A"," ",IF(Pricetype2=2,MAX(C128,0),IF(OR(Pricetype2=1,Pricetype2=4),IF(C128=0,0,(EURO(C128,Strikeprice2,0,0,($AH128+IF(Smile=TRUE(),VLOOKUP(MAX(-5,Strikeprice2-C128),Volsmile,2),0)),($A128-DateToday)+15,IF(Pricetype2=1,1,0),0))),C128)))</f>
        <v> </v>
      </c>
      <c r="M128" s="318" t="str">
        <f aca="false">IF($A128="N/A"," ",IF(Pricetype2=2,MAX(D128,0),IF(OR(Pricetype2=1,Pricetype2=4),IF(D128=0,0,(EURO(D128,Strikeprice2,0,0,($AH128+IF(Smile=TRUE(),VLOOKUP(MAX(-5,Strikeprice2-D128),Volsmile,2),0)),($A128-DateToday)+15,IF(Pricetype2=1,1,0),0))),D128)))</f>
        <v> </v>
      </c>
      <c r="N128" s="318" t="str">
        <f aca="false">IF($A128="N/A"," ",IF(Pricetype2=2,MAX(E128,0),IF(OR(Pricetype2=1,Pricetype2=4),IF(E128=0,0,(EURO(E128,Strikeprice2,0,0,($AK128+IF(Smile=TRUE(),VLOOKUP(MAX(-5,Strikeprice2-E128),Volsmile,2),0)),($A128-DateToday)+15,IF(Pricetype2=1,1,0),0))),E128)))</f>
        <v> </v>
      </c>
      <c r="O128" s="318" t="str">
        <f aca="false">IF($A128="N/A"," ",IF(Pricetype2=2,MAX(F128,0),IF(OR(Pricetype2=1,Pricetype2=4),IF(F128=0,0,(EURO(F128,Strikeprice2,0,0,($AK128+IF(Smile=TRUE(),VLOOKUP(MAX(-5,Strikeprice2-F128),Volsmile,2),0)),($A128-DateToday)+15,IF(Pricetype2=1,1,0),0))),F128)))</f>
        <v> </v>
      </c>
      <c r="P128" s="318" t="str">
        <f aca="false">IF($A128="N/A"," ",IF(Pricetype2=2,MAX(G128,0),IF(OR(Pricetype2=1,Pricetype2=4),IF(G128=0,0,(EURO(G128,Strikeprice2,0,0,($AK128+IF(Smile=TRUE(),VLOOKUP(MAX(-5,Strikeprice2-G128),Volsmile,2),0)),($A128-DateToday)+15,IF(Pricetype2=1,1,0),0))),G128)))</f>
        <v> </v>
      </c>
      <c r="Q128" s="318" t="str">
        <f aca="false">IF($A128="N/A"," ",IF(Pricetype2=2,MAX(H128,0),IF(OR(Pricetype2=1,Pricetype2=4),IF(H128=0,0,(EURO(H128,Strikeprice2,0,0,($AK128+IF(Smile=TRUE(),VLOOKUP(MAX(-5,Strikeprice2-H128),Volsmile,2),0)),($A128-DateToday)+15,IF(Pricetype2=1,1,0),0))),H128)))</f>
        <v> </v>
      </c>
      <c r="R128" s="318" t="str">
        <f aca="false">IF($A128="N/A"," ",IF(Pricetype2=2,MAX(I128,0),IF(OR(Pricetype2=1,Pricetype2=4),IF(I128=0,0,(EURO(I128,Strikeprice2,0,0,($AK128+IF(Smile=TRUE(),VLOOKUP(MAX(-5,Strikeprice2-I128),Volsmile,2),0)),($A128-DateToday)+15,IF(Pricetype2=1,1,0),0))),I128)))</f>
        <v> </v>
      </c>
      <c r="S128" s="318" t="str">
        <f aca="false">IF($A128="N/A"," ",IF(Pricetype2=2,MAX(J128,0),IF(OR(Pricetype2=1,Pricetype2=4),IF(J128=0,0,(EURO(J128,Strikeprice2,0,0,($AK128+IF(Smile=TRUE(),VLOOKUP(MAX(-5,Strikeprice2-J128),Volsmile,2),0)),($A128-DateToday)+15,IF(Pricetype2=1,1,0),0))),J128)))</f>
        <v> </v>
      </c>
      <c r="T128" s="318" t="str">
        <f aca="false">IF($A128="N/A"," ",IF(Pricetype2=2,MAX(K128,0),IF(OR(Pricetype2=1,Pricetype2=4),IF(K128=0,0,(EURO(K128,Strikeprice2,0,0,($AK128+IF(Smile=TRUE(),VLOOKUP(MAX(-5,Strikeprice2-K128),Volsmile,2),0)),($A128-DateToday)+15,IF(Pricetype2=1,1,0),0))),K128)))</f>
        <v> </v>
      </c>
      <c r="U128" s="319" t="str">
        <f aca="false">IF($A128="N/A"," ",Volume2*$AM128)</f>
        <v> </v>
      </c>
      <c r="V128" s="320" t="str">
        <f aca="false">IF($A128="N/A"," ",$U128*(8*($BQ128))*L128)</f>
        <v> </v>
      </c>
      <c r="W128" s="320" t="str">
        <f aca="false">IF($A128="N/A"," ",$U128*(8*($BQ128))*M128)</f>
        <v> </v>
      </c>
      <c r="X128" s="320" t="str">
        <f aca="false">IF($A128="N/A"," ",$U128*(8*($BQ128))*N128)</f>
        <v> </v>
      </c>
      <c r="Y128" s="320" t="str">
        <f aca="false">IF($A128="N/A"," ",$U128*(8*($BR128))*O128)</f>
        <v> </v>
      </c>
      <c r="Z128" s="320" t="str">
        <f aca="false">IF($A128="N/A"," ",$U128*(8*($BR128))*P128)</f>
        <v> </v>
      </c>
      <c r="AA128" s="320" t="str">
        <f aca="false">IF($A128="N/A"," ",$U128*(8*($BR128))*Q128)</f>
        <v> </v>
      </c>
      <c r="AB128" s="320" t="str">
        <f aca="false">IF($A128="N/A"," ",$U128*(8*($BS128))*R128)</f>
        <v> </v>
      </c>
      <c r="AC128" s="320" t="str">
        <f aca="false">IF($A128="N/A"," ",$U128*(8*($BS128))*S128)</f>
        <v> </v>
      </c>
      <c r="AD128" s="320" t="str">
        <f aca="false">IF($A128="N/A"," ",$U128*(8*($BS128))*T128)</f>
        <v> </v>
      </c>
      <c r="AE128" s="320" t="str">
        <f aca="false">IF($A128="N/A"," ",SUM(V128:AD128))</f>
        <v> </v>
      </c>
      <c r="AF128" s="321" t="str">
        <f aca="false">IF(A128="N/A"," ",(VLOOKUP(A128,PowerVolTable,(IF(VolBMO2=2,7,IF(VolBMO2=1,6,8))),FALSE())))</f>
        <v> </v>
      </c>
      <c r="AG128" s="321" t="str">
        <f aca="false">IF(A128="N/A"," ",(VLOOKUP(A128,IntraPowerVol,(IF(VolBMO2=2,3,IF(VolBMO2=1,2,4))),FALSE())*VLOOKUP(MONTH($A128),Volscale,2)))</f>
        <v> </v>
      </c>
      <c r="AH128" s="321" t="str">
        <f aca="false">IF($A128="N/A"," ",IF(VolType2=1,AG128,AF128))</f>
        <v> </v>
      </c>
      <c r="AI128" s="321" t="str">
        <f aca="false">IF($A128="N/A"," ",(VLOOKUP($A128,OffPwrVolTable,(IF(VolBMO2=2,7,IF(VolBMO2=1,6,8))),FALSE())))</f>
        <v> </v>
      </c>
      <c r="AJ128" s="321" t="str">
        <f aca="false">IF($A128="N/A"," ",(VLOOKUP($A128,OffPwrVolTable,(IF(VolBMO2=2,3,IF(VolBMO2=1,2,4))),FALSE())*VLOOKUP(MONTH($A128),Volscale,2)))</f>
        <v> </v>
      </c>
      <c r="AK128" s="321" t="str">
        <f aca="false">IF($A128="N/A"," ",IF(VolType2=1,AJ128,AI128))</f>
        <v> </v>
      </c>
      <c r="AL128" s="321" t="str">
        <f aca="false">IF($A128="N/A"," ",IF(PV=1,0,'Pricing Inputs2'!R161))</f>
        <v> </v>
      </c>
      <c r="AM128" s="323" t="str">
        <f aca="false">IF($A128="N/A"," ",(1+AL128/2)^(-2*((EOMONTH(A128,0)+20)-DateToday)/365.25))</f>
        <v> </v>
      </c>
      <c r="BQ128" s="0" t="str">
        <f aca="false">IF($A128="N/A"," ",(VLOOKUP($A128,NumberofDaysTable,2)))</f>
        <v> </v>
      </c>
      <c r="BR128" s="0" t="str">
        <f aca="false">IF($A128="N/A"," ",(VLOOKUP($A128,NumberofDaysTable,3)))</f>
        <v> </v>
      </c>
      <c r="BS128" s="0" t="str">
        <f aca="false">IF($A128="N/A"," ",(VLOOKUP($A128,NumberofDaysTable,4)))</f>
        <v> </v>
      </c>
    </row>
    <row r="129" customFormat="false" ht="12.75" hidden="false" customHeight="false" outlineLevel="0" collapsed="false">
      <c r="A129" s="315" t="str">
        <f aca="false">IF(A128="N/A","N/A",IF(EDATE(A128,1)&gt;Inputs!$P$5,"N/A",EDATE(A128,1)))</f>
        <v>N/A</v>
      </c>
      <c r="B129" s="316" t="str">
        <f aca="false">IF(A129="N/A"," ",YEAR(A129))</f>
        <v> </v>
      </c>
      <c r="C129" s="317" t="str">
        <f aca="false">IF($A129="N/A"," ",IF(Dayrun2=10,0,IF(Scaler2=1,(VLOOKUP(A129,ScaledPrice2,4)),(VLOOKUP(A129,ScaledPrice2,2)))))</f>
        <v> </v>
      </c>
      <c r="D129" s="317" t="str">
        <f aca="false">IF(A129="N/A"," ",IF(Dayrun2&gt;=7,0,IF(Scaler2=2,VLOOKUP(A129,ScaledPrice2,2),(VLOOKUP(A129,ScaledPrice2,2))*(2-(VLOOKUP(A129,ScaledPrice2,3))))))</f>
        <v> </v>
      </c>
      <c r="E129" s="317" t="str">
        <f aca="false">IF($A129="N/A"," ",IF(AND(Dayrun2&gt;=4,Dayrun2&lt;=9),0,VLOOKUP($A129,ScaledPrice2,9)))</f>
        <v> </v>
      </c>
      <c r="F129" s="317" t="str">
        <f aca="false">IF(A129="N/A"," ",IF(OR(Dayrun2=2,Dayrun2=3,Dayrun2=5,Dayrun2=6,Dayrun2=8,Dayrun2=9),VLOOKUP(A129,ScaledPrice2,IF(Scaler2=1,6,5)),0))</f>
        <v> </v>
      </c>
      <c r="G129" s="317" t="str">
        <f aca="false">IF(A129="N/A"," ",IF(OR(Dayrun2=2,Dayrun2=3,Dayrun2=5,Dayrun2=6),IF(Scaler2=2,F129,(VLOOKUP(A129,ScaledPrice2,5))*(2-(VLOOKUP(A129,ScaledPrice2,3)))),0))</f>
        <v> </v>
      </c>
      <c r="H129" s="317" t="str">
        <f aca="false">IF($A129="N/A"," ",IF(OR(Dayrun2=2,Dayrun2=3,Dayrun2=10),VLOOKUP($A129,ScaledPrice2,9),0))</f>
        <v> </v>
      </c>
      <c r="I129" s="317" t="str">
        <f aca="false">IF(A129="N/A"," ",IF(OR(Dayrun2=3,Dayrun2=6,Dayrun2=9),(VLOOKUP(A129,ScaledPrice2,IF(Scaler2=2,7,8))),0))</f>
        <v> </v>
      </c>
      <c r="J129" s="317" t="str">
        <f aca="false">IF(A129="N/A"," ",IF(OR(Dayrun2=3,Dayrun2=6),IF(Scaler2=2,I129,(VLOOKUP(A129,ScaledPrice2,7))*(2-(VLOOKUP(A129,ScaledPrice2,3)))),0))</f>
        <v> </v>
      </c>
      <c r="K129" s="317" t="str">
        <f aca="false">IF($A129="N/A"," ",IF(OR(Dayrun2=3,Dayrun2=10),VLOOKUP($A129,ScaledPrice2,9),0))</f>
        <v> </v>
      </c>
      <c r="L129" s="318" t="str">
        <f aca="false">IF($A129="N/A"," ",IF(Pricetype2=2,MAX(C129,0),IF(OR(Pricetype2=1,Pricetype2=4),IF(C129=0,0,(EURO(C129,Strikeprice2,0,0,($AH129+IF(Smile=TRUE(),VLOOKUP(MAX(-5,Strikeprice2-C129),Volsmile,2),0)),($A129-DateToday)+15,IF(Pricetype2=1,1,0),0))),C129)))</f>
        <v> </v>
      </c>
      <c r="M129" s="318" t="str">
        <f aca="false">IF($A129="N/A"," ",IF(Pricetype2=2,MAX(D129,0),IF(OR(Pricetype2=1,Pricetype2=4),IF(D129=0,0,(EURO(D129,Strikeprice2,0,0,($AH129+IF(Smile=TRUE(),VLOOKUP(MAX(-5,Strikeprice2-D129),Volsmile,2),0)),($A129-DateToday)+15,IF(Pricetype2=1,1,0),0))),D129)))</f>
        <v> </v>
      </c>
      <c r="N129" s="318" t="str">
        <f aca="false">IF($A129="N/A"," ",IF(Pricetype2=2,MAX(E129,0),IF(OR(Pricetype2=1,Pricetype2=4),IF(E129=0,0,(EURO(E129,Strikeprice2,0,0,($AK129+IF(Smile=TRUE(),VLOOKUP(MAX(-5,Strikeprice2-E129),Volsmile,2),0)),($A129-DateToday)+15,IF(Pricetype2=1,1,0),0))),E129)))</f>
        <v> </v>
      </c>
      <c r="O129" s="318" t="str">
        <f aca="false">IF($A129="N/A"," ",IF(Pricetype2=2,MAX(F129,0),IF(OR(Pricetype2=1,Pricetype2=4),IF(F129=0,0,(EURO(F129,Strikeprice2,0,0,($AK129+IF(Smile=TRUE(),VLOOKUP(MAX(-5,Strikeprice2-F129),Volsmile,2),0)),($A129-DateToday)+15,IF(Pricetype2=1,1,0),0))),F129)))</f>
        <v> </v>
      </c>
      <c r="P129" s="318" t="str">
        <f aca="false">IF($A129="N/A"," ",IF(Pricetype2=2,MAX(G129,0),IF(OR(Pricetype2=1,Pricetype2=4),IF(G129=0,0,(EURO(G129,Strikeprice2,0,0,($AK129+IF(Smile=TRUE(),VLOOKUP(MAX(-5,Strikeprice2-G129),Volsmile,2),0)),($A129-DateToday)+15,IF(Pricetype2=1,1,0),0))),G129)))</f>
        <v> </v>
      </c>
      <c r="Q129" s="318" t="str">
        <f aca="false">IF($A129="N/A"," ",IF(Pricetype2=2,MAX(H129,0),IF(OR(Pricetype2=1,Pricetype2=4),IF(H129=0,0,(EURO(H129,Strikeprice2,0,0,($AK129+IF(Smile=TRUE(),VLOOKUP(MAX(-5,Strikeprice2-H129),Volsmile,2),0)),($A129-DateToday)+15,IF(Pricetype2=1,1,0),0))),H129)))</f>
        <v> </v>
      </c>
      <c r="R129" s="318" t="str">
        <f aca="false">IF($A129="N/A"," ",IF(Pricetype2=2,MAX(I129,0),IF(OR(Pricetype2=1,Pricetype2=4),IF(I129=0,0,(EURO(I129,Strikeprice2,0,0,($AK129+IF(Smile=TRUE(),VLOOKUP(MAX(-5,Strikeprice2-I129),Volsmile,2),0)),($A129-DateToday)+15,IF(Pricetype2=1,1,0),0))),I129)))</f>
        <v> </v>
      </c>
      <c r="S129" s="318" t="str">
        <f aca="false">IF($A129="N/A"," ",IF(Pricetype2=2,MAX(J129,0),IF(OR(Pricetype2=1,Pricetype2=4),IF(J129=0,0,(EURO(J129,Strikeprice2,0,0,($AK129+IF(Smile=TRUE(),VLOOKUP(MAX(-5,Strikeprice2-J129),Volsmile,2),0)),($A129-DateToday)+15,IF(Pricetype2=1,1,0),0))),J129)))</f>
        <v> </v>
      </c>
      <c r="T129" s="318" t="str">
        <f aca="false">IF($A129="N/A"," ",IF(Pricetype2=2,MAX(K129,0),IF(OR(Pricetype2=1,Pricetype2=4),IF(K129=0,0,(EURO(K129,Strikeprice2,0,0,($AK129+IF(Smile=TRUE(),VLOOKUP(MAX(-5,Strikeprice2-K129),Volsmile,2),0)),($A129-DateToday)+15,IF(Pricetype2=1,1,0),0))),K129)))</f>
        <v> </v>
      </c>
      <c r="U129" s="319" t="str">
        <f aca="false">IF($A129="N/A"," ",Volume2*$AM129)</f>
        <v> </v>
      </c>
      <c r="V129" s="320" t="str">
        <f aca="false">IF($A129="N/A"," ",$U129*(8*($BQ129))*L129)</f>
        <v> </v>
      </c>
      <c r="W129" s="320" t="str">
        <f aca="false">IF($A129="N/A"," ",$U129*(8*($BQ129))*M129)</f>
        <v> </v>
      </c>
      <c r="X129" s="320" t="str">
        <f aca="false">IF($A129="N/A"," ",$U129*(8*($BQ129))*N129)</f>
        <v> </v>
      </c>
      <c r="Y129" s="320" t="str">
        <f aca="false">IF($A129="N/A"," ",$U129*(8*($BR129))*O129)</f>
        <v> </v>
      </c>
      <c r="Z129" s="320" t="str">
        <f aca="false">IF($A129="N/A"," ",$U129*(8*($BR129))*P129)</f>
        <v> </v>
      </c>
      <c r="AA129" s="320" t="str">
        <f aca="false">IF($A129="N/A"," ",$U129*(8*($BR129))*Q129)</f>
        <v> </v>
      </c>
      <c r="AB129" s="320" t="str">
        <f aca="false">IF($A129="N/A"," ",$U129*(8*($BS129))*R129)</f>
        <v> </v>
      </c>
      <c r="AC129" s="320" t="str">
        <f aca="false">IF($A129="N/A"," ",$U129*(8*($BS129))*S129)</f>
        <v> </v>
      </c>
      <c r="AD129" s="320" t="str">
        <f aca="false">IF($A129="N/A"," ",$U129*(8*($BS129))*T129)</f>
        <v> </v>
      </c>
      <c r="AE129" s="320" t="str">
        <f aca="false">IF($A129="N/A"," ",SUM(V129:AD129))</f>
        <v> </v>
      </c>
      <c r="AF129" s="321" t="str">
        <f aca="false">IF(A129="N/A"," ",(VLOOKUP(A129,PowerVolTable,(IF(VolBMO2=2,7,IF(VolBMO2=1,6,8))),FALSE())))</f>
        <v> </v>
      </c>
      <c r="AG129" s="321" t="str">
        <f aca="false">IF(A129="N/A"," ",(VLOOKUP(A129,IntraPowerVol,(IF(VolBMO2=2,3,IF(VolBMO2=1,2,4))),FALSE())*VLOOKUP(MONTH($A129),Volscale,2)))</f>
        <v> </v>
      </c>
      <c r="AH129" s="321" t="str">
        <f aca="false">IF($A129="N/A"," ",IF(VolType2=1,AG129,AF129))</f>
        <v> </v>
      </c>
      <c r="AI129" s="321" t="str">
        <f aca="false">IF($A129="N/A"," ",(VLOOKUP($A129,OffPwrVolTable,(IF(VolBMO2=2,7,IF(VolBMO2=1,6,8))),FALSE())))</f>
        <v> </v>
      </c>
      <c r="AJ129" s="321" t="str">
        <f aca="false">IF($A129="N/A"," ",(VLOOKUP($A129,OffPwrVolTable,(IF(VolBMO2=2,3,IF(VolBMO2=1,2,4))),FALSE())*VLOOKUP(MONTH($A129),Volscale,2)))</f>
        <v> </v>
      </c>
      <c r="AK129" s="321" t="str">
        <f aca="false">IF($A129="N/A"," ",IF(VolType2=1,AJ129,AI129))</f>
        <v> </v>
      </c>
      <c r="AL129" s="321" t="str">
        <f aca="false">IF($A129="N/A"," ",IF(PV=1,0,'Pricing Inputs2'!R162))</f>
        <v> </v>
      </c>
      <c r="AM129" s="323" t="str">
        <f aca="false">IF($A129="N/A"," ",(1+AL129/2)^(-2*((EOMONTH(A129,0)+20)-DateToday)/365.25))</f>
        <v> </v>
      </c>
      <c r="BQ129" s="0" t="str">
        <f aca="false">IF($A129="N/A"," ",(VLOOKUP($A129,NumberofDaysTable,2)))</f>
        <v> </v>
      </c>
      <c r="BR129" s="0" t="str">
        <f aca="false">IF($A129="N/A"," ",(VLOOKUP($A129,NumberofDaysTable,3)))</f>
        <v> </v>
      </c>
      <c r="BS129" s="0" t="str">
        <f aca="false">IF($A129="N/A"," ",(VLOOKUP($A129,NumberofDaysTable,4)))</f>
        <v> </v>
      </c>
    </row>
    <row r="130" customFormat="false" ht="12.75" hidden="false" customHeight="false" outlineLevel="0" collapsed="false">
      <c r="A130" s="315" t="str">
        <f aca="false">IF(A129="N/A","N/A",IF(EDATE(A129,1)&gt;Inputs!$P$5,"N/A",EDATE(A129,1)))</f>
        <v>N/A</v>
      </c>
      <c r="B130" s="316" t="str">
        <f aca="false">IF(A130="N/A"," ",YEAR(A130))</f>
        <v> </v>
      </c>
      <c r="C130" s="317" t="str">
        <f aca="false">IF($A130="N/A"," ",IF(Dayrun2=10,0,IF(Scaler2=1,(VLOOKUP(A130,ScaledPrice2,4)),(VLOOKUP(A130,ScaledPrice2,2)))))</f>
        <v> </v>
      </c>
      <c r="D130" s="317" t="str">
        <f aca="false">IF(A130="N/A"," ",IF(Dayrun2&gt;=7,0,IF(Scaler2=2,VLOOKUP(A130,ScaledPrice2,2),(VLOOKUP(A130,ScaledPrice2,2))*(2-(VLOOKUP(A130,ScaledPrice2,3))))))</f>
        <v> </v>
      </c>
      <c r="E130" s="317" t="str">
        <f aca="false">IF($A130="N/A"," ",IF(AND(Dayrun2&gt;=4,Dayrun2&lt;=9),0,VLOOKUP($A130,ScaledPrice2,9)))</f>
        <v> </v>
      </c>
      <c r="F130" s="317" t="str">
        <f aca="false">IF(A130="N/A"," ",IF(OR(Dayrun2=2,Dayrun2=3,Dayrun2=5,Dayrun2=6,Dayrun2=8,Dayrun2=9),VLOOKUP(A130,ScaledPrice2,IF(Scaler2=1,6,5)),0))</f>
        <v> </v>
      </c>
      <c r="G130" s="317" t="str">
        <f aca="false">IF(A130="N/A"," ",IF(OR(Dayrun2=2,Dayrun2=3,Dayrun2=5,Dayrun2=6),IF(Scaler2=2,F130,(VLOOKUP(A130,ScaledPrice2,5))*(2-(VLOOKUP(A130,ScaledPrice2,3)))),0))</f>
        <v> </v>
      </c>
      <c r="H130" s="317" t="str">
        <f aca="false">IF($A130="N/A"," ",IF(OR(Dayrun2=2,Dayrun2=3,Dayrun2=10),VLOOKUP($A130,ScaledPrice2,9),0))</f>
        <v> </v>
      </c>
      <c r="I130" s="317" t="str">
        <f aca="false">IF(A130="N/A"," ",IF(OR(Dayrun2=3,Dayrun2=6,Dayrun2=9),(VLOOKUP(A130,ScaledPrice2,IF(Scaler2=2,7,8))),0))</f>
        <v> </v>
      </c>
      <c r="J130" s="317" t="str">
        <f aca="false">IF(A130="N/A"," ",IF(OR(Dayrun2=3,Dayrun2=6),IF(Scaler2=2,I130,(VLOOKUP(A130,ScaledPrice2,7))*(2-(VLOOKUP(A130,ScaledPrice2,3)))),0))</f>
        <v> </v>
      </c>
      <c r="K130" s="317" t="str">
        <f aca="false">IF($A130="N/A"," ",IF(OR(Dayrun2=3,Dayrun2=10),VLOOKUP($A130,ScaledPrice2,9),0))</f>
        <v> </v>
      </c>
      <c r="L130" s="318" t="str">
        <f aca="false">IF($A130="N/A"," ",IF(Pricetype2=2,MAX(C130,0),IF(OR(Pricetype2=1,Pricetype2=4),IF(C130=0,0,(EURO(C130,Strikeprice2,0,0,($AH130+IF(Smile=TRUE(),VLOOKUP(MAX(-5,Strikeprice2-C130),Volsmile,2),0)),($A130-DateToday)+15,IF(Pricetype2=1,1,0),0))),C130)))</f>
        <v> </v>
      </c>
      <c r="M130" s="318" t="str">
        <f aca="false">IF($A130="N/A"," ",IF(Pricetype2=2,MAX(D130,0),IF(OR(Pricetype2=1,Pricetype2=4),IF(D130=0,0,(EURO(D130,Strikeprice2,0,0,($AH130+IF(Smile=TRUE(),VLOOKUP(MAX(-5,Strikeprice2-D130),Volsmile,2),0)),($A130-DateToday)+15,IF(Pricetype2=1,1,0),0))),D130)))</f>
        <v> </v>
      </c>
      <c r="N130" s="318" t="str">
        <f aca="false">IF($A130="N/A"," ",IF(Pricetype2=2,MAX(E130,0),IF(OR(Pricetype2=1,Pricetype2=4),IF(E130=0,0,(EURO(E130,Strikeprice2,0,0,($AK130+IF(Smile=TRUE(),VLOOKUP(MAX(-5,Strikeprice2-E130),Volsmile,2),0)),($A130-DateToday)+15,IF(Pricetype2=1,1,0),0))),E130)))</f>
        <v> </v>
      </c>
      <c r="O130" s="318" t="str">
        <f aca="false">IF($A130="N/A"," ",IF(Pricetype2=2,MAX(F130,0),IF(OR(Pricetype2=1,Pricetype2=4),IF(F130=0,0,(EURO(F130,Strikeprice2,0,0,($AK130+IF(Smile=TRUE(),VLOOKUP(MAX(-5,Strikeprice2-F130),Volsmile,2),0)),($A130-DateToday)+15,IF(Pricetype2=1,1,0),0))),F130)))</f>
        <v> </v>
      </c>
      <c r="P130" s="318" t="str">
        <f aca="false">IF($A130="N/A"," ",IF(Pricetype2=2,MAX(G130,0),IF(OR(Pricetype2=1,Pricetype2=4),IF(G130=0,0,(EURO(G130,Strikeprice2,0,0,($AK130+IF(Smile=TRUE(),VLOOKUP(MAX(-5,Strikeprice2-G130),Volsmile,2),0)),($A130-DateToday)+15,IF(Pricetype2=1,1,0),0))),G130)))</f>
        <v> </v>
      </c>
      <c r="Q130" s="318" t="str">
        <f aca="false">IF($A130="N/A"," ",IF(Pricetype2=2,MAX(H130,0),IF(OR(Pricetype2=1,Pricetype2=4),IF(H130=0,0,(EURO(H130,Strikeprice2,0,0,($AK130+IF(Smile=TRUE(),VLOOKUP(MAX(-5,Strikeprice2-H130),Volsmile,2),0)),($A130-DateToday)+15,IF(Pricetype2=1,1,0),0))),H130)))</f>
        <v> </v>
      </c>
      <c r="R130" s="318" t="str">
        <f aca="false">IF($A130="N/A"," ",IF(Pricetype2=2,MAX(I130,0),IF(OR(Pricetype2=1,Pricetype2=4),IF(I130=0,0,(EURO(I130,Strikeprice2,0,0,($AK130+IF(Smile=TRUE(),VLOOKUP(MAX(-5,Strikeprice2-I130),Volsmile,2),0)),($A130-DateToday)+15,IF(Pricetype2=1,1,0),0))),I130)))</f>
        <v> </v>
      </c>
      <c r="S130" s="318" t="str">
        <f aca="false">IF($A130="N/A"," ",IF(Pricetype2=2,MAX(J130,0),IF(OR(Pricetype2=1,Pricetype2=4),IF(J130=0,0,(EURO(J130,Strikeprice2,0,0,($AK130+IF(Smile=TRUE(),VLOOKUP(MAX(-5,Strikeprice2-J130),Volsmile,2),0)),($A130-DateToday)+15,IF(Pricetype2=1,1,0),0))),J130)))</f>
        <v> </v>
      </c>
      <c r="T130" s="318" t="str">
        <f aca="false">IF($A130="N/A"," ",IF(Pricetype2=2,MAX(K130,0),IF(OR(Pricetype2=1,Pricetype2=4),IF(K130=0,0,(EURO(K130,Strikeprice2,0,0,($AK130+IF(Smile=TRUE(),VLOOKUP(MAX(-5,Strikeprice2-K130),Volsmile,2),0)),($A130-DateToday)+15,IF(Pricetype2=1,1,0),0))),K130)))</f>
        <v> </v>
      </c>
      <c r="U130" s="319" t="str">
        <f aca="false">IF($A130="N/A"," ",Volume2*$AM130)</f>
        <v> </v>
      </c>
      <c r="V130" s="320" t="str">
        <f aca="false">IF($A130="N/A"," ",$U130*(8*($BQ130))*L130)</f>
        <v> </v>
      </c>
      <c r="W130" s="320" t="str">
        <f aca="false">IF($A130="N/A"," ",$U130*(8*($BQ130))*M130)</f>
        <v> </v>
      </c>
      <c r="X130" s="320" t="str">
        <f aca="false">IF($A130="N/A"," ",$U130*(8*($BQ130))*N130)</f>
        <v> </v>
      </c>
      <c r="Y130" s="320" t="str">
        <f aca="false">IF($A130="N/A"," ",$U130*(8*($BR130))*O130)</f>
        <v> </v>
      </c>
      <c r="Z130" s="320" t="str">
        <f aca="false">IF($A130="N/A"," ",$U130*(8*($BR130))*P130)</f>
        <v> </v>
      </c>
      <c r="AA130" s="320" t="str">
        <f aca="false">IF($A130="N/A"," ",$U130*(8*($BR130))*Q130)</f>
        <v> </v>
      </c>
      <c r="AB130" s="320" t="str">
        <f aca="false">IF($A130="N/A"," ",$U130*(8*($BS130))*R130)</f>
        <v> </v>
      </c>
      <c r="AC130" s="320" t="str">
        <f aca="false">IF($A130="N/A"," ",$U130*(8*($BS130))*S130)</f>
        <v> </v>
      </c>
      <c r="AD130" s="320" t="str">
        <f aca="false">IF($A130="N/A"," ",$U130*(8*($BS130))*T130)</f>
        <v> </v>
      </c>
      <c r="AE130" s="320" t="str">
        <f aca="false">IF($A130="N/A"," ",SUM(V130:AD130))</f>
        <v> </v>
      </c>
      <c r="AF130" s="321" t="str">
        <f aca="false">IF(A130="N/A"," ",(VLOOKUP(A130,PowerVolTable,(IF(VolBMO2=2,7,IF(VolBMO2=1,6,8))),FALSE())))</f>
        <v> </v>
      </c>
      <c r="AG130" s="321" t="str">
        <f aca="false">IF(A130="N/A"," ",(VLOOKUP(A130,IntraPowerVol,(IF(VolBMO2=2,3,IF(VolBMO2=1,2,4))),FALSE())*VLOOKUP(MONTH($A130),Volscale,2)))</f>
        <v> </v>
      </c>
      <c r="AH130" s="321" t="str">
        <f aca="false">IF($A130="N/A"," ",IF(VolType2=1,AG130,AF130))</f>
        <v> </v>
      </c>
      <c r="AI130" s="321" t="str">
        <f aca="false">IF($A130="N/A"," ",(VLOOKUP($A130,OffPwrVolTable,(IF(VolBMO2=2,7,IF(VolBMO2=1,6,8))),FALSE())))</f>
        <v> </v>
      </c>
      <c r="AJ130" s="321" t="str">
        <f aca="false">IF($A130="N/A"," ",(VLOOKUP($A130,OffPwrVolTable,(IF(VolBMO2=2,3,IF(VolBMO2=1,2,4))),FALSE())*VLOOKUP(MONTH($A130),Volscale,2)))</f>
        <v> </v>
      </c>
      <c r="AK130" s="321" t="str">
        <f aca="false">IF($A130="N/A"," ",IF(VolType2=1,AJ130,AI130))</f>
        <v> </v>
      </c>
      <c r="AL130" s="321" t="str">
        <f aca="false">IF($A130="N/A"," ",IF(PV=1,0,'Pricing Inputs2'!R163))</f>
        <v> </v>
      </c>
      <c r="AM130" s="323" t="str">
        <f aca="false">IF($A130="N/A"," ",(1+AL130/2)^(-2*((EOMONTH(A130,0)+20)-DateToday)/365.25))</f>
        <v> </v>
      </c>
      <c r="BQ130" s="0" t="str">
        <f aca="false">IF($A130="N/A"," ",(VLOOKUP($A130,NumberofDaysTable,2)))</f>
        <v> </v>
      </c>
      <c r="BR130" s="0" t="str">
        <f aca="false">IF($A130="N/A"," ",(VLOOKUP($A130,NumberofDaysTable,3)))</f>
        <v> </v>
      </c>
      <c r="BS130" s="0" t="str">
        <f aca="false">IF($A130="N/A"," ",(VLOOKUP($A130,NumberofDaysTable,4)))</f>
        <v> </v>
      </c>
    </row>
    <row r="131" customFormat="false" ht="12.75" hidden="false" customHeight="false" outlineLevel="0" collapsed="false">
      <c r="A131" s="315" t="str">
        <f aca="false">IF(A130="N/A","N/A",IF(EDATE(A130,1)&gt;Inputs!$P$5,"N/A",EDATE(A130,1)))</f>
        <v>N/A</v>
      </c>
      <c r="B131" s="316" t="str">
        <f aca="false">IF(A131="N/A"," ",YEAR(A131))</f>
        <v> </v>
      </c>
      <c r="C131" s="317" t="str">
        <f aca="false">IF($A131="N/A"," ",IF(Dayrun2=10,0,IF(Scaler2=1,(VLOOKUP(A131,ScaledPrice2,4)),(VLOOKUP(A131,ScaledPrice2,2)))))</f>
        <v> </v>
      </c>
      <c r="D131" s="317" t="str">
        <f aca="false">IF(A131="N/A"," ",IF(Dayrun2&gt;=7,0,IF(Scaler2=2,VLOOKUP(A131,ScaledPrice2,2),(VLOOKUP(A131,ScaledPrice2,2))*(2-(VLOOKUP(A131,ScaledPrice2,3))))))</f>
        <v> </v>
      </c>
      <c r="E131" s="317" t="str">
        <f aca="false">IF($A131="N/A"," ",IF(AND(Dayrun2&gt;=4,Dayrun2&lt;=9),0,VLOOKUP($A131,ScaledPrice2,9)))</f>
        <v> </v>
      </c>
      <c r="F131" s="317" t="str">
        <f aca="false">IF(A131="N/A"," ",IF(OR(Dayrun2=2,Dayrun2=3,Dayrun2=5,Dayrun2=6,Dayrun2=8,Dayrun2=9),VLOOKUP(A131,ScaledPrice2,IF(Scaler2=1,6,5)),0))</f>
        <v> </v>
      </c>
      <c r="G131" s="317" t="str">
        <f aca="false">IF(A131="N/A"," ",IF(OR(Dayrun2=2,Dayrun2=3,Dayrun2=5,Dayrun2=6),IF(Scaler2=2,F131,(VLOOKUP(A131,ScaledPrice2,5))*(2-(VLOOKUP(A131,ScaledPrice2,3)))),0))</f>
        <v> </v>
      </c>
      <c r="H131" s="317" t="str">
        <f aca="false">IF($A131="N/A"," ",IF(OR(Dayrun2=2,Dayrun2=3,Dayrun2=10),VLOOKUP($A131,ScaledPrice2,9),0))</f>
        <v> </v>
      </c>
      <c r="I131" s="317" t="str">
        <f aca="false">IF(A131="N/A"," ",IF(OR(Dayrun2=3,Dayrun2=6,Dayrun2=9),(VLOOKUP(A131,ScaledPrice2,IF(Scaler2=2,7,8))),0))</f>
        <v> </v>
      </c>
      <c r="J131" s="317" t="str">
        <f aca="false">IF(A131="N/A"," ",IF(OR(Dayrun2=3,Dayrun2=6),IF(Scaler2=2,I131,(VLOOKUP(A131,ScaledPrice2,7))*(2-(VLOOKUP(A131,ScaledPrice2,3)))),0))</f>
        <v> </v>
      </c>
      <c r="K131" s="317" t="str">
        <f aca="false">IF($A131="N/A"," ",IF(OR(Dayrun2=3,Dayrun2=10),VLOOKUP($A131,ScaledPrice2,9),0))</f>
        <v> </v>
      </c>
      <c r="L131" s="318" t="str">
        <f aca="false">IF($A131="N/A"," ",IF(Pricetype2=2,MAX(C131,0),IF(OR(Pricetype2=1,Pricetype2=4),IF(C131=0,0,(EURO(C131,Strikeprice2,0,0,($AH131+IF(Smile=TRUE(),VLOOKUP(MAX(-5,Strikeprice2-C131),Volsmile,2),0)),($A131-DateToday)+15,IF(Pricetype2=1,1,0),0))),C131)))</f>
        <v> </v>
      </c>
      <c r="M131" s="318" t="str">
        <f aca="false">IF($A131="N/A"," ",IF(Pricetype2=2,MAX(D131,0),IF(OR(Pricetype2=1,Pricetype2=4),IF(D131=0,0,(EURO(D131,Strikeprice2,0,0,($AH131+IF(Smile=TRUE(),VLOOKUP(MAX(-5,Strikeprice2-D131),Volsmile,2),0)),($A131-DateToday)+15,IF(Pricetype2=1,1,0),0))),D131)))</f>
        <v> </v>
      </c>
      <c r="N131" s="318" t="str">
        <f aca="false">IF($A131="N/A"," ",IF(Pricetype2=2,MAX(E131,0),IF(OR(Pricetype2=1,Pricetype2=4),IF(E131=0,0,(EURO(E131,Strikeprice2,0,0,($AK131+IF(Smile=TRUE(),VLOOKUP(MAX(-5,Strikeprice2-E131),Volsmile,2),0)),($A131-DateToday)+15,IF(Pricetype2=1,1,0),0))),E131)))</f>
        <v> </v>
      </c>
      <c r="O131" s="318" t="str">
        <f aca="false">IF($A131="N/A"," ",IF(Pricetype2=2,MAX(F131,0),IF(OR(Pricetype2=1,Pricetype2=4),IF(F131=0,0,(EURO(F131,Strikeprice2,0,0,($AK131+IF(Smile=TRUE(),VLOOKUP(MAX(-5,Strikeprice2-F131),Volsmile,2),0)),($A131-DateToday)+15,IF(Pricetype2=1,1,0),0))),F131)))</f>
        <v> </v>
      </c>
      <c r="P131" s="318" t="str">
        <f aca="false">IF($A131="N/A"," ",IF(Pricetype2=2,MAX(G131,0),IF(OR(Pricetype2=1,Pricetype2=4),IF(G131=0,0,(EURO(G131,Strikeprice2,0,0,($AK131+IF(Smile=TRUE(),VLOOKUP(MAX(-5,Strikeprice2-G131),Volsmile,2),0)),($A131-DateToday)+15,IF(Pricetype2=1,1,0),0))),G131)))</f>
        <v> </v>
      </c>
      <c r="Q131" s="318" t="str">
        <f aca="false">IF($A131="N/A"," ",IF(Pricetype2=2,MAX(H131,0),IF(OR(Pricetype2=1,Pricetype2=4),IF(H131=0,0,(EURO(H131,Strikeprice2,0,0,($AK131+IF(Smile=TRUE(),VLOOKUP(MAX(-5,Strikeprice2-H131),Volsmile,2),0)),($A131-DateToday)+15,IF(Pricetype2=1,1,0),0))),H131)))</f>
        <v> </v>
      </c>
      <c r="R131" s="318" t="str">
        <f aca="false">IF($A131="N/A"," ",IF(Pricetype2=2,MAX(I131,0),IF(OR(Pricetype2=1,Pricetype2=4),IF(I131=0,0,(EURO(I131,Strikeprice2,0,0,($AK131+IF(Smile=TRUE(),VLOOKUP(MAX(-5,Strikeprice2-I131),Volsmile,2),0)),($A131-DateToday)+15,IF(Pricetype2=1,1,0),0))),I131)))</f>
        <v> </v>
      </c>
      <c r="S131" s="318" t="str">
        <f aca="false">IF($A131="N/A"," ",IF(Pricetype2=2,MAX(J131,0),IF(OR(Pricetype2=1,Pricetype2=4),IF(J131=0,0,(EURO(J131,Strikeprice2,0,0,($AK131+IF(Smile=TRUE(),VLOOKUP(MAX(-5,Strikeprice2-J131),Volsmile,2),0)),($A131-DateToday)+15,IF(Pricetype2=1,1,0),0))),J131)))</f>
        <v> </v>
      </c>
      <c r="T131" s="318" t="str">
        <f aca="false">IF($A131="N/A"," ",IF(Pricetype2=2,MAX(K131,0),IF(OR(Pricetype2=1,Pricetype2=4),IF(K131=0,0,(EURO(K131,Strikeprice2,0,0,($AK131+IF(Smile=TRUE(),VLOOKUP(MAX(-5,Strikeprice2-K131),Volsmile,2),0)),($A131-DateToday)+15,IF(Pricetype2=1,1,0),0))),K131)))</f>
        <v> </v>
      </c>
      <c r="U131" s="319" t="str">
        <f aca="false">IF($A131="N/A"," ",Volume2*$AM131)</f>
        <v> </v>
      </c>
      <c r="V131" s="320" t="str">
        <f aca="false">IF($A131="N/A"," ",$U131*(8*($BQ131))*L131)</f>
        <v> </v>
      </c>
      <c r="W131" s="320" t="str">
        <f aca="false">IF($A131="N/A"," ",$U131*(8*($BQ131))*M131)</f>
        <v> </v>
      </c>
      <c r="X131" s="320" t="str">
        <f aca="false">IF($A131="N/A"," ",$U131*(8*($BQ131))*N131)</f>
        <v> </v>
      </c>
      <c r="Y131" s="320" t="str">
        <f aca="false">IF($A131="N/A"," ",$U131*(8*($BR131))*O131)</f>
        <v> </v>
      </c>
      <c r="Z131" s="320" t="str">
        <f aca="false">IF($A131="N/A"," ",$U131*(8*($BR131))*P131)</f>
        <v> </v>
      </c>
      <c r="AA131" s="320" t="str">
        <f aca="false">IF($A131="N/A"," ",$U131*(8*($BR131))*Q131)</f>
        <v> </v>
      </c>
      <c r="AB131" s="320" t="str">
        <f aca="false">IF($A131="N/A"," ",$U131*(8*($BS131))*R131)</f>
        <v> </v>
      </c>
      <c r="AC131" s="320" t="str">
        <f aca="false">IF($A131="N/A"," ",$U131*(8*($BS131))*S131)</f>
        <v> </v>
      </c>
      <c r="AD131" s="320" t="str">
        <f aca="false">IF($A131="N/A"," ",$U131*(8*($BS131))*T131)</f>
        <v> </v>
      </c>
      <c r="AE131" s="320" t="str">
        <f aca="false">IF($A131="N/A"," ",SUM(V131:AD131))</f>
        <v> </v>
      </c>
      <c r="AF131" s="321" t="str">
        <f aca="false">IF(A131="N/A"," ",(VLOOKUP(A131,PowerVolTable,(IF(VolBMO2=2,7,IF(VolBMO2=1,6,8))),FALSE())))</f>
        <v> </v>
      </c>
      <c r="AG131" s="321" t="str">
        <f aca="false">IF(A131="N/A"," ",(VLOOKUP(A131,IntraPowerVol,(IF(VolBMO2=2,3,IF(VolBMO2=1,2,4))),FALSE())*VLOOKUP(MONTH($A131),Volscale,2)))</f>
        <v> </v>
      </c>
      <c r="AH131" s="321" t="str">
        <f aca="false">IF($A131="N/A"," ",IF(VolType2=1,AG131,AF131))</f>
        <v> </v>
      </c>
      <c r="AI131" s="321" t="str">
        <f aca="false">IF($A131="N/A"," ",(VLOOKUP($A131,OffPwrVolTable,(IF(VolBMO2=2,7,IF(VolBMO2=1,6,8))),FALSE())))</f>
        <v> </v>
      </c>
      <c r="AJ131" s="321" t="str">
        <f aca="false">IF($A131="N/A"," ",(VLOOKUP($A131,OffPwrVolTable,(IF(VolBMO2=2,3,IF(VolBMO2=1,2,4))),FALSE())*VLOOKUP(MONTH($A131),Volscale,2)))</f>
        <v> </v>
      </c>
      <c r="AK131" s="321" t="str">
        <f aca="false">IF($A131="N/A"," ",IF(VolType2=1,AJ131,AI131))</f>
        <v> </v>
      </c>
      <c r="AL131" s="321" t="str">
        <f aca="false">IF($A131="N/A"," ",IF(PV=1,0,'Pricing Inputs2'!R164))</f>
        <v> </v>
      </c>
      <c r="AM131" s="323" t="str">
        <f aca="false">IF($A131="N/A"," ",(1+AL131/2)^(-2*((EOMONTH(A131,0)+20)-DateToday)/365.25))</f>
        <v> </v>
      </c>
      <c r="BQ131" s="0" t="str">
        <f aca="false">IF($A131="N/A"," ",(VLOOKUP($A131,NumberofDaysTable,2)))</f>
        <v> </v>
      </c>
      <c r="BR131" s="0" t="str">
        <f aca="false">IF($A131="N/A"," ",(VLOOKUP($A131,NumberofDaysTable,3)))</f>
        <v> </v>
      </c>
      <c r="BS131" s="0" t="str">
        <f aca="false">IF($A131="N/A"," ",(VLOOKUP($A131,NumberofDaysTable,4)))</f>
        <v> </v>
      </c>
    </row>
    <row r="132" customFormat="false" ht="12.75" hidden="false" customHeight="false" outlineLevel="0" collapsed="false">
      <c r="A132" s="315" t="str">
        <f aca="false">IF(A131="N/A","N/A",IF(EDATE(A131,1)&gt;Inputs!$P$5,"N/A",EDATE(A131,1)))</f>
        <v>N/A</v>
      </c>
      <c r="B132" s="316" t="str">
        <f aca="false">IF(A132="N/A"," ",YEAR(A132))</f>
        <v> </v>
      </c>
      <c r="C132" s="317" t="str">
        <f aca="false">IF($A132="N/A"," ",IF(Dayrun2=10,0,IF(Scaler2=1,(VLOOKUP(A132,ScaledPrice2,4)),(VLOOKUP(A132,ScaledPrice2,2)))))</f>
        <v> </v>
      </c>
      <c r="D132" s="317" t="str">
        <f aca="false">IF(A132="N/A"," ",IF(Dayrun2&gt;=7,0,IF(Scaler2=2,VLOOKUP(A132,ScaledPrice2,2),(VLOOKUP(A132,ScaledPrice2,2))*(2-(VLOOKUP(A132,ScaledPrice2,3))))))</f>
        <v> </v>
      </c>
      <c r="E132" s="317" t="str">
        <f aca="false">IF($A132="N/A"," ",IF(AND(Dayrun2&gt;=4,Dayrun2&lt;=9),0,VLOOKUP($A132,ScaledPrice2,9)))</f>
        <v> </v>
      </c>
      <c r="F132" s="317" t="str">
        <f aca="false">IF(A132="N/A"," ",IF(OR(Dayrun2=2,Dayrun2=3,Dayrun2=5,Dayrun2=6,Dayrun2=8,Dayrun2=9),VLOOKUP(A132,ScaledPrice2,IF(Scaler2=1,6,5)),0))</f>
        <v> </v>
      </c>
      <c r="G132" s="317" t="str">
        <f aca="false">IF(A132="N/A"," ",IF(OR(Dayrun2=2,Dayrun2=3,Dayrun2=5,Dayrun2=6),IF(Scaler2=2,F132,(VLOOKUP(A132,ScaledPrice2,5))*(2-(VLOOKUP(A132,ScaledPrice2,3)))),0))</f>
        <v> </v>
      </c>
      <c r="H132" s="317" t="str">
        <f aca="false">IF($A132="N/A"," ",IF(OR(Dayrun2=2,Dayrun2=3,Dayrun2=10),VLOOKUP($A132,ScaledPrice2,9),0))</f>
        <v> </v>
      </c>
      <c r="I132" s="317" t="str">
        <f aca="false">IF(A132="N/A"," ",IF(OR(Dayrun2=3,Dayrun2=6,Dayrun2=9),(VLOOKUP(A132,ScaledPrice2,IF(Scaler2=2,7,8))),0))</f>
        <v> </v>
      </c>
      <c r="J132" s="317" t="str">
        <f aca="false">IF(A132="N/A"," ",IF(OR(Dayrun2=3,Dayrun2=6),IF(Scaler2=2,I132,(VLOOKUP(A132,ScaledPrice2,7))*(2-(VLOOKUP(A132,ScaledPrice2,3)))),0))</f>
        <v> </v>
      </c>
      <c r="K132" s="317" t="str">
        <f aca="false">IF($A132="N/A"," ",IF(OR(Dayrun2=3,Dayrun2=10),VLOOKUP($A132,ScaledPrice2,9),0))</f>
        <v> </v>
      </c>
      <c r="L132" s="318" t="str">
        <f aca="false">IF($A132="N/A"," ",IF(Pricetype2=2,MAX(C132,0),IF(OR(Pricetype2=1,Pricetype2=4),IF(C132=0,0,(EURO(C132,Strikeprice2,0,0,($AH132+IF(Smile=TRUE(),VLOOKUP(MAX(-5,Strikeprice2-C132),Volsmile,2),0)),($A132-DateToday)+15,IF(Pricetype2=1,1,0),0))),C132)))</f>
        <v> </v>
      </c>
      <c r="M132" s="318" t="str">
        <f aca="false">IF($A132="N/A"," ",IF(Pricetype2=2,MAX(D132,0),IF(OR(Pricetype2=1,Pricetype2=4),IF(D132=0,0,(EURO(D132,Strikeprice2,0,0,($AH132+IF(Smile=TRUE(),VLOOKUP(MAX(-5,Strikeprice2-D132),Volsmile,2),0)),($A132-DateToday)+15,IF(Pricetype2=1,1,0),0))),D132)))</f>
        <v> </v>
      </c>
      <c r="N132" s="318" t="str">
        <f aca="false">IF($A132="N/A"," ",IF(Pricetype2=2,MAX(E132,0),IF(OR(Pricetype2=1,Pricetype2=4),IF(E132=0,0,(EURO(E132,Strikeprice2,0,0,($AK132+IF(Smile=TRUE(),VLOOKUP(MAX(-5,Strikeprice2-E132),Volsmile,2),0)),($A132-DateToday)+15,IF(Pricetype2=1,1,0),0))),E132)))</f>
        <v> </v>
      </c>
      <c r="O132" s="318" t="str">
        <f aca="false">IF($A132="N/A"," ",IF(Pricetype2=2,MAX(F132,0),IF(OR(Pricetype2=1,Pricetype2=4),IF(F132=0,0,(EURO(F132,Strikeprice2,0,0,($AK132+IF(Smile=TRUE(),VLOOKUP(MAX(-5,Strikeprice2-F132),Volsmile,2),0)),($A132-DateToday)+15,IF(Pricetype2=1,1,0),0))),F132)))</f>
        <v> </v>
      </c>
      <c r="P132" s="318" t="str">
        <f aca="false">IF($A132="N/A"," ",IF(Pricetype2=2,MAX(G132,0),IF(OR(Pricetype2=1,Pricetype2=4),IF(G132=0,0,(EURO(G132,Strikeprice2,0,0,($AK132+IF(Smile=TRUE(),VLOOKUP(MAX(-5,Strikeprice2-G132),Volsmile,2),0)),($A132-DateToday)+15,IF(Pricetype2=1,1,0),0))),G132)))</f>
        <v> </v>
      </c>
      <c r="Q132" s="318" t="str">
        <f aca="false">IF($A132="N/A"," ",IF(Pricetype2=2,MAX(H132,0),IF(OR(Pricetype2=1,Pricetype2=4),IF(H132=0,0,(EURO(H132,Strikeprice2,0,0,($AK132+IF(Smile=TRUE(),VLOOKUP(MAX(-5,Strikeprice2-H132),Volsmile,2),0)),($A132-DateToday)+15,IF(Pricetype2=1,1,0),0))),H132)))</f>
        <v> </v>
      </c>
      <c r="R132" s="318" t="str">
        <f aca="false">IF($A132="N/A"," ",IF(Pricetype2=2,MAX(I132,0),IF(OR(Pricetype2=1,Pricetype2=4),IF(I132=0,0,(EURO(I132,Strikeprice2,0,0,($AK132+IF(Smile=TRUE(),VLOOKUP(MAX(-5,Strikeprice2-I132),Volsmile,2),0)),($A132-DateToday)+15,IF(Pricetype2=1,1,0),0))),I132)))</f>
        <v> </v>
      </c>
      <c r="S132" s="318" t="str">
        <f aca="false">IF($A132="N/A"," ",IF(Pricetype2=2,MAX(J132,0),IF(OR(Pricetype2=1,Pricetype2=4),IF(J132=0,0,(EURO(J132,Strikeprice2,0,0,($AK132+IF(Smile=TRUE(),VLOOKUP(MAX(-5,Strikeprice2-J132),Volsmile,2),0)),($A132-DateToday)+15,IF(Pricetype2=1,1,0),0))),J132)))</f>
        <v> </v>
      </c>
      <c r="T132" s="318" t="str">
        <f aca="false">IF($A132="N/A"," ",IF(Pricetype2=2,MAX(K132,0),IF(OR(Pricetype2=1,Pricetype2=4),IF(K132=0,0,(EURO(K132,Strikeprice2,0,0,($AK132+IF(Smile=TRUE(),VLOOKUP(MAX(-5,Strikeprice2-K132),Volsmile,2),0)),($A132-DateToday)+15,IF(Pricetype2=1,1,0),0))),K132)))</f>
        <v> </v>
      </c>
      <c r="U132" s="319" t="str">
        <f aca="false">IF($A132="N/A"," ",Volume2*$AM132)</f>
        <v> </v>
      </c>
      <c r="V132" s="320" t="str">
        <f aca="false">IF($A132="N/A"," ",$U132*(8*($BQ132))*L132)</f>
        <v> </v>
      </c>
      <c r="W132" s="320" t="str">
        <f aca="false">IF($A132="N/A"," ",$U132*(8*($BQ132))*M132)</f>
        <v> </v>
      </c>
      <c r="X132" s="320" t="str">
        <f aca="false">IF($A132="N/A"," ",$U132*(8*($BQ132))*N132)</f>
        <v> </v>
      </c>
      <c r="Y132" s="320" t="str">
        <f aca="false">IF($A132="N/A"," ",$U132*(8*($BR132))*O132)</f>
        <v> </v>
      </c>
      <c r="Z132" s="320" t="str">
        <f aca="false">IF($A132="N/A"," ",$U132*(8*($BR132))*P132)</f>
        <v> </v>
      </c>
      <c r="AA132" s="320" t="str">
        <f aca="false">IF($A132="N/A"," ",$U132*(8*($BR132))*Q132)</f>
        <v> </v>
      </c>
      <c r="AB132" s="320" t="str">
        <f aca="false">IF($A132="N/A"," ",$U132*(8*($BS132))*R132)</f>
        <v> </v>
      </c>
      <c r="AC132" s="320" t="str">
        <f aca="false">IF($A132="N/A"," ",$U132*(8*($BS132))*S132)</f>
        <v> </v>
      </c>
      <c r="AD132" s="320" t="str">
        <f aca="false">IF($A132="N/A"," ",$U132*(8*($BS132))*T132)</f>
        <v> </v>
      </c>
      <c r="AE132" s="320" t="str">
        <f aca="false">IF($A132="N/A"," ",SUM(V132:AD132))</f>
        <v> </v>
      </c>
      <c r="AF132" s="321" t="str">
        <f aca="false">IF(A132="N/A"," ",(VLOOKUP(A132,PowerVolTable,(IF(VolBMO2=2,7,IF(VolBMO2=1,6,8))),FALSE())))</f>
        <v> </v>
      </c>
      <c r="AG132" s="321" t="str">
        <f aca="false">IF(A132="N/A"," ",(VLOOKUP(A132,IntraPowerVol,(IF(VolBMO2=2,3,IF(VolBMO2=1,2,4))),FALSE())*VLOOKUP(MONTH($A132),Volscale,2)))</f>
        <v> </v>
      </c>
      <c r="AH132" s="321" t="str">
        <f aca="false">IF($A132="N/A"," ",IF(VolType2=1,AG132,AF132))</f>
        <v> </v>
      </c>
      <c r="AI132" s="321" t="str">
        <f aca="false">IF($A132="N/A"," ",(VLOOKUP($A132,OffPwrVolTable,(IF(VolBMO2=2,7,IF(VolBMO2=1,6,8))),FALSE())))</f>
        <v> </v>
      </c>
      <c r="AJ132" s="321" t="str">
        <f aca="false">IF($A132="N/A"," ",(VLOOKUP($A132,OffPwrVolTable,(IF(VolBMO2=2,3,IF(VolBMO2=1,2,4))),FALSE())*VLOOKUP(MONTH($A132),Volscale,2)))</f>
        <v> </v>
      </c>
      <c r="AK132" s="321" t="str">
        <f aca="false">IF($A132="N/A"," ",IF(VolType2=1,AJ132,AI132))</f>
        <v> </v>
      </c>
      <c r="AL132" s="321" t="str">
        <f aca="false">IF($A132="N/A"," ",IF(PV=1,0,'Pricing Inputs2'!R165))</f>
        <v> </v>
      </c>
      <c r="AM132" s="323" t="str">
        <f aca="false">IF($A132="N/A"," ",(1+AL132/2)^(-2*((EOMONTH(A132,0)+20)-DateToday)/365.25))</f>
        <v> </v>
      </c>
      <c r="BQ132" s="0" t="str">
        <f aca="false">IF($A132="N/A"," ",(VLOOKUP($A132,NumberofDaysTable,2)))</f>
        <v> </v>
      </c>
      <c r="BR132" s="0" t="str">
        <f aca="false">IF($A132="N/A"," ",(VLOOKUP($A132,NumberofDaysTable,3)))</f>
        <v> </v>
      </c>
      <c r="BS132" s="0" t="str">
        <f aca="false">IF($A132="N/A"," ",(VLOOKUP($A132,NumberofDaysTable,4)))</f>
        <v> </v>
      </c>
    </row>
    <row r="133" customFormat="false" ht="12.75" hidden="false" customHeight="false" outlineLevel="0" collapsed="false">
      <c r="A133" s="315" t="str">
        <f aca="false">IF(A132="N/A","N/A",IF(EDATE(A132,1)&gt;Inputs!$P$5,"N/A",EDATE(A132,1)))</f>
        <v>N/A</v>
      </c>
      <c r="B133" s="316" t="str">
        <f aca="false">IF(A133="N/A"," ",YEAR(A133))</f>
        <v> </v>
      </c>
      <c r="C133" s="317" t="str">
        <f aca="false">IF($A133="N/A"," ",IF(Dayrun2=10,0,IF(Scaler2=1,(VLOOKUP(A133,ScaledPrice2,4)),(VLOOKUP(A133,ScaledPrice2,2)))))</f>
        <v> </v>
      </c>
      <c r="D133" s="317" t="str">
        <f aca="false">IF(A133="N/A"," ",IF(Dayrun2&gt;=7,0,IF(Scaler2=2,VLOOKUP(A133,ScaledPrice2,2),(VLOOKUP(A133,ScaledPrice2,2))*(2-(VLOOKUP(A133,ScaledPrice2,3))))))</f>
        <v> </v>
      </c>
      <c r="E133" s="317" t="str">
        <f aca="false">IF($A133="N/A"," ",IF(AND(Dayrun2&gt;=4,Dayrun2&lt;=9),0,VLOOKUP($A133,ScaledPrice2,9)))</f>
        <v> </v>
      </c>
      <c r="F133" s="317" t="str">
        <f aca="false">IF(A133="N/A"," ",IF(OR(Dayrun2=2,Dayrun2=3,Dayrun2=5,Dayrun2=6,Dayrun2=8,Dayrun2=9),VLOOKUP(A133,ScaledPrice2,IF(Scaler2=1,6,5)),0))</f>
        <v> </v>
      </c>
      <c r="G133" s="317" t="str">
        <f aca="false">IF(A133="N/A"," ",IF(OR(Dayrun2=2,Dayrun2=3,Dayrun2=5,Dayrun2=6),IF(Scaler2=2,F133,(VLOOKUP(A133,ScaledPrice2,5))*(2-(VLOOKUP(A133,ScaledPrice2,3)))),0))</f>
        <v> </v>
      </c>
      <c r="H133" s="317" t="str">
        <f aca="false">IF($A133="N/A"," ",IF(OR(Dayrun2=2,Dayrun2=3,Dayrun2=10),VLOOKUP($A133,ScaledPrice2,9),0))</f>
        <v> </v>
      </c>
      <c r="I133" s="317" t="str">
        <f aca="false">IF(A133="N/A"," ",IF(OR(Dayrun2=3,Dayrun2=6,Dayrun2=9),(VLOOKUP(A133,ScaledPrice2,IF(Scaler2=2,7,8))),0))</f>
        <v> </v>
      </c>
      <c r="J133" s="317" t="str">
        <f aca="false">IF(A133="N/A"," ",IF(OR(Dayrun2=3,Dayrun2=6),IF(Scaler2=2,I133,(VLOOKUP(A133,ScaledPrice2,7))*(2-(VLOOKUP(A133,ScaledPrice2,3)))),0))</f>
        <v> </v>
      </c>
      <c r="K133" s="317" t="str">
        <f aca="false">IF($A133="N/A"," ",IF(OR(Dayrun2=3,Dayrun2=10),VLOOKUP($A133,ScaledPrice2,9),0))</f>
        <v> </v>
      </c>
      <c r="L133" s="318" t="str">
        <f aca="false">IF($A133="N/A"," ",IF(Pricetype2=2,MAX(C133,0),IF(OR(Pricetype2=1,Pricetype2=4),IF(C133=0,0,(EURO(C133,Strikeprice2,0,0,($AH133+IF(Smile=TRUE(),VLOOKUP(MAX(-5,Strikeprice2-C133),Volsmile,2),0)),($A133-DateToday)+15,IF(Pricetype2=1,1,0),0))),C133)))</f>
        <v> </v>
      </c>
      <c r="M133" s="318" t="str">
        <f aca="false">IF($A133="N/A"," ",IF(Pricetype2=2,MAX(D133,0),IF(OR(Pricetype2=1,Pricetype2=4),IF(D133=0,0,(EURO(D133,Strikeprice2,0,0,($AH133+IF(Smile=TRUE(),VLOOKUP(MAX(-5,Strikeprice2-D133),Volsmile,2),0)),($A133-DateToday)+15,IF(Pricetype2=1,1,0),0))),D133)))</f>
        <v> </v>
      </c>
      <c r="N133" s="318" t="str">
        <f aca="false">IF($A133="N/A"," ",IF(Pricetype2=2,MAX(E133,0),IF(OR(Pricetype2=1,Pricetype2=4),IF(E133=0,0,(EURO(E133,Strikeprice2,0,0,($AK133+IF(Smile=TRUE(),VLOOKUP(MAX(-5,Strikeprice2-E133),Volsmile,2),0)),($A133-DateToday)+15,IF(Pricetype2=1,1,0),0))),E133)))</f>
        <v> </v>
      </c>
      <c r="O133" s="318" t="str">
        <f aca="false">IF($A133="N/A"," ",IF(Pricetype2=2,MAX(F133,0),IF(OR(Pricetype2=1,Pricetype2=4),IF(F133=0,0,(EURO(F133,Strikeprice2,0,0,($AK133+IF(Smile=TRUE(),VLOOKUP(MAX(-5,Strikeprice2-F133),Volsmile,2),0)),($A133-DateToday)+15,IF(Pricetype2=1,1,0),0))),F133)))</f>
        <v> </v>
      </c>
      <c r="P133" s="318" t="str">
        <f aca="false">IF($A133="N/A"," ",IF(Pricetype2=2,MAX(G133,0),IF(OR(Pricetype2=1,Pricetype2=4),IF(G133=0,0,(EURO(G133,Strikeprice2,0,0,($AK133+IF(Smile=TRUE(),VLOOKUP(MAX(-5,Strikeprice2-G133),Volsmile,2),0)),($A133-DateToday)+15,IF(Pricetype2=1,1,0),0))),G133)))</f>
        <v> </v>
      </c>
      <c r="Q133" s="318" t="str">
        <f aca="false">IF($A133="N/A"," ",IF(Pricetype2=2,MAX(H133,0),IF(OR(Pricetype2=1,Pricetype2=4),IF(H133=0,0,(EURO(H133,Strikeprice2,0,0,($AK133+IF(Smile=TRUE(),VLOOKUP(MAX(-5,Strikeprice2-H133),Volsmile,2),0)),($A133-DateToday)+15,IF(Pricetype2=1,1,0),0))),H133)))</f>
        <v> </v>
      </c>
      <c r="R133" s="318" t="str">
        <f aca="false">IF($A133="N/A"," ",IF(Pricetype2=2,MAX(I133,0),IF(OR(Pricetype2=1,Pricetype2=4),IF(I133=0,0,(EURO(I133,Strikeprice2,0,0,($AK133+IF(Smile=TRUE(),VLOOKUP(MAX(-5,Strikeprice2-I133),Volsmile,2),0)),($A133-DateToday)+15,IF(Pricetype2=1,1,0),0))),I133)))</f>
        <v> </v>
      </c>
      <c r="S133" s="318" t="str">
        <f aca="false">IF($A133="N/A"," ",IF(Pricetype2=2,MAX(J133,0),IF(OR(Pricetype2=1,Pricetype2=4),IF(J133=0,0,(EURO(J133,Strikeprice2,0,0,($AK133+IF(Smile=TRUE(),VLOOKUP(MAX(-5,Strikeprice2-J133),Volsmile,2),0)),($A133-DateToday)+15,IF(Pricetype2=1,1,0),0))),J133)))</f>
        <v> </v>
      </c>
      <c r="T133" s="318" t="str">
        <f aca="false">IF($A133="N/A"," ",IF(Pricetype2=2,MAX(K133,0),IF(OR(Pricetype2=1,Pricetype2=4),IF(K133=0,0,(EURO(K133,Strikeprice2,0,0,($AK133+IF(Smile=TRUE(),VLOOKUP(MAX(-5,Strikeprice2-K133),Volsmile,2),0)),($A133-DateToday)+15,IF(Pricetype2=1,1,0),0))),K133)))</f>
        <v> </v>
      </c>
      <c r="U133" s="319" t="str">
        <f aca="false">IF($A133="N/A"," ",Volume2*$AM133)</f>
        <v> </v>
      </c>
      <c r="V133" s="320" t="str">
        <f aca="false">IF($A133="N/A"," ",$U133*(8*($BQ133))*L133)</f>
        <v> </v>
      </c>
      <c r="W133" s="320" t="str">
        <f aca="false">IF($A133="N/A"," ",$U133*(8*($BQ133))*M133)</f>
        <v> </v>
      </c>
      <c r="X133" s="320" t="str">
        <f aca="false">IF($A133="N/A"," ",$U133*(8*($BQ133))*N133)</f>
        <v> </v>
      </c>
      <c r="Y133" s="320" t="str">
        <f aca="false">IF($A133="N/A"," ",$U133*(8*($BR133))*O133)</f>
        <v> </v>
      </c>
      <c r="Z133" s="320" t="str">
        <f aca="false">IF($A133="N/A"," ",$U133*(8*($BR133))*P133)</f>
        <v> </v>
      </c>
      <c r="AA133" s="320" t="str">
        <f aca="false">IF($A133="N/A"," ",$U133*(8*($BR133))*Q133)</f>
        <v> </v>
      </c>
      <c r="AB133" s="320" t="str">
        <f aca="false">IF($A133="N/A"," ",$U133*(8*($BS133))*R133)</f>
        <v> </v>
      </c>
      <c r="AC133" s="320" t="str">
        <f aca="false">IF($A133="N/A"," ",$U133*(8*($BS133))*S133)</f>
        <v> </v>
      </c>
      <c r="AD133" s="320" t="str">
        <f aca="false">IF($A133="N/A"," ",$U133*(8*($BS133))*T133)</f>
        <v> </v>
      </c>
      <c r="AE133" s="320" t="str">
        <f aca="false">IF($A133="N/A"," ",SUM(V133:AD133))</f>
        <v> </v>
      </c>
      <c r="AF133" s="321" t="str">
        <f aca="false">IF(A133="N/A"," ",(VLOOKUP(A133,PowerVolTable,(IF(VolBMO2=2,7,IF(VolBMO2=1,6,8))),FALSE())))</f>
        <v> </v>
      </c>
      <c r="AG133" s="321" t="str">
        <f aca="false">IF(A133="N/A"," ",(VLOOKUP(A133,IntraPowerVol,(IF(VolBMO2=2,3,IF(VolBMO2=1,2,4))),FALSE())*VLOOKUP(MONTH($A133),Volscale,2)))</f>
        <v> </v>
      </c>
      <c r="AH133" s="321" t="str">
        <f aca="false">IF($A133="N/A"," ",IF(VolType2=1,AG133,AF133))</f>
        <v> </v>
      </c>
      <c r="AI133" s="321" t="str">
        <f aca="false">IF($A133="N/A"," ",(VLOOKUP($A133,OffPwrVolTable,(IF(VolBMO2=2,7,IF(VolBMO2=1,6,8))),FALSE())))</f>
        <v> </v>
      </c>
      <c r="AJ133" s="321" t="str">
        <f aca="false">IF($A133="N/A"," ",(VLOOKUP($A133,OffPwrVolTable,(IF(VolBMO2=2,3,IF(VolBMO2=1,2,4))),FALSE())*VLOOKUP(MONTH($A133),Volscale,2)))</f>
        <v> </v>
      </c>
      <c r="AK133" s="321" t="str">
        <f aca="false">IF($A133="N/A"," ",IF(VolType2=1,AJ133,AI133))</f>
        <v> </v>
      </c>
      <c r="AL133" s="321" t="str">
        <f aca="false">IF($A133="N/A"," ",IF(PV=1,0,'Pricing Inputs2'!R166))</f>
        <v> </v>
      </c>
      <c r="AM133" s="323" t="str">
        <f aca="false">IF($A133="N/A"," ",(1+AL133/2)^(-2*((EOMONTH(A133,0)+20)-DateToday)/365.25))</f>
        <v> </v>
      </c>
      <c r="BQ133" s="0" t="str">
        <f aca="false">IF($A133="N/A"," ",(VLOOKUP($A133,NumberofDaysTable,2)))</f>
        <v> </v>
      </c>
      <c r="BR133" s="0" t="str">
        <f aca="false">IF($A133="N/A"," ",(VLOOKUP($A133,NumberofDaysTable,3)))</f>
        <v> </v>
      </c>
      <c r="BS133" s="0" t="str">
        <f aca="false">IF($A133="N/A"," ",(VLOOKUP($A133,NumberofDaysTable,4)))</f>
        <v> </v>
      </c>
    </row>
    <row r="134" customFormat="false" ht="12.75" hidden="false" customHeight="false" outlineLevel="0" collapsed="false">
      <c r="A134" s="315" t="str">
        <f aca="false">IF(A133="N/A","N/A",IF(EDATE(A133,1)&gt;Inputs!$P$5,"N/A",EDATE(A133,1)))</f>
        <v>N/A</v>
      </c>
      <c r="B134" s="316" t="str">
        <f aca="false">IF(A134="N/A"," ",YEAR(A134))</f>
        <v> </v>
      </c>
      <c r="C134" s="317" t="str">
        <f aca="false">IF($A134="N/A"," ",IF(Dayrun2=10,0,IF(Scaler2=1,(VLOOKUP(A134,ScaledPrice2,4)),(VLOOKUP(A134,ScaledPrice2,2)))))</f>
        <v> </v>
      </c>
      <c r="D134" s="317" t="str">
        <f aca="false">IF(A134="N/A"," ",IF(Dayrun2&gt;=7,0,IF(Scaler2=2,VLOOKUP(A134,ScaledPrice2,2),(VLOOKUP(A134,ScaledPrice2,2))*(2-(VLOOKUP(A134,ScaledPrice2,3))))))</f>
        <v> </v>
      </c>
      <c r="E134" s="317" t="str">
        <f aca="false">IF($A134="N/A"," ",IF(AND(Dayrun2&gt;=4,Dayrun2&lt;=9),0,VLOOKUP($A134,ScaledPrice2,9)))</f>
        <v> </v>
      </c>
      <c r="F134" s="317" t="str">
        <f aca="false">IF(A134="N/A"," ",IF(OR(Dayrun2=2,Dayrun2=3,Dayrun2=5,Dayrun2=6,Dayrun2=8,Dayrun2=9),VLOOKUP(A134,ScaledPrice2,IF(Scaler2=1,6,5)),0))</f>
        <v> </v>
      </c>
      <c r="G134" s="317" t="str">
        <f aca="false">IF(A134="N/A"," ",IF(OR(Dayrun2=2,Dayrun2=3,Dayrun2=5,Dayrun2=6),IF(Scaler2=2,F134,(VLOOKUP(A134,ScaledPrice2,5))*(2-(VLOOKUP(A134,ScaledPrice2,3)))),0))</f>
        <v> </v>
      </c>
      <c r="H134" s="317" t="str">
        <f aca="false">IF($A134="N/A"," ",IF(OR(Dayrun2=2,Dayrun2=3,Dayrun2=10),VLOOKUP($A134,ScaledPrice2,9),0))</f>
        <v> </v>
      </c>
      <c r="I134" s="317" t="str">
        <f aca="false">IF(A134="N/A"," ",IF(OR(Dayrun2=3,Dayrun2=6,Dayrun2=9),(VLOOKUP(A134,ScaledPrice2,IF(Scaler2=2,7,8))),0))</f>
        <v> </v>
      </c>
      <c r="J134" s="317" t="str">
        <f aca="false">IF(A134="N/A"," ",IF(OR(Dayrun2=3,Dayrun2=6),IF(Scaler2=2,I134,(VLOOKUP(A134,ScaledPrice2,7))*(2-(VLOOKUP(A134,ScaledPrice2,3)))),0))</f>
        <v> </v>
      </c>
      <c r="K134" s="317" t="str">
        <f aca="false">IF($A134="N/A"," ",IF(OR(Dayrun2=3,Dayrun2=10),VLOOKUP($A134,ScaledPrice2,9),0))</f>
        <v> </v>
      </c>
      <c r="L134" s="318" t="str">
        <f aca="false">IF($A134="N/A"," ",IF(Pricetype2=2,MAX(C134,0),IF(OR(Pricetype2=1,Pricetype2=4),IF(C134=0,0,(EURO(C134,Strikeprice2,0,0,($AH134+IF(Smile=TRUE(),VLOOKUP(MAX(-5,Strikeprice2-C134),Volsmile,2),0)),($A134-DateToday)+15,IF(Pricetype2=1,1,0),0))),C134)))</f>
        <v> </v>
      </c>
      <c r="M134" s="318" t="str">
        <f aca="false">IF($A134="N/A"," ",IF(Pricetype2=2,MAX(D134,0),IF(OR(Pricetype2=1,Pricetype2=4),IF(D134=0,0,(EURO(D134,Strikeprice2,0,0,($AH134+IF(Smile=TRUE(),VLOOKUP(MAX(-5,Strikeprice2-D134),Volsmile,2),0)),($A134-DateToday)+15,IF(Pricetype2=1,1,0),0))),D134)))</f>
        <v> </v>
      </c>
      <c r="N134" s="318" t="str">
        <f aca="false">IF($A134="N/A"," ",IF(Pricetype2=2,MAX(E134,0),IF(OR(Pricetype2=1,Pricetype2=4),IF(E134=0,0,(EURO(E134,Strikeprice2,0,0,($AK134+IF(Smile=TRUE(),VLOOKUP(MAX(-5,Strikeprice2-E134),Volsmile,2),0)),($A134-DateToday)+15,IF(Pricetype2=1,1,0),0))),E134)))</f>
        <v> </v>
      </c>
      <c r="O134" s="318" t="str">
        <f aca="false">IF($A134="N/A"," ",IF(Pricetype2=2,MAX(F134,0),IF(OR(Pricetype2=1,Pricetype2=4),IF(F134=0,0,(EURO(F134,Strikeprice2,0,0,($AK134+IF(Smile=TRUE(),VLOOKUP(MAX(-5,Strikeprice2-F134),Volsmile,2),0)),($A134-DateToday)+15,IF(Pricetype2=1,1,0),0))),F134)))</f>
        <v> </v>
      </c>
      <c r="P134" s="318" t="str">
        <f aca="false">IF($A134="N/A"," ",IF(Pricetype2=2,MAX(G134,0),IF(OR(Pricetype2=1,Pricetype2=4),IF(G134=0,0,(EURO(G134,Strikeprice2,0,0,($AK134+IF(Smile=TRUE(),VLOOKUP(MAX(-5,Strikeprice2-G134),Volsmile,2),0)),($A134-DateToday)+15,IF(Pricetype2=1,1,0),0))),G134)))</f>
        <v> </v>
      </c>
      <c r="Q134" s="318" t="str">
        <f aca="false">IF($A134="N/A"," ",IF(Pricetype2=2,MAX(H134,0),IF(OR(Pricetype2=1,Pricetype2=4),IF(H134=0,0,(EURO(H134,Strikeprice2,0,0,($AK134+IF(Smile=TRUE(),VLOOKUP(MAX(-5,Strikeprice2-H134),Volsmile,2),0)),($A134-DateToday)+15,IF(Pricetype2=1,1,0),0))),H134)))</f>
        <v> </v>
      </c>
      <c r="R134" s="318" t="str">
        <f aca="false">IF($A134="N/A"," ",IF(Pricetype2=2,MAX(I134,0),IF(OR(Pricetype2=1,Pricetype2=4),IF(I134=0,0,(EURO(I134,Strikeprice2,0,0,($AK134+IF(Smile=TRUE(),VLOOKUP(MAX(-5,Strikeprice2-I134),Volsmile,2),0)),($A134-DateToday)+15,IF(Pricetype2=1,1,0),0))),I134)))</f>
        <v> </v>
      </c>
      <c r="S134" s="318" t="str">
        <f aca="false">IF($A134="N/A"," ",IF(Pricetype2=2,MAX(J134,0),IF(OR(Pricetype2=1,Pricetype2=4),IF(J134=0,0,(EURO(J134,Strikeprice2,0,0,($AK134+IF(Smile=TRUE(),VLOOKUP(MAX(-5,Strikeprice2-J134),Volsmile,2),0)),($A134-DateToday)+15,IF(Pricetype2=1,1,0),0))),J134)))</f>
        <v> </v>
      </c>
      <c r="T134" s="318" t="str">
        <f aca="false">IF($A134="N/A"," ",IF(Pricetype2=2,MAX(K134,0),IF(OR(Pricetype2=1,Pricetype2=4),IF(K134=0,0,(EURO(K134,Strikeprice2,0,0,($AK134+IF(Smile=TRUE(),VLOOKUP(MAX(-5,Strikeprice2-K134),Volsmile,2),0)),($A134-DateToday)+15,IF(Pricetype2=1,1,0),0))),K134)))</f>
        <v> </v>
      </c>
      <c r="U134" s="319" t="str">
        <f aca="false">IF($A134="N/A"," ",Volume2*$AM134)</f>
        <v> </v>
      </c>
      <c r="V134" s="320" t="str">
        <f aca="false">IF($A134="N/A"," ",$U134*(8*($BQ134))*L134)</f>
        <v> </v>
      </c>
      <c r="W134" s="320" t="str">
        <f aca="false">IF($A134="N/A"," ",$U134*(8*($BQ134))*M134)</f>
        <v> </v>
      </c>
      <c r="X134" s="320" t="str">
        <f aca="false">IF($A134="N/A"," ",$U134*(8*($BQ134))*N134)</f>
        <v> </v>
      </c>
      <c r="Y134" s="320" t="str">
        <f aca="false">IF($A134="N/A"," ",$U134*(8*($BR134))*O134)</f>
        <v> </v>
      </c>
      <c r="Z134" s="320" t="str">
        <f aca="false">IF($A134="N/A"," ",$U134*(8*($BR134))*P134)</f>
        <v> </v>
      </c>
      <c r="AA134" s="320" t="str">
        <f aca="false">IF($A134="N/A"," ",$U134*(8*($BR134))*Q134)</f>
        <v> </v>
      </c>
      <c r="AB134" s="320" t="str">
        <f aca="false">IF($A134="N/A"," ",$U134*(8*($BS134))*R134)</f>
        <v> </v>
      </c>
      <c r="AC134" s="320" t="str">
        <f aca="false">IF($A134="N/A"," ",$U134*(8*($BS134))*S134)</f>
        <v> </v>
      </c>
      <c r="AD134" s="320" t="str">
        <f aca="false">IF($A134="N/A"," ",$U134*(8*($BS134))*T134)</f>
        <v> </v>
      </c>
      <c r="AE134" s="320" t="str">
        <f aca="false">IF($A134="N/A"," ",SUM(V134:AD134))</f>
        <v> </v>
      </c>
      <c r="AF134" s="321" t="str">
        <f aca="false">IF(A134="N/A"," ",(VLOOKUP(A134,PowerVolTable,(IF(VolBMO2=2,7,IF(VolBMO2=1,6,8))),FALSE())))</f>
        <v> </v>
      </c>
      <c r="AG134" s="321" t="str">
        <f aca="false">IF(A134="N/A"," ",(VLOOKUP(A134,IntraPowerVol,(IF(VolBMO2=2,3,IF(VolBMO2=1,2,4))),FALSE())*VLOOKUP(MONTH($A134),Volscale,2)))</f>
        <v> </v>
      </c>
      <c r="AH134" s="321" t="str">
        <f aca="false">IF($A134="N/A"," ",IF(VolType2=1,AG134,AF134))</f>
        <v> </v>
      </c>
      <c r="AI134" s="321" t="str">
        <f aca="false">IF($A134="N/A"," ",(VLOOKUP($A134,OffPwrVolTable,(IF(VolBMO2=2,7,IF(VolBMO2=1,6,8))),FALSE())))</f>
        <v> </v>
      </c>
      <c r="AJ134" s="321" t="str">
        <f aca="false">IF($A134="N/A"," ",(VLOOKUP($A134,OffPwrVolTable,(IF(VolBMO2=2,3,IF(VolBMO2=1,2,4))),FALSE())*VLOOKUP(MONTH($A134),Volscale,2)))</f>
        <v> </v>
      </c>
      <c r="AK134" s="321" t="str">
        <f aca="false">IF($A134="N/A"," ",IF(VolType2=1,AJ134,AI134))</f>
        <v> </v>
      </c>
      <c r="AL134" s="321" t="str">
        <f aca="false">IF($A134="N/A"," ",IF(PV=1,0,'Pricing Inputs2'!R167))</f>
        <v> </v>
      </c>
      <c r="AM134" s="323" t="str">
        <f aca="false">IF($A134="N/A"," ",(1+AL134/2)^(-2*((EOMONTH(A134,0)+20)-DateToday)/365.25))</f>
        <v> </v>
      </c>
      <c r="BQ134" s="0" t="str">
        <f aca="false">IF($A134="N/A"," ",(VLOOKUP($A134,NumberofDaysTable,2)))</f>
        <v> </v>
      </c>
      <c r="BR134" s="0" t="str">
        <f aca="false">IF($A134="N/A"," ",(VLOOKUP($A134,NumberofDaysTable,3)))</f>
        <v> </v>
      </c>
      <c r="BS134" s="0" t="str">
        <f aca="false">IF($A134="N/A"," ",(VLOOKUP($A134,NumberofDaysTable,4)))</f>
        <v> </v>
      </c>
    </row>
    <row r="135" customFormat="false" ht="12.75" hidden="false" customHeight="false" outlineLevel="0" collapsed="false">
      <c r="A135" s="315" t="str">
        <f aca="false">IF(A134="N/A","N/A",IF(EDATE(A134,1)&gt;Inputs!$P$5,"N/A",EDATE(A134,1)))</f>
        <v>N/A</v>
      </c>
      <c r="B135" s="316" t="str">
        <f aca="false">IF(A135="N/A"," ",YEAR(A135))</f>
        <v> </v>
      </c>
      <c r="C135" s="317" t="str">
        <f aca="false">IF($A135="N/A"," ",IF(Dayrun2=10,0,IF(Scaler2=1,(VLOOKUP(A135,ScaledPrice2,4)),(VLOOKUP(A135,ScaledPrice2,2)))))</f>
        <v> </v>
      </c>
      <c r="D135" s="317" t="str">
        <f aca="false">IF(A135="N/A"," ",IF(Dayrun2&gt;=7,0,IF(Scaler2=2,VLOOKUP(A135,ScaledPrice2,2),(VLOOKUP(A135,ScaledPrice2,2))*(2-(VLOOKUP(A135,ScaledPrice2,3))))))</f>
        <v> </v>
      </c>
      <c r="E135" s="317" t="str">
        <f aca="false">IF($A135="N/A"," ",IF(AND(Dayrun2&gt;=4,Dayrun2&lt;=9),0,VLOOKUP($A135,ScaledPrice2,9)))</f>
        <v> </v>
      </c>
      <c r="F135" s="317" t="str">
        <f aca="false">IF(A135="N/A"," ",IF(OR(Dayrun2=2,Dayrun2=3,Dayrun2=5,Dayrun2=6,Dayrun2=8,Dayrun2=9),VLOOKUP(A135,ScaledPrice2,IF(Scaler2=1,6,5)),0))</f>
        <v> </v>
      </c>
      <c r="G135" s="317" t="str">
        <f aca="false">IF(A135="N/A"," ",IF(OR(Dayrun2=2,Dayrun2=3,Dayrun2=5,Dayrun2=6),IF(Scaler2=2,F135,(VLOOKUP(A135,ScaledPrice2,5))*(2-(VLOOKUP(A135,ScaledPrice2,3)))),0))</f>
        <v> </v>
      </c>
      <c r="H135" s="317" t="str">
        <f aca="false">IF($A135="N/A"," ",IF(OR(Dayrun2=2,Dayrun2=3,Dayrun2=10),VLOOKUP($A135,ScaledPrice2,9),0))</f>
        <v> </v>
      </c>
      <c r="I135" s="317" t="str">
        <f aca="false">IF(A135="N/A"," ",IF(OR(Dayrun2=3,Dayrun2=6,Dayrun2=9),(VLOOKUP(A135,ScaledPrice2,IF(Scaler2=2,7,8))),0))</f>
        <v> </v>
      </c>
      <c r="J135" s="317" t="str">
        <f aca="false">IF(A135="N/A"," ",IF(OR(Dayrun2=3,Dayrun2=6),IF(Scaler2=2,I135,(VLOOKUP(A135,ScaledPrice2,7))*(2-(VLOOKUP(A135,ScaledPrice2,3)))),0))</f>
        <v> </v>
      </c>
      <c r="K135" s="317" t="str">
        <f aca="false">IF($A135="N/A"," ",IF(OR(Dayrun2=3,Dayrun2=10),VLOOKUP($A135,ScaledPrice2,9),0))</f>
        <v> </v>
      </c>
      <c r="L135" s="318" t="str">
        <f aca="false">IF($A135="N/A"," ",IF(Pricetype2=2,MAX(C135,0),IF(OR(Pricetype2=1,Pricetype2=4),IF(C135=0,0,(EURO(C135,Strikeprice2,0,0,($AH135+IF(Smile=TRUE(),VLOOKUP(MAX(-5,Strikeprice2-C135),Volsmile,2),0)),($A135-DateToday)+15,IF(Pricetype2=1,1,0),0))),C135)))</f>
        <v> </v>
      </c>
      <c r="M135" s="318" t="str">
        <f aca="false">IF($A135="N/A"," ",IF(Pricetype2=2,MAX(D135,0),IF(OR(Pricetype2=1,Pricetype2=4),IF(D135=0,0,(EURO(D135,Strikeprice2,0,0,($AH135+IF(Smile=TRUE(),VLOOKUP(MAX(-5,Strikeprice2-D135),Volsmile,2),0)),($A135-DateToday)+15,IF(Pricetype2=1,1,0),0))),D135)))</f>
        <v> </v>
      </c>
      <c r="N135" s="318" t="str">
        <f aca="false">IF($A135="N/A"," ",IF(Pricetype2=2,MAX(E135,0),IF(OR(Pricetype2=1,Pricetype2=4),IF(E135=0,0,(EURO(E135,Strikeprice2,0,0,($AK135+IF(Smile=TRUE(),VLOOKUP(MAX(-5,Strikeprice2-E135),Volsmile,2),0)),($A135-DateToday)+15,IF(Pricetype2=1,1,0),0))),E135)))</f>
        <v> </v>
      </c>
      <c r="O135" s="318" t="str">
        <f aca="false">IF($A135="N/A"," ",IF(Pricetype2=2,MAX(F135,0),IF(OR(Pricetype2=1,Pricetype2=4),IF(F135=0,0,(EURO(F135,Strikeprice2,0,0,($AK135+IF(Smile=TRUE(),VLOOKUP(MAX(-5,Strikeprice2-F135),Volsmile,2),0)),($A135-DateToday)+15,IF(Pricetype2=1,1,0),0))),F135)))</f>
        <v> </v>
      </c>
      <c r="P135" s="318" t="str">
        <f aca="false">IF($A135="N/A"," ",IF(Pricetype2=2,MAX(G135,0),IF(OR(Pricetype2=1,Pricetype2=4),IF(G135=0,0,(EURO(G135,Strikeprice2,0,0,($AK135+IF(Smile=TRUE(),VLOOKUP(MAX(-5,Strikeprice2-G135),Volsmile,2),0)),($A135-DateToday)+15,IF(Pricetype2=1,1,0),0))),G135)))</f>
        <v> </v>
      </c>
      <c r="Q135" s="318" t="str">
        <f aca="false">IF($A135="N/A"," ",IF(Pricetype2=2,MAX(H135,0),IF(OR(Pricetype2=1,Pricetype2=4),IF(H135=0,0,(EURO(H135,Strikeprice2,0,0,($AK135+IF(Smile=TRUE(),VLOOKUP(MAX(-5,Strikeprice2-H135),Volsmile,2),0)),($A135-DateToday)+15,IF(Pricetype2=1,1,0),0))),H135)))</f>
        <v> </v>
      </c>
      <c r="R135" s="318" t="str">
        <f aca="false">IF($A135="N/A"," ",IF(Pricetype2=2,MAX(I135,0),IF(OR(Pricetype2=1,Pricetype2=4),IF(I135=0,0,(EURO(I135,Strikeprice2,0,0,($AK135+IF(Smile=TRUE(),VLOOKUP(MAX(-5,Strikeprice2-I135),Volsmile,2),0)),($A135-DateToday)+15,IF(Pricetype2=1,1,0),0))),I135)))</f>
        <v> </v>
      </c>
      <c r="S135" s="318" t="str">
        <f aca="false">IF($A135="N/A"," ",IF(Pricetype2=2,MAX(J135,0),IF(OR(Pricetype2=1,Pricetype2=4),IF(J135=0,0,(EURO(J135,Strikeprice2,0,0,($AK135+IF(Smile=TRUE(),VLOOKUP(MAX(-5,Strikeprice2-J135),Volsmile,2),0)),($A135-DateToday)+15,IF(Pricetype2=1,1,0),0))),J135)))</f>
        <v> </v>
      </c>
      <c r="T135" s="318" t="str">
        <f aca="false">IF($A135="N/A"," ",IF(Pricetype2=2,MAX(K135,0),IF(OR(Pricetype2=1,Pricetype2=4),IF(K135=0,0,(EURO(K135,Strikeprice2,0,0,($AK135+IF(Smile=TRUE(),VLOOKUP(MAX(-5,Strikeprice2-K135),Volsmile,2),0)),($A135-DateToday)+15,IF(Pricetype2=1,1,0),0))),K135)))</f>
        <v> </v>
      </c>
      <c r="U135" s="319" t="str">
        <f aca="false">IF($A135="N/A"," ",Volume2*$AM135)</f>
        <v> </v>
      </c>
      <c r="V135" s="320" t="str">
        <f aca="false">IF($A135="N/A"," ",$U135*(8*($BQ135))*L135)</f>
        <v> </v>
      </c>
      <c r="W135" s="320" t="str">
        <f aca="false">IF($A135="N/A"," ",$U135*(8*($BQ135))*M135)</f>
        <v> </v>
      </c>
      <c r="X135" s="320" t="str">
        <f aca="false">IF($A135="N/A"," ",$U135*(8*($BQ135))*N135)</f>
        <v> </v>
      </c>
      <c r="Y135" s="320" t="str">
        <f aca="false">IF($A135="N/A"," ",$U135*(8*($BR135))*O135)</f>
        <v> </v>
      </c>
      <c r="Z135" s="320" t="str">
        <f aca="false">IF($A135="N/A"," ",$U135*(8*($BR135))*P135)</f>
        <v> </v>
      </c>
      <c r="AA135" s="320" t="str">
        <f aca="false">IF($A135="N/A"," ",$U135*(8*($BR135))*Q135)</f>
        <v> </v>
      </c>
      <c r="AB135" s="320" t="str">
        <f aca="false">IF($A135="N/A"," ",$U135*(8*($BS135))*R135)</f>
        <v> </v>
      </c>
      <c r="AC135" s="320" t="str">
        <f aca="false">IF($A135="N/A"," ",$U135*(8*($BS135))*S135)</f>
        <v> </v>
      </c>
      <c r="AD135" s="320" t="str">
        <f aca="false">IF($A135="N/A"," ",$U135*(8*($BS135))*T135)</f>
        <v> </v>
      </c>
      <c r="AE135" s="320" t="str">
        <f aca="false">IF($A135="N/A"," ",SUM(V135:AD135))</f>
        <v> </v>
      </c>
      <c r="AF135" s="321" t="str">
        <f aca="false">IF(A135="N/A"," ",(VLOOKUP(A135,PowerVolTable,(IF(VolBMO2=2,7,IF(VolBMO2=1,6,8))),FALSE())))</f>
        <v> </v>
      </c>
      <c r="AG135" s="321" t="str">
        <f aca="false">IF(A135="N/A"," ",(VLOOKUP(A135,IntraPowerVol,(IF(VolBMO2=2,3,IF(VolBMO2=1,2,4))),FALSE())*VLOOKUP(MONTH($A135),Volscale,2)))</f>
        <v> </v>
      </c>
      <c r="AH135" s="321" t="str">
        <f aca="false">IF($A135="N/A"," ",IF(VolType2=1,AG135,AF135))</f>
        <v> </v>
      </c>
      <c r="AI135" s="321" t="str">
        <f aca="false">IF($A135="N/A"," ",(VLOOKUP($A135,OffPwrVolTable,(IF(VolBMO2=2,7,IF(VolBMO2=1,6,8))),FALSE())))</f>
        <v> </v>
      </c>
      <c r="AJ135" s="321" t="str">
        <f aca="false">IF($A135="N/A"," ",(VLOOKUP($A135,OffPwrVolTable,(IF(VolBMO2=2,3,IF(VolBMO2=1,2,4))),FALSE())*VLOOKUP(MONTH($A135),Volscale,2)))</f>
        <v> </v>
      </c>
      <c r="AK135" s="321" t="str">
        <f aca="false">IF($A135="N/A"," ",IF(VolType2=1,AJ135,AI135))</f>
        <v> </v>
      </c>
      <c r="AL135" s="321" t="str">
        <f aca="false">IF($A135="N/A"," ",IF(PV=1,0,'Pricing Inputs2'!R168))</f>
        <v> </v>
      </c>
      <c r="AM135" s="323" t="str">
        <f aca="false">IF($A135="N/A"," ",(1+AL135/2)^(-2*((EOMONTH(A135,0)+20)-DateToday)/365.25))</f>
        <v> </v>
      </c>
      <c r="BQ135" s="0" t="str">
        <f aca="false">IF($A135="N/A"," ",(VLOOKUP($A135,NumberofDaysTable,2)))</f>
        <v> </v>
      </c>
      <c r="BR135" s="0" t="str">
        <f aca="false">IF($A135="N/A"," ",(VLOOKUP($A135,NumberofDaysTable,3)))</f>
        <v> </v>
      </c>
      <c r="BS135" s="0" t="str">
        <f aca="false">IF($A135="N/A"," ",(VLOOKUP($A135,NumberofDaysTable,4)))</f>
        <v> </v>
      </c>
    </row>
    <row r="136" customFormat="false" ht="12.75" hidden="false" customHeight="false" outlineLevel="0" collapsed="false">
      <c r="A136" s="315" t="str">
        <f aca="false">IF(A135="N/A","N/A",IF(EDATE(A135,1)&gt;Inputs!$P$5,"N/A",EDATE(A135,1)))</f>
        <v>N/A</v>
      </c>
      <c r="B136" s="316" t="str">
        <f aca="false">IF(A136="N/A"," ",YEAR(A136))</f>
        <v> </v>
      </c>
      <c r="C136" s="317" t="str">
        <f aca="false">IF($A136="N/A"," ",IF(Dayrun2=10,0,IF(Scaler2=1,(VLOOKUP(A136,ScaledPrice2,4)),(VLOOKUP(A136,ScaledPrice2,2)))))</f>
        <v> </v>
      </c>
      <c r="D136" s="317" t="str">
        <f aca="false">IF(A136="N/A"," ",IF(Dayrun2&gt;=7,0,IF(Scaler2=2,VLOOKUP(A136,ScaledPrice2,2),(VLOOKUP(A136,ScaledPrice2,2))*(2-(VLOOKUP(A136,ScaledPrice2,3))))))</f>
        <v> </v>
      </c>
      <c r="E136" s="317" t="str">
        <f aca="false">IF($A136="N/A"," ",IF(AND(Dayrun2&gt;=4,Dayrun2&lt;=9),0,VLOOKUP($A136,ScaledPrice2,9)))</f>
        <v> </v>
      </c>
      <c r="F136" s="317" t="str">
        <f aca="false">IF(A136="N/A"," ",IF(OR(Dayrun2=2,Dayrun2=3,Dayrun2=5,Dayrun2=6,Dayrun2=8,Dayrun2=9),VLOOKUP(A136,ScaledPrice2,IF(Scaler2=1,6,5)),0))</f>
        <v> </v>
      </c>
      <c r="G136" s="317" t="str">
        <f aca="false">IF(A136="N/A"," ",IF(OR(Dayrun2=2,Dayrun2=3,Dayrun2=5,Dayrun2=6),IF(Scaler2=2,F136,(VLOOKUP(A136,ScaledPrice2,5))*(2-(VLOOKUP(A136,ScaledPrice2,3)))),0))</f>
        <v> </v>
      </c>
      <c r="H136" s="317" t="str">
        <f aca="false">IF($A136="N/A"," ",IF(OR(Dayrun2=2,Dayrun2=3,Dayrun2=10),VLOOKUP($A136,ScaledPrice2,9),0))</f>
        <v> </v>
      </c>
      <c r="I136" s="317" t="str">
        <f aca="false">IF(A136="N/A"," ",IF(OR(Dayrun2=3,Dayrun2=6,Dayrun2=9),(VLOOKUP(A136,ScaledPrice2,IF(Scaler2=2,7,8))),0))</f>
        <v> </v>
      </c>
      <c r="J136" s="317" t="str">
        <f aca="false">IF(A136="N/A"," ",IF(OR(Dayrun2=3,Dayrun2=6),IF(Scaler2=2,I136,(VLOOKUP(A136,ScaledPrice2,7))*(2-(VLOOKUP(A136,ScaledPrice2,3)))),0))</f>
        <v> </v>
      </c>
      <c r="K136" s="317" t="str">
        <f aca="false">IF($A136="N/A"," ",IF(OR(Dayrun2=3,Dayrun2=10),VLOOKUP($A136,ScaledPrice2,9),0))</f>
        <v> </v>
      </c>
      <c r="L136" s="318" t="str">
        <f aca="false">IF($A136="N/A"," ",IF(Pricetype2=2,MAX(C136,0),IF(OR(Pricetype2=1,Pricetype2=4),IF(C136=0,0,(EURO(C136,Strikeprice2,0,0,($AH136+IF(Smile=TRUE(),VLOOKUP(MAX(-5,Strikeprice2-C136),Volsmile,2),0)),($A136-DateToday)+15,IF(Pricetype2=1,1,0),0))),C136)))</f>
        <v> </v>
      </c>
      <c r="M136" s="318" t="str">
        <f aca="false">IF($A136="N/A"," ",IF(Pricetype2=2,MAX(D136,0),IF(OR(Pricetype2=1,Pricetype2=4),IF(D136=0,0,(EURO(D136,Strikeprice2,0,0,($AH136+IF(Smile=TRUE(),VLOOKUP(MAX(-5,Strikeprice2-D136),Volsmile,2),0)),($A136-DateToday)+15,IF(Pricetype2=1,1,0),0))),D136)))</f>
        <v> </v>
      </c>
      <c r="N136" s="318" t="str">
        <f aca="false">IF($A136="N/A"," ",IF(Pricetype2=2,MAX(E136,0),IF(OR(Pricetype2=1,Pricetype2=4),IF(E136=0,0,(EURO(E136,Strikeprice2,0,0,($AK136+IF(Smile=TRUE(),VLOOKUP(MAX(-5,Strikeprice2-E136),Volsmile,2),0)),($A136-DateToday)+15,IF(Pricetype2=1,1,0),0))),E136)))</f>
        <v> </v>
      </c>
      <c r="O136" s="318" t="str">
        <f aca="false">IF($A136="N/A"," ",IF(Pricetype2=2,MAX(F136,0),IF(OR(Pricetype2=1,Pricetype2=4),IF(F136=0,0,(EURO(F136,Strikeprice2,0,0,($AK136+IF(Smile=TRUE(),VLOOKUP(MAX(-5,Strikeprice2-F136),Volsmile,2),0)),($A136-DateToday)+15,IF(Pricetype2=1,1,0),0))),F136)))</f>
        <v> </v>
      </c>
      <c r="P136" s="318" t="str">
        <f aca="false">IF($A136="N/A"," ",IF(Pricetype2=2,MAX(G136,0),IF(OR(Pricetype2=1,Pricetype2=4),IF(G136=0,0,(EURO(G136,Strikeprice2,0,0,($AK136+IF(Smile=TRUE(),VLOOKUP(MAX(-5,Strikeprice2-G136),Volsmile,2),0)),($A136-DateToday)+15,IF(Pricetype2=1,1,0),0))),G136)))</f>
        <v> </v>
      </c>
      <c r="Q136" s="318" t="str">
        <f aca="false">IF($A136="N/A"," ",IF(Pricetype2=2,MAX(H136,0),IF(OR(Pricetype2=1,Pricetype2=4),IF(H136=0,0,(EURO(H136,Strikeprice2,0,0,($AK136+IF(Smile=TRUE(),VLOOKUP(MAX(-5,Strikeprice2-H136),Volsmile,2),0)),($A136-DateToday)+15,IF(Pricetype2=1,1,0),0))),H136)))</f>
        <v> </v>
      </c>
      <c r="R136" s="318" t="str">
        <f aca="false">IF($A136="N/A"," ",IF(Pricetype2=2,MAX(I136,0),IF(OR(Pricetype2=1,Pricetype2=4),IF(I136=0,0,(EURO(I136,Strikeprice2,0,0,($AK136+IF(Smile=TRUE(),VLOOKUP(MAX(-5,Strikeprice2-I136),Volsmile,2),0)),($A136-DateToday)+15,IF(Pricetype2=1,1,0),0))),I136)))</f>
        <v> </v>
      </c>
      <c r="S136" s="318" t="str">
        <f aca="false">IF($A136="N/A"," ",IF(Pricetype2=2,MAX(J136,0),IF(OR(Pricetype2=1,Pricetype2=4),IF(J136=0,0,(EURO(J136,Strikeprice2,0,0,($AK136+IF(Smile=TRUE(),VLOOKUP(MAX(-5,Strikeprice2-J136),Volsmile,2),0)),($A136-DateToday)+15,IF(Pricetype2=1,1,0),0))),J136)))</f>
        <v> </v>
      </c>
      <c r="T136" s="318" t="str">
        <f aca="false">IF($A136="N/A"," ",IF(Pricetype2=2,MAX(K136,0),IF(OR(Pricetype2=1,Pricetype2=4),IF(K136=0,0,(EURO(K136,Strikeprice2,0,0,($AK136+IF(Smile=TRUE(),VLOOKUP(MAX(-5,Strikeprice2-K136),Volsmile,2),0)),($A136-DateToday)+15,IF(Pricetype2=1,1,0),0))),K136)))</f>
        <v> </v>
      </c>
      <c r="U136" s="319" t="str">
        <f aca="false">IF($A136="N/A"," ",Volume2*$AM136)</f>
        <v> </v>
      </c>
      <c r="V136" s="320" t="str">
        <f aca="false">IF($A136="N/A"," ",$U136*(8*($BQ136))*L136)</f>
        <v> </v>
      </c>
      <c r="W136" s="320" t="str">
        <f aca="false">IF($A136="N/A"," ",$U136*(8*($BQ136))*M136)</f>
        <v> </v>
      </c>
      <c r="X136" s="320" t="str">
        <f aca="false">IF($A136="N/A"," ",$U136*(8*($BQ136))*N136)</f>
        <v> </v>
      </c>
      <c r="Y136" s="320" t="str">
        <f aca="false">IF($A136="N/A"," ",$U136*(8*($BR136))*O136)</f>
        <v> </v>
      </c>
      <c r="Z136" s="320" t="str">
        <f aca="false">IF($A136="N/A"," ",$U136*(8*($BR136))*P136)</f>
        <v> </v>
      </c>
      <c r="AA136" s="320" t="str">
        <f aca="false">IF($A136="N/A"," ",$U136*(8*($BR136))*Q136)</f>
        <v> </v>
      </c>
      <c r="AB136" s="320" t="str">
        <f aca="false">IF($A136="N/A"," ",$U136*(8*($BS136))*R136)</f>
        <v> </v>
      </c>
      <c r="AC136" s="320" t="str">
        <f aca="false">IF($A136="N/A"," ",$U136*(8*($BS136))*S136)</f>
        <v> </v>
      </c>
      <c r="AD136" s="320" t="str">
        <f aca="false">IF($A136="N/A"," ",$U136*(8*($BS136))*T136)</f>
        <v> </v>
      </c>
      <c r="AE136" s="320" t="str">
        <f aca="false">IF($A136="N/A"," ",SUM(V136:AD136))</f>
        <v> </v>
      </c>
      <c r="AF136" s="321" t="str">
        <f aca="false">IF(A136="N/A"," ",(VLOOKUP(A136,PowerVolTable,(IF(VolBMO2=2,7,IF(VolBMO2=1,6,8))),FALSE())))</f>
        <v> </v>
      </c>
      <c r="AG136" s="321" t="str">
        <f aca="false">IF(A136="N/A"," ",(VLOOKUP(A136,IntraPowerVol,(IF(VolBMO2=2,3,IF(VolBMO2=1,2,4))),FALSE())*VLOOKUP(MONTH($A136),Volscale,2)))</f>
        <v> </v>
      </c>
      <c r="AH136" s="321" t="str">
        <f aca="false">IF($A136="N/A"," ",IF(VolType2=1,AG136,AF136))</f>
        <v> </v>
      </c>
      <c r="AI136" s="321" t="str">
        <f aca="false">IF($A136="N/A"," ",(VLOOKUP($A136,OffPwrVolTable,(IF(VolBMO2=2,7,IF(VolBMO2=1,6,8))),FALSE())))</f>
        <v> </v>
      </c>
      <c r="AJ136" s="321" t="str">
        <f aca="false">IF($A136="N/A"," ",(VLOOKUP($A136,OffPwrVolTable,(IF(VolBMO2=2,3,IF(VolBMO2=1,2,4))),FALSE())*VLOOKUP(MONTH($A136),Volscale,2)))</f>
        <v> </v>
      </c>
      <c r="AK136" s="321" t="str">
        <f aca="false">IF($A136="N/A"," ",IF(VolType2=1,AJ136,AI136))</f>
        <v> </v>
      </c>
      <c r="AL136" s="321" t="str">
        <f aca="false">IF($A136="N/A"," ",IF(PV=1,0,'Pricing Inputs2'!R169))</f>
        <v> </v>
      </c>
      <c r="AM136" s="323" t="str">
        <f aca="false">IF($A136="N/A"," ",(1+AL136/2)^(-2*((EOMONTH(A136,0)+20)-DateToday)/365.25))</f>
        <v> </v>
      </c>
      <c r="BQ136" s="0" t="str">
        <f aca="false">IF($A136="N/A"," ",(VLOOKUP($A136,NumberofDaysTable,2)))</f>
        <v> </v>
      </c>
      <c r="BR136" s="0" t="str">
        <f aca="false">IF($A136="N/A"," ",(VLOOKUP($A136,NumberofDaysTable,3)))</f>
        <v> </v>
      </c>
      <c r="BS136" s="0" t="str">
        <f aca="false">IF($A136="N/A"," ",(VLOOKUP($A136,NumberofDaysTable,4)))</f>
        <v> </v>
      </c>
    </row>
    <row r="137" customFormat="false" ht="12.75" hidden="false" customHeight="false" outlineLevel="0" collapsed="false">
      <c r="A137" s="315" t="str">
        <f aca="false">IF(A136="N/A","N/A",IF(EDATE(A136,1)&gt;Inputs!$P$5,"N/A",EDATE(A136,1)))</f>
        <v>N/A</v>
      </c>
      <c r="B137" s="316" t="str">
        <f aca="false">IF(A137="N/A"," ",YEAR(A137))</f>
        <v> </v>
      </c>
      <c r="C137" s="317" t="str">
        <f aca="false">IF($A137="N/A"," ",IF(Dayrun2=10,0,IF(Scaler2=1,(VLOOKUP(A137,ScaledPrice2,4)),(VLOOKUP(A137,ScaledPrice2,2)))))</f>
        <v> </v>
      </c>
      <c r="D137" s="317" t="str">
        <f aca="false">IF(A137="N/A"," ",IF(Dayrun2&gt;=7,0,IF(Scaler2=2,VLOOKUP(A137,ScaledPrice2,2),(VLOOKUP(A137,ScaledPrice2,2))*(2-(VLOOKUP(A137,ScaledPrice2,3))))))</f>
        <v> </v>
      </c>
      <c r="E137" s="317" t="str">
        <f aca="false">IF($A137="N/A"," ",IF(AND(Dayrun2&gt;=4,Dayrun2&lt;=9),0,VLOOKUP($A137,ScaledPrice2,9)))</f>
        <v> </v>
      </c>
      <c r="F137" s="317" t="str">
        <f aca="false">IF(A137="N/A"," ",IF(OR(Dayrun2=2,Dayrun2=3,Dayrun2=5,Dayrun2=6,Dayrun2=8,Dayrun2=9),VLOOKUP(A137,ScaledPrice2,IF(Scaler2=1,6,5)),0))</f>
        <v> </v>
      </c>
      <c r="G137" s="317" t="str">
        <f aca="false">IF(A137="N/A"," ",IF(OR(Dayrun2=2,Dayrun2=3,Dayrun2=5,Dayrun2=6),IF(Scaler2=2,F137,(VLOOKUP(A137,ScaledPrice2,5))*(2-(VLOOKUP(A137,ScaledPrice2,3)))),0))</f>
        <v> </v>
      </c>
      <c r="H137" s="317" t="str">
        <f aca="false">IF($A137="N/A"," ",IF(OR(Dayrun2=2,Dayrun2=3,Dayrun2=10),VLOOKUP($A137,ScaledPrice2,9),0))</f>
        <v> </v>
      </c>
      <c r="I137" s="317" t="str">
        <f aca="false">IF(A137="N/A"," ",IF(OR(Dayrun2=3,Dayrun2=6,Dayrun2=9),(VLOOKUP(A137,ScaledPrice2,IF(Scaler2=2,7,8))),0))</f>
        <v> </v>
      </c>
      <c r="J137" s="317" t="str">
        <f aca="false">IF(A137="N/A"," ",IF(OR(Dayrun2=3,Dayrun2=6),IF(Scaler2=2,I137,(VLOOKUP(A137,ScaledPrice2,7))*(2-(VLOOKUP(A137,ScaledPrice2,3)))),0))</f>
        <v> </v>
      </c>
      <c r="K137" s="317" t="str">
        <f aca="false">IF($A137="N/A"," ",IF(OR(Dayrun2=3,Dayrun2=10),VLOOKUP($A137,ScaledPrice2,9),0))</f>
        <v> </v>
      </c>
      <c r="L137" s="318" t="str">
        <f aca="false">IF($A137="N/A"," ",IF(Pricetype2=2,MAX(C137,0),IF(OR(Pricetype2=1,Pricetype2=4),IF(C137=0,0,(EURO(C137,Strikeprice2,0,0,($AH137+IF(Smile=TRUE(),VLOOKUP(MAX(-5,Strikeprice2-C137),Volsmile,2),0)),($A137-DateToday)+15,IF(Pricetype2=1,1,0),0))),C137)))</f>
        <v> </v>
      </c>
      <c r="M137" s="318" t="str">
        <f aca="false">IF($A137="N/A"," ",IF(Pricetype2=2,MAX(D137,0),IF(OR(Pricetype2=1,Pricetype2=4),IF(D137=0,0,(EURO(D137,Strikeprice2,0,0,($AH137+IF(Smile=TRUE(),VLOOKUP(MAX(-5,Strikeprice2-D137),Volsmile,2),0)),($A137-DateToday)+15,IF(Pricetype2=1,1,0),0))),D137)))</f>
        <v> </v>
      </c>
      <c r="N137" s="318" t="str">
        <f aca="false">IF($A137="N/A"," ",IF(Pricetype2=2,MAX(E137,0),IF(OR(Pricetype2=1,Pricetype2=4),IF(E137=0,0,(EURO(E137,Strikeprice2,0,0,($AK137+IF(Smile=TRUE(),VLOOKUP(MAX(-5,Strikeprice2-E137),Volsmile,2),0)),($A137-DateToday)+15,IF(Pricetype2=1,1,0),0))),E137)))</f>
        <v> </v>
      </c>
      <c r="O137" s="318" t="str">
        <f aca="false">IF($A137="N/A"," ",IF(Pricetype2=2,MAX(F137,0),IF(OR(Pricetype2=1,Pricetype2=4),IF(F137=0,0,(EURO(F137,Strikeprice2,0,0,($AK137+IF(Smile=TRUE(),VLOOKUP(MAX(-5,Strikeprice2-F137),Volsmile,2),0)),($A137-DateToday)+15,IF(Pricetype2=1,1,0),0))),F137)))</f>
        <v> </v>
      </c>
      <c r="P137" s="318" t="str">
        <f aca="false">IF($A137="N/A"," ",IF(Pricetype2=2,MAX(G137,0),IF(OR(Pricetype2=1,Pricetype2=4),IF(G137=0,0,(EURO(G137,Strikeprice2,0,0,($AK137+IF(Smile=TRUE(),VLOOKUP(MAX(-5,Strikeprice2-G137),Volsmile,2),0)),($A137-DateToday)+15,IF(Pricetype2=1,1,0),0))),G137)))</f>
        <v> </v>
      </c>
      <c r="Q137" s="318" t="str">
        <f aca="false">IF($A137="N/A"," ",IF(Pricetype2=2,MAX(H137,0),IF(OR(Pricetype2=1,Pricetype2=4),IF(H137=0,0,(EURO(H137,Strikeprice2,0,0,($AK137+IF(Smile=TRUE(),VLOOKUP(MAX(-5,Strikeprice2-H137),Volsmile,2),0)),($A137-DateToday)+15,IF(Pricetype2=1,1,0),0))),H137)))</f>
        <v> </v>
      </c>
      <c r="R137" s="318" t="str">
        <f aca="false">IF($A137="N/A"," ",IF(Pricetype2=2,MAX(I137,0),IF(OR(Pricetype2=1,Pricetype2=4),IF(I137=0,0,(EURO(I137,Strikeprice2,0,0,($AK137+IF(Smile=TRUE(),VLOOKUP(MAX(-5,Strikeprice2-I137),Volsmile,2),0)),($A137-DateToday)+15,IF(Pricetype2=1,1,0),0))),I137)))</f>
        <v> </v>
      </c>
      <c r="S137" s="318" t="str">
        <f aca="false">IF($A137="N/A"," ",IF(Pricetype2=2,MAX(J137,0),IF(OR(Pricetype2=1,Pricetype2=4),IF(J137=0,0,(EURO(J137,Strikeprice2,0,0,($AK137+IF(Smile=TRUE(),VLOOKUP(MAX(-5,Strikeprice2-J137),Volsmile,2),0)),($A137-DateToday)+15,IF(Pricetype2=1,1,0),0))),J137)))</f>
        <v> </v>
      </c>
      <c r="T137" s="318" t="str">
        <f aca="false">IF($A137="N/A"," ",IF(Pricetype2=2,MAX(K137,0),IF(OR(Pricetype2=1,Pricetype2=4),IF(K137=0,0,(EURO(K137,Strikeprice2,0,0,($AK137+IF(Smile=TRUE(),VLOOKUP(MAX(-5,Strikeprice2-K137),Volsmile,2),0)),($A137-DateToday)+15,IF(Pricetype2=1,1,0),0))),K137)))</f>
        <v> </v>
      </c>
      <c r="U137" s="319" t="str">
        <f aca="false">IF($A137="N/A"," ",Volume2*$AM137)</f>
        <v> </v>
      </c>
      <c r="V137" s="320" t="str">
        <f aca="false">IF($A137="N/A"," ",$U137*(8*($BQ137))*L137)</f>
        <v> </v>
      </c>
      <c r="W137" s="320" t="str">
        <f aca="false">IF($A137="N/A"," ",$U137*(8*($BQ137))*M137)</f>
        <v> </v>
      </c>
      <c r="X137" s="320" t="str">
        <f aca="false">IF($A137="N/A"," ",$U137*(8*($BQ137))*N137)</f>
        <v> </v>
      </c>
      <c r="Y137" s="320" t="str">
        <f aca="false">IF($A137="N/A"," ",$U137*(8*($BR137))*O137)</f>
        <v> </v>
      </c>
      <c r="Z137" s="320" t="str">
        <f aca="false">IF($A137="N/A"," ",$U137*(8*($BR137))*P137)</f>
        <v> </v>
      </c>
      <c r="AA137" s="320" t="str">
        <f aca="false">IF($A137="N/A"," ",$U137*(8*($BR137))*Q137)</f>
        <v> </v>
      </c>
      <c r="AB137" s="320" t="str">
        <f aca="false">IF($A137="N/A"," ",$U137*(8*($BS137))*R137)</f>
        <v> </v>
      </c>
      <c r="AC137" s="320" t="str">
        <f aca="false">IF($A137="N/A"," ",$U137*(8*($BS137))*S137)</f>
        <v> </v>
      </c>
      <c r="AD137" s="320" t="str">
        <f aca="false">IF($A137="N/A"," ",$U137*(8*($BS137))*T137)</f>
        <v> </v>
      </c>
      <c r="AE137" s="320" t="str">
        <f aca="false">IF($A137="N/A"," ",SUM(V137:AD137))</f>
        <v> </v>
      </c>
      <c r="AF137" s="321" t="str">
        <f aca="false">IF(A137="N/A"," ",(VLOOKUP(A137,PowerVolTable,(IF(VolBMO2=2,7,IF(VolBMO2=1,6,8))),FALSE())))</f>
        <v> </v>
      </c>
      <c r="AG137" s="321" t="str">
        <f aca="false">IF(A137="N/A"," ",(VLOOKUP(A137,IntraPowerVol,(IF(VolBMO2=2,3,IF(VolBMO2=1,2,4))),FALSE())*VLOOKUP(MONTH($A137),Volscale,2)))</f>
        <v> </v>
      </c>
      <c r="AH137" s="321" t="str">
        <f aca="false">IF($A137="N/A"," ",IF(VolType2=1,AG137,AF137))</f>
        <v> </v>
      </c>
      <c r="AI137" s="321" t="str">
        <f aca="false">IF($A137="N/A"," ",(VLOOKUP($A137,OffPwrVolTable,(IF(VolBMO2=2,7,IF(VolBMO2=1,6,8))),FALSE())))</f>
        <v> </v>
      </c>
      <c r="AJ137" s="321" t="str">
        <f aca="false">IF($A137="N/A"," ",(VLOOKUP($A137,OffPwrVolTable,(IF(VolBMO2=2,3,IF(VolBMO2=1,2,4))),FALSE())*VLOOKUP(MONTH($A137),Volscale,2)))</f>
        <v> </v>
      </c>
      <c r="AK137" s="321" t="str">
        <f aca="false">IF($A137="N/A"," ",IF(VolType2=1,AJ137,AI137))</f>
        <v> </v>
      </c>
      <c r="AL137" s="321" t="str">
        <f aca="false">IF($A137="N/A"," ",IF(PV=1,0,'Pricing Inputs2'!R170))</f>
        <v> </v>
      </c>
      <c r="AM137" s="323" t="str">
        <f aca="false">IF($A137="N/A"," ",(1+AL137/2)^(-2*((EOMONTH(A137,0)+20)-DateToday)/365.25))</f>
        <v> </v>
      </c>
      <c r="BQ137" s="0" t="str">
        <f aca="false">IF($A137="N/A"," ",(VLOOKUP($A137,NumberofDaysTable,2)))</f>
        <v> </v>
      </c>
      <c r="BR137" s="0" t="str">
        <f aca="false">IF($A137="N/A"," ",(VLOOKUP($A137,NumberofDaysTable,3)))</f>
        <v> </v>
      </c>
      <c r="BS137" s="0" t="str">
        <f aca="false">IF($A137="N/A"," ",(VLOOKUP($A137,NumberofDaysTable,4)))</f>
        <v> </v>
      </c>
    </row>
    <row r="138" customFormat="false" ht="12.75" hidden="false" customHeight="false" outlineLevel="0" collapsed="false">
      <c r="A138" s="315" t="str">
        <f aca="false">IF(A137="N/A","N/A",IF(EDATE(A137,1)&gt;Inputs!$P$5,"N/A",EDATE(A137,1)))</f>
        <v>N/A</v>
      </c>
      <c r="B138" s="316" t="str">
        <f aca="false">IF(A138="N/A"," ",YEAR(A138))</f>
        <v> </v>
      </c>
      <c r="C138" s="317" t="str">
        <f aca="false">IF($A138="N/A"," ",IF(Dayrun2=10,0,IF(Scaler2=1,(VLOOKUP(A138,ScaledPrice2,4)),(VLOOKUP(A138,ScaledPrice2,2)))))</f>
        <v> </v>
      </c>
      <c r="D138" s="317" t="str">
        <f aca="false">IF(A138="N/A"," ",IF(Dayrun2&gt;=7,0,IF(Scaler2=2,VLOOKUP(A138,ScaledPrice2,2),(VLOOKUP(A138,ScaledPrice2,2))*(2-(VLOOKUP(A138,ScaledPrice2,3))))))</f>
        <v> </v>
      </c>
      <c r="E138" s="317" t="str">
        <f aca="false">IF($A138="N/A"," ",IF(AND(Dayrun2&gt;=4,Dayrun2&lt;=9),0,VLOOKUP($A138,ScaledPrice2,9)))</f>
        <v> </v>
      </c>
      <c r="F138" s="317" t="str">
        <f aca="false">IF(A138="N/A"," ",IF(OR(Dayrun2=2,Dayrun2=3,Dayrun2=5,Dayrun2=6,Dayrun2=8,Dayrun2=9),VLOOKUP(A138,ScaledPrice2,IF(Scaler2=1,6,5)),0))</f>
        <v> </v>
      </c>
      <c r="G138" s="317" t="str">
        <f aca="false">IF(A138="N/A"," ",IF(OR(Dayrun2=2,Dayrun2=3,Dayrun2=5,Dayrun2=6),IF(Scaler2=2,F138,(VLOOKUP(A138,ScaledPrice2,5))*(2-(VLOOKUP(A138,ScaledPrice2,3)))),0))</f>
        <v> </v>
      </c>
      <c r="H138" s="317" t="str">
        <f aca="false">IF($A138="N/A"," ",IF(OR(Dayrun2=2,Dayrun2=3,Dayrun2=10),VLOOKUP($A138,ScaledPrice2,9),0))</f>
        <v> </v>
      </c>
      <c r="I138" s="317" t="str">
        <f aca="false">IF(A138="N/A"," ",IF(OR(Dayrun2=3,Dayrun2=6,Dayrun2=9),(VLOOKUP(A138,ScaledPrice2,IF(Scaler2=2,7,8))),0))</f>
        <v> </v>
      </c>
      <c r="J138" s="317" t="str">
        <f aca="false">IF(A138="N/A"," ",IF(OR(Dayrun2=3,Dayrun2=6),IF(Scaler2=2,I138,(VLOOKUP(A138,ScaledPrice2,7))*(2-(VLOOKUP(A138,ScaledPrice2,3)))),0))</f>
        <v> </v>
      </c>
      <c r="K138" s="317" t="str">
        <f aca="false">IF($A138="N/A"," ",IF(OR(Dayrun2=3,Dayrun2=10),VLOOKUP($A138,ScaledPrice2,9),0))</f>
        <v> </v>
      </c>
      <c r="L138" s="318" t="str">
        <f aca="false">IF($A138="N/A"," ",IF(Pricetype2=2,MAX(C138,0),IF(OR(Pricetype2=1,Pricetype2=4),IF(C138=0,0,(EURO(C138,Strikeprice2,0,0,($AH138+IF(Smile=TRUE(),VLOOKUP(MAX(-5,Strikeprice2-C138),Volsmile,2),0)),($A138-DateToday)+15,IF(Pricetype2=1,1,0),0))),C138)))</f>
        <v> </v>
      </c>
      <c r="M138" s="318" t="str">
        <f aca="false">IF($A138="N/A"," ",IF(Pricetype2=2,MAX(D138,0),IF(OR(Pricetype2=1,Pricetype2=4),IF(D138=0,0,(EURO(D138,Strikeprice2,0,0,($AH138+IF(Smile=TRUE(),VLOOKUP(MAX(-5,Strikeprice2-D138),Volsmile,2),0)),($A138-DateToday)+15,IF(Pricetype2=1,1,0),0))),D138)))</f>
        <v> </v>
      </c>
      <c r="N138" s="318" t="str">
        <f aca="false">IF($A138="N/A"," ",IF(Pricetype2=2,MAX(E138,0),IF(OR(Pricetype2=1,Pricetype2=4),IF(E138=0,0,(EURO(E138,Strikeprice2,0,0,($AK138+IF(Smile=TRUE(),VLOOKUP(MAX(-5,Strikeprice2-E138),Volsmile,2),0)),($A138-DateToday)+15,IF(Pricetype2=1,1,0),0))),E138)))</f>
        <v> </v>
      </c>
      <c r="O138" s="318" t="str">
        <f aca="false">IF($A138="N/A"," ",IF(Pricetype2=2,MAX(F138,0),IF(OR(Pricetype2=1,Pricetype2=4),IF(F138=0,0,(EURO(F138,Strikeprice2,0,0,($AK138+IF(Smile=TRUE(),VLOOKUP(MAX(-5,Strikeprice2-F138),Volsmile,2),0)),($A138-DateToday)+15,IF(Pricetype2=1,1,0),0))),F138)))</f>
        <v> </v>
      </c>
      <c r="P138" s="318" t="str">
        <f aca="false">IF($A138="N/A"," ",IF(Pricetype2=2,MAX(G138,0),IF(OR(Pricetype2=1,Pricetype2=4),IF(G138=0,0,(EURO(G138,Strikeprice2,0,0,($AK138+IF(Smile=TRUE(),VLOOKUP(MAX(-5,Strikeprice2-G138),Volsmile,2),0)),($A138-DateToday)+15,IF(Pricetype2=1,1,0),0))),G138)))</f>
        <v> </v>
      </c>
      <c r="Q138" s="318" t="str">
        <f aca="false">IF($A138="N/A"," ",IF(Pricetype2=2,MAX(H138,0),IF(OR(Pricetype2=1,Pricetype2=4),IF(H138=0,0,(EURO(H138,Strikeprice2,0,0,($AK138+IF(Smile=TRUE(),VLOOKUP(MAX(-5,Strikeprice2-H138),Volsmile,2),0)),($A138-DateToday)+15,IF(Pricetype2=1,1,0),0))),H138)))</f>
        <v> </v>
      </c>
      <c r="R138" s="318" t="str">
        <f aca="false">IF($A138="N/A"," ",IF(Pricetype2=2,MAX(I138,0),IF(OR(Pricetype2=1,Pricetype2=4),IF(I138=0,0,(EURO(I138,Strikeprice2,0,0,($AK138+IF(Smile=TRUE(),VLOOKUP(MAX(-5,Strikeprice2-I138),Volsmile,2),0)),($A138-DateToday)+15,IF(Pricetype2=1,1,0),0))),I138)))</f>
        <v> </v>
      </c>
      <c r="S138" s="318" t="str">
        <f aca="false">IF($A138="N/A"," ",IF(Pricetype2=2,MAX(J138,0),IF(OR(Pricetype2=1,Pricetype2=4),IF(J138=0,0,(EURO(J138,Strikeprice2,0,0,($AK138+IF(Smile=TRUE(),VLOOKUP(MAX(-5,Strikeprice2-J138),Volsmile,2),0)),($A138-DateToday)+15,IF(Pricetype2=1,1,0),0))),J138)))</f>
        <v> </v>
      </c>
      <c r="T138" s="318" t="str">
        <f aca="false">IF($A138="N/A"," ",IF(Pricetype2=2,MAX(K138,0),IF(OR(Pricetype2=1,Pricetype2=4),IF(K138=0,0,(EURO(K138,Strikeprice2,0,0,($AK138+IF(Smile=TRUE(),VLOOKUP(MAX(-5,Strikeprice2-K138),Volsmile,2),0)),($A138-DateToday)+15,IF(Pricetype2=1,1,0),0))),K138)))</f>
        <v> </v>
      </c>
      <c r="U138" s="319" t="str">
        <f aca="false">IF($A138="N/A"," ",Volume2*$AM138)</f>
        <v> </v>
      </c>
      <c r="V138" s="320" t="str">
        <f aca="false">IF($A138="N/A"," ",$U138*(8*($BQ138))*L138)</f>
        <v> </v>
      </c>
      <c r="W138" s="320" t="str">
        <f aca="false">IF($A138="N/A"," ",$U138*(8*($BQ138))*M138)</f>
        <v> </v>
      </c>
      <c r="X138" s="320" t="str">
        <f aca="false">IF($A138="N/A"," ",$U138*(8*($BQ138))*N138)</f>
        <v> </v>
      </c>
      <c r="Y138" s="320" t="str">
        <f aca="false">IF($A138="N/A"," ",$U138*(8*($BR138))*O138)</f>
        <v> </v>
      </c>
      <c r="Z138" s="320" t="str">
        <f aca="false">IF($A138="N/A"," ",$U138*(8*($BR138))*P138)</f>
        <v> </v>
      </c>
      <c r="AA138" s="320" t="str">
        <f aca="false">IF($A138="N/A"," ",$U138*(8*($BR138))*Q138)</f>
        <v> </v>
      </c>
      <c r="AB138" s="320" t="str">
        <f aca="false">IF($A138="N/A"," ",$U138*(8*($BS138))*R138)</f>
        <v> </v>
      </c>
      <c r="AC138" s="320" t="str">
        <f aca="false">IF($A138="N/A"," ",$U138*(8*($BS138))*S138)</f>
        <v> </v>
      </c>
      <c r="AD138" s="320" t="str">
        <f aca="false">IF($A138="N/A"," ",$U138*(8*($BS138))*T138)</f>
        <v> </v>
      </c>
      <c r="AE138" s="320" t="str">
        <f aca="false">IF($A138="N/A"," ",SUM(V138:AD138))</f>
        <v> </v>
      </c>
      <c r="AF138" s="321" t="str">
        <f aca="false">IF(A138="N/A"," ",(VLOOKUP(A138,PowerVolTable,(IF(VolBMO2=2,7,IF(VolBMO2=1,6,8))),FALSE())))</f>
        <v> </v>
      </c>
      <c r="AG138" s="321" t="str">
        <f aca="false">IF(A138="N/A"," ",(VLOOKUP(A138,IntraPowerVol,(IF(VolBMO2=2,3,IF(VolBMO2=1,2,4))),FALSE())*VLOOKUP(MONTH($A138),Volscale,2)))</f>
        <v> </v>
      </c>
      <c r="AH138" s="321" t="str">
        <f aca="false">IF($A138="N/A"," ",IF(VolType2=1,AG138,AF138))</f>
        <v> </v>
      </c>
      <c r="AI138" s="321" t="str">
        <f aca="false">IF($A138="N/A"," ",(VLOOKUP($A138,OffPwrVolTable,(IF(VolBMO2=2,7,IF(VolBMO2=1,6,8))),FALSE())))</f>
        <v> </v>
      </c>
      <c r="AJ138" s="321" t="str">
        <f aca="false">IF($A138="N/A"," ",(VLOOKUP($A138,OffPwrVolTable,(IF(VolBMO2=2,3,IF(VolBMO2=1,2,4))),FALSE())*VLOOKUP(MONTH($A138),Volscale,2)))</f>
        <v> </v>
      </c>
      <c r="AK138" s="321" t="str">
        <f aca="false">IF($A138="N/A"," ",IF(VolType2=1,AJ138,AI138))</f>
        <v> </v>
      </c>
      <c r="AL138" s="321" t="str">
        <f aca="false">IF($A138="N/A"," ",IF(PV=1,0,'Pricing Inputs2'!R171))</f>
        <v> </v>
      </c>
      <c r="AM138" s="323" t="str">
        <f aca="false">IF($A138="N/A"," ",(1+AL138/2)^(-2*((EOMONTH(A138,0)+20)-DateToday)/365.25))</f>
        <v> </v>
      </c>
      <c r="BQ138" s="0" t="str">
        <f aca="false">IF($A138="N/A"," ",(VLOOKUP($A138,NumberofDaysTable,2)))</f>
        <v> </v>
      </c>
      <c r="BR138" s="0" t="str">
        <f aca="false">IF($A138="N/A"," ",(VLOOKUP($A138,NumberofDaysTable,3)))</f>
        <v> </v>
      </c>
      <c r="BS138" s="0" t="str">
        <f aca="false">IF($A138="N/A"," ",(VLOOKUP($A138,NumberofDaysTable,4)))</f>
        <v> </v>
      </c>
    </row>
    <row r="139" customFormat="false" ht="12.75" hidden="false" customHeight="false" outlineLevel="0" collapsed="false">
      <c r="A139" s="315" t="str">
        <f aca="false">IF(A138="N/A","N/A",IF(EDATE(A138,1)&gt;Inputs!$P$5,"N/A",EDATE(A138,1)))</f>
        <v>N/A</v>
      </c>
      <c r="B139" s="316" t="str">
        <f aca="false">IF(A139="N/A"," ",YEAR(A139))</f>
        <v> </v>
      </c>
      <c r="C139" s="317" t="str">
        <f aca="false">IF($A139="N/A"," ",IF(Dayrun2=10,0,IF(Scaler2=1,(VLOOKUP(A139,ScaledPrice2,4)),(VLOOKUP(A139,ScaledPrice2,2)))))</f>
        <v> </v>
      </c>
      <c r="D139" s="317" t="str">
        <f aca="false">IF(A139="N/A"," ",IF(Dayrun2&gt;=7,0,IF(Scaler2=2,VLOOKUP(A139,ScaledPrice2,2),(VLOOKUP(A139,ScaledPrice2,2))*(2-(VLOOKUP(A139,ScaledPrice2,3))))))</f>
        <v> </v>
      </c>
      <c r="E139" s="317" t="str">
        <f aca="false">IF($A139="N/A"," ",IF(AND(Dayrun2&gt;=4,Dayrun2&lt;=9),0,VLOOKUP($A139,ScaledPrice2,9)))</f>
        <v> </v>
      </c>
      <c r="F139" s="317" t="str">
        <f aca="false">IF(A139="N/A"," ",IF(OR(Dayrun2=2,Dayrun2=3,Dayrun2=5,Dayrun2=6,Dayrun2=8,Dayrun2=9),VLOOKUP(A139,ScaledPrice2,IF(Scaler2=1,6,5)),0))</f>
        <v> </v>
      </c>
      <c r="G139" s="317" t="str">
        <f aca="false">IF(A139="N/A"," ",IF(OR(Dayrun2=2,Dayrun2=3,Dayrun2=5,Dayrun2=6),IF(Scaler2=2,F139,(VLOOKUP(A139,ScaledPrice2,5))*(2-(VLOOKUP(A139,ScaledPrice2,3)))),0))</f>
        <v> </v>
      </c>
      <c r="H139" s="317" t="str">
        <f aca="false">IF($A139="N/A"," ",IF(OR(Dayrun2=2,Dayrun2=3,Dayrun2=10),VLOOKUP($A139,ScaledPrice2,9),0))</f>
        <v> </v>
      </c>
      <c r="I139" s="317" t="str">
        <f aca="false">IF(A139="N/A"," ",IF(OR(Dayrun2=3,Dayrun2=6,Dayrun2=9),(VLOOKUP(A139,ScaledPrice2,IF(Scaler2=2,7,8))),0))</f>
        <v> </v>
      </c>
      <c r="J139" s="317" t="str">
        <f aca="false">IF(A139="N/A"," ",IF(OR(Dayrun2=3,Dayrun2=6),IF(Scaler2=2,I139,(VLOOKUP(A139,ScaledPrice2,7))*(2-(VLOOKUP(A139,ScaledPrice2,3)))),0))</f>
        <v> </v>
      </c>
      <c r="K139" s="317" t="str">
        <f aca="false">IF($A139="N/A"," ",IF(OR(Dayrun2=3,Dayrun2=10),VLOOKUP($A139,ScaledPrice2,9),0))</f>
        <v> </v>
      </c>
      <c r="L139" s="318" t="str">
        <f aca="false">IF($A139="N/A"," ",IF(Pricetype2=2,MAX(C139,0),IF(OR(Pricetype2=1,Pricetype2=4),IF(C139=0,0,(EURO(C139,Strikeprice2,0,0,($AH139+IF(Smile=TRUE(),VLOOKUP(MAX(-5,Strikeprice2-C139),Volsmile,2),0)),($A139-DateToday)+15,IF(Pricetype2=1,1,0),0))),C139)))</f>
        <v> </v>
      </c>
      <c r="M139" s="318" t="str">
        <f aca="false">IF($A139="N/A"," ",IF(Pricetype2=2,MAX(D139,0),IF(OR(Pricetype2=1,Pricetype2=4),IF(D139=0,0,(EURO(D139,Strikeprice2,0,0,($AH139+IF(Smile=TRUE(),VLOOKUP(MAX(-5,Strikeprice2-D139),Volsmile,2),0)),($A139-DateToday)+15,IF(Pricetype2=1,1,0),0))),D139)))</f>
        <v> </v>
      </c>
      <c r="N139" s="318" t="str">
        <f aca="false">IF($A139="N/A"," ",IF(Pricetype2=2,MAX(E139,0),IF(OR(Pricetype2=1,Pricetype2=4),IF(E139=0,0,(EURO(E139,Strikeprice2,0,0,($AK139+IF(Smile=TRUE(),VLOOKUP(MAX(-5,Strikeprice2-E139),Volsmile,2),0)),($A139-DateToday)+15,IF(Pricetype2=1,1,0),0))),E139)))</f>
        <v> </v>
      </c>
      <c r="O139" s="318" t="str">
        <f aca="false">IF($A139="N/A"," ",IF(Pricetype2=2,MAX(F139,0),IF(OR(Pricetype2=1,Pricetype2=4),IF(F139=0,0,(EURO(F139,Strikeprice2,0,0,($AK139+IF(Smile=TRUE(),VLOOKUP(MAX(-5,Strikeprice2-F139),Volsmile,2),0)),($A139-DateToday)+15,IF(Pricetype2=1,1,0),0))),F139)))</f>
        <v> </v>
      </c>
      <c r="P139" s="318" t="str">
        <f aca="false">IF($A139="N/A"," ",IF(Pricetype2=2,MAX(G139,0),IF(OR(Pricetype2=1,Pricetype2=4),IF(G139=0,0,(EURO(G139,Strikeprice2,0,0,($AK139+IF(Smile=TRUE(),VLOOKUP(MAX(-5,Strikeprice2-G139),Volsmile,2),0)),($A139-DateToday)+15,IF(Pricetype2=1,1,0),0))),G139)))</f>
        <v> </v>
      </c>
      <c r="Q139" s="318" t="str">
        <f aca="false">IF($A139="N/A"," ",IF(Pricetype2=2,MAX(H139,0),IF(OR(Pricetype2=1,Pricetype2=4),IF(H139=0,0,(EURO(H139,Strikeprice2,0,0,($AK139+IF(Smile=TRUE(),VLOOKUP(MAX(-5,Strikeprice2-H139),Volsmile,2),0)),($A139-DateToday)+15,IF(Pricetype2=1,1,0),0))),H139)))</f>
        <v> </v>
      </c>
      <c r="R139" s="318" t="str">
        <f aca="false">IF($A139="N/A"," ",IF(Pricetype2=2,MAX(I139,0),IF(OR(Pricetype2=1,Pricetype2=4),IF(I139=0,0,(EURO(I139,Strikeprice2,0,0,($AK139+IF(Smile=TRUE(),VLOOKUP(MAX(-5,Strikeprice2-I139),Volsmile,2),0)),($A139-DateToday)+15,IF(Pricetype2=1,1,0),0))),I139)))</f>
        <v> </v>
      </c>
      <c r="S139" s="318" t="str">
        <f aca="false">IF($A139="N/A"," ",IF(Pricetype2=2,MAX(J139,0),IF(OR(Pricetype2=1,Pricetype2=4),IF(J139=0,0,(EURO(J139,Strikeprice2,0,0,($AK139+IF(Smile=TRUE(),VLOOKUP(MAX(-5,Strikeprice2-J139),Volsmile,2),0)),($A139-DateToday)+15,IF(Pricetype2=1,1,0),0))),J139)))</f>
        <v> </v>
      </c>
      <c r="T139" s="318" t="str">
        <f aca="false">IF($A139="N/A"," ",IF(Pricetype2=2,MAX(K139,0),IF(OR(Pricetype2=1,Pricetype2=4),IF(K139=0,0,(EURO(K139,Strikeprice2,0,0,($AK139+IF(Smile=TRUE(),VLOOKUP(MAX(-5,Strikeprice2-K139),Volsmile,2),0)),($A139-DateToday)+15,IF(Pricetype2=1,1,0),0))),K139)))</f>
        <v> </v>
      </c>
      <c r="U139" s="319" t="str">
        <f aca="false">IF($A139="N/A"," ",Volume2*$AM139)</f>
        <v> </v>
      </c>
      <c r="V139" s="320" t="str">
        <f aca="false">IF($A139="N/A"," ",$U139*(8*($BQ139))*L139)</f>
        <v> </v>
      </c>
      <c r="W139" s="320" t="str">
        <f aca="false">IF($A139="N/A"," ",$U139*(8*($BQ139))*M139)</f>
        <v> </v>
      </c>
      <c r="X139" s="320" t="str">
        <f aca="false">IF($A139="N/A"," ",$U139*(8*($BQ139))*N139)</f>
        <v> </v>
      </c>
      <c r="Y139" s="320" t="str">
        <f aca="false">IF($A139="N/A"," ",$U139*(8*($BR139))*O139)</f>
        <v> </v>
      </c>
      <c r="Z139" s="320" t="str">
        <f aca="false">IF($A139="N/A"," ",$U139*(8*($BR139))*P139)</f>
        <v> </v>
      </c>
      <c r="AA139" s="320" t="str">
        <f aca="false">IF($A139="N/A"," ",$U139*(8*($BR139))*Q139)</f>
        <v> </v>
      </c>
      <c r="AB139" s="320" t="str">
        <f aca="false">IF($A139="N/A"," ",$U139*(8*($BS139))*R139)</f>
        <v> </v>
      </c>
      <c r="AC139" s="320" t="str">
        <f aca="false">IF($A139="N/A"," ",$U139*(8*($BS139))*S139)</f>
        <v> </v>
      </c>
      <c r="AD139" s="320" t="str">
        <f aca="false">IF($A139="N/A"," ",$U139*(8*($BS139))*T139)</f>
        <v> </v>
      </c>
      <c r="AE139" s="320" t="str">
        <f aca="false">IF($A139="N/A"," ",SUM(V139:AD139))</f>
        <v> </v>
      </c>
      <c r="AF139" s="321" t="str">
        <f aca="false">IF(A139="N/A"," ",(VLOOKUP(A139,PowerVolTable,(IF(VolBMO2=2,7,IF(VolBMO2=1,6,8))),FALSE())))</f>
        <v> </v>
      </c>
      <c r="AG139" s="321" t="str">
        <f aca="false">IF(A139="N/A"," ",(VLOOKUP(A139,IntraPowerVol,(IF(VolBMO2=2,3,IF(VolBMO2=1,2,4))),FALSE())*VLOOKUP(MONTH($A139),Volscale,2)))</f>
        <v> </v>
      </c>
      <c r="AH139" s="321" t="str">
        <f aca="false">IF($A139="N/A"," ",IF(VolType2=1,AG139,AF139))</f>
        <v> </v>
      </c>
      <c r="AI139" s="321" t="str">
        <f aca="false">IF($A139="N/A"," ",(VLOOKUP($A139,OffPwrVolTable,(IF(VolBMO2=2,7,IF(VolBMO2=1,6,8))),FALSE())))</f>
        <v> </v>
      </c>
      <c r="AJ139" s="321" t="str">
        <f aca="false">IF($A139="N/A"," ",(VLOOKUP($A139,OffPwrVolTable,(IF(VolBMO2=2,3,IF(VolBMO2=1,2,4))),FALSE())*VLOOKUP(MONTH($A139),Volscale,2)))</f>
        <v> </v>
      </c>
      <c r="AK139" s="321" t="str">
        <f aca="false">IF($A139="N/A"," ",IF(VolType2=1,AJ139,AI139))</f>
        <v> </v>
      </c>
      <c r="AL139" s="321" t="str">
        <f aca="false">IF($A139="N/A"," ",IF(PV=1,0,'Pricing Inputs2'!R172))</f>
        <v> </v>
      </c>
      <c r="AM139" s="323" t="str">
        <f aca="false">IF($A139="N/A"," ",(1+AL139/2)^(-2*((EOMONTH(A139,0)+20)-DateToday)/365.25))</f>
        <v> </v>
      </c>
      <c r="BQ139" s="0" t="str">
        <f aca="false">IF($A139="N/A"," ",(VLOOKUP($A139,NumberofDaysTable,2)))</f>
        <v> </v>
      </c>
      <c r="BR139" s="0" t="str">
        <f aca="false">IF($A139="N/A"," ",(VLOOKUP($A139,NumberofDaysTable,3)))</f>
        <v> </v>
      </c>
      <c r="BS139" s="0" t="str">
        <f aca="false">IF($A139="N/A"," ",(VLOOKUP($A139,NumberofDaysTable,4)))</f>
        <v> </v>
      </c>
    </row>
    <row r="140" customFormat="false" ht="12.75" hidden="false" customHeight="false" outlineLevel="0" collapsed="false">
      <c r="A140" s="315" t="str">
        <f aca="false">IF(A139="N/A","N/A",IF(EDATE(A139,1)&gt;Inputs!$P$5,"N/A",EDATE(A139,1)))</f>
        <v>N/A</v>
      </c>
      <c r="B140" s="316" t="str">
        <f aca="false">IF(A140="N/A"," ",YEAR(A140))</f>
        <v> </v>
      </c>
      <c r="C140" s="317" t="str">
        <f aca="false">IF($A140="N/A"," ",IF(Dayrun2=10,0,IF(Scaler2=1,(VLOOKUP(A140,ScaledPrice2,4)),(VLOOKUP(A140,ScaledPrice2,2)))))</f>
        <v> </v>
      </c>
      <c r="D140" s="317" t="str">
        <f aca="false">IF(A140="N/A"," ",IF(Dayrun2&gt;=7,0,IF(Scaler2=2,VLOOKUP(A140,ScaledPrice2,2),(VLOOKUP(A140,ScaledPrice2,2))*(2-(VLOOKUP(A140,ScaledPrice2,3))))))</f>
        <v> </v>
      </c>
      <c r="E140" s="317" t="str">
        <f aca="false">IF($A140="N/A"," ",IF(AND(Dayrun2&gt;=4,Dayrun2&lt;=9),0,VLOOKUP($A140,ScaledPrice2,9)))</f>
        <v> </v>
      </c>
      <c r="F140" s="317" t="str">
        <f aca="false">IF(A140="N/A"," ",IF(OR(Dayrun2=2,Dayrun2=3,Dayrun2=5,Dayrun2=6,Dayrun2=8,Dayrun2=9),VLOOKUP(A140,ScaledPrice2,IF(Scaler2=1,6,5)),0))</f>
        <v> </v>
      </c>
      <c r="G140" s="317" t="str">
        <f aca="false">IF(A140="N/A"," ",IF(OR(Dayrun2=2,Dayrun2=3,Dayrun2=5,Dayrun2=6),IF(Scaler2=2,F140,(VLOOKUP(A140,ScaledPrice2,5))*(2-(VLOOKUP(A140,ScaledPrice2,3)))),0))</f>
        <v> </v>
      </c>
      <c r="H140" s="317" t="str">
        <f aca="false">IF($A140="N/A"," ",IF(OR(Dayrun2=2,Dayrun2=3,Dayrun2=10),VLOOKUP($A140,ScaledPrice2,9),0))</f>
        <v> </v>
      </c>
      <c r="I140" s="317" t="str">
        <f aca="false">IF(A140="N/A"," ",IF(OR(Dayrun2=3,Dayrun2=6,Dayrun2=9),(VLOOKUP(A140,ScaledPrice2,IF(Scaler2=2,7,8))),0))</f>
        <v> </v>
      </c>
      <c r="J140" s="317" t="str">
        <f aca="false">IF(A140="N/A"," ",IF(OR(Dayrun2=3,Dayrun2=6),IF(Scaler2=2,I140,(VLOOKUP(A140,ScaledPrice2,7))*(2-(VLOOKUP(A140,ScaledPrice2,3)))),0))</f>
        <v> </v>
      </c>
      <c r="K140" s="317" t="str">
        <f aca="false">IF($A140="N/A"," ",IF(OR(Dayrun2=3,Dayrun2=10),VLOOKUP($A140,ScaledPrice2,9),0))</f>
        <v> </v>
      </c>
      <c r="L140" s="318" t="str">
        <f aca="false">IF($A140="N/A"," ",IF(Pricetype2=2,MAX(C140,0),IF(OR(Pricetype2=1,Pricetype2=4),IF(C140=0,0,(EURO(C140,Strikeprice2,0,0,($AH140+IF(Smile=TRUE(),VLOOKUP(MAX(-5,Strikeprice2-C140),Volsmile,2),0)),($A140-DateToday)+15,IF(Pricetype2=1,1,0),0))),C140)))</f>
        <v> </v>
      </c>
      <c r="M140" s="318" t="str">
        <f aca="false">IF($A140="N/A"," ",IF(Pricetype2=2,MAX(D140,0),IF(OR(Pricetype2=1,Pricetype2=4),IF(D140=0,0,(EURO(D140,Strikeprice2,0,0,($AH140+IF(Smile=TRUE(),VLOOKUP(MAX(-5,Strikeprice2-D140),Volsmile,2),0)),($A140-DateToday)+15,IF(Pricetype2=1,1,0),0))),D140)))</f>
        <v> </v>
      </c>
      <c r="N140" s="318" t="str">
        <f aca="false">IF($A140="N/A"," ",IF(Pricetype2=2,MAX(E140,0),IF(OR(Pricetype2=1,Pricetype2=4),IF(E140=0,0,(EURO(E140,Strikeprice2,0,0,($AK140+IF(Smile=TRUE(),VLOOKUP(MAX(-5,Strikeprice2-E140),Volsmile,2),0)),($A140-DateToday)+15,IF(Pricetype2=1,1,0),0))),E140)))</f>
        <v> </v>
      </c>
      <c r="O140" s="318" t="str">
        <f aca="false">IF($A140="N/A"," ",IF(Pricetype2=2,MAX(F140,0),IF(OR(Pricetype2=1,Pricetype2=4),IF(F140=0,0,(EURO(F140,Strikeprice2,0,0,($AK140+IF(Smile=TRUE(),VLOOKUP(MAX(-5,Strikeprice2-F140),Volsmile,2),0)),($A140-DateToday)+15,IF(Pricetype2=1,1,0),0))),F140)))</f>
        <v> </v>
      </c>
      <c r="P140" s="318" t="str">
        <f aca="false">IF($A140="N/A"," ",IF(Pricetype2=2,MAX(G140,0),IF(OR(Pricetype2=1,Pricetype2=4),IF(G140=0,0,(EURO(G140,Strikeprice2,0,0,($AK140+IF(Smile=TRUE(),VLOOKUP(MAX(-5,Strikeprice2-G140),Volsmile,2),0)),($A140-DateToday)+15,IF(Pricetype2=1,1,0),0))),G140)))</f>
        <v> </v>
      </c>
      <c r="Q140" s="318" t="str">
        <f aca="false">IF($A140="N/A"," ",IF(Pricetype2=2,MAX(H140,0),IF(OR(Pricetype2=1,Pricetype2=4),IF(H140=0,0,(EURO(H140,Strikeprice2,0,0,($AK140+IF(Smile=TRUE(),VLOOKUP(MAX(-5,Strikeprice2-H140),Volsmile,2),0)),($A140-DateToday)+15,IF(Pricetype2=1,1,0),0))),H140)))</f>
        <v> </v>
      </c>
      <c r="R140" s="318" t="str">
        <f aca="false">IF($A140="N/A"," ",IF(Pricetype2=2,MAX(I140,0),IF(OR(Pricetype2=1,Pricetype2=4),IF(I140=0,0,(EURO(I140,Strikeprice2,0,0,($AK140+IF(Smile=TRUE(),VLOOKUP(MAX(-5,Strikeprice2-I140),Volsmile,2),0)),($A140-DateToday)+15,IF(Pricetype2=1,1,0),0))),I140)))</f>
        <v> </v>
      </c>
      <c r="S140" s="318" t="str">
        <f aca="false">IF($A140="N/A"," ",IF(Pricetype2=2,MAX(J140,0),IF(OR(Pricetype2=1,Pricetype2=4),IF(J140=0,0,(EURO(J140,Strikeprice2,0,0,($AK140+IF(Smile=TRUE(),VLOOKUP(MAX(-5,Strikeprice2-J140),Volsmile,2),0)),($A140-DateToday)+15,IF(Pricetype2=1,1,0),0))),J140)))</f>
        <v> </v>
      </c>
      <c r="T140" s="318" t="str">
        <f aca="false">IF($A140="N/A"," ",IF(Pricetype2=2,MAX(K140,0),IF(OR(Pricetype2=1,Pricetype2=4),IF(K140=0,0,(EURO(K140,Strikeprice2,0,0,($AK140+IF(Smile=TRUE(),VLOOKUP(MAX(-5,Strikeprice2-K140),Volsmile,2),0)),($A140-DateToday)+15,IF(Pricetype2=1,1,0),0))),K140)))</f>
        <v> </v>
      </c>
      <c r="U140" s="319" t="str">
        <f aca="false">IF($A140="N/A"," ",Volume2*$AM140)</f>
        <v> </v>
      </c>
      <c r="V140" s="320" t="str">
        <f aca="false">IF($A140="N/A"," ",$U140*(8*($BQ140))*L140)</f>
        <v> </v>
      </c>
      <c r="W140" s="320" t="str">
        <f aca="false">IF($A140="N/A"," ",$U140*(8*($BQ140))*M140)</f>
        <v> </v>
      </c>
      <c r="X140" s="320" t="str">
        <f aca="false">IF($A140="N/A"," ",$U140*(8*($BQ140))*N140)</f>
        <v> </v>
      </c>
      <c r="Y140" s="320" t="str">
        <f aca="false">IF($A140="N/A"," ",$U140*(8*($BR140))*O140)</f>
        <v> </v>
      </c>
      <c r="Z140" s="320" t="str">
        <f aca="false">IF($A140="N/A"," ",$U140*(8*($BR140))*P140)</f>
        <v> </v>
      </c>
      <c r="AA140" s="320" t="str">
        <f aca="false">IF($A140="N/A"," ",$U140*(8*($BR140))*Q140)</f>
        <v> </v>
      </c>
      <c r="AB140" s="320" t="str">
        <f aca="false">IF($A140="N/A"," ",$U140*(8*($BS140))*R140)</f>
        <v> </v>
      </c>
      <c r="AC140" s="320" t="str">
        <f aca="false">IF($A140="N/A"," ",$U140*(8*($BS140))*S140)</f>
        <v> </v>
      </c>
      <c r="AD140" s="320" t="str">
        <f aca="false">IF($A140="N/A"," ",$U140*(8*($BS140))*T140)</f>
        <v> </v>
      </c>
      <c r="AE140" s="320" t="str">
        <f aca="false">IF($A140="N/A"," ",SUM(V140:AD140))</f>
        <v> </v>
      </c>
      <c r="AF140" s="321" t="str">
        <f aca="false">IF(A140="N/A"," ",(VLOOKUP(A140,PowerVolTable,(IF(VolBMO2=2,7,IF(VolBMO2=1,6,8))),FALSE())))</f>
        <v> </v>
      </c>
      <c r="AG140" s="321" t="str">
        <f aca="false">IF(A140="N/A"," ",(VLOOKUP(A140,IntraPowerVol,(IF(VolBMO2=2,3,IF(VolBMO2=1,2,4))),FALSE())*VLOOKUP(MONTH($A140),Volscale,2)))</f>
        <v> </v>
      </c>
      <c r="AH140" s="321" t="str">
        <f aca="false">IF($A140="N/A"," ",IF(VolType2=1,AG140,AF140))</f>
        <v> </v>
      </c>
      <c r="AI140" s="321" t="str">
        <f aca="false">IF($A140="N/A"," ",(VLOOKUP($A140,OffPwrVolTable,(IF(VolBMO2=2,7,IF(VolBMO2=1,6,8))),FALSE())))</f>
        <v> </v>
      </c>
      <c r="AJ140" s="321" t="str">
        <f aca="false">IF($A140="N/A"," ",(VLOOKUP($A140,OffPwrVolTable,(IF(VolBMO2=2,3,IF(VolBMO2=1,2,4))),FALSE())*VLOOKUP(MONTH($A140),Volscale,2)))</f>
        <v> </v>
      </c>
      <c r="AK140" s="321" t="str">
        <f aca="false">IF($A140="N/A"," ",IF(VolType2=1,AJ140,AI140))</f>
        <v> </v>
      </c>
      <c r="AL140" s="321" t="str">
        <f aca="false">IF($A140="N/A"," ",IF(PV=1,0,'Pricing Inputs2'!R173))</f>
        <v> </v>
      </c>
      <c r="AM140" s="323" t="str">
        <f aca="false">IF($A140="N/A"," ",(1+AL140/2)^(-2*((EOMONTH(A140,0)+20)-DateToday)/365.25))</f>
        <v> </v>
      </c>
      <c r="BQ140" s="0" t="str">
        <f aca="false">IF($A140="N/A"," ",(VLOOKUP($A140,NumberofDaysTable,2)))</f>
        <v> </v>
      </c>
      <c r="BR140" s="0" t="str">
        <f aca="false">IF($A140="N/A"," ",(VLOOKUP($A140,NumberofDaysTable,3)))</f>
        <v> </v>
      </c>
      <c r="BS140" s="0" t="str">
        <f aca="false">IF($A140="N/A"," ",(VLOOKUP($A140,NumberofDaysTable,4)))</f>
        <v> </v>
      </c>
    </row>
    <row r="141" customFormat="false" ht="12.75" hidden="false" customHeight="false" outlineLevel="0" collapsed="false">
      <c r="A141" s="315" t="str">
        <f aca="false">IF(A140="N/A","N/A",IF(EDATE(A140,1)&gt;Inputs!$P$5,"N/A",EDATE(A140,1)))</f>
        <v>N/A</v>
      </c>
      <c r="B141" s="316" t="str">
        <f aca="false">IF(A141="N/A"," ",YEAR(A141))</f>
        <v> </v>
      </c>
      <c r="C141" s="317" t="str">
        <f aca="false">IF($A141="N/A"," ",IF(Dayrun2=10,0,IF(Scaler2=1,(VLOOKUP(A141,ScaledPrice2,4)),(VLOOKUP(A141,ScaledPrice2,2)))))</f>
        <v> </v>
      </c>
      <c r="D141" s="317" t="str">
        <f aca="false">IF(A141="N/A"," ",IF(Dayrun2&gt;=7,0,IF(Scaler2=2,VLOOKUP(A141,ScaledPrice2,2),(VLOOKUP(A141,ScaledPrice2,2))*(2-(VLOOKUP(A141,ScaledPrice2,3))))))</f>
        <v> </v>
      </c>
      <c r="E141" s="317" t="str">
        <f aca="false">IF($A141="N/A"," ",IF(AND(Dayrun2&gt;=4,Dayrun2&lt;=9),0,VLOOKUP($A141,ScaledPrice2,9)))</f>
        <v> </v>
      </c>
      <c r="F141" s="317" t="str">
        <f aca="false">IF(A141="N/A"," ",IF(OR(Dayrun2=2,Dayrun2=3,Dayrun2=5,Dayrun2=6,Dayrun2=8,Dayrun2=9),VLOOKUP(A141,ScaledPrice2,IF(Scaler2=1,6,5)),0))</f>
        <v> </v>
      </c>
      <c r="G141" s="317" t="str">
        <f aca="false">IF(A141="N/A"," ",IF(OR(Dayrun2=2,Dayrun2=3,Dayrun2=5,Dayrun2=6),IF(Scaler2=2,F141,(VLOOKUP(A141,ScaledPrice2,5))*(2-(VLOOKUP(A141,ScaledPrice2,3)))),0))</f>
        <v> </v>
      </c>
      <c r="H141" s="317" t="str">
        <f aca="false">IF($A141="N/A"," ",IF(OR(Dayrun2=2,Dayrun2=3,Dayrun2=10),VLOOKUP($A141,ScaledPrice2,9),0))</f>
        <v> </v>
      </c>
      <c r="I141" s="317" t="str">
        <f aca="false">IF(A141="N/A"," ",IF(OR(Dayrun2=3,Dayrun2=6,Dayrun2=9),(VLOOKUP(A141,ScaledPrice2,IF(Scaler2=2,7,8))),0))</f>
        <v> </v>
      </c>
      <c r="J141" s="317" t="str">
        <f aca="false">IF(A141="N/A"," ",IF(OR(Dayrun2=3,Dayrun2=6),IF(Scaler2=2,I141,(VLOOKUP(A141,ScaledPrice2,7))*(2-(VLOOKUP(A141,ScaledPrice2,3)))),0))</f>
        <v> </v>
      </c>
      <c r="K141" s="317" t="str">
        <f aca="false">IF($A141="N/A"," ",IF(OR(Dayrun2=3,Dayrun2=10),VLOOKUP($A141,ScaledPrice2,9),0))</f>
        <v> </v>
      </c>
      <c r="L141" s="318" t="str">
        <f aca="false">IF($A141="N/A"," ",IF(Pricetype2=2,MAX(C141,0),IF(OR(Pricetype2=1,Pricetype2=4),IF(C141=0,0,(EURO(C141,Strikeprice2,0,0,($AH141+IF(Smile=TRUE(),VLOOKUP(MAX(-5,Strikeprice2-C141),Volsmile,2),0)),($A141-DateToday)+15,IF(Pricetype2=1,1,0),0))),C141)))</f>
        <v> </v>
      </c>
      <c r="M141" s="318" t="str">
        <f aca="false">IF($A141="N/A"," ",IF(Pricetype2=2,MAX(D141,0),IF(OR(Pricetype2=1,Pricetype2=4),IF(D141=0,0,(EURO(D141,Strikeprice2,0,0,($AH141+IF(Smile=TRUE(),VLOOKUP(MAX(-5,Strikeprice2-D141),Volsmile,2),0)),($A141-DateToday)+15,IF(Pricetype2=1,1,0),0))),D141)))</f>
        <v> </v>
      </c>
      <c r="N141" s="318" t="str">
        <f aca="false">IF($A141="N/A"," ",IF(Pricetype2=2,MAX(E141,0),IF(OR(Pricetype2=1,Pricetype2=4),IF(E141=0,0,(EURO(E141,Strikeprice2,0,0,($AK141+IF(Smile=TRUE(),VLOOKUP(MAX(-5,Strikeprice2-E141),Volsmile,2),0)),($A141-DateToday)+15,IF(Pricetype2=1,1,0),0))),E141)))</f>
        <v> </v>
      </c>
      <c r="O141" s="318" t="str">
        <f aca="false">IF($A141="N/A"," ",IF(Pricetype2=2,MAX(F141,0),IF(OR(Pricetype2=1,Pricetype2=4),IF(F141=0,0,(EURO(F141,Strikeprice2,0,0,($AK141+IF(Smile=TRUE(),VLOOKUP(MAX(-5,Strikeprice2-F141),Volsmile,2),0)),($A141-DateToday)+15,IF(Pricetype2=1,1,0),0))),F141)))</f>
        <v> </v>
      </c>
      <c r="P141" s="318" t="str">
        <f aca="false">IF($A141="N/A"," ",IF(Pricetype2=2,MAX(G141,0),IF(OR(Pricetype2=1,Pricetype2=4),IF(G141=0,0,(EURO(G141,Strikeprice2,0,0,($AK141+IF(Smile=TRUE(),VLOOKUP(MAX(-5,Strikeprice2-G141),Volsmile,2),0)),($A141-DateToday)+15,IF(Pricetype2=1,1,0),0))),G141)))</f>
        <v> </v>
      </c>
      <c r="Q141" s="318" t="str">
        <f aca="false">IF($A141="N/A"," ",IF(Pricetype2=2,MAX(H141,0),IF(OR(Pricetype2=1,Pricetype2=4),IF(H141=0,0,(EURO(H141,Strikeprice2,0,0,($AK141+IF(Smile=TRUE(),VLOOKUP(MAX(-5,Strikeprice2-H141),Volsmile,2),0)),($A141-DateToday)+15,IF(Pricetype2=1,1,0),0))),H141)))</f>
        <v> </v>
      </c>
      <c r="R141" s="318" t="str">
        <f aca="false">IF($A141="N/A"," ",IF(Pricetype2=2,MAX(I141,0),IF(OR(Pricetype2=1,Pricetype2=4),IF(I141=0,0,(EURO(I141,Strikeprice2,0,0,($AK141+IF(Smile=TRUE(),VLOOKUP(MAX(-5,Strikeprice2-I141),Volsmile,2),0)),($A141-DateToday)+15,IF(Pricetype2=1,1,0),0))),I141)))</f>
        <v> </v>
      </c>
      <c r="S141" s="318" t="str">
        <f aca="false">IF($A141="N/A"," ",IF(Pricetype2=2,MAX(J141,0),IF(OR(Pricetype2=1,Pricetype2=4),IF(J141=0,0,(EURO(J141,Strikeprice2,0,0,($AK141+IF(Smile=TRUE(),VLOOKUP(MAX(-5,Strikeprice2-J141),Volsmile,2),0)),($A141-DateToday)+15,IF(Pricetype2=1,1,0),0))),J141)))</f>
        <v> </v>
      </c>
      <c r="T141" s="318" t="str">
        <f aca="false">IF($A141="N/A"," ",IF(Pricetype2=2,MAX(K141,0),IF(OR(Pricetype2=1,Pricetype2=4),IF(K141=0,0,(EURO(K141,Strikeprice2,0,0,($AK141+IF(Smile=TRUE(),VLOOKUP(MAX(-5,Strikeprice2-K141),Volsmile,2),0)),($A141-DateToday)+15,IF(Pricetype2=1,1,0),0))),K141)))</f>
        <v> </v>
      </c>
      <c r="U141" s="319" t="str">
        <f aca="false">IF($A141="N/A"," ",Volume2*$AM141)</f>
        <v> </v>
      </c>
      <c r="V141" s="320" t="str">
        <f aca="false">IF($A141="N/A"," ",$U141*(8*($BQ141))*L141)</f>
        <v> </v>
      </c>
      <c r="W141" s="320" t="str">
        <f aca="false">IF($A141="N/A"," ",$U141*(8*($BQ141))*M141)</f>
        <v> </v>
      </c>
      <c r="X141" s="320" t="str">
        <f aca="false">IF($A141="N/A"," ",$U141*(8*($BQ141))*N141)</f>
        <v> </v>
      </c>
      <c r="Y141" s="320" t="str">
        <f aca="false">IF($A141="N/A"," ",$U141*(8*($BR141))*O141)</f>
        <v> </v>
      </c>
      <c r="Z141" s="320" t="str">
        <f aca="false">IF($A141="N/A"," ",$U141*(8*($BR141))*P141)</f>
        <v> </v>
      </c>
      <c r="AA141" s="320" t="str">
        <f aca="false">IF($A141="N/A"," ",$U141*(8*($BR141))*Q141)</f>
        <v> </v>
      </c>
      <c r="AB141" s="320" t="str">
        <f aca="false">IF($A141="N/A"," ",$U141*(8*($BS141))*R141)</f>
        <v> </v>
      </c>
      <c r="AC141" s="320" t="str">
        <f aca="false">IF($A141="N/A"," ",$U141*(8*($BS141))*S141)</f>
        <v> </v>
      </c>
      <c r="AD141" s="320" t="str">
        <f aca="false">IF($A141="N/A"," ",$U141*(8*($BS141))*T141)</f>
        <v> </v>
      </c>
      <c r="AE141" s="320" t="str">
        <f aca="false">IF($A141="N/A"," ",SUM(V141:AD141))</f>
        <v> </v>
      </c>
      <c r="AF141" s="321" t="str">
        <f aca="false">IF(A141="N/A"," ",(VLOOKUP(A141,PowerVolTable,(IF(VolBMO2=2,7,IF(VolBMO2=1,6,8))),FALSE())))</f>
        <v> </v>
      </c>
      <c r="AG141" s="321" t="str">
        <f aca="false">IF(A141="N/A"," ",(VLOOKUP(A141,IntraPowerVol,(IF(VolBMO2=2,3,IF(VolBMO2=1,2,4))),FALSE())*VLOOKUP(MONTH($A141),Volscale,2)))</f>
        <v> </v>
      </c>
      <c r="AH141" s="321" t="str">
        <f aca="false">IF($A141="N/A"," ",IF(VolType2=1,AG141,AF141))</f>
        <v> </v>
      </c>
      <c r="AI141" s="321" t="str">
        <f aca="false">IF($A141="N/A"," ",(VLOOKUP($A141,OffPwrVolTable,(IF(VolBMO2=2,7,IF(VolBMO2=1,6,8))),FALSE())))</f>
        <v> </v>
      </c>
      <c r="AJ141" s="321" t="str">
        <f aca="false">IF($A141="N/A"," ",(VLOOKUP($A141,OffPwrVolTable,(IF(VolBMO2=2,3,IF(VolBMO2=1,2,4))),FALSE())*VLOOKUP(MONTH($A141),Volscale,2)))</f>
        <v> </v>
      </c>
      <c r="AK141" s="321" t="str">
        <f aca="false">IF($A141="N/A"," ",IF(VolType2=1,AJ141,AI141))</f>
        <v> </v>
      </c>
      <c r="AL141" s="321" t="str">
        <f aca="false">IF($A141="N/A"," ",IF(PV=1,0,'Pricing Inputs2'!R174))</f>
        <v> </v>
      </c>
      <c r="AM141" s="323" t="str">
        <f aca="false">IF($A141="N/A"," ",(1+AL141/2)^(-2*((EOMONTH(A141,0)+20)-DateToday)/365.25))</f>
        <v> </v>
      </c>
      <c r="BQ141" s="0" t="str">
        <f aca="false">IF($A141="N/A"," ",(VLOOKUP($A141,NumberofDaysTable,2)))</f>
        <v> </v>
      </c>
      <c r="BR141" s="0" t="str">
        <f aca="false">IF($A141="N/A"," ",(VLOOKUP($A141,NumberofDaysTable,3)))</f>
        <v> </v>
      </c>
      <c r="BS141" s="0" t="str">
        <f aca="false">IF($A141="N/A"," ",(VLOOKUP($A141,NumberofDaysTable,4)))</f>
        <v> </v>
      </c>
    </row>
    <row r="142" customFormat="false" ht="12.75" hidden="false" customHeight="false" outlineLevel="0" collapsed="false">
      <c r="A142" s="315" t="str">
        <f aca="false">IF(A141="N/A","N/A",IF(EDATE(A141,1)&gt;Inputs!$P$5,"N/A",EDATE(A141,1)))</f>
        <v>N/A</v>
      </c>
      <c r="B142" s="316" t="str">
        <f aca="false">IF(A142="N/A"," ",YEAR(A142))</f>
        <v> </v>
      </c>
      <c r="C142" s="317" t="str">
        <f aca="false">IF($A142="N/A"," ",IF(Dayrun2=10,0,IF(Scaler2=1,(VLOOKUP(A142,ScaledPrice2,4)),(VLOOKUP(A142,ScaledPrice2,2)))))</f>
        <v> </v>
      </c>
      <c r="D142" s="317" t="str">
        <f aca="false">IF(A142="N/A"," ",IF(Dayrun2&gt;=7,0,IF(Scaler2=2,VLOOKUP(A142,ScaledPrice2,2),(VLOOKUP(A142,ScaledPrice2,2))*(2-(VLOOKUP(A142,ScaledPrice2,3))))))</f>
        <v> </v>
      </c>
      <c r="E142" s="317" t="str">
        <f aca="false">IF($A142="N/A"," ",IF(AND(Dayrun2&gt;=4,Dayrun2&lt;=9),0,VLOOKUP($A142,ScaledPrice2,9)))</f>
        <v> </v>
      </c>
      <c r="F142" s="317" t="str">
        <f aca="false">IF(A142="N/A"," ",IF(OR(Dayrun2=2,Dayrun2=3,Dayrun2=5,Dayrun2=6,Dayrun2=8,Dayrun2=9),VLOOKUP(A142,ScaledPrice2,IF(Scaler2=1,6,5)),0))</f>
        <v> </v>
      </c>
      <c r="G142" s="317" t="str">
        <f aca="false">IF(A142="N/A"," ",IF(OR(Dayrun2=2,Dayrun2=3,Dayrun2=5,Dayrun2=6),IF(Scaler2=2,F142,(VLOOKUP(A142,ScaledPrice2,5))*(2-(VLOOKUP(A142,ScaledPrice2,3)))),0))</f>
        <v> </v>
      </c>
      <c r="H142" s="317" t="str">
        <f aca="false">IF($A142="N/A"," ",IF(OR(Dayrun2=2,Dayrun2=3,Dayrun2=10),VLOOKUP($A142,ScaledPrice2,9),0))</f>
        <v> </v>
      </c>
      <c r="I142" s="317" t="str">
        <f aca="false">IF(A142="N/A"," ",IF(OR(Dayrun2=3,Dayrun2=6,Dayrun2=9),(VLOOKUP(A142,ScaledPrice2,IF(Scaler2=2,7,8))),0))</f>
        <v> </v>
      </c>
      <c r="J142" s="317" t="str">
        <f aca="false">IF(A142="N/A"," ",IF(OR(Dayrun2=3,Dayrun2=6),IF(Scaler2=2,I142,(VLOOKUP(A142,ScaledPrice2,7))*(2-(VLOOKUP(A142,ScaledPrice2,3)))),0))</f>
        <v> </v>
      </c>
      <c r="K142" s="317" t="str">
        <f aca="false">IF($A142="N/A"," ",IF(OR(Dayrun2=3,Dayrun2=10),VLOOKUP($A142,ScaledPrice2,9),0))</f>
        <v> </v>
      </c>
      <c r="L142" s="318" t="str">
        <f aca="false">IF($A142="N/A"," ",IF(Pricetype2=2,MAX(C142,0),IF(OR(Pricetype2=1,Pricetype2=4),IF(C142=0,0,(EURO(C142,Strikeprice2,0,0,($AH142+IF(Smile=TRUE(),VLOOKUP(MAX(-5,Strikeprice2-C142),Volsmile,2),0)),($A142-DateToday)+15,IF(Pricetype2=1,1,0),0))),C142)))</f>
        <v> </v>
      </c>
      <c r="M142" s="318" t="str">
        <f aca="false">IF($A142="N/A"," ",IF(Pricetype2=2,MAX(D142,0),IF(OR(Pricetype2=1,Pricetype2=4),IF(D142=0,0,(EURO(D142,Strikeprice2,0,0,($AH142+IF(Smile=TRUE(),VLOOKUP(MAX(-5,Strikeprice2-D142),Volsmile,2),0)),($A142-DateToday)+15,IF(Pricetype2=1,1,0),0))),D142)))</f>
        <v> </v>
      </c>
      <c r="N142" s="318" t="str">
        <f aca="false">IF($A142="N/A"," ",IF(Pricetype2=2,MAX(E142,0),IF(OR(Pricetype2=1,Pricetype2=4),IF(E142=0,0,(EURO(E142,Strikeprice2,0,0,($AK142+IF(Smile=TRUE(),VLOOKUP(MAX(-5,Strikeprice2-E142),Volsmile,2),0)),($A142-DateToday)+15,IF(Pricetype2=1,1,0),0))),E142)))</f>
        <v> </v>
      </c>
      <c r="O142" s="318" t="str">
        <f aca="false">IF($A142="N/A"," ",IF(Pricetype2=2,MAX(F142,0),IF(OR(Pricetype2=1,Pricetype2=4),IF(F142=0,0,(EURO(F142,Strikeprice2,0,0,($AK142+IF(Smile=TRUE(),VLOOKUP(MAX(-5,Strikeprice2-F142),Volsmile,2),0)),($A142-DateToday)+15,IF(Pricetype2=1,1,0),0))),F142)))</f>
        <v> </v>
      </c>
      <c r="P142" s="318" t="str">
        <f aca="false">IF($A142="N/A"," ",IF(Pricetype2=2,MAX(G142,0),IF(OR(Pricetype2=1,Pricetype2=4),IF(G142=0,0,(EURO(G142,Strikeprice2,0,0,($AK142+IF(Smile=TRUE(),VLOOKUP(MAX(-5,Strikeprice2-G142),Volsmile,2),0)),($A142-DateToday)+15,IF(Pricetype2=1,1,0),0))),G142)))</f>
        <v> </v>
      </c>
      <c r="Q142" s="318" t="str">
        <f aca="false">IF($A142="N/A"," ",IF(Pricetype2=2,MAX(H142,0),IF(OR(Pricetype2=1,Pricetype2=4),IF(H142=0,0,(EURO(H142,Strikeprice2,0,0,($AK142+IF(Smile=TRUE(),VLOOKUP(MAX(-5,Strikeprice2-H142),Volsmile,2),0)),($A142-DateToday)+15,IF(Pricetype2=1,1,0),0))),H142)))</f>
        <v> </v>
      </c>
      <c r="R142" s="318" t="str">
        <f aca="false">IF($A142="N/A"," ",IF(Pricetype2=2,MAX(I142,0),IF(OR(Pricetype2=1,Pricetype2=4),IF(I142=0,0,(EURO(I142,Strikeprice2,0,0,($AK142+IF(Smile=TRUE(),VLOOKUP(MAX(-5,Strikeprice2-I142),Volsmile,2),0)),($A142-DateToday)+15,IF(Pricetype2=1,1,0),0))),I142)))</f>
        <v> </v>
      </c>
      <c r="S142" s="318" t="str">
        <f aca="false">IF($A142="N/A"," ",IF(Pricetype2=2,MAX(J142,0),IF(OR(Pricetype2=1,Pricetype2=4),IF(J142=0,0,(EURO(J142,Strikeprice2,0,0,($AK142+IF(Smile=TRUE(),VLOOKUP(MAX(-5,Strikeprice2-J142),Volsmile,2),0)),($A142-DateToday)+15,IF(Pricetype2=1,1,0),0))),J142)))</f>
        <v> </v>
      </c>
      <c r="T142" s="318" t="str">
        <f aca="false">IF($A142="N/A"," ",IF(Pricetype2=2,MAX(K142,0),IF(OR(Pricetype2=1,Pricetype2=4),IF(K142=0,0,(EURO(K142,Strikeprice2,0,0,($AK142+IF(Smile=TRUE(),VLOOKUP(MAX(-5,Strikeprice2-K142),Volsmile,2),0)),($A142-DateToday)+15,IF(Pricetype2=1,1,0),0))),K142)))</f>
        <v> </v>
      </c>
      <c r="U142" s="319" t="str">
        <f aca="false">IF($A142="N/A"," ",Volume2*$AM142)</f>
        <v> </v>
      </c>
      <c r="V142" s="320" t="str">
        <f aca="false">IF($A142="N/A"," ",$U142*(8*($BQ142))*L142)</f>
        <v> </v>
      </c>
      <c r="W142" s="320" t="str">
        <f aca="false">IF($A142="N/A"," ",$U142*(8*($BQ142))*M142)</f>
        <v> </v>
      </c>
      <c r="X142" s="320" t="str">
        <f aca="false">IF($A142="N/A"," ",$U142*(8*($BQ142))*N142)</f>
        <v> </v>
      </c>
      <c r="Y142" s="320" t="str">
        <f aca="false">IF($A142="N/A"," ",$U142*(8*($BR142))*O142)</f>
        <v> </v>
      </c>
      <c r="Z142" s="320" t="str">
        <f aca="false">IF($A142="N/A"," ",$U142*(8*($BR142))*P142)</f>
        <v> </v>
      </c>
      <c r="AA142" s="320" t="str">
        <f aca="false">IF($A142="N/A"," ",$U142*(8*($BR142))*Q142)</f>
        <v> </v>
      </c>
      <c r="AB142" s="320" t="str">
        <f aca="false">IF($A142="N/A"," ",$U142*(8*($BS142))*R142)</f>
        <v> </v>
      </c>
      <c r="AC142" s="320" t="str">
        <f aca="false">IF($A142="N/A"," ",$U142*(8*($BS142))*S142)</f>
        <v> </v>
      </c>
      <c r="AD142" s="320" t="str">
        <f aca="false">IF($A142="N/A"," ",$U142*(8*($BS142))*T142)</f>
        <v> </v>
      </c>
      <c r="AE142" s="320" t="str">
        <f aca="false">IF($A142="N/A"," ",SUM(V142:AD142))</f>
        <v> </v>
      </c>
      <c r="AF142" s="321" t="str">
        <f aca="false">IF(A142="N/A"," ",(VLOOKUP(A142,PowerVolTable,(IF(VolBMO2=2,7,IF(VolBMO2=1,6,8))),FALSE())))</f>
        <v> </v>
      </c>
      <c r="AG142" s="321" t="str">
        <f aca="false">IF(A142="N/A"," ",(VLOOKUP(A142,IntraPowerVol,(IF(VolBMO2=2,3,IF(VolBMO2=1,2,4))),FALSE())*VLOOKUP(MONTH($A142),Volscale,2)))</f>
        <v> </v>
      </c>
      <c r="AH142" s="321" t="str">
        <f aca="false">IF($A142="N/A"," ",IF(VolType2=1,AG142,AF142))</f>
        <v> </v>
      </c>
      <c r="AI142" s="321" t="str">
        <f aca="false">IF($A142="N/A"," ",(VLOOKUP($A142,OffPwrVolTable,(IF(VolBMO2=2,7,IF(VolBMO2=1,6,8))),FALSE())))</f>
        <v> </v>
      </c>
      <c r="AJ142" s="321" t="str">
        <f aca="false">IF($A142="N/A"," ",(VLOOKUP($A142,OffPwrVolTable,(IF(VolBMO2=2,3,IF(VolBMO2=1,2,4))),FALSE())*VLOOKUP(MONTH($A142),Volscale,2)))</f>
        <v> </v>
      </c>
      <c r="AK142" s="321" t="str">
        <f aca="false">IF($A142="N/A"," ",IF(VolType2=1,AJ142,AI142))</f>
        <v> </v>
      </c>
      <c r="AL142" s="321" t="str">
        <f aca="false">IF($A142="N/A"," ",IF(PV=1,0,'Pricing Inputs2'!R175))</f>
        <v> </v>
      </c>
      <c r="AM142" s="323" t="str">
        <f aca="false">IF($A142="N/A"," ",(1+AL142/2)^(-2*((EOMONTH(A142,0)+20)-DateToday)/365.25))</f>
        <v> </v>
      </c>
      <c r="BQ142" s="0" t="str">
        <f aca="false">IF($A142="N/A"," ",(VLOOKUP($A142,NumberofDaysTable,2)))</f>
        <v> </v>
      </c>
      <c r="BR142" s="0" t="str">
        <f aca="false">IF($A142="N/A"," ",(VLOOKUP($A142,NumberofDaysTable,3)))</f>
        <v> </v>
      </c>
      <c r="BS142" s="0" t="str">
        <f aca="false">IF($A142="N/A"," ",(VLOOKUP($A142,NumberofDaysTable,4)))</f>
        <v> </v>
      </c>
    </row>
    <row r="143" customFormat="false" ht="12.75" hidden="false" customHeight="false" outlineLevel="0" collapsed="false">
      <c r="A143" s="315" t="str">
        <f aca="false">IF(A142="N/A","N/A",IF(EDATE(A142,1)&gt;Inputs!$P$5,"N/A",EDATE(A142,1)))</f>
        <v>N/A</v>
      </c>
      <c r="B143" s="316" t="str">
        <f aca="false">IF(A143="N/A"," ",YEAR(A143))</f>
        <v> </v>
      </c>
      <c r="C143" s="317" t="str">
        <f aca="false">IF($A143="N/A"," ",IF(Dayrun2=10,0,IF(Scaler2=1,(VLOOKUP(A143,ScaledPrice2,4)),(VLOOKUP(A143,ScaledPrice2,2)))))</f>
        <v> </v>
      </c>
      <c r="D143" s="317" t="str">
        <f aca="false">IF(A143="N/A"," ",IF(Dayrun2&gt;=7,0,IF(Scaler2=2,VLOOKUP(A143,ScaledPrice2,2),(VLOOKUP(A143,ScaledPrice2,2))*(2-(VLOOKUP(A143,ScaledPrice2,3))))))</f>
        <v> </v>
      </c>
      <c r="E143" s="317" t="str">
        <f aca="false">IF($A143="N/A"," ",IF(AND(Dayrun2&gt;=4,Dayrun2&lt;=9),0,VLOOKUP($A143,ScaledPrice2,9)))</f>
        <v> </v>
      </c>
      <c r="F143" s="317" t="str">
        <f aca="false">IF(A143="N/A"," ",IF(OR(Dayrun2=2,Dayrun2=3,Dayrun2=5,Dayrun2=6,Dayrun2=8,Dayrun2=9),VLOOKUP(A143,ScaledPrice2,IF(Scaler2=1,6,5)),0))</f>
        <v> </v>
      </c>
      <c r="G143" s="317" t="str">
        <f aca="false">IF(A143="N/A"," ",IF(OR(Dayrun2=2,Dayrun2=3,Dayrun2=5,Dayrun2=6),IF(Scaler2=2,F143,(VLOOKUP(A143,ScaledPrice2,5))*(2-(VLOOKUP(A143,ScaledPrice2,3)))),0))</f>
        <v> </v>
      </c>
      <c r="H143" s="317" t="str">
        <f aca="false">IF($A143="N/A"," ",IF(OR(Dayrun2=2,Dayrun2=3,Dayrun2=10),VLOOKUP($A143,ScaledPrice2,9),0))</f>
        <v> </v>
      </c>
      <c r="I143" s="317" t="str">
        <f aca="false">IF(A143="N/A"," ",IF(OR(Dayrun2=3,Dayrun2=6,Dayrun2=9),(VLOOKUP(A143,ScaledPrice2,IF(Scaler2=2,7,8))),0))</f>
        <v> </v>
      </c>
      <c r="J143" s="317" t="str">
        <f aca="false">IF(A143="N/A"," ",IF(OR(Dayrun2=3,Dayrun2=6),IF(Scaler2=2,I143,(VLOOKUP(A143,ScaledPrice2,7))*(2-(VLOOKUP(A143,ScaledPrice2,3)))),0))</f>
        <v> </v>
      </c>
      <c r="K143" s="317" t="str">
        <f aca="false">IF($A143="N/A"," ",IF(OR(Dayrun2=3,Dayrun2=10),VLOOKUP($A143,ScaledPrice2,9),0))</f>
        <v> </v>
      </c>
      <c r="L143" s="318" t="str">
        <f aca="false">IF($A143="N/A"," ",IF(Pricetype2=2,MAX(C143,0),IF(OR(Pricetype2=1,Pricetype2=4),IF(C143=0,0,(EURO(C143,Strikeprice2,0,0,($AH143+IF(Smile=TRUE(),VLOOKUP(MAX(-5,Strikeprice2-C143),Volsmile,2),0)),($A143-DateToday)+15,IF(Pricetype2=1,1,0),0))),C143)))</f>
        <v> </v>
      </c>
      <c r="M143" s="318" t="str">
        <f aca="false">IF($A143="N/A"," ",IF(Pricetype2=2,MAX(D143,0),IF(OR(Pricetype2=1,Pricetype2=4),IF(D143=0,0,(EURO(D143,Strikeprice2,0,0,($AH143+IF(Smile=TRUE(),VLOOKUP(MAX(-5,Strikeprice2-D143),Volsmile,2),0)),($A143-DateToday)+15,IF(Pricetype2=1,1,0),0))),D143)))</f>
        <v> </v>
      </c>
      <c r="N143" s="318" t="str">
        <f aca="false">IF($A143="N/A"," ",IF(Pricetype2=2,MAX(E143,0),IF(OR(Pricetype2=1,Pricetype2=4),IF(E143=0,0,(EURO(E143,Strikeprice2,0,0,($AK143+IF(Smile=TRUE(),VLOOKUP(MAX(-5,Strikeprice2-E143),Volsmile,2),0)),($A143-DateToday)+15,IF(Pricetype2=1,1,0),0))),E143)))</f>
        <v> </v>
      </c>
      <c r="O143" s="318" t="str">
        <f aca="false">IF($A143="N/A"," ",IF(Pricetype2=2,MAX(F143,0),IF(OR(Pricetype2=1,Pricetype2=4),IF(F143=0,0,(EURO(F143,Strikeprice2,0,0,($AK143+IF(Smile=TRUE(),VLOOKUP(MAX(-5,Strikeprice2-F143),Volsmile,2),0)),($A143-DateToday)+15,IF(Pricetype2=1,1,0),0))),F143)))</f>
        <v> </v>
      </c>
      <c r="P143" s="318" t="str">
        <f aca="false">IF($A143="N/A"," ",IF(Pricetype2=2,MAX(G143,0),IF(OR(Pricetype2=1,Pricetype2=4),IF(G143=0,0,(EURO(G143,Strikeprice2,0,0,($AK143+IF(Smile=TRUE(),VLOOKUP(MAX(-5,Strikeprice2-G143),Volsmile,2),0)),($A143-DateToday)+15,IF(Pricetype2=1,1,0),0))),G143)))</f>
        <v> </v>
      </c>
      <c r="Q143" s="318" t="str">
        <f aca="false">IF($A143="N/A"," ",IF(Pricetype2=2,MAX(H143,0),IF(OR(Pricetype2=1,Pricetype2=4),IF(H143=0,0,(EURO(H143,Strikeprice2,0,0,($AK143+IF(Smile=TRUE(),VLOOKUP(MAX(-5,Strikeprice2-H143),Volsmile,2),0)),($A143-DateToday)+15,IF(Pricetype2=1,1,0),0))),H143)))</f>
        <v> </v>
      </c>
      <c r="R143" s="318" t="str">
        <f aca="false">IF($A143="N/A"," ",IF(Pricetype2=2,MAX(I143,0),IF(OR(Pricetype2=1,Pricetype2=4),IF(I143=0,0,(EURO(I143,Strikeprice2,0,0,($AK143+IF(Smile=TRUE(),VLOOKUP(MAX(-5,Strikeprice2-I143),Volsmile,2),0)),($A143-DateToday)+15,IF(Pricetype2=1,1,0),0))),I143)))</f>
        <v> </v>
      </c>
      <c r="S143" s="318" t="str">
        <f aca="false">IF($A143="N/A"," ",IF(Pricetype2=2,MAX(J143,0),IF(OR(Pricetype2=1,Pricetype2=4),IF(J143=0,0,(EURO(J143,Strikeprice2,0,0,($AK143+IF(Smile=TRUE(),VLOOKUP(MAX(-5,Strikeprice2-J143),Volsmile,2),0)),($A143-DateToday)+15,IF(Pricetype2=1,1,0),0))),J143)))</f>
        <v> </v>
      </c>
      <c r="T143" s="318" t="str">
        <f aca="false">IF($A143="N/A"," ",IF(Pricetype2=2,MAX(K143,0),IF(OR(Pricetype2=1,Pricetype2=4),IF(K143=0,0,(EURO(K143,Strikeprice2,0,0,($AK143+IF(Smile=TRUE(),VLOOKUP(MAX(-5,Strikeprice2-K143),Volsmile,2),0)),($A143-DateToday)+15,IF(Pricetype2=1,1,0),0))),K143)))</f>
        <v> </v>
      </c>
      <c r="U143" s="319" t="str">
        <f aca="false">IF($A143="N/A"," ",Volume2*$AM143)</f>
        <v> </v>
      </c>
      <c r="V143" s="320" t="str">
        <f aca="false">IF($A143="N/A"," ",$U143*(8*($BQ143))*L143)</f>
        <v> </v>
      </c>
      <c r="W143" s="320" t="str">
        <f aca="false">IF($A143="N/A"," ",$U143*(8*($BQ143))*M143)</f>
        <v> </v>
      </c>
      <c r="X143" s="320" t="str">
        <f aca="false">IF($A143="N/A"," ",$U143*(8*($BQ143))*N143)</f>
        <v> </v>
      </c>
      <c r="Y143" s="320" t="str">
        <f aca="false">IF($A143="N/A"," ",$U143*(8*($BR143))*O143)</f>
        <v> </v>
      </c>
      <c r="Z143" s="320" t="str">
        <f aca="false">IF($A143="N/A"," ",$U143*(8*($BR143))*P143)</f>
        <v> </v>
      </c>
      <c r="AA143" s="320" t="str">
        <f aca="false">IF($A143="N/A"," ",$U143*(8*($BR143))*Q143)</f>
        <v> </v>
      </c>
      <c r="AB143" s="320" t="str">
        <f aca="false">IF($A143="N/A"," ",$U143*(8*($BS143))*R143)</f>
        <v> </v>
      </c>
      <c r="AC143" s="320" t="str">
        <f aca="false">IF($A143="N/A"," ",$U143*(8*($BS143))*S143)</f>
        <v> </v>
      </c>
      <c r="AD143" s="320" t="str">
        <f aca="false">IF($A143="N/A"," ",$U143*(8*($BS143))*T143)</f>
        <v> </v>
      </c>
      <c r="AE143" s="320" t="str">
        <f aca="false">IF($A143="N/A"," ",SUM(V143:AD143))</f>
        <v> </v>
      </c>
      <c r="AF143" s="321" t="str">
        <f aca="false">IF(A143="N/A"," ",(VLOOKUP(A143,PowerVolTable,(IF(VolBMO2=2,7,IF(VolBMO2=1,6,8))),FALSE())))</f>
        <v> </v>
      </c>
      <c r="AG143" s="321" t="str">
        <f aca="false">IF(A143="N/A"," ",(VLOOKUP(A143,IntraPowerVol,(IF(VolBMO2=2,3,IF(VolBMO2=1,2,4))),FALSE())*VLOOKUP(MONTH($A143),Volscale,2)))</f>
        <v> </v>
      </c>
      <c r="AH143" s="321" t="str">
        <f aca="false">IF($A143="N/A"," ",IF(VolType2=1,AG143,AF143))</f>
        <v> </v>
      </c>
      <c r="AI143" s="321" t="str">
        <f aca="false">IF($A143="N/A"," ",(VLOOKUP($A143,OffPwrVolTable,(IF(VolBMO2=2,7,IF(VolBMO2=1,6,8))),FALSE())))</f>
        <v> </v>
      </c>
      <c r="AJ143" s="321" t="str">
        <f aca="false">IF($A143="N/A"," ",(VLOOKUP($A143,OffPwrVolTable,(IF(VolBMO2=2,3,IF(VolBMO2=1,2,4))),FALSE())*VLOOKUP(MONTH($A143),Volscale,2)))</f>
        <v> </v>
      </c>
      <c r="AK143" s="321" t="str">
        <f aca="false">IF($A143="N/A"," ",IF(VolType2=1,AJ143,AI143))</f>
        <v> </v>
      </c>
      <c r="AL143" s="321" t="str">
        <f aca="false">IF($A143="N/A"," ",IF(PV=1,0,'Pricing Inputs2'!R176))</f>
        <v> </v>
      </c>
      <c r="AM143" s="323" t="str">
        <f aca="false">IF($A143="N/A"," ",(1+AL143/2)^(-2*((EOMONTH(A143,0)+20)-DateToday)/365.25))</f>
        <v> </v>
      </c>
      <c r="BQ143" s="0" t="str">
        <f aca="false">IF($A143="N/A"," ",(VLOOKUP($A143,NumberofDaysTable,2)))</f>
        <v> </v>
      </c>
      <c r="BR143" s="0" t="str">
        <f aca="false">IF($A143="N/A"," ",(VLOOKUP($A143,NumberofDaysTable,3)))</f>
        <v> </v>
      </c>
      <c r="BS143" s="0" t="str">
        <f aca="false">IF($A143="N/A"," ",(VLOOKUP($A143,NumberofDaysTable,4)))</f>
        <v> </v>
      </c>
    </row>
    <row r="144" customFormat="false" ht="12.75" hidden="false" customHeight="false" outlineLevel="0" collapsed="false">
      <c r="A144" s="315" t="str">
        <f aca="false">IF(A143="N/A","N/A",IF(EDATE(A143,1)&gt;Inputs!$P$5,"N/A",EDATE(A143,1)))</f>
        <v>N/A</v>
      </c>
      <c r="B144" s="316" t="str">
        <f aca="false">IF(A144="N/A"," ",YEAR(A144))</f>
        <v> </v>
      </c>
      <c r="C144" s="317" t="str">
        <f aca="false">IF($A144="N/A"," ",IF(Dayrun2=10,0,IF(Scaler2=1,(VLOOKUP(A144,ScaledPrice2,4)),(VLOOKUP(A144,ScaledPrice2,2)))))</f>
        <v> </v>
      </c>
      <c r="D144" s="317" t="str">
        <f aca="false">IF(A144="N/A"," ",IF(Dayrun2&gt;=7,0,IF(Scaler2=2,VLOOKUP(A144,ScaledPrice2,2),(VLOOKUP(A144,ScaledPrice2,2))*(2-(VLOOKUP(A144,ScaledPrice2,3))))))</f>
        <v> </v>
      </c>
      <c r="E144" s="317" t="str">
        <f aca="false">IF($A144="N/A"," ",IF(AND(Dayrun2&gt;=4,Dayrun2&lt;=9),0,VLOOKUP($A144,ScaledPrice2,9)))</f>
        <v> </v>
      </c>
      <c r="F144" s="317" t="str">
        <f aca="false">IF(A144="N/A"," ",IF(OR(Dayrun2=2,Dayrun2=3,Dayrun2=5,Dayrun2=6,Dayrun2=8,Dayrun2=9),VLOOKUP(A144,ScaledPrice2,IF(Scaler2=1,6,5)),0))</f>
        <v> </v>
      </c>
      <c r="G144" s="317" t="str">
        <f aca="false">IF(A144="N/A"," ",IF(OR(Dayrun2=2,Dayrun2=3,Dayrun2=5,Dayrun2=6),IF(Scaler2=2,F144,(VLOOKUP(A144,ScaledPrice2,5))*(2-(VLOOKUP(A144,ScaledPrice2,3)))),0))</f>
        <v> </v>
      </c>
      <c r="H144" s="317" t="str">
        <f aca="false">IF($A144="N/A"," ",IF(OR(Dayrun2=2,Dayrun2=3,Dayrun2=10),VLOOKUP($A144,ScaledPrice2,9),0))</f>
        <v> </v>
      </c>
      <c r="I144" s="317" t="str">
        <f aca="false">IF(A144="N/A"," ",IF(OR(Dayrun2=3,Dayrun2=6,Dayrun2=9),(VLOOKUP(A144,ScaledPrice2,IF(Scaler2=2,7,8))),0))</f>
        <v> </v>
      </c>
      <c r="J144" s="317" t="str">
        <f aca="false">IF(A144="N/A"," ",IF(OR(Dayrun2=3,Dayrun2=6),IF(Scaler2=2,I144,(VLOOKUP(A144,ScaledPrice2,7))*(2-(VLOOKUP(A144,ScaledPrice2,3)))),0))</f>
        <v> </v>
      </c>
      <c r="K144" s="317" t="str">
        <f aca="false">IF($A144="N/A"," ",IF(OR(Dayrun2=3,Dayrun2=10),VLOOKUP($A144,ScaledPrice2,9),0))</f>
        <v> </v>
      </c>
      <c r="L144" s="318" t="str">
        <f aca="false">IF($A144="N/A"," ",IF(Pricetype2=2,MAX(C144,0),IF(OR(Pricetype2=1,Pricetype2=4),IF(C144=0,0,(EURO(C144,Strikeprice2,0,0,($AH144+IF(Smile=TRUE(),VLOOKUP(MAX(-5,Strikeprice2-C144),Volsmile,2),0)),($A144-DateToday)+15,IF(Pricetype2=1,1,0),0))),C144)))</f>
        <v> </v>
      </c>
      <c r="M144" s="318" t="str">
        <f aca="false">IF($A144="N/A"," ",IF(Pricetype2=2,MAX(D144,0),IF(OR(Pricetype2=1,Pricetype2=4),IF(D144=0,0,(EURO(D144,Strikeprice2,0,0,($AH144+IF(Smile=TRUE(),VLOOKUP(MAX(-5,Strikeprice2-D144),Volsmile,2),0)),($A144-DateToday)+15,IF(Pricetype2=1,1,0),0))),D144)))</f>
        <v> </v>
      </c>
      <c r="N144" s="318" t="str">
        <f aca="false">IF($A144="N/A"," ",IF(Pricetype2=2,MAX(E144,0),IF(OR(Pricetype2=1,Pricetype2=4),IF(E144=0,0,(EURO(E144,Strikeprice2,0,0,($AK144+IF(Smile=TRUE(),VLOOKUP(MAX(-5,Strikeprice2-E144),Volsmile,2),0)),($A144-DateToday)+15,IF(Pricetype2=1,1,0),0))),E144)))</f>
        <v> </v>
      </c>
      <c r="O144" s="318" t="str">
        <f aca="false">IF($A144="N/A"," ",IF(Pricetype2=2,MAX(F144,0),IF(OR(Pricetype2=1,Pricetype2=4),IF(F144=0,0,(EURO(F144,Strikeprice2,0,0,($AK144+IF(Smile=TRUE(),VLOOKUP(MAX(-5,Strikeprice2-F144),Volsmile,2),0)),($A144-DateToday)+15,IF(Pricetype2=1,1,0),0))),F144)))</f>
        <v> </v>
      </c>
      <c r="P144" s="318" t="str">
        <f aca="false">IF($A144="N/A"," ",IF(Pricetype2=2,MAX(G144,0),IF(OR(Pricetype2=1,Pricetype2=4),IF(G144=0,0,(EURO(G144,Strikeprice2,0,0,($AK144+IF(Smile=TRUE(),VLOOKUP(MAX(-5,Strikeprice2-G144),Volsmile,2),0)),($A144-DateToday)+15,IF(Pricetype2=1,1,0),0))),G144)))</f>
        <v> </v>
      </c>
      <c r="Q144" s="318" t="str">
        <f aca="false">IF($A144="N/A"," ",IF(Pricetype2=2,MAX(H144,0),IF(OR(Pricetype2=1,Pricetype2=4),IF(H144=0,0,(EURO(H144,Strikeprice2,0,0,($AK144+IF(Smile=TRUE(),VLOOKUP(MAX(-5,Strikeprice2-H144),Volsmile,2),0)),($A144-DateToday)+15,IF(Pricetype2=1,1,0),0))),H144)))</f>
        <v> </v>
      </c>
      <c r="R144" s="318" t="str">
        <f aca="false">IF($A144="N/A"," ",IF(Pricetype2=2,MAX(I144,0),IF(OR(Pricetype2=1,Pricetype2=4),IF(I144=0,0,(EURO(I144,Strikeprice2,0,0,($AK144+IF(Smile=TRUE(),VLOOKUP(MAX(-5,Strikeprice2-I144),Volsmile,2),0)),($A144-DateToday)+15,IF(Pricetype2=1,1,0),0))),I144)))</f>
        <v> </v>
      </c>
      <c r="S144" s="318" t="str">
        <f aca="false">IF($A144="N/A"," ",IF(Pricetype2=2,MAX(J144,0),IF(OR(Pricetype2=1,Pricetype2=4),IF(J144=0,0,(EURO(J144,Strikeprice2,0,0,($AK144+IF(Smile=TRUE(),VLOOKUP(MAX(-5,Strikeprice2-J144),Volsmile,2),0)),($A144-DateToday)+15,IF(Pricetype2=1,1,0),0))),J144)))</f>
        <v> </v>
      </c>
      <c r="T144" s="318" t="str">
        <f aca="false">IF($A144="N/A"," ",IF(Pricetype2=2,MAX(K144,0),IF(OR(Pricetype2=1,Pricetype2=4),IF(K144=0,0,(EURO(K144,Strikeprice2,0,0,($AK144+IF(Smile=TRUE(),VLOOKUP(MAX(-5,Strikeprice2-K144),Volsmile,2),0)),($A144-DateToday)+15,IF(Pricetype2=1,1,0),0))),K144)))</f>
        <v> </v>
      </c>
      <c r="U144" s="319" t="str">
        <f aca="false">IF($A144="N/A"," ",Volume2*$AM144)</f>
        <v> </v>
      </c>
      <c r="V144" s="320" t="str">
        <f aca="false">IF($A144="N/A"," ",$U144*(8*($BQ144))*L144)</f>
        <v> </v>
      </c>
      <c r="W144" s="320" t="str">
        <f aca="false">IF($A144="N/A"," ",$U144*(8*($BQ144))*M144)</f>
        <v> </v>
      </c>
      <c r="X144" s="320" t="str">
        <f aca="false">IF($A144="N/A"," ",$U144*(8*($BQ144))*N144)</f>
        <v> </v>
      </c>
      <c r="Y144" s="320" t="str">
        <f aca="false">IF($A144="N/A"," ",$U144*(8*($BR144))*O144)</f>
        <v> </v>
      </c>
      <c r="Z144" s="320" t="str">
        <f aca="false">IF($A144="N/A"," ",$U144*(8*($BR144))*P144)</f>
        <v> </v>
      </c>
      <c r="AA144" s="320" t="str">
        <f aca="false">IF($A144="N/A"," ",$U144*(8*($BR144))*Q144)</f>
        <v> </v>
      </c>
      <c r="AB144" s="320" t="str">
        <f aca="false">IF($A144="N/A"," ",$U144*(8*($BS144))*R144)</f>
        <v> </v>
      </c>
      <c r="AC144" s="320" t="str">
        <f aca="false">IF($A144="N/A"," ",$U144*(8*($BS144))*S144)</f>
        <v> </v>
      </c>
      <c r="AD144" s="320" t="str">
        <f aca="false">IF($A144="N/A"," ",$U144*(8*($BS144))*T144)</f>
        <v> </v>
      </c>
      <c r="AE144" s="320" t="str">
        <f aca="false">IF($A144="N/A"," ",SUM(V144:AD144))</f>
        <v> </v>
      </c>
      <c r="AF144" s="321" t="str">
        <f aca="false">IF(A144="N/A"," ",(VLOOKUP(A144,PowerVolTable,(IF(VolBMO2=2,7,IF(VolBMO2=1,6,8))),FALSE())))</f>
        <v> </v>
      </c>
      <c r="AG144" s="321" t="str">
        <f aca="false">IF(A144="N/A"," ",(VLOOKUP(A144,IntraPowerVol,(IF(VolBMO2=2,3,IF(VolBMO2=1,2,4))),FALSE())*VLOOKUP(MONTH($A144),Volscale,2)))</f>
        <v> </v>
      </c>
      <c r="AH144" s="321" t="str">
        <f aca="false">IF($A144="N/A"," ",IF(VolType2=1,AG144,AF144))</f>
        <v> </v>
      </c>
      <c r="AI144" s="321" t="str">
        <f aca="false">IF($A144="N/A"," ",(VLOOKUP($A144,OffPwrVolTable,(IF(VolBMO2=2,7,IF(VolBMO2=1,6,8))),FALSE())))</f>
        <v> </v>
      </c>
      <c r="AJ144" s="321" t="str">
        <f aca="false">IF($A144="N/A"," ",(VLOOKUP($A144,OffPwrVolTable,(IF(VolBMO2=2,3,IF(VolBMO2=1,2,4))),FALSE())*VLOOKUP(MONTH($A144),Volscale,2)))</f>
        <v> </v>
      </c>
      <c r="AK144" s="321" t="str">
        <f aca="false">IF($A144="N/A"," ",IF(VolType2=1,AJ144,AI144))</f>
        <v> </v>
      </c>
      <c r="AL144" s="321" t="str">
        <f aca="false">IF($A144="N/A"," ",IF(PV=1,0,'Pricing Inputs2'!R177))</f>
        <v> </v>
      </c>
      <c r="AM144" s="323" t="str">
        <f aca="false">IF($A144="N/A"," ",(1+AL144/2)^(-2*((EOMONTH(A144,0)+20)-DateToday)/365.25))</f>
        <v> </v>
      </c>
      <c r="BQ144" s="0" t="str">
        <f aca="false">IF($A144="N/A"," ",(VLOOKUP($A144,NumberofDaysTable,2)))</f>
        <v> </v>
      </c>
      <c r="BR144" s="0" t="str">
        <f aca="false">IF($A144="N/A"," ",(VLOOKUP($A144,NumberofDaysTable,3)))</f>
        <v> </v>
      </c>
      <c r="BS144" s="0" t="str">
        <f aca="false">IF($A144="N/A"," ",(VLOOKUP($A144,NumberofDaysTable,4)))</f>
        <v> </v>
      </c>
    </row>
    <row r="145" customFormat="false" ht="12.75" hidden="false" customHeight="false" outlineLevel="0" collapsed="false">
      <c r="A145" s="315" t="str">
        <f aca="false">IF(A144="N/A","N/A",IF(EDATE(A144,1)&gt;Inputs!$P$5,"N/A",EDATE(A144,1)))</f>
        <v>N/A</v>
      </c>
      <c r="B145" s="316" t="str">
        <f aca="false">IF(A145="N/A"," ",YEAR(A145))</f>
        <v> </v>
      </c>
      <c r="C145" s="317" t="str">
        <f aca="false">IF($A145="N/A"," ",IF(Dayrun2=10,0,IF(Scaler2=1,(VLOOKUP(A145,ScaledPrice2,4)),(VLOOKUP(A145,ScaledPrice2,2)))))</f>
        <v> </v>
      </c>
      <c r="D145" s="317" t="str">
        <f aca="false">IF(A145="N/A"," ",IF(Dayrun2&gt;=7,0,IF(Scaler2=2,VLOOKUP(A145,ScaledPrice2,2),(VLOOKUP(A145,ScaledPrice2,2))*(2-(VLOOKUP(A145,ScaledPrice2,3))))))</f>
        <v> </v>
      </c>
      <c r="E145" s="317" t="str">
        <f aca="false">IF($A145="N/A"," ",IF(AND(Dayrun2&gt;=4,Dayrun2&lt;=9),0,VLOOKUP($A145,ScaledPrice2,9)))</f>
        <v> </v>
      </c>
      <c r="F145" s="317" t="str">
        <f aca="false">IF(A145="N/A"," ",IF(OR(Dayrun2=2,Dayrun2=3,Dayrun2=5,Dayrun2=6,Dayrun2=8,Dayrun2=9),VLOOKUP(A145,ScaledPrice2,IF(Scaler2=1,6,5)),0))</f>
        <v> </v>
      </c>
      <c r="G145" s="317" t="str">
        <f aca="false">IF(A145="N/A"," ",IF(OR(Dayrun2=2,Dayrun2=3,Dayrun2=5,Dayrun2=6),IF(Scaler2=2,F145,(VLOOKUP(A145,ScaledPrice2,5))*(2-(VLOOKUP(A145,ScaledPrice2,3)))),0))</f>
        <v> </v>
      </c>
      <c r="H145" s="317" t="str">
        <f aca="false">IF($A145="N/A"," ",IF(OR(Dayrun2=2,Dayrun2=3,Dayrun2=10),VLOOKUP($A145,ScaledPrice2,9),0))</f>
        <v> </v>
      </c>
      <c r="I145" s="317" t="str">
        <f aca="false">IF(A145="N/A"," ",IF(OR(Dayrun2=3,Dayrun2=6,Dayrun2=9),(VLOOKUP(A145,ScaledPrice2,IF(Scaler2=2,7,8))),0))</f>
        <v> </v>
      </c>
      <c r="J145" s="317" t="str">
        <f aca="false">IF(A145="N/A"," ",IF(OR(Dayrun2=3,Dayrun2=6),IF(Scaler2=2,I145,(VLOOKUP(A145,ScaledPrice2,7))*(2-(VLOOKUP(A145,ScaledPrice2,3)))),0))</f>
        <v> </v>
      </c>
      <c r="K145" s="317" t="str">
        <f aca="false">IF($A145="N/A"," ",IF(OR(Dayrun2=3,Dayrun2=10),VLOOKUP($A145,ScaledPrice2,9),0))</f>
        <v> </v>
      </c>
      <c r="L145" s="318" t="str">
        <f aca="false">IF($A145="N/A"," ",IF(Pricetype2=2,MAX(C145,0),IF(OR(Pricetype2=1,Pricetype2=4),IF(C145=0,0,(EURO(C145,Strikeprice2,0,0,($AH145+IF(Smile=TRUE(),VLOOKUP(MAX(-5,Strikeprice2-C145),Volsmile,2),0)),($A145-DateToday)+15,IF(Pricetype2=1,1,0),0))),C145)))</f>
        <v> </v>
      </c>
      <c r="M145" s="318" t="str">
        <f aca="false">IF($A145="N/A"," ",IF(Pricetype2=2,MAX(D145,0),IF(OR(Pricetype2=1,Pricetype2=4),IF(D145=0,0,(EURO(D145,Strikeprice2,0,0,($AH145+IF(Smile=TRUE(),VLOOKUP(MAX(-5,Strikeprice2-D145),Volsmile,2),0)),($A145-DateToday)+15,IF(Pricetype2=1,1,0),0))),D145)))</f>
        <v> </v>
      </c>
      <c r="N145" s="318" t="str">
        <f aca="false">IF($A145="N/A"," ",IF(Pricetype2=2,MAX(E145,0),IF(OR(Pricetype2=1,Pricetype2=4),IF(E145=0,0,(EURO(E145,Strikeprice2,0,0,($AK145+IF(Smile=TRUE(),VLOOKUP(MAX(-5,Strikeprice2-E145),Volsmile,2),0)),($A145-DateToday)+15,IF(Pricetype2=1,1,0),0))),E145)))</f>
        <v> </v>
      </c>
      <c r="O145" s="318" t="str">
        <f aca="false">IF($A145="N/A"," ",IF(Pricetype2=2,MAX(F145,0),IF(OR(Pricetype2=1,Pricetype2=4),IF(F145=0,0,(EURO(F145,Strikeprice2,0,0,($AK145+IF(Smile=TRUE(),VLOOKUP(MAX(-5,Strikeprice2-F145),Volsmile,2),0)),($A145-DateToday)+15,IF(Pricetype2=1,1,0),0))),F145)))</f>
        <v> </v>
      </c>
      <c r="P145" s="318" t="str">
        <f aca="false">IF($A145="N/A"," ",IF(Pricetype2=2,MAX(G145,0),IF(OR(Pricetype2=1,Pricetype2=4),IF(G145=0,0,(EURO(G145,Strikeprice2,0,0,($AK145+IF(Smile=TRUE(),VLOOKUP(MAX(-5,Strikeprice2-G145),Volsmile,2),0)),($A145-DateToday)+15,IF(Pricetype2=1,1,0),0))),G145)))</f>
        <v> </v>
      </c>
      <c r="Q145" s="318" t="str">
        <f aca="false">IF($A145="N/A"," ",IF(Pricetype2=2,MAX(H145,0),IF(OR(Pricetype2=1,Pricetype2=4),IF(H145=0,0,(EURO(H145,Strikeprice2,0,0,($AK145+IF(Smile=TRUE(),VLOOKUP(MAX(-5,Strikeprice2-H145),Volsmile,2),0)),($A145-DateToday)+15,IF(Pricetype2=1,1,0),0))),H145)))</f>
        <v> </v>
      </c>
      <c r="R145" s="318" t="str">
        <f aca="false">IF($A145="N/A"," ",IF(Pricetype2=2,MAX(I145,0),IF(OR(Pricetype2=1,Pricetype2=4),IF(I145=0,0,(EURO(I145,Strikeprice2,0,0,($AK145+IF(Smile=TRUE(),VLOOKUP(MAX(-5,Strikeprice2-I145),Volsmile,2),0)),($A145-DateToday)+15,IF(Pricetype2=1,1,0),0))),I145)))</f>
        <v> </v>
      </c>
      <c r="S145" s="318" t="str">
        <f aca="false">IF($A145="N/A"," ",IF(Pricetype2=2,MAX(J145,0),IF(OR(Pricetype2=1,Pricetype2=4),IF(J145=0,0,(EURO(J145,Strikeprice2,0,0,($AK145+IF(Smile=TRUE(),VLOOKUP(MAX(-5,Strikeprice2-J145),Volsmile,2),0)),($A145-DateToday)+15,IF(Pricetype2=1,1,0),0))),J145)))</f>
        <v> </v>
      </c>
      <c r="T145" s="318" t="str">
        <f aca="false">IF($A145="N/A"," ",IF(Pricetype2=2,MAX(K145,0),IF(OR(Pricetype2=1,Pricetype2=4),IF(K145=0,0,(EURO(K145,Strikeprice2,0,0,($AK145+IF(Smile=TRUE(),VLOOKUP(MAX(-5,Strikeprice2-K145),Volsmile,2),0)),($A145-DateToday)+15,IF(Pricetype2=1,1,0),0))),K145)))</f>
        <v> </v>
      </c>
      <c r="U145" s="319" t="str">
        <f aca="false">IF($A145="N/A"," ",Volume2*$AM145)</f>
        <v> </v>
      </c>
      <c r="V145" s="320" t="str">
        <f aca="false">IF($A145="N/A"," ",$U145*(8*($BQ145))*L145)</f>
        <v> </v>
      </c>
      <c r="W145" s="320" t="str">
        <f aca="false">IF($A145="N/A"," ",$U145*(8*($BQ145))*M145)</f>
        <v> </v>
      </c>
      <c r="X145" s="320" t="str">
        <f aca="false">IF($A145="N/A"," ",$U145*(8*($BQ145))*N145)</f>
        <v> </v>
      </c>
      <c r="Y145" s="320" t="str">
        <f aca="false">IF($A145="N/A"," ",$U145*(8*($BR145))*O145)</f>
        <v> </v>
      </c>
      <c r="Z145" s="320" t="str">
        <f aca="false">IF($A145="N/A"," ",$U145*(8*($BR145))*P145)</f>
        <v> </v>
      </c>
      <c r="AA145" s="320" t="str">
        <f aca="false">IF($A145="N/A"," ",$U145*(8*($BR145))*Q145)</f>
        <v> </v>
      </c>
      <c r="AB145" s="320" t="str">
        <f aca="false">IF($A145="N/A"," ",$U145*(8*($BS145))*R145)</f>
        <v> </v>
      </c>
      <c r="AC145" s="320" t="str">
        <f aca="false">IF($A145="N/A"," ",$U145*(8*($BS145))*S145)</f>
        <v> </v>
      </c>
      <c r="AD145" s="320" t="str">
        <f aca="false">IF($A145="N/A"," ",$U145*(8*($BS145))*T145)</f>
        <v> </v>
      </c>
      <c r="AE145" s="320" t="str">
        <f aca="false">IF($A145="N/A"," ",SUM(V145:AD145))</f>
        <v> </v>
      </c>
      <c r="AF145" s="321" t="str">
        <f aca="false">IF(A145="N/A"," ",(VLOOKUP(A145,PowerVolTable,(IF(VolBMO2=2,7,IF(VolBMO2=1,6,8))),FALSE())))</f>
        <v> </v>
      </c>
      <c r="AG145" s="321" t="str">
        <f aca="false">IF(A145="N/A"," ",(VLOOKUP(A145,IntraPowerVol,(IF(VolBMO2=2,3,IF(VolBMO2=1,2,4))),FALSE())*VLOOKUP(MONTH($A145),Volscale,2)))</f>
        <v> </v>
      </c>
      <c r="AH145" s="321" t="str">
        <f aca="false">IF($A145="N/A"," ",IF(VolType2=1,AG145,AF145))</f>
        <v> </v>
      </c>
      <c r="AI145" s="321" t="str">
        <f aca="false">IF($A145="N/A"," ",(VLOOKUP($A145,OffPwrVolTable,(IF(VolBMO2=2,7,IF(VolBMO2=1,6,8))),FALSE())))</f>
        <v> </v>
      </c>
      <c r="AJ145" s="321" t="str">
        <f aca="false">IF($A145="N/A"," ",(VLOOKUP($A145,OffPwrVolTable,(IF(VolBMO2=2,3,IF(VolBMO2=1,2,4))),FALSE())*VLOOKUP(MONTH($A145),Volscale,2)))</f>
        <v> </v>
      </c>
      <c r="AK145" s="321" t="str">
        <f aca="false">IF($A145="N/A"," ",IF(VolType2=1,AJ145,AI145))</f>
        <v> </v>
      </c>
      <c r="AL145" s="321" t="str">
        <f aca="false">IF($A145="N/A"," ",IF(PV=1,0,'Pricing Inputs2'!R178))</f>
        <v> </v>
      </c>
      <c r="AM145" s="323" t="str">
        <f aca="false">IF($A145="N/A"," ",(1+AL145/2)^(-2*((EOMONTH(A145,0)+20)-DateToday)/365.25))</f>
        <v> </v>
      </c>
      <c r="BQ145" s="0" t="str">
        <f aca="false">IF($A145="N/A"," ",(VLOOKUP($A145,NumberofDaysTable,2)))</f>
        <v> </v>
      </c>
      <c r="BR145" s="0" t="str">
        <f aca="false">IF($A145="N/A"," ",(VLOOKUP($A145,NumberofDaysTable,3)))</f>
        <v> </v>
      </c>
      <c r="BS145" s="0" t="str">
        <f aca="false">IF($A145="N/A"," ",(VLOOKUP($A145,NumberofDaysTable,4)))</f>
        <v> </v>
      </c>
    </row>
    <row r="146" customFormat="false" ht="12.75" hidden="false" customHeight="false" outlineLevel="0" collapsed="false">
      <c r="A146" s="315" t="str">
        <f aca="false">IF(A145="N/A","N/A",IF(EDATE(A145,1)&gt;Inputs!$P$5,"N/A",EDATE(A145,1)))</f>
        <v>N/A</v>
      </c>
      <c r="B146" s="316" t="str">
        <f aca="false">IF(A146="N/A"," ",YEAR(A146))</f>
        <v> </v>
      </c>
      <c r="C146" s="317" t="str">
        <f aca="false">IF($A146="N/A"," ",IF(Dayrun2=10,0,IF(Scaler2=1,(VLOOKUP(A146,ScaledPrice2,4)),(VLOOKUP(A146,ScaledPrice2,2)))))</f>
        <v> </v>
      </c>
      <c r="D146" s="317" t="str">
        <f aca="false">IF(A146="N/A"," ",IF(Dayrun2&gt;=7,0,IF(Scaler2=2,VLOOKUP(A146,ScaledPrice2,2),(VLOOKUP(A146,ScaledPrice2,2))*(2-(VLOOKUP(A146,ScaledPrice2,3))))))</f>
        <v> </v>
      </c>
      <c r="E146" s="317" t="str">
        <f aca="false">IF($A146="N/A"," ",IF(AND(Dayrun2&gt;=4,Dayrun2&lt;=9),0,VLOOKUP($A146,ScaledPrice2,9)))</f>
        <v> </v>
      </c>
      <c r="F146" s="317" t="str">
        <f aca="false">IF(A146="N/A"," ",IF(OR(Dayrun2=2,Dayrun2=3,Dayrun2=5,Dayrun2=6,Dayrun2=8,Dayrun2=9),VLOOKUP(A146,ScaledPrice2,IF(Scaler2=1,6,5)),0))</f>
        <v> </v>
      </c>
      <c r="G146" s="317" t="str">
        <f aca="false">IF(A146="N/A"," ",IF(OR(Dayrun2=2,Dayrun2=3,Dayrun2=5,Dayrun2=6),IF(Scaler2=2,F146,(VLOOKUP(A146,ScaledPrice2,5))*(2-(VLOOKUP(A146,ScaledPrice2,3)))),0))</f>
        <v> </v>
      </c>
      <c r="H146" s="317" t="str">
        <f aca="false">IF($A146="N/A"," ",IF(OR(Dayrun2=2,Dayrun2=3,Dayrun2=10),VLOOKUP($A146,ScaledPrice2,9),0))</f>
        <v> </v>
      </c>
      <c r="I146" s="317" t="str">
        <f aca="false">IF(A146="N/A"," ",IF(OR(Dayrun2=3,Dayrun2=6,Dayrun2=9),(VLOOKUP(A146,ScaledPrice2,IF(Scaler2=2,7,8))),0))</f>
        <v> </v>
      </c>
      <c r="J146" s="317" t="str">
        <f aca="false">IF(A146="N/A"," ",IF(OR(Dayrun2=3,Dayrun2=6),IF(Scaler2=2,I146,(VLOOKUP(A146,ScaledPrice2,7))*(2-(VLOOKUP(A146,ScaledPrice2,3)))),0))</f>
        <v> </v>
      </c>
      <c r="K146" s="317" t="str">
        <f aca="false">IF($A146="N/A"," ",IF(OR(Dayrun2=3,Dayrun2=10),VLOOKUP($A146,ScaledPrice2,9),0))</f>
        <v> </v>
      </c>
      <c r="L146" s="318" t="str">
        <f aca="false">IF($A146="N/A"," ",IF(Pricetype2=2,MAX(C146,0),IF(OR(Pricetype2=1,Pricetype2=4),IF(C146=0,0,(EURO(C146,Strikeprice2,0,0,($AH146+IF(Smile=TRUE(),VLOOKUP(MAX(-5,Strikeprice2-C146),Volsmile,2),0)),($A146-DateToday)+15,IF(Pricetype2=1,1,0),0))),C146)))</f>
        <v> </v>
      </c>
      <c r="M146" s="318" t="str">
        <f aca="false">IF($A146="N/A"," ",IF(Pricetype2=2,MAX(D146,0),IF(OR(Pricetype2=1,Pricetype2=4),IF(D146=0,0,(EURO(D146,Strikeprice2,0,0,($AH146+IF(Smile=TRUE(),VLOOKUP(MAX(-5,Strikeprice2-D146),Volsmile,2),0)),($A146-DateToday)+15,IF(Pricetype2=1,1,0),0))),D146)))</f>
        <v> </v>
      </c>
      <c r="N146" s="318" t="str">
        <f aca="false">IF($A146="N/A"," ",IF(Pricetype2=2,MAX(E146,0),IF(OR(Pricetype2=1,Pricetype2=4),IF(E146=0,0,(EURO(E146,Strikeprice2,0,0,($AK146+IF(Smile=TRUE(),VLOOKUP(MAX(-5,Strikeprice2-E146),Volsmile,2),0)),($A146-DateToday)+15,IF(Pricetype2=1,1,0),0))),E146)))</f>
        <v> </v>
      </c>
      <c r="O146" s="318" t="str">
        <f aca="false">IF($A146="N/A"," ",IF(Pricetype2=2,MAX(F146,0),IF(OR(Pricetype2=1,Pricetype2=4),IF(F146=0,0,(EURO(F146,Strikeprice2,0,0,($AK146+IF(Smile=TRUE(),VLOOKUP(MAX(-5,Strikeprice2-F146),Volsmile,2),0)),($A146-DateToday)+15,IF(Pricetype2=1,1,0),0))),F146)))</f>
        <v> </v>
      </c>
      <c r="P146" s="318" t="str">
        <f aca="false">IF($A146="N/A"," ",IF(Pricetype2=2,MAX(G146,0),IF(OR(Pricetype2=1,Pricetype2=4),IF(G146=0,0,(EURO(G146,Strikeprice2,0,0,($AK146+IF(Smile=TRUE(),VLOOKUP(MAX(-5,Strikeprice2-G146),Volsmile,2),0)),($A146-DateToday)+15,IF(Pricetype2=1,1,0),0))),G146)))</f>
        <v> </v>
      </c>
      <c r="Q146" s="318" t="str">
        <f aca="false">IF($A146="N/A"," ",IF(Pricetype2=2,MAX(H146,0),IF(OR(Pricetype2=1,Pricetype2=4),IF(H146=0,0,(EURO(H146,Strikeprice2,0,0,($AK146+IF(Smile=TRUE(),VLOOKUP(MAX(-5,Strikeprice2-H146),Volsmile,2),0)),($A146-DateToday)+15,IF(Pricetype2=1,1,0),0))),H146)))</f>
        <v> </v>
      </c>
      <c r="R146" s="318" t="str">
        <f aca="false">IF($A146="N/A"," ",IF(Pricetype2=2,MAX(I146,0),IF(OR(Pricetype2=1,Pricetype2=4),IF(I146=0,0,(EURO(I146,Strikeprice2,0,0,($AK146+IF(Smile=TRUE(),VLOOKUP(MAX(-5,Strikeprice2-I146),Volsmile,2),0)),($A146-DateToday)+15,IF(Pricetype2=1,1,0),0))),I146)))</f>
        <v> </v>
      </c>
      <c r="S146" s="318" t="str">
        <f aca="false">IF($A146="N/A"," ",IF(Pricetype2=2,MAX(J146,0),IF(OR(Pricetype2=1,Pricetype2=4),IF(J146=0,0,(EURO(J146,Strikeprice2,0,0,($AK146+IF(Smile=TRUE(),VLOOKUP(MAX(-5,Strikeprice2-J146),Volsmile,2),0)),($A146-DateToday)+15,IF(Pricetype2=1,1,0),0))),J146)))</f>
        <v> </v>
      </c>
      <c r="T146" s="318" t="str">
        <f aca="false">IF($A146="N/A"," ",IF(Pricetype2=2,MAX(K146,0),IF(OR(Pricetype2=1,Pricetype2=4),IF(K146=0,0,(EURO(K146,Strikeprice2,0,0,($AK146+IF(Smile=TRUE(),VLOOKUP(MAX(-5,Strikeprice2-K146),Volsmile,2),0)),($A146-DateToday)+15,IF(Pricetype2=1,1,0),0))),K146)))</f>
        <v> </v>
      </c>
      <c r="U146" s="319" t="str">
        <f aca="false">IF($A146="N/A"," ",Volume2*$AM146)</f>
        <v> </v>
      </c>
      <c r="V146" s="320" t="str">
        <f aca="false">IF($A146="N/A"," ",$U146*(8*($BQ146))*L146)</f>
        <v> </v>
      </c>
      <c r="W146" s="320" t="str">
        <f aca="false">IF($A146="N/A"," ",$U146*(8*($BQ146))*M146)</f>
        <v> </v>
      </c>
      <c r="X146" s="320" t="str">
        <f aca="false">IF($A146="N/A"," ",$U146*(8*($BQ146))*N146)</f>
        <v> </v>
      </c>
      <c r="Y146" s="320" t="str">
        <f aca="false">IF($A146="N/A"," ",$U146*(8*($BR146))*O146)</f>
        <v> </v>
      </c>
      <c r="Z146" s="320" t="str">
        <f aca="false">IF($A146="N/A"," ",$U146*(8*($BR146))*P146)</f>
        <v> </v>
      </c>
      <c r="AA146" s="320" t="str">
        <f aca="false">IF($A146="N/A"," ",$U146*(8*($BR146))*Q146)</f>
        <v> </v>
      </c>
      <c r="AB146" s="320" t="str">
        <f aca="false">IF($A146="N/A"," ",$U146*(8*($BS146))*R146)</f>
        <v> </v>
      </c>
      <c r="AC146" s="320" t="str">
        <f aca="false">IF($A146="N/A"," ",$U146*(8*($BS146))*S146)</f>
        <v> </v>
      </c>
      <c r="AD146" s="320" t="str">
        <f aca="false">IF($A146="N/A"," ",$U146*(8*($BS146))*T146)</f>
        <v> </v>
      </c>
      <c r="AE146" s="320" t="str">
        <f aca="false">IF($A146="N/A"," ",SUM(V146:AD146))</f>
        <v> </v>
      </c>
      <c r="AF146" s="321" t="str">
        <f aca="false">IF(A146="N/A"," ",(VLOOKUP(A146,PowerVolTable,(IF(VolBMO2=2,7,IF(VolBMO2=1,6,8))),FALSE())))</f>
        <v> </v>
      </c>
      <c r="AG146" s="321" t="str">
        <f aca="false">IF(A146="N/A"," ",(VLOOKUP(A146,IntraPowerVol,(IF(VolBMO2=2,3,IF(VolBMO2=1,2,4))),FALSE())*VLOOKUP(MONTH($A146),Volscale,2)))</f>
        <v> </v>
      </c>
      <c r="AH146" s="321" t="str">
        <f aca="false">IF($A146="N/A"," ",IF(VolType2=1,AG146,AF146))</f>
        <v> </v>
      </c>
      <c r="AI146" s="321" t="str">
        <f aca="false">IF($A146="N/A"," ",(VLOOKUP($A146,OffPwrVolTable,(IF(VolBMO2=2,7,IF(VolBMO2=1,6,8))),FALSE())))</f>
        <v> </v>
      </c>
      <c r="AJ146" s="321" t="str">
        <f aca="false">IF($A146="N/A"," ",(VLOOKUP($A146,OffPwrVolTable,(IF(VolBMO2=2,3,IF(VolBMO2=1,2,4))),FALSE())*VLOOKUP(MONTH($A146),Volscale,2)))</f>
        <v> </v>
      </c>
      <c r="AK146" s="321" t="str">
        <f aca="false">IF($A146="N/A"," ",IF(VolType2=1,AJ146,AI146))</f>
        <v> </v>
      </c>
      <c r="AL146" s="321" t="str">
        <f aca="false">IF($A146="N/A"," ",IF(PV=1,0,'Pricing Inputs2'!R179))</f>
        <v> </v>
      </c>
      <c r="AM146" s="323" t="str">
        <f aca="false">IF($A146="N/A"," ",(1+AL146/2)^(-2*((EOMONTH(A146,0)+20)-DateToday)/365.25))</f>
        <v> </v>
      </c>
      <c r="BQ146" s="0" t="str">
        <f aca="false">IF($A146="N/A"," ",(VLOOKUP($A146,NumberofDaysTable,2)))</f>
        <v> </v>
      </c>
      <c r="BR146" s="0" t="str">
        <f aca="false">IF($A146="N/A"," ",(VLOOKUP($A146,NumberofDaysTable,3)))</f>
        <v> </v>
      </c>
      <c r="BS146" s="0" t="str">
        <f aca="false">IF($A146="N/A"," ",(VLOOKUP($A146,NumberofDaysTable,4)))</f>
        <v> </v>
      </c>
    </row>
    <row r="147" customFormat="false" ht="12.75" hidden="false" customHeight="false" outlineLevel="0" collapsed="false">
      <c r="A147" s="315" t="str">
        <f aca="false">IF(A146="N/A","N/A",IF(EDATE(A146,1)&gt;Inputs!$P$5,"N/A",EDATE(A146,1)))</f>
        <v>N/A</v>
      </c>
      <c r="B147" s="316" t="str">
        <f aca="false">IF(A147="N/A"," ",YEAR(A147))</f>
        <v> </v>
      </c>
      <c r="C147" s="317" t="str">
        <f aca="false">IF($A147="N/A"," ",IF(Dayrun2=10,0,IF(Scaler2=1,(VLOOKUP(A147,ScaledPrice2,4)),(VLOOKUP(A147,ScaledPrice2,2)))))</f>
        <v> </v>
      </c>
      <c r="D147" s="317" t="str">
        <f aca="false">IF(A147="N/A"," ",IF(Dayrun2&gt;=7,0,IF(Scaler2=2,VLOOKUP(A147,ScaledPrice2,2),(VLOOKUP(A147,ScaledPrice2,2))*(2-(VLOOKUP(A147,ScaledPrice2,3))))))</f>
        <v> </v>
      </c>
      <c r="E147" s="317" t="str">
        <f aca="false">IF($A147="N/A"," ",IF(AND(Dayrun2&gt;=4,Dayrun2&lt;=9),0,VLOOKUP($A147,ScaledPrice2,9)))</f>
        <v> </v>
      </c>
      <c r="F147" s="317" t="str">
        <f aca="false">IF(A147="N/A"," ",IF(OR(Dayrun2=2,Dayrun2=3,Dayrun2=5,Dayrun2=6,Dayrun2=8,Dayrun2=9),VLOOKUP(A147,ScaledPrice2,IF(Scaler2=1,6,5)),0))</f>
        <v> </v>
      </c>
      <c r="G147" s="317" t="str">
        <f aca="false">IF(A147="N/A"," ",IF(OR(Dayrun2=2,Dayrun2=3,Dayrun2=5,Dayrun2=6),IF(Scaler2=2,F147,(VLOOKUP(A147,ScaledPrice2,5))*(2-(VLOOKUP(A147,ScaledPrice2,3)))),0))</f>
        <v> </v>
      </c>
      <c r="H147" s="317" t="str">
        <f aca="false">IF($A147="N/A"," ",IF(OR(Dayrun2=2,Dayrun2=3,Dayrun2=10),VLOOKUP($A147,ScaledPrice2,9),0))</f>
        <v> </v>
      </c>
      <c r="I147" s="317" t="str">
        <f aca="false">IF(A147="N/A"," ",IF(OR(Dayrun2=3,Dayrun2=6,Dayrun2=9),(VLOOKUP(A147,ScaledPrice2,IF(Scaler2=2,7,8))),0))</f>
        <v> </v>
      </c>
      <c r="J147" s="317" t="str">
        <f aca="false">IF(A147="N/A"," ",IF(OR(Dayrun2=3,Dayrun2=6),IF(Scaler2=2,I147,(VLOOKUP(A147,ScaledPrice2,7))*(2-(VLOOKUP(A147,ScaledPrice2,3)))),0))</f>
        <v> </v>
      </c>
      <c r="K147" s="317" t="str">
        <f aca="false">IF($A147="N/A"," ",IF(OR(Dayrun2=3,Dayrun2=10),VLOOKUP($A147,ScaledPrice2,9),0))</f>
        <v> </v>
      </c>
      <c r="L147" s="318" t="str">
        <f aca="false">IF($A147="N/A"," ",IF(Pricetype2=2,MAX(C147,0),IF(OR(Pricetype2=1,Pricetype2=4),IF(C147=0,0,(EURO(C147,Strikeprice2,0,0,($AH147+IF(Smile=TRUE(),VLOOKUP(MAX(-5,Strikeprice2-C147),Volsmile,2),0)),($A147-DateToday)+15,IF(Pricetype2=1,1,0),0))),C147)))</f>
        <v> </v>
      </c>
      <c r="M147" s="318" t="str">
        <f aca="false">IF($A147="N/A"," ",IF(Pricetype2=2,MAX(D147,0),IF(OR(Pricetype2=1,Pricetype2=4),IF(D147=0,0,(EURO(D147,Strikeprice2,0,0,($AH147+IF(Smile=TRUE(),VLOOKUP(MAX(-5,Strikeprice2-D147),Volsmile,2),0)),($A147-DateToday)+15,IF(Pricetype2=1,1,0),0))),D147)))</f>
        <v> </v>
      </c>
      <c r="N147" s="318" t="str">
        <f aca="false">IF($A147="N/A"," ",IF(Pricetype2=2,MAX(E147,0),IF(OR(Pricetype2=1,Pricetype2=4),IF(E147=0,0,(EURO(E147,Strikeprice2,0,0,($AK147+IF(Smile=TRUE(),VLOOKUP(MAX(-5,Strikeprice2-E147),Volsmile,2),0)),($A147-DateToday)+15,IF(Pricetype2=1,1,0),0))),E147)))</f>
        <v> </v>
      </c>
      <c r="O147" s="318" t="str">
        <f aca="false">IF($A147="N/A"," ",IF(Pricetype2=2,MAX(F147,0),IF(OR(Pricetype2=1,Pricetype2=4),IF(F147=0,0,(EURO(F147,Strikeprice2,0,0,($AK147+IF(Smile=TRUE(),VLOOKUP(MAX(-5,Strikeprice2-F147),Volsmile,2),0)),($A147-DateToday)+15,IF(Pricetype2=1,1,0),0))),F147)))</f>
        <v> </v>
      </c>
      <c r="P147" s="318" t="str">
        <f aca="false">IF($A147="N/A"," ",IF(Pricetype2=2,MAX(G147,0),IF(OR(Pricetype2=1,Pricetype2=4),IF(G147=0,0,(EURO(G147,Strikeprice2,0,0,($AK147+IF(Smile=TRUE(),VLOOKUP(MAX(-5,Strikeprice2-G147),Volsmile,2),0)),($A147-DateToday)+15,IF(Pricetype2=1,1,0),0))),G147)))</f>
        <v> </v>
      </c>
      <c r="Q147" s="318" t="str">
        <f aca="false">IF($A147="N/A"," ",IF(Pricetype2=2,MAX(H147,0),IF(OR(Pricetype2=1,Pricetype2=4),IF(H147=0,0,(EURO(H147,Strikeprice2,0,0,($AK147+IF(Smile=TRUE(),VLOOKUP(MAX(-5,Strikeprice2-H147),Volsmile,2),0)),($A147-DateToday)+15,IF(Pricetype2=1,1,0),0))),H147)))</f>
        <v> </v>
      </c>
      <c r="R147" s="318" t="str">
        <f aca="false">IF($A147="N/A"," ",IF(Pricetype2=2,MAX(I147,0),IF(OR(Pricetype2=1,Pricetype2=4),IF(I147=0,0,(EURO(I147,Strikeprice2,0,0,($AK147+IF(Smile=TRUE(),VLOOKUP(MAX(-5,Strikeprice2-I147),Volsmile,2),0)),($A147-DateToday)+15,IF(Pricetype2=1,1,0),0))),I147)))</f>
        <v> </v>
      </c>
      <c r="S147" s="318" t="str">
        <f aca="false">IF($A147="N/A"," ",IF(Pricetype2=2,MAX(J147,0),IF(OR(Pricetype2=1,Pricetype2=4),IF(J147=0,0,(EURO(J147,Strikeprice2,0,0,($AK147+IF(Smile=TRUE(),VLOOKUP(MAX(-5,Strikeprice2-J147),Volsmile,2),0)),($A147-DateToday)+15,IF(Pricetype2=1,1,0),0))),J147)))</f>
        <v> </v>
      </c>
      <c r="T147" s="318" t="str">
        <f aca="false">IF($A147="N/A"," ",IF(Pricetype2=2,MAX(K147,0),IF(OR(Pricetype2=1,Pricetype2=4),IF(K147=0,0,(EURO(K147,Strikeprice2,0,0,($AK147+IF(Smile=TRUE(),VLOOKUP(MAX(-5,Strikeprice2-K147),Volsmile,2),0)),($A147-DateToday)+15,IF(Pricetype2=1,1,0),0))),K147)))</f>
        <v> </v>
      </c>
      <c r="U147" s="319" t="str">
        <f aca="false">IF($A147="N/A"," ",Volume2*$AM147)</f>
        <v> </v>
      </c>
      <c r="V147" s="320" t="str">
        <f aca="false">IF($A147="N/A"," ",$U147*(8*($BQ147))*L147)</f>
        <v> </v>
      </c>
      <c r="W147" s="320" t="str">
        <f aca="false">IF($A147="N/A"," ",$U147*(8*($BQ147))*M147)</f>
        <v> </v>
      </c>
      <c r="X147" s="320" t="str">
        <f aca="false">IF($A147="N/A"," ",$U147*(8*($BQ147))*N147)</f>
        <v> </v>
      </c>
      <c r="Y147" s="320" t="str">
        <f aca="false">IF($A147="N/A"," ",$U147*(8*($BR147))*O147)</f>
        <v> </v>
      </c>
      <c r="Z147" s="320" t="str">
        <f aca="false">IF($A147="N/A"," ",$U147*(8*($BR147))*P147)</f>
        <v> </v>
      </c>
      <c r="AA147" s="320" t="str">
        <f aca="false">IF($A147="N/A"," ",$U147*(8*($BR147))*Q147)</f>
        <v> </v>
      </c>
      <c r="AB147" s="320" t="str">
        <f aca="false">IF($A147="N/A"," ",$U147*(8*($BS147))*R147)</f>
        <v> </v>
      </c>
      <c r="AC147" s="320" t="str">
        <f aca="false">IF($A147="N/A"," ",$U147*(8*($BS147))*S147)</f>
        <v> </v>
      </c>
      <c r="AD147" s="320" t="str">
        <f aca="false">IF($A147="N/A"," ",$U147*(8*($BS147))*T147)</f>
        <v> </v>
      </c>
      <c r="AE147" s="320" t="str">
        <f aca="false">IF($A147="N/A"," ",SUM(V147:AD147))</f>
        <v> </v>
      </c>
      <c r="AF147" s="321" t="str">
        <f aca="false">IF(A147="N/A"," ",(VLOOKUP(A147,PowerVolTable,(IF(VolBMO2=2,7,IF(VolBMO2=1,6,8))),FALSE())))</f>
        <v> </v>
      </c>
      <c r="AG147" s="321" t="str">
        <f aca="false">IF(A147="N/A"," ",(VLOOKUP(A147,IntraPowerVol,(IF(VolBMO2=2,3,IF(VolBMO2=1,2,4))),FALSE())*VLOOKUP(MONTH($A147),Volscale,2)))</f>
        <v> </v>
      </c>
      <c r="AH147" s="321" t="str">
        <f aca="false">IF($A147="N/A"," ",IF(VolType2=1,AG147,AF147))</f>
        <v> </v>
      </c>
      <c r="AI147" s="321" t="str">
        <f aca="false">IF($A147="N/A"," ",(VLOOKUP($A147,OffPwrVolTable,(IF(VolBMO2=2,7,IF(VolBMO2=1,6,8))),FALSE())))</f>
        <v> </v>
      </c>
      <c r="AJ147" s="321" t="str">
        <f aca="false">IF($A147="N/A"," ",(VLOOKUP($A147,OffPwrVolTable,(IF(VolBMO2=2,3,IF(VolBMO2=1,2,4))),FALSE())*VLOOKUP(MONTH($A147),Volscale,2)))</f>
        <v> </v>
      </c>
      <c r="AK147" s="321" t="str">
        <f aca="false">IF($A147="N/A"," ",IF(VolType2=1,AJ147,AI147))</f>
        <v> </v>
      </c>
      <c r="AL147" s="321" t="str">
        <f aca="false">IF($A147="N/A"," ",IF(PV=1,0,'Pricing Inputs2'!R180))</f>
        <v> </v>
      </c>
      <c r="AM147" s="323" t="str">
        <f aca="false">IF($A147="N/A"," ",(1+AL147/2)^(-2*((EOMONTH(A147,0)+20)-DateToday)/365.25))</f>
        <v> </v>
      </c>
      <c r="BQ147" s="0" t="str">
        <f aca="false">IF($A147="N/A"," ",(VLOOKUP($A147,NumberofDaysTable,2)))</f>
        <v> </v>
      </c>
      <c r="BR147" s="0" t="str">
        <f aca="false">IF($A147="N/A"," ",(VLOOKUP($A147,NumberofDaysTable,3)))</f>
        <v> </v>
      </c>
      <c r="BS147" s="0" t="str">
        <f aca="false">IF($A147="N/A"," ",(VLOOKUP($A147,NumberofDaysTable,4)))</f>
        <v> </v>
      </c>
    </row>
    <row r="148" customFormat="false" ht="12.75" hidden="false" customHeight="false" outlineLevel="0" collapsed="false">
      <c r="A148" s="315" t="str">
        <f aca="false">IF(A147="N/A","N/A",IF(EDATE(A147,1)&gt;Inputs!$P$5,"N/A",EDATE(A147,1)))</f>
        <v>N/A</v>
      </c>
      <c r="B148" s="316" t="str">
        <f aca="false">IF(A148="N/A"," ",YEAR(A148))</f>
        <v> </v>
      </c>
      <c r="C148" s="317" t="str">
        <f aca="false">IF($A148="N/A"," ",IF(Dayrun2=10,0,IF(Scaler2=1,(VLOOKUP(A148,ScaledPrice2,4)),(VLOOKUP(A148,ScaledPrice2,2)))))</f>
        <v> </v>
      </c>
      <c r="D148" s="317" t="str">
        <f aca="false">IF(A148="N/A"," ",IF(Dayrun2&gt;=7,0,IF(Scaler2=2,VLOOKUP(A148,ScaledPrice2,2),(VLOOKUP(A148,ScaledPrice2,2))*(2-(VLOOKUP(A148,ScaledPrice2,3))))))</f>
        <v> </v>
      </c>
      <c r="E148" s="317" t="str">
        <f aca="false">IF($A148="N/A"," ",IF(AND(Dayrun2&gt;=4,Dayrun2&lt;=9),0,VLOOKUP($A148,ScaledPrice2,9)))</f>
        <v> </v>
      </c>
      <c r="F148" s="317" t="str">
        <f aca="false">IF(A148="N/A"," ",IF(OR(Dayrun2=2,Dayrun2=3,Dayrun2=5,Dayrun2=6,Dayrun2=8,Dayrun2=9),VLOOKUP(A148,ScaledPrice2,IF(Scaler2=1,6,5)),0))</f>
        <v> </v>
      </c>
      <c r="G148" s="317" t="str">
        <f aca="false">IF(A148="N/A"," ",IF(OR(Dayrun2=2,Dayrun2=3,Dayrun2=5,Dayrun2=6),IF(Scaler2=2,F148,(VLOOKUP(A148,ScaledPrice2,5))*(2-(VLOOKUP(A148,ScaledPrice2,3)))),0))</f>
        <v> </v>
      </c>
      <c r="H148" s="317" t="str">
        <f aca="false">IF($A148="N/A"," ",IF(OR(Dayrun2=2,Dayrun2=3,Dayrun2=10),VLOOKUP($A148,ScaledPrice2,9),0))</f>
        <v> </v>
      </c>
      <c r="I148" s="317" t="str">
        <f aca="false">IF(A148="N/A"," ",IF(OR(Dayrun2=3,Dayrun2=6,Dayrun2=9),(VLOOKUP(A148,ScaledPrice2,IF(Scaler2=2,7,8))),0))</f>
        <v> </v>
      </c>
      <c r="J148" s="317" t="str">
        <f aca="false">IF(A148="N/A"," ",IF(OR(Dayrun2=3,Dayrun2=6),IF(Scaler2=2,I148,(VLOOKUP(A148,ScaledPrice2,7))*(2-(VLOOKUP(A148,ScaledPrice2,3)))),0))</f>
        <v> </v>
      </c>
      <c r="K148" s="317" t="str">
        <f aca="false">IF($A148="N/A"," ",IF(OR(Dayrun2=3,Dayrun2=10),VLOOKUP($A148,ScaledPrice2,9),0))</f>
        <v> </v>
      </c>
      <c r="L148" s="318" t="str">
        <f aca="false">IF($A148="N/A"," ",IF(Pricetype2=2,MAX(C148,0),IF(OR(Pricetype2=1,Pricetype2=4),IF(C148=0,0,(EURO(C148,Strikeprice2,0,0,($AH148+IF(Smile=TRUE(),VLOOKUP(MAX(-5,Strikeprice2-C148),Volsmile,2),0)),($A148-DateToday)+15,IF(Pricetype2=1,1,0),0))),C148)))</f>
        <v> </v>
      </c>
      <c r="M148" s="318" t="str">
        <f aca="false">IF($A148="N/A"," ",IF(Pricetype2=2,MAX(D148,0),IF(OR(Pricetype2=1,Pricetype2=4),IF(D148=0,0,(EURO(D148,Strikeprice2,0,0,($AH148+IF(Smile=TRUE(),VLOOKUP(MAX(-5,Strikeprice2-D148),Volsmile,2),0)),($A148-DateToday)+15,IF(Pricetype2=1,1,0),0))),D148)))</f>
        <v> </v>
      </c>
      <c r="N148" s="318" t="str">
        <f aca="false">IF($A148="N/A"," ",IF(Pricetype2=2,MAX(E148,0),IF(OR(Pricetype2=1,Pricetype2=4),IF(E148=0,0,(EURO(E148,Strikeprice2,0,0,($AK148+IF(Smile=TRUE(),VLOOKUP(MAX(-5,Strikeprice2-E148),Volsmile,2),0)),($A148-DateToday)+15,IF(Pricetype2=1,1,0),0))),E148)))</f>
        <v> </v>
      </c>
      <c r="O148" s="318" t="str">
        <f aca="false">IF($A148="N/A"," ",IF(Pricetype2=2,MAX(F148,0),IF(OR(Pricetype2=1,Pricetype2=4),IF(F148=0,0,(EURO(F148,Strikeprice2,0,0,($AK148+IF(Smile=TRUE(),VLOOKUP(MAX(-5,Strikeprice2-F148),Volsmile,2),0)),($A148-DateToday)+15,IF(Pricetype2=1,1,0),0))),F148)))</f>
        <v> </v>
      </c>
      <c r="P148" s="318" t="str">
        <f aca="false">IF($A148="N/A"," ",IF(Pricetype2=2,MAX(G148,0),IF(OR(Pricetype2=1,Pricetype2=4),IF(G148=0,0,(EURO(G148,Strikeprice2,0,0,($AK148+IF(Smile=TRUE(),VLOOKUP(MAX(-5,Strikeprice2-G148),Volsmile,2),0)),($A148-DateToday)+15,IF(Pricetype2=1,1,0),0))),G148)))</f>
        <v> </v>
      </c>
      <c r="Q148" s="318" t="str">
        <f aca="false">IF($A148="N/A"," ",IF(Pricetype2=2,MAX(H148,0),IF(OR(Pricetype2=1,Pricetype2=4),IF(H148=0,0,(EURO(H148,Strikeprice2,0,0,($AK148+IF(Smile=TRUE(),VLOOKUP(MAX(-5,Strikeprice2-H148),Volsmile,2),0)),($A148-DateToday)+15,IF(Pricetype2=1,1,0),0))),H148)))</f>
        <v> </v>
      </c>
      <c r="R148" s="318" t="str">
        <f aca="false">IF($A148="N/A"," ",IF(Pricetype2=2,MAX(I148,0),IF(OR(Pricetype2=1,Pricetype2=4),IF(I148=0,0,(EURO(I148,Strikeprice2,0,0,($AK148+IF(Smile=TRUE(),VLOOKUP(MAX(-5,Strikeprice2-I148),Volsmile,2),0)),($A148-DateToday)+15,IF(Pricetype2=1,1,0),0))),I148)))</f>
        <v> </v>
      </c>
      <c r="S148" s="318" t="str">
        <f aca="false">IF($A148="N/A"," ",IF(Pricetype2=2,MAX(J148,0),IF(OR(Pricetype2=1,Pricetype2=4),IF(J148=0,0,(EURO(J148,Strikeprice2,0,0,($AK148+IF(Smile=TRUE(),VLOOKUP(MAX(-5,Strikeprice2-J148),Volsmile,2),0)),($A148-DateToday)+15,IF(Pricetype2=1,1,0),0))),J148)))</f>
        <v> </v>
      </c>
      <c r="T148" s="318" t="str">
        <f aca="false">IF($A148="N/A"," ",IF(Pricetype2=2,MAX(K148,0),IF(OR(Pricetype2=1,Pricetype2=4),IF(K148=0,0,(EURO(K148,Strikeprice2,0,0,($AK148+IF(Smile=TRUE(),VLOOKUP(MAX(-5,Strikeprice2-K148),Volsmile,2),0)),($A148-DateToday)+15,IF(Pricetype2=1,1,0),0))),K148)))</f>
        <v> </v>
      </c>
      <c r="U148" s="319" t="str">
        <f aca="false">IF($A148="N/A"," ",Volume2*$AM148)</f>
        <v> </v>
      </c>
      <c r="V148" s="320" t="str">
        <f aca="false">IF($A148="N/A"," ",$U148*(8*($BQ148))*L148)</f>
        <v> </v>
      </c>
      <c r="W148" s="320" t="str">
        <f aca="false">IF($A148="N/A"," ",$U148*(8*($BQ148))*M148)</f>
        <v> </v>
      </c>
      <c r="X148" s="320" t="str">
        <f aca="false">IF($A148="N/A"," ",$U148*(8*($BQ148))*N148)</f>
        <v> </v>
      </c>
      <c r="Y148" s="320" t="str">
        <f aca="false">IF($A148="N/A"," ",$U148*(8*($BR148))*O148)</f>
        <v> </v>
      </c>
      <c r="Z148" s="320" t="str">
        <f aca="false">IF($A148="N/A"," ",$U148*(8*($BR148))*P148)</f>
        <v> </v>
      </c>
      <c r="AA148" s="320" t="str">
        <f aca="false">IF($A148="N/A"," ",$U148*(8*($BR148))*Q148)</f>
        <v> </v>
      </c>
      <c r="AB148" s="320" t="str">
        <f aca="false">IF($A148="N/A"," ",$U148*(8*($BS148))*R148)</f>
        <v> </v>
      </c>
      <c r="AC148" s="320" t="str">
        <f aca="false">IF($A148="N/A"," ",$U148*(8*($BS148))*S148)</f>
        <v> </v>
      </c>
      <c r="AD148" s="320" t="str">
        <f aca="false">IF($A148="N/A"," ",$U148*(8*($BS148))*T148)</f>
        <v> </v>
      </c>
      <c r="AE148" s="320" t="str">
        <f aca="false">IF($A148="N/A"," ",SUM(V148:AD148))</f>
        <v> </v>
      </c>
      <c r="AF148" s="321" t="str">
        <f aca="false">IF(A148="N/A"," ",(VLOOKUP(A148,PowerVolTable,(IF(VolBMO2=2,7,IF(VolBMO2=1,6,8))),FALSE())))</f>
        <v> </v>
      </c>
      <c r="AG148" s="321" t="str">
        <f aca="false">IF(A148="N/A"," ",(VLOOKUP(A148,IntraPowerVol,(IF(VolBMO2=2,3,IF(VolBMO2=1,2,4))),FALSE())*VLOOKUP(MONTH($A148),Volscale,2)))</f>
        <v> </v>
      </c>
      <c r="AH148" s="321" t="str">
        <f aca="false">IF($A148="N/A"," ",IF(VolType2=1,AG148,AF148))</f>
        <v> </v>
      </c>
      <c r="AI148" s="321" t="str">
        <f aca="false">IF($A148="N/A"," ",(VLOOKUP($A148,OffPwrVolTable,(IF(VolBMO2=2,7,IF(VolBMO2=1,6,8))),FALSE())))</f>
        <v> </v>
      </c>
      <c r="AJ148" s="321" t="str">
        <f aca="false">IF($A148="N/A"," ",(VLOOKUP($A148,OffPwrVolTable,(IF(VolBMO2=2,3,IF(VolBMO2=1,2,4))),FALSE())*VLOOKUP(MONTH($A148),Volscale,2)))</f>
        <v> </v>
      </c>
      <c r="AK148" s="321" t="str">
        <f aca="false">IF($A148="N/A"," ",IF(VolType2=1,AJ148,AI148))</f>
        <v> </v>
      </c>
      <c r="AL148" s="321" t="str">
        <f aca="false">IF($A148="N/A"," ",IF(PV=1,0,'Pricing Inputs2'!R181))</f>
        <v> </v>
      </c>
      <c r="AM148" s="323" t="str">
        <f aca="false">IF($A148="N/A"," ",(1+AL148/2)^(-2*((EOMONTH(A148,0)+20)-DateToday)/365.25))</f>
        <v> </v>
      </c>
      <c r="BQ148" s="0" t="str">
        <f aca="false">IF($A148="N/A"," ",(VLOOKUP($A148,NumberofDaysTable,2)))</f>
        <v> </v>
      </c>
      <c r="BR148" s="0" t="str">
        <f aca="false">IF($A148="N/A"," ",(VLOOKUP($A148,NumberofDaysTable,3)))</f>
        <v> </v>
      </c>
      <c r="BS148" s="0" t="str">
        <f aca="false">IF($A148="N/A"," ",(VLOOKUP($A148,NumberofDaysTable,4)))</f>
        <v> </v>
      </c>
    </row>
    <row r="149" customFormat="false" ht="12.75" hidden="false" customHeight="false" outlineLevel="0" collapsed="false">
      <c r="A149" s="315" t="str">
        <f aca="false">IF(A148="N/A","N/A",IF(EDATE(A148,1)&gt;Inputs!$P$5,"N/A",EDATE(A148,1)))</f>
        <v>N/A</v>
      </c>
      <c r="B149" s="316" t="str">
        <f aca="false">IF(A149="N/A"," ",YEAR(A149))</f>
        <v> </v>
      </c>
      <c r="C149" s="317" t="str">
        <f aca="false">IF($A149="N/A"," ",IF(Dayrun2=10,0,IF(Scaler2=1,(VLOOKUP(A149,ScaledPrice2,4)),(VLOOKUP(A149,ScaledPrice2,2)))))</f>
        <v> </v>
      </c>
      <c r="D149" s="317" t="str">
        <f aca="false">IF(A149="N/A"," ",IF(Dayrun2&gt;=7,0,IF(Scaler2=2,VLOOKUP(A149,ScaledPrice2,2),(VLOOKUP(A149,ScaledPrice2,2))*(2-(VLOOKUP(A149,ScaledPrice2,3))))))</f>
        <v> </v>
      </c>
      <c r="E149" s="317" t="str">
        <f aca="false">IF($A149="N/A"," ",IF(AND(Dayrun2&gt;=4,Dayrun2&lt;=9),0,VLOOKUP($A149,ScaledPrice2,9)))</f>
        <v> </v>
      </c>
      <c r="F149" s="317" t="str">
        <f aca="false">IF(A149="N/A"," ",IF(OR(Dayrun2=2,Dayrun2=3,Dayrun2=5,Dayrun2=6,Dayrun2=8,Dayrun2=9),VLOOKUP(A149,ScaledPrice2,IF(Scaler2=1,6,5)),0))</f>
        <v> </v>
      </c>
      <c r="G149" s="317" t="str">
        <f aca="false">IF(A149="N/A"," ",IF(OR(Dayrun2=2,Dayrun2=3,Dayrun2=5,Dayrun2=6),IF(Scaler2=2,F149,(VLOOKUP(A149,ScaledPrice2,5))*(2-(VLOOKUP(A149,ScaledPrice2,3)))),0))</f>
        <v> </v>
      </c>
      <c r="H149" s="317" t="str">
        <f aca="false">IF($A149="N/A"," ",IF(OR(Dayrun2=2,Dayrun2=3,Dayrun2=10),VLOOKUP($A149,ScaledPrice2,9),0))</f>
        <v> </v>
      </c>
      <c r="I149" s="317" t="str">
        <f aca="false">IF(A149="N/A"," ",IF(OR(Dayrun2=3,Dayrun2=6,Dayrun2=9),(VLOOKUP(A149,ScaledPrice2,IF(Scaler2=2,7,8))),0))</f>
        <v> </v>
      </c>
      <c r="J149" s="317" t="str">
        <f aca="false">IF(A149="N/A"," ",IF(OR(Dayrun2=3,Dayrun2=6),IF(Scaler2=2,I149,(VLOOKUP(A149,ScaledPrice2,7))*(2-(VLOOKUP(A149,ScaledPrice2,3)))),0))</f>
        <v> </v>
      </c>
      <c r="K149" s="317" t="str">
        <f aca="false">IF($A149="N/A"," ",IF(OR(Dayrun2=3,Dayrun2=10),VLOOKUP($A149,ScaledPrice2,9),0))</f>
        <v> </v>
      </c>
      <c r="L149" s="318" t="str">
        <f aca="false">IF($A149="N/A"," ",IF(Pricetype2=2,MAX(C149,0),IF(OR(Pricetype2=1,Pricetype2=4),IF(C149=0,0,(EURO(C149,Strikeprice2,0,0,($AH149+IF(Smile=TRUE(),VLOOKUP(MAX(-5,Strikeprice2-C149),Volsmile,2),0)),($A149-DateToday)+15,IF(Pricetype2=1,1,0),0))),C149)))</f>
        <v> </v>
      </c>
      <c r="M149" s="318" t="str">
        <f aca="false">IF($A149="N/A"," ",IF(Pricetype2=2,MAX(D149,0),IF(OR(Pricetype2=1,Pricetype2=4),IF(D149=0,0,(EURO(D149,Strikeprice2,0,0,($AH149+IF(Smile=TRUE(),VLOOKUP(MAX(-5,Strikeprice2-D149),Volsmile,2),0)),($A149-DateToday)+15,IF(Pricetype2=1,1,0),0))),D149)))</f>
        <v> </v>
      </c>
      <c r="N149" s="318" t="str">
        <f aca="false">IF($A149="N/A"," ",IF(Pricetype2=2,MAX(E149,0),IF(OR(Pricetype2=1,Pricetype2=4),IF(E149=0,0,(EURO(E149,Strikeprice2,0,0,($AK149+IF(Smile=TRUE(),VLOOKUP(MAX(-5,Strikeprice2-E149),Volsmile,2),0)),($A149-DateToday)+15,IF(Pricetype2=1,1,0),0))),E149)))</f>
        <v> </v>
      </c>
      <c r="O149" s="318" t="str">
        <f aca="false">IF($A149="N/A"," ",IF(Pricetype2=2,MAX(F149,0),IF(OR(Pricetype2=1,Pricetype2=4),IF(F149=0,0,(EURO(F149,Strikeprice2,0,0,($AK149+IF(Smile=TRUE(),VLOOKUP(MAX(-5,Strikeprice2-F149),Volsmile,2),0)),($A149-DateToday)+15,IF(Pricetype2=1,1,0),0))),F149)))</f>
        <v> </v>
      </c>
      <c r="P149" s="318" t="str">
        <f aca="false">IF($A149="N/A"," ",IF(Pricetype2=2,MAX(G149,0),IF(OR(Pricetype2=1,Pricetype2=4),IF(G149=0,0,(EURO(G149,Strikeprice2,0,0,($AK149+IF(Smile=TRUE(),VLOOKUP(MAX(-5,Strikeprice2-G149),Volsmile,2),0)),($A149-DateToday)+15,IF(Pricetype2=1,1,0),0))),G149)))</f>
        <v> </v>
      </c>
      <c r="Q149" s="318" t="str">
        <f aca="false">IF($A149="N/A"," ",IF(Pricetype2=2,MAX(H149,0),IF(OR(Pricetype2=1,Pricetype2=4),IF(H149=0,0,(EURO(H149,Strikeprice2,0,0,($AK149+IF(Smile=TRUE(),VLOOKUP(MAX(-5,Strikeprice2-H149),Volsmile,2),0)),($A149-DateToday)+15,IF(Pricetype2=1,1,0),0))),H149)))</f>
        <v> </v>
      </c>
      <c r="R149" s="318" t="str">
        <f aca="false">IF($A149="N/A"," ",IF(Pricetype2=2,MAX(I149,0),IF(OR(Pricetype2=1,Pricetype2=4),IF(I149=0,0,(EURO(I149,Strikeprice2,0,0,($AK149+IF(Smile=TRUE(),VLOOKUP(MAX(-5,Strikeprice2-I149),Volsmile,2),0)),($A149-DateToday)+15,IF(Pricetype2=1,1,0),0))),I149)))</f>
        <v> </v>
      </c>
      <c r="S149" s="318" t="str">
        <f aca="false">IF($A149="N/A"," ",IF(Pricetype2=2,MAX(J149,0),IF(OR(Pricetype2=1,Pricetype2=4),IF(J149=0,0,(EURO(J149,Strikeprice2,0,0,($AK149+IF(Smile=TRUE(),VLOOKUP(MAX(-5,Strikeprice2-J149),Volsmile,2),0)),($A149-DateToday)+15,IF(Pricetype2=1,1,0),0))),J149)))</f>
        <v> </v>
      </c>
      <c r="T149" s="318" t="str">
        <f aca="false">IF($A149="N/A"," ",IF(Pricetype2=2,MAX(K149,0),IF(OR(Pricetype2=1,Pricetype2=4),IF(K149=0,0,(EURO(K149,Strikeprice2,0,0,($AK149+IF(Smile=TRUE(),VLOOKUP(MAX(-5,Strikeprice2-K149),Volsmile,2),0)),($A149-DateToday)+15,IF(Pricetype2=1,1,0),0))),K149)))</f>
        <v> </v>
      </c>
      <c r="U149" s="319" t="str">
        <f aca="false">IF($A149="N/A"," ",Volume2*$AM149)</f>
        <v> </v>
      </c>
      <c r="V149" s="320" t="str">
        <f aca="false">IF($A149="N/A"," ",$U149*(8*($BQ149))*L149)</f>
        <v> </v>
      </c>
      <c r="W149" s="320" t="str">
        <f aca="false">IF($A149="N/A"," ",$U149*(8*($BQ149))*M149)</f>
        <v> </v>
      </c>
      <c r="X149" s="320" t="str">
        <f aca="false">IF($A149="N/A"," ",$U149*(8*($BQ149))*N149)</f>
        <v> </v>
      </c>
      <c r="Y149" s="320" t="str">
        <f aca="false">IF($A149="N/A"," ",$U149*(8*($BR149))*O149)</f>
        <v> </v>
      </c>
      <c r="Z149" s="320" t="str">
        <f aca="false">IF($A149="N/A"," ",$U149*(8*($BR149))*P149)</f>
        <v> </v>
      </c>
      <c r="AA149" s="320" t="str">
        <f aca="false">IF($A149="N/A"," ",$U149*(8*($BR149))*Q149)</f>
        <v> </v>
      </c>
      <c r="AB149" s="320" t="str">
        <f aca="false">IF($A149="N/A"," ",$U149*(8*($BS149))*R149)</f>
        <v> </v>
      </c>
      <c r="AC149" s="320" t="str">
        <f aca="false">IF($A149="N/A"," ",$U149*(8*($BS149))*S149)</f>
        <v> </v>
      </c>
      <c r="AD149" s="320" t="str">
        <f aca="false">IF($A149="N/A"," ",$U149*(8*($BS149))*T149)</f>
        <v> </v>
      </c>
      <c r="AE149" s="320" t="str">
        <f aca="false">IF($A149="N/A"," ",SUM(V149:AD149))</f>
        <v> </v>
      </c>
      <c r="AF149" s="321" t="str">
        <f aca="false">IF(A149="N/A"," ",(VLOOKUP(A149,PowerVolTable,(IF(VolBMO2=2,7,IF(VolBMO2=1,6,8))),FALSE())))</f>
        <v> </v>
      </c>
      <c r="AG149" s="321" t="str">
        <f aca="false">IF(A149="N/A"," ",(VLOOKUP(A149,IntraPowerVol,(IF(VolBMO2=2,3,IF(VolBMO2=1,2,4))),FALSE())*VLOOKUP(MONTH($A149),Volscale,2)))</f>
        <v> </v>
      </c>
      <c r="AH149" s="321" t="str">
        <f aca="false">IF($A149="N/A"," ",IF(VolType2=1,AG149,AF149))</f>
        <v> </v>
      </c>
      <c r="AI149" s="321" t="str">
        <f aca="false">IF($A149="N/A"," ",(VLOOKUP($A149,OffPwrVolTable,(IF(VolBMO2=2,7,IF(VolBMO2=1,6,8))),FALSE())))</f>
        <v> </v>
      </c>
      <c r="AJ149" s="321" t="str">
        <f aca="false">IF($A149="N/A"," ",(VLOOKUP($A149,OffPwrVolTable,(IF(VolBMO2=2,3,IF(VolBMO2=1,2,4))),FALSE())*VLOOKUP(MONTH($A149),Volscale,2)))</f>
        <v> </v>
      </c>
      <c r="AK149" s="321" t="str">
        <f aca="false">IF($A149="N/A"," ",IF(VolType2=1,AJ149,AI149))</f>
        <v> </v>
      </c>
      <c r="AL149" s="321" t="str">
        <f aca="false">IF($A149="N/A"," ",IF(PV=1,0,'Pricing Inputs2'!R182))</f>
        <v> </v>
      </c>
      <c r="AM149" s="323" t="str">
        <f aca="false">IF($A149="N/A"," ",(1+AL149/2)^(-2*((EOMONTH(A149,0)+20)-DateToday)/365.25))</f>
        <v> </v>
      </c>
      <c r="BQ149" s="0" t="str">
        <f aca="false">IF($A149="N/A"," ",(VLOOKUP($A149,NumberofDaysTable,2)))</f>
        <v> </v>
      </c>
      <c r="BR149" s="0" t="str">
        <f aca="false">IF($A149="N/A"," ",(VLOOKUP($A149,NumberofDaysTable,3)))</f>
        <v> </v>
      </c>
      <c r="BS149" s="0" t="str">
        <f aca="false">IF($A149="N/A"," ",(VLOOKUP($A149,NumberofDaysTable,4)))</f>
        <v> </v>
      </c>
    </row>
    <row r="150" customFormat="false" ht="12.75" hidden="false" customHeight="false" outlineLevel="0" collapsed="false">
      <c r="A150" s="315" t="str">
        <f aca="false">IF(A149="N/A","N/A",IF(EDATE(A149,1)&gt;Inputs!$P$5,"N/A",EDATE(A149,1)))</f>
        <v>N/A</v>
      </c>
      <c r="B150" s="316" t="str">
        <f aca="false">IF(A150="N/A"," ",YEAR(A150))</f>
        <v> </v>
      </c>
      <c r="C150" s="317" t="str">
        <f aca="false">IF($A150="N/A"," ",IF(Dayrun2=10,0,IF(Scaler2=1,(VLOOKUP(A150,ScaledPrice2,4)),(VLOOKUP(A150,ScaledPrice2,2)))))</f>
        <v> </v>
      </c>
      <c r="D150" s="317" t="str">
        <f aca="false">IF(A150="N/A"," ",IF(Dayrun2&gt;=7,0,IF(Scaler2=2,VLOOKUP(A150,ScaledPrice2,2),(VLOOKUP(A150,ScaledPrice2,2))*(2-(VLOOKUP(A150,ScaledPrice2,3))))))</f>
        <v> </v>
      </c>
      <c r="E150" s="317" t="str">
        <f aca="false">IF($A150="N/A"," ",IF(AND(Dayrun2&gt;=4,Dayrun2&lt;=9),0,VLOOKUP($A150,ScaledPrice2,9)))</f>
        <v> </v>
      </c>
      <c r="F150" s="317" t="str">
        <f aca="false">IF(A150="N/A"," ",IF(OR(Dayrun2=2,Dayrun2=3,Dayrun2=5,Dayrun2=6,Dayrun2=8,Dayrun2=9),VLOOKUP(A150,ScaledPrice2,IF(Scaler2=1,6,5)),0))</f>
        <v> </v>
      </c>
      <c r="G150" s="317" t="str">
        <f aca="false">IF(A150="N/A"," ",IF(OR(Dayrun2=2,Dayrun2=3,Dayrun2=5,Dayrun2=6),IF(Scaler2=2,F150,(VLOOKUP(A150,ScaledPrice2,5))*(2-(VLOOKUP(A150,ScaledPrice2,3)))),0))</f>
        <v> </v>
      </c>
      <c r="H150" s="317" t="str">
        <f aca="false">IF($A150="N/A"," ",IF(OR(Dayrun2=2,Dayrun2=3,Dayrun2=10),VLOOKUP($A150,ScaledPrice2,9),0))</f>
        <v> </v>
      </c>
      <c r="I150" s="317" t="str">
        <f aca="false">IF(A150="N/A"," ",IF(OR(Dayrun2=3,Dayrun2=6,Dayrun2=9),(VLOOKUP(A150,ScaledPrice2,IF(Scaler2=2,7,8))),0))</f>
        <v> </v>
      </c>
      <c r="J150" s="317" t="str">
        <f aca="false">IF(A150="N/A"," ",IF(OR(Dayrun2=3,Dayrun2=6),IF(Scaler2=2,I150,(VLOOKUP(A150,ScaledPrice2,7))*(2-(VLOOKUP(A150,ScaledPrice2,3)))),0))</f>
        <v> </v>
      </c>
      <c r="K150" s="317" t="str">
        <f aca="false">IF($A150="N/A"," ",IF(OR(Dayrun2=3,Dayrun2=10),VLOOKUP($A150,ScaledPrice2,9),0))</f>
        <v> </v>
      </c>
      <c r="L150" s="318" t="str">
        <f aca="false">IF($A150="N/A"," ",IF(Pricetype2=2,MAX(C150,0),IF(OR(Pricetype2=1,Pricetype2=4),IF(C150=0,0,(EURO(C150,Strikeprice2,0,0,($AH150+IF(Smile=TRUE(),VLOOKUP(MAX(-5,Strikeprice2-C150),Volsmile,2),0)),($A150-DateToday)+15,IF(Pricetype2=1,1,0),0))),C150)))</f>
        <v> </v>
      </c>
      <c r="M150" s="318" t="str">
        <f aca="false">IF($A150="N/A"," ",IF(Pricetype2=2,MAX(D150,0),IF(OR(Pricetype2=1,Pricetype2=4),IF(D150=0,0,(EURO(D150,Strikeprice2,0,0,($AH150+IF(Smile=TRUE(),VLOOKUP(MAX(-5,Strikeprice2-D150),Volsmile,2),0)),($A150-DateToday)+15,IF(Pricetype2=1,1,0),0))),D150)))</f>
        <v> </v>
      </c>
      <c r="N150" s="318" t="str">
        <f aca="false">IF($A150="N/A"," ",IF(Pricetype2=2,MAX(E150,0),IF(OR(Pricetype2=1,Pricetype2=4),IF(E150=0,0,(EURO(E150,Strikeprice2,0,0,($AK150+IF(Smile=TRUE(),VLOOKUP(MAX(-5,Strikeprice2-E150),Volsmile,2),0)),($A150-DateToday)+15,IF(Pricetype2=1,1,0),0))),E150)))</f>
        <v> </v>
      </c>
      <c r="O150" s="318" t="str">
        <f aca="false">IF($A150="N/A"," ",IF(Pricetype2=2,MAX(F150,0),IF(OR(Pricetype2=1,Pricetype2=4),IF(F150=0,0,(EURO(F150,Strikeprice2,0,0,($AK150+IF(Smile=TRUE(),VLOOKUP(MAX(-5,Strikeprice2-F150),Volsmile,2),0)),($A150-DateToday)+15,IF(Pricetype2=1,1,0),0))),F150)))</f>
        <v> </v>
      </c>
      <c r="P150" s="318" t="str">
        <f aca="false">IF($A150="N/A"," ",IF(Pricetype2=2,MAX(G150,0),IF(OR(Pricetype2=1,Pricetype2=4),IF(G150=0,0,(EURO(G150,Strikeprice2,0,0,($AK150+IF(Smile=TRUE(),VLOOKUP(MAX(-5,Strikeprice2-G150),Volsmile,2),0)),($A150-DateToday)+15,IF(Pricetype2=1,1,0),0))),G150)))</f>
        <v> </v>
      </c>
      <c r="Q150" s="318" t="str">
        <f aca="false">IF($A150="N/A"," ",IF(Pricetype2=2,MAX(H150,0),IF(OR(Pricetype2=1,Pricetype2=4),IF(H150=0,0,(EURO(H150,Strikeprice2,0,0,($AK150+IF(Smile=TRUE(),VLOOKUP(MAX(-5,Strikeprice2-H150),Volsmile,2),0)),($A150-DateToday)+15,IF(Pricetype2=1,1,0),0))),H150)))</f>
        <v> </v>
      </c>
      <c r="R150" s="318" t="str">
        <f aca="false">IF($A150="N/A"," ",IF(Pricetype2=2,MAX(I150,0),IF(OR(Pricetype2=1,Pricetype2=4),IF(I150=0,0,(EURO(I150,Strikeprice2,0,0,($AK150+IF(Smile=TRUE(),VLOOKUP(MAX(-5,Strikeprice2-I150),Volsmile,2),0)),($A150-DateToday)+15,IF(Pricetype2=1,1,0),0))),I150)))</f>
        <v> </v>
      </c>
      <c r="S150" s="318" t="str">
        <f aca="false">IF($A150="N/A"," ",IF(Pricetype2=2,MAX(J150,0),IF(OR(Pricetype2=1,Pricetype2=4),IF(J150=0,0,(EURO(J150,Strikeprice2,0,0,($AK150+IF(Smile=TRUE(),VLOOKUP(MAX(-5,Strikeprice2-J150),Volsmile,2),0)),($A150-DateToday)+15,IF(Pricetype2=1,1,0),0))),J150)))</f>
        <v> </v>
      </c>
      <c r="T150" s="318" t="str">
        <f aca="false">IF($A150="N/A"," ",IF(Pricetype2=2,MAX(K150,0),IF(OR(Pricetype2=1,Pricetype2=4),IF(K150=0,0,(EURO(K150,Strikeprice2,0,0,($AK150+IF(Smile=TRUE(),VLOOKUP(MAX(-5,Strikeprice2-K150),Volsmile,2),0)),($A150-DateToday)+15,IF(Pricetype2=1,1,0),0))),K150)))</f>
        <v> </v>
      </c>
      <c r="U150" s="319" t="str">
        <f aca="false">IF($A150="N/A"," ",Volume2*$AM150)</f>
        <v> </v>
      </c>
      <c r="V150" s="320" t="str">
        <f aca="false">IF($A150="N/A"," ",$U150*(8*($BQ150))*L150)</f>
        <v> </v>
      </c>
      <c r="W150" s="320" t="str">
        <f aca="false">IF($A150="N/A"," ",$U150*(8*($BQ150))*M150)</f>
        <v> </v>
      </c>
      <c r="X150" s="320" t="str">
        <f aca="false">IF($A150="N/A"," ",$U150*(8*($BQ150))*N150)</f>
        <v> </v>
      </c>
      <c r="Y150" s="320" t="str">
        <f aca="false">IF($A150="N/A"," ",$U150*(8*($BR150))*O150)</f>
        <v> </v>
      </c>
      <c r="Z150" s="320" t="str">
        <f aca="false">IF($A150="N/A"," ",$U150*(8*($BR150))*P150)</f>
        <v> </v>
      </c>
      <c r="AA150" s="320" t="str">
        <f aca="false">IF($A150="N/A"," ",$U150*(8*($BR150))*Q150)</f>
        <v> </v>
      </c>
      <c r="AB150" s="320" t="str">
        <f aca="false">IF($A150="N/A"," ",$U150*(8*($BS150))*R150)</f>
        <v> </v>
      </c>
      <c r="AC150" s="320" t="str">
        <f aca="false">IF($A150="N/A"," ",$U150*(8*($BS150))*S150)</f>
        <v> </v>
      </c>
      <c r="AD150" s="320" t="str">
        <f aca="false">IF($A150="N/A"," ",$U150*(8*($BS150))*T150)</f>
        <v> </v>
      </c>
      <c r="AE150" s="320" t="str">
        <f aca="false">IF($A150="N/A"," ",SUM(V150:AD150))</f>
        <v> </v>
      </c>
      <c r="AF150" s="321" t="str">
        <f aca="false">IF(A150="N/A"," ",(VLOOKUP(A150,PowerVolTable,(IF(VolBMO2=2,7,IF(VolBMO2=1,6,8))),FALSE())))</f>
        <v> </v>
      </c>
      <c r="AG150" s="321" t="str">
        <f aca="false">IF(A150="N/A"," ",(VLOOKUP(A150,IntraPowerVol,(IF(VolBMO2=2,3,IF(VolBMO2=1,2,4))),FALSE())*VLOOKUP(MONTH($A150),Volscale,2)))</f>
        <v> </v>
      </c>
      <c r="AH150" s="321" t="str">
        <f aca="false">IF($A150="N/A"," ",IF(VolType2=1,AG150,AF150))</f>
        <v> </v>
      </c>
      <c r="AI150" s="321" t="str">
        <f aca="false">IF($A150="N/A"," ",(VLOOKUP($A150,OffPwrVolTable,(IF(VolBMO2=2,7,IF(VolBMO2=1,6,8))),FALSE())))</f>
        <v> </v>
      </c>
      <c r="AJ150" s="321" t="str">
        <f aca="false">IF($A150="N/A"," ",(VLOOKUP($A150,OffPwrVolTable,(IF(VolBMO2=2,3,IF(VolBMO2=1,2,4))),FALSE())*VLOOKUP(MONTH($A150),Volscale,2)))</f>
        <v> </v>
      </c>
      <c r="AK150" s="321" t="str">
        <f aca="false">IF($A150="N/A"," ",IF(VolType2=1,AJ150,AI150))</f>
        <v> </v>
      </c>
      <c r="AL150" s="321" t="str">
        <f aca="false">IF($A150="N/A"," ",IF(PV=1,0,'Pricing Inputs2'!R183))</f>
        <v> </v>
      </c>
      <c r="AM150" s="323" t="str">
        <f aca="false">IF($A150="N/A"," ",(1+AL150/2)^(-2*((EOMONTH(A150,0)+20)-DateToday)/365.25))</f>
        <v> </v>
      </c>
      <c r="BQ150" s="0" t="str">
        <f aca="false">IF($A150="N/A"," ",(VLOOKUP($A150,NumberofDaysTable,2)))</f>
        <v> </v>
      </c>
      <c r="BR150" s="0" t="str">
        <f aca="false">IF($A150="N/A"," ",(VLOOKUP($A150,NumberofDaysTable,3)))</f>
        <v> </v>
      </c>
      <c r="BS150" s="0" t="str">
        <f aca="false">IF($A150="N/A"," ",(VLOOKUP($A150,NumberofDaysTable,4)))</f>
        <v> </v>
      </c>
    </row>
    <row r="151" customFormat="false" ht="12.75" hidden="false" customHeight="false" outlineLevel="0" collapsed="false">
      <c r="A151" s="315" t="str">
        <f aca="false">IF(A150="N/A","N/A",IF(EDATE(A150,1)&gt;Inputs!$P$5,"N/A",EDATE(A150,1)))</f>
        <v>N/A</v>
      </c>
      <c r="B151" s="316" t="str">
        <f aca="false">IF(A151="N/A"," ",YEAR(A151))</f>
        <v> </v>
      </c>
      <c r="C151" s="317" t="str">
        <f aca="false">IF($A151="N/A"," ",IF(Dayrun2=10,0,IF(Scaler2=1,(VLOOKUP(A151,ScaledPrice2,4)),(VLOOKUP(A151,ScaledPrice2,2)))))</f>
        <v> </v>
      </c>
      <c r="D151" s="317" t="str">
        <f aca="false">IF(A151="N/A"," ",IF(Dayrun2&gt;=7,0,IF(Scaler2=2,VLOOKUP(A151,ScaledPrice2,2),(VLOOKUP(A151,ScaledPrice2,2))*(2-(VLOOKUP(A151,ScaledPrice2,3))))))</f>
        <v> </v>
      </c>
      <c r="E151" s="317" t="str">
        <f aca="false">IF($A151="N/A"," ",IF(AND(Dayrun2&gt;=4,Dayrun2&lt;=9),0,VLOOKUP($A151,ScaledPrice2,9)))</f>
        <v> </v>
      </c>
      <c r="F151" s="317" t="str">
        <f aca="false">IF(A151="N/A"," ",IF(OR(Dayrun2=2,Dayrun2=3,Dayrun2=5,Dayrun2=6,Dayrun2=8,Dayrun2=9),VLOOKUP(A151,ScaledPrice2,IF(Scaler2=1,6,5)),0))</f>
        <v> </v>
      </c>
      <c r="G151" s="317" t="str">
        <f aca="false">IF(A151="N/A"," ",IF(OR(Dayrun2=2,Dayrun2=3,Dayrun2=5,Dayrun2=6),IF(Scaler2=2,F151,(VLOOKUP(A151,ScaledPrice2,5))*(2-(VLOOKUP(A151,ScaledPrice2,3)))),0))</f>
        <v> </v>
      </c>
      <c r="H151" s="317" t="str">
        <f aca="false">IF($A151="N/A"," ",IF(OR(Dayrun2=2,Dayrun2=3,Dayrun2=10),VLOOKUP($A151,ScaledPrice2,9),0))</f>
        <v> </v>
      </c>
      <c r="I151" s="317" t="str">
        <f aca="false">IF(A151="N/A"," ",IF(OR(Dayrun2=3,Dayrun2=6,Dayrun2=9),(VLOOKUP(A151,ScaledPrice2,IF(Scaler2=2,7,8))),0))</f>
        <v> </v>
      </c>
      <c r="J151" s="317" t="str">
        <f aca="false">IF(A151="N/A"," ",IF(OR(Dayrun2=3,Dayrun2=6),IF(Scaler2=2,I151,(VLOOKUP(A151,ScaledPrice2,7))*(2-(VLOOKUP(A151,ScaledPrice2,3)))),0))</f>
        <v> </v>
      </c>
      <c r="K151" s="317" t="str">
        <f aca="false">IF($A151="N/A"," ",IF(OR(Dayrun2=3,Dayrun2=10),VLOOKUP($A151,ScaledPrice2,9),0))</f>
        <v> </v>
      </c>
      <c r="L151" s="318" t="str">
        <f aca="false">IF($A151="N/A"," ",IF(Pricetype2=2,MAX(C151,0),IF(OR(Pricetype2=1,Pricetype2=4),IF(C151=0,0,(EURO(C151,Strikeprice2,0,0,($AH151+IF(Smile=TRUE(),VLOOKUP(MAX(-5,Strikeprice2-C151),Volsmile,2),0)),($A151-DateToday)+15,IF(Pricetype2=1,1,0),0))),C151)))</f>
        <v> </v>
      </c>
      <c r="M151" s="318" t="str">
        <f aca="false">IF($A151="N/A"," ",IF(Pricetype2=2,MAX(D151,0),IF(OR(Pricetype2=1,Pricetype2=4),IF(D151=0,0,(EURO(D151,Strikeprice2,0,0,($AH151+IF(Smile=TRUE(),VLOOKUP(MAX(-5,Strikeprice2-D151),Volsmile,2),0)),($A151-DateToday)+15,IF(Pricetype2=1,1,0),0))),D151)))</f>
        <v> </v>
      </c>
      <c r="N151" s="318" t="str">
        <f aca="false">IF($A151="N/A"," ",IF(Pricetype2=2,MAX(E151,0),IF(OR(Pricetype2=1,Pricetype2=4),IF(E151=0,0,(EURO(E151,Strikeprice2,0,0,($AK151+IF(Smile=TRUE(),VLOOKUP(MAX(-5,Strikeprice2-E151),Volsmile,2),0)),($A151-DateToday)+15,IF(Pricetype2=1,1,0),0))),E151)))</f>
        <v> </v>
      </c>
      <c r="O151" s="318" t="str">
        <f aca="false">IF($A151="N/A"," ",IF(Pricetype2=2,MAX(F151,0),IF(OR(Pricetype2=1,Pricetype2=4),IF(F151=0,0,(EURO(F151,Strikeprice2,0,0,($AK151+IF(Smile=TRUE(),VLOOKUP(MAX(-5,Strikeprice2-F151),Volsmile,2),0)),($A151-DateToday)+15,IF(Pricetype2=1,1,0),0))),F151)))</f>
        <v> </v>
      </c>
      <c r="P151" s="318" t="str">
        <f aca="false">IF($A151="N/A"," ",IF(Pricetype2=2,MAX(G151,0),IF(OR(Pricetype2=1,Pricetype2=4),IF(G151=0,0,(EURO(G151,Strikeprice2,0,0,($AK151+IF(Smile=TRUE(),VLOOKUP(MAX(-5,Strikeprice2-G151),Volsmile,2),0)),($A151-DateToday)+15,IF(Pricetype2=1,1,0),0))),G151)))</f>
        <v> </v>
      </c>
      <c r="Q151" s="318" t="str">
        <f aca="false">IF($A151="N/A"," ",IF(Pricetype2=2,MAX(H151,0),IF(OR(Pricetype2=1,Pricetype2=4),IF(H151=0,0,(EURO(H151,Strikeprice2,0,0,($AK151+IF(Smile=TRUE(),VLOOKUP(MAX(-5,Strikeprice2-H151),Volsmile,2),0)),($A151-DateToday)+15,IF(Pricetype2=1,1,0),0))),H151)))</f>
        <v> </v>
      </c>
      <c r="R151" s="318" t="str">
        <f aca="false">IF($A151="N/A"," ",IF(Pricetype2=2,MAX(I151,0),IF(OR(Pricetype2=1,Pricetype2=4),IF(I151=0,0,(EURO(I151,Strikeprice2,0,0,($AK151+IF(Smile=TRUE(),VLOOKUP(MAX(-5,Strikeprice2-I151),Volsmile,2),0)),($A151-DateToday)+15,IF(Pricetype2=1,1,0),0))),I151)))</f>
        <v> </v>
      </c>
      <c r="S151" s="318" t="str">
        <f aca="false">IF($A151="N/A"," ",IF(Pricetype2=2,MAX(J151,0),IF(OR(Pricetype2=1,Pricetype2=4),IF(J151=0,0,(EURO(J151,Strikeprice2,0,0,($AK151+IF(Smile=TRUE(),VLOOKUP(MAX(-5,Strikeprice2-J151),Volsmile,2),0)),($A151-DateToday)+15,IF(Pricetype2=1,1,0),0))),J151)))</f>
        <v> </v>
      </c>
      <c r="T151" s="318" t="str">
        <f aca="false">IF($A151="N/A"," ",IF(Pricetype2=2,MAX(K151,0),IF(OR(Pricetype2=1,Pricetype2=4),IF(K151=0,0,(EURO(K151,Strikeprice2,0,0,($AK151+IF(Smile=TRUE(),VLOOKUP(MAX(-5,Strikeprice2-K151),Volsmile,2),0)),($A151-DateToday)+15,IF(Pricetype2=1,1,0),0))),K151)))</f>
        <v> </v>
      </c>
      <c r="U151" s="319" t="str">
        <f aca="false">IF($A151="N/A"," ",Volume2*$AM151)</f>
        <v> </v>
      </c>
      <c r="V151" s="320" t="str">
        <f aca="false">IF($A151="N/A"," ",$U151*(8*($BQ151))*L151)</f>
        <v> </v>
      </c>
      <c r="W151" s="320" t="str">
        <f aca="false">IF($A151="N/A"," ",$U151*(8*($BQ151))*M151)</f>
        <v> </v>
      </c>
      <c r="X151" s="320" t="str">
        <f aca="false">IF($A151="N/A"," ",$U151*(8*($BQ151))*N151)</f>
        <v> </v>
      </c>
      <c r="Y151" s="320" t="str">
        <f aca="false">IF($A151="N/A"," ",$U151*(8*($BR151))*O151)</f>
        <v> </v>
      </c>
      <c r="Z151" s="320" t="str">
        <f aca="false">IF($A151="N/A"," ",$U151*(8*($BR151))*P151)</f>
        <v> </v>
      </c>
      <c r="AA151" s="320" t="str">
        <f aca="false">IF($A151="N/A"," ",$U151*(8*($BR151))*Q151)</f>
        <v> </v>
      </c>
      <c r="AB151" s="320" t="str">
        <f aca="false">IF($A151="N/A"," ",$U151*(8*($BS151))*R151)</f>
        <v> </v>
      </c>
      <c r="AC151" s="320" t="str">
        <f aca="false">IF($A151="N/A"," ",$U151*(8*($BS151))*S151)</f>
        <v> </v>
      </c>
      <c r="AD151" s="320" t="str">
        <f aca="false">IF($A151="N/A"," ",$U151*(8*($BS151))*T151)</f>
        <v> </v>
      </c>
      <c r="AE151" s="320" t="str">
        <f aca="false">IF($A151="N/A"," ",SUM(V151:AD151))</f>
        <v> </v>
      </c>
      <c r="AF151" s="321" t="str">
        <f aca="false">IF(A151="N/A"," ",(VLOOKUP(A151,PowerVolTable,(IF(VolBMO2=2,7,IF(VolBMO2=1,6,8))),FALSE())))</f>
        <v> </v>
      </c>
      <c r="AG151" s="321" t="str">
        <f aca="false">IF(A151="N/A"," ",(VLOOKUP(A151,IntraPowerVol,(IF(VolBMO2=2,3,IF(VolBMO2=1,2,4))),FALSE())*VLOOKUP(MONTH($A151),Volscale,2)))</f>
        <v> </v>
      </c>
      <c r="AH151" s="321" t="str">
        <f aca="false">IF($A151="N/A"," ",IF(VolType2=1,AG151,AF151))</f>
        <v> </v>
      </c>
      <c r="AI151" s="321" t="str">
        <f aca="false">IF($A151="N/A"," ",(VLOOKUP($A151,OffPwrVolTable,(IF(VolBMO2=2,7,IF(VolBMO2=1,6,8))),FALSE())))</f>
        <v> </v>
      </c>
      <c r="AJ151" s="321" t="str">
        <f aca="false">IF($A151="N/A"," ",(VLOOKUP($A151,OffPwrVolTable,(IF(VolBMO2=2,3,IF(VolBMO2=1,2,4))),FALSE())*VLOOKUP(MONTH($A151),Volscale,2)))</f>
        <v> </v>
      </c>
      <c r="AK151" s="321" t="str">
        <f aca="false">IF($A151="N/A"," ",IF(VolType2=1,AJ151,AI151))</f>
        <v> </v>
      </c>
      <c r="AL151" s="321" t="str">
        <f aca="false">IF($A151="N/A"," ",IF(PV=1,0,'Pricing Inputs2'!R184))</f>
        <v> </v>
      </c>
      <c r="AM151" s="323" t="str">
        <f aca="false">IF($A151="N/A"," ",(1+AL151/2)^(-2*((EOMONTH(A151,0)+20)-DateToday)/365.25))</f>
        <v> </v>
      </c>
      <c r="BQ151" s="0" t="str">
        <f aca="false">IF($A151="N/A"," ",(VLOOKUP($A151,NumberofDaysTable,2)))</f>
        <v> </v>
      </c>
      <c r="BR151" s="0" t="str">
        <f aca="false">IF($A151="N/A"," ",(VLOOKUP($A151,NumberofDaysTable,3)))</f>
        <v> </v>
      </c>
      <c r="BS151" s="0" t="str">
        <f aca="false">IF($A151="N/A"," ",(VLOOKUP($A151,NumberofDaysTable,4)))</f>
        <v> </v>
      </c>
    </row>
    <row r="152" customFormat="false" ht="12.75" hidden="false" customHeight="false" outlineLevel="0" collapsed="false">
      <c r="A152" s="315" t="str">
        <f aca="false">IF(A151="N/A","N/A",IF(EDATE(A151,1)&gt;Inputs!$P$5,"N/A",EDATE(A151,1)))</f>
        <v>N/A</v>
      </c>
      <c r="B152" s="316" t="str">
        <f aca="false">IF(A152="N/A"," ",YEAR(A152))</f>
        <v> </v>
      </c>
      <c r="C152" s="317" t="str">
        <f aca="false">IF($A152="N/A"," ",IF(Dayrun2=10,0,IF(Scaler2=1,(VLOOKUP(A152,ScaledPrice2,4)),(VLOOKUP(A152,ScaledPrice2,2)))))</f>
        <v> </v>
      </c>
      <c r="D152" s="317" t="str">
        <f aca="false">IF(A152="N/A"," ",IF(Dayrun2&gt;=7,0,IF(Scaler2=2,VLOOKUP(A152,ScaledPrice2,2),(VLOOKUP(A152,ScaledPrice2,2))*(2-(VLOOKUP(A152,ScaledPrice2,3))))))</f>
        <v> </v>
      </c>
      <c r="E152" s="317" t="str">
        <f aca="false">IF($A152="N/A"," ",IF(AND(Dayrun2&gt;=4,Dayrun2&lt;=9),0,VLOOKUP($A152,ScaledPrice2,9)))</f>
        <v> </v>
      </c>
      <c r="F152" s="317" t="str">
        <f aca="false">IF(A152="N/A"," ",IF(OR(Dayrun2=2,Dayrun2=3,Dayrun2=5,Dayrun2=6,Dayrun2=8,Dayrun2=9),VLOOKUP(A152,ScaledPrice2,IF(Scaler2=1,6,5)),0))</f>
        <v> </v>
      </c>
      <c r="G152" s="317" t="str">
        <f aca="false">IF(A152="N/A"," ",IF(OR(Dayrun2=2,Dayrun2=3,Dayrun2=5,Dayrun2=6),IF(Scaler2=2,F152,(VLOOKUP(A152,ScaledPrice2,5))*(2-(VLOOKUP(A152,ScaledPrice2,3)))),0))</f>
        <v> </v>
      </c>
      <c r="H152" s="317" t="str">
        <f aca="false">IF($A152="N/A"," ",IF(OR(Dayrun2=2,Dayrun2=3,Dayrun2=10),VLOOKUP($A152,ScaledPrice2,9),0))</f>
        <v> </v>
      </c>
      <c r="I152" s="317" t="str">
        <f aca="false">IF(A152="N/A"," ",IF(OR(Dayrun2=3,Dayrun2=6,Dayrun2=9),(VLOOKUP(A152,ScaledPrice2,IF(Scaler2=2,7,8))),0))</f>
        <v> </v>
      </c>
      <c r="J152" s="317" t="str">
        <f aca="false">IF(A152="N/A"," ",IF(OR(Dayrun2=3,Dayrun2=6),IF(Scaler2=2,I152,(VLOOKUP(A152,ScaledPrice2,7))*(2-(VLOOKUP(A152,ScaledPrice2,3)))),0))</f>
        <v> </v>
      </c>
      <c r="K152" s="317" t="str">
        <f aca="false">IF($A152="N/A"," ",IF(OR(Dayrun2=3,Dayrun2=10),VLOOKUP($A152,ScaledPrice2,9),0))</f>
        <v> </v>
      </c>
      <c r="L152" s="318" t="str">
        <f aca="false">IF($A152="N/A"," ",IF(Pricetype2=2,MAX(C152,0),IF(OR(Pricetype2=1,Pricetype2=4),IF(C152=0,0,(EURO(C152,Strikeprice2,0,0,($AH152+IF(Smile=TRUE(),VLOOKUP(MAX(-5,Strikeprice2-C152),Volsmile,2),0)),($A152-DateToday)+15,IF(Pricetype2=1,1,0),0))),C152)))</f>
        <v> </v>
      </c>
      <c r="M152" s="318" t="str">
        <f aca="false">IF($A152="N/A"," ",IF(Pricetype2=2,MAX(D152,0),IF(OR(Pricetype2=1,Pricetype2=4),IF(D152=0,0,(EURO(D152,Strikeprice2,0,0,($AH152+IF(Smile=TRUE(),VLOOKUP(MAX(-5,Strikeprice2-D152),Volsmile,2),0)),($A152-DateToday)+15,IF(Pricetype2=1,1,0),0))),D152)))</f>
        <v> </v>
      </c>
      <c r="N152" s="318" t="str">
        <f aca="false">IF($A152="N/A"," ",IF(Pricetype2=2,MAX(E152,0),IF(OR(Pricetype2=1,Pricetype2=4),IF(E152=0,0,(EURO(E152,Strikeprice2,0,0,($AK152+IF(Smile=TRUE(),VLOOKUP(MAX(-5,Strikeprice2-E152),Volsmile,2),0)),($A152-DateToday)+15,IF(Pricetype2=1,1,0),0))),E152)))</f>
        <v> </v>
      </c>
      <c r="O152" s="318" t="str">
        <f aca="false">IF($A152="N/A"," ",IF(Pricetype2=2,MAX(F152,0),IF(OR(Pricetype2=1,Pricetype2=4),IF(F152=0,0,(EURO(F152,Strikeprice2,0,0,($AK152+IF(Smile=TRUE(),VLOOKUP(MAX(-5,Strikeprice2-F152),Volsmile,2),0)),($A152-DateToday)+15,IF(Pricetype2=1,1,0),0))),F152)))</f>
        <v> </v>
      </c>
      <c r="P152" s="318" t="str">
        <f aca="false">IF($A152="N/A"," ",IF(Pricetype2=2,MAX(G152,0),IF(OR(Pricetype2=1,Pricetype2=4),IF(G152=0,0,(EURO(G152,Strikeprice2,0,0,($AK152+IF(Smile=TRUE(),VLOOKUP(MAX(-5,Strikeprice2-G152),Volsmile,2),0)),($A152-DateToday)+15,IF(Pricetype2=1,1,0),0))),G152)))</f>
        <v> </v>
      </c>
      <c r="Q152" s="318" t="str">
        <f aca="false">IF($A152="N/A"," ",IF(Pricetype2=2,MAX(H152,0),IF(OR(Pricetype2=1,Pricetype2=4),IF(H152=0,0,(EURO(H152,Strikeprice2,0,0,($AK152+IF(Smile=TRUE(),VLOOKUP(MAX(-5,Strikeprice2-H152),Volsmile,2),0)),($A152-DateToday)+15,IF(Pricetype2=1,1,0),0))),H152)))</f>
        <v> </v>
      </c>
      <c r="R152" s="318" t="str">
        <f aca="false">IF($A152="N/A"," ",IF(Pricetype2=2,MAX(I152,0),IF(OR(Pricetype2=1,Pricetype2=4),IF(I152=0,0,(EURO(I152,Strikeprice2,0,0,($AK152+IF(Smile=TRUE(),VLOOKUP(MAX(-5,Strikeprice2-I152),Volsmile,2),0)),($A152-DateToday)+15,IF(Pricetype2=1,1,0),0))),I152)))</f>
        <v> </v>
      </c>
      <c r="S152" s="318" t="str">
        <f aca="false">IF($A152="N/A"," ",IF(Pricetype2=2,MAX(J152,0),IF(OR(Pricetype2=1,Pricetype2=4),IF(J152=0,0,(EURO(J152,Strikeprice2,0,0,($AK152+IF(Smile=TRUE(),VLOOKUP(MAX(-5,Strikeprice2-J152),Volsmile,2),0)),($A152-DateToday)+15,IF(Pricetype2=1,1,0),0))),J152)))</f>
        <v> </v>
      </c>
      <c r="T152" s="318" t="str">
        <f aca="false">IF($A152="N/A"," ",IF(Pricetype2=2,MAX(K152,0),IF(OR(Pricetype2=1,Pricetype2=4),IF(K152=0,0,(EURO(K152,Strikeprice2,0,0,($AK152+IF(Smile=TRUE(),VLOOKUP(MAX(-5,Strikeprice2-K152),Volsmile,2),0)),($A152-DateToday)+15,IF(Pricetype2=1,1,0),0))),K152)))</f>
        <v> </v>
      </c>
      <c r="U152" s="319" t="str">
        <f aca="false">IF($A152="N/A"," ",Volume2*$AM152)</f>
        <v> </v>
      </c>
      <c r="V152" s="320" t="str">
        <f aca="false">IF($A152="N/A"," ",$U152*(8*($BQ152))*L152)</f>
        <v> </v>
      </c>
      <c r="W152" s="320" t="str">
        <f aca="false">IF($A152="N/A"," ",$U152*(8*($BQ152))*M152)</f>
        <v> </v>
      </c>
      <c r="X152" s="320" t="str">
        <f aca="false">IF($A152="N/A"," ",$U152*(8*($BQ152))*N152)</f>
        <v> </v>
      </c>
      <c r="Y152" s="320" t="str">
        <f aca="false">IF($A152="N/A"," ",$U152*(8*($BR152))*O152)</f>
        <v> </v>
      </c>
      <c r="Z152" s="320" t="str">
        <f aca="false">IF($A152="N/A"," ",$U152*(8*($BR152))*P152)</f>
        <v> </v>
      </c>
      <c r="AA152" s="320" t="str">
        <f aca="false">IF($A152="N/A"," ",$U152*(8*($BR152))*Q152)</f>
        <v> </v>
      </c>
      <c r="AB152" s="320" t="str">
        <f aca="false">IF($A152="N/A"," ",$U152*(8*($BS152))*R152)</f>
        <v> </v>
      </c>
      <c r="AC152" s="320" t="str">
        <f aca="false">IF($A152="N/A"," ",$U152*(8*($BS152))*S152)</f>
        <v> </v>
      </c>
      <c r="AD152" s="320" t="str">
        <f aca="false">IF($A152="N/A"," ",$U152*(8*($BS152))*T152)</f>
        <v> </v>
      </c>
      <c r="AE152" s="320" t="str">
        <f aca="false">IF($A152="N/A"," ",SUM(V152:AD152))</f>
        <v> </v>
      </c>
      <c r="AF152" s="321" t="str">
        <f aca="false">IF(A152="N/A"," ",(VLOOKUP(A152,PowerVolTable,(IF(VolBMO2=2,7,IF(VolBMO2=1,6,8))),FALSE())))</f>
        <v> </v>
      </c>
      <c r="AG152" s="321" t="str">
        <f aca="false">IF(A152="N/A"," ",(VLOOKUP(A152,IntraPowerVol,(IF(VolBMO2=2,3,IF(VolBMO2=1,2,4))),FALSE())*VLOOKUP(MONTH($A152),Volscale,2)))</f>
        <v> </v>
      </c>
      <c r="AH152" s="321" t="str">
        <f aca="false">IF($A152="N/A"," ",IF(VolType2=1,AG152,AF152))</f>
        <v> </v>
      </c>
      <c r="AI152" s="321" t="str">
        <f aca="false">IF($A152="N/A"," ",(VLOOKUP($A152,OffPwrVolTable,(IF(VolBMO2=2,7,IF(VolBMO2=1,6,8))),FALSE())))</f>
        <v> </v>
      </c>
      <c r="AJ152" s="321" t="str">
        <f aca="false">IF($A152="N/A"," ",(VLOOKUP($A152,OffPwrVolTable,(IF(VolBMO2=2,3,IF(VolBMO2=1,2,4))),FALSE())*VLOOKUP(MONTH($A152),Volscale,2)))</f>
        <v> </v>
      </c>
      <c r="AK152" s="321" t="str">
        <f aca="false">IF($A152="N/A"," ",IF(VolType2=1,AJ152,AI152))</f>
        <v> </v>
      </c>
      <c r="AL152" s="321" t="str">
        <f aca="false">IF($A152="N/A"," ",IF(PV=1,0,'Pricing Inputs2'!R185))</f>
        <v> </v>
      </c>
      <c r="AM152" s="323" t="str">
        <f aca="false">IF($A152="N/A"," ",(1+AL152/2)^(-2*((EOMONTH(A152,0)+20)-DateToday)/365.25))</f>
        <v> </v>
      </c>
      <c r="BQ152" s="0" t="str">
        <f aca="false">IF($A152="N/A"," ",(VLOOKUP($A152,NumberofDaysTable,2)))</f>
        <v> </v>
      </c>
      <c r="BR152" s="0" t="str">
        <f aca="false">IF($A152="N/A"," ",(VLOOKUP($A152,NumberofDaysTable,3)))</f>
        <v> </v>
      </c>
      <c r="BS152" s="0" t="str">
        <f aca="false">IF($A152="N/A"," ",(VLOOKUP($A152,NumberofDaysTable,4)))</f>
        <v> </v>
      </c>
    </row>
    <row r="153" customFormat="false" ht="12.75" hidden="false" customHeight="false" outlineLevel="0" collapsed="false">
      <c r="A153" s="315" t="str">
        <f aca="false">IF(A152="N/A","N/A",IF(EDATE(A152,1)&gt;Inputs!$P$5,"N/A",EDATE(A152,1)))</f>
        <v>N/A</v>
      </c>
      <c r="B153" s="316" t="str">
        <f aca="false">IF(A153="N/A"," ",YEAR(A153))</f>
        <v> </v>
      </c>
      <c r="C153" s="317" t="str">
        <f aca="false">IF($A153="N/A"," ",IF(Dayrun2=10,0,IF(Scaler2=1,(VLOOKUP(A153,ScaledPrice2,4)),(VLOOKUP(A153,ScaledPrice2,2)))))</f>
        <v> </v>
      </c>
      <c r="D153" s="317" t="str">
        <f aca="false">IF(A153="N/A"," ",IF(Dayrun2&gt;=7,0,IF(Scaler2=2,VLOOKUP(A153,ScaledPrice2,2),(VLOOKUP(A153,ScaledPrice2,2))*(2-(VLOOKUP(A153,ScaledPrice2,3))))))</f>
        <v> </v>
      </c>
      <c r="E153" s="317" t="str">
        <f aca="false">IF($A153="N/A"," ",IF(AND(Dayrun2&gt;=4,Dayrun2&lt;=9),0,VLOOKUP($A153,ScaledPrice2,9)))</f>
        <v> </v>
      </c>
      <c r="F153" s="317" t="str">
        <f aca="false">IF(A153="N/A"," ",IF(OR(Dayrun2=2,Dayrun2=3,Dayrun2=5,Dayrun2=6,Dayrun2=8,Dayrun2=9),VLOOKUP(A153,ScaledPrice2,IF(Scaler2=1,6,5)),0))</f>
        <v> </v>
      </c>
      <c r="G153" s="317" t="str">
        <f aca="false">IF(A153="N/A"," ",IF(OR(Dayrun2=2,Dayrun2=3,Dayrun2=5,Dayrun2=6),IF(Scaler2=2,F153,(VLOOKUP(A153,ScaledPrice2,5))*(2-(VLOOKUP(A153,ScaledPrice2,3)))),0))</f>
        <v> </v>
      </c>
      <c r="H153" s="317" t="str">
        <f aca="false">IF($A153="N/A"," ",IF(OR(Dayrun2=2,Dayrun2=3,Dayrun2=10),VLOOKUP($A153,ScaledPrice2,9),0))</f>
        <v> </v>
      </c>
      <c r="I153" s="317" t="str">
        <f aca="false">IF(A153="N/A"," ",IF(OR(Dayrun2=3,Dayrun2=6,Dayrun2=9),(VLOOKUP(A153,ScaledPrice2,IF(Scaler2=2,7,8))),0))</f>
        <v> </v>
      </c>
      <c r="J153" s="317" t="str">
        <f aca="false">IF(A153="N/A"," ",IF(OR(Dayrun2=3,Dayrun2=6),IF(Scaler2=2,I153,(VLOOKUP(A153,ScaledPrice2,7))*(2-(VLOOKUP(A153,ScaledPrice2,3)))),0))</f>
        <v> </v>
      </c>
      <c r="K153" s="317" t="str">
        <f aca="false">IF($A153="N/A"," ",IF(OR(Dayrun2=3,Dayrun2=10),VLOOKUP($A153,ScaledPrice2,9),0))</f>
        <v> </v>
      </c>
      <c r="L153" s="318" t="str">
        <f aca="false">IF($A153="N/A"," ",IF(Pricetype2=2,MAX(C153,0),IF(OR(Pricetype2=1,Pricetype2=4),IF(C153=0,0,(EURO(C153,Strikeprice2,0,0,($AH153+IF(Smile=TRUE(),VLOOKUP(MAX(-5,Strikeprice2-C153),Volsmile,2),0)),($A153-DateToday)+15,IF(Pricetype2=1,1,0),0))),C153)))</f>
        <v> </v>
      </c>
      <c r="M153" s="318" t="str">
        <f aca="false">IF($A153="N/A"," ",IF(Pricetype2=2,MAX(D153,0),IF(OR(Pricetype2=1,Pricetype2=4),IF(D153=0,0,(EURO(D153,Strikeprice2,0,0,($AH153+IF(Smile=TRUE(),VLOOKUP(MAX(-5,Strikeprice2-D153),Volsmile,2),0)),($A153-DateToday)+15,IF(Pricetype2=1,1,0),0))),D153)))</f>
        <v> </v>
      </c>
      <c r="N153" s="318" t="str">
        <f aca="false">IF($A153="N/A"," ",IF(Pricetype2=2,MAX(E153,0),IF(OR(Pricetype2=1,Pricetype2=4),IF(E153=0,0,(EURO(E153,Strikeprice2,0,0,($AK153+IF(Smile=TRUE(),VLOOKUP(MAX(-5,Strikeprice2-E153),Volsmile,2),0)),($A153-DateToday)+15,IF(Pricetype2=1,1,0),0))),E153)))</f>
        <v> </v>
      </c>
      <c r="O153" s="318" t="str">
        <f aca="false">IF($A153="N/A"," ",IF(Pricetype2=2,MAX(F153,0),IF(OR(Pricetype2=1,Pricetype2=4),IF(F153=0,0,(EURO(F153,Strikeprice2,0,0,($AK153+IF(Smile=TRUE(),VLOOKUP(MAX(-5,Strikeprice2-F153),Volsmile,2),0)),($A153-DateToday)+15,IF(Pricetype2=1,1,0),0))),F153)))</f>
        <v> </v>
      </c>
      <c r="P153" s="318" t="str">
        <f aca="false">IF($A153="N/A"," ",IF(Pricetype2=2,MAX(G153,0),IF(OR(Pricetype2=1,Pricetype2=4),IF(G153=0,0,(EURO(G153,Strikeprice2,0,0,($AK153+IF(Smile=TRUE(),VLOOKUP(MAX(-5,Strikeprice2-G153),Volsmile,2),0)),($A153-DateToday)+15,IF(Pricetype2=1,1,0),0))),G153)))</f>
        <v> </v>
      </c>
      <c r="Q153" s="318" t="str">
        <f aca="false">IF($A153="N/A"," ",IF(Pricetype2=2,MAX(H153,0),IF(OR(Pricetype2=1,Pricetype2=4),IF(H153=0,0,(EURO(H153,Strikeprice2,0,0,($AK153+IF(Smile=TRUE(),VLOOKUP(MAX(-5,Strikeprice2-H153),Volsmile,2),0)),($A153-DateToday)+15,IF(Pricetype2=1,1,0),0))),H153)))</f>
        <v> </v>
      </c>
      <c r="R153" s="318" t="str">
        <f aca="false">IF($A153="N/A"," ",IF(Pricetype2=2,MAX(I153,0),IF(OR(Pricetype2=1,Pricetype2=4),IF(I153=0,0,(EURO(I153,Strikeprice2,0,0,($AK153+IF(Smile=TRUE(),VLOOKUP(MAX(-5,Strikeprice2-I153),Volsmile,2),0)),($A153-DateToday)+15,IF(Pricetype2=1,1,0),0))),I153)))</f>
        <v> </v>
      </c>
      <c r="S153" s="318" t="str">
        <f aca="false">IF($A153="N/A"," ",IF(Pricetype2=2,MAX(J153,0),IF(OR(Pricetype2=1,Pricetype2=4),IF(J153=0,0,(EURO(J153,Strikeprice2,0,0,($AK153+IF(Smile=TRUE(),VLOOKUP(MAX(-5,Strikeprice2-J153),Volsmile,2),0)),($A153-DateToday)+15,IF(Pricetype2=1,1,0),0))),J153)))</f>
        <v> </v>
      </c>
      <c r="T153" s="318" t="str">
        <f aca="false">IF($A153="N/A"," ",IF(Pricetype2=2,MAX(K153,0),IF(OR(Pricetype2=1,Pricetype2=4),IF(K153=0,0,(EURO(K153,Strikeprice2,0,0,($AK153+IF(Smile=TRUE(),VLOOKUP(MAX(-5,Strikeprice2-K153),Volsmile,2),0)),($A153-DateToday)+15,IF(Pricetype2=1,1,0),0))),K153)))</f>
        <v> </v>
      </c>
      <c r="U153" s="319" t="str">
        <f aca="false">IF($A153="N/A"," ",Volume2*$AM153)</f>
        <v> </v>
      </c>
      <c r="V153" s="320" t="str">
        <f aca="false">IF($A153="N/A"," ",$U153*(8*($BQ153))*L153)</f>
        <v> </v>
      </c>
      <c r="W153" s="320" t="str">
        <f aca="false">IF($A153="N/A"," ",$U153*(8*($BQ153))*M153)</f>
        <v> </v>
      </c>
      <c r="X153" s="320" t="str">
        <f aca="false">IF($A153="N/A"," ",$U153*(8*($BQ153))*N153)</f>
        <v> </v>
      </c>
      <c r="Y153" s="320" t="str">
        <f aca="false">IF($A153="N/A"," ",$U153*(8*($BR153))*O153)</f>
        <v> </v>
      </c>
      <c r="Z153" s="320" t="str">
        <f aca="false">IF($A153="N/A"," ",$U153*(8*($BR153))*P153)</f>
        <v> </v>
      </c>
      <c r="AA153" s="320" t="str">
        <f aca="false">IF($A153="N/A"," ",$U153*(8*($BR153))*Q153)</f>
        <v> </v>
      </c>
      <c r="AB153" s="320" t="str">
        <f aca="false">IF($A153="N/A"," ",$U153*(8*($BS153))*R153)</f>
        <v> </v>
      </c>
      <c r="AC153" s="320" t="str">
        <f aca="false">IF($A153="N/A"," ",$U153*(8*($BS153))*S153)</f>
        <v> </v>
      </c>
      <c r="AD153" s="320" t="str">
        <f aca="false">IF($A153="N/A"," ",$U153*(8*($BS153))*T153)</f>
        <v> </v>
      </c>
      <c r="AE153" s="320" t="str">
        <f aca="false">IF($A153="N/A"," ",SUM(V153:AD153))</f>
        <v> </v>
      </c>
      <c r="AF153" s="321" t="str">
        <f aca="false">IF(A153="N/A"," ",(VLOOKUP(A153,PowerVolTable,(IF(VolBMO2=2,7,IF(VolBMO2=1,6,8))),FALSE())))</f>
        <v> </v>
      </c>
      <c r="AG153" s="321" t="str">
        <f aca="false">IF(A153="N/A"," ",(VLOOKUP(A153,IntraPowerVol,(IF(VolBMO2=2,3,IF(VolBMO2=1,2,4))),FALSE())*VLOOKUP(MONTH($A153),Volscale,2)))</f>
        <v> </v>
      </c>
      <c r="AH153" s="321" t="str">
        <f aca="false">IF($A153="N/A"," ",IF(VolType2=1,AG153,AF153))</f>
        <v> </v>
      </c>
      <c r="AI153" s="321" t="str">
        <f aca="false">IF($A153="N/A"," ",(VLOOKUP($A153,OffPwrVolTable,(IF(VolBMO2=2,7,IF(VolBMO2=1,6,8))),FALSE())))</f>
        <v> </v>
      </c>
      <c r="AJ153" s="321" t="str">
        <f aca="false">IF($A153="N/A"," ",(VLOOKUP($A153,OffPwrVolTable,(IF(VolBMO2=2,3,IF(VolBMO2=1,2,4))),FALSE())*VLOOKUP(MONTH($A153),Volscale,2)))</f>
        <v> </v>
      </c>
      <c r="AK153" s="321" t="str">
        <f aca="false">IF($A153="N/A"," ",IF(VolType2=1,AJ153,AI153))</f>
        <v> </v>
      </c>
      <c r="AL153" s="321" t="str">
        <f aca="false">IF($A153="N/A"," ",IF(PV=1,0,'Pricing Inputs2'!R186))</f>
        <v> </v>
      </c>
      <c r="AM153" s="323" t="str">
        <f aca="false">IF($A153="N/A"," ",(1+AL153/2)^(-2*((EOMONTH(A153,0)+20)-DateToday)/365.25))</f>
        <v> </v>
      </c>
      <c r="BQ153" s="0" t="str">
        <f aca="false">IF($A153="N/A"," ",(VLOOKUP($A153,NumberofDaysTable,2)))</f>
        <v> </v>
      </c>
      <c r="BR153" s="0" t="str">
        <f aca="false">IF($A153="N/A"," ",(VLOOKUP($A153,NumberofDaysTable,3)))</f>
        <v> </v>
      </c>
      <c r="BS153" s="0" t="str">
        <f aca="false">IF($A153="N/A"," ",(VLOOKUP($A153,NumberofDaysTable,4)))</f>
        <v> </v>
      </c>
    </row>
    <row r="154" customFormat="false" ht="12.75" hidden="false" customHeight="false" outlineLevel="0" collapsed="false">
      <c r="A154" s="315" t="str">
        <f aca="false">IF(A153="N/A","N/A",IF(EDATE(A153,1)&gt;Inputs!$P$5,"N/A",EDATE(A153,1)))</f>
        <v>N/A</v>
      </c>
      <c r="B154" s="316" t="str">
        <f aca="false">IF(A154="N/A"," ",YEAR(A154))</f>
        <v> </v>
      </c>
      <c r="C154" s="317" t="str">
        <f aca="false">IF($A154="N/A"," ",IF(Dayrun2=10,0,IF(Scaler2=1,(VLOOKUP(A154,ScaledPrice2,4)),(VLOOKUP(A154,ScaledPrice2,2)))))</f>
        <v> </v>
      </c>
      <c r="D154" s="317" t="str">
        <f aca="false">IF(A154="N/A"," ",IF(Dayrun2&gt;=7,0,IF(Scaler2=2,VLOOKUP(A154,ScaledPrice2,2),(VLOOKUP(A154,ScaledPrice2,2))*(2-(VLOOKUP(A154,ScaledPrice2,3))))))</f>
        <v> </v>
      </c>
      <c r="E154" s="317" t="str">
        <f aca="false">IF($A154="N/A"," ",IF(AND(Dayrun2&gt;=4,Dayrun2&lt;=9),0,VLOOKUP($A154,ScaledPrice2,9)))</f>
        <v> </v>
      </c>
      <c r="F154" s="317" t="str">
        <f aca="false">IF(A154="N/A"," ",IF(OR(Dayrun2=2,Dayrun2=3,Dayrun2=5,Dayrun2=6,Dayrun2=8,Dayrun2=9),VLOOKUP(A154,ScaledPrice2,IF(Scaler2=1,6,5)),0))</f>
        <v> </v>
      </c>
      <c r="G154" s="317" t="str">
        <f aca="false">IF(A154="N/A"," ",IF(OR(Dayrun2=2,Dayrun2=3,Dayrun2=5,Dayrun2=6),IF(Scaler2=2,F154,(VLOOKUP(A154,ScaledPrice2,5))*(2-(VLOOKUP(A154,ScaledPrice2,3)))),0))</f>
        <v> </v>
      </c>
      <c r="H154" s="317" t="str">
        <f aca="false">IF($A154="N/A"," ",IF(OR(Dayrun2=2,Dayrun2=3,Dayrun2=10),VLOOKUP($A154,ScaledPrice2,9),0))</f>
        <v> </v>
      </c>
      <c r="I154" s="317" t="str">
        <f aca="false">IF(A154="N/A"," ",IF(OR(Dayrun2=3,Dayrun2=6,Dayrun2=9),(VLOOKUP(A154,ScaledPrice2,IF(Scaler2=2,7,8))),0))</f>
        <v> </v>
      </c>
      <c r="J154" s="317" t="str">
        <f aca="false">IF(A154="N/A"," ",IF(OR(Dayrun2=3,Dayrun2=6),IF(Scaler2=2,I154,(VLOOKUP(A154,ScaledPrice2,7))*(2-(VLOOKUP(A154,ScaledPrice2,3)))),0))</f>
        <v> </v>
      </c>
      <c r="K154" s="317" t="str">
        <f aca="false">IF($A154="N/A"," ",IF(OR(Dayrun2=3,Dayrun2=10),VLOOKUP($A154,ScaledPrice2,9),0))</f>
        <v> </v>
      </c>
      <c r="L154" s="318" t="str">
        <f aca="false">IF($A154="N/A"," ",IF(Pricetype2=2,MAX(C154,0),IF(OR(Pricetype2=1,Pricetype2=4),IF(C154=0,0,(EURO(C154,Strikeprice2,0,0,($AH154+IF(Smile=TRUE(),VLOOKUP(MAX(-5,Strikeprice2-C154),Volsmile,2),0)),($A154-DateToday)+15,IF(Pricetype2=1,1,0),0))),C154)))</f>
        <v> </v>
      </c>
      <c r="M154" s="318" t="str">
        <f aca="false">IF($A154="N/A"," ",IF(Pricetype2=2,MAX(D154,0),IF(OR(Pricetype2=1,Pricetype2=4),IF(D154=0,0,(EURO(D154,Strikeprice2,0,0,($AH154+IF(Smile=TRUE(),VLOOKUP(MAX(-5,Strikeprice2-D154),Volsmile,2),0)),($A154-DateToday)+15,IF(Pricetype2=1,1,0),0))),D154)))</f>
        <v> </v>
      </c>
      <c r="N154" s="318" t="str">
        <f aca="false">IF($A154="N/A"," ",IF(Pricetype2=2,MAX(E154,0),IF(OR(Pricetype2=1,Pricetype2=4),IF(E154=0,0,(EURO(E154,Strikeprice2,0,0,($AK154+IF(Smile=TRUE(),VLOOKUP(MAX(-5,Strikeprice2-E154),Volsmile,2),0)),($A154-DateToday)+15,IF(Pricetype2=1,1,0),0))),E154)))</f>
        <v> </v>
      </c>
      <c r="O154" s="318" t="str">
        <f aca="false">IF($A154="N/A"," ",IF(Pricetype2=2,MAX(F154,0),IF(OR(Pricetype2=1,Pricetype2=4),IF(F154=0,0,(EURO(F154,Strikeprice2,0,0,($AK154+IF(Smile=TRUE(),VLOOKUP(MAX(-5,Strikeprice2-F154),Volsmile,2),0)),($A154-DateToday)+15,IF(Pricetype2=1,1,0),0))),F154)))</f>
        <v> </v>
      </c>
      <c r="P154" s="318" t="str">
        <f aca="false">IF($A154="N/A"," ",IF(Pricetype2=2,MAX(G154,0),IF(OR(Pricetype2=1,Pricetype2=4),IF(G154=0,0,(EURO(G154,Strikeprice2,0,0,($AK154+IF(Smile=TRUE(),VLOOKUP(MAX(-5,Strikeprice2-G154),Volsmile,2),0)),($A154-DateToday)+15,IF(Pricetype2=1,1,0),0))),G154)))</f>
        <v> </v>
      </c>
      <c r="Q154" s="318" t="str">
        <f aca="false">IF($A154="N/A"," ",IF(Pricetype2=2,MAX(H154,0),IF(OR(Pricetype2=1,Pricetype2=4),IF(H154=0,0,(EURO(H154,Strikeprice2,0,0,($AK154+IF(Smile=TRUE(),VLOOKUP(MAX(-5,Strikeprice2-H154),Volsmile,2),0)),($A154-DateToday)+15,IF(Pricetype2=1,1,0),0))),H154)))</f>
        <v> </v>
      </c>
      <c r="R154" s="318" t="str">
        <f aca="false">IF($A154="N/A"," ",IF(Pricetype2=2,MAX(I154,0),IF(OR(Pricetype2=1,Pricetype2=4),IF(I154=0,0,(EURO(I154,Strikeprice2,0,0,($AK154+IF(Smile=TRUE(),VLOOKUP(MAX(-5,Strikeprice2-I154),Volsmile,2),0)),($A154-DateToday)+15,IF(Pricetype2=1,1,0),0))),I154)))</f>
        <v> </v>
      </c>
      <c r="S154" s="318" t="str">
        <f aca="false">IF($A154="N/A"," ",IF(Pricetype2=2,MAX(J154,0),IF(OR(Pricetype2=1,Pricetype2=4),IF(J154=0,0,(EURO(J154,Strikeprice2,0,0,($AK154+IF(Smile=TRUE(),VLOOKUP(MAX(-5,Strikeprice2-J154),Volsmile,2),0)),($A154-DateToday)+15,IF(Pricetype2=1,1,0),0))),J154)))</f>
        <v> </v>
      </c>
      <c r="T154" s="318" t="str">
        <f aca="false">IF($A154="N/A"," ",IF(Pricetype2=2,MAX(K154,0),IF(OR(Pricetype2=1,Pricetype2=4),IF(K154=0,0,(EURO(K154,Strikeprice2,0,0,($AK154+IF(Smile=TRUE(),VLOOKUP(MAX(-5,Strikeprice2-K154),Volsmile,2),0)),($A154-DateToday)+15,IF(Pricetype2=1,1,0),0))),K154)))</f>
        <v> </v>
      </c>
      <c r="U154" s="319" t="str">
        <f aca="false">IF($A154="N/A"," ",Volume2*$AM154)</f>
        <v> </v>
      </c>
      <c r="V154" s="320" t="str">
        <f aca="false">IF($A154="N/A"," ",$U154*(8*($BQ154))*L154)</f>
        <v> </v>
      </c>
      <c r="W154" s="320" t="str">
        <f aca="false">IF($A154="N/A"," ",$U154*(8*($BQ154))*M154)</f>
        <v> </v>
      </c>
      <c r="X154" s="320" t="str">
        <f aca="false">IF($A154="N/A"," ",$U154*(8*($BQ154))*N154)</f>
        <v> </v>
      </c>
      <c r="Y154" s="320" t="str">
        <f aca="false">IF($A154="N/A"," ",$U154*(8*($BR154))*O154)</f>
        <v> </v>
      </c>
      <c r="Z154" s="320" t="str">
        <f aca="false">IF($A154="N/A"," ",$U154*(8*($BR154))*P154)</f>
        <v> </v>
      </c>
      <c r="AA154" s="320" t="str">
        <f aca="false">IF($A154="N/A"," ",$U154*(8*($BR154))*Q154)</f>
        <v> </v>
      </c>
      <c r="AB154" s="320" t="str">
        <f aca="false">IF($A154="N/A"," ",$U154*(8*($BS154))*R154)</f>
        <v> </v>
      </c>
      <c r="AC154" s="320" t="str">
        <f aca="false">IF($A154="N/A"," ",$U154*(8*($BS154))*S154)</f>
        <v> </v>
      </c>
      <c r="AD154" s="320" t="str">
        <f aca="false">IF($A154="N/A"," ",$U154*(8*($BS154))*T154)</f>
        <v> </v>
      </c>
      <c r="AE154" s="320" t="str">
        <f aca="false">IF($A154="N/A"," ",SUM(V154:AD154))</f>
        <v> </v>
      </c>
      <c r="AF154" s="321" t="str">
        <f aca="false">IF(A154="N/A"," ",(VLOOKUP(A154,PowerVolTable,(IF(VolBMO2=2,7,IF(VolBMO2=1,6,8))),FALSE())))</f>
        <v> </v>
      </c>
      <c r="AG154" s="321" t="str">
        <f aca="false">IF(A154="N/A"," ",(VLOOKUP(A154,IntraPowerVol,(IF(VolBMO2=2,3,IF(VolBMO2=1,2,4))),FALSE())*VLOOKUP(MONTH($A154),Volscale,2)))</f>
        <v> </v>
      </c>
      <c r="AH154" s="321" t="str">
        <f aca="false">IF($A154="N/A"," ",IF(VolType2=1,AG154,AF154))</f>
        <v> </v>
      </c>
      <c r="AI154" s="321" t="str">
        <f aca="false">IF($A154="N/A"," ",(VLOOKUP($A154,OffPwrVolTable,(IF(VolBMO2=2,7,IF(VolBMO2=1,6,8))),FALSE())))</f>
        <v> </v>
      </c>
      <c r="AJ154" s="321" t="str">
        <f aca="false">IF($A154="N/A"," ",(VLOOKUP($A154,OffPwrVolTable,(IF(VolBMO2=2,3,IF(VolBMO2=1,2,4))),FALSE())*VLOOKUP(MONTH($A154),Volscale,2)))</f>
        <v> </v>
      </c>
      <c r="AK154" s="321" t="str">
        <f aca="false">IF($A154="N/A"," ",IF(VolType2=1,AJ154,AI154))</f>
        <v> </v>
      </c>
      <c r="AL154" s="321" t="str">
        <f aca="false">IF($A154="N/A"," ",IF(PV=1,0,'Pricing Inputs2'!R187))</f>
        <v> </v>
      </c>
      <c r="AM154" s="323" t="str">
        <f aca="false">IF($A154="N/A"," ",(1+AL154/2)^(-2*((EOMONTH(A154,0)+20)-DateToday)/365.25))</f>
        <v> </v>
      </c>
      <c r="BQ154" s="0" t="str">
        <f aca="false">IF($A154="N/A"," ",(VLOOKUP($A154,NumberofDaysTable,2)))</f>
        <v> </v>
      </c>
      <c r="BR154" s="0" t="str">
        <f aca="false">IF($A154="N/A"," ",(VLOOKUP($A154,NumberofDaysTable,3)))</f>
        <v> </v>
      </c>
      <c r="BS154" s="0" t="str">
        <f aca="false">IF($A154="N/A"," ",(VLOOKUP($A154,NumberofDaysTable,4)))</f>
        <v> </v>
      </c>
    </row>
    <row r="155" customFormat="false" ht="12.75" hidden="false" customHeight="false" outlineLevel="0" collapsed="false">
      <c r="A155" s="315" t="str">
        <f aca="false">IF(A154="N/A","N/A",IF(EDATE(A154,1)&gt;Inputs!$P$5,"N/A",EDATE(A154,1)))</f>
        <v>N/A</v>
      </c>
      <c r="B155" s="316" t="str">
        <f aca="false">IF(A155="N/A"," ",YEAR(A155))</f>
        <v> </v>
      </c>
      <c r="C155" s="317" t="str">
        <f aca="false">IF($A155="N/A"," ",IF(Dayrun2=10,0,IF(Scaler2=1,(VLOOKUP(A155,ScaledPrice2,4)),(VLOOKUP(A155,ScaledPrice2,2)))))</f>
        <v> </v>
      </c>
      <c r="D155" s="317" t="str">
        <f aca="false">IF(A155="N/A"," ",IF(Dayrun2&gt;=7,0,IF(Scaler2=2,VLOOKUP(A155,ScaledPrice2,2),(VLOOKUP(A155,ScaledPrice2,2))*(2-(VLOOKUP(A155,ScaledPrice2,3))))))</f>
        <v> </v>
      </c>
      <c r="E155" s="317" t="str">
        <f aca="false">IF($A155="N/A"," ",IF(AND(Dayrun2&gt;=4,Dayrun2&lt;=9),0,VLOOKUP($A155,ScaledPrice2,9)))</f>
        <v> </v>
      </c>
      <c r="F155" s="317" t="str">
        <f aca="false">IF(A155="N/A"," ",IF(OR(Dayrun2=2,Dayrun2=3,Dayrun2=5,Dayrun2=6,Dayrun2=8,Dayrun2=9),VLOOKUP(A155,ScaledPrice2,IF(Scaler2=1,6,5)),0))</f>
        <v> </v>
      </c>
      <c r="G155" s="317" t="str">
        <f aca="false">IF(A155="N/A"," ",IF(OR(Dayrun2=2,Dayrun2=3,Dayrun2=5,Dayrun2=6),IF(Scaler2=2,F155,(VLOOKUP(A155,ScaledPrice2,5))*(2-(VLOOKUP(A155,ScaledPrice2,3)))),0))</f>
        <v> </v>
      </c>
      <c r="H155" s="317" t="str">
        <f aca="false">IF($A155="N/A"," ",IF(OR(Dayrun2=2,Dayrun2=3,Dayrun2=10),VLOOKUP($A155,ScaledPrice2,9),0))</f>
        <v> </v>
      </c>
      <c r="I155" s="317" t="str">
        <f aca="false">IF(A155="N/A"," ",IF(OR(Dayrun2=3,Dayrun2=6,Dayrun2=9),(VLOOKUP(A155,ScaledPrice2,IF(Scaler2=2,7,8))),0))</f>
        <v> </v>
      </c>
      <c r="J155" s="317" t="str">
        <f aca="false">IF(A155="N/A"," ",IF(OR(Dayrun2=3,Dayrun2=6),IF(Scaler2=2,I155,(VLOOKUP(A155,ScaledPrice2,7))*(2-(VLOOKUP(A155,ScaledPrice2,3)))),0))</f>
        <v> </v>
      </c>
      <c r="K155" s="317" t="str">
        <f aca="false">IF($A155="N/A"," ",IF(OR(Dayrun2=3,Dayrun2=10),VLOOKUP($A155,ScaledPrice2,9),0))</f>
        <v> </v>
      </c>
      <c r="L155" s="318" t="str">
        <f aca="false">IF($A155="N/A"," ",IF(Pricetype2=2,MAX(C155,0),IF(OR(Pricetype2=1,Pricetype2=4),IF(C155=0,0,(EURO(C155,Strikeprice2,0,0,($AH155+IF(Smile=TRUE(),VLOOKUP(MAX(-5,Strikeprice2-C155),Volsmile,2),0)),($A155-DateToday)+15,IF(Pricetype2=1,1,0),0))),C155)))</f>
        <v> </v>
      </c>
      <c r="M155" s="318" t="str">
        <f aca="false">IF($A155="N/A"," ",IF(Pricetype2=2,MAX(D155,0),IF(OR(Pricetype2=1,Pricetype2=4),IF(D155=0,0,(EURO(D155,Strikeprice2,0,0,($AH155+IF(Smile=TRUE(),VLOOKUP(MAX(-5,Strikeprice2-D155),Volsmile,2),0)),($A155-DateToday)+15,IF(Pricetype2=1,1,0),0))),D155)))</f>
        <v> </v>
      </c>
      <c r="N155" s="318" t="str">
        <f aca="false">IF($A155="N/A"," ",IF(Pricetype2=2,MAX(E155,0),IF(OR(Pricetype2=1,Pricetype2=4),IF(E155=0,0,(EURO(E155,Strikeprice2,0,0,($AK155+IF(Smile=TRUE(),VLOOKUP(MAX(-5,Strikeprice2-E155),Volsmile,2),0)),($A155-DateToday)+15,IF(Pricetype2=1,1,0),0))),E155)))</f>
        <v> </v>
      </c>
      <c r="O155" s="318" t="str">
        <f aca="false">IF($A155="N/A"," ",IF(Pricetype2=2,MAX(F155,0),IF(OR(Pricetype2=1,Pricetype2=4),IF(F155=0,0,(EURO(F155,Strikeprice2,0,0,($AK155+IF(Smile=TRUE(),VLOOKUP(MAX(-5,Strikeprice2-F155),Volsmile,2),0)),($A155-DateToday)+15,IF(Pricetype2=1,1,0),0))),F155)))</f>
        <v> </v>
      </c>
      <c r="P155" s="318" t="str">
        <f aca="false">IF($A155="N/A"," ",IF(Pricetype2=2,MAX(G155,0),IF(OR(Pricetype2=1,Pricetype2=4),IF(G155=0,0,(EURO(G155,Strikeprice2,0,0,($AK155+IF(Smile=TRUE(),VLOOKUP(MAX(-5,Strikeprice2-G155),Volsmile,2),0)),($A155-DateToday)+15,IF(Pricetype2=1,1,0),0))),G155)))</f>
        <v> </v>
      </c>
      <c r="Q155" s="318" t="str">
        <f aca="false">IF($A155="N/A"," ",IF(Pricetype2=2,MAX(H155,0),IF(OR(Pricetype2=1,Pricetype2=4),IF(H155=0,0,(EURO(H155,Strikeprice2,0,0,($AK155+IF(Smile=TRUE(),VLOOKUP(MAX(-5,Strikeprice2-H155),Volsmile,2),0)),($A155-DateToday)+15,IF(Pricetype2=1,1,0),0))),H155)))</f>
        <v> </v>
      </c>
      <c r="R155" s="318" t="str">
        <f aca="false">IF($A155="N/A"," ",IF(Pricetype2=2,MAX(I155,0),IF(OR(Pricetype2=1,Pricetype2=4),IF(I155=0,0,(EURO(I155,Strikeprice2,0,0,($AK155+IF(Smile=TRUE(),VLOOKUP(MAX(-5,Strikeprice2-I155),Volsmile,2),0)),($A155-DateToday)+15,IF(Pricetype2=1,1,0),0))),I155)))</f>
        <v> </v>
      </c>
      <c r="S155" s="318" t="str">
        <f aca="false">IF($A155="N/A"," ",IF(Pricetype2=2,MAX(J155,0),IF(OR(Pricetype2=1,Pricetype2=4),IF(J155=0,0,(EURO(J155,Strikeprice2,0,0,($AK155+IF(Smile=TRUE(),VLOOKUP(MAX(-5,Strikeprice2-J155),Volsmile,2),0)),($A155-DateToday)+15,IF(Pricetype2=1,1,0),0))),J155)))</f>
        <v> </v>
      </c>
      <c r="T155" s="318" t="str">
        <f aca="false">IF($A155="N/A"," ",IF(Pricetype2=2,MAX(K155,0),IF(OR(Pricetype2=1,Pricetype2=4),IF(K155=0,0,(EURO(K155,Strikeprice2,0,0,($AK155+IF(Smile=TRUE(),VLOOKUP(MAX(-5,Strikeprice2-K155),Volsmile,2),0)),($A155-DateToday)+15,IF(Pricetype2=1,1,0),0))),K155)))</f>
        <v> </v>
      </c>
      <c r="U155" s="319" t="str">
        <f aca="false">IF($A155="N/A"," ",Volume2*$AM155)</f>
        <v> </v>
      </c>
      <c r="V155" s="320" t="str">
        <f aca="false">IF($A155="N/A"," ",$U155*(8*($BQ155))*L155)</f>
        <v> </v>
      </c>
      <c r="W155" s="320" t="str">
        <f aca="false">IF($A155="N/A"," ",$U155*(8*($BQ155))*M155)</f>
        <v> </v>
      </c>
      <c r="X155" s="320" t="str">
        <f aca="false">IF($A155="N/A"," ",$U155*(8*($BQ155))*N155)</f>
        <v> </v>
      </c>
      <c r="Y155" s="320" t="str">
        <f aca="false">IF($A155="N/A"," ",$U155*(8*($BR155))*O155)</f>
        <v> </v>
      </c>
      <c r="Z155" s="320" t="str">
        <f aca="false">IF($A155="N/A"," ",$U155*(8*($BR155))*P155)</f>
        <v> </v>
      </c>
      <c r="AA155" s="320" t="str">
        <f aca="false">IF($A155="N/A"," ",$U155*(8*($BR155))*Q155)</f>
        <v> </v>
      </c>
      <c r="AB155" s="320" t="str">
        <f aca="false">IF($A155="N/A"," ",$U155*(8*($BS155))*R155)</f>
        <v> </v>
      </c>
      <c r="AC155" s="320" t="str">
        <f aca="false">IF($A155="N/A"," ",$U155*(8*($BS155))*S155)</f>
        <v> </v>
      </c>
      <c r="AD155" s="320" t="str">
        <f aca="false">IF($A155="N/A"," ",$U155*(8*($BS155))*T155)</f>
        <v> </v>
      </c>
      <c r="AE155" s="320" t="str">
        <f aca="false">IF($A155="N/A"," ",SUM(V155:AD155))</f>
        <v> </v>
      </c>
      <c r="AF155" s="321" t="str">
        <f aca="false">IF(A155="N/A"," ",(VLOOKUP(A155,PowerVolTable,(IF(VolBMO2=2,7,IF(VolBMO2=1,6,8))),FALSE())))</f>
        <v> </v>
      </c>
      <c r="AG155" s="321" t="str">
        <f aca="false">IF(A155="N/A"," ",(VLOOKUP(A155,IntraPowerVol,(IF(VolBMO2=2,3,IF(VolBMO2=1,2,4))),FALSE())*VLOOKUP(MONTH($A155),Volscale,2)))</f>
        <v> </v>
      </c>
      <c r="AH155" s="321" t="str">
        <f aca="false">IF($A155="N/A"," ",IF(VolType2=1,AG155,AF155))</f>
        <v> </v>
      </c>
      <c r="AI155" s="321" t="str">
        <f aca="false">IF($A155="N/A"," ",(VLOOKUP($A155,OffPwrVolTable,(IF(VolBMO2=2,7,IF(VolBMO2=1,6,8))),FALSE())))</f>
        <v> </v>
      </c>
      <c r="AJ155" s="321" t="str">
        <f aca="false">IF($A155="N/A"," ",(VLOOKUP($A155,OffPwrVolTable,(IF(VolBMO2=2,3,IF(VolBMO2=1,2,4))),FALSE())*VLOOKUP(MONTH($A155),Volscale,2)))</f>
        <v> </v>
      </c>
      <c r="AK155" s="321" t="str">
        <f aca="false">IF($A155="N/A"," ",IF(VolType2=1,AJ155,AI155))</f>
        <v> </v>
      </c>
      <c r="AL155" s="321" t="str">
        <f aca="false">IF($A155="N/A"," ",IF(PV=1,0,'Pricing Inputs2'!R188))</f>
        <v> </v>
      </c>
      <c r="AM155" s="323" t="str">
        <f aca="false">IF($A155="N/A"," ",(1+AL155/2)^(-2*((EOMONTH(A155,0)+20)-DateToday)/365.25))</f>
        <v> </v>
      </c>
      <c r="BQ155" s="0" t="str">
        <f aca="false">IF($A155="N/A"," ",(VLOOKUP($A155,NumberofDaysTable,2)))</f>
        <v> </v>
      </c>
      <c r="BR155" s="0" t="str">
        <f aca="false">IF($A155="N/A"," ",(VLOOKUP($A155,NumberofDaysTable,3)))</f>
        <v> </v>
      </c>
      <c r="BS155" s="0" t="str">
        <f aca="false">IF($A155="N/A"," ",(VLOOKUP($A155,NumberofDaysTable,4)))</f>
        <v> </v>
      </c>
    </row>
    <row r="156" customFormat="false" ht="12.75" hidden="false" customHeight="false" outlineLevel="0" collapsed="false">
      <c r="A156" s="315" t="str">
        <f aca="false">IF(A155="N/A","N/A",IF(EDATE(A155,1)&gt;Inputs!$P$5,"N/A",EDATE(A155,1)))</f>
        <v>N/A</v>
      </c>
      <c r="B156" s="316" t="str">
        <f aca="false">IF(A156="N/A"," ",YEAR(A156))</f>
        <v> </v>
      </c>
      <c r="C156" s="317" t="str">
        <f aca="false">IF($A156="N/A"," ",IF(Dayrun2=10,0,IF(Scaler2=1,(VLOOKUP(A156,ScaledPrice2,4)),(VLOOKUP(A156,ScaledPrice2,2)))))</f>
        <v> </v>
      </c>
      <c r="D156" s="317" t="str">
        <f aca="false">IF(A156="N/A"," ",IF(Dayrun2&gt;=7,0,IF(Scaler2=2,VLOOKUP(A156,ScaledPrice2,2),(VLOOKUP(A156,ScaledPrice2,2))*(2-(VLOOKUP(A156,ScaledPrice2,3))))))</f>
        <v> </v>
      </c>
      <c r="E156" s="317" t="str">
        <f aca="false">IF($A156="N/A"," ",IF(AND(Dayrun2&gt;=4,Dayrun2&lt;=9),0,VLOOKUP($A156,ScaledPrice2,9)))</f>
        <v> </v>
      </c>
      <c r="F156" s="317" t="str">
        <f aca="false">IF(A156="N/A"," ",IF(OR(Dayrun2=2,Dayrun2=3,Dayrun2=5,Dayrun2=6,Dayrun2=8,Dayrun2=9),VLOOKUP(A156,ScaledPrice2,IF(Scaler2=1,6,5)),0))</f>
        <v> </v>
      </c>
      <c r="G156" s="317" t="str">
        <f aca="false">IF(A156="N/A"," ",IF(OR(Dayrun2=2,Dayrun2=3,Dayrun2=5,Dayrun2=6),IF(Scaler2=2,F156,(VLOOKUP(A156,ScaledPrice2,5))*(2-(VLOOKUP(A156,ScaledPrice2,3)))),0))</f>
        <v> </v>
      </c>
      <c r="H156" s="317" t="str">
        <f aca="false">IF($A156="N/A"," ",IF(OR(Dayrun2=2,Dayrun2=3,Dayrun2=10),VLOOKUP($A156,ScaledPrice2,9),0))</f>
        <v> </v>
      </c>
      <c r="I156" s="317" t="str">
        <f aca="false">IF(A156="N/A"," ",IF(OR(Dayrun2=3,Dayrun2=6,Dayrun2=9),(VLOOKUP(A156,ScaledPrice2,IF(Scaler2=2,7,8))),0))</f>
        <v> </v>
      </c>
      <c r="J156" s="317" t="str">
        <f aca="false">IF(A156="N/A"," ",IF(OR(Dayrun2=3,Dayrun2=6),IF(Scaler2=2,I156,(VLOOKUP(A156,ScaledPrice2,7))*(2-(VLOOKUP(A156,ScaledPrice2,3)))),0))</f>
        <v> </v>
      </c>
      <c r="K156" s="317" t="str">
        <f aca="false">IF($A156="N/A"," ",IF(OR(Dayrun2=3,Dayrun2=10),VLOOKUP($A156,ScaledPrice2,9),0))</f>
        <v> </v>
      </c>
      <c r="L156" s="318" t="str">
        <f aca="false">IF($A156="N/A"," ",IF(Pricetype2=2,MAX(C156,0),IF(OR(Pricetype2=1,Pricetype2=4),IF(C156=0,0,(EURO(C156,Strikeprice2,0,0,($AH156+IF(Smile=TRUE(),VLOOKUP(MAX(-5,Strikeprice2-C156),Volsmile,2),0)),($A156-DateToday)+15,IF(Pricetype2=1,1,0),0))),C156)))</f>
        <v> </v>
      </c>
      <c r="M156" s="318" t="str">
        <f aca="false">IF($A156="N/A"," ",IF(Pricetype2=2,MAX(D156,0),IF(OR(Pricetype2=1,Pricetype2=4),IF(D156=0,0,(EURO(D156,Strikeprice2,0,0,($AH156+IF(Smile=TRUE(),VLOOKUP(MAX(-5,Strikeprice2-D156),Volsmile,2),0)),($A156-DateToday)+15,IF(Pricetype2=1,1,0),0))),D156)))</f>
        <v> </v>
      </c>
      <c r="N156" s="318" t="str">
        <f aca="false">IF($A156="N/A"," ",IF(Pricetype2=2,MAX(E156,0),IF(OR(Pricetype2=1,Pricetype2=4),IF(E156=0,0,(EURO(E156,Strikeprice2,0,0,($AK156+IF(Smile=TRUE(),VLOOKUP(MAX(-5,Strikeprice2-E156),Volsmile,2),0)),($A156-DateToday)+15,IF(Pricetype2=1,1,0),0))),E156)))</f>
        <v> </v>
      </c>
      <c r="O156" s="318" t="str">
        <f aca="false">IF($A156="N/A"," ",IF(Pricetype2=2,MAX(F156,0),IF(OR(Pricetype2=1,Pricetype2=4),IF(F156=0,0,(EURO(F156,Strikeprice2,0,0,($AK156+IF(Smile=TRUE(),VLOOKUP(MAX(-5,Strikeprice2-F156),Volsmile,2),0)),($A156-DateToday)+15,IF(Pricetype2=1,1,0),0))),F156)))</f>
        <v> </v>
      </c>
      <c r="P156" s="318" t="str">
        <f aca="false">IF($A156="N/A"," ",IF(Pricetype2=2,MAX(G156,0),IF(OR(Pricetype2=1,Pricetype2=4),IF(G156=0,0,(EURO(G156,Strikeprice2,0,0,($AK156+IF(Smile=TRUE(),VLOOKUP(MAX(-5,Strikeprice2-G156),Volsmile,2),0)),($A156-DateToday)+15,IF(Pricetype2=1,1,0),0))),G156)))</f>
        <v> </v>
      </c>
      <c r="Q156" s="318" t="str">
        <f aca="false">IF($A156="N/A"," ",IF(Pricetype2=2,MAX(H156,0),IF(OR(Pricetype2=1,Pricetype2=4),IF(H156=0,0,(EURO(H156,Strikeprice2,0,0,($AK156+IF(Smile=TRUE(),VLOOKUP(MAX(-5,Strikeprice2-H156),Volsmile,2),0)),($A156-DateToday)+15,IF(Pricetype2=1,1,0),0))),H156)))</f>
        <v> </v>
      </c>
      <c r="R156" s="318" t="str">
        <f aca="false">IF($A156="N/A"," ",IF(Pricetype2=2,MAX(I156,0),IF(OR(Pricetype2=1,Pricetype2=4),IF(I156=0,0,(EURO(I156,Strikeprice2,0,0,($AK156+IF(Smile=TRUE(),VLOOKUP(MAX(-5,Strikeprice2-I156),Volsmile,2),0)),($A156-DateToday)+15,IF(Pricetype2=1,1,0),0))),I156)))</f>
        <v> </v>
      </c>
      <c r="S156" s="318" t="str">
        <f aca="false">IF($A156="N/A"," ",IF(Pricetype2=2,MAX(J156,0),IF(OR(Pricetype2=1,Pricetype2=4),IF(J156=0,0,(EURO(J156,Strikeprice2,0,0,($AK156+IF(Smile=TRUE(),VLOOKUP(MAX(-5,Strikeprice2-J156),Volsmile,2),0)),($A156-DateToday)+15,IF(Pricetype2=1,1,0),0))),J156)))</f>
        <v> </v>
      </c>
      <c r="T156" s="318" t="str">
        <f aca="false">IF($A156="N/A"," ",IF(Pricetype2=2,MAX(K156,0),IF(OR(Pricetype2=1,Pricetype2=4),IF(K156=0,0,(EURO(K156,Strikeprice2,0,0,($AK156+IF(Smile=TRUE(),VLOOKUP(MAX(-5,Strikeprice2-K156),Volsmile,2),0)),($A156-DateToday)+15,IF(Pricetype2=1,1,0),0))),K156)))</f>
        <v> </v>
      </c>
      <c r="U156" s="319" t="str">
        <f aca="false">IF($A156="N/A"," ",Volume2*$AM156)</f>
        <v> </v>
      </c>
      <c r="V156" s="320" t="str">
        <f aca="false">IF($A156="N/A"," ",$U156*(8*($BQ156))*L156)</f>
        <v> </v>
      </c>
      <c r="W156" s="320" t="str">
        <f aca="false">IF($A156="N/A"," ",$U156*(8*($BQ156))*M156)</f>
        <v> </v>
      </c>
      <c r="X156" s="320" t="str">
        <f aca="false">IF($A156="N/A"," ",$U156*(8*($BQ156))*N156)</f>
        <v> </v>
      </c>
      <c r="Y156" s="320" t="str">
        <f aca="false">IF($A156="N/A"," ",$U156*(8*($BR156))*O156)</f>
        <v> </v>
      </c>
      <c r="Z156" s="320" t="str">
        <f aca="false">IF($A156="N/A"," ",$U156*(8*($BR156))*P156)</f>
        <v> </v>
      </c>
      <c r="AA156" s="320" t="str">
        <f aca="false">IF($A156="N/A"," ",$U156*(8*($BR156))*Q156)</f>
        <v> </v>
      </c>
      <c r="AB156" s="320" t="str">
        <f aca="false">IF($A156="N/A"," ",$U156*(8*($BS156))*R156)</f>
        <v> </v>
      </c>
      <c r="AC156" s="320" t="str">
        <f aca="false">IF($A156="N/A"," ",$U156*(8*($BS156))*S156)</f>
        <v> </v>
      </c>
      <c r="AD156" s="320" t="str">
        <f aca="false">IF($A156="N/A"," ",$U156*(8*($BS156))*T156)</f>
        <v> </v>
      </c>
      <c r="AE156" s="320" t="str">
        <f aca="false">IF($A156="N/A"," ",SUM(V156:AD156))</f>
        <v> </v>
      </c>
      <c r="AF156" s="321" t="str">
        <f aca="false">IF(A156="N/A"," ",(VLOOKUP(A156,PowerVolTable,(IF(VolBMO2=2,7,IF(VolBMO2=1,6,8))),FALSE())))</f>
        <v> </v>
      </c>
      <c r="AG156" s="321" t="str">
        <f aca="false">IF(A156="N/A"," ",(VLOOKUP(A156,IntraPowerVol,(IF(VolBMO2=2,3,IF(VolBMO2=1,2,4))),FALSE())*VLOOKUP(MONTH($A156),Volscale,2)))</f>
        <v> </v>
      </c>
      <c r="AH156" s="321" t="str">
        <f aca="false">IF($A156="N/A"," ",IF(VolType2=1,AG156,AF156))</f>
        <v> </v>
      </c>
      <c r="AI156" s="321" t="str">
        <f aca="false">IF($A156="N/A"," ",(VLOOKUP($A156,OffPwrVolTable,(IF(VolBMO2=2,7,IF(VolBMO2=1,6,8))),FALSE())))</f>
        <v> </v>
      </c>
      <c r="AJ156" s="321" t="str">
        <f aca="false">IF($A156="N/A"," ",(VLOOKUP($A156,OffPwrVolTable,(IF(VolBMO2=2,3,IF(VolBMO2=1,2,4))),FALSE())*VLOOKUP(MONTH($A156),Volscale,2)))</f>
        <v> </v>
      </c>
      <c r="AK156" s="321" t="str">
        <f aca="false">IF($A156="N/A"," ",IF(VolType2=1,AJ156,AI156))</f>
        <v> </v>
      </c>
      <c r="AL156" s="321" t="str">
        <f aca="false">IF($A156="N/A"," ",IF(PV=1,0,'Pricing Inputs2'!R189))</f>
        <v> </v>
      </c>
      <c r="AM156" s="323" t="str">
        <f aca="false">IF($A156="N/A"," ",(1+AL156/2)^(-2*((EOMONTH(A156,0)+20)-DateToday)/365.25))</f>
        <v> </v>
      </c>
      <c r="BQ156" s="0" t="str">
        <f aca="false">IF($A156="N/A"," ",(VLOOKUP($A156,NumberofDaysTable,2)))</f>
        <v> </v>
      </c>
      <c r="BR156" s="0" t="str">
        <f aca="false">IF($A156="N/A"," ",(VLOOKUP($A156,NumberofDaysTable,3)))</f>
        <v> </v>
      </c>
      <c r="BS156" s="0" t="str">
        <f aca="false">IF($A156="N/A"," ",(VLOOKUP($A156,NumberofDaysTable,4)))</f>
        <v> </v>
      </c>
    </row>
    <row r="157" customFormat="false" ht="12.75" hidden="false" customHeight="false" outlineLevel="0" collapsed="false">
      <c r="A157" s="315" t="str">
        <f aca="false">IF(A156="N/A","N/A",IF(EDATE(A156,1)&gt;Inputs!$P$5,"N/A",EDATE(A156,1)))</f>
        <v>N/A</v>
      </c>
      <c r="B157" s="316" t="str">
        <f aca="false">IF(A157="N/A"," ",YEAR(A157))</f>
        <v> </v>
      </c>
      <c r="C157" s="317" t="str">
        <f aca="false">IF($A157="N/A"," ",IF(Dayrun2=10,0,IF(Scaler2=1,(VLOOKUP(A157,ScaledPrice2,4)),(VLOOKUP(A157,ScaledPrice2,2)))))</f>
        <v> </v>
      </c>
      <c r="D157" s="317" t="str">
        <f aca="false">IF(A157="N/A"," ",IF(Dayrun2&gt;=7,0,IF(Scaler2=2,VLOOKUP(A157,ScaledPrice2,2),(VLOOKUP(A157,ScaledPrice2,2))*(2-(VLOOKUP(A157,ScaledPrice2,3))))))</f>
        <v> </v>
      </c>
      <c r="E157" s="317" t="str">
        <f aca="false">IF($A157="N/A"," ",IF(AND(Dayrun2&gt;=4,Dayrun2&lt;=9),0,VLOOKUP($A157,ScaledPrice2,9)))</f>
        <v> </v>
      </c>
      <c r="F157" s="317" t="str">
        <f aca="false">IF(A157="N/A"," ",IF(OR(Dayrun2=2,Dayrun2=3,Dayrun2=5,Dayrun2=6,Dayrun2=8,Dayrun2=9),VLOOKUP(A157,ScaledPrice2,IF(Scaler2=1,6,5)),0))</f>
        <v> </v>
      </c>
      <c r="G157" s="317" t="str">
        <f aca="false">IF(A157="N/A"," ",IF(OR(Dayrun2=2,Dayrun2=3,Dayrun2=5,Dayrun2=6),IF(Scaler2=2,F157,(VLOOKUP(A157,ScaledPrice2,5))*(2-(VLOOKUP(A157,ScaledPrice2,3)))),0))</f>
        <v> </v>
      </c>
      <c r="H157" s="317" t="str">
        <f aca="false">IF($A157="N/A"," ",IF(OR(Dayrun2=2,Dayrun2=3,Dayrun2=10),VLOOKUP($A157,ScaledPrice2,9),0))</f>
        <v> </v>
      </c>
      <c r="I157" s="317" t="str">
        <f aca="false">IF(A157="N/A"," ",IF(OR(Dayrun2=3,Dayrun2=6,Dayrun2=9),(VLOOKUP(A157,ScaledPrice2,IF(Scaler2=2,7,8))),0))</f>
        <v> </v>
      </c>
      <c r="J157" s="317" t="str">
        <f aca="false">IF(A157="N/A"," ",IF(OR(Dayrun2=3,Dayrun2=6),IF(Scaler2=2,I157,(VLOOKUP(A157,ScaledPrice2,7))*(2-(VLOOKUP(A157,ScaledPrice2,3)))),0))</f>
        <v> </v>
      </c>
      <c r="K157" s="317" t="str">
        <f aca="false">IF($A157="N/A"," ",IF(OR(Dayrun2=3,Dayrun2=10),VLOOKUP($A157,ScaledPrice2,9),0))</f>
        <v> </v>
      </c>
      <c r="L157" s="318" t="str">
        <f aca="false">IF($A157="N/A"," ",IF(Pricetype2=2,MAX(C157,0),IF(OR(Pricetype2=1,Pricetype2=4),IF(C157=0,0,(EURO(C157,Strikeprice2,0,0,($AH157+IF(Smile=TRUE(),VLOOKUP(MAX(-5,Strikeprice2-C157),Volsmile,2),0)),($A157-DateToday)+15,IF(Pricetype2=1,1,0),0))),C157)))</f>
        <v> </v>
      </c>
      <c r="M157" s="318" t="str">
        <f aca="false">IF($A157="N/A"," ",IF(Pricetype2=2,MAX(D157,0),IF(OR(Pricetype2=1,Pricetype2=4),IF(D157=0,0,(EURO(D157,Strikeprice2,0,0,($AH157+IF(Smile=TRUE(),VLOOKUP(MAX(-5,Strikeprice2-D157),Volsmile,2),0)),($A157-DateToday)+15,IF(Pricetype2=1,1,0),0))),D157)))</f>
        <v> </v>
      </c>
      <c r="N157" s="318" t="str">
        <f aca="false">IF($A157="N/A"," ",IF(Pricetype2=2,MAX(E157,0),IF(OR(Pricetype2=1,Pricetype2=4),IF(E157=0,0,(EURO(E157,Strikeprice2,0,0,($AK157+IF(Smile=TRUE(),VLOOKUP(MAX(-5,Strikeprice2-E157),Volsmile,2),0)),($A157-DateToday)+15,IF(Pricetype2=1,1,0),0))),E157)))</f>
        <v> </v>
      </c>
      <c r="O157" s="318" t="str">
        <f aca="false">IF($A157="N/A"," ",IF(Pricetype2=2,MAX(F157,0),IF(OR(Pricetype2=1,Pricetype2=4),IF(F157=0,0,(EURO(F157,Strikeprice2,0,0,($AK157+IF(Smile=TRUE(),VLOOKUP(MAX(-5,Strikeprice2-F157),Volsmile,2),0)),($A157-DateToday)+15,IF(Pricetype2=1,1,0),0))),F157)))</f>
        <v> </v>
      </c>
      <c r="P157" s="318" t="str">
        <f aca="false">IF($A157="N/A"," ",IF(Pricetype2=2,MAX(G157,0),IF(OR(Pricetype2=1,Pricetype2=4),IF(G157=0,0,(EURO(G157,Strikeprice2,0,0,($AK157+IF(Smile=TRUE(),VLOOKUP(MAX(-5,Strikeprice2-G157),Volsmile,2),0)),($A157-DateToday)+15,IF(Pricetype2=1,1,0),0))),G157)))</f>
        <v> </v>
      </c>
      <c r="Q157" s="318" t="str">
        <f aca="false">IF($A157="N/A"," ",IF(Pricetype2=2,MAX(H157,0),IF(OR(Pricetype2=1,Pricetype2=4),IF(H157=0,0,(EURO(H157,Strikeprice2,0,0,($AK157+IF(Smile=TRUE(),VLOOKUP(MAX(-5,Strikeprice2-H157),Volsmile,2),0)),($A157-DateToday)+15,IF(Pricetype2=1,1,0),0))),H157)))</f>
        <v> </v>
      </c>
      <c r="R157" s="318" t="str">
        <f aca="false">IF($A157="N/A"," ",IF(Pricetype2=2,MAX(I157,0),IF(OR(Pricetype2=1,Pricetype2=4),IF(I157=0,0,(EURO(I157,Strikeprice2,0,0,($AK157+IF(Smile=TRUE(),VLOOKUP(MAX(-5,Strikeprice2-I157),Volsmile,2),0)),($A157-DateToday)+15,IF(Pricetype2=1,1,0),0))),I157)))</f>
        <v> </v>
      </c>
      <c r="S157" s="318" t="str">
        <f aca="false">IF($A157="N/A"," ",IF(Pricetype2=2,MAX(J157,0),IF(OR(Pricetype2=1,Pricetype2=4),IF(J157=0,0,(EURO(J157,Strikeprice2,0,0,($AK157+IF(Smile=TRUE(),VLOOKUP(MAX(-5,Strikeprice2-J157),Volsmile,2),0)),($A157-DateToday)+15,IF(Pricetype2=1,1,0),0))),J157)))</f>
        <v> </v>
      </c>
      <c r="T157" s="318" t="str">
        <f aca="false">IF($A157="N/A"," ",IF(Pricetype2=2,MAX(K157,0),IF(OR(Pricetype2=1,Pricetype2=4),IF(K157=0,0,(EURO(K157,Strikeprice2,0,0,($AK157+IF(Smile=TRUE(),VLOOKUP(MAX(-5,Strikeprice2-K157),Volsmile,2),0)),($A157-DateToday)+15,IF(Pricetype2=1,1,0),0))),K157)))</f>
        <v> </v>
      </c>
      <c r="U157" s="319" t="str">
        <f aca="false">IF($A157="N/A"," ",Volume2*$AM157)</f>
        <v> </v>
      </c>
      <c r="V157" s="320" t="str">
        <f aca="false">IF($A157="N/A"," ",$U157*(8*($BQ157))*L157)</f>
        <v> </v>
      </c>
      <c r="W157" s="320" t="str">
        <f aca="false">IF($A157="N/A"," ",$U157*(8*($BQ157))*M157)</f>
        <v> </v>
      </c>
      <c r="X157" s="320" t="str">
        <f aca="false">IF($A157="N/A"," ",$U157*(8*($BQ157))*N157)</f>
        <v> </v>
      </c>
      <c r="Y157" s="320" t="str">
        <f aca="false">IF($A157="N/A"," ",$U157*(8*($BR157))*O157)</f>
        <v> </v>
      </c>
      <c r="Z157" s="320" t="str">
        <f aca="false">IF($A157="N/A"," ",$U157*(8*($BR157))*P157)</f>
        <v> </v>
      </c>
      <c r="AA157" s="320" t="str">
        <f aca="false">IF($A157="N/A"," ",$U157*(8*($BR157))*Q157)</f>
        <v> </v>
      </c>
      <c r="AB157" s="320" t="str">
        <f aca="false">IF($A157="N/A"," ",$U157*(8*($BS157))*R157)</f>
        <v> </v>
      </c>
      <c r="AC157" s="320" t="str">
        <f aca="false">IF($A157="N/A"," ",$U157*(8*($BS157))*S157)</f>
        <v> </v>
      </c>
      <c r="AD157" s="320" t="str">
        <f aca="false">IF($A157="N/A"," ",$U157*(8*($BS157))*T157)</f>
        <v> </v>
      </c>
      <c r="AE157" s="320" t="str">
        <f aca="false">IF($A157="N/A"," ",SUM(V157:AD157))</f>
        <v> </v>
      </c>
      <c r="AF157" s="321" t="str">
        <f aca="false">IF(A157="N/A"," ",(VLOOKUP(A157,PowerVolTable,(IF(VolBMO2=2,7,IF(VolBMO2=1,6,8))),FALSE())))</f>
        <v> </v>
      </c>
      <c r="AG157" s="321" t="str">
        <f aca="false">IF(A157="N/A"," ",(VLOOKUP(A157,IntraPowerVol,(IF(VolBMO2=2,3,IF(VolBMO2=1,2,4))),FALSE())*VLOOKUP(MONTH($A157),Volscale,2)))</f>
        <v> </v>
      </c>
      <c r="AH157" s="321" t="str">
        <f aca="false">IF($A157="N/A"," ",IF(VolType2=1,AG157,AF157))</f>
        <v> </v>
      </c>
      <c r="AI157" s="321" t="str">
        <f aca="false">IF($A157="N/A"," ",(VLOOKUP($A157,OffPwrVolTable,(IF(VolBMO2=2,7,IF(VolBMO2=1,6,8))),FALSE())))</f>
        <v> </v>
      </c>
      <c r="AJ157" s="321" t="str">
        <f aca="false">IF($A157="N/A"," ",(VLOOKUP($A157,OffPwrVolTable,(IF(VolBMO2=2,3,IF(VolBMO2=1,2,4))),FALSE())*VLOOKUP(MONTH($A157),Volscale,2)))</f>
        <v> </v>
      </c>
      <c r="AK157" s="321" t="str">
        <f aca="false">IF($A157="N/A"," ",IF(VolType2=1,AJ157,AI157))</f>
        <v> </v>
      </c>
      <c r="AL157" s="321" t="str">
        <f aca="false">IF($A157="N/A"," ",IF(PV=1,0,'Pricing Inputs2'!R190))</f>
        <v> </v>
      </c>
      <c r="AM157" s="323" t="str">
        <f aca="false">IF($A157="N/A"," ",(1+AL157/2)^(-2*((EOMONTH(A157,0)+20)-DateToday)/365.25))</f>
        <v> </v>
      </c>
      <c r="BQ157" s="0" t="str">
        <f aca="false">IF($A157="N/A"," ",(VLOOKUP($A157,NumberofDaysTable,2)))</f>
        <v> </v>
      </c>
      <c r="BR157" s="0" t="str">
        <f aca="false">IF($A157="N/A"," ",(VLOOKUP($A157,NumberofDaysTable,3)))</f>
        <v> </v>
      </c>
      <c r="BS157" s="0" t="str">
        <f aca="false">IF($A157="N/A"," ",(VLOOKUP($A157,NumberofDaysTable,4)))</f>
        <v> </v>
      </c>
    </row>
    <row r="158" customFormat="false" ht="12.75" hidden="false" customHeight="false" outlineLevel="0" collapsed="false">
      <c r="A158" s="315" t="str">
        <f aca="false">IF(A157="N/A","N/A",IF(EDATE(A157,1)&gt;Inputs!$P$5,"N/A",EDATE(A157,1)))</f>
        <v>N/A</v>
      </c>
      <c r="B158" s="316" t="str">
        <f aca="false">IF(A158="N/A"," ",YEAR(A158))</f>
        <v> </v>
      </c>
      <c r="C158" s="317" t="str">
        <f aca="false">IF($A158="N/A"," ",IF(Dayrun2=10,0,IF(Scaler2=1,(VLOOKUP(A158,ScaledPrice2,4)),(VLOOKUP(A158,ScaledPrice2,2)))))</f>
        <v> </v>
      </c>
      <c r="D158" s="317" t="str">
        <f aca="false">IF(A158="N/A"," ",IF(Dayrun2&gt;=7,0,IF(Scaler2=2,VLOOKUP(A158,ScaledPrice2,2),(VLOOKUP(A158,ScaledPrice2,2))*(2-(VLOOKUP(A158,ScaledPrice2,3))))))</f>
        <v> </v>
      </c>
      <c r="E158" s="317" t="str">
        <f aca="false">IF($A158="N/A"," ",IF(AND(Dayrun2&gt;=4,Dayrun2&lt;=9),0,VLOOKUP($A158,ScaledPrice2,9)))</f>
        <v> </v>
      </c>
      <c r="F158" s="317" t="str">
        <f aca="false">IF(A158="N/A"," ",IF(OR(Dayrun2=2,Dayrun2=3,Dayrun2=5,Dayrun2=6,Dayrun2=8,Dayrun2=9),VLOOKUP(A158,ScaledPrice2,IF(Scaler2=1,6,5)),0))</f>
        <v> </v>
      </c>
      <c r="G158" s="317" t="str">
        <f aca="false">IF(A158="N/A"," ",IF(OR(Dayrun2=2,Dayrun2=3,Dayrun2=5,Dayrun2=6),IF(Scaler2=2,F158,(VLOOKUP(A158,ScaledPrice2,5))*(2-(VLOOKUP(A158,ScaledPrice2,3)))),0))</f>
        <v> </v>
      </c>
      <c r="H158" s="317" t="str">
        <f aca="false">IF($A158="N/A"," ",IF(OR(Dayrun2=2,Dayrun2=3,Dayrun2=10),VLOOKUP($A158,ScaledPrice2,9),0))</f>
        <v> </v>
      </c>
      <c r="I158" s="317" t="str">
        <f aca="false">IF(A158="N/A"," ",IF(OR(Dayrun2=3,Dayrun2=6,Dayrun2=9),(VLOOKUP(A158,ScaledPrice2,IF(Scaler2=2,7,8))),0))</f>
        <v> </v>
      </c>
      <c r="J158" s="317" t="str">
        <f aca="false">IF(A158="N/A"," ",IF(OR(Dayrun2=3,Dayrun2=6),IF(Scaler2=2,I158,(VLOOKUP(A158,ScaledPrice2,7))*(2-(VLOOKUP(A158,ScaledPrice2,3)))),0))</f>
        <v> </v>
      </c>
      <c r="K158" s="317" t="str">
        <f aca="false">IF($A158="N/A"," ",IF(OR(Dayrun2=3,Dayrun2=10),VLOOKUP($A158,ScaledPrice2,9),0))</f>
        <v> </v>
      </c>
      <c r="L158" s="318" t="str">
        <f aca="false">IF($A158="N/A"," ",IF(Pricetype2=2,MAX(C158,0),IF(OR(Pricetype2=1,Pricetype2=4),IF(C158=0,0,(EURO(C158,Strikeprice2,0,0,($AH158+IF(Smile=TRUE(),VLOOKUP(MAX(-5,Strikeprice2-C158),Volsmile,2),0)),($A158-DateToday)+15,IF(Pricetype2=1,1,0),0))),C158)))</f>
        <v> </v>
      </c>
      <c r="M158" s="318" t="str">
        <f aca="false">IF($A158="N/A"," ",IF(Pricetype2=2,MAX(D158,0),IF(OR(Pricetype2=1,Pricetype2=4),IF(D158=0,0,(EURO(D158,Strikeprice2,0,0,($AH158+IF(Smile=TRUE(),VLOOKUP(MAX(-5,Strikeprice2-D158),Volsmile,2),0)),($A158-DateToday)+15,IF(Pricetype2=1,1,0),0))),D158)))</f>
        <v> </v>
      </c>
      <c r="N158" s="318" t="str">
        <f aca="false">IF($A158="N/A"," ",IF(Pricetype2=2,MAX(E158,0),IF(OR(Pricetype2=1,Pricetype2=4),IF(E158=0,0,(EURO(E158,Strikeprice2,0,0,($AK158+IF(Smile=TRUE(),VLOOKUP(MAX(-5,Strikeprice2-E158),Volsmile,2),0)),($A158-DateToday)+15,IF(Pricetype2=1,1,0),0))),E158)))</f>
        <v> </v>
      </c>
      <c r="O158" s="318" t="str">
        <f aca="false">IF($A158="N/A"," ",IF(Pricetype2=2,MAX(F158,0),IF(OR(Pricetype2=1,Pricetype2=4),IF(F158=0,0,(EURO(F158,Strikeprice2,0,0,($AK158+IF(Smile=TRUE(),VLOOKUP(MAX(-5,Strikeprice2-F158),Volsmile,2),0)),($A158-DateToday)+15,IF(Pricetype2=1,1,0),0))),F158)))</f>
        <v> </v>
      </c>
      <c r="P158" s="318" t="str">
        <f aca="false">IF($A158="N/A"," ",IF(Pricetype2=2,MAX(G158,0),IF(OR(Pricetype2=1,Pricetype2=4),IF(G158=0,0,(EURO(G158,Strikeprice2,0,0,($AK158+IF(Smile=TRUE(),VLOOKUP(MAX(-5,Strikeprice2-G158),Volsmile,2),0)),($A158-DateToday)+15,IF(Pricetype2=1,1,0),0))),G158)))</f>
        <v> </v>
      </c>
      <c r="Q158" s="318" t="str">
        <f aca="false">IF($A158="N/A"," ",IF(Pricetype2=2,MAX(H158,0),IF(OR(Pricetype2=1,Pricetype2=4),IF(H158=0,0,(EURO(H158,Strikeprice2,0,0,($AK158+IF(Smile=TRUE(),VLOOKUP(MAX(-5,Strikeprice2-H158),Volsmile,2),0)),($A158-DateToday)+15,IF(Pricetype2=1,1,0),0))),H158)))</f>
        <v> </v>
      </c>
      <c r="R158" s="318" t="str">
        <f aca="false">IF($A158="N/A"," ",IF(Pricetype2=2,MAX(I158,0),IF(OR(Pricetype2=1,Pricetype2=4),IF(I158=0,0,(EURO(I158,Strikeprice2,0,0,($AK158+IF(Smile=TRUE(),VLOOKUP(MAX(-5,Strikeprice2-I158),Volsmile,2),0)),($A158-DateToday)+15,IF(Pricetype2=1,1,0),0))),I158)))</f>
        <v> </v>
      </c>
      <c r="S158" s="318" t="str">
        <f aca="false">IF($A158="N/A"," ",IF(Pricetype2=2,MAX(J158,0),IF(OR(Pricetype2=1,Pricetype2=4),IF(J158=0,0,(EURO(J158,Strikeprice2,0,0,($AK158+IF(Smile=TRUE(),VLOOKUP(MAX(-5,Strikeprice2-J158),Volsmile,2),0)),($A158-DateToday)+15,IF(Pricetype2=1,1,0),0))),J158)))</f>
        <v> </v>
      </c>
      <c r="T158" s="318" t="str">
        <f aca="false">IF($A158="N/A"," ",IF(Pricetype2=2,MAX(K158,0),IF(OR(Pricetype2=1,Pricetype2=4),IF(K158=0,0,(EURO(K158,Strikeprice2,0,0,($AK158+IF(Smile=TRUE(),VLOOKUP(MAX(-5,Strikeprice2-K158),Volsmile,2),0)),($A158-DateToday)+15,IF(Pricetype2=1,1,0),0))),K158)))</f>
        <v> </v>
      </c>
      <c r="U158" s="319" t="str">
        <f aca="false">IF($A158="N/A"," ",Volume2*$AM158)</f>
        <v> </v>
      </c>
      <c r="V158" s="320" t="str">
        <f aca="false">IF($A158="N/A"," ",$U158*(8*($BQ158))*L158)</f>
        <v> </v>
      </c>
      <c r="W158" s="320" t="str">
        <f aca="false">IF($A158="N/A"," ",$U158*(8*($BQ158))*M158)</f>
        <v> </v>
      </c>
      <c r="X158" s="320" t="str">
        <f aca="false">IF($A158="N/A"," ",$U158*(8*($BQ158))*N158)</f>
        <v> </v>
      </c>
      <c r="Y158" s="320" t="str">
        <f aca="false">IF($A158="N/A"," ",$U158*(8*($BR158))*O158)</f>
        <v> </v>
      </c>
      <c r="Z158" s="320" t="str">
        <f aca="false">IF($A158="N/A"," ",$U158*(8*($BR158))*P158)</f>
        <v> </v>
      </c>
      <c r="AA158" s="320" t="str">
        <f aca="false">IF($A158="N/A"," ",$U158*(8*($BR158))*Q158)</f>
        <v> </v>
      </c>
      <c r="AB158" s="320" t="str">
        <f aca="false">IF($A158="N/A"," ",$U158*(8*($BS158))*R158)</f>
        <v> </v>
      </c>
      <c r="AC158" s="320" t="str">
        <f aca="false">IF($A158="N/A"," ",$U158*(8*($BS158))*S158)</f>
        <v> </v>
      </c>
      <c r="AD158" s="320" t="str">
        <f aca="false">IF($A158="N/A"," ",$U158*(8*($BS158))*T158)</f>
        <v> </v>
      </c>
      <c r="AE158" s="320" t="str">
        <f aca="false">IF($A158="N/A"," ",SUM(V158:AD158))</f>
        <v> </v>
      </c>
      <c r="AF158" s="321" t="str">
        <f aca="false">IF(A158="N/A"," ",(VLOOKUP(A158,PowerVolTable,(IF(VolBMO2=2,7,IF(VolBMO2=1,6,8))),FALSE())))</f>
        <v> </v>
      </c>
      <c r="AG158" s="321" t="str">
        <f aca="false">IF(A158="N/A"," ",(VLOOKUP(A158,IntraPowerVol,(IF(VolBMO2=2,3,IF(VolBMO2=1,2,4))),FALSE())*VLOOKUP(MONTH($A158),Volscale,2)))</f>
        <v> </v>
      </c>
      <c r="AH158" s="321" t="str">
        <f aca="false">IF($A158="N/A"," ",IF(VolType2=1,AG158,AF158))</f>
        <v> </v>
      </c>
      <c r="AI158" s="321" t="str">
        <f aca="false">IF($A158="N/A"," ",(VLOOKUP($A158,OffPwrVolTable,(IF(VolBMO2=2,7,IF(VolBMO2=1,6,8))),FALSE())))</f>
        <v> </v>
      </c>
      <c r="AJ158" s="321" t="str">
        <f aca="false">IF($A158="N/A"," ",(VLOOKUP($A158,OffPwrVolTable,(IF(VolBMO2=2,3,IF(VolBMO2=1,2,4))),FALSE())*VLOOKUP(MONTH($A158),Volscale,2)))</f>
        <v> </v>
      </c>
      <c r="AK158" s="321" t="str">
        <f aca="false">IF($A158="N/A"," ",IF(VolType2=1,AJ158,AI158))</f>
        <v> </v>
      </c>
      <c r="AL158" s="321" t="str">
        <f aca="false">IF($A158="N/A"," ",IF(PV=1,0,'Pricing Inputs2'!R191))</f>
        <v> </v>
      </c>
      <c r="AM158" s="323" t="str">
        <f aca="false">IF($A158="N/A"," ",(1+AL158/2)^(-2*((EOMONTH(A158,0)+20)-DateToday)/365.25))</f>
        <v> </v>
      </c>
      <c r="BQ158" s="0" t="str">
        <f aca="false">IF($A158="N/A"," ",(VLOOKUP($A158,NumberofDaysTable,2)))</f>
        <v> </v>
      </c>
      <c r="BR158" s="0" t="str">
        <f aca="false">IF($A158="N/A"," ",(VLOOKUP($A158,NumberofDaysTable,3)))</f>
        <v> </v>
      </c>
      <c r="BS158" s="0" t="str">
        <f aca="false">IF($A158="N/A"," ",(VLOOKUP($A158,NumberofDaysTable,4)))</f>
        <v> </v>
      </c>
    </row>
    <row r="159" customFormat="false" ht="12.75" hidden="false" customHeight="false" outlineLevel="0" collapsed="false">
      <c r="A159" s="315" t="str">
        <f aca="false">IF(A158="N/A","N/A",IF(EDATE(A158,1)&gt;Inputs!$P$5,"N/A",EDATE(A158,1)))</f>
        <v>N/A</v>
      </c>
      <c r="B159" s="316" t="str">
        <f aca="false">IF(A159="N/A"," ",YEAR(A159))</f>
        <v> </v>
      </c>
      <c r="C159" s="317" t="str">
        <f aca="false">IF($A159="N/A"," ",IF(Dayrun2=10,0,IF(Scaler2=1,(VLOOKUP(A159,ScaledPrice2,4)),(VLOOKUP(A159,ScaledPrice2,2)))))</f>
        <v> </v>
      </c>
      <c r="D159" s="317" t="str">
        <f aca="false">IF(A159="N/A"," ",IF(Dayrun2&gt;=7,0,IF(Scaler2=2,VLOOKUP(A159,ScaledPrice2,2),(VLOOKUP(A159,ScaledPrice2,2))*(2-(VLOOKUP(A159,ScaledPrice2,3))))))</f>
        <v> </v>
      </c>
      <c r="E159" s="317" t="str">
        <f aca="false">IF($A159="N/A"," ",IF(AND(Dayrun2&gt;=4,Dayrun2&lt;=9),0,VLOOKUP($A159,ScaledPrice2,9)))</f>
        <v> </v>
      </c>
      <c r="F159" s="317" t="str">
        <f aca="false">IF(A159="N/A"," ",IF(OR(Dayrun2=2,Dayrun2=3,Dayrun2=5,Dayrun2=6,Dayrun2=8,Dayrun2=9),VLOOKUP(A159,ScaledPrice2,IF(Scaler2=1,6,5)),0))</f>
        <v> </v>
      </c>
      <c r="G159" s="317" t="str">
        <f aca="false">IF(A159="N/A"," ",IF(OR(Dayrun2=2,Dayrun2=3,Dayrun2=5,Dayrun2=6),IF(Scaler2=2,F159,(VLOOKUP(A159,ScaledPrice2,5))*(2-(VLOOKUP(A159,ScaledPrice2,3)))),0))</f>
        <v> </v>
      </c>
      <c r="H159" s="317" t="str">
        <f aca="false">IF($A159="N/A"," ",IF(OR(Dayrun2=2,Dayrun2=3,Dayrun2=10),VLOOKUP($A159,ScaledPrice2,9),0))</f>
        <v> </v>
      </c>
      <c r="I159" s="317" t="str">
        <f aca="false">IF(A159="N/A"," ",IF(OR(Dayrun2=3,Dayrun2=6,Dayrun2=9),(VLOOKUP(A159,ScaledPrice2,IF(Scaler2=2,7,8))),0))</f>
        <v> </v>
      </c>
      <c r="J159" s="317" t="str">
        <f aca="false">IF(A159="N/A"," ",IF(OR(Dayrun2=3,Dayrun2=6),IF(Scaler2=2,I159,(VLOOKUP(A159,ScaledPrice2,7))*(2-(VLOOKUP(A159,ScaledPrice2,3)))),0))</f>
        <v> </v>
      </c>
      <c r="K159" s="317" t="str">
        <f aca="false">IF($A159="N/A"," ",IF(OR(Dayrun2=3,Dayrun2=10),VLOOKUP($A159,ScaledPrice2,9),0))</f>
        <v> </v>
      </c>
      <c r="L159" s="318" t="str">
        <f aca="false">IF($A159="N/A"," ",IF(Pricetype2=2,MAX(C159,0),IF(OR(Pricetype2=1,Pricetype2=4),IF(C159=0,0,(EURO(C159,Strikeprice2,0,0,($AH159+IF(Smile=TRUE(),VLOOKUP(MAX(-5,Strikeprice2-C159),Volsmile,2),0)),($A159-DateToday)+15,IF(Pricetype2=1,1,0),0))),C159)))</f>
        <v> </v>
      </c>
      <c r="M159" s="318" t="str">
        <f aca="false">IF($A159="N/A"," ",IF(Pricetype2=2,MAX(D159,0),IF(OR(Pricetype2=1,Pricetype2=4),IF(D159=0,0,(EURO(D159,Strikeprice2,0,0,($AH159+IF(Smile=TRUE(),VLOOKUP(MAX(-5,Strikeprice2-D159),Volsmile,2),0)),($A159-DateToday)+15,IF(Pricetype2=1,1,0),0))),D159)))</f>
        <v> </v>
      </c>
      <c r="N159" s="318" t="str">
        <f aca="false">IF($A159="N/A"," ",IF(Pricetype2=2,MAX(E159,0),IF(OR(Pricetype2=1,Pricetype2=4),IF(E159=0,0,(EURO(E159,Strikeprice2,0,0,($AK159+IF(Smile=TRUE(),VLOOKUP(MAX(-5,Strikeprice2-E159),Volsmile,2),0)),($A159-DateToday)+15,IF(Pricetype2=1,1,0),0))),E159)))</f>
        <v> </v>
      </c>
      <c r="O159" s="318" t="str">
        <f aca="false">IF($A159="N/A"," ",IF(Pricetype2=2,MAX(F159,0),IF(OR(Pricetype2=1,Pricetype2=4),IF(F159=0,0,(EURO(F159,Strikeprice2,0,0,($AK159+IF(Smile=TRUE(),VLOOKUP(MAX(-5,Strikeprice2-F159),Volsmile,2),0)),($A159-DateToday)+15,IF(Pricetype2=1,1,0),0))),F159)))</f>
        <v> </v>
      </c>
      <c r="P159" s="318" t="str">
        <f aca="false">IF($A159="N/A"," ",IF(Pricetype2=2,MAX(G159,0),IF(OR(Pricetype2=1,Pricetype2=4),IF(G159=0,0,(EURO(G159,Strikeprice2,0,0,($AK159+IF(Smile=TRUE(),VLOOKUP(MAX(-5,Strikeprice2-G159),Volsmile,2),0)),($A159-DateToday)+15,IF(Pricetype2=1,1,0),0))),G159)))</f>
        <v> </v>
      </c>
      <c r="Q159" s="318" t="str">
        <f aca="false">IF($A159="N/A"," ",IF(Pricetype2=2,MAX(H159,0),IF(OR(Pricetype2=1,Pricetype2=4),IF(H159=0,0,(EURO(H159,Strikeprice2,0,0,($AK159+IF(Smile=TRUE(),VLOOKUP(MAX(-5,Strikeprice2-H159),Volsmile,2),0)),($A159-DateToday)+15,IF(Pricetype2=1,1,0),0))),H159)))</f>
        <v> </v>
      </c>
      <c r="R159" s="318" t="str">
        <f aca="false">IF($A159="N/A"," ",IF(Pricetype2=2,MAX(I159,0),IF(OR(Pricetype2=1,Pricetype2=4),IF(I159=0,0,(EURO(I159,Strikeprice2,0,0,($AK159+IF(Smile=TRUE(),VLOOKUP(MAX(-5,Strikeprice2-I159),Volsmile,2),0)),($A159-DateToday)+15,IF(Pricetype2=1,1,0),0))),I159)))</f>
        <v> </v>
      </c>
      <c r="S159" s="318" t="str">
        <f aca="false">IF($A159="N/A"," ",IF(Pricetype2=2,MAX(J159,0),IF(OR(Pricetype2=1,Pricetype2=4),IF(J159=0,0,(EURO(J159,Strikeprice2,0,0,($AK159+IF(Smile=TRUE(),VLOOKUP(MAX(-5,Strikeprice2-J159),Volsmile,2),0)),($A159-DateToday)+15,IF(Pricetype2=1,1,0),0))),J159)))</f>
        <v> </v>
      </c>
      <c r="T159" s="318" t="str">
        <f aca="false">IF($A159="N/A"," ",IF(Pricetype2=2,MAX(K159,0),IF(OR(Pricetype2=1,Pricetype2=4),IF(K159=0,0,(EURO(K159,Strikeprice2,0,0,($AK159+IF(Smile=TRUE(),VLOOKUP(MAX(-5,Strikeprice2-K159),Volsmile,2),0)),($A159-DateToday)+15,IF(Pricetype2=1,1,0),0))),K159)))</f>
        <v> </v>
      </c>
      <c r="U159" s="319" t="str">
        <f aca="false">IF($A159="N/A"," ",Volume2*$AM159)</f>
        <v> </v>
      </c>
      <c r="V159" s="320" t="str">
        <f aca="false">IF($A159="N/A"," ",$U159*(8*($BQ159))*L159)</f>
        <v> </v>
      </c>
      <c r="W159" s="320" t="str">
        <f aca="false">IF($A159="N/A"," ",$U159*(8*($BQ159))*M159)</f>
        <v> </v>
      </c>
      <c r="X159" s="320" t="str">
        <f aca="false">IF($A159="N/A"," ",$U159*(8*($BQ159))*N159)</f>
        <v> </v>
      </c>
      <c r="Y159" s="320" t="str">
        <f aca="false">IF($A159="N/A"," ",$U159*(8*($BR159))*O159)</f>
        <v> </v>
      </c>
      <c r="Z159" s="320" t="str">
        <f aca="false">IF($A159="N/A"," ",$U159*(8*($BR159))*P159)</f>
        <v> </v>
      </c>
      <c r="AA159" s="320" t="str">
        <f aca="false">IF($A159="N/A"," ",$U159*(8*($BR159))*Q159)</f>
        <v> </v>
      </c>
      <c r="AB159" s="320" t="str">
        <f aca="false">IF($A159="N/A"," ",$U159*(8*($BS159))*R159)</f>
        <v> </v>
      </c>
      <c r="AC159" s="320" t="str">
        <f aca="false">IF($A159="N/A"," ",$U159*(8*($BS159))*S159)</f>
        <v> </v>
      </c>
      <c r="AD159" s="320" t="str">
        <f aca="false">IF($A159="N/A"," ",$U159*(8*($BS159))*T159)</f>
        <v> </v>
      </c>
      <c r="AE159" s="320" t="str">
        <f aca="false">IF($A159="N/A"," ",SUM(V159:AD159))</f>
        <v> </v>
      </c>
      <c r="AF159" s="321" t="str">
        <f aca="false">IF(A159="N/A"," ",(VLOOKUP(A159,PowerVolTable,(IF(VolBMO2=2,7,IF(VolBMO2=1,6,8))),FALSE())))</f>
        <v> </v>
      </c>
      <c r="AG159" s="321" t="str">
        <f aca="false">IF(A159="N/A"," ",(VLOOKUP(A159,IntraPowerVol,(IF(VolBMO2=2,3,IF(VolBMO2=1,2,4))),FALSE())*VLOOKUP(MONTH($A159),Volscale,2)))</f>
        <v> </v>
      </c>
      <c r="AH159" s="321" t="str">
        <f aca="false">IF($A159="N/A"," ",IF(VolType2=1,AG159,AF159))</f>
        <v> </v>
      </c>
      <c r="AI159" s="321" t="str">
        <f aca="false">IF($A159="N/A"," ",(VLOOKUP($A159,OffPwrVolTable,(IF(VolBMO2=2,7,IF(VolBMO2=1,6,8))),FALSE())))</f>
        <v> </v>
      </c>
      <c r="AJ159" s="321" t="str">
        <f aca="false">IF($A159="N/A"," ",(VLOOKUP($A159,OffPwrVolTable,(IF(VolBMO2=2,3,IF(VolBMO2=1,2,4))),FALSE())*VLOOKUP(MONTH($A159),Volscale,2)))</f>
        <v> </v>
      </c>
      <c r="AK159" s="321" t="str">
        <f aca="false">IF($A159="N/A"," ",IF(VolType2=1,AJ159,AI159))</f>
        <v> </v>
      </c>
      <c r="AL159" s="321" t="str">
        <f aca="false">IF($A159="N/A"," ",IF(PV=1,0,'Pricing Inputs2'!R192))</f>
        <v> </v>
      </c>
      <c r="AM159" s="323" t="str">
        <f aca="false">IF($A159="N/A"," ",(1+AL159/2)^(-2*((EOMONTH(A159,0)+20)-DateToday)/365.25))</f>
        <v> </v>
      </c>
      <c r="BQ159" s="0" t="str">
        <f aca="false">IF($A159="N/A"," ",(VLOOKUP($A159,NumberofDaysTable,2)))</f>
        <v> </v>
      </c>
      <c r="BR159" s="0" t="str">
        <f aca="false">IF($A159="N/A"," ",(VLOOKUP($A159,NumberofDaysTable,3)))</f>
        <v> </v>
      </c>
      <c r="BS159" s="0" t="str">
        <f aca="false">IF($A159="N/A"," ",(VLOOKUP($A159,NumberofDaysTable,4)))</f>
        <v> </v>
      </c>
    </row>
    <row r="160" customFormat="false" ht="12.75" hidden="false" customHeight="false" outlineLevel="0" collapsed="false">
      <c r="A160" s="315" t="str">
        <f aca="false">IF(A159="N/A","N/A",IF(EDATE(A159,1)&gt;Inputs!$P$5,"N/A",EDATE(A159,1)))</f>
        <v>N/A</v>
      </c>
      <c r="B160" s="316" t="str">
        <f aca="false">IF(A160="N/A"," ",YEAR(A160))</f>
        <v> </v>
      </c>
      <c r="C160" s="317" t="str">
        <f aca="false">IF($A160="N/A"," ",IF(Dayrun2=10,0,IF(Scaler2=1,(VLOOKUP(A160,ScaledPrice2,4)),(VLOOKUP(A160,ScaledPrice2,2)))))</f>
        <v> </v>
      </c>
      <c r="D160" s="317" t="str">
        <f aca="false">IF(A160="N/A"," ",IF(Dayrun2&gt;=7,0,IF(Scaler2=2,VLOOKUP(A160,ScaledPrice2,2),(VLOOKUP(A160,ScaledPrice2,2))*(2-(VLOOKUP(A160,ScaledPrice2,3))))))</f>
        <v> </v>
      </c>
      <c r="E160" s="317" t="str">
        <f aca="false">IF($A160="N/A"," ",IF(AND(Dayrun2&gt;=4,Dayrun2&lt;=9),0,VLOOKUP($A160,ScaledPrice2,9)))</f>
        <v> </v>
      </c>
      <c r="F160" s="317" t="str">
        <f aca="false">IF(A160="N/A"," ",IF(OR(Dayrun2=2,Dayrun2=3,Dayrun2=5,Dayrun2=6,Dayrun2=8,Dayrun2=9),VLOOKUP(A160,ScaledPrice2,IF(Scaler2=1,6,5)),0))</f>
        <v> </v>
      </c>
      <c r="G160" s="317" t="str">
        <f aca="false">IF(A160="N/A"," ",IF(OR(Dayrun2=2,Dayrun2=3,Dayrun2=5,Dayrun2=6),IF(Scaler2=2,F160,(VLOOKUP(A160,ScaledPrice2,5))*(2-(VLOOKUP(A160,ScaledPrice2,3)))),0))</f>
        <v> </v>
      </c>
      <c r="H160" s="317" t="str">
        <f aca="false">IF($A160="N/A"," ",IF(OR(Dayrun2=2,Dayrun2=3,Dayrun2=10),VLOOKUP($A160,ScaledPrice2,9),0))</f>
        <v> </v>
      </c>
      <c r="I160" s="317" t="str">
        <f aca="false">IF(A160="N/A"," ",IF(OR(Dayrun2=3,Dayrun2=6,Dayrun2=9),(VLOOKUP(A160,ScaledPrice2,IF(Scaler2=2,7,8))),0))</f>
        <v> </v>
      </c>
      <c r="J160" s="317" t="str">
        <f aca="false">IF(A160="N/A"," ",IF(OR(Dayrun2=3,Dayrun2=6),IF(Scaler2=2,I160,(VLOOKUP(A160,ScaledPrice2,7))*(2-(VLOOKUP(A160,ScaledPrice2,3)))),0))</f>
        <v> </v>
      </c>
      <c r="K160" s="317" t="str">
        <f aca="false">IF($A160="N/A"," ",IF(OR(Dayrun2=3,Dayrun2=10),VLOOKUP($A160,ScaledPrice2,9),0))</f>
        <v> </v>
      </c>
      <c r="L160" s="318" t="str">
        <f aca="false">IF($A160="N/A"," ",IF(Pricetype2=2,MAX(C160,0),IF(OR(Pricetype2=1,Pricetype2=4),IF(C160=0,0,(EURO(C160,Strikeprice2,0,0,($AH160+IF(Smile=TRUE(),VLOOKUP(MAX(-5,Strikeprice2-C160),Volsmile,2),0)),($A160-DateToday)+15,IF(Pricetype2=1,1,0),0))),C160)))</f>
        <v> </v>
      </c>
      <c r="M160" s="318" t="str">
        <f aca="false">IF($A160="N/A"," ",IF(Pricetype2=2,MAX(D160,0),IF(OR(Pricetype2=1,Pricetype2=4),IF(D160=0,0,(EURO(D160,Strikeprice2,0,0,($AH160+IF(Smile=TRUE(),VLOOKUP(MAX(-5,Strikeprice2-D160),Volsmile,2),0)),($A160-DateToday)+15,IF(Pricetype2=1,1,0),0))),D160)))</f>
        <v> </v>
      </c>
      <c r="N160" s="318" t="str">
        <f aca="false">IF($A160="N/A"," ",IF(Pricetype2=2,MAX(E160,0),IF(OR(Pricetype2=1,Pricetype2=4),IF(E160=0,0,(EURO(E160,Strikeprice2,0,0,($AK160+IF(Smile=TRUE(),VLOOKUP(MAX(-5,Strikeprice2-E160),Volsmile,2),0)),($A160-DateToday)+15,IF(Pricetype2=1,1,0),0))),E160)))</f>
        <v> </v>
      </c>
      <c r="O160" s="318" t="str">
        <f aca="false">IF($A160="N/A"," ",IF(Pricetype2=2,MAX(F160,0),IF(OR(Pricetype2=1,Pricetype2=4),IF(F160=0,0,(EURO(F160,Strikeprice2,0,0,($AK160+IF(Smile=TRUE(),VLOOKUP(MAX(-5,Strikeprice2-F160),Volsmile,2),0)),($A160-DateToday)+15,IF(Pricetype2=1,1,0),0))),F160)))</f>
        <v> </v>
      </c>
      <c r="P160" s="318" t="str">
        <f aca="false">IF($A160="N/A"," ",IF(Pricetype2=2,MAX(G160,0),IF(OR(Pricetype2=1,Pricetype2=4),IF(G160=0,0,(EURO(G160,Strikeprice2,0,0,($AK160+IF(Smile=TRUE(),VLOOKUP(MAX(-5,Strikeprice2-G160),Volsmile,2),0)),($A160-DateToday)+15,IF(Pricetype2=1,1,0),0))),G160)))</f>
        <v> </v>
      </c>
      <c r="Q160" s="318" t="str">
        <f aca="false">IF($A160="N/A"," ",IF(Pricetype2=2,MAX(H160,0),IF(OR(Pricetype2=1,Pricetype2=4),IF(H160=0,0,(EURO(H160,Strikeprice2,0,0,($AK160+IF(Smile=TRUE(),VLOOKUP(MAX(-5,Strikeprice2-H160),Volsmile,2),0)),($A160-DateToday)+15,IF(Pricetype2=1,1,0),0))),H160)))</f>
        <v> </v>
      </c>
      <c r="R160" s="318" t="str">
        <f aca="false">IF($A160="N/A"," ",IF(Pricetype2=2,MAX(I160,0),IF(OR(Pricetype2=1,Pricetype2=4),IF(I160=0,0,(EURO(I160,Strikeprice2,0,0,($AK160+IF(Smile=TRUE(),VLOOKUP(MAX(-5,Strikeprice2-I160),Volsmile,2),0)),($A160-DateToday)+15,IF(Pricetype2=1,1,0),0))),I160)))</f>
        <v> </v>
      </c>
      <c r="S160" s="318" t="str">
        <f aca="false">IF($A160="N/A"," ",IF(Pricetype2=2,MAX(J160,0),IF(OR(Pricetype2=1,Pricetype2=4),IF(J160=0,0,(EURO(J160,Strikeprice2,0,0,($AK160+IF(Smile=TRUE(),VLOOKUP(MAX(-5,Strikeprice2-J160),Volsmile,2),0)),($A160-DateToday)+15,IF(Pricetype2=1,1,0),0))),J160)))</f>
        <v> </v>
      </c>
      <c r="T160" s="318" t="str">
        <f aca="false">IF($A160="N/A"," ",IF(Pricetype2=2,MAX(K160,0),IF(OR(Pricetype2=1,Pricetype2=4),IF(K160=0,0,(EURO(K160,Strikeprice2,0,0,($AK160+IF(Smile=TRUE(),VLOOKUP(MAX(-5,Strikeprice2-K160),Volsmile,2),0)),($A160-DateToday)+15,IF(Pricetype2=1,1,0),0))),K160)))</f>
        <v> </v>
      </c>
      <c r="U160" s="319" t="str">
        <f aca="false">IF($A160="N/A"," ",Volume2*$AM160)</f>
        <v> </v>
      </c>
      <c r="V160" s="320" t="str">
        <f aca="false">IF($A160="N/A"," ",$U160*(8*($BQ160))*L160)</f>
        <v> </v>
      </c>
      <c r="W160" s="320" t="str">
        <f aca="false">IF($A160="N/A"," ",$U160*(8*($BQ160))*M160)</f>
        <v> </v>
      </c>
      <c r="X160" s="320" t="str">
        <f aca="false">IF($A160="N/A"," ",$U160*(8*($BQ160))*N160)</f>
        <v> </v>
      </c>
      <c r="Y160" s="320" t="str">
        <f aca="false">IF($A160="N/A"," ",$U160*(8*($BR160))*O160)</f>
        <v> </v>
      </c>
      <c r="Z160" s="320" t="str">
        <f aca="false">IF($A160="N/A"," ",$U160*(8*($BR160))*P160)</f>
        <v> </v>
      </c>
      <c r="AA160" s="320" t="str">
        <f aca="false">IF($A160="N/A"," ",$U160*(8*($BR160))*Q160)</f>
        <v> </v>
      </c>
      <c r="AB160" s="320" t="str">
        <f aca="false">IF($A160="N/A"," ",$U160*(8*($BS160))*R160)</f>
        <v> </v>
      </c>
      <c r="AC160" s="320" t="str">
        <f aca="false">IF($A160="N/A"," ",$U160*(8*($BS160))*S160)</f>
        <v> </v>
      </c>
      <c r="AD160" s="320" t="str">
        <f aca="false">IF($A160="N/A"," ",$U160*(8*($BS160))*T160)</f>
        <v> </v>
      </c>
      <c r="AE160" s="320" t="str">
        <f aca="false">IF($A160="N/A"," ",SUM(V160:AD160))</f>
        <v> </v>
      </c>
      <c r="AF160" s="321" t="str">
        <f aca="false">IF(A160="N/A"," ",(VLOOKUP(A160,PowerVolTable,(IF(VolBMO2=2,7,IF(VolBMO2=1,6,8))),FALSE())))</f>
        <v> </v>
      </c>
      <c r="AG160" s="321" t="str">
        <f aca="false">IF(A160="N/A"," ",(VLOOKUP(A160,IntraPowerVol,(IF(VolBMO2=2,3,IF(VolBMO2=1,2,4))),FALSE())*VLOOKUP(MONTH($A160),Volscale,2)))</f>
        <v> </v>
      </c>
      <c r="AH160" s="321" t="str">
        <f aca="false">IF($A160="N/A"," ",IF(VolType2=1,AG160,AF160))</f>
        <v> </v>
      </c>
      <c r="AI160" s="321" t="str">
        <f aca="false">IF($A160="N/A"," ",(VLOOKUP($A160,OffPwrVolTable,(IF(VolBMO2=2,7,IF(VolBMO2=1,6,8))),FALSE())))</f>
        <v> </v>
      </c>
      <c r="AJ160" s="321" t="str">
        <f aca="false">IF($A160="N/A"," ",(VLOOKUP($A160,OffPwrVolTable,(IF(VolBMO2=2,3,IF(VolBMO2=1,2,4))),FALSE())*VLOOKUP(MONTH($A160),Volscale,2)))</f>
        <v> </v>
      </c>
      <c r="AK160" s="321" t="str">
        <f aca="false">IF($A160="N/A"," ",IF(VolType2=1,AJ160,AI160))</f>
        <v> </v>
      </c>
      <c r="AL160" s="321" t="str">
        <f aca="false">IF($A160="N/A"," ",IF(PV=1,0,'Pricing Inputs2'!R193))</f>
        <v> </v>
      </c>
      <c r="AM160" s="323" t="str">
        <f aca="false">IF($A160="N/A"," ",(1+AL160/2)^(-2*((EOMONTH(A160,0)+20)-DateToday)/365.25))</f>
        <v> </v>
      </c>
      <c r="BQ160" s="0" t="str">
        <f aca="false">IF($A160="N/A"," ",(VLOOKUP($A160,NumberofDaysTable,2)))</f>
        <v> </v>
      </c>
      <c r="BR160" s="0" t="str">
        <f aca="false">IF($A160="N/A"," ",(VLOOKUP($A160,NumberofDaysTable,3)))</f>
        <v> </v>
      </c>
      <c r="BS160" s="0" t="str">
        <f aca="false">IF($A160="N/A"," ",(VLOOKUP($A160,NumberofDaysTable,4)))</f>
        <v> </v>
      </c>
    </row>
    <row r="161" customFormat="false" ht="12.75" hidden="false" customHeight="false" outlineLevel="0" collapsed="false">
      <c r="A161" s="315" t="str">
        <f aca="false">IF(A160="N/A","N/A",IF(EDATE(A160,1)&gt;Inputs!$P$5,"N/A",EDATE(A160,1)))</f>
        <v>N/A</v>
      </c>
      <c r="B161" s="316" t="str">
        <f aca="false">IF(A161="N/A"," ",YEAR(A161))</f>
        <v> </v>
      </c>
      <c r="C161" s="317" t="str">
        <f aca="false">IF($A161="N/A"," ",IF(Dayrun2=10,0,IF(Scaler2=1,(VLOOKUP(A161,ScaledPrice2,4)),(VLOOKUP(A161,ScaledPrice2,2)))))</f>
        <v> </v>
      </c>
      <c r="D161" s="317" t="str">
        <f aca="false">IF(A161="N/A"," ",IF(Dayrun2&gt;=7,0,IF(Scaler2=2,VLOOKUP(A161,ScaledPrice2,2),(VLOOKUP(A161,ScaledPrice2,2))*(2-(VLOOKUP(A161,ScaledPrice2,3))))))</f>
        <v> </v>
      </c>
      <c r="E161" s="317" t="str">
        <f aca="false">IF($A161="N/A"," ",IF(AND(Dayrun2&gt;=4,Dayrun2&lt;=9),0,VLOOKUP($A161,ScaledPrice2,9)))</f>
        <v> </v>
      </c>
      <c r="F161" s="317" t="str">
        <f aca="false">IF(A161="N/A"," ",IF(OR(Dayrun2=2,Dayrun2=3,Dayrun2=5,Dayrun2=6,Dayrun2=8,Dayrun2=9),VLOOKUP(A161,ScaledPrice2,IF(Scaler2=1,6,5)),0))</f>
        <v> </v>
      </c>
      <c r="G161" s="317" t="str">
        <f aca="false">IF(A161="N/A"," ",IF(OR(Dayrun2=2,Dayrun2=3,Dayrun2=5,Dayrun2=6),IF(Scaler2=2,F161,(VLOOKUP(A161,ScaledPrice2,5))*(2-(VLOOKUP(A161,ScaledPrice2,3)))),0))</f>
        <v> </v>
      </c>
      <c r="H161" s="317" t="str">
        <f aca="false">IF($A161="N/A"," ",IF(OR(Dayrun2=2,Dayrun2=3,Dayrun2=10),VLOOKUP($A161,ScaledPrice2,9),0))</f>
        <v> </v>
      </c>
      <c r="I161" s="317" t="str">
        <f aca="false">IF(A161="N/A"," ",IF(OR(Dayrun2=3,Dayrun2=6,Dayrun2=9),(VLOOKUP(A161,ScaledPrice2,IF(Scaler2=2,7,8))),0))</f>
        <v> </v>
      </c>
      <c r="J161" s="317" t="str">
        <f aca="false">IF(A161="N/A"," ",IF(OR(Dayrun2=3,Dayrun2=6),IF(Scaler2=2,I161,(VLOOKUP(A161,ScaledPrice2,7))*(2-(VLOOKUP(A161,ScaledPrice2,3)))),0))</f>
        <v> </v>
      </c>
      <c r="K161" s="317" t="str">
        <f aca="false">IF($A161="N/A"," ",IF(OR(Dayrun2=3,Dayrun2=10),VLOOKUP($A161,ScaledPrice2,9),0))</f>
        <v> </v>
      </c>
      <c r="L161" s="318" t="str">
        <f aca="false">IF($A161="N/A"," ",IF(Pricetype2=2,MAX(C161,0),IF(OR(Pricetype2=1,Pricetype2=4),IF(C161=0,0,(EURO(C161,Strikeprice2,0,0,($AH161+IF(Smile=TRUE(),VLOOKUP(MAX(-5,Strikeprice2-C161),Volsmile,2),0)),($A161-DateToday)+15,IF(Pricetype2=1,1,0),0))),C161)))</f>
        <v> </v>
      </c>
      <c r="M161" s="318" t="str">
        <f aca="false">IF($A161="N/A"," ",IF(Pricetype2=2,MAX(D161,0),IF(OR(Pricetype2=1,Pricetype2=4),IF(D161=0,0,(EURO(D161,Strikeprice2,0,0,($AH161+IF(Smile=TRUE(),VLOOKUP(MAX(-5,Strikeprice2-D161),Volsmile,2),0)),($A161-DateToday)+15,IF(Pricetype2=1,1,0),0))),D161)))</f>
        <v> </v>
      </c>
      <c r="N161" s="318" t="str">
        <f aca="false">IF($A161="N/A"," ",IF(Pricetype2=2,MAX(E161,0),IF(OR(Pricetype2=1,Pricetype2=4),IF(E161=0,0,(EURO(E161,Strikeprice2,0,0,($AK161+IF(Smile=TRUE(),VLOOKUP(MAX(-5,Strikeprice2-E161),Volsmile,2),0)),($A161-DateToday)+15,IF(Pricetype2=1,1,0),0))),E161)))</f>
        <v> </v>
      </c>
      <c r="O161" s="318" t="str">
        <f aca="false">IF($A161="N/A"," ",IF(Pricetype2=2,MAX(F161,0),IF(OR(Pricetype2=1,Pricetype2=4),IF(F161=0,0,(EURO(F161,Strikeprice2,0,0,($AK161+IF(Smile=TRUE(),VLOOKUP(MAX(-5,Strikeprice2-F161),Volsmile,2),0)),($A161-DateToday)+15,IF(Pricetype2=1,1,0),0))),F161)))</f>
        <v> </v>
      </c>
      <c r="P161" s="318" t="str">
        <f aca="false">IF($A161="N/A"," ",IF(Pricetype2=2,MAX(G161,0),IF(OR(Pricetype2=1,Pricetype2=4),IF(G161=0,0,(EURO(G161,Strikeprice2,0,0,($AK161+IF(Smile=TRUE(),VLOOKUP(MAX(-5,Strikeprice2-G161),Volsmile,2),0)),($A161-DateToday)+15,IF(Pricetype2=1,1,0),0))),G161)))</f>
        <v> </v>
      </c>
      <c r="Q161" s="318" t="str">
        <f aca="false">IF($A161="N/A"," ",IF(Pricetype2=2,MAX(H161,0),IF(OR(Pricetype2=1,Pricetype2=4),IF(H161=0,0,(EURO(H161,Strikeprice2,0,0,($AK161+IF(Smile=TRUE(),VLOOKUP(MAX(-5,Strikeprice2-H161),Volsmile,2),0)),($A161-DateToday)+15,IF(Pricetype2=1,1,0),0))),H161)))</f>
        <v> </v>
      </c>
      <c r="R161" s="318" t="str">
        <f aca="false">IF($A161="N/A"," ",IF(Pricetype2=2,MAX(I161,0),IF(OR(Pricetype2=1,Pricetype2=4),IF(I161=0,0,(EURO(I161,Strikeprice2,0,0,($AK161+IF(Smile=TRUE(),VLOOKUP(MAX(-5,Strikeprice2-I161),Volsmile,2),0)),($A161-DateToday)+15,IF(Pricetype2=1,1,0),0))),I161)))</f>
        <v> </v>
      </c>
      <c r="S161" s="318" t="str">
        <f aca="false">IF($A161="N/A"," ",IF(Pricetype2=2,MAX(J161,0),IF(OR(Pricetype2=1,Pricetype2=4),IF(J161=0,0,(EURO(J161,Strikeprice2,0,0,($AK161+IF(Smile=TRUE(),VLOOKUP(MAX(-5,Strikeprice2-J161),Volsmile,2),0)),($A161-DateToday)+15,IF(Pricetype2=1,1,0),0))),J161)))</f>
        <v> </v>
      </c>
      <c r="T161" s="318" t="str">
        <f aca="false">IF($A161="N/A"," ",IF(Pricetype2=2,MAX(K161,0),IF(OR(Pricetype2=1,Pricetype2=4),IF(K161=0,0,(EURO(K161,Strikeprice2,0,0,($AK161+IF(Smile=TRUE(),VLOOKUP(MAX(-5,Strikeprice2-K161),Volsmile,2),0)),($A161-DateToday)+15,IF(Pricetype2=1,1,0),0))),K161)))</f>
        <v> </v>
      </c>
      <c r="U161" s="319" t="str">
        <f aca="false">IF($A161="N/A"," ",Volume2*$AM161)</f>
        <v> </v>
      </c>
      <c r="V161" s="320" t="str">
        <f aca="false">IF($A161="N/A"," ",$U161*(8*($BQ161))*L161)</f>
        <v> </v>
      </c>
      <c r="W161" s="320" t="str">
        <f aca="false">IF($A161="N/A"," ",$U161*(8*($BQ161))*M161)</f>
        <v> </v>
      </c>
      <c r="X161" s="320" t="str">
        <f aca="false">IF($A161="N/A"," ",$U161*(8*($BQ161))*N161)</f>
        <v> </v>
      </c>
      <c r="Y161" s="320" t="str">
        <f aca="false">IF($A161="N/A"," ",$U161*(8*($BR161))*O161)</f>
        <v> </v>
      </c>
      <c r="Z161" s="320" t="str">
        <f aca="false">IF($A161="N/A"," ",$U161*(8*($BR161))*P161)</f>
        <v> </v>
      </c>
      <c r="AA161" s="320" t="str">
        <f aca="false">IF($A161="N/A"," ",$U161*(8*($BR161))*Q161)</f>
        <v> </v>
      </c>
      <c r="AB161" s="320" t="str">
        <f aca="false">IF($A161="N/A"," ",$U161*(8*($BS161))*R161)</f>
        <v> </v>
      </c>
      <c r="AC161" s="320" t="str">
        <f aca="false">IF($A161="N/A"," ",$U161*(8*($BS161))*S161)</f>
        <v> </v>
      </c>
      <c r="AD161" s="320" t="str">
        <f aca="false">IF($A161="N/A"," ",$U161*(8*($BS161))*T161)</f>
        <v> </v>
      </c>
      <c r="AE161" s="320" t="str">
        <f aca="false">IF($A161="N/A"," ",SUM(V161:AD161))</f>
        <v> </v>
      </c>
      <c r="AF161" s="321" t="str">
        <f aca="false">IF(A161="N/A"," ",(VLOOKUP(A161,PowerVolTable,(IF(VolBMO2=2,7,IF(VolBMO2=1,6,8))),FALSE())))</f>
        <v> </v>
      </c>
      <c r="AG161" s="321" t="str">
        <f aca="false">IF(A161="N/A"," ",(VLOOKUP(A161,IntraPowerVol,(IF(VolBMO2=2,3,IF(VolBMO2=1,2,4))),FALSE())*VLOOKUP(MONTH($A161),Volscale,2)))</f>
        <v> </v>
      </c>
      <c r="AH161" s="321" t="str">
        <f aca="false">IF($A161="N/A"," ",IF(VolType2=1,AG161,AF161))</f>
        <v> </v>
      </c>
      <c r="AI161" s="321" t="str">
        <f aca="false">IF($A161="N/A"," ",(VLOOKUP($A161,OffPwrVolTable,(IF(VolBMO2=2,7,IF(VolBMO2=1,6,8))),FALSE())))</f>
        <v> </v>
      </c>
      <c r="AJ161" s="321" t="str">
        <f aca="false">IF($A161="N/A"," ",(VLOOKUP($A161,OffPwrVolTable,(IF(VolBMO2=2,3,IF(VolBMO2=1,2,4))),FALSE())*VLOOKUP(MONTH($A161),Volscale,2)))</f>
        <v> </v>
      </c>
      <c r="AK161" s="321" t="str">
        <f aca="false">IF($A161="N/A"," ",IF(VolType2=1,AJ161,AI161))</f>
        <v> </v>
      </c>
      <c r="AL161" s="321" t="str">
        <f aca="false">IF($A161="N/A"," ",IF(PV=1,0,'Pricing Inputs2'!R194))</f>
        <v> </v>
      </c>
      <c r="AM161" s="323" t="str">
        <f aca="false">IF($A161="N/A"," ",(1+AL161/2)^(-2*((EOMONTH(A161,0)+20)-DateToday)/365.25))</f>
        <v> </v>
      </c>
      <c r="BQ161" s="0" t="str">
        <f aca="false">IF($A161="N/A"," ",(VLOOKUP($A161,NumberofDaysTable,2)))</f>
        <v> </v>
      </c>
      <c r="BR161" s="0" t="str">
        <f aca="false">IF($A161="N/A"," ",(VLOOKUP($A161,NumberofDaysTable,3)))</f>
        <v> </v>
      </c>
      <c r="BS161" s="0" t="str">
        <f aca="false">IF($A161="N/A"," ",(VLOOKUP($A161,NumberofDaysTable,4)))</f>
        <v> </v>
      </c>
    </row>
    <row r="162" customFormat="false" ht="12.75" hidden="false" customHeight="false" outlineLevel="0" collapsed="false">
      <c r="A162" s="315" t="str">
        <f aca="false">IF(A161="N/A","N/A",IF(EDATE(A161,1)&gt;Inputs!$P$5,"N/A",EDATE(A161,1)))</f>
        <v>N/A</v>
      </c>
      <c r="B162" s="316" t="str">
        <f aca="false">IF(A162="N/A"," ",YEAR(A162))</f>
        <v> </v>
      </c>
      <c r="C162" s="317" t="str">
        <f aca="false">IF($A162="N/A"," ",IF(Dayrun2=10,0,IF(Scaler2=1,(VLOOKUP(A162,ScaledPrice2,4)),(VLOOKUP(A162,ScaledPrice2,2)))))</f>
        <v> </v>
      </c>
      <c r="D162" s="317" t="str">
        <f aca="false">IF(A162="N/A"," ",IF(Dayrun2&gt;=7,0,IF(Scaler2=2,VLOOKUP(A162,ScaledPrice2,2),(VLOOKUP(A162,ScaledPrice2,2))*(2-(VLOOKUP(A162,ScaledPrice2,3))))))</f>
        <v> </v>
      </c>
      <c r="E162" s="317" t="str">
        <f aca="false">IF($A162="N/A"," ",IF(AND(Dayrun2&gt;=4,Dayrun2&lt;=9),0,VLOOKUP($A162,ScaledPrice2,9)))</f>
        <v> </v>
      </c>
      <c r="F162" s="317" t="str">
        <f aca="false">IF(A162="N/A"," ",IF(OR(Dayrun2=2,Dayrun2=3,Dayrun2=5,Dayrun2=6,Dayrun2=8,Dayrun2=9),VLOOKUP(A162,ScaledPrice2,IF(Scaler2=1,6,5)),0))</f>
        <v> </v>
      </c>
      <c r="G162" s="317" t="str">
        <f aca="false">IF(A162="N/A"," ",IF(OR(Dayrun2=2,Dayrun2=3,Dayrun2=5,Dayrun2=6),IF(Scaler2=2,F162,(VLOOKUP(A162,ScaledPrice2,5))*(2-(VLOOKUP(A162,ScaledPrice2,3)))),0))</f>
        <v> </v>
      </c>
      <c r="H162" s="317" t="str">
        <f aca="false">IF($A162="N/A"," ",IF(OR(Dayrun2=2,Dayrun2=3,Dayrun2=10),VLOOKUP($A162,ScaledPrice2,9),0))</f>
        <v> </v>
      </c>
      <c r="I162" s="317" t="str">
        <f aca="false">IF(A162="N/A"," ",IF(OR(Dayrun2=3,Dayrun2=6,Dayrun2=9),(VLOOKUP(A162,ScaledPrice2,IF(Scaler2=2,7,8))),0))</f>
        <v> </v>
      </c>
      <c r="J162" s="317" t="str">
        <f aca="false">IF(A162="N/A"," ",IF(OR(Dayrun2=3,Dayrun2=6),IF(Scaler2=2,I162,(VLOOKUP(A162,ScaledPrice2,7))*(2-(VLOOKUP(A162,ScaledPrice2,3)))),0))</f>
        <v> </v>
      </c>
      <c r="K162" s="317" t="str">
        <f aca="false">IF($A162="N/A"," ",IF(OR(Dayrun2=3,Dayrun2=10),VLOOKUP($A162,ScaledPrice2,9),0))</f>
        <v> </v>
      </c>
      <c r="L162" s="318" t="str">
        <f aca="false">IF($A162="N/A"," ",IF(Pricetype2=2,MAX(C162,0),IF(OR(Pricetype2=1,Pricetype2=4),IF(C162=0,0,(EURO(C162,Strikeprice2,0,0,($AH162+IF(Smile=TRUE(),VLOOKUP(MAX(-5,Strikeprice2-C162),Volsmile,2),0)),($A162-DateToday)+15,IF(Pricetype2=1,1,0),0))),C162)))</f>
        <v> </v>
      </c>
      <c r="M162" s="318" t="str">
        <f aca="false">IF($A162="N/A"," ",IF(Pricetype2=2,MAX(D162,0),IF(OR(Pricetype2=1,Pricetype2=4),IF(D162=0,0,(EURO(D162,Strikeprice2,0,0,($AH162+IF(Smile=TRUE(),VLOOKUP(MAX(-5,Strikeprice2-D162),Volsmile,2),0)),($A162-DateToday)+15,IF(Pricetype2=1,1,0),0))),D162)))</f>
        <v> </v>
      </c>
      <c r="N162" s="318" t="str">
        <f aca="false">IF($A162="N/A"," ",IF(Pricetype2=2,MAX(E162,0),IF(OR(Pricetype2=1,Pricetype2=4),IF(E162=0,0,(EURO(E162,Strikeprice2,0,0,($AK162+IF(Smile=TRUE(),VLOOKUP(MAX(-5,Strikeprice2-E162),Volsmile,2),0)),($A162-DateToday)+15,IF(Pricetype2=1,1,0),0))),E162)))</f>
        <v> </v>
      </c>
      <c r="O162" s="318" t="str">
        <f aca="false">IF($A162="N/A"," ",IF(Pricetype2=2,MAX(F162,0),IF(OR(Pricetype2=1,Pricetype2=4),IF(F162=0,0,(EURO(F162,Strikeprice2,0,0,($AK162+IF(Smile=TRUE(),VLOOKUP(MAX(-5,Strikeprice2-F162),Volsmile,2),0)),($A162-DateToday)+15,IF(Pricetype2=1,1,0),0))),F162)))</f>
        <v> </v>
      </c>
      <c r="P162" s="318" t="str">
        <f aca="false">IF($A162="N/A"," ",IF(Pricetype2=2,MAX(G162,0),IF(OR(Pricetype2=1,Pricetype2=4),IF(G162=0,0,(EURO(G162,Strikeprice2,0,0,($AK162+IF(Smile=TRUE(),VLOOKUP(MAX(-5,Strikeprice2-G162),Volsmile,2),0)),($A162-DateToday)+15,IF(Pricetype2=1,1,0),0))),G162)))</f>
        <v> </v>
      </c>
      <c r="Q162" s="318" t="str">
        <f aca="false">IF($A162="N/A"," ",IF(Pricetype2=2,MAX(H162,0),IF(OR(Pricetype2=1,Pricetype2=4),IF(H162=0,0,(EURO(H162,Strikeprice2,0,0,($AK162+IF(Smile=TRUE(),VLOOKUP(MAX(-5,Strikeprice2-H162),Volsmile,2),0)),($A162-DateToday)+15,IF(Pricetype2=1,1,0),0))),H162)))</f>
        <v> </v>
      </c>
      <c r="R162" s="318" t="str">
        <f aca="false">IF($A162="N/A"," ",IF(Pricetype2=2,MAX(I162,0),IF(OR(Pricetype2=1,Pricetype2=4),IF(I162=0,0,(EURO(I162,Strikeprice2,0,0,($AK162+IF(Smile=TRUE(),VLOOKUP(MAX(-5,Strikeprice2-I162),Volsmile,2),0)),($A162-DateToday)+15,IF(Pricetype2=1,1,0),0))),I162)))</f>
        <v> </v>
      </c>
      <c r="S162" s="318" t="str">
        <f aca="false">IF($A162="N/A"," ",IF(Pricetype2=2,MAX(J162,0),IF(OR(Pricetype2=1,Pricetype2=4),IF(J162=0,0,(EURO(J162,Strikeprice2,0,0,($AK162+IF(Smile=TRUE(),VLOOKUP(MAX(-5,Strikeprice2-J162),Volsmile,2),0)),($A162-DateToday)+15,IF(Pricetype2=1,1,0),0))),J162)))</f>
        <v> </v>
      </c>
      <c r="T162" s="318" t="str">
        <f aca="false">IF($A162="N/A"," ",IF(Pricetype2=2,MAX(K162,0),IF(OR(Pricetype2=1,Pricetype2=4),IF(K162=0,0,(EURO(K162,Strikeprice2,0,0,($AK162+IF(Smile=TRUE(),VLOOKUP(MAX(-5,Strikeprice2-K162),Volsmile,2),0)),($A162-DateToday)+15,IF(Pricetype2=1,1,0),0))),K162)))</f>
        <v> </v>
      </c>
      <c r="U162" s="319" t="str">
        <f aca="false">IF($A162="N/A"," ",Volume2*$AM162)</f>
        <v> </v>
      </c>
      <c r="V162" s="320" t="str">
        <f aca="false">IF($A162="N/A"," ",$U162*(8*($BQ162))*L162)</f>
        <v> </v>
      </c>
      <c r="W162" s="320" t="str">
        <f aca="false">IF($A162="N/A"," ",$U162*(8*($BQ162))*M162)</f>
        <v> </v>
      </c>
      <c r="X162" s="320" t="str">
        <f aca="false">IF($A162="N/A"," ",$U162*(8*($BQ162))*N162)</f>
        <v> </v>
      </c>
      <c r="Y162" s="320" t="str">
        <f aca="false">IF($A162="N/A"," ",$U162*(8*($BR162))*O162)</f>
        <v> </v>
      </c>
      <c r="Z162" s="320" t="str">
        <f aca="false">IF($A162="N/A"," ",$U162*(8*($BR162))*P162)</f>
        <v> </v>
      </c>
      <c r="AA162" s="320" t="str">
        <f aca="false">IF($A162="N/A"," ",$U162*(8*($BR162))*Q162)</f>
        <v> </v>
      </c>
      <c r="AB162" s="320" t="str">
        <f aca="false">IF($A162="N/A"," ",$U162*(8*($BS162))*R162)</f>
        <v> </v>
      </c>
      <c r="AC162" s="320" t="str">
        <f aca="false">IF($A162="N/A"," ",$U162*(8*($BS162))*S162)</f>
        <v> </v>
      </c>
      <c r="AD162" s="320" t="str">
        <f aca="false">IF($A162="N/A"," ",$U162*(8*($BS162))*T162)</f>
        <v> </v>
      </c>
      <c r="AE162" s="320" t="str">
        <f aca="false">IF($A162="N/A"," ",SUM(V162:AD162))</f>
        <v> </v>
      </c>
      <c r="AF162" s="321" t="str">
        <f aca="false">IF(A162="N/A"," ",(VLOOKUP(A162,PowerVolTable,(IF(VolBMO2=2,7,IF(VolBMO2=1,6,8))),FALSE())))</f>
        <v> </v>
      </c>
      <c r="AG162" s="321" t="str">
        <f aca="false">IF(A162="N/A"," ",(VLOOKUP(A162,IntraPowerVol,(IF(VolBMO2=2,3,IF(VolBMO2=1,2,4))),FALSE())*VLOOKUP(MONTH($A162),Volscale,2)))</f>
        <v> </v>
      </c>
      <c r="AH162" s="321" t="str">
        <f aca="false">IF($A162="N/A"," ",IF(VolType2=1,AG162,AF162))</f>
        <v> </v>
      </c>
      <c r="AI162" s="321" t="str">
        <f aca="false">IF($A162="N/A"," ",(VLOOKUP($A162,OffPwrVolTable,(IF(VolBMO2=2,7,IF(VolBMO2=1,6,8))),FALSE())))</f>
        <v> </v>
      </c>
      <c r="AJ162" s="321" t="str">
        <f aca="false">IF($A162="N/A"," ",(VLOOKUP($A162,OffPwrVolTable,(IF(VolBMO2=2,3,IF(VolBMO2=1,2,4))),FALSE())*VLOOKUP(MONTH($A162),Volscale,2)))</f>
        <v> </v>
      </c>
      <c r="AK162" s="321" t="str">
        <f aca="false">IF($A162="N/A"," ",IF(VolType2=1,AJ162,AI162))</f>
        <v> </v>
      </c>
      <c r="AL162" s="321" t="str">
        <f aca="false">IF($A162="N/A"," ",IF(PV=1,0,'Pricing Inputs2'!R195))</f>
        <v> </v>
      </c>
      <c r="AM162" s="323" t="str">
        <f aca="false">IF($A162="N/A"," ",(1+AL162/2)^(-2*((EOMONTH(A162,0)+20)-DateToday)/365.25))</f>
        <v> </v>
      </c>
      <c r="BQ162" s="0" t="str">
        <f aca="false">IF($A162="N/A"," ",(VLOOKUP($A162,NumberofDaysTable,2)))</f>
        <v> </v>
      </c>
      <c r="BR162" s="0" t="str">
        <f aca="false">IF($A162="N/A"," ",(VLOOKUP($A162,NumberofDaysTable,3)))</f>
        <v> </v>
      </c>
      <c r="BS162" s="0" t="str">
        <f aca="false">IF($A162="N/A"," ",(VLOOKUP($A162,NumberofDaysTable,4)))</f>
        <v> </v>
      </c>
    </row>
    <row r="163" customFormat="false" ht="12.75" hidden="false" customHeight="false" outlineLevel="0" collapsed="false">
      <c r="A163" s="315" t="str">
        <f aca="false">IF(A162="N/A","N/A",IF(EDATE(A162,1)&gt;Inputs!$P$5,"N/A",EDATE(A162,1)))</f>
        <v>N/A</v>
      </c>
      <c r="B163" s="316" t="str">
        <f aca="false">IF(A163="N/A"," ",YEAR(A163))</f>
        <v> </v>
      </c>
      <c r="C163" s="317" t="str">
        <f aca="false">IF($A163="N/A"," ",IF(Dayrun2=10,0,IF(Scaler2=1,(VLOOKUP(A163,ScaledPrice2,4)),(VLOOKUP(A163,ScaledPrice2,2)))))</f>
        <v> </v>
      </c>
      <c r="D163" s="317" t="str">
        <f aca="false">IF(A163="N/A"," ",IF(Dayrun2&gt;=7,0,IF(Scaler2=2,VLOOKUP(A163,ScaledPrice2,2),(VLOOKUP(A163,ScaledPrice2,2))*(2-(VLOOKUP(A163,ScaledPrice2,3))))))</f>
        <v> </v>
      </c>
      <c r="E163" s="317" t="str">
        <f aca="false">IF($A163="N/A"," ",IF(AND(Dayrun2&gt;=4,Dayrun2&lt;=9),0,VLOOKUP($A163,ScaledPrice2,9)))</f>
        <v> </v>
      </c>
      <c r="F163" s="317" t="str">
        <f aca="false">IF(A163="N/A"," ",IF(OR(Dayrun2=2,Dayrun2=3,Dayrun2=5,Dayrun2=6,Dayrun2=8,Dayrun2=9),VLOOKUP(A163,ScaledPrice2,IF(Scaler2=1,6,5)),0))</f>
        <v> </v>
      </c>
      <c r="G163" s="317" t="str">
        <f aca="false">IF(A163="N/A"," ",IF(OR(Dayrun2=2,Dayrun2=3,Dayrun2=5,Dayrun2=6),IF(Scaler2=2,F163,(VLOOKUP(A163,ScaledPrice2,5))*(2-(VLOOKUP(A163,ScaledPrice2,3)))),0))</f>
        <v> </v>
      </c>
      <c r="H163" s="317" t="str">
        <f aca="false">IF($A163="N/A"," ",IF(OR(Dayrun2=2,Dayrun2=3,Dayrun2=10),VLOOKUP($A163,ScaledPrice2,9),0))</f>
        <v> </v>
      </c>
      <c r="I163" s="317" t="str">
        <f aca="false">IF(A163="N/A"," ",IF(OR(Dayrun2=3,Dayrun2=6,Dayrun2=9),(VLOOKUP(A163,ScaledPrice2,IF(Scaler2=2,7,8))),0))</f>
        <v> </v>
      </c>
      <c r="J163" s="317" t="str">
        <f aca="false">IF(A163="N/A"," ",IF(OR(Dayrun2=3,Dayrun2=6),IF(Scaler2=2,I163,(VLOOKUP(A163,ScaledPrice2,7))*(2-(VLOOKUP(A163,ScaledPrice2,3)))),0))</f>
        <v> </v>
      </c>
      <c r="K163" s="317" t="str">
        <f aca="false">IF($A163="N/A"," ",IF(OR(Dayrun2=3,Dayrun2=10),VLOOKUP($A163,ScaledPrice2,9),0))</f>
        <v> </v>
      </c>
      <c r="L163" s="318" t="str">
        <f aca="false">IF($A163="N/A"," ",IF(Pricetype2=2,MAX(C163,0),IF(OR(Pricetype2=1,Pricetype2=4),IF(C163=0,0,(EURO(C163,Strikeprice2,0,0,($AH163+IF(Smile=TRUE(),VLOOKUP(MAX(-5,Strikeprice2-C163),Volsmile,2),0)),($A163-DateToday)+15,IF(Pricetype2=1,1,0),0))),C163)))</f>
        <v> </v>
      </c>
      <c r="M163" s="318" t="str">
        <f aca="false">IF($A163="N/A"," ",IF(Pricetype2=2,MAX(D163,0),IF(OR(Pricetype2=1,Pricetype2=4),IF(D163=0,0,(EURO(D163,Strikeprice2,0,0,($AH163+IF(Smile=TRUE(),VLOOKUP(MAX(-5,Strikeprice2-D163),Volsmile,2),0)),($A163-DateToday)+15,IF(Pricetype2=1,1,0),0))),D163)))</f>
        <v> </v>
      </c>
      <c r="N163" s="318" t="str">
        <f aca="false">IF($A163="N/A"," ",IF(Pricetype2=2,MAX(E163,0),IF(OR(Pricetype2=1,Pricetype2=4),IF(E163=0,0,(EURO(E163,Strikeprice2,0,0,($AK163+IF(Smile=TRUE(),VLOOKUP(MAX(-5,Strikeprice2-E163),Volsmile,2),0)),($A163-DateToday)+15,IF(Pricetype2=1,1,0),0))),E163)))</f>
        <v> </v>
      </c>
      <c r="O163" s="318" t="str">
        <f aca="false">IF($A163="N/A"," ",IF(Pricetype2=2,MAX(F163,0),IF(OR(Pricetype2=1,Pricetype2=4),IF(F163=0,0,(EURO(F163,Strikeprice2,0,0,($AK163+IF(Smile=TRUE(),VLOOKUP(MAX(-5,Strikeprice2-F163),Volsmile,2),0)),($A163-DateToday)+15,IF(Pricetype2=1,1,0),0))),F163)))</f>
        <v> </v>
      </c>
      <c r="P163" s="318" t="str">
        <f aca="false">IF($A163="N/A"," ",IF(Pricetype2=2,MAX(G163,0),IF(OR(Pricetype2=1,Pricetype2=4),IF(G163=0,0,(EURO(G163,Strikeprice2,0,0,($AK163+IF(Smile=TRUE(),VLOOKUP(MAX(-5,Strikeprice2-G163),Volsmile,2),0)),($A163-DateToday)+15,IF(Pricetype2=1,1,0),0))),G163)))</f>
        <v> </v>
      </c>
      <c r="Q163" s="318" t="str">
        <f aca="false">IF($A163="N/A"," ",IF(Pricetype2=2,MAX(H163,0),IF(OR(Pricetype2=1,Pricetype2=4),IF(H163=0,0,(EURO(H163,Strikeprice2,0,0,($AK163+IF(Smile=TRUE(),VLOOKUP(MAX(-5,Strikeprice2-H163),Volsmile,2),0)),($A163-DateToday)+15,IF(Pricetype2=1,1,0),0))),H163)))</f>
        <v> </v>
      </c>
      <c r="R163" s="318" t="str">
        <f aca="false">IF($A163="N/A"," ",IF(Pricetype2=2,MAX(I163,0),IF(OR(Pricetype2=1,Pricetype2=4),IF(I163=0,0,(EURO(I163,Strikeprice2,0,0,($AK163+IF(Smile=TRUE(),VLOOKUP(MAX(-5,Strikeprice2-I163),Volsmile,2),0)),($A163-DateToday)+15,IF(Pricetype2=1,1,0),0))),I163)))</f>
        <v> </v>
      </c>
      <c r="S163" s="318" t="str">
        <f aca="false">IF($A163="N/A"," ",IF(Pricetype2=2,MAX(J163,0),IF(OR(Pricetype2=1,Pricetype2=4),IF(J163=0,0,(EURO(J163,Strikeprice2,0,0,($AK163+IF(Smile=TRUE(),VLOOKUP(MAX(-5,Strikeprice2-J163),Volsmile,2),0)),($A163-DateToday)+15,IF(Pricetype2=1,1,0),0))),J163)))</f>
        <v> </v>
      </c>
      <c r="T163" s="318" t="str">
        <f aca="false">IF($A163="N/A"," ",IF(Pricetype2=2,MAX(K163,0),IF(OR(Pricetype2=1,Pricetype2=4),IF(K163=0,0,(EURO(K163,Strikeprice2,0,0,($AK163+IF(Smile=TRUE(),VLOOKUP(MAX(-5,Strikeprice2-K163),Volsmile,2),0)),($A163-DateToday)+15,IF(Pricetype2=1,1,0),0))),K163)))</f>
        <v> </v>
      </c>
      <c r="U163" s="319" t="str">
        <f aca="false">IF($A163="N/A"," ",Volume2*$AM163)</f>
        <v> </v>
      </c>
      <c r="V163" s="320" t="str">
        <f aca="false">IF($A163="N/A"," ",$U163*(8*($BQ163))*L163)</f>
        <v> </v>
      </c>
      <c r="W163" s="320" t="str">
        <f aca="false">IF($A163="N/A"," ",$U163*(8*($BQ163))*M163)</f>
        <v> </v>
      </c>
      <c r="X163" s="320" t="str">
        <f aca="false">IF($A163="N/A"," ",$U163*(8*($BQ163))*N163)</f>
        <v> </v>
      </c>
      <c r="Y163" s="320" t="str">
        <f aca="false">IF($A163="N/A"," ",$U163*(8*($BR163))*O163)</f>
        <v> </v>
      </c>
      <c r="Z163" s="320" t="str">
        <f aca="false">IF($A163="N/A"," ",$U163*(8*($BR163))*P163)</f>
        <v> </v>
      </c>
      <c r="AA163" s="320" t="str">
        <f aca="false">IF($A163="N/A"," ",$U163*(8*($BR163))*Q163)</f>
        <v> </v>
      </c>
      <c r="AB163" s="320" t="str">
        <f aca="false">IF($A163="N/A"," ",$U163*(8*($BS163))*R163)</f>
        <v> </v>
      </c>
      <c r="AC163" s="320" t="str">
        <f aca="false">IF($A163="N/A"," ",$U163*(8*($BS163))*S163)</f>
        <v> </v>
      </c>
      <c r="AD163" s="320" t="str">
        <f aca="false">IF($A163="N/A"," ",$U163*(8*($BS163))*T163)</f>
        <v> </v>
      </c>
      <c r="AE163" s="320" t="str">
        <f aca="false">IF($A163="N/A"," ",SUM(V163:AD163))</f>
        <v> </v>
      </c>
      <c r="AF163" s="321" t="str">
        <f aca="false">IF(A163="N/A"," ",(VLOOKUP(A163,PowerVolTable,(IF(VolBMO2=2,7,IF(VolBMO2=1,6,8))),FALSE())))</f>
        <v> </v>
      </c>
      <c r="AG163" s="321" t="str">
        <f aca="false">IF(A163="N/A"," ",(VLOOKUP(A163,IntraPowerVol,(IF(VolBMO2=2,3,IF(VolBMO2=1,2,4))),FALSE())*VLOOKUP(MONTH($A163),Volscale,2)))</f>
        <v> </v>
      </c>
      <c r="AH163" s="321" t="str">
        <f aca="false">IF($A163="N/A"," ",IF(VolType2=1,AG163,AF163))</f>
        <v> </v>
      </c>
      <c r="AI163" s="321" t="str">
        <f aca="false">IF($A163="N/A"," ",(VLOOKUP($A163,OffPwrVolTable,(IF(VolBMO2=2,7,IF(VolBMO2=1,6,8))),FALSE())))</f>
        <v> </v>
      </c>
      <c r="AJ163" s="321" t="str">
        <f aca="false">IF($A163="N/A"," ",(VLOOKUP($A163,OffPwrVolTable,(IF(VolBMO2=2,3,IF(VolBMO2=1,2,4))),FALSE())*VLOOKUP(MONTH($A163),Volscale,2)))</f>
        <v> </v>
      </c>
      <c r="AK163" s="321" t="str">
        <f aca="false">IF($A163="N/A"," ",IF(VolType2=1,AJ163,AI163))</f>
        <v> </v>
      </c>
      <c r="AL163" s="321" t="str">
        <f aca="false">IF($A163="N/A"," ",IF(PV=1,0,'Pricing Inputs2'!R196))</f>
        <v> </v>
      </c>
      <c r="AM163" s="323" t="str">
        <f aca="false">IF($A163="N/A"," ",(1+AL163/2)^(-2*((EOMONTH(A163,0)+20)-DateToday)/365.25))</f>
        <v> </v>
      </c>
      <c r="BQ163" s="0" t="str">
        <f aca="false">IF($A163="N/A"," ",(VLOOKUP($A163,NumberofDaysTable,2)))</f>
        <v> </v>
      </c>
      <c r="BR163" s="0" t="str">
        <f aca="false">IF($A163="N/A"," ",(VLOOKUP($A163,NumberofDaysTable,3)))</f>
        <v> </v>
      </c>
      <c r="BS163" s="0" t="str">
        <f aca="false">IF($A163="N/A"," ",(VLOOKUP($A163,NumberofDaysTable,4)))</f>
        <v> </v>
      </c>
    </row>
    <row r="164" customFormat="false" ht="12.75" hidden="false" customHeight="false" outlineLevel="0" collapsed="false">
      <c r="A164" s="315" t="str">
        <f aca="false">IF(A163="N/A","N/A",IF(EDATE(A163,1)&gt;Inputs!$P$5,"N/A",EDATE(A163,1)))</f>
        <v>N/A</v>
      </c>
      <c r="B164" s="316" t="str">
        <f aca="false">IF(A164="N/A"," ",YEAR(A164))</f>
        <v> </v>
      </c>
      <c r="C164" s="317" t="str">
        <f aca="false">IF($A164="N/A"," ",IF(Dayrun2=10,0,IF(Scaler2=1,(VLOOKUP(A164,ScaledPrice2,4)),(VLOOKUP(A164,ScaledPrice2,2)))))</f>
        <v> </v>
      </c>
      <c r="D164" s="317" t="str">
        <f aca="false">IF(A164="N/A"," ",IF(Dayrun2&gt;=7,0,IF(Scaler2=2,VLOOKUP(A164,ScaledPrice2,2),(VLOOKUP(A164,ScaledPrice2,2))*(2-(VLOOKUP(A164,ScaledPrice2,3))))))</f>
        <v> </v>
      </c>
      <c r="E164" s="317" t="str">
        <f aca="false">IF($A164="N/A"," ",IF(AND(Dayrun2&gt;=4,Dayrun2&lt;=9),0,VLOOKUP($A164,ScaledPrice2,9)))</f>
        <v> </v>
      </c>
      <c r="F164" s="317" t="str">
        <f aca="false">IF(A164="N/A"," ",IF(OR(Dayrun2=2,Dayrun2=3,Dayrun2=5,Dayrun2=6,Dayrun2=8,Dayrun2=9),VLOOKUP(A164,ScaledPrice2,IF(Scaler2=1,6,5)),0))</f>
        <v> </v>
      </c>
      <c r="G164" s="317" t="str">
        <f aca="false">IF(A164="N/A"," ",IF(OR(Dayrun2=2,Dayrun2=3,Dayrun2=5,Dayrun2=6),IF(Scaler2=2,F164,(VLOOKUP(A164,ScaledPrice2,5))*(2-(VLOOKUP(A164,ScaledPrice2,3)))),0))</f>
        <v> </v>
      </c>
      <c r="H164" s="317" t="str">
        <f aca="false">IF($A164="N/A"," ",IF(OR(Dayrun2=2,Dayrun2=3,Dayrun2=10),VLOOKUP($A164,ScaledPrice2,9),0))</f>
        <v> </v>
      </c>
      <c r="I164" s="317" t="str">
        <f aca="false">IF(A164="N/A"," ",IF(OR(Dayrun2=3,Dayrun2=6,Dayrun2=9),(VLOOKUP(A164,ScaledPrice2,IF(Scaler2=2,7,8))),0))</f>
        <v> </v>
      </c>
      <c r="J164" s="317" t="str">
        <f aca="false">IF(A164="N/A"," ",IF(OR(Dayrun2=3,Dayrun2=6),IF(Scaler2=2,I164,(VLOOKUP(A164,ScaledPrice2,7))*(2-(VLOOKUP(A164,ScaledPrice2,3)))),0))</f>
        <v> </v>
      </c>
      <c r="K164" s="317" t="str">
        <f aca="false">IF($A164="N/A"," ",IF(OR(Dayrun2=3,Dayrun2=10),VLOOKUP($A164,ScaledPrice2,9),0))</f>
        <v> </v>
      </c>
      <c r="L164" s="318" t="str">
        <f aca="false">IF($A164="N/A"," ",IF(Pricetype2=2,MAX(C164,0),IF(OR(Pricetype2=1,Pricetype2=4),IF(C164=0,0,(EURO(C164,Strikeprice2,0,0,($AH164+IF(Smile=TRUE(),VLOOKUP(MAX(-5,Strikeprice2-C164),Volsmile,2),0)),($A164-DateToday)+15,IF(Pricetype2=1,1,0),0))),C164)))</f>
        <v> </v>
      </c>
      <c r="M164" s="318" t="str">
        <f aca="false">IF($A164="N/A"," ",IF(Pricetype2=2,MAX(D164,0),IF(OR(Pricetype2=1,Pricetype2=4),IF(D164=0,0,(EURO(D164,Strikeprice2,0,0,($AH164+IF(Smile=TRUE(),VLOOKUP(MAX(-5,Strikeprice2-D164),Volsmile,2),0)),($A164-DateToday)+15,IF(Pricetype2=1,1,0),0))),D164)))</f>
        <v> </v>
      </c>
      <c r="N164" s="318" t="str">
        <f aca="false">IF($A164="N/A"," ",IF(Pricetype2=2,MAX(E164,0),IF(OR(Pricetype2=1,Pricetype2=4),IF(E164=0,0,(EURO(E164,Strikeprice2,0,0,($AK164+IF(Smile=TRUE(),VLOOKUP(MAX(-5,Strikeprice2-E164),Volsmile,2),0)),($A164-DateToday)+15,IF(Pricetype2=1,1,0),0))),E164)))</f>
        <v> </v>
      </c>
      <c r="O164" s="318" t="str">
        <f aca="false">IF($A164="N/A"," ",IF(Pricetype2=2,MAX(F164,0),IF(OR(Pricetype2=1,Pricetype2=4),IF(F164=0,0,(EURO(F164,Strikeprice2,0,0,($AK164+IF(Smile=TRUE(),VLOOKUP(MAX(-5,Strikeprice2-F164),Volsmile,2),0)),($A164-DateToday)+15,IF(Pricetype2=1,1,0),0))),F164)))</f>
        <v> </v>
      </c>
      <c r="P164" s="318" t="str">
        <f aca="false">IF($A164="N/A"," ",IF(Pricetype2=2,MAX(G164,0),IF(OR(Pricetype2=1,Pricetype2=4),IF(G164=0,0,(EURO(G164,Strikeprice2,0,0,($AK164+IF(Smile=TRUE(),VLOOKUP(MAX(-5,Strikeprice2-G164),Volsmile,2),0)),($A164-DateToday)+15,IF(Pricetype2=1,1,0),0))),G164)))</f>
        <v> </v>
      </c>
      <c r="Q164" s="318" t="str">
        <f aca="false">IF($A164="N/A"," ",IF(Pricetype2=2,MAX(H164,0),IF(OR(Pricetype2=1,Pricetype2=4),IF(H164=0,0,(EURO(H164,Strikeprice2,0,0,($AK164+IF(Smile=TRUE(),VLOOKUP(MAX(-5,Strikeprice2-H164),Volsmile,2),0)),($A164-DateToday)+15,IF(Pricetype2=1,1,0),0))),H164)))</f>
        <v> </v>
      </c>
      <c r="R164" s="318" t="str">
        <f aca="false">IF($A164="N/A"," ",IF(Pricetype2=2,MAX(I164,0),IF(OR(Pricetype2=1,Pricetype2=4),IF(I164=0,0,(EURO(I164,Strikeprice2,0,0,($AK164+IF(Smile=TRUE(),VLOOKUP(MAX(-5,Strikeprice2-I164),Volsmile,2),0)),($A164-DateToday)+15,IF(Pricetype2=1,1,0),0))),I164)))</f>
        <v> </v>
      </c>
      <c r="S164" s="318" t="str">
        <f aca="false">IF($A164="N/A"," ",IF(Pricetype2=2,MAX(J164,0),IF(OR(Pricetype2=1,Pricetype2=4),IF(J164=0,0,(EURO(J164,Strikeprice2,0,0,($AK164+IF(Smile=TRUE(),VLOOKUP(MAX(-5,Strikeprice2-J164),Volsmile,2),0)),($A164-DateToday)+15,IF(Pricetype2=1,1,0),0))),J164)))</f>
        <v> </v>
      </c>
      <c r="T164" s="318" t="str">
        <f aca="false">IF($A164="N/A"," ",IF(Pricetype2=2,MAX(K164,0),IF(OR(Pricetype2=1,Pricetype2=4),IF(K164=0,0,(EURO(K164,Strikeprice2,0,0,($AK164+IF(Smile=TRUE(),VLOOKUP(MAX(-5,Strikeprice2-K164),Volsmile,2),0)),($A164-DateToday)+15,IF(Pricetype2=1,1,0),0))),K164)))</f>
        <v> </v>
      </c>
      <c r="U164" s="319" t="str">
        <f aca="false">IF($A164="N/A"," ",Volume2*$AM164)</f>
        <v> </v>
      </c>
      <c r="V164" s="320" t="str">
        <f aca="false">IF($A164="N/A"," ",$U164*(8*($BQ164))*L164)</f>
        <v> </v>
      </c>
      <c r="W164" s="320" t="str">
        <f aca="false">IF($A164="N/A"," ",$U164*(8*($BQ164))*M164)</f>
        <v> </v>
      </c>
      <c r="X164" s="320" t="str">
        <f aca="false">IF($A164="N/A"," ",$U164*(8*($BQ164))*N164)</f>
        <v> </v>
      </c>
      <c r="Y164" s="320" t="str">
        <f aca="false">IF($A164="N/A"," ",$U164*(8*($BR164))*O164)</f>
        <v> </v>
      </c>
      <c r="Z164" s="320" t="str">
        <f aca="false">IF($A164="N/A"," ",$U164*(8*($BR164))*P164)</f>
        <v> </v>
      </c>
      <c r="AA164" s="320" t="str">
        <f aca="false">IF($A164="N/A"," ",$U164*(8*($BR164))*Q164)</f>
        <v> </v>
      </c>
      <c r="AB164" s="320" t="str">
        <f aca="false">IF($A164="N/A"," ",$U164*(8*($BS164))*R164)</f>
        <v> </v>
      </c>
      <c r="AC164" s="320" t="str">
        <f aca="false">IF($A164="N/A"," ",$U164*(8*($BS164))*S164)</f>
        <v> </v>
      </c>
      <c r="AD164" s="320" t="str">
        <f aca="false">IF($A164="N/A"," ",$U164*(8*($BS164))*T164)</f>
        <v> </v>
      </c>
      <c r="AE164" s="320" t="str">
        <f aca="false">IF($A164="N/A"," ",SUM(V164:AD164))</f>
        <v> </v>
      </c>
      <c r="AF164" s="321" t="str">
        <f aca="false">IF(A164="N/A"," ",(VLOOKUP(A164,PowerVolTable,(IF(VolBMO2=2,7,IF(VolBMO2=1,6,8))),FALSE())))</f>
        <v> </v>
      </c>
      <c r="AG164" s="321" t="str">
        <f aca="false">IF(A164="N/A"," ",(VLOOKUP(A164,IntraPowerVol,(IF(VolBMO2=2,3,IF(VolBMO2=1,2,4))),FALSE())*VLOOKUP(MONTH($A164),Volscale,2)))</f>
        <v> </v>
      </c>
      <c r="AH164" s="321" t="str">
        <f aca="false">IF($A164="N/A"," ",IF(VolType2=1,AG164,AF164))</f>
        <v> </v>
      </c>
      <c r="AI164" s="321" t="str">
        <f aca="false">IF($A164="N/A"," ",(VLOOKUP($A164,OffPwrVolTable,(IF(VolBMO2=2,7,IF(VolBMO2=1,6,8))),FALSE())))</f>
        <v> </v>
      </c>
      <c r="AJ164" s="321" t="str">
        <f aca="false">IF($A164="N/A"," ",(VLOOKUP($A164,OffPwrVolTable,(IF(VolBMO2=2,3,IF(VolBMO2=1,2,4))),FALSE())*VLOOKUP(MONTH($A164),Volscale,2)))</f>
        <v> </v>
      </c>
      <c r="AK164" s="321" t="str">
        <f aca="false">IF($A164="N/A"," ",IF(VolType2=1,AJ164,AI164))</f>
        <v> </v>
      </c>
      <c r="AL164" s="321" t="str">
        <f aca="false">IF($A164="N/A"," ",IF(PV=1,0,'Pricing Inputs2'!R197))</f>
        <v> </v>
      </c>
      <c r="AM164" s="323" t="str">
        <f aca="false">IF($A164="N/A"," ",(1+AL164/2)^(-2*((EOMONTH(A164,0)+20)-DateToday)/365.25))</f>
        <v> </v>
      </c>
      <c r="BQ164" s="0" t="str">
        <f aca="false">IF($A164="N/A"," ",(VLOOKUP($A164,NumberofDaysTable,2)))</f>
        <v> </v>
      </c>
      <c r="BR164" s="0" t="str">
        <f aca="false">IF($A164="N/A"," ",(VLOOKUP($A164,NumberofDaysTable,3)))</f>
        <v> </v>
      </c>
      <c r="BS164" s="0" t="str">
        <f aca="false">IF($A164="N/A"," ",(VLOOKUP($A164,NumberofDaysTable,4)))</f>
        <v> </v>
      </c>
    </row>
    <row r="165" customFormat="false" ht="12.75" hidden="false" customHeight="false" outlineLevel="0" collapsed="false">
      <c r="A165" s="315" t="str">
        <f aca="false">IF(A164="N/A","N/A",IF(EDATE(A164,1)&gt;Inputs!$P$5,"N/A",EDATE(A164,1)))</f>
        <v>N/A</v>
      </c>
      <c r="B165" s="316" t="str">
        <f aca="false">IF(A165="N/A"," ",YEAR(A165))</f>
        <v> </v>
      </c>
      <c r="C165" s="317" t="str">
        <f aca="false">IF($A165="N/A"," ",IF(Dayrun2=10,0,IF(Scaler2=1,(VLOOKUP(A165,ScaledPrice2,4)),(VLOOKUP(A165,ScaledPrice2,2)))))</f>
        <v> </v>
      </c>
      <c r="D165" s="317" t="str">
        <f aca="false">IF(A165="N/A"," ",IF(Dayrun2&gt;=7,0,IF(Scaler2=2,VLOOKUP(A165,ScaledPrice2,2),(VLOOKUP(A165,ScaledPrice2,2))*(2-(VLOOKUP(A165,ScaledPrice2,3))))))</f>
        <v> </v>
      </c>
      <c r="E165" s="317" t="str">
        <f aca="false">IF($A165="N/A"," ",IF(AND(Dayrun2&gt;=4,Dayrun2&lt;=9),0,VLOOKUP($A165,ScaledPrice2,9)))</f>
        <v> </v>
      </c>
      <c r="F165" s="317" t="str">
        <f aca="false">IF(A165="N/A"," ",IF(OR(Dayrun2=2,Dayrun2=3,Dayrun2=5,Dayrun2=6,Dayrun2=8,Dayrun2=9),VLOOKUP(A165,ScaledPrice2,IF(Scaler2=1,6,5)),0))</f>
        <v> </v>
      </c>
      <c r="G165" s="317" t="str">
        <f aca="false">IF(A165="N/A"," ",IF(OR(Dayrun2=2,Dayrun2=3,Dayrun2=5,Dayrun2=6),IF(Scaler2=2,F165,(VLOOKUP(A165,ScaledPrice2,5))*(2-(VLOOKUP(A165,ScaledPrice2,3)))),0))</f>
        <v> </v>
      </c>
      <c r="H165" s="317" t="str">
        <f aca="false">IF($A165="N/A"," ",IF(OR(Dayrun2=2,Dayrun2=3,Dayrun2=10),VLOOKUP($A165,ScaledPrice2,9),0))</f>
        <v> </v>
      </c>
      <c r="I165" s="317" t="str">
        <f aca="false">IF(A165="N/A"," ",IF(OR(Dayrun2=3,Dayrun2=6,Dayrun2=9),(VLOOKUP(A165,ScaledPrice2,IF(Scaler2=2,7,8))),0))</f>
        <v> </v>
      </c>
      <c r="J165" s="317" t="str">
        <f aca="false">IF(A165="N/A"," ",IF(OR(Dayrun2=3,Dayrun2=6),IF(Scaler2=2,I165,(VLOOKUP(A165,ScaledPrice2,7))*(2-(VLOOKUP(A165,ScaledPrice2,3)))),0))</f>
        <v> </v>
      </c>
      <c r="K165" s="317" t="str">
        <f aca="false">IF($A165="N/A"," ",IF(OR(Dayrun2=3,Dayrun2=10),VLOOKUP($A165,ScaledPrice2,9),0))</f>
        <v> </v>
      </c>
      <c r="L165" s="318" t="str">
        <f aca="false">IF($A165="N/A"," ",IF(Pricetype2=2,MAX(C165,0),IF(OR(Pricetype2=1,Pricetype2=4),IF(C165=0,0,(EURO(C165,Strikeprice2,0,0,($AH165+IF(Smile=TRUE(),VLOOKUP(MAX(-5,Strikeprice2-C165),Volsmile,2),0)),($A165-DateToday)+15,IF(Pricetype2=1,1,0),0))),C165)))</f>
        <v> </v>
      </c>
      <c r="M165" s="318" t="str">
        <f aca="false">IF($A165="N/A"," ",IF(Pricetype2=2,MAX(D165,0),IF(OR(Pricetype2=1,Pricetype2=4),IF(D165=0,0,(EURO(D165,Strikeprice2,0,0,($AH165+IF(Smile=TRUE(),VLOOKUP(MAX(-5,Strikeprice2-D165),Volsmile,2),0)),($A165-DateToday)+15,IF(Pricetype2=1,1,0),0))),D165)))</f>
        <v> </v>
      </c>
      <c r="N165" s="318" t="str">
        <f aca="false">IF($A165="N/A"," ",IF(Pricetype2=2,MAX(E165,0),IF(OR(Pricetype2=1,Pricetype2=4),IF(E165=0,0,(EURO(E165,Strikeprice2,0,0,($AK165+IF(Smile=TRUE(),VLOOKUP(MAX(-5,Strikeprice2-E165),Volsmile,2),0)),($A165-DateToday)+15,IF(Pricetype2=1,1,0),0))),E165)))</f>
        <v> </v>
      </c>
      <c r="O165" s="318" t="str">
        <f aca="false">IF($A165="N/A"," ",IF(Pricetype2=2,MAX(F165,0),IF(OR(Pricetype2=1,Pricetype2=4),IF(F165=0,0,(EURO(F165,Strikeprice2,0,0,($AK165+IF(Smile=TRUE(),VLOOKUP(MAX(-5,Strikeprice2-F165),Volsmile,2),0)),($A165-DateToday)+15,IF(Pricetype2=1,1,0),0))),F165)))</f>
        <v> </v>
      </c>
      <c r="P165" s="318" t="str">
        <f aca="false">IF($A165="N/A"," ",IF(Pricetype2=2,MAX(G165,0),IF(OR(Pricetype2=1,Pricetype2=4),IF(G165=0,0,(EURO(G165,Strikeprice2,0,0,($AK165+IF(Smile=TRUE(),VLOOKUP(MAX(-5,Strikeprice2-G165),Volsmile,2),0)),($A165-DateToday)+15,IF(Pricetype2=1,1,0),0))),G165)))</f>
        <v> </v>
      </c>
      <c r="Q165" s="318" t="str">
        <f aca="false">IF($A165="N/A"," ",IF(Pricetype2=2,MAX(H165,0),IF(OR(Pricetype2=1,Pricetype2=4),IF(H165=0,0,(EURO(H165,Strikeprice2,0,0,($AK165+IF(Smile=TRUE(),VLOOKUP(MAX(-5,Strikeprice2-H165),Volsmile,2),0)),($A165-DateToday)+15,IF(Pricetype2=1,1,0),0))),H165)))</f>
        <v> </v>
      </c>
      <c r="R165" s="318" t="str">
        <f aca="false">IF($A165="N/A"," ",IF(Pricetype2=2,MAX(I165,0),IF(OR(Pricetype2=1,Pricetype2=4),IF(I165=0,0,(EURO(I165,Strikeprice2,0,0,($AK165+IF(Smile=TRUE(),VLOOKUP(MAX(-5,Strikeprice2-I165),Volsmile,2),0)),($A165-DateToday)+15,IF(Pricetype2=1,1,0),0))),I165)))</f>
        <v> </v>
      </c>
      <c r="S165" s="318" t="str">
        <f aca="false">IF($A165="N/A"," ",IF(Pricetype2=2,MAX(J165,0),IF(OR(Pricetype2=1,Pricetype2=4),IF(J165=0,0,(EURO(J165,Strikeprice2,0,0,($AK165+IF(Smile=TRUE(),VLOOKUP(MAX(-5,Strikeprice2-J165),Volsmile,2),0)),($A165-DateToday)+15,IF(Pricetype2=1,1,0),0))),J165)))</f>
        <v> </v>
      </c>
      <c r="T165" s="318" t="str">
        <f aca="false">IF($A165="N/A"," ",IF(Pricetype2=2,MAX(K165,0),IF(OR(Pricetype2=1,Pricetype2=4),IF(K165=0,0,(EURO(K165,Strikeprice2,0,0,($AK165+IF(Smile=TRUE(),VLOOKUP(MAX(-5,Strikeprice2-K165),Volsmile,2),0)),($A165-DateToday)+15,IF(Pricetype2=1,1,0),0))),K165)))</f>
        <v> </v>
      </c>
      <c r="U165" s="319" t="str">
        <f aca="false">IF($A165="N/A"," ",Volume2*$AM165)</f>
        <v> </v>
      </c>
      <c r="V165" s="320" t="str">
        <f aca="false">IF($A165="N/A"," ",$U165*(8*($BQ165))*L165)</f>
        <v> </v>
      </c>
      <c r="W165" s="320" t="str">
        <f aca="false">IF($A165="N/A"," ",$U165*(8*($BQ165))*M165)</f>
        <v> </v>
      </c>
      <c r="X165" s="320" t="str">
        <f aca="false">IF($A165="N/A"," ",$U165*(8*($BQ165))*N165)</f>
        <v> </v>
      </c>
      <c r="Y165" s="320" t="str">
        <f aca="false">IF($A165="N/A"," ",$U165*(8*($BR165))*O165)</f>
        <v> </v>
      </c>
      <c r="Z165" s="320" t="str">
        <f aca="false">IF($A165="N/A"," ",$U165*(8*($BR165))*P165)</f>
        <v> </v>
      </c>
      <c r="AA165" s="320" t="str">
        <f aca="false">IF($A165="N/A"," ",$U165*(8*($BR165))*Q165)</f>
        <v> </v>
      </c>
      <c r="AB165" s="320" t="str">
        <f aca="false">IF($A165="N/A"," ",$U165*(8*($BS165))*R165)</f>
        <v> </v>
      </c>
      <c r="AC165" s="320" t="str">
        <f aca="false">IF($A165="N/A"," ",$U165*(8*($BS165))*S165)</f>
        <v> </v>
      </c>
      <c r="AD165" s="320" t="str">
        <f aca="false">IF($A165="N/A"," ",$U165*(8*($BS165))*T165)</f>
        <v> </v>
      </c>
      <c r="AE165" s="320" t="str">
        <f aca="false">IF($A165="N/A"," ",SUM(V165:AD165))</f>
        <v> </v>
      </c>
      <c r="AF165" s="321" t="str">
        <f aca="false">IF(A165="N/A"," ",(VLOOKUP(A165,PowerVolTable,(IF(VolBMO2=2,7,IF(VolBMO2=1,6,8))),FALSE())))</f>
        <v> </v>
      </c>
      <c r="AG165" s="321" t="str">
        <f aca="false">IF(A165="N/A"," ",(VLOOKUP(A165,IntraPowerVol,(IF(VolBMO2=2,3,IF(VolBMO2=1,2,4))),FALSE())*VLOOKUP(MONTH($A165),Volscale,2)))</f>
        <v> </v>
      </c>
      <c r="AH165" s="321" t="str">
        <f aca="false">IF($A165="N/A"," ",IF(VolType2=1,AG165,AF165))</f>
        <v> </v>
      </c>
      <c r="AI165" s="321" t="str">
        <f aca="false">IF($A165="N/A"," ",(VLOOKUP($A165,OffPwrVolTable,(IF(VolBMO2=2,7,IF(VolBMO2=1,6,8))),FALSE())))</f>
        <v> </v>
      </c>
      <c r="AJ165" s="321" t="str">
        <f aca="false">IF($A165="N/A"," ",(VLOOKUP($A165,OffPwrVolTable,(IF(VolBMO2=2,3,IF(VolBMO2=1,2,4))),FALSE())*VLOOKUP(MONTH($A165),Volscale,2)))</f>
        <v> </v>
      </c>
      <c r="AK165" s="321" t="str">
        <f aca="false">IF($A165="N/A"," ",IF(VolType2=1,AJ165,AI165))</f>
        <v> </v>
      </c>
      <c r="AL165" s="321" t="str">
        <f aca="false">IF($A165="N/A"," ",IF(PV=1,0,'Pricing Inputs2'!R198))</f>
        <v> </v>
      </c>
      <c r="AM165" s="323" t="str">
        <f aca="false">IF($A165="N/A"," ",(1+AL165/2)^(-2*((EOMONTH(A165,0)+20)-DateToday)/365.25))</f>
        <v> </v>
      </c>
      <c r="BQ165" s="0" t="str">
        <f aca="false">IF($A165="N/A"," ",(VLOOKUP($A165,NumberofDaysTable,2)))</f>
        <v> </v>
      </c>
      <c r="BR165" s="0" t="str">
        <f aca="false">IF($A165="N/A"," ",(VLOOKUP($A165,NumberofDaysTable,3)))</f>
        <v> </v>
      </c>
      <c r="BS165" s="0" t="str">
        <f aca="false">IF($A165="N/A"," ",(VLOOKUP($A165,NumberofDaysTable,4)))</f>
        <v> </v>
      </c>
    </row>
    <row r="166" customFormat="false" ht="12.75" hidden="false" customHeight="false" outlineLevel="0" collapsed="false">
      <c r="A166" s="315" t="str">
        <f aca="false">IF(A165="N/A","N/A",IF(EDATE(A165,1)&gt;Inputs!$P$5,"N/A",EDATE(A165,1)))</f>
        <v>N/A</v>
      </c>
      <c r="B166" s="316" t="str">
        <f aca="false">IF(A166="N/A"," ",YEAR(A166))</f>
        <v> </v>
      </c>
      <c r="C166" s="317" t="str">
        <f aca="false">IF($A166="N/A"," ",IF(Dayrun2=10,0,IF(Scaler2=1,(VLOOKUP(A166,ScaledPrice2,4)),(VLOOKUP(A166,ScaledPrice2,2)))))</f>
        <v> </v>
      </c>
      <c r="D166" s="317" t="str">
        <f aca="false">IF(A166="N/A"," ",IF(Dayrun2&gt;=7,0,IF(Scaler2=2,VLOOKUP(A166,ScaledPrice2,2),(VLOOKUP(A166,ScaledPrice2,2))*(2-(VLOOKUP(A166,ScaledPrice2,3))))))</f>
        <v> </v>
      </c>
      <c r="E166" s="317" t="str">
        <f aca="false">IF($A166="N/A"," ",IF(AND(Dayrun2&gt;=4,Dayrun2&lt;=9),0,VLOOKUP($A166,ScaledPrice2,9)))</f>
        <v> </v>
      </c>
      <c r="F166" s="317" t="str">
        <f aca="false">IF(A166="N/A"," ",IF(OR(Dayrun2=2,Dayrun2=3,Dayrun2=5,Dayrun2=6,Dayrun2=8,Dayrun2=9),VLOOKUP(A166,ScaledPrice2,IF(Scaler2=1,6,5)),0))</f>
        <v> </v>
      </c>
      <c r="G166" s="317" t="str">
        <f aca="false">IF(A166="N/A"," ",IF(OR(Dayrun2=2,Dayrun2=3,Dayrun2=5,Dayrun2=6),IF(Scaler2=2,F166,(VLOOKUP(A166,ScaledPrice2,5))*(2-(VLOOKUP(A166,ScaledPrice2,3)))),0))</f>
        <v> </v>
      </c>
      <c r="H166" s="317" t="str">
        <f aca="false">IF($A166="N/A"," ",IF(OR(Dayrun2=2,Dayrun2=3,Dayrun2=10),VLOOKUP($A166,ScaledPrice2,9),0))</f>
        <v> </v>
      </c>
      <c r="I166" s="317" t="str">
        <f aca="false">IF(A166="N/A"," ",IF(OR(Dayrun2=3,Dayrun2=6,Dayrun2=9),(VLOOKUP(A166,ScaledPrice2,IF(Scaler2=2,7,8))),0))</f>
        <v> </v>
      </c>
      <c r="J166" s="317" t="str">
        <f aca="false">IF(A166="N/A"," ",IF(OR(Dayrun2=3,Dayrun2=6),IF(Scaler2=2,I166,(VLOOKUP(A166,ScaledPrice2,7))*(2-(VLOOKUP(A166,ScaledPrice2,3)))),0))</f>
        <v> </v>
      </c>
      <c r="K166" s="317" t="str">
        <f aca="false">IF($A166="N/A"," ",IF(OR(Dayrun2=3,Dayrun2=10),VLOOKUP($A166,ScaledPrice2,9),0))</f>
        <v> </v>
      </c>
      <c r="L166" s="318" t="str">
        <f aca="false">IF($A166="N/A"," ",IF(Pricetype2=2,MAX(C166,0),IF(OR(Pricetype2=1,Pricetype2=4),IF(C166=0,0,(EURO(C166,Strikeprice2,0,0,($AH166+IF(Smile=TRUE(),VLOOKUP(MAX(-5,Strikeprice2-C166),Volsmile,2),0)),($A166-DateToday)+15,IF(Pricetype2=1,1,0),0))),C166)))</f>
        <v> </v>
      </c>
      <c r="M166" s="318" t="str">
        <f aca="false">IF($A166="N/A"," ",IF(Pricetype2=2,MAX(D166,0),IF(OR(Pricetype2=1,Pricetype2=4),IF(D166=0,0,(EURO(D166,Strikeprice2,0,0,($AH166+IF(Smile=TRUE(),VLOOKUP(MAX(-5,Strikeprice2-D166),Volsmile,2),0)),($A166-DateToday)+15,IF(Pricetype2=1,1,0),0))),D166)))</f>
        <v> </v>
      </c>
      <c r="N166" s="318" t="str">
        <f aca="false">IF($A166="N/A"," ",IF(Pricetype2=2,MAX(E166,0),IF(OR(Pricetype2=1,Pricetype2=4),IF(E166=0,0,(EURO(E166,Strikeprice2,0,0,($AK166+IF(Smile=TRUE(),VLOOKUP(MAX(-5,Strikeprice2-E166),Volsmile,2),0)),($A166-DateToday)+15,IF(Pricetype2=1,1,0),0))),E166)))</f>
        <v> </v>
      </c>
      <c r="O166" s="318" t="str">
        <f aca="false">IF($A166="N/A"," ",IF(Pricetype2=2,MAX(F166,0),IF(OR(Pricetype2=1,Pricetype2=4),IF(F166=0,0,(EURO(F166,Strikeprice2,0,0,($AK166+IF(Smile=TRUE(),VLOOKUP(MAX(-5,Strikeprice2-F166),Volsmile,2),0)),($A166-DateToday)+15,IF(Pricetype2=1,1,0),0))),F166)))</f>
        <v> </v>
      </c>
      <c r="P166" s="318" t="str">
        <f aca="false">IF($A166="N/A"," ",IF(Pricetype2=2,MAX(G166,0),IF(OR(Pricetype2=1,Pricetype2=4),IF(G166=0,0,(EURO(G166,Strikeprice2,0,0,($AK166+IF(Smile=TRUE(),VLOOKUP(MAX(-5,Strikeprice2-G166),Volsmile,2),0)),($A166-DateToday)+15,IF(Pricetype2=1,1,0),0))),G166)))</f>
        <v> </v>
      </c>
      <c r="Q166" s="318" t="str">
        <f aca="false">IF($A166="N/A"," ",IF(Pricetype2=2,MAX(H166,0),IF(OR(Pricetype2=1,Pricetype2=4),IF(H166=0,0,(EURO(H166,Strikeprice2,0,0,($AK166+IF(Smile=TRUE(),VLOOKUP(MAX(-5,Strikeprice2-H166),Volsmile,2),0)),($A166-DateToday)+15,IF(Pricetype2=1,1,0),0))),H166)))</f>
        <v> </v>
      </c>
      <c r="R166" s="318" t="str">
        <f aca="false">IF($A166="N/A"," ",IF(Pricetype2=2,MAX(I166,0),IF(OR(Pricetype2=1,Pricetype2=4),IF(I166=0,0,(EURO(I166,Strikeprice2,0,0,($AK166+IF(Smile=TRUE(),VLOOKUP(MAX(-5,Strikeprice2-I166),Volsmile,2),0)),($A166-DateToday)+15,IF(Pricetype2=1,1,0),0))),I166)))</f>
        <v> </v>
      </c>
      <c r="S166" s="318" t="str">
        <f aca="false">IF($A166="N/A"," ",IF(Pricetype2=2,MAX(J166,0),IF(OR(Pricetype2=1,Pricetype2=4),IF(J166=0,0,(EURO(J166,Strikeprice2,0,0,($AK166+IF(Smile=TRUE(),VLOOKUP(MAX(-5,Strikeprice2-J166),Volsmile,2),0)),($A166-DateToday)+15,IF(Pricetype2=1,1,0),0))),J166)))</f>
        <v> </v>
      </c>
      <c r="T166" s="318" t="str">
        <f aca="false">IF($A166="N/A"," ",IF(Pricetype2=2,MAX(K166,0),IF(OR(Pricetype2=1,Pricetype2=4),IF(K166=0,0,(EURO(K166,Strikeprice2,0,0,($AK166+IF(Smile=TRUE(),VLOOKUP(MAX(-5,Strikeprice2-K166),Volsmile,2),0)),($A166-DateToday)+15,IF(Pricetype2=1,1,0),0))),K166)))</f>
        <v> </v>
      </c>
      <c r="U166" s="319" t="str">
        <f aca="false">IF($A166="N/A"," ",Volume2*$AM166)</f>
        <v> </v>
      </c>
      <c r="V166" s="320" t="str">
        <f aca="false">IF($A166="N/A"," ",$U166*(8*($BQ166))*L166)</f>
        <v> </v>
      </c>
      <c r="W166" s="320" t="str">
        <f aca="false">IF($A166="N/A"," ",$U166*(8*($BQ166))*M166)</f>
        <v> </v>
      </c>
      <c r="X166" s="320" t="str">
        <f aca="false">IF($A166="N/A"," ",$U166*(8*($BQ166))*N166)</f>
        <v> </v>
      </c>
      <c r="Y166" s="320" t="str">
        <f aca="false">IF($A166="N/A"," ",$U166*(8*($BR166))*O166)</f>
        <v> </v>
      </c>
      <c r="Z166" s="320" t="str">
        <f aca="false">IF($A166="N/A"," ",$U166*(8*($BR166))*P166)</f>
        <v> </v>
      </c>
      <c r="AA166" s="320" t="str">
        <f aca="false">IF($A166="N/A"," ",$U166*(8*($BR166))*Q166)</f>
        <v> </v>
      </c>
      <c r="AB166" s="320" t="str">
        <f aca="false">IF($A166="N/A"," ",$U166*(8*($BS166))*R166)</f>
        <v> </v>
      </c>
      <c r="AC166" s="320" t="str">
        <f aca="false">IF($A166="N/A"," ",$U166*(8*($BS166))*S166)</f>
        <v> </v>
      </c>
      <c r="AD166" s="320" t="str">
        <f aca="false">IF($A166="N/A"," ",$U166*(8*($BS166))*T166)</f>
        <v> </v>
      </c>
      <c r="AE166" s="320" t="str">
        <f aca="false">IF($A166="N/A"," ",SUM(V166:AD166))</f>
        <v> </v>
      </c>
      <c r="AF166" s="321" t="str">
        <f aca="false">IF(A166="N/A"," ",(VLOOKUP(A166,PowerVolTable,(IF(VolBMO2=2,7,IF(VolBMO2=1,6,8))),FALSE())))</f>
        <v> </v>
      </c>
      <c r="AG166" s="321" t="str">
        <f aca="false">IF(A166="N/A"," ",(VLOOKUP(A166,IntraPowerVol,(IF(VolBMO2=2,3,IF(VolBMO2=1,2,4))),FALSE())*VLOOKUP(MONTH($A166),Volscale,2)))</f>
        <v> </v>
      </c>
      <c r="AH166" s="321" t="str">
        <f aca="false">IF($A166="N/A"," ",IF(VolType2=1,AG166,AF166))</f>
        <v> </v>
      </c>
      <c r="AI166" s="321" t="str">
        <f aca="false">IF($A166="N/A"," ",(VLOOKUP($A166,OffPwrVolTable,(IF(VolBMO2=2,7,IF(VolBMO2=1,6,8))),FALSE())))</f>
        <v> </v>
      </c>
      <c r="AJ166" s="321" t="str">
        <f aca="false">IF($A166="N/A"," ",(VLOOKUP($A166,OffPwrVolTable,(IF(VolBMO2=2,3,IF(VolBMO2=1,2,4))),FALSE())*VLOOKUP(MONTH($A166),Volscale,2)))</f>
        <v> </v>
      </c>
      <c r="AK166" s="321" t="str">
        <f aca="false">IF($A166="N/A"," ",IF(VolType2=1,AJ166,AI166))</f>
        <v> </v>
      </c>
      <c r="AL166" s="321" t="str">
        <f aca="false">IF($A166="N/A"," ",IF(PV=1,0,'Pricing Inputs2'!R199))</f>
        <v> </v>
      </c>
      <c r="AM166" s="323" t="str">
        <f aca="false">IF($A166="N/A"," ",(1+AL166/2)^(-2*((EOMONTH(A166,0)+20)-DateToday)/365.25))</f>
        <v> </v>
      </c>
      <c r="BQ166" s="0" t="str">
        <f aca="false">IF($A166="N/A"," ",(VLOOKUP($A166,NumberofDaysTable,2)))</f>
        <v> </v>
      </c>
      <c r="BR166" s="0" t="str">
        <f aca="false">IF($A166="N/A"," ",(VLOOKUP($A166,NumberofDaysTable,3)))</f>
        <v> </v>
      </c>
      <c r="BS166" s="0" t="str">
        <f aca="false">IF($A166="N/A"," ",(VLOOKUP($A166,NumberofDaysTable,4)))</f>
        <v> </v>
      </c>
    </row>
    <row r="167" customFormat="false" ht="12.75" hidden="false" customHeight="false" outlineLevel="0" collapsed="false">
      <c r="A167" s="315" t="str">
        <f aca="false">IF(A166="N/A","N/A",IF(EDATE(A166,1)&gt;Inputs!$P$5,"N/A",EDATE(A166,1)))</f>
        <v>N/A</v>
      </c>
      <c r="B167" s="316" t="str">
        <f aca="false">IF(A167="N/A"," ",YEAR(A167))</f>
        <v> </v>
      </c>
      <c r="C167" s="317" t="str">
        <f aca="false">IF($A167="N/A"," ",IF(Dayrun2=10,0,IF(Scaler2=1,(VLOOKUP(A167,ScaledPrice2,4)),(VLOOKUP(A167,ScaledPrice2,2)))))</f>
        <v> </v>
      </c>
      <c r="D167" s="317" t="str">
        <f aca="false">IF(A167="N/A"," ",IF(Dayrun2&gt;=7,0,IF(Scaler2=2,VLOOKUP(A167,ScaledPrice2,2),(VLOOKUP(A167,ScaledPrice2,2))*(2-(VLOOKUP(A167,ScaledPrice2,3))))))</f>
        <v> </v>
      </c>
      <c r="E167" s="317" t="str">
        <f aca="false">IF($A167="N/A"," ",IF(AND(Dayrun2&gt;=4,Dayrun2&lt;=9),0,VLOOKUP($A167,ScaledPrice2,9)))</f>
        <v> </v>
      </c>
      <c r="F167" s="317" t="str">
        <f aca="false">IF(A167="N/A"," ",IF(OR(Dayrun2=2,Dayrun2=3,Dayrun2=5,Dayrun2=6,Dayrun2=8,Dayrun2=9),VLOOKUP(A167,ScaledPrice2,IF(Scaler2=1,6,5)),0))</f>
        <v> </v>
      </c>
      <c r="G167" s="317" t="str">
        <f aca="false">IF(A167="N/A"," ",IF(OR(Dayrun2=2,Dayrun2=3,Dayrun2=5,Dayrun2=6),IF(Scaler2=2,F167,(VLOOKUP(A167,ScaledPrice2,5))*(2-(VLOOKUP(A167,ScaledPrice2,3)))),0))</f>
        <v> </v>
      </c>
      <c r="H167" s="317" t="str">
        <f aca="false">IF($A167="N/A"," ",IF(OR(Dayrun2=2,Dayrun2=3,Dayrun2=10),VLOOKUP($A167,ScaledPrice2,9),0))</f>
        <v> </v>
      </c>
      <c r="I167" s="317" t="str">
        <f aca="false">IF(A167="N/A"," ",IF(OR(Dayrun2=3,Dayrun2=6,Dayrun2=9),(VLOOKUP(A167,ScaledPrice2,IF(Scaler2=2,7,8))),0))</f>
        <v> </v>
      </c>
      <c r="J167" s="317" t="str">
        <f aca="false">IF(A167="N/A"," ",IF(OR(Dayrun2=3,Dayrun2=6),IF(Scaler2=2,I167,(VLOOKUP(A167,ScaledPrice2,7))*(2-(VLOOKUP(A167,ScaledPrice2,3)))),0))</f>
        <v> </v>
      </c>
      <c r="K167" s="317" t="str">
        <f aca="false">IF($A167="N/A"," ",IF(OR(Dayrun2=3,Dayrun2=10),VLOOKUP($A167,ScaledPrice2,9),0))</f>
        <v> </v>
      </c>
      <c r="L167" s="318" t="str">
        <f aca="false">IF($A167="N/A"," ",IF(Pricetype2=2,MAX(C167,0),IF(OR(Pricetype2=1,Pricetype2=4),IF(C167=0,0,(EURO(C167,Strikeprice2,0,0,($AH167+IF(Smile=TRUE(),VLOOKUP(MAX(-5,Strikeprice2-C167),Volsmile,2),0)),($A167-DateToday)+15,IF(Pricetype2=1,1,0),0))),C167)))</f>
        <v> </v>
      </c>
      <c r="M167" s="318" t="str">
        <f aca="false">IF($A167="N/A"," ",IF(Pricetype2=2,MAX(D167,0),IF(OR(Pricetype2=1,Pricetype2=4),IF(D167=0,0,(EURO(D167,Strikeprice2,0,0,($AH167+IF(Smile=TRUE(),VLOOKUP(MAX(-5,Strikeprice2-D167),Volsmile,2),0)),($A167-DateToday)+15,IF(Pricetype2=1,1,0),0))),D167)))</f>
        <v> </v>
      </c>
      <c r="N167" s="318" t="str">
        <f aca="false">IF($A167="N/A"," ",IF(Pricetype2=2,MAX(E167,0),IF(OR(Pricetype2=1,Pricetype2=4),IF(E167=0,0,(EURO(E167,Strikeprice2,0,0,($AK167+IF(Smile=TRUE(),VLOOKUP(MAX(-5,Strikeprice2-E167),Volsmile,2),0)),($A167-DateToday)+15,IF(Pricetype2=1,1,0),0))),E167)))</f>
        <v> </v>
      </c>
      <c r="O167" s="318" t="str">
        <f aca="false">IF($A167="N/A"," ",IF(Pricetype2=2,MAX(F167,0),IF(OR(Pricetype2=1,Pricetype2=4),IF(F167=0,0,(EURO(F167,Strikeprice2,0,0,($AK167+IF(Smile=TRUE(),VLOOKUP(MAX(-5,Strikeprice2-F167),Volsmile,2),0)),($A167-DateToday)+15,IF(Pricetype2=1,1,0),0))),F167)))</f>
        <v> </v>
      </c>
      <c r="P167" s="318" t="str">
        <f aca="false">IF($A167="N/A"," ",IF(Pricetype2=2,MAX(G167,0),IF(OR(Pricetype2=1,Pricetype2=4),IF(G167=0,0,(EURO(G167,Strikeprice2,0,0,($AK167+IF(Smile=TRUE(),VLOOKUP(MAX(-5,Strikeprice2-G167),Volsmile,2),0)),($A167-DateToday)+15,IF(Pricetype2=1,1,0),0))),G167)))</f>
        <v> </v>
      </c>
      <c r="Q167" s="318" t="str">
        <f aca="false">IF($A167="N/A"," ",IF(Pricetype2=2,MAX(H167,0),IF(OR(Pricetype2=1,Pricetype2=4),IF(H167=0,0,(EURO(H167,Strikeprice2,0,0,($AK167+IF(Smile=TRUE(),VLOOKUP(MAX(-5,Strikeprice2-H167),Volsmile,2),0)),($A167-DateToday)+15,IF(Pricetype2=1,1,0),0))),H167)))</f>
        <v> </v>
      </c>
      <c r="R167" s="318" t="str">
        <f aca="false">IF($A167="N/A"," ",IF(Pricetype2=2,MAX(I167,0),IF(OR(Pricetype2=1,Pricetype2=4),IF(I167=0,0,(EURO(I167,Strikeprice2,0,0,($AK167+IF(Smile=TRUE(),VLOOKUP(MAX(-5,Strikeprice2-I167),Volsmile,2),0)),($A167-DateToday)+15,IF(Pricetype2=1,1,0),0))),I167)))</f>
        <v> </v>
      </c>
      <c r="S167" s="318" t="str">
        <f aca="false">IF($A167="N/A"," ",IF(Pricetype2=2,MAX(J167,0),IF(OR(Pricetype2=1,Pricetype2=4),IF(J167=0,0,(EURO(J167,Strikeprice2,0,0,($AK167+IF(Smile=TRUE(),VLOOKUP(MAX(-5,Strikeprice2-J167),Volsmile,2),0)),($A167-DateToday)+15,IF(Pricetype2=1,1,0),0))),J167)))</f>
        <v> </v>
      </c>
      <c r="T167" s="318" t="str">
        <f aca="false">IF($A167="N/A"," ",IF(Pricetype2=2,MAX(K167,0),IF(OR(Pricetype2=1,Pricetype2=4),IF(K167=0,0,(EURO(K167,Strikeprice2,0,0,($AK167+IF(Smile=TRUE(),VLOOKUP(MAX(-5,Strikeprice2-K167),Volsmile,2),0)),($A167-DateToday)+15,IF(Pricetype2=1,1,0),0))),K167)))</f>
        <v> </v>
      </c>
      <c r="U167" s="319" t="str">
        <f aca="false">IF($A167="N/A"," ",Volume2*$AM167)</f>
        <v> </v>
      </c>
      <c r="V167" s="320" t="str">
        <f aca="false">IF($A167="N/A"," ",$U167*(8*($BQ167))*L167)</f>
        <v> </v>
      </c>
      <c r="W167" s="320" t="str">
        <f aca="false">IF($A167="N/A"," ",$U167*(8*($BQ167))*M167)</f>
        <v> </v>
      </c>
      <c r="X167" s="320" t="str">
        <f aca="false">IF($A167="N/A"," ",$U167*(8*($BQ167))*N167)</f>
        <v> </v>
      </c>
      <c r="Y167" s="320" t="str">
        <f aca="false">IF($A167="N/A"," ",$U167*(8*($BR167))*O167)</f>
        <v> </v>
      </c>
      <c r="Z167" s="320" t="str">
        <f aca="false">IF($A167="N/A"," ",$U167*(8*($BR167))*P167)</f>
        <v> </v>
      </c>
      <c r="AA167" s="320" t="str">
        <f aca="false">IF($A167="N/A"," ",$U167*(8*($BR167))*Q167)</f>
        <v> </v>
      </c>
      <c r="AB167" s="320" t="str">
        <f aca="false">IF($A167="N/A"," ",$U167*(8*($BS167))*R167)</f>
        <v> </v>
      </c>
      <c r="AC167" s="320" t="str">
        <f aca="false">IF($A167="N/A"," ",$U167*(8*($BS167))*S167)</f>
        <v> </v>
      </c>
      <c r="AD167" s="320" t="str">
        <f aca="false">IF($A167="N/A"," ",$U167*(8*($BS167))*T167)</f>
        <v> </v>
      </c>
      <c r="AE167" s="320" t="str">
        <f aca="false">IF($A167="N/A"," ",SUM(V167:AD167))</f>
        <v> </v>
      </c>
      <c r="AF167" s="321" t="str">
        <f aca="false">IF(A167="N/A"," ",(VLOOKUP(A167,PowerVolTable,(IF(VolBMO2=2,7,IF(VolBMO2=1,6,8))),FALSE())))</f>
        <v> </v>
      </c>
      <c r="AG167" s="321" t="str">
        <f aca="false">IF(A167="N/A"," ",(VLOOKUP(A167,IntraPowerVol,(IF(VolBMO2=2,3,IF(VolBMO2=1,2,4))),FALSE())*VLOOKUP(MONTH($A167),Volscale,2)))</f>
        <v> </v>
      </c>
      <c r="AH167" s="321" t="str">
        <f aca="false">IF($A167="N/A"," ",IF(VolType2=1,AG167,AF167))</f>
        <v> </v>
      </c>
      <c r="AI167" s="321" t="str">
        <f aca="false">IF($A167="N/A"," ",(VLOOKUP($A167,OffPwrVolTable,(IF(VolBMO2=2,7,IF(VolBMO2=1,6,8))),FALSE())))</f>
        <v> </v>
      </c>
      <c r="AJ167" s="321" t="str">
        <f aca="false">IF($A167="N/A"," ",(VLOOKUP($A167,OffPwrVolTable,(IF(VolBMO2=2,3,IF(VolBMO2=1,2,4))),FALSE())*VLOOKUP(MONTH($A167),Volscale,2)))</f>
        <v> </v>
      </c>
      <c r="AK167" s="321" t="str">
        <f aca="false">IF($A167="N/A"," ",IF(VolType2=1,AJ167,AI167))</f>
        <v> </v>
      </c>
      <c r="AL167" s="321" t="str">
        <f aca="false">IF($A167="N/A"," ",IF(PV=1,0,'Pricing Inputs2'!R200))</f>
        <v> </v>
      </c>
      <c r="AM167" s="323" t="str">
        <f aca="false">IF($A167="N/A"," ",(1+AL167/2)^(-2*((EOMONTH(A167,0)+20)-DateToday)/365.25))</f>
        <v> </v>
      </c>
      <c r="BQ167" s="0" t="str">
        <f aca="false">IF($A167="N/A"," ",(VLOOKUP($A167,NumberofDaysTable,2)))</f>
        <v> </v>
      </c>
      <c r="BR167" s="0" t="str">
        <f aca="false">IF($A167="N/A"," ",(VLOOKUP($A167,NumberofDaysTable,3)))</f>
        <v> </v>
      </c>
      <c r="BS167" s="0" t="str">
        <f aca="false">IF($A167="N/A"," ",(VLOOKUP($A167,NumberofDaysTable,4)))</f>
        <v> </v>
      </c>
    </row>
    <row r="168" customFormat="false" ht="12.75" hidden="false" customHeight="false" outlineLevel="0" collapsed="false">
      <c r="A168" s="315" t="str">
        <f aca="false">IF(A167="N/A","N/A",IF(EDATE(A167,1)&gt;Inputs!$P$5,"N/A",EDATE(A167,1)))</f>
        <v>N/A</v>
      </c>
      <c r="B168" s="316" t="str">
        <f aca="false">IF(A168="N/A"," ",YEAR(A168))</f>
        <v> </v>
      </c>
      <c r="C168" s="317" t="str">
        <f aca="false">IF($A168="N/A"," ",IF(Dayrun2=10,0,IF(Scaler2=1,(VLOOKUP(A168,ScaledPrice2,4)),(VLOOKUP(A168,ScaledPrice2,2)))))</f>
        <v> </v>
      </c>
      <c r="D168" s="317" t="str">
        <f aca="false">IF(A168="N/A"," ",IF(Dayrun2&gt;=7,0,IF(Scaler2=2,VLOOKUP(A168,ScaledPrice2,2),(VLOOKUP(A168,ScaledPrice2,2))*(2-(VLOOKUP(A168,ScaledPrice2,3))))))</f>
        <v> </v>
      </c>
      <c r="E168" s="317" t="str">
        <f aca="false">IF($A168="N/A"," ",IF(AND(Dayrun2&gt;=4,Dayrun2&lt;=9),0,VLOOKUP($A168,ScaledPrice2,9)))</f>
        <v> </v>
      </c>
      <c r="F168" s="317" t="str">
        <f aca="false">IF(A168="N/A"," ",IF(OR(Dayrun2=2,Dayrun2=3,Dayrun2=5,Dayrun2=6,Dayrun2=8,Dayrun2=9),VLOOKUP(A168,ScaledPrice2,IF(Scaler2=1,6,5)),0))</f>
        <v> </v>
      </c>
      <c r="G168" s="317" t="str">
        <f aca="false">IF(A168="N/A"," ",IF(OR(Dayrun2=2,Dayrun2=3,Dayrun2=5,Dayrun2=6),IF(Scaler2=2,F168,(VLOOKUP(A168,ScaledPrice2,5))*(2-(VLOOKUP(A168,ScaledPrice2,3)))),0))</f>
        <v> </v>
      </c>
      <c r="H168" s="317" t="str">
        <f aca="false">IF($A168="N/A"," ",IF(OR(Dayrun2=2,Dayrun2=3,Dayrun2=10),VLOOKUP($A168,ScaledPrice2,9),0))</f>
        <v> </v>
      </c>
      <c r="I168" s="317" t="str">
        <f aca="false">IF(A168="N/A"," ",IF(OR(Dayrun2=3,Dayrun2=6,Dayrun2=9),(VLOOKUP(A168,ScaledPrice2,IF(Scaler2=2,7,8))),0))</f>
        <v> </v>
      </c>
      <c r="J168" s="317" t="str">
        <f aca="false">IF(A168="N/A"," ",IF(OR(Dayrun2=3,Dayrun2=6),IF(Scaler2=2,I168,(VLOOKUP(A168,ScaledPrice2,7))*(2-(VLOOKUP(A168,ScaledPrice2,3)))),0))</f>
        <v> </v>
      </c>
      <c r="K168" s="317" t="str">
        <f aca="false">IF($A168="N/A"," ",IF(OR(Dayrun2=3,Dayrun2=10),VLOOKUP($A168,ScaledPrice2,9),0))</f>
        <v> </v>
      </c>
      <c r="L168" s="318" t="str">
        <f aca="false">IF($A168="N/A"," ",IF(Pricetype2=2,MAX(C168,0),IF(OR(Pricetype2=1,Pricetype2=4),IF(C168=0,0,(EURO(C168,Strikeprice2,0,0,($AH168+IF(Smile=TRUE(),VLOOKUP(MAX(-5,Strikeprice2-C168),Volsmile,2),0)),($A168-DateToday)+15,IF(Pricetype2=1,1,0),0))),C168)))</f>
        <v> </v>
      </c>
      <c r="M168" s="318" t="str">
        <f aca="false">IF($A168="N/A"," ",IF(Pricetype2=2,MAX(D168,0),IF(OR(Pricetype2=1,Pricetype2=4),IF(D168=0,0,(EURO(D168,Strikeprice2,0,0,($AH168+IF(Smile=TRUE(),VLOOKUP(MAX(-5,Strikeprice2-D168),Volsmile,2),0)),($A168-DateToday)+15,IF(Pricetype2=1,1,0),0))),D168)))</f>
        <v> </v>
      </c>
      <c r="N168" s="318" t="str">
        <f aca="false">IF($A168="N/A"," ",IF(Pricetype2=2,MAX(E168,0),IF(OR(Pricetype2=1,Pricetype2=4),IF(E168=0,0,(EURO(E168,Strikeprice2,0,0,($AK168+IF(Smile=TRUE(),VLOOKUP(MAX(-5,Strikeprice2-E168),Volsmile,2),0)),($A168-DateToday)+15,IF(Pricetype2=1,1,0),0))),E168)))</f>
        <v> </v>
      </c>
      <c r="O168" s="318" t="str">
        <f aca="false">IF($A168="N/A"," ",IF(Pricetype2=2,MAX(F168,0),IF(OR(Pricetype2=1,Pricetype2=4),IF(F168=0,0,(EURO(F168,Strikeprice2,0,0,($AK168+IF(Smile=TRUE(),VLOOKUP(MAX(-5,Strikeprice2-F168),Volsmile,2),0)),($A168-DateToday)+15,IF(Pricetype2=1,1,0),0))),F168)))</f>
        <v> </v>
      </c>
      <c r="P168" s="318" t="str">
        <f aca="false">IF($A168="N/A"," ",IF(Pricetype2=2,MAX(G168,0),IF(OR(Pricetype2=1,Pricetype2=4),IF(G168=0,0,(EURO(G168,Strikeprice2,0,0,($AK168+IF(Smile=TRUE(),VLOOKUP(MAX(-5,Strikeprice2-G168),Volsmile,2),0)),($A168-DateToday)+15,IF(Pricetype2=1,1,0),0))),G168)))</f>
        <v> </v>
      </c>
      <c r="Q168" s="318" t="str">
        <f aca="false">IF($A168="N/A"," ",IF(Pricetype2=2,MAX(H168,0),IF(OR(Pricetype2=1,Pricetype2=4),IF(H168=0,0,(EURO(H168,Strikeprice2,0,0,($AK168+IF(Smile=TRUE(),VLOOKUP(MAX(-5,Strikeprice2-H168),Volsmile,2),0)),($A168-DateToday)+15,IF(Pricetype2=1,1,0),0))),H168)))</f>
        <v> </v>
      </c>
      <c r="R168" s="318" t="str">
        <f aca="false">IF($A168="N/A"," ",IF(Pricetype2=2,MAX(I168,0),IF(OR(Pricetype2=1,Pricetype2=4),IF(I168=0,0,(EURO(I168,Strikeprice2,0,0,($AK168+IF(Smile=TRUE(),VLOOKUP(MAX(-5,Strikeprice2-I168),Volsmile,2),0)),($A168-DateToday)+15,IF(Pricetype2=1,1,0),0))),I168)))</f>
        <v> </v>
      </c>
      <c r="S168" s="318" t="str">
        <f aca="false">IF($A168="N/A"," ",IF(Pricetype2=2,MAX(J168,0),IF(OR(Pricetype2=1,Pricetype2=4),IF(J168=0,0,(EURO(J168,Strikeprice2,0,0,($AK168+IF(Smile=TRUE(),VLOOKUP(MAX(-5,Strikeprice2-J168),Volsmile,2),0)),($A168-DateToday)+15,IF(Pricetype2=1,1,0),0))),J168)))</f>
        <v> </v>
      </c>
      <c r="T168" s="318" t="str">
        <f aca="false">IF($A168="N/A"," ",IF(Pricetype2=2,MAX(K168,0),IF(OR(Pricetype2=1,Pricetype2=4),IF(K168=0,0,(EURO(K168,Strikeprice2,0,0,($AK168+IF(Smile=TRUE(),VLOOKUP(MAX(-5,Strikeprice2-K168),Volsmile,2),0)),($A168-DateToday)+15,IF(Pricetype2=1,1,0),0))),K168)))</f>
        <v> </v>
      </c>
      <c r="U168" s="319" t="str">
        <f aca="false">IF($A168="N/A"," ",Volume2*$AM168)</f>
        <v> </v>
      </c>
      <c r="V168" s="320" t="str">
        <f aca="false">IF($A168="N/A"," ",$U168*(8*($BQ168))*L168)</f>
        <v> </v>
      </c>
      <c r="W168" s="320" t="str">
        <f aca="false">IF($A168="N/A"," ",$U168*(8*($BQ168))*M168)</f>
        <v> </v>
      </c>
      <c r="X168" s="320" t="str">
        <f aca="false">IF($A168="N/A"," ",$U168*(8*($BQ168))*N168)</f>
        <v> </v>
      </c>
      <c r="Y168" s="320" t="str">
        <f aca="false">IF($A168="N/A"," ",$U168*(8*($BR168))*O168)</f>
        <v> </v>
      </c>
      <c r="Z168" s="320" t="str">
        <f aca="false">IF($A168="N/A"," ",$U168*(8*($BR168))*P168)</f>
        <v> </v>
      </c>
      <c r="AA168" s="320" t="str">
        <f aca="false">IF($A168="N/A"," ",$U168*(8*($BR168))*Q168)</f>
        <v> </v>
      </c>
      <c r="AB168" s="320" t="str">
        <f aca="false">IF($A168="N/A"," ",$U168*(8*($BS168))*R168)</f>
        <v> </v>
      </c>
      <c r="AC168" s="320" t="str">
        <f aca="false">IF($A168="N/A"," ",$U168*(8*($BS168))*S168)</f>
        <v> </v>
      </c>
      <c r="AD168" s="320" t="str">
        <f aca="false">IF($A168="N/A"," ",$U168*(8*($BS168))*T168)</f>
        <v> </v>
      </c>
      <c r="AE168" s="320" t="str">
        <f aca="false">IF($A168="N/A"," ",SUM(V168:AD168))</f>
        <v> </v>
      </c>
      <c r="AF168" s="321" t="str">
        <f aca="false">IF(A168="N/A"," ",(VLOOKUP(A168,PowerVolTable,(IF(VolBMO2=2,7,IF(VolBMO2=1,6,8))),FALSE())))</f>
        <v> </v>
      </c>
      <c r="AG168" s="321" t="str">
        <f aca="false">IF(A168="N/A"," ",(VLOOKUP(A168,IntraPowerVol,(IF(VolBMO2=2,3,IF(VolBMO2=1,2,4))),FALSE())*VLOOKUP(MONTH($A168),Volscale,2)))</f>
        <v> </v>
      </c>
      <c r="AH168" s="321" t="str">
        <f aca="false">IF($A168="N/A"," ",IF(VolType2=1,AG168,AF168))</f>
        <v> </v>
      </c>
      <c r="AI168" s="321" t="str">
        <f aca="false">IF($A168="N/A"," ",(VLOOKUP($A168,OffPwrVolTable,(IF(VolBMO2=2,7,IF(VolBMO2=1,6,8))),FALSE())))</f>
        <v> </v>
      </c>
      <c r="AJ168" s="321" t="str">
        <f aca="false">IF($A168="N/A"," ",(VLOOKUP($A168,OffPwrVolTable,(IF(VolBMO2=2,3,IF(VolBMO2=1,2,4))),FALSE())*VLOOKUP(MONTH($A168),Volscale,2)))</f>
        <v> </v>
      </c>
      <c r="AK168" s="321" t="str">
        <f aca="false">IF($A168="N/A"," ",IF(VolType2=1,AJ168,AI168))</f>
        <v> </v>
      </c>
      <c r="AL168" s="321" t="str">
        <f aca="false">IF($A168="N/A"," ",IF(PV=1,0,'Pricing Inputs2'!R201))</f>
        <v> </v>
      </c>
      <c r="AM168" s="323" t="str">
        <f aca="false">IF($A168="N/A"," ",(1+AL168/2)^(-2*((EOMONTH(A168,0)+20)-DateToday)/365.25))</f>
        <v> </v>
      </c>
      <c r="BQ168" s="0" t="str">
        <f aca="false">IF($A168="N/A"," ",(VLOOKUP($A168,NumberofDaysTable,2)))</f>
        <v> </v>
      </c>
      <c r="BR168" s="0" t="str">
        <f aca="false">IF($A168="N/A"," ",(VLOOKUP($A168,NumberofDaysTable,3)))</f>
        <v> </v>
      </c>
      <c r="BS168" s="0" t="str">
        <f aca="false">IF($A168="N/A"," ",(VLOOKUP($A168,NumberofDaysTable,4)))</f>
        <v> </v>
      </c>
    </row>
    <row r="169" customFormat="false" ht="12.75" hidden="false" customHeight="false" outlineLevel="0" collapsed="false">
      <c r="A169" s="315" t="str">
        <f aca="false">IF(A168="N/A","N/A",IF(EDATE(A168,1)&gt;Inputs!$P$5,"N/A",EDATE(A168,1)))</f>
        <v>N/A</v>
      </c>
      <c r="B169" s="316" t="str">
        <f aca="false">IF(A169="N/A"," ",YEAR(A169))</f>
        <v> </v>
      </c>
      <c r="C169" s="317" t="str">
        <f aca="false">IF($A169="N/A"," ",IF(Dayrun2=10,0,IF(Scaler2=1,(VLOOKUP(A169,ScaledPrice2,4)),(VLOOKUP(A169,ScaledPrice2,2)))))</f>
        <v> </v>
      </c>
      <c r="D169" s="317" t="str">
        <f aca="false">IF(A169="N/A"," ",IF(Dayrun2&gt;=7,0,IF(Scaler2=2,VLOOKUP(A169,ScaledPrice2,2),(VLOOKUP(A169,ScaledPrice2,2))*(2-(VLOOKUP(A169,ScaledPrice2,3))))))</f>
        <v> </v>
      </c>
      <c r="E169" s="317" t="str">
        <f aca="false">IF($A169="N/A"," ",IF(AND(Dayrun2&gt;=4,Dayrun2&lt;=9),0,VLOOKUP($A169,ScaledPrice2,9)))</f>
        <v> </v>
      </c>
      <c r="F169" s="317" t="str">
        <f aca="false">IF(A169="N/A"," ",IF(OR(Dayrun2=2,Dayrun2=3,Dayrun2=5,Dayrun2=6,Dayrun2=8,Dayrun2=9),VLOOKUP(A169,ScaledPrice2,IF(Scaler2=1,6,5)),0))</f>
        <v> </v>
      </c>
      <c r="G169" s="317" t="str">
        <f aca="false">IF(A169="N/A"," ",IF(OR(Dayrun2=2,Dayrun2=3,Dayrun2=5,Dayrun2=6),IF(Scaler2=2,F169,(VLOOKUP(A169,ScaledPrice2,5))*(2-(VLOOKUP(A169,ScaledPrice2,3)))),0))</f>
        <v> </v>
      </c>
      <c r="H169" s="317" t="str">
        <f aca="false">IF($A169="N/A"," ",IF(OR(Dayrun2=2,Dayrun2=3,Dayrun2=10),VLOOKUP($A169,ScaledPrice2,9),0))</f>
        <v> </v>
      </c>
      <c r="I169" s="317" t="str">
        <f aca="false">IF(A169="N/A"," ",IF(OR(Dayrun2=3,Dayrun2=6,Dayrun2=9),(VLOOKUP(A169,ScaledPrice2,IF(Scaler2=2,7,8))),0))</f>
        <v> </v>
      </c>
      <c r="J169" s="317" t="str">
        <f aca="false">IF(A169="N/A"," ",IF(OR(Dayrun2=3,Dayrun2=6),IF(Scaler2=2,I169,(VLOOKUP(A169,ScaledPrice2,7))*(2-(VLOOKUP(A169,ScaledPrice2,3)))),0))</f>
        <v> </v>
      </c>
      <c r="K169" s="317" t="str">
        <f aca="false">IF($A169="N/A"," ",IF(OR(Dayrun2=3,Dayrun2=10),VLOOKUP($A169,ScaledPrice2,9),0))</f>
        <v> </v>
      </c>
      <c r="L169" s="318" t="str">
        <f aca="false">IF($A169="N/A"," ",IF(Pricetype2=2,MAX(C169,0),IF(OR(Pricetype2=1,Pricetype2=4),IF(C169=0,0,(EURO(C169,Strikeprice2,0,0,($AH169+IF(Smile=TRUE(),VLOOKUP(MAX(-5,Strikeprice2-C169),Volsmile,2),0)),($A169-DateToday)+15,IF(Pricetype2=1,1,0),0))),C169)))</f>
        <v> </v>
      </c>
      <c r="M169" s="318" t="str">
        <f aca="false">IF($A169="N/A"," ",IF(Pricetype2=2,MAX(D169,0),IF(OR(Pricetype2=1,Pricetype2=4),IF(D169=0,0,(EURO(D169,Strikeprice2,0,0,($AH169+IF(Smile=TRUE(),VLOOKUP(MAX(-5,Strikeprice2-D169),Volsmile,2),0)),($A169-DateToday)+15,IF(Pricetype2=1,1,0),0))),D169)))</f>
        <v> </v>
      </c>
      <c r="N169" s="318" t="str">
        <f aca="false">IF($A169="N/A"," ",IF(Pricetype2=2,MAX(E169,0),IF(OR(Pricetype2=1,Pricetype2=4),IF(E169=0,0,(EURO(E169,Strikeprice2,0,0,($AK169+IF(Smile=TRUE(),VLOOKUP(MAX(-5,Strikeprice2-E169),Volsmile,2),0)),($A169-DateToday)+15,IF(Pricetype2=1,1,0),0))),E169)))</f>
        <v> </v>
      </c>
      <c r="O169" s="318" t="str">
        <f aca="false">IF($A169="N/A"," ",IF(Pricetype2=2,MAX(F169,0),IF(OR(Pricetype2=1,Pricetype2=4),IF(F169=0,0,(EURO(F169,Strikeprice2,0,0,($AK169+IF(Smile=TRUE(),VLOOKUP(MAX(-5,Strikeprice2-F169),Volsmile,2),0)),($A169-DateToday)+15,IF(Pricetype2=1,1,0),0))),F169)))</f>
        <v> </v>
      </c>
      <c r="P169" s="318" t="str">
        <f aca="false">IF($A169="N/A"," ",IF(Pricetype2=2,MAX(G169,0),IF(OR(Pricetype2=1,Pricetype2=4),IF(G169=0,0,(EURO(G169,Strikeprice2,0,0,($AK169+IF(Smile=TRUE(),VLOOKUP(MAX(-5,Strikeprice2-G169),Volsmile,2),0)),($A169-DateToday)+15,IF(Pricetype2=1,1,0),0))),G169)))</f>
        <v> </v>
      </c>
      <c r="Q169" s="318" t="str">
        <f aca="false">IF($A169="N/A"," ",IF(Pricetype2=2,MAX(H169,0),IF(OR(Pricetype2=1,Pricetype2=4),IF(H169=0,0,(EURO(H169,Strikeprice2,0,0,($AK169+IF(Smile=TRUE(),VLOOKUP(MAX(-5,Strikeprice2-H169),Volsmile,2),0)),($A169-DateToday)+15,IF(Pricetype2=1,1,0),0))),H169)))</f>
        <v> </v>
      </c>
      <c r="R169" s="318" t="str">
        <f aca="false">IF($A169="N/A"," ",IF(Pricetype2=2,MAX(I169,0),IF(OR(Pricetype2=1,Pricetype2=4),IF(I169=0,0,(EURO(I169,Strikeprice2,0,0,($AK169+IF(Smile=TRUE(),VLOOKUP(MAX(-5,Strikeprice2-I169),Volsmile,2),0)),($A169-DateToday)+15,IF(Pricetype2=1,1,0),0))),I169)))</f>
        <v> </v>
      </c>
      <c r="S169" s="318" t="str">
        <f aca="false">IF($A169="N/A"," ",IF(Pricetype2=2,MAX(J169,0),IF(OR(Pricetype2=1,Pricetype2=4),IF(J169=0,0,(EURO(J169,Strikeprice2,0,0,($AK169+IF(Smile=TRUE(),VLOOKUP(MAX(-5,Strikeprice2-J169),Volsmile,2),0)),($A169-DateToday)+15,IF(Pricetype2=1,1,0),0))),J169)))</f>
        <v> </v>
      </c>
      <c r="T169" s="318" t="str">
        <f aca="false">IF($A169="N/A"," ",IF(Pricetype2=2,MAX(K169,0),IF(OR(Pricetype2=1,Pricetype2=4),IF(K169=0,0,(EURO(K169,Strikeprice2,0,0,($AK169+IF(Smile=TRUE(),VLOOKUP(MAX(-5,Strikeprice2-K169),Volsmile,2),0)),($A169-DateToday)+15,IF(Pricetype2=1,1,0),0))),K169)))</f>
        <v> </v>
      </c>
      <c r="U169" s="319" t="str">
        <f aca="false">IF($A169="N/A"," ",Volume2*$AM169)</f>
        <v> </v>
      </c>
      <c r="V169" s="320" t="str">
        <f aca="false">IF($A169="N/A"," ",$U169*(8*($BQ169))*L169)</f>
        <v> </v>
      </c>
      <c r="W169" s="320" t="str">
        <f aca="false">IF($A169="N/A"," ",$U169*(8*($BQ169))*M169)</f>
        <v> </v>
      </c>
      <c r="X169" s="320" t="str">
        <f aca="false">IF($A169="N/A"," ",$U169*(8*($BQ169))*N169)</f>
        <v> </v>
      </c>
      <c r="Y169" s="320" t="str">
        <f aca="false">IF($A169="N/A"," ",$U169*(8*($BR169))*O169)</f>
        <v> </v>
      </c>
      <c r="Z169" s="320" t="str">
        <f aca="false">IF($A169="N/A"," ",$U169*(8*($BR169))*P169)</f>
        <v> </v>
      </c>
      <c r="AA169" s="320" t="str">
        <f aca="false">IF($A169="N/A"," ",$U169*(8*($BR169))*Q169)</f>
        <v> </v>
      </c>
      <c r="AB169" s="320" t="str">
        <f aca="false">IF($A169="N/A"," ",$U169*(8*($BS169))*R169)</f>
        <v> </v>
      </c>
      <c r="AC169" s="320" t="str">
        <f aca="false">IF($A169="N/A"," ",$U169*(8*($BS169))*S169)</f>
        <v> </v>
      </c>
      <c r="AD169" s="320" t="str">
        <f aca="false">IF($A169="N/A"," ",$U169*(8*($BS169))*T169)</f>
        <v> </v>
      </c>
      <c r="AE169" s="320" t="str">
        <f aca="false">IF($A169="N/A"," ",SUM(V169:AD169))</f>
        <v> </v>
      </c>
      <c r="AF169" s="321" t="str">
        <f aca="false">IF(A169="N/A"," ",(VLOOKUP(A169,PowerVolTable,(IF(VolBMO2=2,7,IF(VolBMO2=1,6,8))),FALSE())))</f>
        <v> </v>
      </c>
      <c r="AG169" s="321" t="str">
        <f aca="false">IF(A169="N/A"," ",(VLOOKUP(A169,IntraPowerVol,(IF(VolBMO2=2,3,IF(VolBMO2=1,2,4))),FALSE())*VLOOKUP(MONTH($A169),Volscale,2)))</f>
        <v> </v>
      </c>
      <c r="AH169" s="321" t="str">
        <f aca="false">IF($A169="N/A"," ",IF(VolType2=1,AG169,AF169))</f>
        <v> </v>
      </c>
      <c r="AI169" s="321" t="str">
        <f aca="false">IF($A169="N/A"," ",(VLOOKUP($A169,OffPwrVolTable,(IF(VolBMO2=2,7,IF(VolBMO2=1,6,8))),FALSE())))</f>
        <v> </v>
      </c>
      <c r="AJ169" s="321" t="str">
        <f aca="false">IF($A169="N/A"," ",(VLOOKUP($A169,OffPwrVolTable,(IF(VolBMO2=2,3,IF(VolBMO2=1,2,4))),FALSE())*VLOOKUP(MONTH($A169),Volscale,2)))</f>
        <v> </v>
      </c>
      <c r="AK169" s="321" t="str">
        <f aca="false">IF($A169="N/A"," ",IF(VolType2=1,AJ169,AI169))</f>
        <v> </v>
      </c>
      <c r="AL169" s="321" t="str">
        <f aca="false">IF($A169="N/A"," ",IF(PV=1,0,'Pricing Inputs2'!R202))</f>
        <v> </v>
      </c>
      <c r="AM169" s="323" t="str">
        <f aca="false">IF($A169="N/A"," ",(1+AL169/2)^(-2*((EOMONTH(A169,0)+20)-DateToday)/365.25))</f>
        <v> </v>
      </c>
      <c r="BQ169" s="0" t="str">
        <f aca="false">IF($A169="N/A"," ",(VLOOKUP($A169,NumberofDaysTable,2)))</f>
        <v> </v>
      </c>
      <c r="BR169" s="0" t="str">
        <f aca="false">IF($A169="N/A"," ",(VLOOKUP($A169,NumberofDaysTable,3)))</f>
        <v> </v>
      </c>
      <c r="BS169" s="0" t="str">
        <f aca="false">IF($A169="N/A"," ",(VLOOKUP($A169,NumberofDaysTable,4)))</f>
        <v> </v>
      </c>
    </row>
    <row r="170" customFormat="false" ht="12.75" hidden="false" customHeight="false" outlineLevel="0" collapsed="false">
      <c r="A170" s="315" t="str">
        <f aca="false">IF(A169="N/A","N/A",IF(EDATE(A169,1)&gt;Inputs!$P$5,"N/A",EDATE(A169,1)))</f>
        <v>N/A</v>
      </c>
      <c r="B170" s="316" t="str">
        <f aca="false">IF(A170="N/A"," ",YEAR(A170))</f>
        <v> </v>
      </c>
      <c r="C170" s="317" t="str">
        <f aca="false">IF($A170="N/A"," ",IF(Dayrun2=10,0,IF(Scaler2=1,(VLOOKUP(A170,ScaledPrice2,4)),(VLOOKUP(A170,ScaledPrice2,2)))))</f>
        <v> </v>
      </c>
      <c r="D170" s="317" t="str">
        <f aca="false">IF(A170="N/A"," ",IF(Dayrun2&gt;=7,0,IF(Scaler2=2,VLOOKUP(A170,ScaledPrice2,2),(VLOOKUP(A170,ScaledPrice2,2))*(2-(VLOOKUP(A170,ScaledPrice2,3))))))</f>
        <v> </v>
      </c>
      <c r="E170" s="317" t="str">
        <f aca="false">IF($A170="N/A"," ",IF(AND(Dayrun2&gt;=4,Dayrun2&lt;=9),0,VLOOKUP($A170,ScaledPrice2,9)))</f>
        <v> </v>
      </c>
      <c r="F170" s="317" t="str">
        <f aca="false">IF(A170="N/A"," ",IF(OR(Dayrun2=2,Dayrun2=3,Dayrun2=5,Dayrun2=6,Dayrun2=8,Dayrun2=9),VLOOKUP(A170,ScaledPrice2,IF(Scaler2=1,6,5)),0))</f>
        <v> </v>
      </c>
      <c r="G170" s="317" t="str">
        <f aca="false">IF(A170="N/A"," ",IF(OR(Dayrun2=2,Dayrun2=3,Dayrun2=5,Dayrun2=6),IF(Scaler2=2,F170,(VLOOKUP(A170,ScaledPrice2,5))*(2-(VLOOKUP(A170,ScaledPrice2,3)))),0))</f>
        <v> </v>
      </c>
      <c r="H170" s="317" t="str">
        <f aca="false">IF($A170="N/A"," ",IF(OR(Dayrun2=2,Dayrun2=3,Dayrun2=10),VLOOKUP($A170,ScaledPrice2,9),0))</f>
        <v> </v>
      </c>
      <c r="I170" s="317" t="str">
        <f aca="false">IF(A170="N/A"," ",IF(OR(Dayrun2=3,Dayrun2=6,Dayrun2=9),(VLOOKUP(A170,ScaledPrice2,IF(Scaler2=2,7,8))),0))</f>
        <v> </v>
      </c>
      <c r="J170" s="317" t="str">
        <f aca="false">IF(A170="N/A"," ",IF(OR(Dayrun2=3,Dayrun2=6),IF(Scaler2=2,I170,(VLOOKUP(A170,ScaledPrice2,7))*(2-(VLOOKUP(A170,ScaledPrice2,3)))),0))</f>
        <v> </v>
      </c>
      <c r="K170" s="317" t="str">
        <f aca="false">IF($A170="N/A"," ",IF(OR(Dayrun2=3,Dayrun2=10),VLOOKUP($A170,ScaledPrice2,9),0))</f>
        <v> </v>
      </c>
      <c r="L170" s="318" t="str">
        <f aca="false">IF($A170="N/A"," ",IF(Pricetype2=2,MAX(C170,0),IF(OR(Pricetype2=1,Pricetype2=4),IF(C170=0,0,(EURO(C170,Strikeprice2,0,0,($AH170+IF(Smile=TRUE(),VLOOKUP(MAX(-5,Strikeprice2-C170),Volsmile,2),0)),($A170-DateToday)+15,IF(Pricetype2=1,1,0),0))),C170)))</f>
        <v> </v>
      </c>
      <c r="M170" s="318" t="str">
        <f aca="false">IF($A170="N/A"," ",IF(Pricetype2=2,MAX(D170,0),IF(OR(Pricetype2=1,Pricetype2=4),IF(D170=0,0,(EURO(D170,Strikeprice2,0,0,($AH170+IF(Smile=TRUE(),VLOOKUP(MAX(-5,Strikeprice2-D170),Volsmile,2),0)),($A170-DateToday)+15,IF(Pricetype2=1,1,0),0))),D170)))</f>
        <v> </v>
      </c>
      <c r="N170" s="318" t="str">
        <f aca="false">IF($A170="N/A"," ",IF(Pricetype2=2,MAX(E170,0),IF(OR(Pricetype2=1,Pricetype2=4),IF(E170=0,0,(EURO(E170,Strikeprice2,0,0,($AK170+IF(Smile=TRUE(),VLOOKUP(MAX(-5,Strikeprice2-E170),Volsmile,2),0)),($A170-DateToday)+15,IF(Pricetype2=1,1,0),0))),E170)))</f>
        <v> </v>
      </c>
      <c r="O170" s="318" t="str">
        <f aca="false">IF($A170="N/A"," ",IF(Pricetype2=2,MAX(F170,0),IF(OR(Pricetype2=1,Pricetype2=4),IF(F170=0,0,(EURO(F170,Strikeprice2,0,0,($AK170+IF(Smile=TRUE(),VLOOKUP(MAX(-5,Strikeprice2-F170),Volsmile,2),0)),($A170-DateToday)+15,IF(Pricetype2=1,1,0),0))),F170)))</f>
        <v> </v>
      </c>
      <c r="P170" s="318" t="str">
        <f aca="false">IF($A170="N/A"," ",IF(Pricetype2=2,MAX(G170,0),IF(OR(Pricetype2=1,Pricetype2=4),IF(G170=0,0,(EURO(G170,Strikeprice2,0,0,($AK170+IF(Smile=TRUE(),VLOOKUP(MAX(-5,Strikeprice2-G170),Volsmile,2),0)),($A170-DateToday)+15,IF(Pricetype2=1,1,0),0))),G170)))</f>
        <v> </v>
      </c>
      <c r="Q170" s="318" t="str">
        <f aca="false">IF($A170="N/A"," ",IF(Pricetype2=2,MAX(H170,0),IF(OR(Pricetype2=1,Pricetype2=4),IF(H170=0,0,(EURO(H170,Strikeprice2,0,0,($AK170+IF(Smile=TRUE(),VLOOKUP(MAX(-5,Strikeprice2-H170),Volsmile,2),0)),($A170-DateToday)+15,IF(Pricetype2=1,1,0),0))),H170)))</f>
        <v> </v>
      </c>
      <c r="R170" s="318" t="str">
        <f aca="false">IF($A170="N/A"," ",IF(Pricetype2=2,MAX(I170,0),IF(OR(Pricetype2=1,Pricetype2=4),IF(I170=0,0,(EURO(I170,Strikeprice2,0,0,($AK170+IF(Smile=TRUE(),VLOOKUP(MAX(-5,Strikeprice2-I170),Volsmile,2),0)),($A170-DateToday)+15,IF(Pricetype2=1,1,0),0))),I170)))</f>
        <v> </v>
      </c>
      <c r="S170" s="318" t="str">
        <f aca="false">IF($A170="N/A"," ",IF(Pricetype2=2,MAX(J170,0),IF(OR(Pricetype2=1,Pricetype2=4),IF(J170=0,0,(EURO(J170,Strikeprice2,0,0,($AK170+IF(Smile=TRUE(),VLOOKUP(MAX(-5,Strikeprice2-J170),Volsmile,2),0)),($A170-DateToday)+15,IF(Pricetype2=1,1,0),0))),J170)))</f>
        <v> </v>
      </c>
      <c r="T170" s="318" t="str">
        <f aca="false">IF($A170="N/A"," ",IF(Pricetype2=2,MAX(K170,0),IF(OR(Pricetype2=1,Pricetype2=4),IF(K170=0,0,(EURO(K170,Strikeprice2,0,0,($AK170+IF(Smile=TRUE(),VLOOKUP(MAX(-5,Strikeprice2-K170),Volsmile,2),0)),($A170-DateToday)+15,IF(Pricetype2=1,1,0),0))),K170)))</f>
        <v> </v>
      </c>
      <c r="U170" s="319" t="str">
        <f aca="false">IF($A170="N/A"," ",Volume2*$AM170)</f>
        <v> </v>
      </c>
      <c r="V170" s="320" t="str">
        <f aca="false">IF($A170="N/A"," ",$U170*(8*($BQ170))*L170)</f>
        <v> </v>
      </c>
      <c r="W170" s="320" t="str">
        <f aca="false">IF($A170="N/A"," ",$U170*(8*($BQ170))*M170)</f>
        <v> </v>
      </c>
      <c r="X170" s="320" t="str">
        <f aca="false">IF($A170="N/A"," ",$U170*(8*($BQ170))*N170)</f>
        <v> </v>
      </c>
      <c r="Y170" s="320" t="str">
        <f aca="false">IF($A170="N/A"," ",$U170*(8*($BR170))*O170)</f>
        <v> </v>
      </c>
      <c r="Z170" s="320" t="str">
        <f aca="false">IF($A170="N/A"," ",$U170*(8*($BR170))*P170)</f>
        <v> </v>
      </c>
      <c r="AA170" s="320" t="str">
        <f aca="false">IF($A170="N/A"," ",$U170*(8*($BR170))*Q170)</f>
        <v> </v>
      </c>
      <c r="AB170" s="320" t="str">
        <f aca="false">IF($A170="N/A"," ",$U170*(8*($BS170))*R170)</f>
        <v> </v>
      </c>
      <c r="AC170" s="320" t="str">
        <f aca="false">IF($A170="N/A"," ",$U170*(8*($BS170))*S170)</f>
        <v> </v>
      </c>
      <c r="AD170" s="320" t="str">
        <f aca="false">IF($A170="N/A"," ",$U170*(8*($BS170))*T170)</f>
        <v> </v>
      </c>
      <c r="AE170" s="320" t="str">
        <f aca="false">IF($A170="N/A"," ",SUM(V170:AD170))</f>
        <v> </v>
      </c>
      <c r="AF170" s="321" t="str">
        <f aca="false">IF(A170="N/A"," ",(VLOOKUP(A170,PowerVolTable,(IF(VolBMO2=2,7,IF(VolBMO2=1,6,8))),FALSE())))</f>
        <v> </v>
      </c>
      <c r="AG170" s="321" t="str">
        <f aca="false">IF(A170="N/A"," ",(VLOOKUP(A170,IntraPowerVol,(IF(VolBMO2=2,3,IF(VolBMO2=1,2,4))),FALSE())*VLOOKUP(MONTH($A170),Volscale,2)))</f>
        <v> </v>
      </c>
      <c r="AH170" s="321" t="str">
        <f aca="false">IF($A170="N/A"," ",IF(VolType2=1,AG170,AF170))</f>
        <v> </v>
      </c>
      <c r="AI170" s="321" t="str">
        <f aca="false">IF($A170="N/A"," ",(VLOOKUP($A170,OffPwrVolTable,(IF(VolBMO2=2,7,IF(VolBMO2=1,6,8))),FALSE())))</f>
        <v> </v>
      </c>
      <c r="AJ170" s="321" t="str">
        <f aca="false">IF($A170="N/A"," ",(VLOOKUP($A170,OffPwrVolTable,(IF(VolBMO2=2,3,IF(VolBMO2=1,2,4))),FALSE())*VLOOKUP(MONTH($A170),Volscale,2)))</f>
        <v> </v>
      </c>
      <c r="AK170" s="321" t="str">
        <f aca="false">IF($A170="N/A"," ",IF(VolType2=1,AJ170,AI170))</f>
        <v> </v>
      </c>
      <c r="AL170" s="321" t="str">
        <f aca="false">IF($A170="N/A"," ",IF(PV=1,0,'Pricing Inputs2'!R203))</f>
        <v> </v>
      </c>
      <c r="AM170" s="323" t="str">
        <f aca="false">IF($A170="N/A"," ",(1+AL170/2)^(-2*((EOMONTH(A170,0)+20)-DateToday)/365.25))</f>
        <v> </v>
      </c>
      <c r="BQ170" s="0" t="str">
        <f aca="false">IF($A170="N/A"," ",(VLOOKUP($A170,NumberofDaysTable,2)))</f>
        <v> </v>
      </c>
      <c r="BR170" s="0" t="str">
        <f aca="false">IF($A170="N/A"," ",(VLOOKUP($A170,NumberofDaysTable,3)))</f>
        <v> </v>
      </c>
      <c r="BS170" s="0" t="str">
        <f aca="false">IF($A170="N/A"," ",(VLOOKUP($A170,NumberofDaysTable,4)))</f>
        <v> </v>
      </c>
    </row>
    <row r="171" customFormat="false" ht="12.75" hidden="false" customHeight="false" outlineLevel="0" collapsed="false">
      <c r="A171" s="315" t="str">
        <f aca="false">IF(A170="N/A","N/A",IF(EDATE(A170,1)&gt;Inputs!$P$5,"N/A",EDATE(A170,1)))</f>
        <v>N/A</v>
      </c>
      <c r="B171" s="316" t="str">
        <f aca="false">IF(A171="N/A"," ",YEAR(A171))</f>
        <v> </v>
      </c>
      <c r="C171" s="317" t="str">
        <f aca="false">IF($A171="N/A"," ",IF(Dayrun2=10,0,IF(Scaler2=1,(VLOOKUP(A171,ScaledPrice2,4)),(VLOOKUP(A171,ScaledPrice2,2)))))</f>
        <v> </v>
      </c>
      <c r="D171" s="317" t="str">
        <f aca="false">IF(A171="N/A"," ",IF(Dayrun2&gt;=7,0,IF(Scaler2=2,VLOOKUP(A171,ScaledPrice2,2),(VLOOKUP(A171,ScaledPrice2,2))*(2-(VLOOKUP(A171,ScaledPrice2,3))))))</f>
        <v> </v>
      </c>
      <c r="E171" s="317" t="str">
        <f aca="false">IF($A171="N/A"," ",IF(AND(Dayrun2&gt;=4,Dayrun2&lt;=9),0,VLOOKUP($A171,ScaledPrice2,9)))</f>
        <v> </v>
      </c>
      <c r="F171" s="317" t="str">
        <f aca="false">IF(A171="N/A"," ",IF(OR(Dayrun2=2,Dayrun2=3,Dayrun2=5,Dayrun2=6,Dayrun2=8,Dayrun2=9),VLOOKUP(A171,ScaledPrice2,IF(Scaler2=1,6,5)),0))</f>
        <v> </v>
      </c>
      <c r="G171" s="317" t="str">
        <f aca="false">IF(A171="N/A"," ",IF(OR(Dayrun2=2,Dayrun2=3,Dayrun2=5,Dayrun2=6),IF(Scaler2=2,F171,(VLOOKUP(A171,ScaledPrice2,5))*(2-(VLOOKUP(A171,ScaledPrice2,3)))),0))</f>
        <v> </v>
      </c>
      <c r="H171" s="317" t="str">
        <f aca="false">IF($A171="N/A"," ",IF(OR(Dayrun2=2,Dayrun2=3,Dayrun2=10),VLOOKUP($A171,ScaledPrice2,9),0))</f>
        <v> </v>
      </c>
      <c r="I171" s="317" t="str">
        <f aca="false">IF(A171="N/A"," ",IF(OR(Dayrun2=3,Dayrun2=6,Dayrun2=9),(VLOOKUP(A171,ScaledPrice2,IF(Scaler2=2,7,8))),0))</f>
        <v> </v>
      </c>
      <c r="J171" s="317" t="str">
        <f aca="false">IF(A171="N/A"," ",IF(OR(Dayrun2=3,Dayrun2=6),IF(Scaler2=2,I171,(VLOOKUP(A171,ScaledPrice2,7))*(2-(VLOOKUP(A171,ScaledPrice2,3)))),0))</f>
        <v> </v>
      </c>
      <c r="K171" s="317" t="str">
        <f aca="false">IF($A171="N/A"," ",IF(OR(Dayrun2=3,Dayrun2=10),VLOOKUP($A171,ScaledPrice2,9),0))</f>
        <v> </v>
      </c>
      <c r="L171" s="318" t="str">
        <f aca="false">IF($A171="N/A"," ",IF(Pricetype2=2,MAX(C171,0),IF(OR(Pricetype2=1,Pricetype2=4),IF(C171=0,0,(EURO(C171,Strikeprice2,0,0,($AH171+IF(Smile=TRUE(),VLOOKUP(MAX(-5,Strikeprice2-C171),Volsmile,2),0)),($A171-DateToday)+15,IF(Pricetype2=1,1,0),0))),C171)))</f>
        <v> </v>
      </c>
      <c r="M171" s="318" t="str">
        <f aca="false">IF($A171="N/A"," ",IF(Pricetype2=2,MAX(D171,0),IF(OR(Pricetype2=1,Pricetype2=4),IF(D171=0,0,(EURO(D171,Strikeprice2,0,0,($AH171+IF(Smile=TRUE(),VLOOKUP(MAX(-5,Strikeprice2-D171),Volsmile,2),0)),($A171-DateToday)+15,IF(Pricetype2=1,1,0),0))),D171)))</f>
        <v> </v>
      </c>
      <c r="N171" s="318" t="str">
        <f aca="false">IF($A171="N/A"," ",IF(Pricetype2=2,MAX(E171,0),IF(OR(Pricetype2=1,Pricetype2=4),IF(E171=0,0,(EURO(E171,Strikeprice2,0,0,($AK171+IF(Smile=TRUE(),VLOOKUP(MAX(-5,Strikeprice2-E171),Volsmile,2),0)),($A171-DateToday)+15,IF(Pricetype2=1,1,0),0))),E171)))</f>
        <v> </v>
      </c>
      <c r="O171" s="318" t="str">
        <f aca="false">IF($A171="N/A"," ",IF(Pricetype2=2,MAX(F171,0),IF(OR(Pricetype2=1,Pricetype2=4),IF(F171=0,0,(EURO(F171,Strikeprice2,0,0,($AK171+IF(Smile=TRUE(),VLOOKUP(MAX(-5,Strikeprice2-F171),Volsmile,2),0)),($A171-DateToday)+15,IF(Pricetype2=1,1,0),0))),F171)))</f>
        <v> </v>
      </c>
      <c r="P171" s="318" t="str">
        <f aca="false">IF($A171="N/A"," ",IF(Pricetype2=2,MAX(G171,0),IF(OR(Pricetype2=1,Pricetype2=4),IF(G171=0,0,(EURO(G171,Strikeprice2,0,0,($AK171+IF(Smile=TRUE(),VLOOKUP(MAX(-5,Strikeprice2-G171),Volsmile,2),0)),($A171-DateToday)+15,IF(Pricetype2=1,1,0),0))),G171)))</f>
        <v> </v>
      </c>
      <c r="Q171" s="318" t="str">
        <f aca="false">IF($A171="N/A"," ",IF(Pricetype2=2,MAX(H171,0),IF(OR(Pricetype2=1,Pricetype2=4),IF(H171=0,0,(EURO(H171,Strikeprice2,0,0,($AK171+IF(Smile=TRUE(),VLOOKUP(MAX(-5,Strikeprice2-H171),Volsmile,2),0)),($A171-DateToday)+15,IF(Pricetype2=1,1,0),0))),H171)))</f>
        <v> </v>
      </c>
      <c r="R171" s="318" t="str">
        <f aca="false">IF($A171="N/A"," ",IF(Pricetype2=2,MAX(I171,0),IF(OR(Pricetype2=1,Pricetype2=4),IF(I171=0,0,(EURO(I171,Strikeprice2,0,0,($AK171+IF(Smile=TRUE(),VLOOKUP(MAX(-5,Strikeprice2-I171),Volsmile,2),0)),($A171-DateToday)+15,IF(Pricetype2=1,1,0),0))),I171)))</f>
        <v> </v>
      </c>
      <c r="S171" s="318" t="str">
        <f aca="false">IF($A171="N/A"," ",IF(Pricetype2=2,MAX(J171,0),IF(OR(Pricetype2=1,Pricetype2=4),IF(J171=0,0,(EURO(J171,Strikeprice2,0,0,($AK171+IF(Smile=TRUE(),VLOOKUP(MAX(-5,Strikeprice2-J171),Volsmile,2),0)),($A171-DateToday)+15,IF(Pricetype2=1,1,0),0))),J171)))</f>
        <v> </v>
      </c>
      <c r="T171" s="318" t="str">
        <f aca="false">IF($A171="N/A"," ",IF(Pricetype2=2,MAX(K171,0),IF(OR(Pricetype2=1,Pricetype2=4),IF(K171=0,0,(EURO(K171,Strikeprice2,0,0,($AK171+IF(Smile=TRUE(),VLOOKUP(MAX(-5,Strikeprice2-K171),Volsmile,2),0)),($A171-DateToday)+15,IF(Pricetype2=1,1,0),0))),K171)))</f>
        <v> </v>
      </c>
      <c r="U171" s="319" t="str">
        <f aca="false">IF($A171="N/A"," ",Volume2*$AM171)</f>
        <v> </v>
      </c>
      <c r="V171" s="320" t="str">
        <f aca="false">IF($A171="N/A"," ",$U171*(8*($BQ171))*L171)</f>
        <v> </v>
      </c>
      <c r="W171" s="320" t="str">
        <f aca="false">IF($A171="N/A"," ",$U171*(8*($BQ171))*M171)</f>
        <v> </v>
      </c>
      <c r="X171" s="320" t="str">
        <f aca="false">IF($A171="N/A"," ",$U171*(8*($BQ171))*N171)</f>
        <v> </v>
      </c>
      <c r="Y171" s="320" t="str">
        <f aca="false">IF($A171="N/A"," ",$U171*(8*($BR171))*O171)</f>
        <v> </v>
      </c>
      <c r="Z171" s="320" t="str">
        <f aca="false">IF($A171="N/A"," ",$U171*(8*($BR171))*P171)</f>
        <v> </v>
      </c>
      <c r="AA171" s="320" t="str">
        <f aca="false">IF($A171="N/A"," ",$U171*(8*($BR171))*Q171)</f>
        <v> </v>
      </c>
      <c r="AB171" s="320" t="str">
        <f aca="false">IF($A171="N/A"," ",$U171*(8*($BS171))*R171)</f>
        <v> </v>
      </c>
      <c r="AC171" s="320" t="str">
        <f aca="false">IF($A171="N/A"," ",$U171*(8*($BS171))*S171)</f>
        <v> </v>
      </c>
      <c r="AD171" s="320" t="str">
        <f aca="false">IF($A171="N/A"," ",$U171*(8*($BS171))*T171)</f>
        <v> </v>
      </c>
      <c r="AE171" s="320" t="str">
        <f aca="false">IF($A171="N/A"," ",SUM(V171:AD171))</f>
        <v> </v>
      </c>
      <c r="AF171" s="321" t="str">
        <f aca="false">IF(A171="N/A"," ",(VLOOKUP(A171,PowerVolTable,(IF(VolBMO2=2,7,IF(VolBMO2=1,6,8))),FALSE())))</f>
        <v> </v>
      </c>
      <c r="AG171" s="321" t="str">
        <f aca="false">IF(A171="N/A"," ",(VLOOKUP(A171,IntraPowerVol,(IF(VolBMO2=2,3,IF(VolBMO2=1,2,4))),FALSE())*VLOOKUP(MONTH($A171),Volscale,2)))</f>
        <v> </v>
      </c>
      <c r="AH171" s="321" t="str">
        <f aca="false">IF($A171="N/A"," ",IF(VolType2=1,AG171,AF171))</f>
        <v> </v>
      </c>
      <c r="AI171" s="321" t="str">
        <f aca="false">IF($A171="N/A"," ",(VLOOKUP($A171,OffPwrVolTable,(IF(VolBMO2=2,7,IF(VolBMO2=1,6,8))),FALSE())))</f>
        <v> </v>
      </c>
      <c r="AJ171" s="321" t="str">
        <f aca="false">IF($A171="N/A"," ",(VLOOKUP($A171,OffPwrVolTable,(IF(VolBMO2=2,3,IF(VolBMO2=1,2,4))),FALSE())*VLOOKUP(MONTH($A171),Volscale,2)))</f>
        <v> </v>
      </c>
      <c r="AK171" s="321" t="str">
        <f aca="false">IF($A171="N/A"," ",IF(VolType2=1,AJ171,AI171))</f>
        <v> </v>
      </c>
      <c r="AL171" s="321" t="str">
        <f aca="false">IF($A171="N/A"," ",IF(PV=1,0,'Pricing Inputs2'!R204))</f>
        <v> </v>
      </c>
      <c r="AM171" s="323" t="str">
        <f aca="false">IF($A171="N/A"," ",(1+AL171/2)^(-2*((EOMONTH(A171,0)+20)-DateToday)/365.25))</f>
        <v> </v>
      </c>
      <c r="BQ171" s="0" t="str">
        <f aca="false">IF($A171="N/A"," ",(VLOOKUP($A171,NumberofDaysTable,2)))</f>
        <v> </v>
      </c>
      <c r="BR171" s="0" t="str">
        <f aca="false">IF($A171="N/A"," ",(VLOOKUP($A171,NumberofDaysTable,3)))</f>
        <v> </v>
      </c>
      <c r="BS171" s="0" t="str">
        <f aca="false">IF($A171="N/A"," ",(VLOOKUP($A171,NumberofDaysTable,4)))</f>
        <v> </v>
      </c>
    </row>
    <row r="172" customFormat="false" ht="12.75" hidden="false" customHeight="false" outlineLevel="0" collapsed="false">
      <c r="A172" s="315" t="str">
        <f aca="false">IF(A171="N/A","N/A",IF(EDATE(A171,1)&gt;Inputs!$P$5,"N/A",EDATE(A171,1)))</f>
        <v>N/A</v>
      </c>
      <c r="B172" s="316" t="str">
        <f aca="false">IF(A172="N/A"," ",YEAR(A172))</f>
        <v> </v>
      </c>
      <c r="C172" s="317" t="str">
        <f aca="false">IF($A172="N/A"," ",IF(Dayrun2=10,0,IF(Scaler2=1,(VLOOKUP(A172,ScaledPrice2,4)),(VLOOKUP(A172,ScaledPrice2,2)))))</f>
        <v> </v>
      </c>
      <c r="D172" s="317" t="str">
        <f aca="false">IF(A172="N/A"," ",IF(Dayrun2&gt;=7,0,IF(Scaler2=2,VLOOKUP(A172,ScaledPrice2,2),(VLOOKUP(A172,ScaledPrice2,2))*(2-(VLOOKUP(A172,ScaledPrice2,3))))))</f>
        <v> </v>
      </c>
      <c r="E172" s="317" t="str">
        <f aca="false">IF($A172="N/A"," ",IF(AND(Dayrun2&gt;=4,Dayrun2&lt;=9),0,VLOOKUP($A172,ScaledPrice2,9)))</f>
        <v> </v>
      </c>
      <c r="F172" s="317" t="str">
        <f aca="false">IF(A172="N/A"," ",IF(OR(Dayrun2=2,Dayrun2=3,Dayrun2=5,Dayrun2=6,Dayrun2=8,Dayrun2=9),VLOOKUP(A172,ScaledPrice2,IF(Scaler2=1,6,5)),0))</f>
        <v> </v>
      </c>
      <c r="G172" s="317" t="str">
        <f aca="false">IF(A172="N/A"," ",IF(OR(Dayrun2=2,Dayrun2=3,Dayrun2=5,Dayrun2=6),IF(Scaler2=2,F172,(VLOOKUP(A172,ScaledPrice2,5))*(2-(VLOOKUP(A172,ScaledPrice2,3)))),0))</f>
        <v> </v>
      </c>
      <c r="H172" s="317" t="str">
        <f aca="false">IF($A172="N/A"," ",IF(OR(Dayrun2=2,Dayrun2=3,Dayrun2=10),VLOOKUP($A172,ScaledPrice2,9),0))</f>
        <v> </v>
      </c>
      <c r="I172" s="317" t="str">
        <f aca="false">IF(A172="N/A"," ",IF(OR(Dayrun2=3,Dayrun2=6,Dayrun2=9),(VLOOKUP(A172,ScaledPrice2,IF(Scaler2=2,7,8))),0))</f>
        <v> </v>
      </c>
      <c r="J172" s="317" t="str">
        <f aca="false">IF(A172="N/A"," ",IF(OR(Dayrun2=3,Dayrun2=6),IF(Scaler2=2,I172,(VLOOKUP(A172,ScaledPrice2,7))*(2-(VLOOKUP(A172,ScaledPrice2,3)))),0))</f>
        <v> </v>
      </c>
      <c r="K172" s="317" t="str">
        <f aca="false">IF($A172="N/A"," ",IF(OR(Dayrun2=3,Dayrun2=10),VLOOKUP($A172,ScaledPrice2,9),0))</f>
        <v> </v>
      </c>
      <c r="L172" s="318" t="str">
        <f aca="false">IF($A172="N/A"," ",IF(Pricetype2=2,MAX(C172,0),IF(OR(Pricetype2=1,Pricetype2=4),IF(C172=0,0,(EURO(C172,Strikeprice2,0,0,($AH172+IF(Smile=TRUE(),VLOOKUP(MAX(-5,Strikeprice2-C172),Volsmile,2),0)),($A172-DateToday)+15,IF(Pricetype2=1,1,0),0))),C172)))</f>
        <v> </v>
      </c>
      <c r="M172" s="318" t="str">
        <f aca="false">IF($A172="N/A"," ",IF(Pricetype2=2,MAX(D172,0),IF(OR(Pricetype2=1,Pricetype2=4),IF(D172=0,0,(EURO(D172,Strikeprice2,0,0,($AH172+IF(Smile=TRUE(),VLOOKUP(MAX(-5,Strikeprice2-D172),Volsmile,2),0)),($A172-DateToday)+15,IF(Pricetype2=1,1,0),0))),D172)))</f>
        <v> </v>
      </c>
      <c r="N172" s="318" t="str">
        <f aca="false">IF($A172="N/A"," ",IF(Pricetype2=2,MAX(E172,0),IF(OR(Pricetype2=1,Pricetype2=4),IF(E172=0,0,(EURO(E172,Strikeprice2,0,0,($AK172+IF(Smile=TRUE(),VLOOKUP(MAX(-5,Strikeprice2-E172),Volsmile,2),0)),($A172-DateToday)+15,IF(Pricetype2=1,1,0),0))),E172)))</f>
        <v> </v>
      </c>
      <c r="O172" s="318" t="str">
        <f aca="false">IF($A172="N/A"," ",IF(Pricetype2=2,MAX(F172,0),IF(OR(Pricetype2=1,Pricetype2=4),IF(F172=0,0,(EURO(F172,Strikeprice2,0,0,($AK172+IF(Smile=TRUE(),VLOOKUP(MAX(-5,Strikeprice2-F172),Volsmile,2),0)),($A172-DateToday)+15,IF(Pricetype2=1,1,0),0))),F172)))</f>
        <v> </v>
      </c>
      <c r="P172" s="318" t="str">
        <f aca="false">IF($A172="N/A"," ",IF(Pricetype2=2,MAX(G172,0),IF(OR(Pricetype2=1,Pricetype2=4),IF(G172=0,0,(EURO(G172,Strikeprice2,0,0,($AK172+IF(Smile=TRUE(),VLOOKUP(MAX(-5,Strikeprice2-G172),Volsmile,2),0)),($A172-DateToday)+15,IF(Pricetype2=1,1,0),0))),G172)))</f>
        <v> </v>
      </c>
      <c r="Q172" s="318" t="str">
        <f aca="false">IF($A172="N/A"," ",IF(Pricetype2=2,MAX(H172,0),IF(OR(Pricetype2=1,Pricetype2=4),IF(H172=0,0,(EURO(H172,Strikeprice2,0,0,($AK172+IF(Smile=TRUE(),VLOOKUP(MAX(-5,Strikeprice2-H172),Volsmile,2),0)),($A172-DateToday)+15,IF(Pricetype2=1,1,0),0))),H172)))</f>
        <v> </v>
      </c>
      <c r="R172" s="318" t="str">
        <f aca="false">IF($A172="N/A"," ",IF(Pricetype2=2,MAX(I172,0),IF(OR(Pricetype2=1,Pricetype2=4),IF(I172=0,0,(EURO(I172,Strikeprice2,0,0,($AK172+IF(Smile=TRUE(),VLOOKUP(MAX(-5,Strikeprice2-I172),Volsmile,2),0)),($A172-DateToday)+15,IF(Pricetype2=1,1,0),0))),I172)))</f>
        <v> </v>
      </c>
      <c r="S172" s="318" t="str">
        <f aca="false">IF($A172="N/A"," ",IF(Pricetype2=2,MAX(J172,0),IF(OR(Pricetype2=1,Pricetype2=4),IF(J172=0,0,(EURO(J172,Strikeprice2,0,0,($AK172+IF(Smile=TRUE(),VLOOKUP(MAX(-5,Strikeprice2-J172),Volsmile,2),0)),($A172-DateToday)+15,IF(Pricetype2=1,1,0),0))),J172)))</f>
        <v> </v>
      </c>
      <c r="T172" s="318" t="str">
        <f aca="false">IF($A172="N/A"," ",IF(Pricetype2=2,MAX(K172,0),IF(OR(Pricetype2=1,Pricetype2=4),IF(K172=0,0,(EURO(K172,Strikeprice2,0,0,($AK172+IF(Smile=TRUE(),VLOOKUP(MAX(-5,Strikeprice2-K172),Volsmile,2),0)),($A172-DateToday)+15,IF(Pricetype2=1,1,0),0))),K172)))</f>
        <v> </v>
      </c>
      <c r="U172" s="319" t="str">
        <f aca="false">IF($A172="N/A"," ",Volume2*$AM172)</f>
        <v> </v>
      </c>
      <c r="V172" s="320" t="str">
        <f aca="false">IF($A172="N/A"," ",$U172*(8*($BQ172))*L172)</f>
        <v> </v>
      </c>
      <c r="W172" s="320" t="str">
        <f aca="false">IF($A172="N/A"," ",$U172*(8*($BQ172))*M172)</f>
        <v> </v>
      </c>
      <c r="X172" s="320" t="str">
        <f aca="false">IF($A172="N/A"," ",$U172*(8*($BQ172))*N172)</f>
        <v> </v>
      </c>
      <c r="Y172" s="320" t="str">
        <f aca="false">IF($A172="N/A"," ",$U172*(8*($BR172))*O172)</f>
        <v> </v>
      </c>
      <c r="Z172" s="320" t="str">
        <f aca="false">IF($A172="N/A"," ",$U172*(8*($BR172))*P172)</f>
        <v> </v>
      </c>
      <c r="AA172" s="320" t="str">
        <f aca="false">IF($A172="N/A"," ",$U172*(8*($BR172))*Q172)</f>
        <v> </v>
      </c>
      <c r="AB172" s="320" t="str">
        <f aca="false">IF($A172="N/A"," ",$U172*(8*($BS172))*R172)</f>
        <v> </v>
      </c>
      <c r="AC172" s="320" t="str">
        <f aca="false">IF($A172="N/A"," ",$U172*(8*($BS172))*S172)</f>
        <v> </v>
      </c>
      <c r="AD172" s="320" t="str">
        <f aca="false">IF($A172="N/A"," ",$U172*(8*($BS172))*T172)</f>
        <v> </v>
      </c>
      <c r="AE172" s="320" t="str">
        <f aca="false">IF($A172="N/A"," ",SUM(V172:AD172))</f>
        <v> </v>
      </c>
      <c r="AF172" s="321" t="str">
        <f aca="false">IF(A172="N/A"," ",(VLOOKUP(A172,PowerVolTable,(IF(VolBMO2=2,7,IF(VolBMO2=1,6,8))),FALSE())))</f>
        <v> </v>
      </c>
      <c r="AG172" s="321" t="str">
        <f aca="false">IF(A172="N/A"," ",(VLOOKUP(A172,IntraPowerVol,(IF(VolBMO2=2,3,IF(VolBMO2=1,2,4))),FALSE())*VLOOKUP(MONTH($A172),Volscale,2)))</f>
        <v> </v>
      </c>
      <c r="AH172" s="321" t="str">
        <f aca="false">IF($A172="N/A"," ",IF(VolType2=1,AG172,AF172))</f>
        <v> </v>
      </c>
      <c r="AI172" s="321" t="str">
        <f aca="false">IF($A172="N/A"," ",(VLOOKUP($A172,OffPwrVolTable,(IF(VolBMO2=2,7,IF(VolBMO2=1,6,8))),FALSE())))</f>
        <v> </v>
      </c>
      <c r="AJ172" s="321" t="str">
        <f aca="false">IF($A172="N/A"," ",(VLOOKUP($A172,OffPwrVolTable,(IF(VolBMO2=2,3,IF(VolBMO2=1,2,4))),FALSE())*VLOOKUP(MONTH($A172),Volscale,2)))</f>
        <v> </v>
      </c>
      <c r="AK172" s="321" t="str">
        <f aca="false">IF($A172="N/A"," ",IF(VolType2=1,AJ172,AI172))</f>
        <v> </v>
      </c>
      <c r="AL172" s="321" t="str">
        <f aca="false">IF($A172="N/A"," ",IF(PV=1,0,'Pricing Inputs2'!R205))</f>
        <v> </v>
      </c>
      <c r="AM172" s="323" t="str">
        <f aca="false">IF($A172="N/A"," ",(1+AL172/2)^(-2*((EOMONTH(A172,0)+20)-DateToday)/365.25))</f>
        <v> </v>
      </c>
      <c r="BQ172" s="0" t="str">
        <f aca="false">IF($A172="N/A"," ",(VLOOKUP($A172,NumberofDaysTable,2)))</f>
        <v> </v>
      </c>
      <c r="BR172" s="0" t="str">
        <f aca="false">IF($A172="N/A"," ",(VLOOKUP($A172,NumberofDaysTable,3)))</f>
        <v> </v>
      </c>
      <c r="BS172" s="0" t="str">
        <f aca="false">IF($A172="N/A"," ",(VLOOKUP($A172,NumberofDaysTable,4)))</f>
        <v> </v>
      </c>
    </row>
    <row r="173" customFormat="false" ht="12.75" hidden="false" customHeight="false" outlineLevel="0" collapsed="false">
      <c r="A173" s="315" t="str">
        <f aca="false">IF(A172="N/A","N/A",IF(EDATE(A172,1)&gt;Inputs!$P$5,"N/A",EDATE(A172,1)))</f>
        <v>N/A</v>
      </c>
      <c r="B173" s="316" t="str">
        <f aca="false">IF(A173="N/A"," ",YEAR(A173))</f>
        <v> </v>
      </c>
      <c r="C173" s="317" t="str">
        <f aca="false">IF($A173="N/A"," ",IF(Dayrun2=10,0,IF(Scaler2=1,(VLOOKUP(A173,ScaledPrice2,4)),(VLOOKUP(A173,ScaledPrice2,2)))))</f>
        <v> </v>
      </c>
      <c r="D173" s="317" t="str">
        <f aca="false">IF(A173="N/A"," ",IF(Dayrun2&gt;=7,0,IF(Scaler2=2,VLOOKUP(A173,ScaledPrice2,2),(VLOOKUP(A173,ScaledPrice2,2))*(2-(VLOOKUP(A173,ScaledPrice2,3))))))</f>
        <v> </v>
      </c>
      <c r="E173" s="317" t="str">
        <f aca="false">IF($A173="N/A"," ",IF(AND(Dayrun2&gt;=4,Dayrun2&lt;=9),0,VLOOKUP($A173,ScaledPrice2,9)))</f>
        <v> </v>
      </c>
      <c r="F173" s="317" t="str">
        <f aca="false">IF(A173="N/A"," ",IF(OR(Dayrun2=2,Dayrun2=3,Dayrun2=5,Dayrun2=6,Dayrun2=8,Dayrun2=9),VLOOKUP(A173,ScaledPrice2,IF(Scaler2=1,6,5)),0))</f>
        <v> </v>
      </c>
      <c r="G173" s="317" t="str">
        <f aca="false">IF(A173="N/A"," ",IF(OR(Dayrun2=2,Dayrun2=3,Dayrun2=5,Dayrun2=6),IF(Scaler2=2,F173,(VLOOKUP(A173,ScaledPrice2,5))*(2-(VLOOKUP(A173,ScaledPrice2,3)))),0))</f>
        <v> </v>
      </c>
      <c r="H173" s="317" t="str">
        <f aca="false">IF($A173="N/A"," ",IF(OR(Dayrun2=2,Dayrun2=3,Dayrun2=10),VLOOKUP($A173,ScaledPrice2,9),0))</f>
        <v> </v>
      </c>
      <c r="I173" s="317" t="str">
        <f aca="false">IF(A173="N/A"," ",IF(OR(Dayrun2=3,Dayrun2=6,Dayrun2=9),(VLOOKUP(A173,ScaledPrice2,IF(Scaler2=2,7,8))),0))</f>
        <v> </v>
      </c>
      <c r="J173" s="317" t="str">
        <f aca="false">IF(A173="N/A"," ",IF(OR(Dayrun2=3,Dayrun2=6),IF(Scaler2=2,I173,(VLOOKUP(A173,ScaledPrice2,7))*(2-(VLOOKUP(A173,ScaledPrice2,3)))),0))</f>
        <v> </v>
      </c>
      <c r="K173" s="317" t="str">
        <f aca="false">IF($A173="N/A"," ",IF(OR(Dayrun2=3,Dayrun2=10),VLOOKUP($A173,ScaledPrice2,9),0))</f>
        <v> </v>
      </c>
      <c r="L173" s="318" t="str">
        <f aca="false">IF($A173="N/A"," ",IF(Pricetype2=2,MAX(C173,0),IF(OR(Pricetype2=1,Pricetype2=4),IF(C173=0,0,(EURO(C173,Strikeprice2,0,0,($AH173+IF(Smile=TRUE(),VLOOKUP(MAX(-5,Strikeprice2-C173),Volsmile,2),0)),($A173-DateToday)+15,IF(Pricetype2=1,1,0),0))),C173)))</f>
        <v> </v>
      </c>
      <c r="M173" s="318" t="str">
        <f aca="false">IF($A173="N/A"," ",IF(Pricetype2=2,MAX(D173,0),IF(OR(Pricetype2=1,Pricetype2=4),IF(D173=0,0,(EURO(D173,Strikeprice2,0,0,($AH173+IF(Smile=TRUE(),VLOOKUP(MAX(-5,Strikeprice2-D173),Volsmile,2),0)),($A173-DateToday)+15,IF(Pricetype2=1,1,0),0))),D173)))</f>
        <v> </v>
      </c>
      <c r="N173" s="318" t="str">
        <f aca="false">IF($A173="N/A"," ",IF(Pricetype2=2,MAX(E173,0),IF(OR(Pricetype2=1,Pricetype2=4),IF(E173=0,0,(EURO(E173,Strikeprice2,0,0,($AK173+IF(Smile=TRUE(),VLOOKUP(MAX(-5,Strikeprice2-E173),Volsmile,2),0)),($A173-DateToday)+15,IF(Pricetype2=1,1,0),0))),E173)))</f>
        <v> </v>
      </c>
      <c r="O173" s="318" t="str">
        <f aca="false">IF($A173="N/A"," ",IF(Pricetype2=2,MAX(F173,0),IF(OR(Pricetype2=1,Pricetype2=4),IF(F173=0,0,(EURO(F173,Strikeprice2,0,0,($AK173+IF(Smile=TRUE(),VLOOKUP(MAX(-5,Strikeprice2-F173),Volsmile,2),0)),($A173-DateToday)+15,IF(Pricetype2=1,1,0),0))),F173)))</f>
        <v> </v>
      </c>
      <c r="P173" s="318" t="str">
        <f aca="false">IF($A173="N/A"," ",IF(Pricetype2=2,MAX(G173,0),IF(OR(Pricetype2=1,Pricetype2=4),IF(G173=0,0,(EURO(G173,Strikeprice2,0,0,($AK173+IF(Smile=TRUE(),VLOOKUP(MAX(-5,Strikeprice2-G173),Volsmile,2),0)),($A173-DateToday)+15,IF(Pricetype2=1,1,0),0))),G173)))</f>
        <v> </v>
      </c>
      <c r="Q173" s="318" t="str">
        <f aca="false">IF($A173="N/A"," ",IF(Pricetype2=2,MAX(H173,0),IF(OR(Pricetype2=1,Pricetype2=4),IF(H173=0,0,(EURO(H173,Strikeprice2,0,0,($AK173+IF(Smile=TRUE(),VLOOKUP(MAX(-5,Strikeprice2-H173),Volsmile,2),0)),($A173-DateToday)+15,IF(Pricetype2=1,1,0),0))),H173)))</f>
        <v> </v>
      </c>
      <c r="R173" s="318" t="str">
        <f aca="false">IF($A173="N/A"," ",IF(Pricetype2=2,MAX(I173,0),IF(OR(Pricetype2=1,Pricetype2=4),IF(I173=0,0,(EURO(I173,Strikeprice2,0,0,($AK173+IF(Smile=TRUE(),VLOOKUP(MAX(-5,Strikeprice2-I173),Volsmile,2),0)),($A173-DateToday)+15,IF(Pricetype2=1,1,0),0))),I173)))</f>
        <v> </v>
      </c>
      <c r="S173" s="318" t="str">
        <f aca="false">IF($A173="N/A"," ",IF(Pricetype2=2,MAX(J173,0),IF(OR(Pricetype2=1,Pricetype2=4),IF(J173=0,0,(EURO(J173,Strikeprice2,0,0,($AK173+IF(Smile=TRUE(),VLOOKUP(MAX(-5,Strikeprice2-J173),Volsmile,2),0)),($A173-DateToday)+15,IF(Pricetype2=1,1,0),0))),J173)))</f>
        <v> </v>
      </c>
      <c r="T173" s="318" t="str">
        <f aca="false">IF($A173="N/A"," ",IF(Pricetype2=2,MAX(K173,0),IF(OR(Pricetype2=1,Pricetype2=4),IF(K173=0,0,(EURO(K173,Strikeprice2,0,0,($AK173+IF(Smile=TRUE(),VLOOKUP(MAX(-5,Strikeprice2-K173),Volsmile,2),0)),($A173-DateToday)+15,IF(Pricetype2=1,1,0),0))),K173)))</f>
        <v> </v>
      </c>
      <c r="U173" s="319" t="str">
        <f aca="false">IF($A173="N/A"," ",Volume2*$AM173)</f>
        <v> </v>
      </c>
      <c r="V173" s="320" t="str">
        <f aca="false">IF($A173="N/A"," ",$U173*(8*($BQ173))*L173)</f>
        <v> </v>
      </c>
      <c r="W173" s="320" t="str">
        <f aca="false">IF($A173="N/A"," ",$U173*(8*($BQ173))*M173)</f>
        <v> </v>
      </c>
      <c r="X173" s="320" t="str">
        <f aca="false">IF($A173="N/A"," ",$U173*(8*($BQ173))*N173)</f>
        <v> </v>
      </c>
      <c r="Y173" s="320" t="str">
        <f aca="false">IF($A173="N/A"," ",$U173*(8*($BR173))*O173)</f>
        <v> </v>
      </c>
      <c r="Z173" s="320" t="str">
        <f aca="false">IF($A173="N/A"," ",$U173*(8*($BR173))*P173)</f>
        <v> </v>
      </c>
      <c r="AA173" s="320" t="str">
        <f aca="false">IF($A173="N/A"," ",$U173*(8*($BR173))*Q173)</f>
        <v> </v>
      </c>
      <c r="AB173" s="320" t="str">
        <f aca="false">IF($A173="N/A"," ",$U173*(8*($BS173))*R173)</f>
        <v> </v>
      </c>
      <c r="AC173" s="320" t="str">
        <f aca="false">IF($A173="N/A"," ",$U173*(8*($BS173))*S173)</f>
        <v> </v>
      </c>
      <c r="AD173" s="320" t="str">
        <f aca="false">IF($A173="N/A"," ",$U173*(8*($BS173))*T173)</f>
        <v> </v>
      </c>
      <c r="AE173" s="320" t="str">
        <f aca="false">IF($A173="N/A"," ",SUM(V173:AD173))</f>
        <v> </v>
      </c>
      <c r="AF173" s="321" t="str">
        <f aca="false">IF(A173="N/A"," ",(VLOOKUP(A173,PowerVolTable,(IF(VolBMO2=2,7,IF(VolBMO2=1,6,8))),FALSE())))</f>
        <v> </v>
      </c>
      <c r="AG173" s="321" t="str">
        <f aca="false">IF(A173="N/A"," ",(VLOOKUP(A173,IntraPowerVol,(IF(VolBMO2=2,3,IF(VolBMO2=1,2,4))),FALSE())*VLOOKUP(MONTH($A173),Volscale,2)))</f>
        <v> </v>
      </c>
      <c r="AH173" s="321" t="str">
        <f aca="false">IF($A173="N/A"," ",IF(VolType2=1,AG173,AF173))</f>
        <v> </v>
      </c>
      <c r="AI173" s="321" t="str">
        <f aca="false">IF($A173="N/A"," ",(VLOOKUP($A173,OffPwrVolTable,(IF(VolBMO2=2,7,IF(VolBMO2=1,6,8))),FALSE())))</f>
        <v> </v>
      </c>
      <c r="AJ173" s="321" t="str">
        <f aca="false">IF($A173="N/A"," ",(VLOOKUP($A173,OffPwrVolTable,(IF(VolBMO2=2,3,IF(VolBMO2=1,2,4))),FALSE())*VLOOKUP(MONTH($A173),Volscale,2)))</f>
        <v> </v>
      </c>
      <c r="AK173" s="321" t="str">
        <f aca="false">IF($A173="N/A"," ",IF(VolType2=1,AJ173,AI173))</f>
        <v> </v>
      </c>
      <c r="AL173" s="321" t="str">
        <f aca="false">IF($A173="N/A"," ",IF(PV=1,0,'Pricing Inputs2'!R206))</f>
        <v> </v>
      </c>
      <c r="AM173" s="323" t="str">
        <f aca="false">IF($A173="N/A"," ",(1+AL173/2)^(-2*((EOMONTH(A173,0)+20)-DateToday)/365.25))</f>
        <v> </v>
      </c>
      <c r="BQ173" s="0" t="str">
        <f aca="false">IF($A173="N/A"," ",(VLOOKUP($A173,NumberofDaysTable,2)))</f>
        <v> </v>
      </c>
      <c r="BR173" s="0" t="str">
        <f aca="false">IF($A173="N/A"," ",(VLOOKUP($A173,NumberofDaysTable,3)))</f>
        <v> </v>
      </c>
      <c r="BS173" s="0" t="str">
        <f aca="false">IF($A173="N/A"," ",(VLOOKUP($A173,NumberofDaysTable,4)))</f>
        <v> </v>
      </c>
    </row>
    <row r="174" customFormat="false" ht="12.75" hidden="false" customHeight="false" outlineLevel="0" collapsed="false">
      <c r="A174" s="315" t="str">
        <f aca="false">IF(A173="N/A","N/A",IF(EDATE(A173,1)&gt;Inputs!$P$5,"N/A",EDATE(A173,1)))</f>
        <v>N/A</v>
      </c>
      <c r="B174" s="316" t="str">
        <f aca="false">IF(A174="N/A"," ",YEAR(A174))</f>
        <v> </v>
      </c>
      <c r="C174" s="317" t="str">
        <f aca="false">IF($A174="N/A"," ",IF(Dayrun2=10,0,IF(Scaler2=1,(VLOOKUP(A174,ScaledPrice2,4)),(VLOOKUP(A174,ScaledPrice2,2)))))</f>
        <v> </v>
      </c>
      <c r="D174" s="317" t="str">
        <f aca="false">IF(A174="N/A"," ",IF(Dayrun2&gt;=7,0,IF(Scaler2=2,VLOOKUP(A174,ScaledPrice2,2),(VLOOKUP(A174,ScaledPrice2,2))*(2-(VLOOKUP(A174,ScaledPrice2,3))))))</f>
        <v> </v>
      </c>
      <c r="E174" s="317" t="str">
        <f aca="false">IF($A174="N/A"," ",IF(AND(Dayrun2&gt;=4,Dayrun2&lt;=9),0,VLOOKUP($A174,ScaledPrice2,9)))</f>
        <v> </v>
      </c>
      <c r="F174" s="317" t="str">
        <f aca="false">IF(A174="N/A"," ",IF(OR(Dayrun2=2,Dayrun2=3,Dayrun2=5,Dayrun2=6,Dayrun2=8,Dayrun2=9),VLOOKUP(A174,ScaledPrice2,IF(Scaler2=1,6,5)),0))</f>
        <v> </v>
      </c>
      <c r="G174" s="317" t="str">
        <f aca="false">IF(A174="N/A"," ",IF(OR(Dayrun2=2,Dayrun2=3,Dayrun2=5,Dayrun2=6),IF(Scaler2=2,F174,(VLOOKUP(A174,ScaledPrice2,5))*(2-(VLOOKUP(A174,ScaledPrice2,3)))),0))</f>
        <v> </v>
      </c>
      <c r="H174" s="317" t="str">
        <f aca="false">IF($A174="N/A"," ",IF(OR(Dayrun2=2,Dayrun2=3,Dayrun2=10),VLOOKUP($A174,ScaledPrice2,9),0))</f>
        <v> </v>
      </c>
      <c r="I174" s="317" t="str">
        <f aca="false">IF(A174="N/A"," ",IF(OR(Dayrun2=3,Dayrun2=6,Dayrun2=9),(VLOOKUP(A174,ScaledPrice2,IF(Scaler2=2,7,8))),0))</f>
        <v> </v>
      </c>
      <c r="J174" s="317" t="str">
        <f aca="false">IF(A174="N/A"," ",IF(OR(Dayrun2=3,Dayrun2=6),IF(Scaler2=2,I174,(VLOOKUP(A174,ScaledPrice2,7))*(2-(VLOOKUP(A174,ScaledPrice2,3)))),0))</f>
        <v> </v>
      </c>
      <c r="K174" s="317" t="str">
        <f aca="false">IF($A174="N/A"," ",IF(OR(Dayrun2=3,Dayrun2=10),VLOOKUP($A174,ScaledPrice2,9),0))</f>
        <v> </v>
      </c>
      <c r="L174" s="318" t="str">
        <f aca="false">IF($A174="N/A"," ",IF(Pricetype2=2,MAX(C174,0),IF(OR(Pricetype2=1,Pricetype2=4),IF(C174=0,0,(EURO(C174,Strikeprice2,0,0,($AH174+IF(Smile=TRUE(),VLOOKUP(MAX(-5,Strikeprice2-C174),Volsmile,2),0)),($A174-DateToday)+15,IF(Pricetype2=1,1,0),0))),C174)))</f>
        <v> </v>
      </c>
      <c r="M174" s="318" t="str">
        <f aca="false">IF($A174="N/A"," ",IF(Pricetype2=2,MAX(D174,0),IF(OR(Pricetype2=1,Pricetype2=4),IF(D174=0,0,(EURO(D174,Strikeprice2,0,0,($AH174+IF(Smile=TRUE(),VLOOKUP(MAX(-5,Strikeprice2-D174),Volsmile,2),0)),($A174-DateToday)+15,IF(Pricetype2=1,1,0),0))),D174)))</f>
        <v> </v>
      </c>
      <c r="N174" s="318" t="str">
        <f aca="false">IF($A174="N/A"," ",IF(Pricetype2=2,MAX(E174,0),IF(OR(Pricetype2=1,Pricetype2=4),IF(E174=0,0,(EURO(E174,Strikeprice2,0,0,($AK174+IF(Smile=TRUE(),VLOOKUP(MAX(-5,Strikeprice2-E174),Volsmile,2),0)),($A174-DateToday)+15,IF(Pricetype2=1,1,0),0))),E174)))</f>
        <v> </v>
      </c>
      <c r="O174" s="318" t="str">
        <f aca="false">IF($A174="N/A"," ",IF(Pricetype2=2,MAX(F174,0),IF(OR(Pricetype2=1,Pricetype2=4),IF(F174=0,0,(EURO(F174,Strikeprice2,0,0,($AK174+IF(Smile=TRUE(),VLOOKUP(MAX(-5,Strikeprice2-F174),Volsmile,2),0)),($A174-DateToday)+15,IF(Pricetype2=1,1,0),0))),F174)))</f>
        <v> </v>
      </c>
      <c r="P174" s="318" t="str">
        <f aca="false">IF($A174="N/A"," ",IF(Pricetype2=2,MAX(G174,0),IF(OR(Pricetype2=1,Pricetype2=4),IF(G174=0,0,(EURO(G174,Strikeprice2,0,0,($AK174+IF(Smile=TRUE(),VLOOKUP(MAX(-5,Strikeprice2-G174),Volsmile,2),0)),($A174-DateToday)+15,IF(Pricetype2=1,1,0),0))),G174)))</f>
        <v> </v>
      </c>
      <c r="Q174" s="318" t="str">
        <f aca="false">IF($A174="N/A"," ",IF(Pricetype2=2,MAX(H174,0),IF(OR(Pricetype2=1,Pricetype2=4),IF(H174=0,0,(EURO(H174,Strikeprice2,0,0,($AK174+IF(Smile=TRUE(),VLOOKUP(MAX(-5,Strikeprice2-H174),Volsmile,2),0)),($A174-DateToday)+15,IF(Pricetype2=1,1,0),0))),H174)))</f>
        <v> </v>
      </c>
      <c r="R174" s="318" t="str">
        <f aca="false">IF($A174="N/A"," ",IF(Pricetype2=2,MAX(I174,0),IF(OR(Pricetype2=1,Pricetype2=4),IF(I174=0,0,(EURO(I174,Strikeprice2,0,0,($AK174+IF(Smile=TRUE(),VLOOKUP(MAX(-5,Strikeprice2-I174),Volsmile,2),0)),($A174-DateToday)+15,IF(Pricetype2=1,1,0),0))),I174)))</f>
        <v> </v>
      </c>
      <c r="S174" s="318" t="str">
        <f aca="false">IF($A174="N/A"," ",IF(Pricetype2=2,MAX(J174,0),IF(OR(Pricetype2=1,Pricetype2=4),IF(J174=0,0,(EURO(J174,Strikeprice2,0,0,($AK174+IF(Smile=TRUE(),VLOOKUP(MAX(-5,Strikeprice2-J174),Volsmile,2),0)),($A174-DateToday)+15,IF(Pricetype2=1,1,0),0))),J174)))</f>
        <v> </v>
      </c>
      <c r="T174" s="318" t="str">
        <f aca="false">IF($A174="N/A"," ",IF(Pricetype2=2,MAX(K174,0),IF(OR(Pricetype2=1,Pricetype2=4),IF(K174=0,0,(EURO(K174,Strikeprice2,0,0,($AK174+IF(Smile=TRUE(),VLOOKUP(MAX(-5,Strikeprice2-K174),Volsmile,2),0)),($A174-DateToday)+15,IF(Pricetype2=1,1,0),0))),K174)))</f>
        <v> </v>
      </c>
      <c r="U174" s="319" t="str">
        <f aca="false">IF($A174="N/A"," ",Volume2*$AM174)</f>
        <v> </v>
      </c>
      <c r="V174" s="320" t="str">
        <f aca="false">IF($A174="N/A"," ",$U174*(8*($BQ174))*L174)</f>
        <v> </v>
      </c>
      <c r="W174" s="320" t="str">
        <f aca="false">IF($A174="N/A"," ",$U174*(8*($BQ174))*M174)</f>
        <v> </v>
      </c>
      <c r="X174" s="320" t="str">
        <f aca="false">IF($A174="N/A"," ",$U174*(8*($BQ174))*N174)</f>
        <v> </v>
      </c>
      <c r="Y174" s="320" t="str">
        <f aca="false">IF($A174="N/A"," ",$U174*(8*($BR174))*O174)</f>
        <v> </v>
      </c>
      <c r="Z174" s="320" t="str">
        <f aca="false">IF($A174="N/A"," ",$U174*(8*($BR174))*P174)</f>
        <v> </v>
      </c>
      <c r="AA174" s="320" t="str">
        <f aca="false">IF($A174="N/A"," ",$U174*(8*($BR174))*Q174)</f>
        <v> </v>
      </c>
      <c r="AB174" s="320" t="str">
        <f aca="false">IF($A174="N/A"," ",$U174*(8*($BS174))*R174)</f>
        <v> </v>
      </c>
      <c r="AC174" s="320" t="str">
        <f aca="false">IF($A174="N/A"," ",$U174*(8*($BS174))*S174)</f>
        <v> </v>
      </c>
      <c r="AD174" s="320" t="str">
        <f aca="false">IF($A174="N/A"," ",$U174*(8*($BS174))*T174)</f>
        <v> </v>
      </c>
      <c r="AE174" s="320" t="str">
        <f aca="false">IF($A174="N/A"," ",SUM(V174:AD174))</f>
        <v> </v>
      </c>
      <c r="AF174" s="321" t="str">
        <f aca="false">IF(A174="N/A"," ",(VLOOKUP(A174,PowerVolTable,(IF(VolBMO2=2,7,IF(VolBMO2=1,6,8))),FALSE())))</f>
        <v> </v>
      </c>
      <c r="AG174" s="321" t="str">
        <f aca="false">IF(A174="N/A"," ",(VLOOKUP(A174,IntraPowerVol,(IF(VolBMO2=2,3,IF(VolBMO2=1,2,4))),FALSE())*VLOOKUP(MONTH($A174),Volscale,2)))</f>
        <v> </v>
      </c>
      <c r="AH174" s="321" t="str">
        <f aca="false">IF($A174="N/A"," ",IF(VolType2=1,AG174,AF174))</f>
        <v> </v>
      </c>
      <c r="AI174" s="321" t="str">
        <f aca="false">IF($A174="N/A"," ",(VLOOKUP($A174,OffPwrVolTable,(IF(VolBMO2=2,7,IF(VolBMO2=1,6,8))),FALSE())))</f>
        <v> </v>
      </c>
      <c r="AJ174" s="321" t="str">
        <f aca="false">IF($A174="N/A"," ",(VLOOKUP($A174,OffPwrVolTable,(IF(VolBMO2=2,3,IF(VolBMO2=1,2,4))),FALSE())*VLOOKUP(MONTH($A174),Volscale,2)))</f>
        <v> </v>
      </c>
      <c r="AK174" s="321" t="str">
        <f aca="false">IF($A174="N/A"," ",IF(VolType2=1,AJ174,AI174))</f>
        <v> </v>
      </c>
      <c r="AL174" s="321" t="str">
        <f aca="false">IF($A174="N/A"," ",IF(PV=1,0,'Pricing Inputs2'!R207))</f>
        <v> </v>
      </c>
      <c r="AM174" s="323" t="str">
        <f aca="false">IF($A174="N/A"," ",(1+AL174/2)^(-2*((EOMONTH(A174,0)+20)-DateToday)/365.25))</f>
        <v> </v>
      </c>
      <c r="BQ174" s="0" t="str">
        <f aca="false">IF($A174="N/A"," ",(VLOOKUP($A174,NumberofDaysTable,2)))</f>
        <v> </v>
      </c>
      <c r="BR174" s="0" t="str">
        <f aca="false">IF($A174="N/A"," ",(VLOOKUP($A174,NumberofDaysTable,3)))</f>
        <v> </v>
      </c>
      <c r="BS174" s="0" t="str">
        <f aca="false">IF($A174="N/A"," ",(VLOOKUP($A174,NumberofDaysTable,4)))</f>
        <v> </v>
      </c>
    </row>
    <row r="175" customFormat="false" ht="12.75" hidden="false" customHeight="false" outlineLevel="0" collapsed="false">
      <c r="A175" s="315" t="str">
        <f aca="false">IF(A174="N/A","N/A",IF(EDATE(A174,1)&gt;Inputs!$P$5,"N/A",EDATE(A174,1)))</f>
        <v>N/A</v>
      </c>
      <c r="B175" s="316" t="str">
        <f aca="false">IF(A175="N/A"," ",YEAR(A175))</f>
        <v> </v>
      </c>
      <c r="C175" s="317" t="str">
        <f aca="false">IF($A175="N/A"," ",IF(Dayrun2=10,0,IF(Scaler2=1,(VLOOKUP(A175,ScaledPrice2,4)),(VLOOKUP(A175,ScaledPrice2,2)))))</f>
        <v> </v>
      </c>
      <c r="D175" s="317" t="str">
        <f aca="false">IF(A175="N/A"," ",IF(Dayrun2&gt;=7,0,IF(Scaler2=2,VLOOKUP(A175,ScaledPrice2,2),(VLOOKUP(A175,ScaledPrice2,2))*(2-(VLOOKUP(A175,ScaledPrice2,3))))))</f>
        <v> </v>
      </c>
      <c r="E175" s="317" t="str">
        <f aca="false">IF($A175="N/A"," ",IF(AND(Dayrun2&gt;=4,Dayrun2&lt;=9),0,VLOOKUP($A175,ScaledPrice2,9)))</f>
        <v> </v>
      </c>
      <c r="F175" s="317" t="str">
        <f aca="false">IF(A175="N/A"," ",IF(OR(Dayrun2=2,Dayrun2=3,Dayrun2=5,Dayrun2=6,Dayrun2=8,Dayrun2=9),VLOOKUP(A175,ScaledPrice2,IF(Scaler2=1,6,5)),0))</f>
        <v> </v>
      </c>
      <c r="G175" s="317" t="str">
        <f aca="false">IF(A175="N/A"," ",IF(OR(Dayrun2=2,Dayrun2=3,Dayrun2=5,Dayrun2=6),IF(Scaler2=2,F175,(VLOOKUP(A175,ScaledPrice2,5))*(2-(VLOOKUP(A175,ScaledPrice2,3)))),0))</f>
        <v> </v>
      </c>
      <c r="H175" s="317" t="str">
        <f aca="false">IF($A175="N/A"," ",IF(OR(Dayrun2=2,Dayrun2=3,Dayrun2=10),VLOOKUP($A175,ScaledPrice2,9),0))</f>
        <v> </v>
      </c>
      <c r="I175" s="317" t="str">
        <f aca="false">IF(A175="N/A"," ",IF(OR(Dayrun2=3,Dayrun2=6,Dayrun2=9),(VLOOKUP(A175,ScaledPrice2,IF(Scaler2=2,7,8))),0))</f>
        <v> </v>
      </c>
      <c r="J175" s="317" t="str">
        <f aca="false">IF(A175="N/A"," ",IF(OR(Dayrun2=3,Dayrun2=6),IF(Scaler2=2,I175,(VLOOKUP(A175,ScaledPrice2,7))*(2-(VLOOKUP(A175,ScaledPrice2,3)))),0))</f>
        <v> </v>
      </c>
      <c r="K175" s="317" t="str">
        <f aca="false">IF($A175="N/A"," ",IF(OR(Dayrun2=3,Dayrun2=10),VLOOKUP($A175,ScaledPrice2,9),0))</f>
        <v> </v>
      </c>
      <c r="L175" s="318" t="str">
        <f aca="false">IF($A175="N/A"," ",IF(Pricetype2=2,MAX(C175,0),IF(OR(Pricetype2=1,Pricetype2=4),IF(C175=0,0,(EURO(C175,Strikeprice2,0,0,($AH175+IF(Smile=TRUE(),VLOOKUP(MAX(-5,Strikeprice2-C175),Volsmile,2),0)),($A175-DateToday)+15,IF(Pricetype2=1,1,0),0))),C175)))</f>
        <v> </v>
      </c>
      <c r="M175" s="318" t="str">
        <f aca="false">IF($A175="N/A"," ",IF(Pricetype2=2,MAX(D175,0),IF(OR(Pricetype2=1,Pricetype2=4),IF(D175=0,0,(EURO(D175,Strikeprice2,0,0,($AH175+IF(Smile=TRUE(),VLOOKUP(MAX(-5,Strikeprice2-D175),Volsmile,2),0)),($A175-DateToday)+15,IF(Pricetype2=1,1,0),0))),D175)))</f>
        <v> </v>
      </c>
      <c r="N175" s="318" t="str">
        <f aca="false">IF($A175="N/A"," ",IF(Pricetype2=2,MAX(E175,0),IF(OR(Pricetype2=1,Pricetype2=4),IF(E175=0,0,(EURO(E175,Strikeprice2,0,0,($AK175+IF(Smile=TRUE(),VLOOKUP(MAX(-5,Strikeprice2-E175),Volsmile,2),0)),($A175-DateToday)+15,IF(Pricetype2=1,1,0),0))),E175)))</f>
        <v> </v>
      </c>
      <c r="O175" s="318" t="str">
        <f aca="false">IF($A175="N/A"," ",IF(Pricetype2=2,MAX(F175,0),IF(OR(Pricetype2=1,Pricetype2=4),IF(F175=0,0,(EURO(F175,Strikeprice2,0,0,($AK175+IF(Smile=TRUE(),VLOOKUP(MAX(-5,Strikeprice2-F175),Volsmile,2),0)),($A175-DateToday)+15,IF(Pricetype2=1,1,0),0))),F175)))</f>
        <v> </v>
      </c>
      <c r="P175" s="318" t="str">
        <f aca="false">IF($A175="N/A"," ",IF(Pricetype2=2,MAX(G175,0),IF(OR(Pricetype2=1,Pricetype2=4),IF(G175=0,0,(EURO(G175,Strikeprice2,0,0,($AK175+IF(Smile=TRUE(),VLOOKUP(MAX(-5,Strikeprice2-G175),Volsmile,2),0)),($A175-DateToday)+15,IF(Pricetype2=1,1,0),0))),G175)))</f>
        <v> </v>
      </c>
      <c r="Q175" s="318" t="str">
        <f aca="false">IF($A175="N/A"," ",IF(Pricetype2=2,MAX(H175,0),IF(OR(Pricetype2=1,Pricetype2=4),IF(H175=0,0,(EURO(H175,Strikeprice2,0,0,($AK175+IF(Smile=TRUE(),VLOOKUP(MAX(-5,Strikeprice2-H175),Volsmile,2),0)),($A175-DateToday)+15,IF(Pricetype2=1,1,0),0))),H175)))</f>
        <v> </v>
      </c>
      <c r="R175" s="318" t="str">
        <f aca="false">IF($A175="N/A"," ",IF(Pricetype2=2,MAX(I175,0),IF(OR(Pricetype2=1,Pricetype2=4),IF(I175=0,0,(EURO(I175,Strikeprice2,0,0,($AK175+IF(Smile=TRUE(),VLOOKUP(MAX(-5,Strikeprice2-I175),Volsmile,2),0)),($A175-DateToday)+15,IF(Pricetype2=1,1,0),0))),I175)))</f>
        <v> </v>
      </c>
      <c r="S175" s="318" t="str">
        <f aca="false">IF($A175="N/A"," ",IF(Pricetype2=2,MAX(J175,0),IF(OR(Pricetype2=1,Pricetype2=4),IF(J175=0,0,(EURO(J175,Strikeprice2,0,0,($AK175+IF(Smile=TRUE(),VLOOKUP(MAX(-5,Strikeprice2-J175),Volsmile,2),0)),($A175-DateToday)+15,IF(Pricetype2=1,1,0),0))),J175)))</f>
        <v> </v>
      </c>
      <c r="T175" s="318" t="str">
        <f aca="false">IF($A175="N/A"," ",IF(Pricetype2=2,MAX(K175,0),IF(OR(Pricetype2=1,Pricetype2=4),IF(K175=0,0,(EURO(K175,Strikeprice2,0,0,($AK175+IF(Smile=TRUE(),VLOOKUP(MAX(-5,Strikeprice2-K175),Volsmile,2),0)),($A175-DateToday)+15,IF(Pricetype2=1,1,0),0))),K175)))</f>
        <v> </v>
      </c>
      <c r="U175" s="319" t="str">
        <f aca="false">IF($A175="N/A"," ",Volume2*$AM175)</f>
        <v> </v>
      </c>
      <c r="V175" s="320" t="str">
        <f aca="false">IF($A175="N/A"," ",$U175*(8*($BQ175))*L175)</f>
        <v> </v>
      </c>
      <c r="W175" s="320" t="str">
        <f aca="false">IF($A175="N/A"," ",$U175*(8*($BQ175))*M175)</f>
        <v> </v>
      </c>
      <c r="X175" s="320" t="str">
        <f aca="false">IF($A175="N/A"," ",$U175*(8*($BQ175))*N175)</f>
        <v> </v>
      </c>
      <c r="Y175" s="320" t="str">
        <f aca="false">IF($A175="N/A"," ",$U175*(8*($BR175))*O175)</f>
        <v> </v>
      </c>
      <c r="Z175" s="320" t="str">
        <f aca="false">IF($A175="N/A"," ",$U175*(8*($BR175))*P175)</f>
        <v> </v>
      </c>
      <c r="AA175" s="320" t="str">
        <f aca="false">IF($A175="N/A"," ",$U175*(8*($BR175))*Q175)</f>
        <v> </v>
      </c>
      <c r="AB175" s="320" t="str">
        <f aca="false">IF($A175="N/A"," ",$U175*(8*($BS175))*R175)</f>
        <v> </v>
      </c>
      <c r="AC175" s="320" t="str">
        <f aca="false">IF($A175="N/A"," ",$U175*(8*($BS175))*S175)</f>
        <v> </v>
      </c>
      <c r="AD175" s="320" t="str">
        <f aca="false">IF($A175="N/A"," ",$U175*(8*($BS175))*T175)</f>
        <v> </v>
      </c>
      <c r="AE175" s="320" t="str">
        <f aca="false">IF($A175="N/A"," ",SUM(V175:AD175))</f>
        <v> </v>
      </c>
      <c r="AF175" s="321" t="str">
        <f aca="false">IF(A175="N/A"," ",(VLOOKUP(A175,PowerVolTable,(IF(VolBMO2=2,7,IF(VolBMO2=1,6,8))),FALSE())))</f>
        <v> </v>
      </c>
      <c r="AG175" s="321" t="str">
        <f aca="false">IF(A175="N/A"," ",(VLOOKUP(A175,IntraPowerVol,(IF(VolBMO2=2,3,IF(VolBMO2=1,2,4))),FALSE())*VLOOKUP(MONTH($A175),Volscale,2)))</f>
        <v> </v>
      </c>
      <c r="AH175" s="321" t="str">
        <f aca="false">IF($A175="N/A"," ",IF(VolType2=1,AG175,AF175))</f>
        <v> </v>
      </c>
      <c r="AI175" s="321" t="str">
        <f aca="false">IF($A175="N/A"," ",(VLOOKUP($A175,OffPwrVolTable,(IF(VolBMO2=2,7,IF(VolBMO2=1,6,8))),FALSE())))</f>
        <v> </v>
      </c>
      <c r="AJ175" s="321" t="str">
        <f aca="false">IF($A175="N/A"," ",(VLOOKUP($A175,OffPwrVolTable,(IF(VolBMO2=2,3,IF(VolBMO2=1,2,4))),FALSE())*VLOOKUP(MONTH($A175),Volscale,2)))</f>
        <v> </v>
      </c>
      <c r="AK175" s="321" t="str">
        <f aca="false">IF($A175="N/A"," ",IF(VolType2=1,AJ175,AI175))</f>
        <v> </v>
      </c>
      <c r="AL175" s="321" t="str">
        <f aca="false">IF($A175="N/A"," ",IF(PV=1,0,'Pricing Inputs2'!R208))</f>
        <v> </v>
      </c>
      <c r="AM175" s="323" t="str">
        <f aca="false">IF($A175="N/A"," ",(1+AL175/2)^(-2*((EOMONTH(A175,0)+20)-DateToday)/365.25))</f>
        <v> </v>
      </c>
      <c r="BQ175" s="0" t="str">
        <f aca="false">IF($A175="N/A"," ",(VLOOKUP($A175,NumberofDaysTable,2)))</f>
        <v> </v>
      </c>
      <c r="BR175" s="0" t="str">
        <f aca="false">IF($A175="N/A"," ",(VLOOKUP($A175,NumberofDaysTable,3)))</f>
        <v> </v>
      </c>
      <c r="BS175" s="0" t="str">
        <f aca="false">IF($A175="N/A"," ",(VLOOKUP($A175,NumberofDaysTable,4)))</f>
        <v> </v>
      </c>
    </row>
    <row r="176" customFormat="false" ht="12.75" hidden="false" customHeight="false" outlineLevel="0" collapsed="false">
      <c r="A176" s="315" t="str">
        <f aca="false">IF(A175="N/A","N/A",IF(EDATE(A175,1)&gt;Inputs!$P$5,"N/A",EDATE(A175,1)))</f>
        <v>N/A</v>
      </c>
      <c r="B176" s="316" t="str">
        <f aca="false">IF(A176="N/A"," ",YEAR(A176))</f>
        <v> </v>
      </c>
      <c r="C176" s="317" t="str">
        <f aca="false">IF($A176="N/A"," ",IF(Dayrun2=10,0,IF(Scaler2=1,(VLOOKUP(A176,ScaledPrice2,4)),(VLOOKUP(A176,ScaledPrice2,2)))))</f>
        <v> </v>
      </c>
      <c r="D176" s="317" t="str">
        <f aca="false">IF(A176="N/A"," ",IF(Dayrun2&gt;=7,0,IF(Scaler2=2,VLOOKUP(A176,ScaledPrice2,2),(VLOOKUP(A176,ScaledPrice2,2))*(2-(VLOOKUP(A176,ScaledPrice2,3))))))</f>
        <v> </v>
      </c>
      <c r="E176" s="317" t="str">
        <f aca="false">IF($A176="N/A"," ",IF(AND(Dayrun2&gt;=4,Dayrun2&lt;=9),0,VLOOKUP($A176,ScaledPrice2,9)))</f>
        <v> </v>
      </c>
      <c r="F176" s="317" t="str">
        <f aca="false">IF(A176="N/A"," ",IF(OR(Dayrun2=2,Dayrun2=3,Dayrun2=5,Dayrun2=6,Dayrun2=8,Dayrun2=9),VLOOKUP(A176,ScaledPrice2,IF(Scaler2=1,6,5)),0))</f>
        <v> </v>
      </c>
      <c r="G176" s="317" t="str">
        <f aca="false">IF(A176="N/A"," ",IF(OR(Dayrun2=2,Dayrun2=3,Dayrun2=5,Dayrun2=6),IF(Scaler2=2,F176,(VLOOKUP(A176,ScaledPrice2,5))*(2-(VLOOKUP(A176,ScaledPrice2,3)))),0))</f>
        <v> </v>
      </c>
      <c r="H176" s="317" t="str">
        <f aca="false">IF($A176="N/A"," ",IF(OR(Dayrun2=2,Dayrun2=3,Dayrun2=10),VLOOKUP($A176,ScaledPrice2,9),0))</f>
        <v> </v>
      </c>
      <c r="I176" s="317" t="str">
        <f aca="false">IF(A176="N/A"," ",IF(OR(Dayrun2=3,Dayrun2=6,Dayrun2=9),(VLOOKUP(A176,ScaledPrice2,IF(Scaler2=2,7,8))),0))</f>
        <v> </v>
      </c>
      <c r="J176" s="317" t="str">
        <f aca="false">IF(A176="N/A"," ",IF(OR(Dayrun2=3,Dayrun2=6),IF(Scaler2=2,I176,(VLOOKUP(A176,ScaledPrice2,7))*(2-(VLOOKUP(A176,ScaledPrice2,3)))),0))</f>
        <v> </v>
      </c>
      <c r="K176" s="317" t="str">
        <f aca="false">IF($A176="N/A"," ",IF(OR(Dayrun2=3,Dayrun2=10),VLOOKUP($A176,ScaledPrice2,9),0))</f>
        <v> </v>
      </c>
      <c r="L176" s="318" t="str">
        <f aca="false">IF($A176="N/A"," ",IF(Pricetype2=2,MAX(C176,0),IF(OR(Pricetype2=1,Pricetype2=4),IF(C176=0,0,(EURO(C176,Strikeprice2,0,0,($AH176+IF(Smile=TRUE(),VLOOKUP(MAX(-5,Strikeprice2-C176),Volsmile,2),0)),($A176-DateToday)+15,IF(Pricetype2=1,1,0),0))),C176)))</f>
        <v> </v>
      </c>
      <c r="M176" s="318" t="str">
        <f aca="false">IF($A176="N/A"," ",IF(Pricetype2=2,MAX(D176,0),IF(OR(Pricetype2=1,Pricetype2=4),IF(D176=0,0,(EURO(D176,Strikeprice2,0,0,($AH176+IF(Smile=TRUE(),VLOOKUP(MAX(-5,Strikeprice2-D176),Volsmile,2),0)),($A176-DateToday)+15,IF(Pricetype2=1,1,0),0))),D176)))</f>
        <v> </v>
      </c>
      <c r="N176" s="318" t="str">
        <f aca="false">IF($A176="N/A"," ",IF(Pricetype2=2,MAX(E176,0),IF(OR(Pricetype2=1,Pricetype2=4),IF(E176=0,0,(EURO(E176,Strikeprice2,0,0,($AK176+IF(Smile=TRUE(),VLOOKUP(MAX(-5,Strikeprice2-E176),Volsmile,2),0)),($A176-DateToday)+15,IF(Pricetype2=1,1,0),0))),E176)))</f>
        <v> </v>
      </c>
      <c r="O176" s="318" t="str">
        <f aca="false">IF($A176="N/A"," ",IF(Pricetype2=2,MAX(F176,0),IF(OR(Pricetype2=1,Pricetype2=4),IF(F176=0,0,(EURO(F176,Strikeprice2,0,0,($AK176+IF(Smile=TRUE(),VLOOKUP(MAX(-5,Strikeprice2-F176),Volsmile,2),0)),($A176-DateToday)+15,IF(Pricetype2=1,1,0),0))),F176)))</f>
        <v> </v>
      </c>
      <c r="P176" s="318" t="str">
        <f aca="false">IF($A176="N/A"," ",IF(Pricetype2=2,MAX(G176,0),IF(OR(Pricetype2=1,Pricetype2=4),IF(G176=0,0,(EURO(G176,Strikeprice2,0,0,($AK176+IF(Smile=TRUE(),VLOOKUP(MAX(-5,Strikeprice2-G176),Volsmile,2),0)),($A176-DateToday)+15,IF(Pricetype2=1,1,0),0))),G176)))</f>
        <v> </v>
      </c>
      <c r="Q176" s="318" t="str">
        <f aca="false">IF($A176="N/A"," ",IF(Pricetype2=2,MAX(H176,0),IF(OR(Pricetype2=1,Pricetype2=4),IF(H176=0,0,(EURO(H176,Strikeprice2,0,0,($AK176+IF(Smile=TRUE(),VLOOKUP(MAX(-5,Strikeprice2-H176),Volsmile,2),0)),($A176-DateToday)+15,IF(Pricetype2=1,1,0),0))),H176)))</f>
        <v> </v>
      </c>
      <c r="R176" s="318" t="str">
        <f aca="false">IF($A176="N/A"," ",IF(Pricetype2=2,MAX(I176,0),IF(OR(Pricetype2=1,Pricetype2=4),IF(I176=0,0,(EURO(I176,Strikeprice2,0,0,($AK176+IF(Smile=TRUE(),VLOOKUP(MAX(-5,Strikeprice2-I176),Volsmile,2),0)),($A176-DateToday)+15,IF(Pricetype2=1,1,0),0))),I176)))</f>
        <v> </v>
      </c>
      <c r="S176" s="318" t="str">
        <f aca="false">IF($A176="N/A"," ",IF(Pricetype2=2,MAX(J176,0),IF(OR(Pricetype2=1,Pricetype2=4),IF(J176=0,0,(EURO(J176,Strikeprice2,0,0,($AK176+IF(Smile=TRUE(),VLOOKUP(MAX(-5,Strikeprice2-J176),Volsmile,2),0)),($A176-DateToday)+15,IF(Pricetype2=1,1,0),0))),J176)))</f>
        <v> </v>
      </c>
      <c r="T176" s="318" t="str">
        <f aca="false">IF($A176="N/A"," ",IF(Pricetype2=2,MAX(K176,0),IF(OR(Pricetype2=1,Pricetype2=4),IF(K176=0,0,(EURO(K176,Strikeprice2,0,0,($AK176+IF(Smile=TRUE(),VLOOKUP(MAX(-5,Strikeprice2-K176),Volsmile,2),0)),($A176-DateToday)+15,IF(Pricetype2=1,1,0),0))),K176)))</f>
        <v> </v>
      </c>
      <c r="U176" s="319" t="str">
        <f aca="false">IF($A176="N/A"," ",Volume2*$AM176)</f>
        <v> </v>
      </c>
      <c r="V176" s="320" t="str">
        <f aca="false">IF($A176="N/A"," ",$U176*(8*($BQ176))*L176)</f>
        <v> </v>
      </c>
      <c r="W176" s="320" t="str">
        <f aca="false">IF($A176="N/A"," ",$U176*(8*($BQ176))*M176)</f>
        <v> </v>
      </c>
      <c r="X176" s="320" t="str">
        <f aca="false">IF($A176="N/A"," ",$U176*(8*($BQ176))*N176)</f>
        <v> </v>
      </c>
      <c r="Y176" s="320" t="str">
        <f aca="false">IF($A176="N/A"," ",$U176*(8*($BR176))*O176)</f>
        <v> </v>
      </c>
      <c r="Z176" s="320" t="str">
        <f aca="false">IF($A176="N/A"," ",$U176*(8*($BR176))*P176)</f>
        <v> </v>
      </c>
      <c r="AA176" s="320" t="str">
        <f aca="false">IF($A176="N/A"," ",$U176*(8*($BR176))*Q176)</f>
        <v> </v>
      </c>
      <c r="AB176" s="320" t="str">
        <f aca="false">IF($A176="N/A"," ",$U176*(8*($BS176))*R176)</f>
        <v> </v>
      </c>
      <c r="AC176" s="320" t="str">
        <f aca="false">IF($A176="N/A"," ",$U176*(8*($BS176))*S176)</f>
        <v> </v>
      </c>
      <c r="AD176" s="320" t="str">
        <f aca="false">IF($A176="N/A"," ",$U176*(8*($BS176))*T176)</f>
        <v> </v>
      </c>
      <c r="AE176" s="320" t="str">
        <f aca="false">IF($A176="N/A"," ",SUM(V176:AD176))</f>
        <v> </v>
      </c>
      <c r="AF176" s="321" t="str">
        <f aca="false">IF(A176="N/A"," ",(VLOOKUP(A176,PowerVolTable,(IF(VolBMO2=2,7,IF(VolBMO2=1,6,8))),FALSE())))</f>
        <v> </v>
      </c>
      <c r="AG176" s="321" t="str">
        <f aca="false">IF(A176="N/A"," ",(VLOOKUP(A176,IntraPowerVol,(IF(VolBMO2=2,3,IF(VolBMO2=1,2,4))),FALSE())*VLOOKUP(MONTH($A176),Volscale,2)))</f>
        <v> </v>
      </c>
      <c r="AH176" s="321" t="str">
        <f aca="false">IF($A176="N/A"," ",IF(VolType2=1,AG176,AF176))</f>
        <v> </v>
      </c>
      <c r="AI176" s="321" t="str">
        <f aca="false">IF($A176="N/A"," ",(VLOOKUP($A176,OffPwrVolTable,(IF(VolBMO2=2,7,IF(VolBMO2=1,6,8))),FALSE())))</f>
        <v> </v>
      </c>
      <c r="AJ176" s="321" t="str">
        <f aca="false">IF($A176="N/A"," ",(VLOOKUP($A176,OffPwrVolTable,(IF(VolBMO2=2,3,IF(VolBMO2=1,2,4))),FALSE())*VLOOKUP(MONTH($A176),Volscale,2)))</f>
        <v> </v>
      </c>
      <c r="AK176" s="321" t="str">
        <f aca="false">IF($A176="N/A"," ",IF(VolType2=1,AJ176,AI176))</f>
        <v> </v>
      </c>
      <c r="AL176" s="321" t="str">
        <f aca="false">IF($A176="N/A"," ",IF(PV=1,0,'Pricing Inputs2'!R209))</f>
        <v> </v>
      </c>
      <c r="AM176" s="323" t="str">
        <f aca="false">IF($A176="N/A"," ",(1+AL176/2)^(-2*((EOMONTH(A176,0)+20)-DateToday)/365.25))</f>
        <v> </v>
      </c>
      <c r="BQ176" s="0" t="str">
        <f aca="false">IF($A176="N/A"," ",(VLOOKUP($A176,NumberofDaysTable,2)))</f>
        <v> </v>
      </c>
      <c r="BR176" s="0" t="str">
        <f aca="false">IF($A176="N/A"," ",(VLOOKUP($A176,NumberofDaysTable,3)))</f>
        <v> </v>
      </c>
      <c r="BS176" s="0" t="str">
        <f aca="false">IF($A176="N/A"," ",(VLOOKUP($A176,NumberofDaysTable,4)))</f>
        <v> </v>
      </c>
    </row>
    <row r="177" customFormat="false" ht="12.75" hidden="false" customHeight="false" outlineLevel="0" collapsed="false">
      <c r="A177" s="315" t="str">
        <f aca="false">IF(A176="N/A","N/A",IF(EDATE(A176,1)&gt;Inputs!$P$5,"N/A",EDATE(A176,1)))</f>
        <v>N/A</v>
      </c>
      <c r="B177" s="316" t="str">
        <f aca="false">IF(A177="N/A"," ",YEAR(A177))</f>
        <v> </v>
      </c>
      <c r="C177" s="317" t="str">
        <f aca="false">IF($A177="N/A"," ",IF(Dayrun2=10,0,IF(Scaler2=1,(VLOOKUP(A177,ScaledPrice2,4)),(VLOOKUP(A177,ScaledPrice2,2)))))</f>
        <v> </v>
      </c>
      <c r="D177" s="317" t="str">
        <f aca="false">IF(A177="N/A"," ",IF(Dayrun2&gt;=7,0,IF(Scaler2=2,VLOOKUP(A177,ScaledPrice2,2),(VLOOKUP(A177,ScaledPrice2,2))*(2-(VLOOKUP(A177,ScaledPrice2,3))))))</f>
        <v> </v>
      </c>
      <c r="E177" s="317" t="str">
        <f aca="false">IF($A177="N/A"," ",IF(AND(Dayrun2&gt;=4,Dayrun2&lt;=9),0,VLOOKUP($A177,ScaledPrice2,9)))</f>
        <v> </v>
      </c>
      <c r="F177" s="317" t="str">
        <f aca="false">IF(A177="N/A"," ",IF(OR(Dayrun2=2,Dayrun2=3,Dayrun2=5,Dayrun2=6,Dayrun2=8,Dayrun2=9),VLOOKUP(A177,ScaledPrice2,IF(Scaler2=1,6,5)),0))</f>
        <v> </v>
      </c>
      <c r="G177" s="317" t="str">
        <f aca="false">IF(A177="N/A"," ",IF(OR(Dayrun2=2,Dayrun2=3,Dayrun2=5,Dayrun2=6),IF(Scaler2=2,F177,(VLOOKUP(A177,ScaledPrice2,5))*(2-(VLOOKUP(A177,ScaledPrice2,3)))),0))</f>
        <v> </v>
      </c>
      <c r="H177" s="317" t="str">
        <f aca="false">IF($A177="N/A"," ",IF(OR(Dayrun2=2,Dayrun2=3,Dayrun2=10),VLOOKUP($A177,ScaledPrice2,9),0))</f>
        <v> </v>
      </c>
      <c r="I177" s="317" t="str">
        <f aca="false">IF(A177="N/A"," ",IF(OR(Dayrun2=3,Dayrun2=6,Dayrun2=9),(VLOOKUP(A177,ScaledPrice2,IF(Scaler2=2,7,8))),0))</f>
        <v> </v>
      </c>
      <c r="J177" s="317" t="str">
        <f aca="false">IF(A177="N/A"," ",IF(OR(Dayrun2=3,Dayrun2=6),IF(Scaler2=2,I177,(VLOOKUP(A177,ScaledPrice2,7))*(2-(VLOOKUP(A177,ScaledPrice2,3)))),0))</f>
        <v> </v>
      </c>
      <c r="K177" s="317" t="str">
        <f aca="false">IF($A177="N/A"," ",IF(OR(Dayrun2=3,Dayrun2=10),VLOOKUP($A177,ScaledPrice2,9),0))</f>
        <v> </v>
      </c>
      <c r="L177" s="318" t="str">
        <f aca="false">IF($A177="N/A"," ",IF(Pricetype2=2,MAX(C177,0),IF(OR(Pricetype2=1,Pricetype2=4),IF(C177=0,0,(EURO(C177,Strikeprice2,0,0,($AH177+IF(Smile=TRUE(),VLOOKUP(MAX(-5,Strikeprice2-C177),Volsmile,2),0)),($A177-DateToday)+15,IF(Pricetype2=1,1,0),0))),C177)))</f>
        <v> </v>
      </c>
      <c r="M177" s="318" t="str">
        <f aca="false">IF($A177="N/A"," ",IF(Pricetype2=2,MAX(D177,0),IF(OR(Pricetype2=1,Pricetype2=4),IF(D177=0,0,(EURO(D177,Strikeprice2,0,0,($AH177+IF(Smile=TRUE(),VLOOKUP(MAX(-5,Strikeprice2-D177),Volsmile,2),0)),($A177-DateToday)+15,IF(Pricetype2=1,1,0),0))),D177)))</f>
        <v> </v>
      </c>
      <c r="N177" s="318" t="str">
        <f aca="false">IF($A177="N/A"," ",IF(Pricetype2=2,MAX(E177,0),IF(OR(Pricetype2=1,Pricetype2=4),IF(E177=0,0,(EURO(E177,Strikeprice2,0,0,($AK177+IF(Smile=TRUE(),VLOOKUP(MAX(-5,Strikeprice2-E177),Volsmile,2),0)),($A177-DateToday)+15,IF(Pricetype2=1,1,0),0))),E177)))</f>
        <v> </v>
      </c>
      <c r="O177" s="318" t="str">
        <f aca="false">IF($A177="N/A"," ",IF(Pricetype2=2,MAX(F177,0),IF(OR(Pricetype2=1,Pricetype2=4),IF(F177=0,0,(EURO(F177,Strikeprice2,0,0,($AK177+IF(Smile=TRUE(),VLOOKUP(MAX(-5,Strikeprice2-F177),Volsmile,2),0)),($A177-DateToday)+15,IF(Pricetype2=1,1,0),0))),F177)))</f>
        <v> </v>
      </c>
      <c r="P177" s="318" t="str">
        <f aca="false">IF($A177="N/A"," ",IF(Pricetype2=2,MAX(G177,0),IF(OR(Pricetype2=1,Pricetype2=4),IF(G177=0,0,(EURO(G177,Strikeprice2,0,0,($AK177+IF(Smile=TRUE(),VLOOKUP(MAX(-5,Strikeprice2-G177),Volsmile,2),0)),($A177-DateToday)+15,IF(Pricetype2=1,1,0),0))),G177)))</f>
        <v> </v>
      </c>
      <c r="Q177" s="318" t="str">
        <f aca="false">IF($A177="N/A"," ",IF(Pricetype2=2,MAX(H177,0),IF(OR(Pricetype2=1,Pricetype2=4),IF(H177=0,0,(EURO(H177,Strikeprice2,0,0,($AK177+IF(Smile=TRUE(),VLOOKUP(MAX(-5,Strikeprice2-H177),Volsmile,2),0)),($A177-DateToday)+15,IF(Pricetype2=1,1,0),0))),H177)))</f>
        <v> </v>
      </c>
      <c r="R177" s="318" t="str">
        <f aca="false">IF($A177="N/A"," ",IF(Pricetype2=2,MAX(I177,0),IF(OR(Pricetype2=1,Pricetype2=4),IF(I177=0,0,(EURO(I177,Strikeprice2,0,0,($AK177+IF(Smile=TRUE(),VLOOKUP(MAX(-5,Strikeprice2-I177),Volsmile,2),0)),($A177-DateToday)+15,IF(Pricetype2=1,1,0),0))),I177)))</f>
        <v> </v>
      </c>
      <c r="S177" s="318" t="str">
        <f aca="false">IF($A177="N/A"," ",IF(Pricetype2=2,MAX(J177,0),IF(OR(Pricetype2=1,Pricetype2=4),IF(J177=0,0,(EURO(J177,Strikeprice2,0,0,($AK177+IF(Smile=TRUE(),VLOOKUP(MAX(-5,Strikeprice2-J177),Volsmile,2),0)),($A177-DateToday)+15,IF(Pricetype2=1,1,0),0))),J177)))</f>
        <v> </v>
      </c>
      <c r="T177" s="318" t="str">
        <f aca="false">IF($A177="N/A"," ",IF(Pricetype2=2,MAX(K177,0),IF(OR(Pricetype2=1,Pricetype2=4),IF(K177=0,0,(EURO(K177,Strikeprice2,0,0,($AK177+IF(Smile=TRUE(),VLOOKUP(MAX(-5,Strikeprice2-K177),Volsmile,2),0)),($A177-DateToday)+15,IF(Pricetype2=1,1,0),0))),K177)))</f>
        <v> </v>
      </c>
      <c r="U177" s="319" t="str">
        <f aca="false">IF($A177="N/A"," ",Volume2*$AM177)</f>
        <v> </v>
      </c>
      <c r="V177" s="320" t="str">
        <f aca="false">IF($A177="N/A"," ",$U177*(8*($BQ177))*L177)</f>
        <v> </v>
      </c>
      <c r="W177" s="320" t="str">
        <f aca="false">IF($A177="N/A"," ",$U177*(8*($BQ177))*M177)</f>
        <v> </v>
      </c>
      <c r="X177" s="320" t="str">
        <f aca="false">IF($A177="N/A"," ",$U177*(8*($BQ177))*N177)</f>
        <v> </v>
      </c>
      <c r="Y177" s="320" t="str">
        <f aca="false">IF($A177="N/A"," ",$U177*(8*($BR177))*O177)</f>
        <v> </v>
      </c>
      <c r="Z177" s="320" t="str">
        <f aca="false">IF($A177="N/A"," ",$U177*(8*($BR177))*P177)</f>
        <v> </v>
      </c>
      <c r="AA177" s="320" t="str">
        <f aca="false">IF($A177="N/A"," ",$U177*(8*($BR177))*Q177)</f>
        <v> </v>
      </c>
      <c r="AB177" s="320" t="str">
        <f aca="false">IF($A177="N/A"," ",$U177*(8*($BS177))*R177)</f>
        <v> </v>
      </c>
      <c r="AC177" s="320" t="str">
        <f aca="false">IF($A177="N/A"," ",$U177*(8*($BS177))*S177)</f>
        <v> </v>
      </c>
      <c r="AD177" s="320" t="str">
        <f aca="false">IF($A177="N/A"," ",$U177*(8*($BS177))*T177)</f>
        <v> </v>
      </c>
      <c r="AE177" s="320" t="str">
        <f aca="false">IF($A177="N/A"," ",SUM(V177:AD177))</f>
        <v> </v>
      </c>
      <c r="AF177" s="321" t="str">
        <f aca="false">IF(A177="N/A"," ",(VLOOKUP(A177,PowerVolTable,(IF(VolBMO2=2,7,IF(VolBMO2=1,6,8))),FALSE())))</f>
        <v> </v>
      </c>
      <c r="AG177" s="321" t="str">
        <f aca="false">IF(A177="N/A"," ",(VLOOKUP(A177,IntraPowerVol,(IF(VolBMO2=2,3,IF(VolBMO2=1,2,4))),FALSE())*VLOOKUP(MONTH($A177),Volscale,2)))</f>
        <v> </v>
      </c>
      <c r="AH177" s="321" t="str">
        <f aca="false">IF($A177="N/A"," ",IF(VolType2=1,AG177,AF177))</f>
        <v> </v>
      </c>
      <c r="AI177" s="321" t="str">
        <f aca="false">IF($A177="N/A"," ",(VLOOKUP($A177,OffPwrVolTable,(IF(VolBMO2=2,7,IF(VolBMO2=1,6,8))),FALSE())))</f>
        <v> </v>
      </c>
      <c r="AJ177" s="321" t="str">
        <f aca="false">IF($A177="N/A"," ",(VLOOKUP($A177,OffPwrVolTable,(IF(VolBMO2=2,3,IF(VolBMO2=1,2,4))),FALSE())*VLOOKUP(MONTH($A177),Volscale,2)))</f>
        <v> </v>
      </c>
      <c r="AK177" s="321" t="str">
        <f aca="false">IF($A177="N/A"," ",IF(VolType2=1,AJ177,AI177))</f>
        <v> </v>
      </c>
      <c r="AL177" s="321" t="str">
        <f aca="false">IF($A177="N/A"," ",IF(PV=1,0,'Pricing Inputs2'!R210))</f>
        <v> </v>
      </c>
      <c r="AM177" s="323" t="str">
        <f aca="false">IF($A177="N/A"," ",(1+AL177/2)^(-2*((EOMONTH(A177,0)+20)-DateToday)/365.25))</f>
        <v> </v>
      </c>
      <c r="BQ177" s="0" t="str">
        <f aca="false">IF($A177="N/A"," ",(VLOOKUP($A177,NumberofDaysTable,2)))</f>
        <v> </v>
      </c>
      <c r="BR177" s="0" t="str">
        <f aca="false">IF($A177="N/A"," ",(VLOOKUP($A177,NumberofDaysTable,3)))</f>
        <v> </v>
      </c>
      <c r="BS177" s="0" t="str">
        <f aca="false">IF($A177="N/A"," ",(VLOOKUP($A177,NumberofDaysTable,4)))</f>
        <v> </v>
      </c>
    </row>
    <row r="178" customFormat="false" ht="12.75" hidden="false" customHeight="false" outlineLevel="0" collapsed="false">
      <c r="A178" s="315" t="str">
        <f aca="false">IF(A177="N/A","N/A",IF(EDATE(A177,1)&gt;Inputs!$P$5,"N/A",EDATE(A177,1)))</f>
        <v>N/A</v>
      </c>
      <c r="B178" s="316" t="str">
        <f aca="false">IF(A178="N/A"," ",YEAR(A178))</f>
        <v> </v>
      </c>
      <c r="C178" s="317" t="str">
        <f aca="false">IF($A178="N/A"," ",IF(Dayrun2=10,0,IF(Scaler2=1,(VLOOKUP(A178,ScaledPrice2,4)),(VLOOKUP(A178,ScaledPrice2,2)))))</f>
        <v> </v>
      </c>
      <c r="D178" s="317" t="str">
        <f aca="false">IF(A178="N/A"," ",IF(Dayrun2&gt;=7,0,IF(Scaler2=2,VLOOKUP(A178,ScaledPrice2,2),(VLOOKUP(A178,ScaledPrice2,2))*(2-(VLOOKUP(A178,ScaledPrice2,3))))))</f>
        <v> </v>
      </c>
      <c r="E178" s="317" t="str">
        <f aca="false">IF($A178="N/A"," ",IF(AND(Dayrun2&gt;=4,Dayrun2&lt;=9),0,VLOOKUP($A178,ScaledPrice2,9)))</f>
        <v> </v>
      </c>
      <c r="F178" s="317" t="str">
        <f aca="false">IF(A178="N/A"," ",IF(OR(Dayrun2=2,Dayrun2=3,Dayrun2=5,Dayrun2=6,Dayrun2=8,Dayrun2=9),VLOOKUP(A178,ScaledPrice2,IF(Scaler2=1,6,5)),0))</f>
        <v> </v>
      </c>
      <c r="G178" s="317" t="str">
        <f aca="false">IF(A178="N/A"," ",IF(OR(Dayrun2=2,Dayrun2=3,Dayrun2=5,Dayrun2=6),IF(Scaler2=2,F178,(VLOOKUP(A178,ScaledPrice2,5))*(2-(VLOOKUP(A178,ScaledPrice2,3)))),0))</f>
        <v> </v>
      </c>
      <c r="H178" s="317" t="str">
        <f aca="false">IF($A178="N/A"," ",IF(OR(Dayrun2=2,Dayrun2=3,Dayrun2=10),VLOOKUP($A178,ScaledPrice2,9),0))</f>
        <v> </v>
      </c>
      <c r="I178" s="317" t="str">
        <f aca="false">IF(A178="N/A"," ",IF(OR(Dayrun2=3,Dayrun2=6,Dayrun2=9),(VLOOKUP(A178,ScaledPrice2,IF(Scaler2=2,7,8))),0))</f>
        <v> </v>
      </c>
      <c r="J178" s="317" t="str">
        <f aca="false">IF(A178="N/A"," ",IF(OR(Dayrun2=3,Dayrun2=6),IF(Scaler2=2,I178,(VLOOKUP(A178,ScaledPrice2,7))*(2-(VLOOKUP(A178,ScaledPrice2,3)))),0))</f>
        <v> </v>
      </c>
      <c r="K178" s="317" t="str">
        <f aca="false">IF($A178="N/A"," ",IF(OR(Dayrun2=3,Dayrun2=10),VLOOKUP($A178,ScaledPrice2,9),0))</f>
        <v> </v>
      </c>
      <c r="L178" s="318" t="str">
        <f aca="false">IF($A178="N/A"," ",IF(Pricetype2=2,MAX(C178,0),IF(OR(Pricetype2=1,Pricetype2=4),IF(C178=0,0,(EURO(C178,Strikeprice2,0,0,($AH178+IF(Smile=TRUE(),VLOOKUP(MAX(-5,Strikeprice2-C178),Volsmile,2),0)),($A178-DateToday)+15,IF(Pricetype2=1,1,0),0))),C178)))</f>
        <v> </v>
      </c>
      <c r="M178" s="318" t="str">
        <f aca="false">IF($A178="N/A"," ",IF(Pricetype2=2,MAX(D178,0),IF(OR(Pricetype2=1,Pricetype2=4),IF(D178=0,0,(EURO(D178,Strikeprice2,0,0,($AH178+IF(Smile=TRUE(),VLOOKUP(MAX(-5,Strikeprice2-D178),Volsmile,2),0)),($A178-DateToday)+15,IF(Pricetype2=1,1,0),0))),D178)))</f>
        <v> </v>
      </c>
      <c r="N178" s="318" t="str">
        <f aca="false">IF($A178="N/A"," ",IF(Pricetype2=2,MAX(E178,0),IF(OR(Pricetype2=1,Pricetype2=4),IF(E178=0,0,(EURO(E178,Strikeprice2,0,0,($AK178+IF(Smile=TRUE(),VLOOKUP(MAX(-5,Strikeprice2-E178),Volsmile,2),0)),($A178-DateToday)+15,IF(Pricetype2=1,1,0),0))),E178)))</f>
        <v> </v>
      </c>
      <c r="O178" s="318" t="str">
        <f aca="false">IF($A178="N/A"," ",IF(Pricetype2=2,MAX(F178,0),IF(OR(Pricetype2=1,Pricetype2=4),IF(F178=0,0,(EURO(F178,Strikeprice2,0,0,($AK178+IF(Smile=TRUE(),VLOOKUP(MAX(-5,Strikeprice2-F178),Volsmile,2),0)),($A178-DateToday)+15,IF(Pricetype2=1,1,0),0))),F178)))</f>
        <v> </v>
      </c>
      <c r="P178" s="318" t="str">
        <f aca="false">IF($A178="N/A"," ",IF(Pricetype2=2,MAX(G178,0),IF(OR(Pricetype2=1,Pricetype2=4),IF(G178=0,0,(EURO(G178,Strikeprice2,0,0,($AK178+IF(Smile=TRUE(),VLOOKUP(MAX(-5,Strikeprice2-G178),Volsmile,2),0)),($A178-DateToday)+15,IF(Pricetype2=1,1,0),0))),G178)))</f>
        <v> </v>
      </c>
      <c r="Q178" s="318" t="str">
        <f aca="false">IF($A178="N/A"," ",IF(Pricetype2=2,MAX(H178,0),IF(OR(Pricetype2=1,Pricetype2=4),IF(H178=0,0,(EURO(H178,Strikeprice2,0,0,($AK178+IF(Smile=TRUE(),VLOOKUP(MAX(-5,Strikeprice2-H178),Volsmile,2),0)),($A178-DateToday)+15,IF(Pricetype2=1,1,0),0))),H178)))</f>
        <v> </v>
      </c>
      <c r="R178" s="318" t="str">
        <f aca="false">IF($A178="N/A"," ",IF(Pricetype2=2,MAX(I178,0),IF(OR(Pricetype2=1,Pricetype2=4),IF(I178=0,0,(EURO(I178,Strikeprice2,0,0,($AK178+IF(Smile=TRUE(),VLOOKUP(MAX(-5,Strikeprice2-I178),Volsmile,2),0)),($A178-DateToday)+15,IF(Pricetype2=1,1,0),0))),I178)))</f>
        <v> </v>
      </c>
      <c r="S178" s="318" t="str">
        <f aca="false">IF($A178="N/A"," ",IF(Pricetype2=2,MAX(J178,0),IF(OR(Pricetype2=1,Pricetype2=4),IF(J178=0,0,(EURO(J178,Strikeprice2,0,0,($AK178+IF(Smile=TRUE(),VLOOKUP(MAX(-5,Strikeprice2-J178),Volsmile,2),0)),($A178-DateToday)+15,IF(Pricetype2=1,1,0),0))),J178)))</f>
        <v> </v>
      </c>
      <c r="T178" s="318" t="str">
        <f aca="false">IF($A178="N/A"," ",IF(Pricetype2=2,MAX(K178,0),IF(OR(Pricetype2=1,Pricetype2=4),IF(K178=0,0,(EURO(K178,Strikeprice2,0,0,($AK178+IF(Smile=TRUE(),VLOOKUP(MAX(-5,Strikeprice2-K178),Volsmile,2),0)),($A178-DateToday)+15,IF(Pricetype2=1,1,0),0))),K178)))</f>
        <v> </v>
      </c>
      <c r="U178" s="319" t="str">
        <f aca="false">IF($A178="N/A"," ",Volume2*$AM178)</f>
        <v> </v>
      </c>
      <c r="V178" s="320" t="str">
        <f aca="false">IF($A178="N/A"," ",$U178*(8*($BQ178))*L178)</f>
        <v> </v>
      </c>
      <c r="W178" s="320" t="str">
        <f aca="false">IF($A178="N/A"," ",$U178*(8*($BQ178))*M178)</f>
        <v> </v>
      </c>
      <c r="X178" s="320" t="str">
        <f aca="false">IF($A178="N/A"," ",$U178*(8*($BQ178))*N178)</f>
        <v> </v>
      </c>
      <c r="Y178" s="320" t="str">
        <f aca="false">IF($A178="N/A"," ",$U178*(8*($BR178))*O178)</f>
        <v> </v>
      </c>
      <c r="Z178" s="320" t="str">
        <f aca="false">IF($A178="N/A"," ",$U178*(8*($BR178))*P178)</f>
        <v> </v>
      </c>
      <c r="AA178" s="320" t="str">
        <f aca="false">IF($A178="N/A"," ",$U178*(8*($BR178))*Q178)</f>
        <v> </v>
      </c>
      <c r="AB178" s="320" t="str">
        <f aca="false">IF($A178="N/A"," ",$U178*(8*($BS178))*R178)</f>
        <v> </v>
      </c>
      <c r="AC178" s="320" t="str">
        <f aca="false">IF($A178="N/A"," ",$U178*(8*($BS178))*S178)</f>
        <v> </v>
      </c>
      <c r="AD178" s="320" t="str">
        <f aca="false">IF($A178="N/A"," ",$U178*(8*($BS178))*T178)</f>
        <v> </v>
      </c>
      <c r="AE178" s="320" t="str">
        <f aca="false">IF($A178="N/A"," ",SUM(V178:AD178))</f>
        <v> </v>
      </c>
      <c r="AF178" s="321" t="str">
        <f aca="false">IF(A178="N/A"," ",(VLOOKUP(A178,PowerVolTable,(IF(VolBMO2=2,7,IF(VolBMO2=1,6,8))),FALSE())))</f>
        <v> </v>
      </c>
      <c r="AG178" s="321" t="str">
        <f aca="false">IF(A178="N/A"," ",(VLOOKUP(A178,IntraPowerVol,(IF(VolBMO2=2,3,IF(VolBMO2=1,2,4))),FALSE())*VLOOKUP(MONTH($A178),Volscale,2)))</f>
        <v> </v>
      </c>
      <c r="AH178" s="321" t="str">
        <f aca="false">IF($A178="N/A"," ",IF(VolType2=1,AG178,AF178))</f>
        <v> </v>
      </c>
      <c r="AI178" s="321" t="str">
        <f aca="false">IF($A178="N/A"," ",(VLOOKUP($A178,OffPwrVolTable,(IF(VolBMO2=2,7,IF(VolBMO2=1,6,8))),FALSE())))</f>
        <v> </v>
      </c>
      <c r="AJ178" s="321" t="str">
        <f aca="false">IF($A178="N/A"," ",(VLOOKUP($A178,OffPwrVolTable,(IF(VolBMO2=2,3,IF(VolBMO2=1,2,4))),FALSE())*VLOOKUP(MONTH($A178),Volscale,2)))</f>
        <v> </v>
      </c>
      <c r="AK178" s="321" t="str">
        <f aca="false">IF($A178="N/A"," ",IF(VolType2=1,AJ178,AI178))</f>
        <v> </v>
      </c>
      <c r="AL178" s="321" t="str">
        <f aca="false">IF($A178="N/A"," ",IF(PV=1,0,'Pricing Inputs2'!R211))</f>
        <v> </v>
      </c>
      <c r="AM178" s="323" t="str">
        <f aca="false">IF($A178="N/A"," ",(1+AL178/2)^(-2*((EOMONTH(A178,0)+20)-DateToday)/365.25))</f>
        <v> </v>
      </c>
      <c r="BQ178" s="0" t="str">
        <f aca="false">IF($A178="N/A"," ",(VLOOKUP($A178,NumberofDaysTable,2)))</f>
        <v> </v>
      </c>
      <c r="BR178" s="0" t="str">
        <f aca="false">IF($A178="N/A"," ",(VLOOKUP($A178,NumberofDaysTable,3)))</f>
        <v> </v>
      </c>
      <c r="BS178" s="0" t="str">
        <f aca="false">IF($A178="N/A"," ",(VLOOKUP($A178,NumberofDaysTable,4)))</f>
        <v> </v>
      </c>
    </row>
    <row r="179" customFormat="false" ht="12.75" hidden="false" customHeight="false" outlineLevel="0" collapsed="false">
      <c r="A179" s="315" t="str">
        <f aca="false">IF(A178="N/A","N/A",IF(EDATE(A178,1)&gt;Inputs!$P$5,"N/A",EDATE(A178,1)))</f>
        <v>N/A</v>
      </c>
      <c r="B179" s="316" t="str">
        <f aca="false">IF(A179="N/A"," ",YEAR(A179))</f>
        <v> </v>
      </c>
      <c r="C179" s="317" t="str">
        <f aca="false">IF($A179="N/A"," ",IF(Dayrun2=10,0,IF(Scaler2=1,(VLOOKUP(A179,ScaledPrice2,4)),(VLOOKUP(A179,ScaledPrice2,2)))))</f>
        <v> </v>
      </c>
      <c r="D179" s="317" t="str">
        <f aca="false">IF(A179="N/A"," ",IF(Dayrun2&gt;=7,0,IF(Scaler2=2,VLOOKUP(A179,ScaledPrice2,2),(VLOOKUP(A179,ScaledPrice2,2))*(2-(VLOOKUP(A179,ScaledPrice2,3))))))</f>
        <v> </v>
      </c>
      <c r="E179" s="317" t="str">
        <f aca="false">IF($A179="N/A"," ",IF(AND(Dayrun2&gt;=4,Dayrun2&lt;=9),0,VLOOKUP($A179,ScaledPrice2,9)))</f>
        <v> </v>
      </c>
      <c r="F179" s="317" t="str">
        <f aca="false">IF(A179="N/A"," ",IF(OR(Dayrun2=2,Dayrun2=3,Dayrun2=5,Dayrun2=6,Dayrun2=8,Dayrun2=9),VLOOKUP(A179,ScaledPrice2,IF(Scaler2=1,6,5)),0))</f>
        <v> </v>
      </c>
      <c r="G179" s="317" t="str">
        <f aca="false">IF(A179="N/A"," ",IF(OR(Dayrun2=2,Dayrun2=3,Dayrun2=5,Dayrun2=6),IF(Scaler2=2,F179,(VLOOKUP(A179,ScaledPrice2,5))*(2-(VLOOKUP(A179,ScaledPrice2,3)))),0))</f>
        <v> </v>
      </c>
      <c r="H179" s="317" t="str">
        <f aca="false">IF($A179="N/A"," ",IF(OR(Dayrun2=2,Dayrun2=3,Dayrun2=10),VLOOKUP($A179,ScaledPrice2,9),0))</f>
        <v> </v>
      </c>
      <c r="I179" s="317" t="str">
        <f aca="false">IF(A179="N/A"," ",IF(OR(Dayrun2=3,Dayrun2=6,Dayrun2=9),(VLOOKUP(A179,ScaledPrice2,IF(Scaler2=2,7,8))),0))</f>
        <v> </v>
      </c>
      <c r="J179" s="317" t="str">
        <f aca="false">IF(A179="N/A"," ",IF(OR(Dayrun2=3,Dayrun2=6),IF(Scaler2=2,I179,(VLOOKUP(A179,ScaledPrice2,7))*(2-(VLOOKUP(A179,ScaledPrice2,3)))),0))</f>
        <v> </v>
      </c>
      <c r="K179" s="317" t="str">
        <f aca="false">IF($A179="N/A"," ",IF(OR(Dayrun2=3,Dayrun2=10),VLOOKUP($A179,ScaledPrice2,9),0))</f>
        <v> </v>
      </c>
      <c r="L179" s="318" t="str">
        <f aca="false">IF($A179="N/A"," ",IF(Pricetype2=2,MAX(C179,0),IF(OR(Pricetype2=1,Pricetype2=4),IF(C179=0,0,(EURO(C179,Strikeprice2,0,0,($AH179+IF(Smile=TRUE(),VLOOKUP(MAX(-5,Strikeprice2-C179),Volsmile,2),0)),($A179-DateToday)+15,IF(Pricetype2=1,1,0),0))),C179)))</f>
        <v> </v>
      </c>
      <c r="M179" s="318" t="str">
        <f aca="false">IF($A179="N/A"," ",IF(Pricetype2=2,MAX(D179,0),IF(OR(Pricetype2=1,Pricetype2=4),IF(D179=0,0,(EURO(D179,Strikeprice2,0,0,($AH179+IF(Smile=TRUE(),VLOOKUP(MAX(-5,Strikeprice2-D179),Volsmile,2),0)),($A179-DateToday)+15,IF(Pricetype2=1,1,0),0))),D179)))</f>
        <v> </v>
      </c>
      <c r="N179" s="318" t="str">
        <f aca="false">IF($A179="N/A"," ",IF(Pricetype2=2,MAX(E179,0),IF(OR(Pricetype2=1,Pricetype2=4),IF(E179=0,0,(EURO(E179,Strikeprice2,0,0,($AK179+IF(Smile=TRUE(),VLOOKUP(MAX(-5,Strikeprice2-E179),Volsmile,2),0)),($A179-DateToday)+15,IF(Pricetype2=1,1,0),0))),E179)))</f>
        <v> </v>
      </c>
      <c r="O179" s="318" t="str">
        <f aca="false">IF($A179="N/A"," ",IF(Pricetype2=2,MAX(F179,0),IF(OR(Pricetype2=1,Pricetype2=4),IF(F179=0,0,(EURO(F179,Strikeprice2,0,0,($AK179+IF(Smile=TRUE(),VLOOKUP(MAX(-5,Strikeprice2-F179),Volsmile,2),0)),($A179-DateToday)+15,IF(Pricetype2=1,1,0),0))),F179)))</f>
        <v> </v>
      </c>
      <c r="P179" s="318" t="str">
        <f aca="false">IF($A179="N/A"," ",IF(Pricetype2=2,MAX(G179,0),IF(OR(Pricetype2=1,Pricetype2=4),IF(G179=0,0,(EURO(G179,Strikeprice2,0,0,($AK179+IF(Smile=TRUE(),VLOOKUP(MAX(-5,Strikeprice2-G179),Volsmile,2),0)),($A179-DateToday)+15,IF(Pricetype2=1,1,0),0))),G179)))</f>
        <v> </v>
      </c>
      <c r="Q179" s="318" t="str">
        <f aca="false">IF($A179="N/A"," ",IF(Pricetype2=2,MAX(H179,0),IF(OR(Pricetype2=1,Pricetype2=4),IF(H179=0,0,(EURO(H179,Strikeprice2,0,0,($AK179+IF(Smile=TRUE(),VLOOKUP(MAX(-5,Strikeprice2-H179),Volsmile,2),0)),($A179-DateToday)+15,IF(Pricetype2=1,1,0),0))),H179)))</f>
        <v> </v>
      </c>
      <c r="R179" s="318" t="str">
        <f aca="false">IF($A179="N/A"," ",IF(Pricetype2=2,MAX(I179,0),IF(OR(Pricetype2=1,Pricetype2=4),IF(I179=0,0,(EURO(I179,Strikeprice2,0,0,($AK179+IF(Smile=TRUE(),VLOOKUP(MAX(-5,Strikeprice2-I179),Volsmile,2),0)),($A179-DateToday)+15,IF(Pricetype2=1,1,0),0))),I179)))</f>
        <v> </v>
      </c>
      <c r="S179" s="318" t="str">
        <f aca="false">IF($A179="N/A"," ",IF(Pricetype2=2,MAX(J179,0),IF(OR(Pricetype2=1,Pricetype2=4),IF(J179=0,0,(EURO(J179,Strikeprice2,0,0,($AK179+IF(Smile=TRUE(),VLOOKUP(MAX(-5,Strikeprice2-J179),Volsmile,2),0)),($A179-DateToday)+15,IF(Pricetype2=1,1,0),0))),J179)))</f>
        <v> </v>
      </c>
      <c r="T179" s="318" t="str">
        <f aca="false">IF($A179="N/A"," ",IF(Pricetype2=2,MAX(K179,0),IF(OR(Pricetype2=1,Pricetype2=4),IF(K179=0,0,(EURO(K179,Strikeprice2,0,0,($AK179+IF(Smile=TRUE(),VLOOKUP(MAX(-5,Strikeprice2-K179),Volsmile,2),0)),($A179-DateToday)+15,IF(Pricetype2=1,1,0),0))),K179)))</f>
        <v> </v>
      </c>
      <c r="U179" s="319" t="str">
        <f aca="false">IF($A179="N/A"," ",Volume2*$AM179)</f>
        <v> </v>
      </c>
      <c r="V179" s="320" t="str">
        <f aca="false">IF($A179="N/A"," ",$U179*(8*($BQ179))*L179)</f>
        <v> </v>
      </c>
      <c r="W179" s="320" t="str">
        <f aca="false">IF($A179="N/A"," ",$U179*(8*($BQ179))*M179)</f>
        <v> </v>
      </c>
      <c r="X179" s="320" t="str">
        <f aca="false">IF($A179="N/A"," ",$U179*(8*($BQ179))*N179)</f>
        <v> </v>
      </c>
      <c r="Y179" s="320" t="str">
        <f aca="false">IF($A179="N/A"," ",$U179*(8*($BR179))*O179)</f>
        <v> </v>
      </c>
      <c r="Z179" s="320" t="str">
        <f aca="false">IF($A179="N/A"," ",$U179*(8*($BR179))*P179)</f>
        <v> </v>
      </c>
      <c r="AA179" s="320" t="str">
        <f aca="false">IF($A179="N/A"," ",$U179*(8*($BR179))*Q179)</f>
        <v> </v>
      </c>
      <c r="AB179" s="320" t="str">
        <f aca="false">IF($A179="N/A"," ",$U179*(8*($BS179))*R179)</f>
        <v> </v>
      </c>
      <c r="AC179" s="320" t="str">
        <f aca="false">IF($A179="N/A"," ",$U179*(8*($BS179))*S179)</f>
        <v> </v>
      </c>
      <c r="AD179" s="320" t="str">
        <f aca="false">IF($A179="N/A"," ",$U179*(8*($BS179))*T179)</f>
        <v> </v>
      </c>
      <c r="AE179" s="320" t="str">
        <f aca="false">IF($A179="N/A"," ",SUM(V179:AD179))</f>
        <v> </v>
      </c>
      <c r="AF179" s="321" t="str">
        <f aca="false">IF(A179="N/A"," ",(VLOOKUP(A179,PowerVolTable,(IF(VolBMO2=2,7,IF(VolBMO2=1,6,8))),FALSE())))</f>
        <v> </v>
      </c>
      <c r="AG179" s="321" t="str">
        <f aca="false">IF(A179="N/A"," ",(VLOOKUP(A179,IntraPowerVol,(IF(VolBMO2=2,3,IF(VolBMO2=1,2,4))),FALSE())*VLOOKUP(MONTH($A179),Volscale,2)))</f>
        <v> </v>
      </c>
      <c r="AH179" s="321" t="str">
        <f aca="false">IF($A179="N/A"," ",IF(VolType2=1,AG179,AF179))</f>
        <v> </v>
      </c>
      <c r="AI179" s="321" t="str">
        <f aca="false">IF($A179="N/A"," ",(VLOOKUP($A179,OffPwrVolTable,(IF(VolBMO2=2,7,IF(VolBMO2=1,6,8))),FALSE())))</f>
        <v> </v>
      </c>
      <c r="AJ179" s="321" t="str">
        <f aca="false">IF($A179="N/A"," ",(VLOOKUP($A179,OffPwrVolTable,(IF(VolBMO2=2,3,IF(VolBMO2=1,2,4))),FALSE())*VLOOKUP(MONTH($A179),Volscale,2)))</f>
        <v> </v>
      </c>
      <c r="AK179" s="321" t="str">
        <f aca="false">IF($A179="N/A"," ",IF(VolType2=1,AJ179,AI179))</f>
        <v> </v>
      </c>
      <c r="AL179" s="321" t="str">
        <f aca="false">IF($A179="N/A"," ",IF(PV=1,0,'Pricing Inputs2'!R212))</f>
        <v> </v>
      </c>
      <c r="AM179" s="323" t="str">
        <f aca="false">IF($A179="N/A"," ",(1+AL179/2)^(-2*((EOMONTH(A179,0)+20)-DateToday)/365.25))</f>
        <v> </v>
      </c>
      <c r="BQ179" s="0" t="str">
        <f aca="false">IF($A179="N/A"," ",(VLOOKUP($A179,NumberofDaysTable,2)))</f>
        <v> </v>
      </c>
      <c r="BR179" s="0" t="str">
        <f aca="false">IF($A179="N/A"," ",(VLOOKUP($A179,NumberofDaysTable,3)))</f>
        <v> </v>
      </c>
      <c r="BS179" s="0" t="str">
        <f aca="false">IF($A179="N/A"," ",(VLOOKUP($A179,NumberofDaysTable,4)))</f>
        <v> </v>
      </c>
    </row>
    <row r="180" customFormat="false" ht="12.75" hidden="false" customHeight="false" outlineLevel="0" collapsed="false">
      <c r="A180" s="315" t="str">
        <f aca="false">IF(A179="N/A","N/A",IF(EDATE(A179,1)&gt;Inputs!$P$5,"N/A",EDATE(A179,1)))</f>
        <v>N/A</v>
      </c>
      <c r="B180" s="316" t="str">
        <f aca="false">IF(A180="N/A"," ",YEAR(A180))</f>
        <v> </v>
      </c>
      <c r="C180" s="317" t="str">
        <f aca="false">IF($A180="N/A"," ",IF(Dayrun2=10,0,IF(Scaler2=1,(VLOOKUP(A180,ScaledPrice2,4)),(VLOOKUP(A180,ScaledPrice2,2)))))</f>
        <v> </v>
      </c>
      <c r="D180" s="317" t="str">
        <f aca="false">IF(A180="N/A"," ",IF(Dayrun2&gt;=7,0,IF(Scaler2=2,VLOOKUP(A180,ScaledPrice2,2),(VLOOKUP(A180,ScaledPrice2,2))*(2-(VLOOKUP(A180,ScaledPrice2,3))))))</f>
        <v> </v>
      </c>
      <c r="E180" s="317" t="str">
        <f aca="false">IF($A180="N/A"," ",IF(AND(Dayrun2&gt;=4,Dayrun2&lt;=9),0,VLOOKUP($A180,ScaledPrice2,9)))</f>
        <v> </v>
      </c>
      <c r="F180" s="317" t="str">
        <f aca="false">IF(A180="N/A"," ",IF(OR(Dayrun2=2,Dayrun2=3,Dayrun2=5,Dayrun2=6,Dayrun2=8,Dayrun2=9),VLOOKUP(A180,ScaledPrice2,IF(Scaler2=1,6,5)),0))</f>
        <v> </v>
      </c>
      <c r="G180" s="317" t="str">
        <f aca="false">IF(A180="N/A"," ",IF(OR(Dayrun2=2,Dayrun2=3,Dayrun2=5,Dayrun2=6),IF(Scaler2=2,F180,(VLOOKUP(A180,ScaledPrice2,5))*(2-(VLOOKUP(A180,ScaledPrice2,3)))),0))</f>
        <v> </v>
      </c>
      <c r="H180" s="317" t="str">
        <f aca="false">IF($A180="N/A"," ",IF(OR(Dayrun2=2,Dayrun2=3,Dayrun2=10),VLOOKUP($A180,ScaledPrice2,9),0))</f>
        <v> </v>
      </c>
      <c r="I180" s="317" t="str">
        <f aca="false">IF(A180="N/A"," ",IF(OR(Dayrun2=3,Dayrun2=6,Dayrun2=9),(VLOOKUP(A180,ScaledPrice2,IF(Scaler2=2,7,8))),0))</f>
        <v> </v>
      </c>
      <c r="J180" s="317" t="str">
        <f aca="false">IF(A180="N/A"," ",IF(OR(Dayrun2=3,Dayrun2=6),IF(Scaler2=2,I180,(VLOOKUP(A180,ScaledPrice2,7))*(2-(VLOOKUP(A180,ScaledPrice2,3)))),0))</f>
        <v> </v>
      </c>
      <c r="K180" s="317" t="str">
        <f aca="false">IF($A180="N/A"," ",IF(OR(Dayrun2=3,Dayrun2=10),VLOOKUP($A180,ScaledPrice2,9),0))</f>
        <v> </v>
      </c>
      <c r="L180" s="318" t="str">
        <f aca="false">IF($A180="N/A"," ",IF(Pricetype2=2,MAX(C180,0),IF(OR(Pricetype2=1,Pricetype2=4),IF(C180=0,0,(EURO(C180,Strikeprice2,0,0,($AH180+IF(Smile=TRUE(),VLOOKUP(MAX(-5,Strikeprice2-C180),Volsmile,2),0)),($A180-DateToday)+15,IF(Pricetype2=1,1,0),0))),C180)))</f>
        <v> </v>
      </c>
      <c r="M180" s="318" t="str">
        <f aca="false">IF($A180="N/A"," ",IF(Pricetype2=2,MAX(D180,0),IF(OR(Pricetype2=1,Pricetype2=4),IF(D180=0,0,(EURO(D180,Strikeprice2,0,0,($AH180+IF(Smile=TRUE(),VLOOKUP(MAX(-5,Strikeprice2-D180),Volsmile,2),0)),($A180-DateToday)+15,IF(Pricetype2=1,1,0),0))),D180)))</f>
        <v> </v>
      </c>
      <c r="N180" s="318" t="str">
        <f aca="false">IF($A180="N/A"," ",IF(Pricetype2=2,MAX(E180,0),IF(OR(Pricetype2=1,Pricetype2=4),IF(E180=0,0,(EURO(E180,Strikeprice2,0,0,($AK180+IF(Smile=TRUE(),VLOOKUP(MAX(-5,Strikeprice2-E180),Volsmile,2),0)),($A180-DateToday)+15,IF(Pricetype2=1,1,0),0))),E180)))</f>
        <v> </v>
      </c>
      <c r="O180" s="318" t="str">
        <f aca="false">IF($A180="N/A"," ",IF(Pricetype2=2,MAX(F180,0),IF(OR(Pricetype2=1,Pricetype2=4),IF(F180=0,0,(EURO(F180,Strikeprice2,0,0,($AK180+IF(Smile=TRUE(),VLOOKUP(MAX(-5,Strikeprice2-F180),Volsmile,2),0)),($A180-DateToday)+15,IF(Pricetype2=1,1,0),0))),F180)))</f>
        <v> </v>
      </c>
      <c r="P180" s="318" t="str">
        <f aca="false">IF($A180="N/A"," ",IF(Pricetype2=2,MAX(G180,0),IF(OR(Pricetype2=1,Pricetype2=4),IF(G180=0,0,(EURO(G180,Strikeprice2,0,0,($AK180+IF(Smile=TRUE(),VLOOKUP(MAX(-5,Strikeprice2-G180),Volsmile,2),0)),($A180-DateToday)+15,IF(Pricetype2=1,1,0),0))),G180)))</f>
        <v> </v>
      </c>
      <c r="Q180" s="318" t="str">
        <f aca="false">IF($A180="N/A"," ",IF(Pricetype2=2,MAX(H180,0),IF(OR(Pricetype2=1,Pricetype2=4),IF(H180=0,0,(EURO(H180,Strikeprice2,0,0,($AK180+IF(Smile=TRUE(),VLOOKUP(MAX(-5,Strikeprice2-H180),Volsmile,2),0)),($A180-DateToday)+15,IF(Pricetype2=1,1,0),0))),H180)))</f>
        <v> </v>
      </c>
      <c r="R180" s="318" t="str">
        <f aca="false">IF($A180="N/A"," ",IF(Pricetype2=2,MAX(I180,0),IF(OR(Pricetype2=1,Pricetype2=4),IF(I180=0,0,(EURO(I180,Strikeprice2,0,0,($AK180+IF(Smile=TRUE(),VLOOKUP(MAX(-5,Strikeprice2-I180),Volsmile,2),0)),($A180-DateToday)+15,IF(Pricetype2=1,1,0),0))),I180)))</f>
        <v> </v>
      </c>
      <c r="S180" s="318" t="str">
        <f aca="false">IF($A180="N/A"," ",IF(Pricetype2=2,MAX(J180,0),IF(OR(Pricetype2=1,Pricetype2=4),IF(J180=0,0,(EURO(J180,Strikeprice2,0,0,($AK180+IF(Smile=TRUE(),VLOOKUP(MAX(-5,Strikeprice2-J180),Volsmile,2),0)),($A180-DateToday)+15,IF(Pricetype2=1,1,0),0))),J180)))</f>
        <v> </v>
      </c>
      <c r="T180" s="318" t="str">
        <f aca="false">IF($A180="N/A"," ",IF(Pricetype2=2,MAX(K180,0),IF(OR(Pricetype2=1,Pricetype2=4),IF(K180=0,0,(EURO(K180,Strikeprice2,0,0,($AK180+IF(Smile=TRUE(),VLOOKUP(MAX(-5,Strikeprice2-K180),Volsmile,2),0)),($A180-DateToday)+15,IF(Pricetype2=1,1,0),0))),K180)))</f>
        <v> </v>
      </c>
      <c r="U180" s="319" t="str">
        <f aca="false">IF($A180="N/A"," ",Volume2*$AM180)</f>
        <v> </v>
      </c>
      <c r="V180" s="320" t="str">
        <f aca="false">IF($A180="N/A"," ",$U180*(8*($BQ180))*L180)</f>
        <v> </v>
      </c>
      <c r="W180" s="320" t="str">
        <f aca="false">IF($A180="N/A"," ",$U180*(8*($BQ180))*M180)</f>
        <v> </v>
      </c>
      <c r="X180" s="320" t="str">
        <f aca="false">IF($A180="N/A"," ",$U180*(8*($BQ180))*N180)</f>
        <v> </v>
      </c>
      <c r="Y180" s="320" t="str">
        <f aca="false">IF($A180="N/A"," ",$U180*(8*($BR180))*O180)</f>
        <v> </v>
      </c>
      <c r="Z180" s="320" t="str">
        <f aca="false">IF($A180="N/A"," ",$U180*(8*($BR180))*P180)</f>
        <v> </v>
      </c>
      <c r="AA180" s="320" t="str">
        <f aca="false">IF($A180="N/A"," ",$U180*(8*($BR180))*Q180)</f>
        <v> </v>
      </c>
      <c r="AB180" s="320" t="str">
        <f aca="false">IF($A180="N/A"," ",$U180*(8*($BS180))*R180)</f>
        <v> </v>
      </c>
      <c r="AC180" s="320" t="str">
        <f aca="false">IF($A180="N/A"," ",$U180*(8*($BS180))*S180)</f>
        <v> </v>
      </c>
      <c r="AD180" s="320" t="str">
        <f aca="false">IF($A180="N/A"," ",$U180*(8*($BS180))*T180)</f>
        <v> </v>
      </c>
      <c r="AE180" s="320" t="str">
        <f aca="false">IF($A180="N/A"," ",SUM(V180:AD180))</f>
        <v> </v>
      </c>
      <c r="AF180" s="321" t="str">
        <f aca="false">IF(A180="N/A"," ",(VLOOKUP(A180,PowerVolTable,(IF(VolBMO2=2,7,IF(VolBMO2=1,6,8))),FALSE())))</f>
        <v> </v>
      </c>
      <c r="AG180" s="321" t="str">
        <f aca="false">IF(A180="N/A"," ",(VLOOKUP(A180,IntraPowerVol,(IF(VolBMO2=2,3,IF(VolBMO2=1,2,4))),FALSE())*VLOOKUP(MONTH($A180),Volscale,2)))</f>
        <v> </v>
      </c>
      <c r="AH180" s="321" t="str">
        <f aca="false">IF($A180="N/A"," ",IF(VolType2=1,AG180,AF180))</f>
        <v> </v>
      </c>
      <c r="AI180" s="321" t="str">
        <f aca="false">IF($A180="N/A"," ",(VLOOKUP($A180,OffPwrVolTable,(IF(VolBMO2=2,7,IF(VolBMO2=1,6,8))),FALSE())))</f>
        <v> </v>
      </c>
      <c r="AJ180" s="321" t="str">
        <f aca="false">IF($A180="N/A"," ",(VLOOKUP($A180,OffPwrVolTable,(IF(VolBMO2=2,3,IF(VolBMO2=1,2,4))),FALSE())*VLOOKUP(MONTH($A180),Volscale,2)))</f>
        <v> </v>
      </c>
      <c r="AK180" s="321" t="str">
        <f aca="false">IF($A180="N/A"," ",IF(VolType2=1,AJ180,AI180))</f>
        <v> </v>
      </c>
      <c r="AL180" s="321" t="str">
        <f aca="false">IF($A180="N/A"," ",IF(PV=1,0,'Pricing Inputs2'!R213))</f>
        <v> </v>
      </c>
      <c r="AM180" s="323" t="str">
        <f aca="false">IF($A180="N/A"," ",(1+AL180/2)^(-2*((EOMONTH(A180,0)+20)-DateToday)/365.25))</f>
        <v> </v>
      </c>
      <c r="BQ180" s="0" t="str">
        <f aca="false">IF($A180="N/A"," ",(VLOOKUP($A180,NumberofDaysTable,2)))</f>
        <v> </v>
      </c>
      <c r="BR180" s="0" t="str">
        <f aca="false">IF($A180="N/A"," ",(VLOOKUP($A180,NumberofDaysTable,3)))</f>
        <v> </v>
      </c>
      <c r="BS180" s="0" t="str">
        <f aca="false">IF($A180="N/A"," ",(VLOOKUP($A180,NumberofDaysTable,4)))</f>
        <v> </v>
      </c>
    </row>
    <row r="181" customFormat="false" ht="12.75" hidden="false" customHeight="false" outlineLevel="0" collapsed="false">
      <c r="A181" s="315" t="str">
        <f aca="false">IF(A180="N/A","N/A",IF(EDATE(A180,1)&gt;Inputs!$P$5,"N/A",EDATE(A180,1)))</f>
        <v>N/A</v>
      </c>
      <c r="B181" s="316" t="str">
        <f aca="false">IF(A181="N/A"," ",YEAR(A181))</f>
        <v> </v>
      </c>
      <c r="C181" s="317" t="str">
        <f aca="false">IF($A181="N/A"," ",IF(Dayrun2=10,0,IF(Scaler2=1,(VLOOKUP(A181,ScaledPrice2,4)),(VLOOKUP(A181,ScaledPrice2,2)))))</f>
        <v> </v>
      </c>
      <c r="D181" s="317" t="str">
        <f aca="false">IF(A181="N/A"," ",IF(Dayrun2&gt;=7,0,IF(Scaler2=2,VLOOKUP(A181,ScaledPrice2,2),(VLOOKUP(A181,ScaledPrice2,2))*(2-(VLOOKUP(A181,ScaledPrice2,3))))))</f>
        <v> </v>
      </c>
      <c r="E181" s="317" t="str">
        <f aca="false">IF($A181="N/A"," ",IF(AND(Dayrun2&gt;=4,Dayrun2&lt;=9),0,VLOOKUP($A181,ScaledPrice2,9)))</f>
        <v> </v>
      </c>
      <c r="F181" s="317" t="str">
        <f aca="false">IF(A181="N/A"," ",IF(OR(Dayrun2=2,Dayrun2=3,Dayrun2=5,Dayrun2=6,Dayrun2=8,Dayrun2=9),VLOOKUP(A181,ScaledPrice2,IF(Scaler2=1,6,5)),0))</f>
        <v> </v>
      </c>
      <c r="G181" s="317" t="str">
        <f aca="false">IF(A181="N/A"," ",IF(OR(Dayrun2=2,Dayrun2=3,Dayrun2=5,Dayrun2=6),IF(Scaler2=2,F181,(VLOOKUP(A181,ScaledPrice2,5))*(2-(VLOOKUP(A181,ScaledPrice2,3)))),0))</f>
        <v> </v>
      </c>
      <c r="H181" s="317" t="str">
        <f aca="false">IF($A181="N/A"," ",IF(OR(Dayrun2=2,Dayrun2=3,Dayrun2=10),VLOOKUP($A181,ScaledPrice2,9),0))</f>
        <v> </v>
      </c>
      <c r="I181" s="317" t="str">
        <f aca="false">IF(A181="N/A"," ",IF(OR(Dayrun2=3,Dayrun2=6,Dayrun2=9),(VLOOKUP(A181,ScaledPrice2,IF(Scaler2=2,7,8))),0))</f>
        <v> </v>
      </c>
      <c r="J181" s="317" t="str">
        <f aca="false">IF(A181="N/A"," ",IF(OR(Dayrun2=3,Dayrun2=6),IF(Scaler2=2,I181,(VLOOKUP(A181,ScaledPrice2,7))*(2-(VLOOKUP(A181,ScaledPrice2,3)))),0))</f>
        <v> </v>
      </c>
      <c r="K181" s="317" t="str">
        <f aca="false">IF($A181="N/A"," ",IF(OR(Dayrun2=3,Dayrun2=10),VLOOKUP($A181,ScaledPrice2,9),0))</f>
        <v> </v>
      </c>
      <c r="L181" s="318" t="str">
        <f aca="false">IF($A181="N/A"," ",IF(Pricetype2=2,MAX(C181,0),IF(OR(Pricetype2=1,Pricetype2=4),IF(C181=0,0,(EURO(C181,Strikeprice2,0,0,($AH181+IF(Smile=TRUE(),VLOOKUP(MAX(-5,Strikeprice2-C181),Volsmile,2),0)),($A181-DateToday)+15,IF(Pricetype2=1,1,0),0))),C181)))</f>
        <v> </v>
      </c>
      <c r="M181" s="318" t="str">
        <f aca="false">IF($A181="N/A"," ",IF(Pricetype2=2,MAX(D181,0),IF(OR(Pricetype2=1,Pricetype2=4),IF(D181=0,0,(EURO(D181,Strikeprice2,0,0,($AH181+IF(Smile=TRUE(),VLOOKUP(MAX(-5,Strikeprice2-D181),Volsmile,2),0)),($A181-DateToday)+15,IF(Pricetype2=1,1,0),0))),D181)))</f>
        <v> </v>
      </c>
      <c r="N181" s="318" t="str">
        <f aca="false">IF($A181="N/A"," ",IF(Pricetype2=2,MAX(E181,0),IF(OR(Pricetype2=1,Pricetype2=4),IF(E181=0,0,(EURO(E181,Strikeprice2,0,0,($AK181+IF(Smile=TRUE(),VLOOKUP(MAX(-5,Strikeprice2-E181),Volsmile,2),0)),($A181-DateToday)+15,IF(Pricetype2=1,1,0),0))),E181)))</f>
        <v> </v>
      </c>
      <c r="O181" s="318" t="str">
        <f aca="false">IF($A181="N/A"," ",IF(Pricetype2=2,MAX(F181,0),IF(OR(Pricetype2=1,Pricetype2=4),IF(F181=0,0,(EURO(F181,Strikeprice2,0,0,($AK181+IF(Smile=TRUE(),VLOOKUP(MAX(-5,Strikeprice2-F181),Volsmile,2),0)),($A181-DateToday)+15,IF(Pricetype2=1,1,0),0))),F181)))</f>
        <v> </v>
      </c>
      <c r="P181" s="318" t="str">
        <f aca="false">IF($A181="N/A"," ",IF(Pricetype2=2,MAX(G181,0),IF(OR(Pricetype2=1,Pricetype2=4),IF(G181=0,0,(EURO(G181,Strikeprice2,0,0,($AK181+IF(Smile=TRUE(),VLOOKUP(MAX(-5,Strikeprice2-G181),Volsmile,2),0)),($A181-DateToday)+15,IF(Pricetype2=1,1,0),0))),G181)))</f>
        <v> </v>
      </c>
      <c r="Q181" s="318" t="str">
        <f aca="false">IF($A181="N/A"," ",IF(Pricetype2=2,MAX(H181,0),IF(OR(Pricetype2=1,Pricetype2=4),IF(H181=0,0,(EURO(H181,Strikeprice2,0,0,($AK181+IF(Smile=TRUE(),VLOOKUP(MAX(-5,Strikeprice2-H181),Volsmile,2),0)),($A181-DateToday)+15,IF(Pricetype2=1,1,0),0))),H181)))</f>
        <v> </v>
      </c>
      <c r="R181" s="318" t="str">
        <f aca="false">IF($A181="N/A"," ",IF(Pricetype2=2,MAX(I181,0),IF(OR(Pricetype2=1,Pricetype2=4),IF(I181=0,0,(EURO(I181,Strikeprice2,0,0,($AK181+IF(Smile=TRUE(),VLOOKUP(MAX(-5,Strikeprice2-I181),Volsmile,2),0)),($A181-DateToday)+15,IF(Pricetype2=1,1,0),0))),I181)))</f>
        <v> </v>
      </c>
      <c r="S181" s="318" t="str">
        <f aca="false">IF($A181="N/A"," ",IF(Pricetype2=2,MAX(J181,0),IF(OR(Pricetype2=1,Pricetype2=4),IF(J181=0,0,(EURO(J181,Strikeprice2,0,0,($AK181+IF(Smile=TRUE(),VLOOKUP(MAX(-5,Strikeprice2-J181),Volsmile,2),0)),($A181-DateToday)+15,IF(Pricetype2=1,1,0),0))),J181)))</f>
        <v> </v>
      </c>
      <c r="T181" s="318" t="str">
        <f aca="false">IF($A181="N/A"," ",IF(Pricetype2=2,MAX(K181,0),IF(OR(Pricetype2=1,Pricetype2=4),IF(K181=0,0,(EURO(K181,Strikeprice2,0,0,($AK181+IF(Smile=TRUE(),VLOOKUP(MAX(-5,Strikeprice2-K181),Volsmile,2),0)),($A181-DateToday)+15,IF(Pricetype2=1,1,0),0))),K181)))</f>
        <v> </v>
      </c>
      <c r="U181" s="319" t="str">
        <f aca="false">IF($A181="N/A"," ",Volume2*$AM181)</f>
        <v> </v>
      </c>
      <c r="V181" s="320" t="str">
        <f aca="false">IF($A181="N/A"," ",$U181*(8*($BQ181))*L181)</f>
        <v> </v>
      </c>
      <c r="W181" s="320" t="str">
        <f aca="false">IF($A181="N/A"," ",$U181*(8*($BQ181))*M181)</f>
        <v> </v>
      </c>
      <c r="X181" s="320" t="str">
        <f aca="false">IF($A181="N/A"," ",$U181*(8*($BQ181))*N181)</f>
        <v> </v>
      </c>
      <c r="Y181" s="320" t="str">
        <f aca="false">IF($A181="N/A"," ",$U181*(8*($BR181))*O181)</f>
        <v> </v>
      </c>
      <c r="Z181" s="320" t="str">
        <f aca="false">IF($A181="N/A"," ",$U181*(8*($BR181))*P181)</f>
        <v> </v>
      </c>
      <c r="AA181" s="320" t="str">
        <f aca="false">IF($A181="N/A"," ",$U181*(8*($BR181))*Q181)</f>
        <v> </v>
      </c>
      <c r="AB181" s="320" t="str">
        <f aca="false">IF($A181="N/A"," ",$U181*(8*($BS181))*R181)</f>
        <v> </v>
      </c>
      <c r="AC181" s="320" t="str">
        <f aca="false">IF($A181="N/A"," ",$U181*(8*($BS181))*S181)</f>
        <v> </v>
      </c>
      <c r="AD181" s="320" t="str">
        <f aca="false">IF($A181="N/A"," ",$U181*(8*($BS181))*T181)</f>
        <v> </v>
      </c>
      <c r="AE181" s="320" t="str">
        <f aca="false">IF($A181="N/A"," ",SUM(V181:AD181))</f>
        <v> </v>
      </c>
      <c r="AF181" s="321" t="str">
        <f aca="false">IF(A181="N/A"," ",(VLOOKUP(A181,PowerVolTable,(IF(VolBMO2=2,7,IF(VolBMO2=1,6,8))),FALSE())))</f>
        <v> </v>
      </c>
      <c r="AG181" s="321" t="str">
        <f aca="false">IF(A181="N/A"," ",(VLOOKUP(A181,IntraPowerVol,(IF(VolBMO2=2,3,IF(VolBMO2=1,2,4))),FALSE())*VLOOKUP(MONTH($A181),Volscale,2)))</f>
        <v> </v>
      </c>
      <c r="AH181" s="321" t="str">
        <f aca="false">IF($A181="N/A"," ",IF(VolType2=1,AG181,AF181))</f>
        <v> </v>
      </c>
      <c r="AI181" s="321" t="str">
        <f aca="false">IF($A181="N/A"," ",(VLOOKUP($A181,OffPwrVolTable,(IF(VolBMO2=2,7,IF(VolBMO2=1,6,8))),FALSE())))</f>
        <v> </v>
      </c>
      <c r="AJ181" s="321" t="str">
        <f aca="false">IF($A181="N/A"," ",(VLOOKUP($A181,OffPwrVolTable,(IF(VolBMO2=2,3,IF(VolBMO2=1,2,4))),FALSE())*VLOOKUP(MONTH($A181),Volscale,2)))</f>
        <v> </v>
      </c>
      <c r="AK181" s="321" t="str">
        <f aca="false">IF($A181="N/A"," ",IF(VolType2=1,AJ181,AI181))</f>
        <v> </v>
      </c>
      <c r="AL181" s="321" t="str">
        <f aca="false">IF($A181="N/A"," ",IF(PV=1,0,'Pricing Inputs2'!R214))</f>
        <v> </v>
      </c>
      <c r="AM181" s="323" t="str">
        <f aca="false">IF($A181="N/A"," ",(1+AL181/2)^(-2*((EOMONTH(A181,0)+20)-DateToday)/365.25))</f>
        <v> </v>
      </c>
      <c r="BQ181" s="0" t="str">
        <f aca="false">IF($A181="N/A"," ",(VLOOKUP($A181,NumberofDaysTable,2)))</f>
        <v> </v>
      </c>
      <c r="BR181" s="0" t="str">
        <f aca="false">IF($A181="N/A"," ",(VLOOKUP($A181,NumberofDaysTable,3)))</f>
        <v> </v>
      </c>
      <c r="BS181" s="0" t="str">
        <f aca="false">IF($A181="N/A"," ",(VLOOKUP($A181,NumberofDaysTable,4)))</f>
        <v> </v>
      </c>
    </row>
    <row r="182" customFormat="false" ht="12.75" hidden="false" customHeight="false" outlineLevel="0" collapsed="false">
      <c r="A182" s="315" t="str">
        <f aca="false">IF(A181="N/A","N/A",IF(EDATE(A181,1)&gt;Inputs!$P$5,"N/A",EDATE(A181,1)))</f>
        <v>N/A</v>
      </c>
      <c r="B182" s="316" t="str">
        <f aca="false">IF(A182="N/A"," ",YEAR(A182))</f>
        <v> </v>
      </c>
      <c r="C182" s="317" t="str">
        <f aca="false">IF($A182="N/A"," ",IF(Dayrun2=10,0,IF(Scaler2=1,(VLOOKUP(A182,ScaledPrice2,4)),(VLOOKUP(A182,ScaledPrice2,2)))))</f>
        <v> </v>
      </c>
      <c r="D182" s="317" t="str">
        <f aca="false">IF(A182="N/A"," ",IF(Dayrun2&gt;=7,0,IF(Scaler2=2,VLOOKUP(A182,ScaledPrice2,2),(VLOOKUP(A182,ScaledPrice2,2))*(2-(VLOOKUP(A182,ScaledPrice2,3))))))</f>
        <v> </v>
      </c>
      <c r="E182" s="317" t="str">
        <f aca="false">IF($A182="N/A"," ",IF(AND(Dayrun2&gt;=4,Dayrun2&lt;=9),0,VLOOKUP($A182,ScaledPrice2,9)))</f>
        <v> </v>
      </c>
      <c r="F182" s="317" t="str">
        <f aca="false">IF(A182="N/A"," ",IF(OR(Dayrun2=2,Dayrun2=3,Dayrun2=5,Dayrun2=6,Dayrun2=8,Dayrun2=9),VLOOKUP(A182,ScaledPrice2,IF(Scaler2=1,6,5)),0))</f>
        <v> </v>
      </c>
      <c r="G182" s="317" t="str">
        <f aca="false">IF(A182="N/A"," ",IF(OR(Dayrun2=2,Dayrun2=3,Dayrun2=5,Dayrun2=6),IF(Scaler2=2,F182,(VLOOKUP(A182,ScaledPrice2,5))*(2-(VLOOKUP(A182,ScaledPrice2,3)))),0))</f>
        <v> </v>
      </c>
      <c r="H182" s="317" t="str">
        <f aca="false">IF($A182="N/A"," ",IF(OR(Dayrun2=2,Dayrun2=3,Dayrun2=10),VLOOKUP($A182,ScaledPrice2,9),0))</f>
        <v> </v>
      </c>
      <c r="I182" s="317" t="str">
        <f aca="false">IF(A182="N/A"," ",IF(OR(Dayrun2=3,Dayrun2=6,Dayrun2=9),(VLOOKUP(A182,ScaledPrice2,IF(Scaler2=2,7,8))),0))</f>
        <v> </v>
      </c>
      <c r="J182" s="317" t="str">
        <f aca="false">IF(A182="N/A"," ",IF(OR(Dayrun2=3,Dayrun2=6),IF(Scaler2=2,I182,(VLOOKUP(A182,ScaledPrice2,7))*(2-(VLOOKUP(A182,ScaledPrice2,3)))),0))</f>
        <v> </v>
      </c>
      <c r="K182" s="317" t="str">
        <f aca="false">IF($A182="N/A"," ",IF(OR(Dayrun2=3,Dayrun2=10),VLOOKUP($A182,ScaledPrice2,9),0))</f>
        <v> </v>
      </c>
      <c r="L182" s="318" t="str">
        <f aca="false">IF($A182="N/A"," ",IF(Pricetype2=2,MAX(C182,0),IF(OR(Pricetype2=1,Pricetype2=4),IF(C182=0,0,(EURO(C182,Strikeprice2,0,0,($AH182+IF(Smile=TRUE(),VLOOKUP(MAX(-5,Strikeprice2-C182),Volsmile,2),0)),($A182-DateToday)+15,IF(Pricetype2=1,1,0),0))),C182)))</f>
        <v> </v>
      </c>
      <c r="M182" s="318" t="str">
        <f aca="false">IF($A182="N/A"," ",IF(Pricetype2=2,MAX(D182,0),IF(OR(Pricetype2=1,Pricetype2=4),IF(D182=0,0,(EURO(D182,Strikeprice2,0,0,($AH182+IF(Smile=TRUE(),VLOOKUP(MAX(-5,Strikeprice2-D182),Volsmile,2),0)),($A182-DateToday)+15,IF(Pricetype2=1,1,0),0))),D182)))</f>
        <v> </v>
      </c>
      <c r="N182" s="318" t="str">
        <f aca="false">IF($A182="N/A"," ",IF(Pricetype2=2,MAX(E182,0),IF(OR(Pricetype2=1,Pricetype2=4),IF(E182=0,0,(EURO(E182,Strikeprice2,0,0,($AK182+IF(Smile=TRUE(),VLOOKUP(MAX(-5,Strikeprice2-E182),Volsmile,2),0)),($A182-DateToday)+15,IF(Pricetype2=1,1,0),0))),E182)))</f>
        <v> </v>
      </c>
      <c r="O182" s="318" t="str">
        <f aca="false">IF($A182="N/A"," ",IF(Pricetype2=2,MAX(F182,0),IF(OR(Pricetype2=1,Pricetype2=4),IF(F182=0,0,(EURO(F182,Strikeprice2,0,0,($AK182+IF(Smile=TRUE(),VLOOKUP(MAX(-5,Strikeprice2-F182),Volsmile,2),0)),($A182-DateToday)+15,IF(Pricetype2=1,1,0),0))),F182)))</f>
        <v> </v>
      </c>
      <c r="P182" s="318" t="str">
        <f aca="false">IF($A182="N/A"," ",IF(Pricetype2=2,MAX(G182,0),IF(OR(Pricetype2=1,Pricetype2=4),IF(G182=0,0,(EURO(G182,Strikeprice2,0,0,($AK182+IF(Smile=TRUE(),VLOOKUP(MAX(-5,Strikeprice2-G182),Volsmile,2),0)),($A182-DateToday)+15,IF(Pricetype2=1,1,0),0))),G182)))</f>
        <v> </v>
      </c>
      <c r="Q182" s="318" t="str">
        <f aca="false">IF($A182="N/A"," ",IF(Pricetype2=2,MAX(H182,0),IF(OR(Pricetype2=1,Pricetype2=4),IF(H182=0,0,(EURO(H182,Strikeprice2,0,0,($AK182+IF(Smile=TRUE(),VLOOKUP(MAX(-5,Strikeprice2-H182),Volsmile,2),0)),($A182-DateToday)+15,IF(Pricetype2=1,1,0),0))),H182)))</f>
        <v> </v>
      </c>
      <c r="R182" s="318" t="str">
        <f aca="false">IF($A182="N/A"," ",IF(Pricetype2=2,MAX(I182,0),IF(OR(Pricetype2=1,Pricetype2=4),IF(I182=0,0,(EURO(I182,Strikeprice2,0,0,($AK182+IF(Smile=TRUE(),VLOOKUP(MAX(-5,Strikeprice2-I182),Volsmile,2),0)),($A182-DateToday)+15,IF(Pricetype2=1,1,0),0))),I182)))</f>
        <v> </v>
      </c>
      <c r="S182" s="318" t="str">
        <f aca="false">IF($A182="N/A"," ",IF(Pricetype2=2,MAX(J182,0),IF(OR(Pricetype2=1,Pricetype2=4),IF(J182=0,0,(EURO(J182,Strikeprice2,0,0,($AK182+IF(Smile=TRUE(),VLOOKUP(MAX(-5,Strikeprice2-J182),Volsmile,2),0)),($A182-DateToday)+15,IF(Pricetype2=1,1,0),0))),J182)))</f>
        <v> </v>
      </c>
      <c r="T182" s="318" t="str">
        <f aca="false">IF($A182="N/A"," ",IF(Pricetype2=2,MAX(K182,0),IF(OR(Pricetype2=1,Pricetype2=4),IF(K182=0,0,(EURO(K182,Strikeprice2,0,0,($AK182+IF(Smile=TRUE(),VLOOKUP(MAX(-5,Strikeprice2-K182),Volsmile,2),0)),($A182-DateToday)+15,IF(Pricetype2=1,1,0),0))),K182)))</f>
        <v> </v>
      </c>
      <c r="U182" s="319" t="str">
        <f aca="false">IF($A182="N/A"," ",Volume2*$AM182)</f>
        <v> </v>
      </c>
      <c r="V182" s="320" t="str">
        <f aca="false">IF($A182="N/A"," ",$U182*(8*($BQ182))*L182)</f>
        <v> </v>
      </c>
      <c r="W182" s="320" t="str">
        <f aca="false">IF($A182="N/A"," ",$U182*(8*($BQ182))*M182)</f>
        <v> </v>
      </c>
      <c r="X182" s="320" t="str">
        <f aca="false">IF($A182="N/A"," ",$U182*(8*($BQ182))*N182)</f>
        <v> </v>
      </c>
      <c r="Y182" s="320" t="str">
        <f aca="false">IF($A182="N/A"," ",$U182*(8*($BR182))*O182)</f>
        <v> </v>
      </c>
      <c r="Z182" s="320" t="str">
        <f aca="false">IF($A182="N/A"," ",$U182*(8*($BR182))*P182)</f>
        <v> </v>
      </c>
      <c r="AA182" s="320" t="str">
        <f aca="false">IF($A182="N/A"," ",$U182*(8*($BR182))*Q182)</f>
        <v> </v>
      </c>
      <c r="AB182" s="320" t="str">
        <f aca="false">IF($A182="N/A"," ",$U182*(8*($BS182))*R182)</f>
        <v> </v>
      </c>
      <c r="AC182" s="320" t="str">
        <f aca="false">IF($A182="N/A"," ",$U182*(8*($BS182))*S182)</f>
        <v> </v>
      </c>
      <c r="AD182" s="320" t="str">
        <f aca="false">IF($A182="N/A"," ",$U182*(8*($BS182))*T182)</f>
        <v> </v>
      </c>
      <c r="AE182" s="320" t="str">
        <f aca="false">IF($A182="N/A"," ",SUM(V182:AD182))</f>
        <v> </v>
      </c>
      <c r="AF182" s="321" t="str">
        <f aca="false">IF(A182="N/A"," ",(VLOOKUP(A182,PowerVolTable,(IF(VolBMO2=2,7,IF(VolBMO2=1,6,8))),FALSE())))</f>
        <v> </v>
      </c>
      <c r="AG182" s="321" t="str">
        <f aca="false">IF(A182="N/A"," ",(VLOOKUP(A182,IntraPowerVol,(IF(VolBMO2=2,3,IF(VolBMO2=1,2,4))),FALSE())*VLOOKUP(MONTH($A182),Volscale,2)))</f>
        <v> </v>
      </c>
      <c r="AH182" s="321" t="str">
        <f aca="false">IF($A182="N/A"," ",IF(VolType2=1,AG182,AF182))</f>
        <v> </v>
      </c>
      <c r="AI182" s="321" t="str">
        <f aca="false">IF($A182="N/A"," ",(VLOOKUP($A182,OffPwrVolTable,(IF(VolBMO2=2,7,IF(VolBMO2=1,6,8))),FALSE())))</f>
        <v> </v>
      </c>
      <c r="AJ182" s="321" t="str">
        <f aca="false">IF($A182="N/A"," ",(VLOOKUP($A182,OffPwrVolTable,(IF(VolBMO2=2,3,IF(VolBMO2=1,2,4))),FALSE())*VLOOKUP(MONTH($A182),Volscale,2)))</f>
        <v> </v>
      </c>
      <c r="AK182" s="321" t="str">
        <f aca="false">IF($A182="N/A"," ",IF(VolType2=1,AJ182,AI182))</f>
        <v> </v>
      </c>
      <c r="AL182" s="321" t="str">
        <f aca="false">IF($A182="N/A"," ",IF(PV=1,0,'Pricing Inputs2'!R215))</f>
        <v> </v>
      </c>
      <c r="AM182" s="323" t="str">
        <f aca="false">IF($A182="N/A"," ",(1+AL182/2)^(-2*((EOMONTH(A182,0)+20)-DateToday)/365.25))</f>
        <v> </v>
      </c>
      <c r="BQ182" s="0" t="str">
        <f aca="false">IF($A182="N/A"," ",(VLOOKUP($A182,NumberofDaysTable,2)))</f>
        <v> </v>
      </c>
      <c r="BR182" s="0" t="str">
        <f aca="false">IF($A182="N/A"," ",(VLOOKUP($A182,NumberofDaysTable,3)))</f>
        <v> </v>
      </c>
      <c r="BS182" s="0" t="str">
        <f aca="false">IF($A182="N/A"," ",(VLOOKUP($A182,NumberofDaysTable,4)))</f>
        <v> </v>
      </c>
    </row>
    <row r="183" customFormat="false" ht="12.75" hidden="false" customHeight="false" outlineLevel="0" collapsed="false">
      <c r="A183" s="315" t="str">
        <f aca="false">IF(A182="N/A","N/A",IF(EDATE(A182,1)&gt;Inputs!$P$5,"N/A",EDATE(A182,1)))</f>
        <v>N/A</v>
      </c>
      <c r="B183" s="316" t="str">
        <f aca="false">IF(A183="N/A"," ",YEAR(A183))</f>
        <v> </v>
      </c>
      <c r="C183" s="317" t="str">
        <f aca="false">IF($A183="N/A"," ",IF(Dayrun2=10,0,IF(Scaler2=1,(VLOOKUP(A183,ScaledPrice2,4)),(VLOOKUP(A183,ScaledPrice2,2)))))</f>
        <v> </v>
      </c>
      <c r="D183" s="317" t="str">
        <f aca="false">IF(A183="N/A"," ",IF(Dayrun2&gt;=7,0,IF(Scaler2=2,VLOOKUP(A183,ScaledPrice2,2),(VLOOKUP(A183,ScaledPrice2,2))*(2-(VLOOKUP(A183,ScaledPrice2,3))))))</f>
        <v> </v>
      </c>
      <c r="E183" s="317" t="str">
        <f aca="false">IF($A183="N/A"," ",IF(AND(Dayrun2&gt;=4,Dayrun2&lt;=9),0,VLOOKUP($A183,ScaledPrice2,9)))</f>
        <v> </v>
      </c>
      <c r="F183" s="317" t="str">
        <f aca="false">IF(A183="N/A"," ",IF(OR(Dayrun2=2,Dayrun2=3,Dayrun2=5,Dayrun2=6,Dayrun2=8,Dayrun2=9),VLOOKUP(A183,ScaledPrice2,IF(Scaler2=1,6,5)),0))</f>
        <v> </v>
      </c>
      <c r="G183" s="317" t="str">
        <f aca="false">IF(A183="N/A"," ",IF(OR(Dayrun2=2,Dayrun2=3,Dayrun2=5,Dayrun2=6),IF(Scaler2=2,F183,(VLOOKUP(A183,ScaledPrice2,5))*(2-(VLOOKUP(A183,ScaledPrice2,3)))),0))</f>
        <v> </v>
      </c>
      <c r="H183" s="317" t="str">
        <f aca="false">IF($A183="N/A"," ",IF(OR(Dayrun2=2,Dayrun2=3,Dayrun2=10),VLOOKUP($A183,ScaledPrice2,9),0))</f>
        <v> </v>
      </c>
      <c r="I183" s="317" t="str">
        <f aca="false">IF(A183="N/A"," ",IF(OR(Dayrun2=3,Dayrun2=6,Dayrun2=9),(VLOOKUP(A183,ScaledPrice2,IF(Scaler2=2,7,8))),0))</f>
        <v> </v>
      </c>
      <c r="J183" s="317" t="str">
        <f aca="false">IF(A183="N/A"," ",IF(OR(Dayrun2=3,Dayrun2=6),IF(Scaler2=2,I183,(VLOOKUP(A183,ScaledPrice2,7))*(2-(VLOOKUP(A183,ScaledPrice2,3)))),0))</f>
        <v> </v>
      </c>
      <c r="K183" s="317" t="str">
        <f aca="false">IF($A183="N/A"," ",IF(OR(Dayrun2=3,Dayrun2=10),VLOOKUP($A183,ScaledPrice2,9),0))</f>
        <v> </v>
      </c>
      <c r="L183" s="318" t="str">
        <f aca="false">IF($A183="N/A"," ",IF(Pricetype2=2,MAX(C183,0),IF(OR(Pricetype2=1,Pricetype2=4),IF(C183=0,0,(EURO(C183,Strikeprice2,0,0,($AH183+IF(Smile=TRUE(),VLOOKUP(MAX(-5,Strikeprice2-C183),Volsmile,2),0)),($A183-DateToday)+15,IF(Pricetype2=1,1,0),0))),C183)))</f>
        <v> </v>
      </c>
      <c r="M183" s="318" t="str">
        <f aca="false">IF($A183="N/A"," ",IF(Pricetype2=2,MAX(D183,0),IF(OR(Pricetype2=1,Pricetype2=4),IF(D183=0,0,(EURO(D183,Strikeprice2,0,0,($AH183+IF(Smile=TRUE(),VLOOKUP(MAX(-5,Strikeprice2-D183),Volsmile,2),0)),($A183-DateToday)+15,IF(Pricetype2=1,1,0),0))),D183)))</f>
        <v> </v>
      </c>
      <c r="N183" s="318" t="str">
        <f aca="false">IF($A183="N/A"," ",IF(Pricetype2=2,MAX(E183,0),IF(OR(Pricetype2=1,Pricetype2=4),IF(E183=0,0,(EURO(E183,Strikeprice2,0,0,($AK183+IF(Smile=TRUE(),VLOOKUP(MAX(-5,Strikeprice2-E183),Volsmile,2),0)),($A183-DateToday)+15,IF(Pricetype2=1,1,0),0))),E183)))</f>
        <v> </v>
      </c>
      <c r="O183" s="318" t="str">
        <f aca="false">IF($A183="N/A"," ",IF(Pricetype2=2,MAX(F183,0),IF(OR(Pricetype2=1,Pricetype2=4),IF(F183=0,0,(EURO(F183,Strikeprice2,0,0,($AK183+IF(Smile=TRUE(),VLOOKUP(MAX(-5,Strikeprice2-F183),Volsmile,2),0)),($A183-DateToday)+15,IF(Pricetype2=1,1,0),0))),F183)))</f>
        <v> </v>
      </c>
      <c r="P183" s="318" t="str">
        <f aca="false">IF($A183="N/A"," ",IF(Pricetype2=2,MAX(G183,0),IF(OR(Pricetype2=1,Pricetype2=4),IF(G183=0,0,(EURO(G183,Strikeprice2,0,0,($AK183+IF(Smile=TRUE(),VLOOKUP(MAX(-5,Strikeprice2-G183),Volsmile,2),0)),($A183-DateToday)+15,IF(Pricetype2=1,1,0),0))),G183)))</f>
        <v> </v>
      </c>
      <c r="Q183" s="318" t="str">
        <f aca="false">IF($A183="N/A"," ",IF(Pricetype2=2,MAX(H183,0),IF(OR(Pricetype2=1,Pricetype2=4),IF(H183=0,0,(EURO(H183,Strikeprice2,0,0,($AK183+IF(Smile=TRUE(),VLOOKUP(MAX(-5,Strikeprice2-H183),Volsmile,2),0)),($A183-DateToday)+15,IF(Pricetype2=1,1,0),0))),H183)))</f>
        <v> </v>
      </c>
      <c r="R183" s="318" t="str">
        <f aca="false">IF($A183="N/A"," ",IF(Pricetype2=2,MAX(I183,0),IF(OR(Pricetype2=1,Pricetype2=4),IF(I183=0,0,(EURO(I183,Strikeprice2,0,0,($AK183+IF(Smile=TRUE(),VLOOKUP(MAX(-5,Strikeprice2-I183),Volsmile,2),0)),($A183-DateToday)+15,IF(Pricetype2=1,1,0),0))),I183)))</f>
        <v> </v>
      </c>
      <c r="S183" s="318" t="str">
        <f aca="false">IF($A183="N/A"," ",IF(Pricetype2=2,MAX(J183,0),IF(OR(Pricetype2=1,Pricetype2=4),IF(J183=0,0,(EURO(J183,Strikeprice2,0,0,($AK183+IF(Smile=TRUE(),VLOOKUP(MAX(-5,Strikeprice2-J183),Volsmile,2),0)),($A183-DateToday)+15,IF(Pricetype2=1,1,0),0))),J183)))</f>
        <v> </v>
      </c>
      <c r="T183" s="318" t="str">
        <f aca="false">IF($A183="N/A"," ",IF(Pricetype2=2,MAX(K183,0),IF(OR(Pricetype2=1,Pricetype2=4),IF(K183=0,0,(EURO(K183,Strikeprice2,0,0,($AK183+IF(Smile=TRUE(),VLOOKUP(MAX(-5,Strikeprice2-K183),Volsmile,2),0)),($A183-DateToday)+15,IF(Pricetype2=1,1,0),0))),K183)))</f>
        <v> </v>
      </c>
      <c r="U183" s="319" t="str">
        <f aca="false">IF($A183="N/A"," ",Volume2*$AM183)</f>
        <v> </v>
      </c>
      <c r="V183" s="320" t="str">
        <f aca="false">IF($A183="N/A"," ",$U183*(8*($BQ183))*L183)</f>
        <v> </v>
      </c>
      <c r="W183" s="320" t="str">
        <f aca="false">IF($A183="N/A"," ",$U183*(8*($BQ183))*M183)</f>
        <v> </v>
      </c>
      <c r="X183" s="320" t="str">
        <f aca="false">IF($A183="N/A"," ",$U183*(8*($BQ183))*N183)</f>
        <v> </v>
      </c>
      <c r="Y183" s="320" t="str">
        <f aca="false">IF($A183="N/A"," ",$U183*(8*($BR183))*O183)</f>
        <v> </v>
      </c>
      <c r="Z183" s="320" t="str">
        <f aca="false">IF($A183="N/A"," ",$U183*(8*($BR183))*P183)</f>
        <v> </v>
      </c>
      <c r="AA183" s="320" t="str">
        <f aca="false">IF($A183="N/A"," ",$U183*(8*($BR183))*Q183)</f>
        <v> </v>
      </c>
      <c r="AB183" s="320" t="str">
        <f aca="false">IF($A183="N/A"," ",$U183*(8*($BS183))*R183)</f>
        <v> </v>
      </c>
      <c r="AC183" s="320" t="str">
        <f aca="false">IF($A183="N/A"," ",$U183*(8*($BS183))*S183)</f>
        <v> </v>
      </c>
      <c r="AD183" s="320" t="str">
        <f aca="false">IF($A183="N/A"," ",$U183*(8*($BS183))*T183)</f>
        <v> </v>
      </c>
      <c r="AE183" s="320" t="str">
        <f aca="false">IF($A183="N/A"," ",SUM(V183:AD183))</f>
        <v> </v>
      </c>
      <c r="AF183" s="321" t="str">
        <f aca="false">IF(A183="N/A"," ",(VLOOKUP(A183,PowerVolTable,(IF(VolBMO2=2,7,IF(VolBMO2=1,6,8))),FALSE())))</f>
        <v> </v>
      </c>
      <c r="AG183" s="321" t="str">
        <f aca="false">IF(A183="N/A"," ",(VLOOKUP(A183,IntraPowerVol,(IF(VolBMO2=2,3,IF(VolBMO2=1,2,4))),FALSE())*VLOOKUP(MONTH($A183),Volscale,2)))</f>
        <v> </v>
      </c>
      <c r="AH183" s="321" t="str">
        <f aca="false">IF($A183="N/A"," ",IF(VolType2=1,AG183,AF183))</f>
        <v> </v>
      </c>
      <c r="AI183" s="321" t="str">
        <f aca="false">IF($A183="N/A"," ",(VLOOKUP($A183,OffPwrVolTable,(IF(VolBMO2=2,7,IF(VolBMO2=1,6,8))),FALSE())))</f>
        <v> </v>
      </c>
      <c r="AJ183" s="321" t="str">
        <f aca="false">IF($A183="N/A"," ",(VLOOKUP($A183,OffPwrVolTable,(IF(VolBMO2=2,3,IF(VolBMO2=1,2,4))),FALSE())*VLOOKUP(MONTH($A183),Volscale,2)))</f>
        <v> </v>
      </c>
      <c r="AK183" s="321" t="str">
        <f aca="false">IF($A183="N/A"," ",IF(VolType2=1,AJ183,AI183))</f>
        <v> </v>
      </c>
      <c r="AL183" s="321" t="str">
        <f aca="false">IF($A183="N/A"," ",IF(PV=1,0,'Pricing Inputs2'!R216))</f>
        <v> </v>
      </c>
      <c r="AM183" s="323" t="str">
        <f aca="false">IF($A183="N/A"," ",(1+AL183/2)^(-2*((EOMONTH(A183,0)+20)-DateToday)/365.25))</f>
        <v> </v>
      </c>
      <c r="BQ183" s="0" t="str">
        <f aca="false">IF($A183="N/A"," ",(VLOOKUP($A183,NumberofDaysTable,2)))</f>
        <v> </v>
      </c>
      <c r="BR183" s="0" t="str">
        <f aca="false">IF($A183="N/A"," ",(VLOOKUP($A183,NumberofDaysTable,3)))</f>
        <v> </v>
      </c>
      <c r="BS183" s="0" t="str">
        <f aca="false">IF($A183="N/A"," ",(VLOOKUP($A183,NumberofDaysTable,4)))</f>
        <v> </v>
      </c>
    </row>
    <row r="184" customFormat="false" ht="12.75" hidden="false" customHeight="false" outlineLevel="0" collapsed="false">
      <c r="A184" s="315" t="str">
        <f aca="false">IF(A183="N/A","N/A",IF(EDATE(A183,1)&gt;Inputs!$P$5,"N/A",EDATE(A183,1)))</f>
        <v>N/A</v>
      </c>
      <c r="B184" s="316" t="str">
        <f aca="false">IF(A184="N/A"," ",YEAR(A184))</f>
        <v> </v>
      </c>
      <c r="C184" s="317" t="str">
        <f aca="false">IF($A184="N/A"," ",IF(Dayrun2=10,0,IF(Scaler2=1,(VLOOKUP(A184,ScaledPrice2,4)),(VLOOKUP(A184,ScaledPrice2,2)))))</f>
        <v> </v>
      </c>
      <c r="D184" s="317" t="str">
        <f aca="false">IF(A184="N/A"," ",IF(Dayrun2&gt;=7,0,IF(Scaler2=2,VLOOKUP(A184,ScaledPrice2,2),(VLOOKUP(A184,ScaledPrice2,2))*(2-(VLOOKUP(A184,ScaledPrice2,3))))))</f>
        <v> </v>
      </c>
      <c r="E184" s="317" t="str">
        <f aca="false">IF($A184="N/A"," ",IF(AND(Dayrun2&gt;=4,Dayrun2&lt;=9),0,VLOOKUP($A184,ScaledPrice2,9)))</f>
        <v> </v>
      </c>
      <c r="F184" s="317" t="str">
        <f aca="false">IF(A184="N/A"," ",IF(OR(Dayrun2=2,Dayrun2=3,Dayrun2=5,Dayrun2=6,Dayrun2=8,Dayrun2=9),VLOOKUP(A184,ScaledPrice2,IF(Scaler2=1,6,5)),0))</f>
        <v> </v>
      </c>
      <c r="G184" s="317" t="str">
        <f aca="false">IF(A184="N/A"," ",IF(OR(Dayrun2=2,Dayrun2=3,Dayrun2=5,Dayrun2=6),IF(Scaler2=2,F184,(VLOOKUP(A184,ScaledPrice2,5))*(2-(VLOOKUP(A184,ScaledPrice2,3)))),0))</f>
        <v> </v>
      </c>
      <c r="H184" s="317" t="str">
        <f aca="false">IF($A184="N/A"," ",IF(OR(Dayrun2=2,Dayrun2=3,Dayrun2=10),VLOOKUP($A184,ScaledPrice2,9),0))</f>
        <v> </v>
      </c>
      <c r="I184" s="317" t="str">
        <f aca="false">IF(A184="N/A"," ",IF(OR(Dayrun2=3,Dayrun2=6,Dayrun2=9),(VLOOKUP(A184,ScaledPrice2,IF(Scaler2=2,7,8))),0))</f>
        <v> </v>
      </c>
      <c r="J184" s="317" t="str">
        <f aca="false">IF(A184="N/A"," ",IF(OR(Dayrun2=3,Dayrun2=6),IF(Scaler2=2,I184,(VLOOKUP(A184,ScaledPrice2,7))*(2-(VLOOKUP(A184,ScaledPrice2,3)))),0))</f>
        <v> </v>
      </c>
      <c r="K184" s="317" t="str">
        <f aca="false">IF($A184="N/A"," ",IF(OR(Dayrun2=3,Dayrun2=10),VLOOKUP($A184,ScaledPrice2,9),0))</f>
        <v> </v>
      </c>
      <c r="L184" s="318" t="str">
        <f aca="false">IF($A184="N/A"," ",IF(Pricetype2=2,MAX(C184,0),IF(OR(Pricetype2=1,Pricetype2=4),IF(C184=0,0,(EURO(C184,Strikeprice2,0,0,($AH184+IF(Smile=TRUE(),VLOOKUP(MAX(-5,Strikeprice2-C184),Volsmile,2),0)),($A184-DateToday)+15,IF(Pricetype2=1,1,0),0))),C184)))</f>
        <v> </v>
      </c>
      <c r="M184" s="318" t="str">
        <f aca="false">IF($A184="N/A"," ",IF(Pricetype2=2,MAX(D184,0),IF(OR(Pricetype2=1,Pricetype2=4),IF(D184=0,0,(EURO(D184,Strikeprice2,0,0,($AH184+IF(Smile=TRUE(),VLOOKUP(MAX(-5,Strikeprice2-D184),Volsmile,2),0)),($A184-DateToday)+15,IF(Pricetype2=1,1,0),0))),D184)))</f>
        <v> </v>
      </c>
      <c r="N184" s="318" t="str">
        <f aca="false">IF($A184="N/A"," ",IF(Pricetype2=2,MAX(E184,0),IF(OR(Pricetype2=1,Pricetype2=4),IF(E184=0,0,(EURO(E184,Strikeprice2,0,0,($AK184+IF(Smile=TRUE(),VLOOKUP(MAX(-5,Strikeprice2-E184),Volsmile,2),0)),($A184-DateToday)+15,IF(Pricetype2=1,1,0),0))),E184)))</f>
        <v> </v>
      </c>
      <c r="O184" s="318" t="str">
        <f aca="false">IF($A184="N/A"," ",IF(Pricetype2=2,MAX(F184,0),IF(OR(Pricetype2=1,Pricetype2=4),IF(F184=0,0,(EURO(F184,Strikeprice2,0,0,($AK184+IF(Smile=TRUE(),VLOOKUP(MAX(-5,Strikeprice2-F184),Volsmile,2),0)),($A184-DateToday)+15,IF(Pricetype2=1,1,0),0))),F184)))</f>
        <v> </v>
      </c>
      <c r="P184" s="318" t="str">
        <f aca="false">IF($A184="N/A"," ",IF(Pricetype2=2,MAX(G184,0),IF(OR(Pricetype2=1,Pricetype2=4),IF(G184=0,0,(EURO(G184,Strikeprice2,0,0,($AK184+IF(Smile=TRUE(),VLOOKUP(MAX(-5,Strikeprice2-G184),Volsmile,2),0)),($A184-DateToday)+15,IF(Pricetype2=1,1,0),0))),G184)))</f>
        <v> </v>
      </c>
      <c r="Q184" s="318" t="str">
        <f aca="false">IF($A184="N/A"," ",IF(Pricetype2=2,MAX(H184,0),IF(OR(Pricetype2=1,Pricetype2=4),IF(H184=0,0,(EURO(H184,Strikeprice2,0,0,($AK184+IF(Smile=TRUE(),VLOOKUP(MAX(-5,Strikeprice2-H184),Volsmile,2),0)),($A184-DateToday)+15,IF(Pricetype2=1,1,0),0))),H184)))</f>
        <v> </v>
      </c>
      <c r="R184" s="318" t="str">
        <f aca="false">IF($A184="N/A"," ",IF(Pricetype2=2,MAX(I184,0),IF(OR(Pricetype2=1,Pricetype2=4),IF(I184=0,0,(EURO(I184,Strikeprice2,0,0,($AK184+IF(Smile=TRUE(),VLOOKUP(MAX(-5,Strikeprice2-I184),Volsmile,2),0)),($A184-DateToday)+15,IF(Pricetype2=1,1,0),0))),I184)))</f>
        <v> </v>
      </c>
      <c r="S184" s="318" t="str">
        <f aca="false">IF($A184="N/A"," ",IF(Pricetype2=2,MAX(J184,0),IF(OR(Pricetype2=1,Pricetype2=4),IF(J184=0,0,(EURO(J184,Strikeprice2,0,0,($AK184+IF(Smile=TRUE(),VLOOKUP(MAX(-5,Strikeprice2-J184),Volsmile,2),0)),($A184-DateToday)+15,IF(Pricetype2=1,1,0),0))),J184)))</f>
        <v> </v>
      </c>
      <c r="T184" s="318" t="str">
        <f aca="false">IF($A184="N/A"," ",IF(Pricetype2=2,MAX(K184,0),IF(OR(Pricetype2=1,Pricetype2=4),IF(K184=0,0,(EURO(K184,Strikeprice2,0,0,($AK184+IF(Smile=TRUE(),VLOOKUP(MAX(-5,Strikeprice2-K184),Volsmile,2),0)),($A184-DateToday)+15,IF(Pricetype2=1,1,0),0))),K184)))</f>
        <v> </v>
      </c>
      <c r="U184" s="319" t="str">
        <f aca="false">IF($A184="N/A"," ",Volume2*$AM184)</f>
        <v> </v>
      </c>
      <c r="V184" s="320" t="str">
        <f aca="false">IF($A184="N/A"," ",$U184*(8*($BQ184))*L184)</f>
        <v> </v>
      </c>
      <c r="W184" s="320" t="str">
        <f aca="false">IF($A184="N/A"," ",$U184*(8*($BQ184))*M184)</f>
        <v> </v>
      </c>
      <c r="X184" s="320" t="str">
        <f aca="false">IF($A184="N/A"," ",$U184*(8*($BQ184))*N184)</f>
        <v> </v>
      </c>
      <c r="Y184" s="320" t="str">
        <f aca="false">IF($A184="N/A"," ",$U184*(8*($BR184))*O184)</f>
        <v> </v>
      </c>
      <c r="Z184" s="320" t="str">
        <f aca="false">IF($A184="N/A"," ",$U184*(8*($BR184))*P184)</f>
        <v> </v>
      </c>
      <c r="AA184" s="320" t="str">
        <f aca="false">IF($A184="N/A"," ",$U184*(8*($BR184))*Q184)</f>
        <v> </v>
      </c>
      <c r="AB184" s="320" t="str">
        <f aca="false">IF($A184="N/A"," ",$U184*(8*($BS184))*R184)</f>
        <v> </v>
      </c>
      <c r="AC184" s="320" t="str">
        <f aca="false">IF($A184="N/A"," ",$U184*(8*($BS184))*S184)</f>
        <v> </v>
      </c>
      <c r="AD184" s="320" t="str">
        <f aca="false">IF($A184="N/A"," ",$U184*(8*($BS184))*T184)</f>
        <v> </v>
      </c>
      <c r="AE184" s="320" t="str">
        <f aca="false">IF($A184="N/A"," ",SUM(V184:AD184))</f>
        <v> </v>
      </c>
      <c r="AF184" s="321" t="str">
        <f aca="false">IF(A184="N/A"," ",(VLOOKUP(A184,PowerVolTable,(IF(VolBMO2=2,7,IF(VolBMO2=1,6,8))),FALSE())))</f>
        <v> </v>
      </c>
      <c r="AG184" s="321" t="str">
        <f aca="false">IF(A184="N/A"," ",(VLOOKUP(A184,IntraPowerVol,(IF(VolBMO2=2,3,IF(VolBMO2=1,2,4))),FALSE())*VLOOKUP(MONTH($A184),Volscale,2)))</f>
        <v> </v>
      </c>
      <c r="AH184" s="321" t="str">
        <f aca="false">IF($A184="N/A"," ",IF(VolType2=1,AG184,AF184))</f>
        <v> </v>
      </c>
      <c r="AI184" s="321" t="str">
        <f aca="false">IF($A184="N/A"," ",(VLOOKUP($A184,OffPwrVolTable,(IF(VolBMO2=2,7,IF(VolBMO2=1,6,8))),FALSE())))</f>
        <v> </v>
      </c>
      <c r="AJ184" s="321" t="str">
        <f aca="false">IF($A184="N/A"," ",(VLOOKUP($A184,OffPwrVolTable,(IF(VolBMO2=2,3,IF(VolBMO2=1,2,4))),FALSE())*VLOOKUP(MONTH($A184),Volscale,2)))</f>
        <v> </v>
      </c>
      <c r="AK184" s="321" t="str">
        <f aca="false">IF($A184="N/A"," ",IF(VolType2=1,AJ184,AI184))</f>
        <v> </v>
      </c>
      <c r="AL184" s="321" t="str">
        <f aca="false">IF($A184="N/A"," ",IF(PV=1,0,'Pricing Inputs2'!R217))</f>
        <v> </v>
      </c>
      <c r="AM184" s="323" t="str">
        <f aca="false">IF($A184="N/A"," ",(1+AL184/2)^(-2*((EOMONTH(A184,0)+20)-DateToday)/365.25))</f>
        <v> </v>
      </c>
      <c r="BQ184" s="0" t="str">
        <f aca="false">IF($A184="N/A"," ",(VLOOKUP($A184,NumberofDaysTable,2)))</f>
        <v> </v>
      </c>
      <c r="BR184" s="0" t="str">
        <f aca="false">IF($A184="N/A"," ",(VLOOKUP($A184,NumberofDaysTable,3)))</f>
        <v> </v>
      </c>
      <c r="BS184" s="0" t="str">
        <f aca="false">IF($A184="N/A"," ",(VLOOKUP($A184,NumberofDaysTable,4)))</f>
        <v> </v>
      </c>
    </row>
    <row r="185" customFormat="false" ht="12.75" hidden="false" customHeight="false" outlineLevel="0" collapsed="false">
      <c r="A185" s="315" t="str">
        <f aca="false">IF(A184="N/A","N/A",IF(EDATE(A184,1)&gt;Inputs!$P$5,"N/A",EDATE(A184,1)))</f>
        <v>N/A</v>
      </c>
      <c r="B185" s="316" t="str">
        <f aca="false">IF(A185="N/A"," ",YEAR(A185))</f>
        <v> </v>
      </c>
      <c r="C185" s="317" t="str">
        <f aca="false">IF($A185="N/A"," ",IF(Dayrun2=10,0,IF(Scaler2=1,(VLOOKUP(A185,ScaledPrice2,4)),(VLOOKUP(A185,ScaledPrice2,2)))))</f>
        <v> </v>
      </c>
      <c r="D185" s="317" t="str">
        <f aca="false">IF(A185="N/A"," ",IF(Dayrun2&gt;=7,0,IF(Scaler2=2,VLOOKUP(A185,ScaledPrice2,2),(VLOOKUP(A185,ScaledPrice2,2))*(2-(VLOOKUP(A185,ScaledPrice2,3))))))</f>
        <v> </v>
      </c>
      <c r="E185" s="317" t="str">
        <f aca="false">IF($A185="N/A"," ",IF(AND(Dayrun2&gt;=4,Dayrun2&lt;=9),0,VLOOKUP($A185,ScaledPrice2,9)))</f>
        <v> </v>
      </c>
      <c r="F185" s="317" t="str">
        <f aca="false">IF(A185="N/A"," ",IF(OR(Dayrun2=2,Dayrun2=3,Dayrun2=5,Dayrun2=6,Dayrun2=8,Dayrun2=9),VLOOKUP(A185,ScaledPrice2,IF(Scaler2=1,6,5)),0))</f>
        <v> </v>
      </c>
      <c r="G185" s="317" t="str">
        <f aca="false">IF(A185="N/A"," ",IF(OR(Dayrun2=2,Dayrun2=3,Dayrun2=5,Dayrun2=6),IF(Scaler2=2,F185,(VLOOKUP(A185,ScaledPrice2,5))*(2-(VLOOKUP(A185,ScaledPrice2,3)))),0))</f>
        <v> </v>
      </c>
      <c r="H185" s="317" t="str">
        <f aca="false">IF($A185="N/A"," ",IF(OR(Dayrun2=2,Dayrun2=3,Dayrun2=10),VLOOKUP($A185,ScaledPrice2,9),0))</f>
        <v> </v>
      </c>
      <c r="I185" s="317" t="str">
        <f aca="false">IF(A185="N/A"," ",IF(OR(Dayrun2=3,Dayrun2=6,Dayrun2=9),(VLOOKUP(A185,ScaledPrice2,IF(Scaler2=2,7,8))),0))</f>
        <v> </v>
      </c>
      <c r="J185" s="317" t="str">
        <f aca="false">IF(A185="N/A"," ",IF(OR(Dayrun2=3,Dayrun2=6),IF(Scaler2=2,I185,(VLOOKUP(A185,ScaledPrice2,7))*(2-(VLOOKUP(A185,ScaledPrice2,3)))),0))</f>
        <v> </v>
      </c>
      <c r="K185" s="317" t="str">
        <f aca="false">IF($A185="N/A"," ",IF(OR(Dayrun2=3,Dayrun2=10),VLOOKUP($A185,ScaledPrice2,9),0))</f>
        <v> </v>
      </c>
      <c r="L185" s="318" t="str">
        <f aca="false">IF($A185="N/A"," ",IF(Pricetype2=2,MAX(C185,0),IF(OR(Pricetype2=1,Pricetype2=4),IF(C185=0,0,(EURO(C185,Strikeprice2,0,0,($AH185+IF(Smile=TRUE(),VLOOKUP(MAX(-5,Strikeprice2-C185),Volsmile,2),0)),($A185-DateToday)+15,IF(Pricetype2=1,1,0),0))),C185)))</f>
        <v> </v>
      </c>
      <c r="M185" s="318" t="str">
        <f aca="false">IF($A185="N/A"," ",IF(Pricetype2=2,MAX(D185,0),IF(OR(Pricetype2=1,Pricetype2=4),IF(D185=0,0,(EURO(D185,Strikeprice2,0,0,($AH185+IF(Smile=TRUE(),VLOOKUP(MAX(-5,Strikeprice2-D185),Volsmile,2),0)),($A185-DateToday)+15,IF(Pricetype2=1,1,0),0))),D185)))</f>
        <v> </v>
      </c>
      <c r="N185" s="318" t="str">
        <f aca="false">IF($A185="N/A"," ",IF(Pricetype2=2,MAX(E185,0),IF(OR(Pricetype2=1,Pricetype2=4),IF(E185=0,0,(EURO(E185,Strikeprice2,0,0,($AK185+IF(Smile=TRUE(),VLOOKUP(MAX(-5,Strikeprice2-E185),Volsmile,2),0)),($A185-DateToday)+15,IF(Pricetype2=1,1,0),0))),E185)))</f>
        <v> </v>
      </c>
      <c r="O185" s="318" t="str">
        <f aca="false">IF($A185="N/A"," ",IF(Pricetype2=2,MAX(F185,0),IF(OR(Pricetype2=1,Pricetype2=4),IF(F185=0,0,(EURO(F185,Strikeprice2,0,0,($AK185+IF(Smile=TRUE(),VLOOKUP(MAX(-5,Strikeprice2-F185),Volsmile,2),0)),($A185-DateToday)+15,IF(Pricetype2=1,1,0),0))),F185)))</f>
        <v> </v>
      </c>
      <c r="P185" s="318" t="str">
        <f aca="false">IF($A185="N/A"," ",IF(Pricetype2=2,MAX(G185,0),IF(OR(Pricetype2=1,Pricetype2=4),IF(G185=0,0,(EURO(G185,Strikeprice2,0,0,($AK185+IF(Smile=TRUE(),VLOOKUP(MAX(-5,Strikeprice2-G185),Volsmile,2),0)),($A185-DateToday)+15,IF(Pricetype2=1,1,0),0))),G185)))</f>
        <v> </v>
      </c>
      <c r="Q185" s="318" t="str">
        <f aca="false">IF($A185="N/A"," ",IF(Pricetype2=2,MAX(H185,0),IF(OR(Pricetype2=1,Pricetype2=4),IF(H185=0,0,(EURO(H185,Strikeprice2,0,0,($AK185+IF(Smile=TRUE(),VLOOKUP(MAX(-5,Strikeprice2-H185),Volsmile,2),0)),($A185-DateToday)+15,IF(Pricetype2=1,1,0),0))),H185)))</f>
        <v> </v>
      </c>
      <c r="R185" s="318" t="str">
        <f aca="false">IF($A185="N/A"," ",IF(Pricetype2=2,MAX(I185,0),IF(OR(Pricetype2=1,Pricetype2=4),IF(I185=0,0,(EURO(I185,Strikeprice2,0,0,($AK185+IF(Smile=TRUE(),VLOOKUP(MAX(-5,Strikeprice2-I185),Volsmile,2),0)),($A185-DateToday)+15,IF(Pricetype2=1,1,0),0))),I185)))</f>
        <v> </v>
      </c>
      <c r="S185" s="318" t="str">
        <f aca="false">IF($A185="N/A"," ",IF(Pricetype2=2,MAX(J185,0),IF(OR(Pricetype2=1,Pricetype2=4),IF(J185=0,0,(EURO(J185,Strikeprice2,0,0,($AK185+IF(Smile=TRUE(),VLOOKUP(MAX(-5,Strikeprice2-J185),Volsmile,2),0)),($A185-DateToday)+15,IF(Pricetype2=1,1,0),0))),J185)))</f>
        <v> </v>
      </c>
      <c r="T185" s="318" t="str">
        <f aca="false">IF($A185="N/A"," ",IF(Pricetype2=2,MAX(K185,0),IF(OR(Pricetype2=1,Pricetype2=4),IF(K185=0,0,(EURO(K185,Strikeprice2,0,0,($AK185+IF(Smile=TRUE(),VLOOKUP(MAX(-5,Strikeprice2-K185),Volsmile,2),0)),($A185-DateToday)+15,IF(Pricetype2=1,1,0),0))),K185)))</f>
        <v> </v>
      </c>
      <c r="U185" s="319" t="str">
        <f aca="false">IF($A185="N/A"," ",Volume2*$AM185)</f>
        <v> </v>
      </c>
      <c r="V185" s="320" t="str">
        <f aca="false">IF($A185="N/A"," ",$U185*(8*($BQ185))*L185)</f>
        <v> </v>
      </c>
      <c r="W185" s="320" t="str">
        <f aca="false">IF($A185="N/A"," ",$U185*(8*($BQ185))*M185)</f>
        <v> </v>
      </c>
      <c r="X185" s="320" t="str">
        <f aca="false">IF($A185="N/A"," ",$U185*(8*($BQ185))*N185)</f>
        <v> </v>
      </c>
      <c r="Y185" s="320" t="str">
        <f aca="false">IF($A185="N/A"," ",$U185*(8*($BR185))*O185)</f>
        <v> </v>
      </c>
      <c r="Z185" s="320" t="str">
        <f aca="false">IF($A185="N/A"," ",$U185*(8*($BR185))*P185)</f>
        <v> </v>
      </c>
      <c r="AA185" s="320" t="str">
        <f aca="false">IF($A185="N/A"," ",$U185*(8*($BR185))*Q185)</f>
        <v> </v>
      </c>
      <c r="AB185" s="320" t="str">
        <f aca="false">IF($A185="N/A"," ",$U185*(8*($BS185))*R185)</f>
        <v> </v>
      </c>
      <c r="AC185" s="320" t="str">
        <f aca="false">IF($A185="N/A"," ",$U185*(8*($BS185))*S185)</f>
        <v> </v>
      </c>
      <c r="AD185" s="320" t="str">
        <f aca="false">IF($A185="N/A"," ",$U185*(8*($BS185))*T185)</f>
        <v> </v>
      </c>
      <c r="AE185" s="320" t="str">
        <f aca="false">IF($A185="N/A"," ",SUM(V185:AD185))</f>
        <v> </v>
      </c>
      <c r="AF185" s="321" t="str">
        <f aca="false">IF(A185="N/A"," ",(VLOOKUP(A185,PowerVolTable,(IF(VolBMO2=2,7,IF(VolBMO2=1,6,8))),FALSE())))</f>
        <v> </v>
      </c>
      <c r="AG185" s="321" t="str">
        <f aca="false">IF(A185="N/A"," ",(VLOOKUP(A185,IntraPowerVol,(IF(VolBMO2=2,3,IF(VolBMO2=1,2,4))),FALSE())*VLOOKUP(MONTH($A185),Volscale,2)))</f>
        <v> </v>
      </c>
      <c r="AH185" s="321" t="str">
        <f aca="false">IF($A185="N/A"," ",IF(VolType2=1,AG185,AF185))</f>
        <v> </v>
      </c>
      <c r="AI185" s="321" t="str">
        <f aca="false">IF($A185="N/A"," ",(VLOOKUP($A185,OffPwrVolTable,(IF(VolBMO2=2,7,IF(VolBMO2=1,6,8))),FALSE())))</f>
        <v> </v>
      </c>
      <c r="AJ185" s="321" t="str">
        <f aca="false">IF($A185="N/A"," ",(VLOOKUP($A185,OffPwrVolTable,(IF(VolBMO2=2,3,IF(VolBMO2=1,2,4))),FALSE())*VLOOKUP(MONTH($A185),Volscale,2)))</f>
        <v> </v>
      </c>
      <c r="AK185" s="321" t="str">
        <f aca="false">IF($A185="N/A"," ",IF(VolType2=1,AJ185,AI185))</f>
        <v> </v>
      </c>
      <c r="AL185" s="321" t="str">
        <f aca="false">IF($A185="N/A"," ",IF(PV=1,0,'Pricing Inputs2'!R218))</f>
        <v> </v>
      </c>
      <c r="AM185" s="323" t="str">
        <f aca="false">IF($A185="N/A"," ",(1+AL185/2)^(-2*((EOMONTH(A185,0)+20)-DateToday)/365.25))</f>
        <v> </v>
      </c>
      <c r="BQ185" s="0" t="str">
        <f aca="false">IF($A185="N/A"," ",(VLOOKUP($A185,NumberofDaysTable,2)))</f>
        <v> </v>
      </c>
      <c r="BR185" s="0" t="str">
        <f aca="false">IF($A185="N/A"," ",(VLOOKUP($A185,NumberofDaysTable,3)))</f>
        <v> </v>
      </c>
      <c r="BS185" s="0" t="str">
        <f aca="false">IF($A185="N/A"," ",(VLOOKUP($A185,NumberofDaysTable,4)))</f>
        <v> </v>
      </c>
    </row>
    <row r="186" customFormat="false" ht="12.75" hidden="false" customHeight="false" outlineLevel="0" collapsed="false">
      <c r="A186" s="315" t="str">
        <f aca="false">IF(A185="N/A","N/A",IF(EDATE(A185,1)&gt;Inputs!$P$5,"N/A",EDATE(A185,1)))</f>
        <v>N/A</v>
      </c>
      <c r="B186" s="316" t="str">
        <f aca="false">IF(A186="N/A"," ",YEAR(A186))</f>
        <v> </v>
      </c>
      <c r="C186" s="317" t="str">
        <f aca="false">IF($A186="N/A"," ",IF(Dayrun2=10,0,IF(Scaler2=1,(VLOOKUP(A186,ScaledPrice2,4)),(VLOOKUP(A186,ScaledPrice2,2)))))</f>
        <v> </v>
      </c>
      <c r="D186" s="317" t="str">
        <f aca="false">IF(A186="N/A"," ",IF(Dayrun2&gt;=7,0,IF(Scaler2=2,VLOOKUP(A186,ScaledPrice2,2),(VLOOKUP(A186,ScaledPrice2,2))*(2-(VLOOKUP(A186,ScaledPrice2,3))))))</f>
        <v> </v>
      </c>
      <c r="E186" s="317" t="str">
        <f aca="false">IF($A186="N/A"," ",IF(AND(Dayrun2&gt;=4,Dayrun2&lt;=9),0,VLOOKUP($A186,ScaledPrice2,9)))</f>
        <v> </v>
      </c>
      <c r="F186" s="317" t="str">
        <f aca="false">IF(A186="N/A"," ",IF(OR(Dayrun2=2,Dayrun2=3,Dayrun2=5,Dayrun2=6,Dayrun2=8,Dayrun2=9),VLOOKUP(A186,ScaledPrice2,IF(Scaler2=1,6,5)),0))</f>
        <v> </v>
      </c>
      <c r="G186" s="317" t="str">
        <f aca="false">IF(A186="N/A"," ",IF(OR(Dayrun2=2,Dayrun2=3,Dayrun2=5,Dayrun2=6),IF(Scaler2=2,F186,(VLOOKUP(A186,ScaledPrice2,5))*(2-(VLOOKUP(A186,ScaledPrice2,3)))),0))</f>
        <v> </v>
      </c>
      <c r="H186" s="317" t="str">
        <f aca="false">IF($A186="N/A"," ",IF(OR(Dayrun2=2,Dayrun2=3,Dayrun2=10),VLOOKUP($A186,ScaledPrice2,9),0))</f>
        <v> </v>
      </c>
      <c r="I186" s="317" t="str">
        <f aca="false">IF(A186="N/A"," ",IF(OR(Dayrun2=3,Dayrun2=6,Dayrun2=9),(VLOOKUP(A186,ScaledPrice2,IF(Scaler2=2,7,8))),0))</f>
        <v> </v>
      </c>
      <c r="J186" s="317" t="str">
        <f aca="false">IF(A186="N/A"," ",IF(OR(Dayrun2=3,Dayrun2=6),IF(Scaler2=2,I186,(VLOOKUP(A186,ScaledPrice2,7))*(2-(VLOOKUP(A186,ScaledPrice2,3)))),0))</f>
        <v> </v>
      </c>
      <c r="K186" s="317" t="str">
        <f aca="false">IF($A186="N/A"," ",IF(OR(Dayrun2=3,Dayrun2=10),VLOOKUP($A186,ScaledPrice2,9),0))</f>
        <v> </v>
      </c>
      <c r="L186" s="318" t="str">
        <f aca="false">IF($A186="N/A"," ",IF(Pricetype2=2,MAX(C186,0),IF(OR(Pricetype2=1,Pricetype2=4),IF(C186=0,0,(EURO(C186,Strikeprice2,0,0,($AH186+IF(Smile=TRUE(),VLOOKUP(MAX(-5,Strikeprice2-C186),Volsmile,2),0)),($A186-DateToday)+15,IF(Pricetype2=1,1,0),0))),C186)))</f>
        <v> </v>
      </c>
      <c r="M186" s="318" t="str">
        <f aca="false">IF($A186="N/A"," ",IF(Pricetype2=2,MAX(D186,0),IF(OR(Pricetype2=1,Pricetype2=4),IF(D186=0,0,(EURO(D186,Strikeprice2,0,0,($AH186+IF(Smile=TRUE(),VLOOKUP(MAX(-5,Strikeprice2-D186),Volsmile,2),0)),($A186-DateToday)+15,IF(Pricetype2=1,1,0),0))),D186)))</f>
        <v> </v>
      </c>
      <c r="N186" s="318" t="str">
        <f aca="false">IF($A186="N/A"," ",IF(Pricetype2=2,MAX(E186,0),IF(OR(Pricetype2=1,Pricetype2=4),IF(E186=0,0,(EURO(E186,Strikeprice2,0,0,($AK186+IF(Smile=TRUE(),VLOOKUP(MAX(-5,Strikeprice2-E186),Volsmile,2),0)),($A186-DateToday)+15,IF(Pricetype2=1,1,0),0))),E186)))</f>
        <v> </v>
      </c>
      <c r="O186" s="318" t="str">
        <f aca="false">IF($A186="N/A"," ",IF(Pricetype2=2,MAX(F186,0),IF(OR(Pricetype2=1,Pricetype2=4),IF(F186=0,0,(EURO(F186,Strikeprice2,0,0,($AK186+IF(Smile=TRUE(),VLOOKUP(MAX(-5,Strikeprice2-F186),Volsmile,2),0)),($A186-DateToday)+15,IF(Pricetype2=1,1,0),0))),F186)))</f>
        <v> </v>
      </c>
      <c r="P186" s="318" t="str">
        <f aca="false">IF($A186="N/A"," ",IF(Pricetype2=2,MAX(G186,0),IF(OR(Pricetype2=1,Pricetype2=4),IF(G186=0,0,(EURO(G186,Strikeprice2,0,0,($AK186+IF(Smile=TRUE(),VLOOKUP(MAX(-5,Strikeprice2-G186),Volsmile,2),0)),($A186-DateToday)+15,IF(Pricetype2=1,1,0),0))),G186)))</f>
        <v> </v>
      </c>
      <c r="Q186" s="318" t="str">
        <f aca="false">IF($A186="N/A"," ",IF(Pricetype2=2,MAX(H186,0),IF(OR(Pricetype2=1,Pricetype2=4),IF(H186=0,0,(EURO(H186,Strikeprice2,0,0,($AK186+IF(Smile=TRUE(),VLOOKUP(MAX(-5,Strikeprice2-H186),Volsmile,2),0)),($A186-DateToday)+15,IF(Pricetype2=1,1,0),0))),H186)))</f>
        <v> </v>
      </c>
      <c r="R186" s="318" t="str">
        <f aca="false">IF($A186="N/A"," ",IF(Pricetype2=2,MAX(I186,0),IF(OR(Pricetype2=1,Pricetype2=4),IF(I186=0,0,(EURO(I186,Strikeprice2,0,0,($AK186+IF(Smile=TRUE(),VLOOKUP(MAX(-5,Strikeprice2-I186),Volsmile,2),0)),($A186-DateToday)+15,IF(Pricetype2=1,1,0),0))),I186)))</f>
        <v> </v>
      </c>
      <c r="S186" s="318" t="str">
        <f aca="false">IF($A186="N/A"," ",IF(Pricetype2=2,MAX(J186,0),IF(OR(Pricetype2=1,Pricetype2=4),IF(J186=0,0,(EURO(J186,Strikeprice2,0,0,($AK186+IF(Smile=TRUE(),VLOOKUP(MAX(-5,Strikeprice2-J186),Volsmile,2),0)),($A186-DateToday)+15,IF(Pricetype2=1,1,0),0))),J186)))</f>
        <v> </v>
      </c>
      <c r="T186" s="318" t="str">
        <f aca="false">IF($A186="N/A"," ",IF(Pricetype2=2,MAX(K186,0),IF(OR(Pricetype2=1,Pricetype2=4),IF(K186=0,0,(EURO(K186,Strikeprice2,0,0,($AK186+IF(Smile=TRUE(),VLOOKUP(MAX(-5,Strikeprice2-K186),Volsmile,2),0)),($A186-DateToday)+15,IF(Pricetype2=1,1,0),0))),K186)))</f>
        <v> </v>
      </c>
      <c r="U186" s="319" t="str">
        <f aca="false">IF($A186="N/A"," ",Volume2*$AM186)</f>
        <v> </v>
      </c>
      <c r="V186" s="320" t="str">
        <f aca="false">IF($A186="N/A"," ",$U186*(8*($BQ186))*L186)</f>
        <v> </v>
      </c>
      <c r="W186" s="320" t="str">
        <f aca="false">IF($A186="N/A"," ",$U186*(8*($BQ186))*M186)</f>
        <v> </v>
      </c>
      <c r="X186" s="320" t="str">
        <f aca="false">IF($A186="N/A"," ",$U186*(8*($BQ186))*N186)</f>
        <v> </v>
      </c>
      <c r="Y186" s="320" t="str">
        <f aca="false">IF($A186="N/A"," ",$U186*(8*($BR186))*O186)</f>
        <v> </v>
      </c>
      <c r="Z186" s="320" t="str">
        <f aca="false">IF($A186="N/A"," ",$U186*(8*($BR186))*P186)</f>
        <v> </v>
      </c>
      <c r="AA186" s="320" t="str">
        <f aca="false">IF($A186="N/A"," ",$U186*(8*($BR186))*Q186)</f>
        <v> </v>
      </c>
      <c r="AB186" s="320" t="str">
        <f aca="false">IF($A186="N/A"," ",$U186*(8*($BS186))*R186)</f>
        <v> </v>
      </c>
      <c r="AC186" s="320" t="str">
        <f aca="false">IF($A186="N/A"," ",$U186*(8*($BS186))*S186)</f>
        <v> </v>
      </c>
      <c r="AD186" s="320" t="str">
        <f aca="false">IF($A186="N/A"," ",$U186*(8*($BS186))*T186)</f>
        <v> </v>
      </c>
      <c r="AE186" s="320" t="str">
        <f aca="false">IF($A186="N/A"," ",SUM(V186:AD186))</f>
        <v> </v>
      </c>
      <c r="AF186" s="321" t="str">
        <f aca="false">IF(A186="N/A"," ",(VLOOKUP(A186,PowerVolTable,(IF(VolBMO2=2,7,IF(VolBMO2=1,6,8))),FALSE())))</f>
        <v> </v>
      </c>
      <c r="AG186" s="321" t="str">
        <f aca="false">IF(A186="N/A"," ",(VLOOKUP(A186,IntraPowerVol,(IF(VolBMO2=2,3,IF(VolBMO2=1,2,4))),FALSE())*VLOOKUP(MONTH($A186),Volscale,2)))</f>
        <v> </v>
      </c>
      <c r="AH186" s="321" t="str">
        <f aca="false">IF($A186="N/A"," ",IF(VolType2=1,AG186,AF186))</f>
        <v> </v>
      </c>
      <c r="AI186" s="321" t="str">
        <f aca="false">IF($A186="N/A"," ",(VLOOKUP($A186,OffPwrVolTable,(IF(VolBMO2=2,7,IF(VolBMO2=1,6,8))),FALSE())))</f>
        <v> </v>
      </c>
      <c r="AJ186" s="321" t="str">
        <f aca="false">IF($A186="N/A"," ",(VLOOKUP($A186,OffPwrVolTable,(IF(VolBMO2=2,3,IF(VolBMO2=1,2,4))),FALSE())*VLOOKUP(MONTH($A186),Volscale,2)))</f>
        <v> </v>
      </c>
      <c r="AK186" s="321" t="str">
        <f aca="false">IF($A186="N/A"," ",IF(VolType2=1,AJ186,AI186))</f>
        <v> </v>
      </c>
      <c r="AL186" s="321" t="str">
        <f aca="false">IF($A186="N/A"," ",IF(PV=1,0,'Pricing Inputs2'!R219))</f>
        <v> </v>
      </c>
      <c r="AM186" s="323" t="str">
        <f aca="false">IF($A186="N/A"," ",(1+AL186/2)^(-2*((EOMONTH(A186,0)+20)-DateToday)/365.25))</f>
        <v> </v>
      </c>
      <c r="BQ186" s="0" t="str">
        <f aca="false">IF($A186="N/A"," ",(VLOOKUP($A186,NumberofDaysTable,2)))</f>
        <v> </v>
      </c>
      <c r="BR186" s="0" t="str">
        <f aca="false">IF($A186="N/A"," ",(VLOOKUP($A186,NumberofDaysTable,3)))</f>
        <v> </v>
      </c>
      <c r="BS186" s="0" t="str">
        <f aca="false">IF($A186="N/A"," ",(VLOOKUP($A186,NumberofDaysTable,4)))</f>
        <v> </v>
      </c>
    </row>
    <row r="187" customFormat="false" ht="12.75" hidden="false" customHeight="false" outlineLevel="0" collapsed="false">
      <c r="A187" s="315" t="str">
        <f aca="false">IF(A186="N/A","N/A",IF(EDATE(A186,1)&gt;Inputs!$P$5,"N/A",EDATE(A186,1)))</f>
        <v>N/A</v>
      </c>
      <c r="B187" s="316" t="str">
        <f aca="false">IF(A187="N/A"," ",YEAR(A187))</f>
        <v> </v>
      </c>
      <c r="C187" s="317" t="str">
        <f aca="false">IF($A187="N/A"," ",IF(Dayrun2=10,0,IF(Scaler2=1,(VLOOKUP(A187,ScaledPrice2,4)),(VLOOKUP(A187,ScaledPrice2,2)))))</f>
        <v> </v>
      </c>
      <c r="D187" s="317" t="str">
        <f aca="false">IF(A187="N/A"," ",IF(Dayrun2&gt;=7,0,IF(Scaler2=2,VLOOKUP(A187,ScaledPrice2,2),(VLOOKUP(A187,ScaledPrice2,2))*(2-(VLOOKUP(A187,ScaledPrice2,3))))))</f>
        <v> </v>
      </c>
      <c r="E187" s="317" t="str">
        <f aca="false">IF($A187="N/A"," ",IF(AND(Dayrun2&gt;=4,Dayrun2&lt;=9),0,VLOOKUP($A187,ScaledPrice2,9)))</f>
        <v> </v>
      </c>
      <c r="F187" s="317" t="str">
        <f aca="false">IF(A187="N/A"," ",IF(OR(Dayrun2=2,Dayrun2=3,Dayrun2=5,Dayrun2=6,Dayrun2=8,Dayrun2=9),VLOOKUP(A187,ScaledPrice2,IF(Scaler2=1,6,5)),0))</f>
        <v> </v>
      </c>
      <c r="G187" s="317" t="str">
        <f aca="false">IF(A187="N/A"," ",IF(OR(Dayrun2=2,Dayrun2=3,Dayrun2=5,Dayrun2=6),IF(Scaler2=2,F187,(VLOOKUP(A187,ScaledPrice2,5))*(2-(VLOOKUP(A187,ScaledPrice2,3)))),0))</f>
        <v> </v>
      </c>
      <c r="H187" s="317" t="str">
        <f aca="false">IF($A187="N/A"," ",IF(OR(Dayrun2=2,Dayrun2=3,Dayrun2=10),VLOOKUP($A187,ScaledPrice2,9),0))</f>
        <v> </v>
      </c>
      <c r="I187" s="317" t="str">
        <f aca="false">IF(A187="N/A"," ",IF(OR(Dayrun2=3,Dayrun2=6,Dayrun2=9),(VLOOKUP(A187,ScaledPrice2,IF(Scaler2=2,7,8))),0))</f>
        <v> </v>
      </c>
      <c r="J187" s="317" t="str">
        <f aca="false">IF(A187="N/A"," ",IF(OR(Dayrun2=3,Dayrun2=6),IF(Scaler2=2,I187,(VLOOKUP(A187,ScaledPrice2,7))*(2-(VLOOKUP(A187,ScaledPrice2,3)))),0))</f>
        <v> </v>
      </c>
      <c r="K187" s="317" t="str">
        <f aca="false">IF($A187="N/A"," ",IF(OR(Dayrun2=3,Dayrun2=10),VLOOKUP($A187,ScaledPrice2,9),0))</f>
        <v> </v>
      </c>
      <c r="L187" s="318" t="str">
        <f aca="false">IF($A187="N/A"," ",IF(Pricetype2=2,MAX(C187,0),IF(OR(Pricetype2=1,Pricetype2=4),IF(C187=0,0,(EURO(C187,Strikeprice2,0,0,($AH187+IF(Smile=TRUE(),VLOOKUP(MAX(-5,Strikeprice2-C187),Volsmile,2),0)),($A187-DateToday)+15,IF(Pricetype2=1,1,0),0))),C187)))</f>
        <v> </v>
      </c>
      <c r="M187" s="318" t="str">
        <f aca="false">IF($A187="N/A"," ",IF(Pricetype2=2,MAX(D187,0),IF(OR(Pricetype2=1,Pricetype2=4),IF(D187=0,0,(EURO(D187,Strikeprice2,0,0,($AH187+IF(Smile=TRUE(),VLOOKUP(MAX(-5,Strikeprice2-D187),Volsmile,2),0)),($A187-DateToday)+15,IF(Pricetype2=1,1,0),0))),D187)))</f>
        <v> </v>
      </c>
      <c r="N187" s="318" t="str">
        <f aca="false">IF($A187="N/A"," ",IF(Pricetype2=2,MAX(E187,0),IF(OR(Pricetype2=1,Pricetype2=4),IF(E187=0,0,(EURO(E187,Strikeprice2,0,0,($AK187+IF(Smile=TRUE(),VLOOKUP(MAX(-5,Strikeprice2-E187),Volsmile,2),0)),($A187-DateToday)+15,IF(Pricetype2=1,1,0),0))),E187)))</f>
        <v> </v>
      </c>
      <c r="O187" s="318" t="str">
        <f aca="false">IF($A187="N/A"," ",IF(Pricetype2=2,MAX(F187,0),IF(OR(Pricetype2=1,Pricetype2=4),IF(F187=0,0,(EURO(F187,Strikeprice2,0,0,($AK187+IF(Smile=TRUE(),VLOOKUP(MAX(-5,Strikeprice2-F187),Volsmile,2),0)),($A187-DateToday)+15,IF(Pricetype2=1,1,0),0))),F187)))</f>
        <v> </v>
      </c>
      <c r="P187" s="318" t="str">
        <f aca="false">IF($A187="N/A"," ",IF(Pricetype2=2,MAX(G187,0),IF(OR(Pricetype2=1,Pricetype2=4),IF(G187=0,0,(EURO(G187,Strikeprice2,0,0,($AK187+IF(Smile=TRUE(),VLOOKUP(MAX(-5,Strikeprice2-G187),Volsmile,2),0)),($A187-DateToday)+15,IF(Pricetype2=1,1,0),0))),G187)))</f>
        <v> </v>
      </c>
      <c r="Q187" s="318" t="str">
        <f aca="false">IF($A187="N/A"," ",IF(Pricetype2=2,MAX(H187,0),IF(OR(Pricetype2=1,Pricetype2=4),IF(H187=0,0,(EURO(H187,Strikeprice2,0,0,($AK187+IF(Smile=TRUE(),VLOOKUP(MAX(-5,Strikeprice2-H187),Volsmile,2),0)),($A187-DateToday)+15,IF(Pricetype2=1,1,0),0))),H187)))</f>
        <v> </v>
      </c>
      <c r="R187" s="318" t="str">
        <f aca="false">IF($A187="N/A"," ",IF(Pricetype2=2,MAX(I187,0),IF(OR(Pricetype2=1,Pricetype2=4),IF(I187=0,0,(EURO(I187,Strikeprice2,0,0,($AK187+IF(Smile=TRUE(),VLOOKUP(MAX(-5,Strikeprice2-I187),Volsmile,2),0)),($A187-DateToday)+15,IF(Pricetype2=1,1,0),0))),I187)))</f>
        <v> </v>
      </c>
      <c r="S187" s="318" t="str">
        <f aca="false">IF($A187="N/A"," ",IF(Pricetype2=2,MAX(J187,0),IF(OR(Pricetype2=1,Pricetype2=4),IF(J187=0,0,(EURO(J187,Strikeprice2,0,0,($AK187+IF(Smile=TRUE(),VLOOKUP(MAX(-5,Strikeprice2-J187),Volsmile,2),0)),($A187-DateToday)+15,IF(Pricetype2=1,1,0),0))),J187)))</f>
        <v> </v>
      </c>
      <c r="T187" s="318" t="str">
        <f aca="false">IF($A187="N/A"," ",IF(Pricetype2=2,MAX(K187,0),IF(OR(Pricetype2=1,Pricetype2=4),IF(K187=0,0,(EURO(K187,Strikeprice2,0,0,($AK187+IF(Smile=TRUE(),VLOOKUP(MAX(-5,Strikeprice2-K187),Volsmile,2),0)),($A187-DateToday)+15,IF(Pricetype2=1,1,0),0))),K187)))</f>
        <v> </v>
      </c>
      <c r="U187" s="319" t="str">
        <f aca="false">IF($A187="N/A"," ",Volume2*$AM187)</f>
        <v> </v>
      </c>
      <c r="V187" s="320" t="str">
        <f aca="false">IF($A187="N/A"," ",$U187*(8*($BQ187))*L187)</f>
        <v> </v>
      </c>
      <c r="W187" s="320" t="str">
        <f aca="false">IF($A187="N/A"," ",$U187*(8*($BQ187))*M187)</f>
        <v> </v>
      </c>
      <c r="X187" s="320" t="str">
        <f aca="false">IF($A187="N/A"," ",$U187*(8*($BQ187))*N187)</f>
        <v> </v>
      </c>
      <c r="Y187" s="320" t="str">
        <f aca="false">IF($A187="N/A"," ",$U187*(8*($BR187))*O187)</f>
        <v> </v>
      </c>
      <c r="Z187" s="320" t="str">
        <f aca="false">IF($A187="N/A"," ",$U187*(8*($BR187))*P187)</f>
        <v> </v>
      </c>
      <c r="AA187" s="320" t="str">
        <f aca="false">IF($A187="N/A"," ",$U187*(8*($BR187))*Q187)</f>
        <v> </v>
      </c>
      <c r="AB187" s="320" t="str">
        <f aca="false">IF($A187="N/A"," ",$U187*(8*($BS187))*R187)</f>
        <v> </v>
      </c>
      <c r="AC187" s="320" t="str">
        <f aca="false">IF($A187="N/A"," ",$U187*(8*($BS187))*S187)</f>
        <v> </v>
      </c>
      <c r="AD187" s="320" t="str">
        <f aca="false">IF($A187="N/A"," ",$U187*(8*($BS187))*T187)</f>
        <v> </v>
      </c>
      <c r="AE187" s="320" t="str">
        <f aca="false">IF($A187="N/A"," ",SUM(V187:AD187))</f>
        <v> </v>
      </c>
      <c r="AF187" s="321" t="str">
        <f aca="false">IF(A187="N/A"," ",(VLOOKUP(A187,PowerVolTable,(IF(VolBMO2=2,7,IF(VolBMO2=1,6,8))),FALSE())))</f>
        <v> </v>
      </c>
      <c r="AG187" s="321" t="str">
        <f aca="false">IF(A187="N/A"," ",(VLOOKUP(A187,IntraPowerVol,(IF(VolBMO2=2,3,IF(VolBMO2=1,2,4))),FALSE())*VLOOKUP(MONTH($A187),Volscale,2)))</f>
        <v> </v>
      </c>
      <c r="AH187" s="321" t="str">
        <f aca="false">IF($A187="N/A"," ",IF(VolType2=1,AG187,AF187))</f>
        <v> </v>
      </c>
      <c r="AI187" s="321" t="str">
        <f aca="false">IF($A187="N/A"," ",(VLOOKUP($A187,OffPwrVolTable,(IF(VolBMO2=2,7,IF(VolBMO2=1,6,8))),FALSE())))</f>
        <v> </v>
      </c>
      <c r="AJ187" s="321" t="str">
        <f aca="false">IF($A187="N/A"," ",(VLOOKUP($A187,OffPwrVolTable,(IF(VolBMO2=2,3,IF(VolBMO2=1,2,4))),FALSE())*VLOOKUP(MONTH($A187),Volscale,2)))</f>
        <v> </v>
      </c>
      <c r="AK187" s="321" t="str">
        <f aca="false">IF($A187="N/A"," ",IF(VolType2=1,AJ187,AI187))</f>
        <v> </v>
      </c>
      <c r="AL187" s="321" t="str">
        <f aca="false">IF($A187="N/A"," ",IF(PV=1,0,'Pricing Inputs2'!R220))</f>
        <v> </v>
      </c>
      <c r="AM187" s="323" t="str">
        <f aca="false">IF($A187="N/A"," ",(1+AL187/2)^(-2*((EOMONTH(A187,0)+20)-DateToday)/365.25))</f>
        <v> </v>
      </c>
      <c r="BQ187" s="0" t="str">
        <f aca="false">IF($A187="N/A"," ",(VLOOKUP($A187,NumberofDaysTable,2)))</f>
        <v> </v>
      </c>
      <c r="BR187" s="0" t="str">
        <f aca="false">IF($A187="N/A"," ",(VLOOKUP($A187,NumberofDaysTable,3)))</f>
        <v> </v>
      </c>
      <c r="BS187" s="0" t="str">
        <f aca="false">IF($A187="N/A"," ",(VLOOKUP($A187,NumberofDaysTable,4)))</f>
        <v> </v>
      </c>
    </row>
    <row r="188" customFormat="false" ht="12.75" hidden="false" customHeight="false" outlineLevel="0" collapsed="false">
      <c r="A188" s="315" t="str">
        <f aca="false">IF(A187="N/A","N/A",IF(EDATE(A187,1)&gt;Inputs!$P$5,"N/A",EDATE(A187,1)))</f>
        <v>N/A</v>
      </c>
      <c r="B188" s="316" t="str">
        <f aca="false">IF(A188="N/A"," ",YEAR(A188))</f>
        <v> </v>
      </c>
      <c r="C188" s="317" t="str">
        <f aca="false">IF($A188="N/A"," ",IF(Dayrun2=10,0,IF(Scaler2=1,(VLOOKUP(A188,ScaledPrice2,4)),(VLOOKUP(A188,ScaledPrice2,2)))))</f>
        <v> </v>
      </c>
      <c r="D188" s="317" t="str">
        <f aca="false">IF(A188="N/A"," ",IF(Dayrun2&gt;=7,0,IF(Scaler2=2,VLOOKUP(A188,ScaledPrice2,2),(VLOOKUP(A188,ScaledPrice2,2))*(2-(VLOOKUP(A188,ScaledPrice2,3))))))</f>
        <v> </v>
      </c>
      <c r="E188" s="317" t="str">
        <f aca="false">IF($A188="N/A"," ",IF(AND(Dayrun2&gt;=4,Dayrun2&lt;=9),0,VLOOKUP($A188,ScaledPrice2,9)))</f>
        <v> </v>
      </c>
      <c r="F188" s="317" t="str">
        <f aca="false">IF(A188="N/A"," ",IF(OR(Dayrun2=2,Dayrun2=3,Dayrun2=5,Dayrun2=6,Dayrun2=8,Dayrun2=9),VLOOKUP(A188,ScaledPrice2,IF(Scaler2=1,6,5)),0))</f>
        <v> </v>
      </c>
      <c r="G188" s="317" t="str">
        <f aca="false">IF(A188="N/A"," ",IF(OR(Dayrun2=2,Dayrun2=3,Dayrun2=5,Dayrun2=6),IF(Scaler2=2,F188,(VLOOKUP(A188,ScaledPrice2,5))*(2-(VLOOKUP(A188,ScaledPrice2,3)))),0))</f>
        <v> </v>
      </c>
      <c r="H188" s="317" t="str">
        <f aca="false">IF($A188="N/A"," ",IF(OR(Dayrun2=2,Dayrun2=3,Dayrun2=10),VLOOKUP($A188,ScaledPrice2,9),0))</f>
        <v> </v>
      </c>
      <c r="I188" s="317" t="str">
        <f aca="false">IF(A188="N/A"," ",IF(OR(Dayrun2=3,Dayrun2=6,Dayrun2=9),(VLOOKUP(A188,ScaledPrice2,IF(Scaler2=2,7,8))),0))</f>
        <v> </v>
      </c>
      <c r="J188" s="317" t="str">
        <f aca="false">IF(A188="N/A"," ",IF(OR(Dayrun2=3,Dayrun2=6),IF(Scaler2=2,I188,(VLOOKUP(A188,ScaledPrice2,7))*(2-(VLOOKUP(A188,ScaledPrice2,3)))),0))</f>
        <v> </v>
      </c>
      <c r="K188" s="317" t="str">
        <f aca="false">IF($A188="N/A"," ",IF(OR(Dayrun2=3,Dayrun2=10),VLOOKUP($A188,ScaledPrice2,9),0))</f>
        <v> </v>
      </c>
      <c r="L188" s="318" t="str">
        <f aca="false">IF($A188="N/A"," ",IF(Pricetype2=2,MAX(C188,0),IF(OR(Pricetype2=1,Pricetype2=4),IF(C188=0,0,(EURO(C188,Strikeprice2,0,0,($AH188+IF(Smile=TRUE(),VLOOKUP(MAX(-5,Strikeprice2-C188),Volsmile,2),0)),($A188-DateToday)+15,IF(Pricetype2=1,1,0),0))),C188)))</f>
        <v> </v>
      </c>
      <c r="M188" s="318" t="str">
        <f aca="false">IF($A188="N/A"," ",IF(Pricetype2=2,MAX(D188,0),IF(OR(Pricetype2=1,Pricetype2=4),IF(D188=0,0,(EURO(D188,Strikeprice2,0,0,($AH188+IF(Smile=TRUE(),VLOOKUP(MAX(-5,Strikeprice2-D188),Volsmile,2),0)),($A188-DateToday)+15,IF(Pricetype2=1,1,0),0))),D188)))</f>
        <v> </v>
      </c>
      <c r="N188" s="318" t="str">
        <f aca="false">IF($A188="N/A"," ",IF(Pricetype2=2,MAX(E188,0),IF(OR(Pricetype2=1,Pricetype2=4),IF(E188=0,0,(EURO(E188,Strikeprice2,0,0,($AK188+IF(Smile=TRUE(),VLOOKUP(MAX(-5,Strikeprice2-E188),Volsmile,2),0)),($A188-DateToday)+15,IF(Pricetype2=1,1,0),0))),E188)))</f>
        <v> </v>
      </c>
      <c r="O188" s="318" t="str">
        <f aca="false">IF($A188="N/A"," ",IF(Pricetype2=2,MAX(F188,0),IF(OR(Pricetype2=1,Pricetype2=4),IF(F188=0,0,(EURO(F188,Strikeprice2,0,0,($AK188+IF(Smile=TRUE(),VLOOKUP(MAX(-5,Strikeprice2-F188),Volsmile,2),0)),($A188-DateToday)+15,IF(Pricetype2=1,1,0),0))),F188)))</f>
        <v> </v>
      </c>
      <c r="P188" s="318" t="str">
        <f aca="false">IF($A188="N/A"," ",IF(Pricetype2=2,MAX(G188,0),IF(OR(Pricetype2=1,Pricetype2=4),IF(G188=0,0,(EURO(G188,Strikeprice2,0,0,($AK188+IF(Smile=TRUE(),VLOOKUP(MAX(-5,Strikeprice2-G188),Volsmile,2),0)),($A188-DateToday)+15,IF(Pricetype2=1,1,0),0))),G188)))</f>
        <v> </v>
      </c>
      <c r="Q188" s="318" t="str">
        <f aca="false">IF($A188="N/A"," ",IF(Pricetype2=2,MAX(H188,0),IF(OR(Pricetype2=1,Pricetype2=4),IF(H188=0,0,(EURO(H188,Strikeprice2,0,0,($AK188+IF(Smile=TRUE(),VLOOKUP(MAX(-5,Strikeprice2-H188),Volsmile,2),0)),($A188-DateToday)+15,IF(Pricetype2=1,1,0),0))),H188)))</f>
        <v> </v>
      </c>
      <c r="R188" s="318" t="str">
        <f aca="false">IF($A188="N/A"," ",IF(Pricetype2=2,MAX(I188,0),IF(OR(Pricetype2=1,Pricetype2=4),IF(I188=0,0,(EURO(I188,Strikeprice2,0,0,($AK188+IF(Smile=TRUE(),VLOOKUP(MAX(-5,Strikeprice2-I188),Volsmile,2),0)),($A188-DateToday)+15,IF(Pricetype2=1,1,0),0))),I188)))</f>
        <v> </v>
      </c>
      <c r="S188" s="318" t="str">
        <f aca="false">IF($A188="N/A"," ",IF(Pricetype2=2,MAX(J188,0),IF(OR(Pricetype2=1,Pricetype2=4),IF(J188=0,0,(EURO(J188,Strikeprice2,0,0,($AK188+IF(Smile=TRUE(),VLOOKUP(MAX(-5,Strikeprice2-J188),Volsmile,2),0)),($A188-DateToday)+15,IF(Pricetype2=1,1,0),0))),J188)))</f>
        <v> </v>
      </c>
      <c r="T188" s="318" t="str">
        <f aca="false">IF($A188="N/A"," ",IF(Pricetype2=2,MAX(K188,0),IF(OR(Pricetype2=1,Pricetype2=4),IF(K188=0,0,(EURO(K188,Strikeprice2,0,0,($AK188+IF(Smile=TRUE(),VLOOKUP(MAX(-5,Strikeprice2-K188),Volsmile,2),0)),($A188-DateToday)+15,IF(Pricetype2=1,1,0),0))),K188)))</f>
        <v> </v>
      </c>
      <c r="U188" s="319" t="str">
        <f aca="false">IF($A188="N/A"," ",Volume2*$AM188)</f>
        <v> </v>
      </c>
      <c r="V188" s="320" t="str">
        <f aca="false">IF($A188="N/A"," ",$U188*(8*($BQ188))*L188)</f>
        <v> </v>
      </c>
      <c r="W188" s="320" t="str">
        <f aca="false">IF($A188="N/A"," ",$U188*(8*($BQ188))*M188)</f>
        <v> </v>
      </c>
      <c r="X188" s="320" t="str">
        <f aca="false">IF($A188="N/A"," ",$U188*(8*($BQ188))*N188)</f>
        <v> </v>
      </c>
      <c r="Y188" s="320" t="str">
        <f aca="false">IF($A188="N/A"," ",$U188*(8*($BR188))*O188)</f>
        <v> </v>
      </c>
      <c r="Z188" s="320" t="str">
        <f aca="false">IF($A188="N/A"," ",$U188*(8*($BR188))*P188)</f>
        <v> </v>
      </c>
      <c r="AA188" s="320" t="str">
        <f aca="false">IF($A188="N/A"," ",$U188*(8*($BR188))*Q188)</f>
        <v> </v>
      </c>
      <c r="AB188" s="320" t="str">
        <f aca="false">IF($A188="N/A"," ",$U188*(8*($BS188))*R188)</f>
        <v> </v>
      </c>
      <c r="AC188" s="320" t="str">
        <f aca="false">IF($A188="N/A"," ",$U188*(8*($BS188))*S188)</f>
        <v> </v>
      </c>
      <c r="AD188" s="320" t="str">
        <f aca="false">IF($A188="N/A"," ",$U188*(8*($BS188))*T188)</f>
        <v> </v>
      </c>
      <c r="AE188" s="320" t="str">
        <f aca="false">IF($A188="N/A"," ",SUM(V188:AD188))</f>
        <v> </v>
      </c>
      <c r="AF188" s="321" t="str">
        <f aca="false">IF(A188="N/A"," ",(VLOOKUP(A188,PowerVolTable,(IF(VolBMO2=2,7,IF(VolBMO2=1,6,8))),FALSE())))</f>
        <v> </v>
      </c>
      <c r="AG188" s="321" t="str">
        <f aca="false">IF(A188="N/A"," ",(VLOOKUP(A188,IntraPowerVol,(IF(VolBMO2=2,3,IF(VolBMO2=1,2,4))),FALSE())*VLOOKUP(MONTH($A188),Volscale,2)))</f>
        <v> </v>
      </c>
      <c r="AH188" s="321" t="str">
        <f aca="false">IF($A188="N/A"," ",IF(VolType2=1,AG188,AF188))</f>
        <v> </v>
      </c>
      <c r="AI188" s="321" t="str">
        <f aca="false">IF($A188="N/A"," ",(VLOOKUP($A188,OffPwrVolTable,(IF(VolBMO2=2,7,IF(VolBMO2=1,6,8))),FALSE())))</f>
        <v> </v>
      </c>
      <c r="AJ188" s="321" t="str">
        <f aca="false">IF($A188="N/A"," ",(VLOOKUP($A188,OffPwrVolTable,(IF(VolBMO2=2,3,IF(VolBMO2=1,2,4))),FALSE())*VLOOKUP(MONTH($A188),Volscale,2)))</f>
        <v> </v>
      </c>
      <c r="AK188" s="321" t="str">
        <f aca="false">IF($A188="N/A"," ",IF(VolType2=1,AJ188,AI188))</f>
        <v> </v>
      </c>
      <c r="AL188" s="321" t="str">
        <f aca="false">IF($A188="N/A"," ",IF(PV=1,0,'Pricing Inputs2'!R221))</f>
        <v> </v>
      </c>
      <c r="AM188" s="323" t="str">
        <f aca="false">IF($A188="N/A"," ",(1+AL188/2)^(-2*((EOMONTH(A188,0)+20)-DateToday)/365.25))</f>
        <v> </v>
      </c>
      <c r="BQ188" s="0" t="str">
        <f aca="false">IF($A188="N/A"," ",(VLOOKUP($A188,NumberofDaysTable,2)))</f>
        <v> </v>
      </c>
      <c r="BR188" s="0" t="str">
        <f aca="false">IF($A188="N/A"," ",(VLOOKUP($A188,NumberofDaysTable,3)))</f>
        <v> </v>
      </c>
      <c r="BS188" s="0" t="str">
        <f aca="false">IF($A188="N/A"," ",(VLOOKUP($A188,NumberofDaysTable,4)))</f>
        <v> </v>
      </c>
    </row>
    <row r="189" customFormat="false" ht="12.75" hidden="false" customHeight="false" outlineLevel="0" collapsed="false">
      <c r="A189" s="315" t="str">
        <f aca="false">IF(A188="N/A","N/A",IF(EDATE(A188,1)&gt;Inputs!$P$5,"N/A",EDATE(A188,1)))</f>
        <v>N/A</v>
      </c>
      <c r="B189" s="316" t="str">
        <f aca="false">IF(A189="N/A"," ",YEAR(A189))</f>
        <v> </v>
      </c>
      <c r="C189" s="317" t="str">
        <f aca="false">IF($A189="N/A"," ",IF(Dayrun2=10,0,IF(Scaler2=1,(VLOOKUP(A189,ScaledPrice2,4)),(VLOOKUP(A189,ScaledPrice2,2)))))</f>
        <v> </v>
      </c>
      <c r="D189" s="317" t="str">
        <f aca="false">IF(A189="N/A"," ",IF(Dayrun2&gt;=7,0,IF(Scaler2=2,VLOOKUP(A189,ScaledPrice2,2),(VLOOKUP(A189,ScaledPrice2,2))*(2-(VLOOKUP(A189,ScaledPrice2,3))))))</f>
        <v> </v>
      </c>
      <c r="E189" s="317" t="str">
        <f aca="false">IF($A189="N/A"," ",IF(AND(Dayrun2&gt;=4,Dayrun2&lt;=9),0,VLOOKUP($A189,ScaledPrice2,9)))</f>
        <v> </v>
      </c>
      <c r="F189" s="317" t="str">
        <f aca="false">IF(A189="N/A"," ",IF(OR(Dayrun2=2,Dayrun2=3,Dayrun2=5,Dayrun2=6,Dayrun2=8,Dayrun2=9),VLOOKUP(A189,ScaledPrice2,IF(Scaler2=1,6,5)),0))</f>
        <v> </v>
      </c>
      <c r="G189" s="317" t="str">
        <f aca="false">IF(A189="N/A"," ",IF(OR(Dayrun2=2,Dayrun2=3,Dayrun2=5,Dayrun2=6),IF(Scaler2=2,F189,(VLOOKUP(A189,ScaledPrice2,5))*(2-(VLOOKUP(A189,ScaledPrice2,3)))),0))</f>
        <v> </v>
      </c>
      <c r="H189" s="317" t="str">
        <f aca="false">IF($A189="N/A"," ",IF(OR(Dayrun2=2,Dayrun2=3,Dayrun2=10),VLOOKUP($A189,ScaledPrice2,9),0))</f>
        <v> </v>
      </c>
      <c r="I189" s="317" t="str">
        <f aca="false">IF(A189="N/A"," ",IF(OR(Dayrun2=3,Dayrun2=6,Dayrun2=9),(VLOOKUP(A189,ScaledPrice2,IF(Scaler2=2,7,8))),0))</f>
        <v> </v>
      </c>
      <c r="J189" s="317" t="str">
        <f aca="false">IF(A189="N/A"," ",IF(OR(Dayrun2=3,Dayrun2=6),IF(Scaler2=2,I189,(VLOOKUP(A189,ScaledPrice2,7))*(2-(VLOOKUP(A189,ScaledPrice2,3)))),0))</f>
        <v> </v>
      </c>
      <c r="K189" s="317" t="str">
        <f aca="false">IF($A189="N/A"," ",IF(OR(Dayrun2=3,Dayrun2=10),VLOOKUP($A189,ScaledPrice2,9),0))</f>
        <v> </v>
      </c>
      <c r="L189" s="318" t="str">
        <f aca="false">IF($A189="N/A"," ",IF(Pricetype2=2,MAX(C189,0),IF(OR(Pricetype2=1,Pricetype2=4),IF(C189=0,0,(EURO(C189,Strikeprice2,0,0,($AH189+IF(Smile=TRUE(),VLOOKUP(MAX(-5,Strikeprice2-C189),Volsmile,2),0)),($A189-DateToday)+15,IF(Pricetype2=1,1,0),0))),C189)))</f>
        <v> </v>
      </c>
      <c r="M189" s="318" t="str">
        <f aca="false">IF($A189="N/A"," ",IF(Pricetype2=2,MAX(D189,0),IF(OR(Pricetype2=1,Pricetype2=4),IF(D189=0,0,(EURO(D189,Strikeprice2,0,0,($AH189+IF(Smile=TRUE(),VLOOKUP(MAX(-5,Strikeprice2-D189),Volsmile,2),0)),($A189-DateToday)+15,IF(Pricetype2=1,1,0),0))),D189)))</f>
        <v> </v>
      </c>
      <c r="N189" s="318" t="str">
        <f aca="false">IF($A189="N/A"," ",IF(Pricetype2=2,MAX(E189,0),IF(OR(Pricetype2=1,Pricetype2=4),IF(E189=0,0,(EURO(E189,Strikeprice2,0,0,($AK189+IF(Smile=TRUE(),VLOOKUP(MAX(-5,Strikeprice2-E189),Volsmile,2),0)),($A189-DateToday)+15,IF(Pricetype2=1,1,0),0))),E189)))</f>
        <v> </v>
      </c>
      <c r="O189" s="318" t="str">
        <f aca="false">IF($A189="N/A"," ",IF(Pricetype2=2,MAX(F189,0),IF(OR(Pricetype2=1,Pricetype2=4),IF(F189=0,0,(EURO(F189,Strikeprice2,0,0,($AK189+IF(Smile=TRUE(),VLOOKUP(MAX(-5,Strikeprice2-F189),Volsmile,2),0)),($A189-DateToday)+15,IF(Pricetype2=1,1,0),0))),F189)))</f>
        <v> </v>
      </c>
      <c r="P189" s="318" t="str">
        <f aca="false">IF($A189="N/A"," ",IF(Pricetype2=2,MAX(G189,0),IF(OR(Pricetype2=1,Pricetype2=4),IF(G189=0,0,(EURO(G189,Strikeprice2,0,0,($AK189+IF(Smile=TRUE(),VLOOKUP(MAX(-5,Strikeprice2-G189),Volsmile,2),0)),($A189-DateToday)+15,IF(Pricetype2=1,1,0),0))),G189)))</f>
        <v> </v>
      </c>
      <c r="Q189" s="318" t="str">
        <f aca="false">IF($A189="N/A"," ",IF(Pricetype2=2,MAX(H189,0),IF(OR(Pricetype2=1,Pricetype2=4),IF(H189=0,0,(EURO(H189,Strikeprice2,0,0,($AK189+IF(Smile=TRUE(),VLOOKUP(MAX(-5,Strikeprice2-H189),Volsmile,2),0)),($A189-DateToday)+15,IF(Pricetype2=1,1,0),0))),H189)))</f>
        <v> </v>
      </c>
      <c r="R189" s="318" t="str">
        <f aca="false">IF($A189="N/A"," ",IF(Pricetype2=2,MAX(I189,0),IF(OR(Pricetype2=1,Pricetype2=4),IF(I189=0,0,(EURO(I189,Strikeprice2,0,0,($AK189+IF(Smile=TRUE(),VLOOKUP(MAX(-5,Strikeprice2-I189),Volsmile,2),0)),($A189-DateToday)+15,IF(Pricetype2=1,1,0),0))),I189)))</f>
        <v> </v>
      </c>
      <c r="S189" s="318" t="str">
        <f aca="false">IF($A189="N/A"," ",IF(Pricetype2=2,MAX(J189,0),IF(OR(Pricetype2=1,Pricetype2=4),IF(J189=0,0,(EURO(J189,Strikeprice2,0,0,($AK189+IF(Smile=TRUE(),VLOOKUP(MAX(-5,Strikeprice2-J189),Volsmile,2),0)),($A189-DateToday)+15,IF(Pricetype2=1,1,0),0))),J189)))</f>
        <v> </v>
      </c>
      <c r="T189" s="318" t="str">
        <f aca="false">IF($A189="N/A"," ",IF(Pricetype2=2,MAX(K189,0),IF(OR(Pricetype2=1,Pricetype2=4),IF(K189=0,0,(EURO(K189,Strikeprice2,0,0,($AK189+IF(Smile=TRUE(),VLOOKUP(MAX(-5,Strikeprice2-K189),Volsmile,2),0)),($A189-DateToday)+15,IF(Pricetype2=1,1,0),0))),K189)))</f>
        <v> </v>
      </c>
      <c r="U189" s="319" t="str">
        <f aca="false">IF($A189="N/A"," ",Volume2*$AM189)</f>
        <v> </v>
      </c>
      <c r="V189" s="320" t="str">
        <f aca="false">IF($A189="N/A"," ",$U189*(8*($BQ189))*L189)</f>
        <v> </v>
      </c>
      <c r="W189" s="320" t="str">
        <f aca="false">IF($A189="N/A"," ",$U189*(8*($BQ189))*M189)</f>
        <v> </v>
      </c>
      <c r="X189" s="320" t="str">
        <f aca="false">IF($A189="N/A"," ",$U189*(8*($BQ189))*N189)</f>
        <v> </v>
      </c>
      <c r="Y189" s="320" t="str">
        <f aca="false">IF($A189="N/A"," ",$U189*(8*($BR189))*O189)</f>
        <v> </v>
      </c>
      <c r="Z189" s="320" t="str">
        <f aca="false">IF($A189="N/A"," ",$U189*(8*($BR189))*P189)</f>
        <v> </v>
      </c>
      <c r="AA189" s="320" t="str">
        <f aca="false">IF($A189="N/A"," ",$U189*(8*($BR189))*Q189)</f>
        <v> </v>
      </c>
      <c r="AB189" s="320" t="str">
        <f aca="false">IF($A189="N/A"," ",$U189*(8*($BS189))*R189)</f>
        <v> </v>
      </c>
      <c r="AC189" s="320" t="str">
        <f aca="false">IF($A189="N/A"," ",$U189*(8*($BS189))*S189)</f>
        <v> </v>
      </c>
      <c r="AD189" s="320" t="str">
        <f aca="false">IF($A189="N/A"," ",$U189*(8*($BS189))*T189)</f>
        <v> </v>
      </c>
      <c r="AE189" s="320" t="str">
        <f aca="false">IF($A189="N/A"," ",SUM(V189:AD189))</f>
        <v> </v>
      </c>
      <c r="AF189" s="321" t="str">
        <f aca="false">IF(A189="N/A"," ",(VLOOKUP(A189,PowerVolTable,(IF(VolBMO2=2,7,IF(VolBMO2=1,6,8))),FALSE())))</f>
        <v> </v>
      </c>
      <c r="AG189" s="321" t="str">
        <f aca="false">IF(A189="N/A"," ",(VLOOKUP(A189,IntraPowerVol,(IF(VolBMO2=2,3,IF(VolBMO2=1,2,4))),FALSE())*VLOOKUP(MONTH($A189),Volscale,2)))</f>
        <v> </v>
      </c>
      <c r="AH189" s="321" t="str">
        <f aca="false">IF($A189="N/A"," ",IF(VolType2=1,AG189,AF189))</f>
        <v> </v>
      </c>
      <c r="AI189" s="321" t="str">
        <f aca="false">IF($A189="N/A"," ",(VLOOKUP($A189,OffPwrVolTable,(IF(VolBMO2=2,7,IF(VolBMO2=1,6,8))),FALSE())))</f>
        <v> </v>
      </c>
      <c r="AJ189" s="321" t="str">
        <f aca="false">IF($A189="N/A"," ",(VLOOKUP($A189,OffPwrVolTable,(IF(VolBMO2=2,3,IF(VolBMO2=1,2,4))),FALSE())*VLOOKUP(MONTH($A189),Volscale,2)))</f>
        <v> </v>
      </c>
      <c r="AK189" s="321" t="str">
        <f aca="false">IF($A189="N/A"," ",IF(VolType2=1,AJ189,AI189))</f>
        <v> </v>
      </c>
      <c r="AL189" s="321" t="str">
        <f aca="false">IF($A189="N/A"," ",IF(PV=1,0,'Pricing Inputs2'!R222))</f>
        <v> </v>
      </c>
      <c r="AM189" s="323" t="str">
        <f aca="false">IF($A189="N/A"," ",(1+AL189/2)^(-2*((EOMONTH(A189,0)+20)-DateToday)/365.25))</f>
        <v> </v>
      </c>
      <c r="BQ189" s="0" t="str">
        <f aca="false">IF($A189="N/A"," ",(VLOOKUP($A189,NumberofDaysTable,2)))</f>
        <v> </v>
      </c>
      <c r="BR189" s="0" t="str">
        <f aca="false">IF($A189="N/A"," ",(VLOOKUP($A189,NumberofDaysTable,3)))</f>
        <v> </v>
      </c>
      <c r="BS189" s="0" t="str">
        <f aca="false">IF($A189="N/A"," ",(VLOOKUP($A189,NumberofDaysTable,4)))</f>
        <v> </v>
      </c>
    </row>
    <row r="190" customFormat="false" ht="12.75" hidden="false" customHeight="false" outlineLevel="0" collapsed="false">
      <c r="A190" s="315" t="str">
        <f aca="false">IF(A189="N/A","N/A",IF(EDATE(A189,1)&gt;Inputs!$P$5,"N/A",EDATE(A189,1)))</f>
        <v>N/A</v>
      </c>
      <c r="B190" s="316" t="str">
        <f aca="false">IF(A190="N/A"," ",YEAR(A190))</f>
        <v> </v>
      </c>
      <c r="C190" s="317" t="str">
        <f aca="false">IF($A190="N/A"," ",IF(Dayrun2=10,0,IF(Scaler2=1,(VLOOKUP(A190,ScaledPrice2,4)),(VLOOKUP(A190,ScaledPrice2,2)))))</f>
        <v> </v>
      </c>
      <c r="D190" s="317" t="str">
        <f aca="false">IF(A190="N/A"," ",IF(Dayrun2&gt;=7,0,IF(Scaler2=2,VLOOKUP(A190,ScaledPrice2,2),(VLOOKUP(A190,ScaledPrice2,2))*(2-(VLOOKUP(A190,ScaledPrice2,3))))))</f>
        <v> </v>
      </c>
      <c r="E190" s="317" t="str">
        <f aca="false">IF($A190="N/A"," ",IF(AND(Dayrun2&gt;=4,Dayrun2&lt;=9),0,VLOOKUP($A190,ScaledPrice2,9)))</f>
        <v> </v>
      </c>
      <c r="F190" s="317" t="str">
        <f aca="false">IF(A190="N/A"," ",IF(OR(Dayrun2=2,Dayrun2=3,Dayrun2=5,Dayrun2=6,Dayrun2=8,Dayrun2=9),VLOOKUP(A190,ScaledPrice2,IF(Scaler2=1,6,5)),0))</f>
        <v> </v>
      </c>
      <c r="G190" s="317" t="str">
        <f aca="false">IF(A190="N/A"," ",IF(OR(Dayrun2=2,Dayrun2=3,Dayrun2=5,Dayrun2=6),IF(Scaler2=2,F190,(VLOOKUP(A190,ScaledPrice2,5))*(2-(VLOOKUP(A190,ScaledPrice2,3)))),0))</f>
        <v> </v>
      </c>
      <c r="H190" s="317" t="str">
        <f aca="false">IF($A190="N/A"," ",IF(OR(Dayrun2=2,Dayrun2=3,Dayrun2=10),VLOOKUP($A190,ScaledPrice2,9),0))</f>
        <v> </v>
      </c>
      <c r="I190" s="317" t="str">
        <f aca="false">IF(A190="N/A"," ",IF(OR(Dayrun2=3,Dayrun2=6,Dayrun2=9),(VLOOKUP(A190,ScaledPrice2,IF(Scaler2=2,7,8))),0))</f>
        <v> </v>
      </c>
      <c r="J190" s="317" t="str">
        <f aca="false">IF(A190="N/A"," ",IF(OR(Dayrun2=3,Dayrun2=6),IF(Scaler2=2,I190,(VLOOKUP(A190,ScaledPrice2,7))*(2-(VLOOKUP(A190,ScaledPrice2,3)))),0))</f>
        <v> </v>
      </c>
      <c r="K190" s="317" t="str">
        <f aca="false">IF($A190="N/A"," ",IF(OR(Dayrun2=3,Dayrun2=10),VLOOKUP($A190,ScaledPrice2,9),0))</f>
        <v> </v>
      </c>
      <c r="L190" s="318" t="str">
        <f aca="false">IF($A190="N/A"," ",IF(Pricetype2=2,MAX(C190,0),IF(OR(Pricetype2=1,Pricetype2=4),IF(C190=0,0,(EURO(C190,Strikeprice2,0,0,($AH190+IF(Smile=TRUE(),VLOOKUP(MAX(-5,Strikeprice2-C190),Volsmile,2),0)),($A190-DateToday)+15,IF(Pricetype2=1,1,0),0))),C190)))</f>
        <v> </v>
      </c>
      <c r="M190" s="318" t="str">
        <f aca="false">IF($A190="N/A"," ",IF(Pricetype2=2,MAX(D190,0),IF(OR(Pricetype2=1,Pricetype2=4),IF(D190=0,0,(EURO(D190,Strikeprice2,0,0,($AH190+IF(Smile=TRUE(),VLOOKUP(MAX(-5,Strikeprice2-D190),Volsmile,2),0)),($A190-DateToday)+15,IF(Pricetype2=1,1,0),0))),D190)))</f>
        <v> </v>
      </c>
      <c r="N190" s="318" t="str">
        <f aca="false">IF($A190="N/A"," ",IF(Pricetype2=2,MAX(E190,0),IF(OR(Pricetype2=1,Pricetype2=4),IF(E190=0,0,(EURO(E190,Strikeprice2,0,0,($AK190+IF(Smile=TRUE(),VLOOKUP(MAX(-5,Strikeprice2-E190),Volsmile,2),0)),($A190-DateToday)+15,IF(Pricetype2=1,1,0),0))),E190)))</f>
        <v> </v>
      </c>
      <c r="O190" s="318" t="str">
        <f aca="false">IF($A190="N/A"," ",IF(Pricetype2=2,MAX(F190,0),IF(OR(Pricetype2=1,Pricetype2=4),IF(F190=0,0,(EURO(F190,Strikeprice2,0,0,($AK190+IF(Smile=TRUE(),VLOOKUP(MAX(-5,Strikeprice2-F190),Volsmile,2),0)),($A190-DateToday)+15,IF(Pricetype2=1,1,0),0))),F190)))</f>
        <v> </v>
      </c>
      <c r="P190" s="318" t="str">
        <f aca="false">IF($A190="N/A"," ",IF(Pricetype2=2,MAX(G190,0),IF(OR(Pricetype2=1,Pricetype2=4),IF(G190=0,0,(EURO(G190,Strikeprice2,0,0,($AK190+IF(Smile=TRUE(),VLOOKUP(MAX(-5,Strikeprice2-G190),Volsmile,2),0)),($A190-DateToday)+15,IF(Pricetype2=1,1,0),0))),G190)))</f>
        <v> </v>
      </c>
      <c r="Q190" s="318" t="str">
        <f aca="false">IF($A190="N/A"," ",IF(Pricetype2=2,MAX(H190,0),IF(OR(Pricetype2=1,Pricetype2=4),IF(H190=0,0,(EURO(H190,Strikeprice2,0,0,($AK190+IF(Smile=TRUE(),VLOOKUP(MAX(-5,Strikeprice2-H190),Volsmile,2),0)),($A190-DateToday)+15,IF(Pricetype2=1,1,0),0))),H190)))</f>
        <v> </v>
      </c>
      <c r="R190" s="318" t="str">
        <f aca="false">IF($A190="N/A"," ",IF(Pricetype2=2,MAX(I190,0),IF(OR(Pricetype2=1,Pricetype2=4),IF(I190=0,0,(EURO(I190,Strikeprice2,0,0,($AK190+IF(Smile=TRUE(),VLOOKUP(MAX(-5,Strikeprice2-I190),Volsmile,2),0)),($A190-DateToday)+15,IF(Pricetype2=1,1,0),0))),I190)))</f>
        <v> </v>
      </c>
      <c r="S190" s="318" t="str">
        <f aca="false">IF($A190="N/A"," ",IF(Pricetype2=2,MAX(J190,0),IF(OR(Pricetype2=1,Pricetype2=4),IF(J190=0,0,(EURO(J190,Strikeprice2,0,0,($AK190+IF(Smile=TRUE(),VLOOKUP(MAX(-5,Strikeprice2-J190),Volsmile,2),0)),($A190-DateToday)+15,IF(Pricetype2=1,1,0),0))),J190)))</f>
        <v> </v>
      </c>
      <c r="T190" s="318" t="str">
        <f aca="false">IF($A190="N/A"," ",IF(Pricetype2=2,MAX(K190,0),IF(OR(Pricetype2=1,Pricetype2=4),IF(K190=0,0,(EURO(K190,Strikeprice2,0,0,($AK190+IF(Smile=TRUE(),VLOOKUP(MAX(-5,Strikeprice2-K190),Volsmile,2),0)),($A190-DateToday)+15,IF(Pricetype2=1,1,0),0))),K190)))</f>
        <v> </v>
      </c>
      <c r="U190" s="319" t="str">
        <f aca="false">IF($A190="N/A"," ",Volume2*$AM190)</f>
        <v> </v>
      </c>
      <c r="V190" s="320" t="str">
        <f aca="false">IF($A190="N/A"," ",$U190*(8*($BQ190))*L190)</f>
        <v> </v>
      </c>
      <c r="W190" s="320" t="str">
        <f aca="false">IF($A190="N/A"," ",$U190*(8*($BQ190))*M190)</f>
        <v> </v>
      </c>
      <c r="X190" s="320" t="str">
        <f aca="false">IF($A190="N/A"," ",$U190*(8*($BQ190))*N190)</f>
        <v> </v>
      </c>
      <c r="Y190" s="320" t="str">
        <f aca="false">IF($A190="N/A"," ",$U190*(8*($BR190))*O190)</f>
        <v> </v>
      </c>
      <c r="Z190" s="320" t="str">
        <f aca="false">IF($A190="N/A"," ",$U190*(8*($BR190))*P190)</f>
        <v> </v>
      </c>
      <c r="AA190" s="320" t="str">
        <f aca="false">IF($A190="N/A"," ",$U190*(8*($BR190))*Q190)</f>
        <v> </v>
      </c>
      <c r="AB190" s="320" t="str">
        <f aca="false">IF($A190="N/A"," ",$U190*(8*($BS190))*R190)</f>
        <v> </v>
      </c>
      <c r="AC190" s="320" t="str">
        <f aca="false">IF($A190="N/A"," ",$U190*(8*($BS190))*S190)</f>
        <v> </v>
      </c>
      <c r="AD190" s="320" t="str">
        <f aca="false">IF($A190="N/A"," ",$U190*(8*($BS190))*T190)</f>
        <v> </v>
      </c>
      <c r="AE190" s="320" t="str">
        <f aca="false">IF($A190="N/A"," ",SUM(V190:AD190))</f>
        <v> </v>
      </c>
      <c r="AF190" s="321" t="str">
        <f aca="false">IF(A190="N/A"," ",(VLOOKUP(A190,PowerVolTable,(IF(VolBMO2=2,7,IF(VolBMO2=1,6,8))),FALSE())))</f>
        <v> </v>
      </c>
      <c r="AG190" s="321" t="str">
        <f aca="false">IF(A190="N/A"," ",(VLOOKUP(A190,IntraPowerVol,(IF(VolBMO2=2,3,IF(VolBMO2=1,2,4))),FALSE())*VLOOKUP(MONTH($A190),Volscale,2)))</f>
        <v> </v>
      </c>
      <c r="AH190" s="321" t="str">
        <f aca="false">IF($A190="N/A"," ",IF(VolType2=1,AG190,AF190))</f>
        <v> </v>
      </c>
      <c r="AI190" s="321" t="str">
        <f aca="false">IF($A190="N/A"," ",(VLOOKUP($A190,OffPwrVolTable,(IF(VolBMO2=2,7,IF(VolBMO2=1,6,8))),FALSE())))</f>
        <v> </v>
      </c>
      <c r="AJ190" s="321" t="str">
        <f aca="false">IF($A190="N/A"," ",(VLOOKUP($A190,OffPwrVolTable,(IF(VolBMO2=2,3,IF(VolBMO2=1,2,4))),FALSE())*VLOOKUP(MONTH($A190),Volscale,2)))</f>
        <v> </v>
      </c>
      <c r="AK190" s="321" t="str">
        <f aca="false">IF($A190="N/A"," ",IF(VolType2=1,AJ190,AI190))</f>
        <v> </v>
      </c>
      <c r="AL190" s="321" t="str">
        <f aca="false">IF($A190="N/A"," ",IF(PV=1,0,'Pricing Inputs2'!R223))</f>
        <v> </v>
      </c>
      <c r="AM190" s="323" t="str">
        <f aca="false">IF($A190="N/A"," ",(1+AL190/2)^(-2*((EOMONTH(A190,0)+20)-DateToday)/365.25))</f>
        <v> </v>
      </c>
      <c r="BQ190" s="0" t="str">
        <f aca="false">IF($A190="N/A"," ",(VLOOKUP($A190,NumberofDaysTable,2)))</f>
        <v> </v>
      </c>
      <c r="BR190" s="0" t="str">
        <f aca="false">IF($A190="N/A"," ",(VLOOKUP($A190,NumberofDaysTable,3)))</f>
        <v> </v>
      </c>
      <c r="BS190" s="0" t="str">
        <f aca="false">IF($A190="N/A"," ",(VLOOKUP($A190,NumberofDaysTable,4)))</f>
        <v> </v>
      </c>
    </row>
    <row r="191" customFormat="false" ht="12.75" hidden="false" customHeight="false" outlineLevel="0" collapsed="false">
      <c r="A191" s="315" t="str">
        <f aca="false">IF(A190="N/A","N/A",IF(EDATE(A190,1)&gt;Inputs!$P$5,"N/A",EDATE(A190,1)))</f>
        <v>N/A</v>
      </c>
      <c r="B191" s="316" t="str">
        <f aca="false">IF(A191="N/A"," ",YEAR(A191))</f>
        <v> </v>
      </c>
      <c r="C191" s="317" t="str">
        <f aca="false">IF($A191="N/A"," ",IF(Dayrun2=10,0,IF(Scaler2=1,(VLOOKUP(A191,ScaledPrice2,4)),(VLOOKUP(A191,ScaledPrice2,2)))))</f>
        <v> </v>
      </c>
      <c r="D191" s="317" t="str">
        <f aca="false">IF(A191="N/A"," ",IF(Dayrun2&gt;=7,0,IF(Scaler2=2,VLOOKUP(A191,ScaledPrice2,2),(VLOOKUP(A191,ScaledPrice2,2))*(2-(VLOOKUP(A191,ScaledPrice2,3))))))</f>
        <v> </v>
      </c>
      <c r="E191" s="317" t="str">
        <f aca="false">IF($A191="N/A"," ",IF(AND(Dayrun2&gt;=4,Dayrun2&lt;=9),0,VLOOKUP($A191,ScaledPrice2,9)))</f>
        <v> </v>
      </c>
      <c r="F191" s="317" t="str">
        <f aca="false">IF(A191="N/A"," ",IF(OR(Dayrun2=2,Dayrun2=3,Dayrun2=5,Dayrun2=6,Dayrun2=8,Dayrun2=9),VLOOKUP(A191,ScaledPrice2,IF(Scaler2=1,6,5)),0))</f>
        <v> </v>
      </c>
      <c r="G191" s="317" t="str">
        <f aca="false">IF(A191="N/A"," ",IF(OR(Dayrun2=2,Dayrun2=3,Dayrun2=5,Dayrun2=6),IF(Scaler2=2,F191,(VLOOKUP(A191,ScaledPrice2,5))*(2-(VLOOKUP(A191,ScaledPrice2,3)))),0))</f>
        <v> </v>
      </c>
      <c r="H191" s="317" t="str">
        <f aca="false">IF($A191="N/A"," ",IF(OR(Dayrun2=2,Dayrun2=3,Dayrun2=10),VLOOKUP($A191,ScaledPrice2,9),0))</f>
        <v> </v>
      </c>
      <c r="I191" s="317" t="str">
        <f aca="false">IF(A191="N/A"," ",IF(OR(Dayrun2=3,Dayrun2=6,Dayrun2=9),(VLOOKUP(A191,ScaledPrice2,IF(Scaler2=2,7,8))),0))</f>
        <v> </v>
      </c>
      <c r="J191" s="317" t="str">
        <f aca="false">IF(A191="N/A"," ",IF(OR(Dayrun2=3,Dayrun2=6),IF(Scaler2=2,I191,(VLOOKUP(A191,ScaledPrice2,7))*(2-(VLOOKUP(A191,ScaledPrice2,3)))),0))</f>
        <v> </v>
      </c>
      <c r="K191" s="317" t="str">
        <f aca="false">IF($A191="N/A"," ",IF(OR(Dayrun2=3,Dayrun2=10),VLOOKUP($A191,ScaledPrice2,9),0))</f>
        <v> </v>
      </c>
      <c r="L191" s="318" t="str">
        <f aca="false">IF($A191="N/A"," ",IF(Pricetype2=2,MAX(C191,0),IF(OR(Pricetype2=1,Pricetype2=4),IF(C191=0,0,(EURO(C191,Strikeprice2,0,0,($AH191+IF(Smile=TRUE(),VLOOKUP(MAX(-5,Strikeprice2-C191),Volsmile,2),0)),($A191-DateToday)+15,IF(Pricetype2=1,1,0),0))),C191)))</f>
        <v> </v>
      </c>
      <c r="M191" s="318" t="str">
        <f aca="false">IF($A191="N/A"," ",IF(Pricetype2=2,MAX(D191,0),IF(OR(Pricetype2=1,Pricetype2=4),IF(D191=0,0,(EURO(D191,Strikeprice2,0,0,($AH191+IF(Smile=TRUE(),VLOOKUP(MAX(-5,Strikeprice2-D191),Volsmile,2),0)),($A191-DateToday)+15,IF(Pricetype2=1,1,0),0))),D191)))</f>
        <v> </v>
      </c>
      <c r="N191" s="318" t="str">
        <f aca="false">IF($A191="N/A"," ",IF(Pricetype2=2,MAX(E191,0),IF(OR(Pricetype2=1,Pricetype2=4),IF(E191=0,0,(EURO(E191,Strikeprice2,0,0,($AK191+IF(Smile=TRUE(),VLOOKUP(MAX(-5,Strikeprice2-E191),Volsmile,2),0)),($A191-DateToday)+15,IF(Pricetype2=1,1,0),0))),E191)))</f>
        <v> </v>
      </c>
      <c r="O191" s="318" t="str">
        <f aca="false">IF($A191="N/A"," ",IF(Pricetype2=2,MAX(F191,0),IF(OR(Pricetype2=1,Pricetype2=4),IF(F191=0,0,(EURO(F191,Strikeprice2,0,0,($AK191+IF(Smile=TRUE(),VLOOKUP(MAX(-5,Strikeprice2-F191),Volsmile,2),0)),($A191-DateToday)+15,IF(Pricetype2=1,1,0),0))),F191)))</f>
        <v> </v>
      </c>
      <c r="P191" s="318" t="str">
        <f aca="false">IF($A191="N/A"," ",IF(Pricetype2=2,MAX(G191,0),IF(OR(Pricetype2=1,Pricetype2=4),IF(G191=0,0,(EURO(G191,Strikeprice2,0,0,($AK191+IF(Smile=TRUE(),VLOOKUP(MAX(-5,Strikeprice2-G191),Volsmile,2),0)),($A191-DateToday)+15,IF(Pricetype2=1,1,0),0))),G191)))</f>
        <v> </v>
      </c>
      <c r="Q191" s="318" t="str">
        <f aca="false">IF($A191="N/A"," ",IF(Pricetype2=2,MAX(H191,0),IF(OR(Pricetype2=1,Pricetype2=4),IF(H191=0,0,(EURO(H191,Strikeprice2,0,0,($AK191+IF(Smile=TRUE(),VLOOKUP(MAX(-5,Strikeprice2-H191),Volsmile,2),0)),($A191-DateToday)+15,IF(Pricetype2=1,1,0),0))),H191)))</f>
        <v> </v>
      </c>
      <c r="R191" s="318" t="str">
        <f aca="false">IF($A191="N/A"," ",IF(Pricetype2=2,MAX(I191,0),IF(OR(Pricetype2=1,Pricetype2=4),IF(I191=0,0,(EURO(I191,Strikeprice2,0,0,($AK191+IF(Smile=TRUE(),VLOOKUP(MAX(-5,Strikeprice2-I191),Volsmile,2),0)),($A191-DateToday)+15,IF(Pricetype2=1,1,0),0))),I191)))</f>
        <v> </v>
      </c>
      <c r="S191" s="318" t="str">
        <f aca="false">IF($A191="N/A"," ",IF(Pricetype2=2,MAX(J191,0),IF(OR(Pricetype2=1,Pricetype2=4),IF(J191=0,0,(EURO(J191,Strikeprice2,0,0,($AK191+IF(Smile=TRUE(),VLOOKUP(MAX(-5,Strikeprice2-J191),Volsmile,2),0)),($A191-DateToday)+15,IF(Pricetype2=1,1,0),0))),J191)))</f>
        <v> </v>
      </c>
      <c r="T191" s="318" t="str">
        <f aca="false">IF($A191="N/A"," ",IF(Pricetype2=2,MAX(K191,0),IF(OR(Pricetype2=1,Pricetype2=4),IF(K191=0,0,(EURO(K191,Strikeprice2,0,0,($AK191+IF(Smile=TRUE(),VLOOKUP(MAX(-5,Strikeprice2-K191),Volsmile,2),0)),($A191-DateToday)+15,IF(Pricetype2=1,1,0),0))),K191)))</f>
        <v> </v>
      </c>
      <c r="U191" s="319" t="str">
        <f aca="false">IF($A191="N/A"," ",Volume2*$AM191)</f>
        <v> </v>
      </c>
      <c r="V191" s="320" t="str">
        <f aca="false">IF($A191="N/A"," ",$U191*(8*($BQ191))*L191)</f>
        <v> </v>
      </c>
      <c r="W191" s="320" t="str">
        <f aca="false">IF($A191="N/A"," ",$U191*(8*($BQ191))*M191)</f>
        <v> </v>
      </c>
      <c r="X191" s="320" t="str">
        <f aca="false">IF($A191="N/A"," ",$U191*(8*($BQ191))*N191)</f>
        <v> </v>
      </c>
      <c r="Y191" s="320" t="str">
        <f aca="false">IF($A191="N/A"," ",$U191*(8*($BR191))*O191)</f>
        <v> </v>
      </c>
      <c r="Z191" s="320" t="str">
        <f aca="false">IF($A191="N/A"," ",$U191*(8*($BR191))*P191)</f>
        <v> </v>
      </c>
      <c r="AA191" s="320" t="str">
        <f aca="false">IF($A191="N/A"," ",$U191*(8*($BR191))*Q191)</f>
        <v> </v>
      </c>
      <c r="AB191" s="320" t="str">
        <f aca="false">IF($A191="N/A"," ",$U191*(8*($BS191))*R191)</f>
        <v> </v>
      </c>
      <c r="AC191" s="320" t="str">
        <f aca="false">IF($A191="N/A"," ",$U191*(8*($BS191))*S191)</f>
        <v> </v>
      </c>
      <c r="AD191" s="320" t="str">
        <f aca="false">IF($A191="N/A"," ",$U191*(8*($BS191))*T191)</f>
        <v> </v>
      </c>
      <c r="AE191" s="320" t="str">
        <f aca="false">IF($A191="N/A"," ",SUM(V191:AD191))</f>
        <v> </v>
      </c>
      <c r="AF191" s="321" t="str">
        <f aca="false">IF(A191="N/A"," ",(VLOOKUP(A191,PowerVolTable,(IF(VolBMO2=2,7,IF(VolBMO2=1,6,8))),FALSE())))</f>
        <v> </v>
      </c>
      <c r="AG191" s="321" t="str">
        <f aca="false">IF(A191="N/A"," ",(VLOOKUP(A191,IntraPowerVol,(IF(VolBMO2=2,3,IF(VolBMO2=1,2,4))),FALSE())*VLOOKUP(MONTH($A191),Volscale,2)))</f>
        <v> </v>
      </c>
      <c r="AH191" s="321" t="str">
        <f aca="false">IF($A191="N/A"," ",IF(VolType2=1,AG191,AF191))</f>
        <v> </v>
      </c>
      <c r="AI191" s="321" t="str">
        <f aca="false">IF($A191="N/A"," ",(VLOOKUP($A191,OffPwrVolTable,(IF(VolBMO2=2,7,IF(VolBMO2=1,6,8))),FALSE())))</f>
        <v> </v>
      </c>
      <c r="AJ191" s="321" t="str">
        <f aca="false">IF($A191="N/A"," ",(VLOOKUP($A191,OffPwrVolTable,(IF(VolBMO2=2,3,IF(VolBMO2=1,2,4))),FALSE())*VLOOKUP(MONTH($A191),Volscale,2)))</f>
        <v> </v>
      </c>
      <c r="AK191" s="321" t="str">
        <f aca="false">IF($A191="N/A"," ",IF(VolType2=1,AJ191,AI191))</f>
        <v> </v>
      </c>
      <c r="AL191" s="321" t="str">
        <f aca="false">IF($A191="N/A"," ",IF(PV=1,0,'Pricing Inputs2'!R224))</f>
        <v> </v>
      </c>
      <c r="AM191" s="323" t="str">
        <f aca="false">IF($A191="N/A"," ",(1+AL191/2)^(-2*((EOMONTH(A191,0)+20)-DateToday)/365.25))</f>
        <v> </v>
      </c>
      <c r="BQ191" s="0" t="str">
        <f aca="false">IF($A191="N/A"," ",(VLOOKUP($A191,NumberofDaysTable,2)))</f>
        <v> </v>
      </c>
      <c r="BR191" s="0" t="str">
        <f aca="false">IF($A191="N/A"," ",(VLOOKUP($A191,NumberofDaysTable,3)))</f>
        <v> </v>
      </c>
      <c r="BS191" s="0" t="str">
        <f aca="false">IF($A191="N/A"," ",(VLOOKUP($A191,NumberofDaysTable,4)))</f>
        <v> </v>
      </c>
    </row>
    <row r="192" customFormat="false" ht="12.75" hidden="false" customHeight="false" outlineLevel="0" collapsed="false">
      <c r="A192" s="315" t="str">
        <f aca="false">IF(A191="N/A","N/A",IF(EDATE(A191,1)&gt;Inputs!$P$5,"N/A",EDATE(A191,1)))</f>
        <v>N/A</v>
      </c>
      <c r="B192" s="316" t="str">
        <f aca="false">IF(A192="N/A"," ",YEAR(A192))</f>
        <v> </v>
      </c>
      <c r="C192" s="317" t="str">
        <f aca="false">IF($A192="N/A"," ",IF(Dayrun2=10,0,IF(Scaler2=1,(VLOOKUP(A192,ScaledPrice2,4)),(VLOOKUP(A192,ScaledPrice2,2)))))</f>
        <v> </v>
      </c>
      <c r="D192" s="317" t="str">
        <f aca="false">IF(A192="N/A"," ",IF(Dayrun2&gt;=7,0,IF(Scaler2=2,VLOOKUP(A192,ScaledPrice2,2),(VLOOKUP(A192,ScaledPrice2,2))*(2-(VLOOKUP(A192,ScaledPrice2,3))))))</f>
        <v> </v>
      </c>
      <c r="E192" s="317" t="str">
        <f aca="false">IF($A192="N/A"," ",IF(AND(Dayrun2&gt;=4,Dayrun2&lt;=9),0,VLOOKUP($A192,ScaledPrice2,9)))</f>
        <v> </v>
      </c>
      <c r="F192" s="317" t="str">
        <f aca="false">IF(A192="N/A"," ",IF(OR(Dayrun2=2,Dayrun2=3,Dayrun2=5,Dayrun2=6,Dayrun2=8,Dayrun2=9),VLOOKUP(A192,ScaledPrice2,IF(Scaler2=1,6,5)),0))</f>
        <v> </v>
      </c>
      <c r="G192" s="317" t="str">
        <f aca="false">IF(A192="N/A"," ",IF(OR(Dayrun2=2,Dayrun2=3,Dayrun2=5,Dayrun2=6),IF(Scaler2=2,F192,(VLOOKUP(A192,ScaledPrice2,5))*(2-(VLOOKUP(A192,ScaledPrice2,3)))),0))</f>
        <v> </v>
      </c>
      <c r="H192" s="317" t="str">
        <f aca="false">IF($A192="N/A"," ",IF(OR(Dayrun2=2,Dayrun2=3,Dayrun2=10),VLOOKUP($A192,ScaledPrice2,9),0))</f>
        <v> </v>
      </c>
      <c r="I192" s="317" t="str">
        <f aca="false">IF(A192="N/A"," ",IF(OR(Dayrun2=3,Dayrun2=6,Dayrun2=9),(VLOOKUP(A192,ScaledPrice2,IF(Scaler2=2,7,8))),0))</f>
        <v> </v>
      </c>
      <c r="J192" s="317" t="str">
        <f aca="false">IF(A192="N/A"," ",IF(OR(Dayrun2=3,Dayrun2=6),IF(Scaler2=2,I192,(VLOOKUP(A192,ScaledPrice2,7))*(2-(VLOOKUP(A192,ScaledPrice2,3)))),0))</f>
        <v> </v>
      </c>
      <c r="K192" s="317" t="str">
        <f aca="false">IF($A192="N/A"," ",IF(OR(Dayrun2=3,Dayrun2=10),VLOOKUP($A192,ScaledPrice2,9),0))</f>
        <v> </v>
      </c>
      <c r="L192" s="318" t="str">
        <f aca="false">IF($A192="N/A"," ",IF(Pricetype2=2,MAX(C192,0),IF(OR(Pricetype2=1,Pricetype2=4),IF(C192=0,0,(EURO(C192,Strikeprice2,0,0,($AH192+IF(Smile=TRUE(),VLOOKUP(MAX(-5,Strikeprice2-C192),Volsmile,2),0)),($A192-DateToday)+15,IF(Pricetype2=1,1,0),0))),C192)))</f>
        <v> </v>
      </c>
      <c r="M192" s="318" t="str">
        <f aca="false">IF($A192="N/A"," ",IF(Pricetype2=2,MAX(D192,0),IF(OR(Pricetype2=1,Pricetype2=4),IF(D192=0,0,(EURO(D192,Strikeprice2,0,0,($AH192+IF(Smile=TRUE(),VLOOKUP(MAX(-5,Strikeprice2-D192),Volsmile,2),0)),($A192-DateToday)+15,IF(Pricetype2=1,1,0),0))),D192)))</f>
        <v> </v>
      </c>
      <c r="N192" s="318" t="str">
        <f aca="false">IF($A192="N/A"," ",IF(Pricetype2=2,MAX(E192,0),IF(OR(Pricetype2=1,Pricetype2=4),IF(E192=0,0,(EURO(E192,Strikeprice2,0,0,($AK192+IF(Smile=TRUE(),VLOOKUP(MAX(-5,Strikeprice2-E192),Volsmile,2),0)),($A192-DateToday)+15,IF(Pricetype2=1,1,0),0))),E192)))</f>
        <v> </v>
      </c>
      <c r="O192" s="318" t="str">
        <f aca="false">IF($A192="N/A"," ",IF(Pricetype2=2,MAX(F192,0),IF(OR(Pricetype2=1,Pricetype2=4),IF(F192=0,0,(EURO(F192,Strikeprice2,0,0,($AK192+IF(Smile=TRUE(),VLOOKUP(MAX(-5,Strikeprice2-F192),Volsmile,2),0)),($A192-DateToday)+15,IF(Pricetype2=1,1,0),0))),F192)))</f>
        <v> </v>
      </c>
      <c r="P192" s="318" t="str">
        <f aca="false">IF($A192="N/A"," ",IF(Pricetype2=2,MAX(G192,0),IF(OR(Pricetype2=1,Pricetype2=4),IF(G192=0,0,(EURO(G192,Strikeprice2,0,0,($AK192+IF(Smile=TRUE(),VLOOKUP(MAX(-5,Strikeprice2-G192),Volsmile,2),0)),($A192-DateToday)+15,IF(Pricetype2=1,1,0),0))),G192)))</f>
        <v> </v>
      </c>
      <c r="Q192" s="318" t="str">
        <f aca="false">IF($A192="N/A"," ",IF(Pricetype2=2,MAX(H192,0),IF(OR(Pricetype2=1,Pricetype2=4),IF(H192=0,0,(EURO(H192,Strikeprice2,0,0,($AK192+IF(Smile=TRUE(),VLOOKUP(MAX(-5,Strikeprice2-H192),Volsmile,2),0)),($A192-DateToday)+15,IF(Pricetype2=1,1,0),0))),H192)))</f>
        <v> </v>
      </c>
      <c r="R192" s="318" t="str">
        <f aca="false">IF($A192="N/A"," ",IF(Pricetype2=2,MAX(I192,0),IF(OR(Pricetype2=1,Pricetype2=4),IF(I192=0,0,(EURO(I192,Strikeprice2,0,0,($AK192+IF(Smile=TRUE(),VLOOKUP(MAX(-5,Strikeprice2-I192),Volsmile,2),0)),($A192-DateToday)+15,IF(Pricetype2=1,1,0),0))),I192)))</f>
        <v> </v>
      </c>
      <c r="S192" s="318" t="str">
        <f aca="false">IF($A192="N/A"," ",IF(Pricetype2=2,MAX(J192,0),IF(OR(Pricetype2=1,Pricetype2=4),IF(J192=0,0,(EURO(J192,Strikeprice2,0,0,($AK192+IF(Smile=TRUE(),VLOOKUP(MAX(-5,Strikeprice2-J192),Volsmile,2),0)),($A192-DateToday)+15,IF(Pricetype2=1,1,0),0))),J192)))</f>
        <v> </v>
      </c>
      <c r="T192" s="318" t="str">
        <f aca="false">IF($A192="N/A"," ",IF(Pricetype2=2,MAX(K192,0),IF(OR(Pricetype2=1,Pricetype2=4),IF(K192=0,0,(EURO(K192,Strikeprice2,0,0,($AK192+IF(Smile=TRUE(),VLOOKUP(MAX(-5,Strikeprice2-K192),Volsmile,2),0)),($A192-DateToday)+15,IF(Pricetype2=1,1,0),0))),K192)))</f>
        <v> </v>
      </c>
      <c r="U192" s="319" t="str">
        <f aca="false">IF($A192="N/A"," ",Volume2*$AM192)</f>
        <v> </v>
      </c>
      <c r="V192" s="320" t="str">
        <f aca="false">IF($A192="N/A"," ",$U192*(8*($BQ192))*L192)</f>
        <v> </v>
      </c>
      <c r="W192" s="320" t="str">
        <f aca="false">IF($A192="N/A"," ",$U192*(8*($BQ192))*M192)</f>
        <v> </v>
      </c>
      <c r="X192" s="320" t="str">
        <f aca="false">IF($A192="N/A"," ",$U192*(8*($BQ192))*N192)</f>
        <v> </v>
      </c>
      <c r="Y192" s="320" t="str">
        <f aca="false">IF($A192="N/A"," ",$U192*(8*($BR192))*O192)</f>
        <v> </v>
      </c>
      <c r="Z192" s="320" t="str">
        <f aca="false">IF($A192="N/A"," ",$U192*(8*($BR192))*P192)</f>
        <v> </v>
      </c>
      <c r="AA192" s="320" t="str">
        <f aca="false">IF($A192="N/A"," ",$U192*(8*($BR192))*Q192)</f>
        <v> </v>
      </c>
      <c r="AB192" s="320" t="str">
        <f aca="false">IF($A192="N/A"," ",$U192*(8*($BS192))*R192)</f>
        <v> </v>
      </c>
      <c r="AC192" s="320" t="str">
        <f aca="false">IF($A192="N/A"," ",$U192*(8*($BS192))*S192)</f>
        <v> </v>
      </c>
      <c r="AD192" s="320" t="str">
        <f aca="false">IF($A192="N/A"," ",$U192*(8*($BS192))*T192)</f>
        <v> </v>
      </c>
      <c r="AE192" s="320" t="str">
        <f aca="false">IF($A192="N/A"," ",SUM(V192:AD192))</f>
        <v> </v>
      </c>
      <c r="AF192" s="321" t="str">
        <f aca="false">IF(A192="N/A"," ",(VLOOKUP(A192,PowerVolTable,(IF(VolBMO2=2,7,IF(VolBMO2=1,6,8))),FALSE())))</f>
        <v> </v>
      </c>
      <c r="AG192" s="321" t="str">
        <f aca="false">IF(A192="N/A"," ",(VLOOKUP(A192,IntraPowerVol,(IF(VolBMO2=2,3,IF(VolBMO2=1,2,4))),FALSE())*VLOOKUP(MONTH($A192),Volscale,2)))</f>
        <v> </v>
      </c>
      <c r="AH192" s="321" t="str">
        <f aca="false">IF($A192="N/A"," ",IF(VolType2=1,AG192,AF192))</f>
        <v> </v>
      </c>
      <c r="AI192" s="321" t="str">
        <f aca="false">IF($A192="N/A"," ",(VLOOKUP($A192,OffPwrVolTable,(IF(VolBMO2=2,7,IF(VolBMO2=1,6,8))),FALSE())))</f>
        <v> </v>
      </c>
      <c r="AJ192" s="321" t="str">
        <f aca="false">IF($A192="N/A"," ",(VLOOKUP($A192,OffPwrVolTable,(IF(VolBMO2=2,3,IF(VolBMO2=1,2,4))),FALSE())*VLOOKUP(MONTH($A192),Volscale,2)))</f>
        <v> </v>
      </c>
      <c r="AK192" s="321" t="str">
        <f aca="false">IF($A192="N/A"," ",IF(VolType2=1,AJ192,AI192))</f>
        <v> </v>
      </c>
      <c r="AL192" s="321" t="str">
        <f aca="false">IF($A192="N/A"," ",IF(PV=1,0,'Pricing Inputs2'!R225))</f>
        <v> </v>
      </c>
      <c r="AM192" s="323" t="str">
        <f aca="false">IF($A192="N/A"," ",(1+AL192/2)^(-2*((EOMONTH(A192,0)+20)-DateToday)/365.25))</f>
        <v> </v>
      </c>
      <c r="BQ192" s="0" t="str">
        <f aca="false">IF($A192="N/A"," ",(VLOOKUP($A192,NumberofDaysTable,2)))</f>
        <v> </v>
      </c>
      <c r="BR192" s="0" t="str">
        <f aca="false">IF($A192="N/A"," ",(VLOOKUP($A192,NumberofDaysTable,3)))</f>
        <v> </v>
      </c>
      <c r="BS192" s="0" t="str">
        <f aca="false">IF($A192="N/A"," ",(VLOOKUP($A192,NumberofDaysTable,4)))</f>
        <v> </v>
      </c>
    </row>
    <row r="193" customFormat="false" ht="12.75" hidden="false" customHeight="false" outlineLevel="0" collapsed="false">
      <c r="A193" s="315" t="str">
        <f aca="false">IF(A192="N/A","N/A",IF(EDATE(A192,1)&gt;Inputs!$P$5,"N/A",EDATE(A192,1)))</f>
        <v>N/A</v>
      </c>
      <c r="B193" s="316" t="str">
        <f aca="false">IF(A193="N/A"," ",YEAR(A193))</f>
        <v> </v>
      </c>
      <c r="C193" s="317" t="str">
        <f aca="false">IF($A193="N/A"," ",IF(Dayrun2=10,0,IF(Scaler2=1,(VLOOKUP(A193,ScaledPrice2,4)),(VLOOKUP(A193,ScaledPrice2,2)))))</f>
        <v> </v>
      </c>
      <c r="D193" s="317" t="str">
        <f aca="false">IF(A193="N/A"," ",IF(Dayrun2&gt;=7,0,IF(Scaler2=2,VLOOKUP(A193,ScaledPrice2,2),(VLOOKUP(A193,ScaledPrice2,2))*(2-(VLOOKUP(A193,ScaledPrice2,3))))))</f>
        <v> </v>
      </c>
      <c r="E193" s="317" t="str">
        <f aca="false">IF($A193="N/A"," ",IF(AND(Dayrun2&gt;=4,Dayrun2&lt;=9),0,VLOOKUP($A193,ScaledPrice2,9)))</f>
        <v> </v>
      </c>
      <c r="F193" s="317" t="str">
        <f aca="false">IF(A193="N/A"," ",IF(OR(Dayrun2=2,Dayrun2=3,Dayrun2=5,Dayrun2=6,Dayrun2=8,Dayrun2=9),VLOOKUP(A193,ScaledPrice2,IF(Scaler2=1,6,5)),0))</f>
        <v> </v>
      </c>
      <c r="G193" s="317" t="str">
        <f aca="false">IF(A193="N/A"," ",IF(OR(Dayrun2=2,Dayrun2=3,Dayrun2=5,Dayrun2=6),IF(Scaler2=2,F193,(VLOOKUP(A193,ScaledPrice2,5))*(2-(VLOOKUP(A193,ScaledPrice2,3)))),0))</f>
        <v> </v>
      </c>
      <c r="H193" s="317" t="str">
        <f aca="false">IF($A193="N/A"," ",IF(OR(Dayrun2=2,Dayrun2=3,Dayrun2=10),VLOOKUP($A193,ScaledPrice2,9),0))</f>
        <v> </v>
      </c>
      <c r="I193" s="317" t="str">
        <f aca="false">IF(A193="N/A"," ",IF(OR(Dayrun2=3,Dayrun2=6,Dayrun2=9),(VLOOKUP(A193,ScaledPrice2,IF(Scaler2=2,7,8))),0))</f>
        <v> </v>
      </c>
      <c r="J193" s="317" t="str">
        <f aca="false">IF(A193="N/A"," ",IF(OR(Dayrun2=3,Dayrun2=6),IF(Scaler2=2,I193,(VLOOKUP(A193,ScaledPrice2,7))*(2-(VLOOKUP(A193,ScaledPrice2,3)))),0))</f>
        <v> </v>
      </c>
      <c r="K193" s="317" t="str">
        <f aca="false">IF($A193="N/A"," ",IF(OR(Dayrun2=3,Dayrun2=10),VLOOKUP($A193,ScaledPrice2,9),0))</f>
        <v> </v>
      </c>
      <c r="L193" s="318" t="str">
        <f aca="false">IF($A193="N/A"," ",IF(Pricetype2=2,MAX(C193,0),IF(OR(Pricetype2=1,Pricetype2=4),IF(C193=0,0,(EURO(C193,Strikeprice2,0,0,($AH193+IF(Smile=TRUE(),VLOOKUP(MAX(-5,Strikeprice2-C193),Volsmile,2),0)),($A193-DateToday)+15,IF(Pricetype2=1,1,0),0))),C193)))</f>
        <v> </v>
      </c>
      <c r="M193" s="318" t="str">
        <f aca="false">IF($A193="N/A"," ",IF(Pricetype2=2,MAX(D193,0),IF(OR(Pricetype2=1,Pricetype2=4),IF(D193=0,0,(EURO(D193,Strikeprice2,0,0,($AH193+IF(Smile=TRUE(),VLOOKUP(MAX(-5,Strikeprice2-D193),Volsmile,2),0)),($A193-DateToday)+15,IF(Pricetype2=1,1,0),0))),D193)))</f>
        <v> </v>
      </c>
      <c r="N193" s="318" t="str">
        <f aca="false">IF($A193="N/A"," ",IF(Pricetype2=2,MAX(E193,0),IF(OR(Pricetype2=1,Pricetype2=4),IF(E193=0,0,(EURO(E193,Strikeprice2,0,0,($AK193+IF(Smile=TRUE(),VLOOKUP(MAX(-5,Strikeprice2-E193),Volsmile,2),0)),($A193-DateToday)+15,IF(Pricetype2=1,1,0),0))),E193)))</f>
        <v> </v>
      </c>
      <c r="O193" s="318" t="str">
        <f aca="false">IF($A193="N/A"," ",IF(Pricetype2=2,MAX(F193,0),IF(OR(Pricetype2=1,Pricetype2=4),IF(F193=0,0,(EURO(F193,Strikeprice2,0,0,($AK193+IF(Smile=TRUE(),VLOOKUP(MAX(-5,Strikeprice2-F193),Volsmile,2),0)),($A193-DateToday)+15,IF(Pricetype2=1,1,0),0))),F193)))</f>
        <v> </v>
      </c>
      <c r="P193" s="318" t="str">
        <f aca="false">IF($A193="N/A"," ",IF(Pricetype2=2,MAX(G193,0),IF(OR(Pricetype2=1,Pricetype2=4),IF(G193=0,0,(EURO(G193,Strikeprice2,0,0,($AK193+IF(Smile=TRUE(),VLOOKUP(MAX(-5,Strikeprice2-G193),Volsmile,2),0)),($A193-DateToday)+15,IF(Pricetype2=1,1,0),0))),G193)))</f>
        <v> </v>
      </c>
      <c r="Q193" s="318" t="str">
        <f aca="false">IF($A193="N/A"," ",IF(Pricetype2=2,MAX(H193,0),IF(OR(Pricetype2=1,Pricetype2=4),IF(H193=0,0,(EURO(H193,Strikeprice2,0,0,($AK193+IF(Smile=TRUE(),VLOOKUP(MAX(-5,Strikeprice2-H193),Volsmile,2),0)),($A193-DateToday)+15,IF(Pricetype2=1,1,0),0))),H193)))</f>
        <v> </v>
      </c>
      <c r="R193" s="318" t="str">
        <f aca="false">IF($A193="N/A"," ",IF(Pricetype2=2,MAX(I193,0),IF(OR(Pricetype2=1,Pricetype2=4),IF(I193=0,0,(EURO(I193,Strikeprice2,0,0,($AK193+IF(Smile=TRUE(),VLOOKUP(MAX(-5,Strikeprice2-I193),Volsmile,2),0)),($A193-DateToday)+15,IF(Pricetype2=1,1,0),0))),I193)))</f>
        <v> </v>
      </c>
      <c r="S193" s="318" t="str">
        <f aca="false">IF($A193="N/A"," ",IF(Pricetype2=2,MAX(J193,0),IF(OR(Pricetype2=1,Pricetype2=4),IF(J193=0,0,(EURO(J193,Strikeprice2,0,0,($AK193+IF(Smile=TRUE(),VLOOKUP(MAX(-5,Strikeprice2-J193),Volsmile,2),0)),($A193-DateToday)+15,IF(Pricetype2=1,1,0),0))),J193)))</f>
        <v> </v>
      </c>
      <c r="T193" s="318" t="str">
        <f aca="false">IF($A193="N/A"," ",IF(Pricetype2=2,MAX(K193,0),IF(OR(Pricetype2=1,Pricetype2=4),IF(K193=0,0,(EURO(K193,Strikeprice2,0,0,($AK193+IF(Smile=TRUE(),VLOOKUP(MAX(-5,Strikeprice2-K193),Volsmile,2),0)),($A193-DateToday)+15,IF(Pricetype2=1,1,0),0))),K193)))</f>
        <v> </v>
      </c>
      <c r="U193" s="319" t="str">
        <f aca="false">IF($A193="N/A"," ",Volume2*$AM193)</f>
        <v> </v>
      </c>
      <c r="V193" s="320" t="str">
        <f aca="false">IF($A193="N/A"," ",$U193*(8*($BQ193))*L193)</f>
        <v> </v>
      </c>
      <c r="W193" s="320" t="str">
        <f aca="false">IF($A193="N/A"," ",$U193*(8*($BQ193))*M193)</f>
        <v> </v>
      </c>
      <c r="X193" s="320" t="str">
        <f aca="false">IF($A193="N/A"," ",$U193*(8*($BQ193))*N193)</f>
        <v> </v>
      </c>
      <c r="Y193" s="320" t="str">
        <f aca="false">IF($A193="N/A"," ",$U193*(8*($BR193))*O193)</f>
        <v> </v>
      </c>
      <c r="Z193" s="320" t="str">
        <f aca="false">IF($A193="N/A"," ",$U193*(8*($BR193))*P193)</f>
        <v> </v>
      </c>
      <c r="AA193" s="320" t="str">
        <f aca="false">IF($A193="N/A"," ",$U193*(8*($BR193))*Q193)</f>
        <v> </v>
      </c>
      <c r="AB193" s="320" t="str">
        <f aca="false">IF($A193="N/A"," ",$U193*(8*($BS193))*R193)</f>
        <v> </v>
      </c>
      <c r="AC193" s="320" t="str">
        <f aca="false">IF($A193="N/A"," ",$U193*(8*($BS193))*S193)</f>
        <v> </v>
      </c>
      <c r="AD193" s="320" t="str">
        <f aca="false">IF($A193="N/A"," ",$U193*(8*($BS193))*T193)</f>
        <v> </v>
      </c>
      <c r="AE193" s="320" t="str">
        <f aca="false">IF($A193="N/A"," ",SUM(V193:AD193))</f>
        <v> </v>
      </c>
      <c r="AF193" s="321" t="str">
        <f aca="false">IF(A193="N/A"," ",(VLOOKUP(A193,PowerVolTable,(IF(VolBMO2=2,7,IF(VolBMO2=1,6,8))),FALSE())))</f>
        <v> </v>
      </c>
      <c r="AG193" s="321" t="str">
        <f aca="false">IF(A193="N/A"," ",(VLOOKUP(A193,IntraPowerVol,(IF(VolBMO2=2,3,IF(VolBMO2=1,2,4))),FALSE())*VLOOKUP(MONTH($A193),Volscale,2)))</f>
        <v> </v>
      </c>
      <c r="AH193" s="321" t="str">
        <f aca="false">IF($A193="N/A"," ",IF(VolType2=1,AG193,AF193))</f>
        <v> </v>
      </c>
      <c r="AI193" s="321" t="str">
        <f aca="false">IF($A193="N/A"," ",(VLOOKUP($A193,OffPwrVolTable,(IF(VolBMO2=2,7,IF(VolBMO2=1,6,8))),FALSE())))</f>
        <v> </v>
      </c>
      <c r="AJ193" s="321" t="str">
        <f aca="false">IF($A193="N/A"," ",(VLOOKUP($A193,OffPwrVolTable,(IF(VolBMO2=2,3,IF(VolBMO2=1,2,4))),FALSE())*VLOOKUP(MONTH($A193),Volscale,2)))</f>
        <v> </v>
      </c>
      <c r="AK193" s="321" t="str">
        <f aca="false">IF($A193="N/A"," ",IF(VolType2=1,AJ193,AI193))</f>
        <v> </v>
      </c>
      <c r="AL193" s="321" t="str">
        <f aca="false">IF($A193="N/A"," ",IF(PV=1,0,'Pricing Inputs2'!R226))</f>
        <v> </v>
      </c>
      <c r="AM193" s="323" t="str">
        <f aca="false">IF($A193="N/A"," ",(1+AL193/2)^(-2*((EOMONTH(A193,0)+20)-DateToday)/365.25))</f>
        <v> </v>
      </c>
      <c r="BQ193" s="0" t="str">
        <f aca="false">IF($A193="N/A"," ",(VLOOKUP($A193,NumberofDaysTable,2)))</f>
        <v> </v>
      </c>
      <c r="BR193" s="0" t="str">
        <f aca="false">IF($A193="N/A"," ",(VLOOKUP($A193,NumberofDaysTable,3)))</f>
        <v> </v>
      </c>
      <c r="BS193" s="0" t="str">
        <f aca="false">IF($A193="N/A"," ",(VLOOKUP($A193,NumberofDaysTable,4)))</f>
        <v> </v>
      </c>
    </row>
    <row r="194" customFormat="false" ht="12.75" hidden="false" customHeight="false" outlineLevel="0" collapsed="false">
      <c r="A194" s="315" t="str">
        <f aca="false">IF(A193="N/A","N/A",IF(EDATE(A193,1)&gt;Inputs!$P$5,"N/A",EDATE(A193,1)))</f>
        <v>N/A</v>
      </c>
      <c r="B194" s="316" t="str">
        <f aca="false">IF(A194="N/A"," ",YEAR(A194))</f>
        <v> </v>
      </c>
      <c r="C194" s="317" t="str">
        <f aca="false">IF($A194="N/A"," ",IF(Dayrun2=10,0,IF(Scaler2=1,(VLOOKUP(A194,ScaledPrice2,4)),(VLOOKUP(A194,ScaledPrice2,2)))))</f>
        <v> </v>
      </c>
      <c r="D194" s="317" t="str">
        <f aca="false">IF(A194="N/A"," ",IF(Dayrun2&gt;=7,0,IF(Scaler2=2,VLOOKUP(A194,ScaledPrice2,2),(VLOOKUP(A194,ScaledPrice2,2))*(2-(VLOOKUP(A194,ScaledPrice2,3))))))</f>
        <v> </v>
      </c>
      <c r="E194" s="317" t="str">
        <f aca="false">IF($A194="N/A"," ",IF(AND(Dayrun2&gt;=4,Dayrun2&lt;=9),0,VLOOKUP($A194,ScaledPrice2,9)))</f>
        <v> </v>
      </c>
      <c r="F194" s="317" t="str">
        <f aca="false">IF(A194="N/A"," ",IF(OR(Dayrun2=2,Dayrun2=3,Dayrun2=5,Dayrun2=6,Dayrun2=8,Dayrun2=9),VLOOKUP(A194,ScaledPrice2,IF(Scaler2=1,6,5)),0))</f>
        <v> </v>
      </c>
      <c r="G194" s="317" t="str">
        <f aca="false">IF(A194="N/A"," ",IF(OR(Dayrun2=2,Dayrun2=3,Dayrun2=5,Dayrun2=6),IF(Scaler2=2,F194,(VLOOKUP(A194,ScaledPrice2,5))*(2-(VLOOKUP(A194,ScaledPrice2,3)))),0))</f>
        <v> </v>
      </c>
      <c r="H194" s="317" t="str">
        <f aca="false">IF($A194="N/A"," ",IF(OR(Dayrun2=2,Dayrun2=3,Dayrun2=10),VLOOKUP($A194,ScaledPrice2,9),0))</f>
        <v> </v>
      </c>
      <c r="I194" s="317" t="str">
        <f aca="false">IF(A194="N/A"," ",IF(OR(Dayrun2=3,Dayrun2=6,Dayrun2=9),(VLOOKUP(A194,ScaledPrice2,IF(Scaler2=2,7,8))),0))</f>
        <v> </v>
      </c>
      <c r="J194" s="317" t="str">
        <f aca="false">IF(A194="N/A"," ",IF(OR(Dayrun2=3,Dayrun2=6),IF(Scaler2=2,I194,(VLOOKUP(A194,ScaledPrice2,7))*(2-(VLOOKUP(A194,ScaledPrice2,3)))),0))</f>
        <v> </v>
      </c>
      <c r="K194" s="317" t="str">
        <f aca="false">IF($A194="N/A"," ",IF(OR(Dayrun2=3,Dayrun2=10),VLOOKUP($A194,ScaledPrice2,9),0))</f>
        <v> </v>
      </c>
      <c r="L194" s="318" t="str">
        <f aca="false">IF($A194="N/A"," ",IF(Pricetype2=2,MAX(C194,0),IF(OR(Pricetype2=1,Pricetype2=4),IF(C194=0,0,(EURO(C194,Strikeprice2,0,0,($AH194+IF(Smile=TRUE(),VLOOKUP(MAX(-5,Strikeprice2-C194),Volsmile,2),0)),($A194-DateToday)+15,IF(Pricetype2=1,1,0),0))),C194)))</f>
        <v> </v>
      </c>
      <c r="M194" s="318" t="str">
        <f aca="false">IF($A194="N/A"," ",IF(Pricetype2=2,MAX(D194,0),IF(OR(Pricetype2=1,Pricetype2=4),IF(D194=0,0,(EURO(D194,Strikeprice2,0,0,($AH194+IF(Smile=TRUE(),VLOOKUP(MAX(-5,Strikeprice2-D194),Volsmile,2),0)),($A194-DateToday)+15,IF(Pricetype2=1,1,0),0))),D194)))</f>
        <v> </v>
      </c>
      <c r="N194" s="318" t="str">
        <f aca="false">IF($A194="N/A"," ",IF(Pricetype2=2,MAX(E194,0),IF(OR(Pricetype2=1,Pricetype2=4),IF(E194=0,0,(EURO(E194,Strikeprice2,0,0,($AK194+IF(Smile=TRUE(),VLOOKUP(MAX(-5,Strikeprice2-E194),Volsmile,2),0)),($A194-DateToday)+15,IF(Pricetype2=1,1,0),0))),E194)))</f>
        <v> </v>
      </c>
      <c r="O194" s="318" t="str">
        <f aca="false">IF($A194="N/A"," ",IF(Pricetype2=2,MAX(F194,0),IF(OR(Pricetype2=1,Pricetype2=4),IF(F194=0,0,(EURO(F194,Strikeprice2,0,0,($AK194+IF(Smile=TRUE(),VLOOKUP(MAX(-5,Strikeprice2-F194),Volsmile,2),0)),($A194-DateToday)+15,IF(Pricetype2=1,1,0),0))),F194)))</f>
        <v> </v>
      </c>
      <c r="P194" s="318" t="str">
        <f aca="false">IF($A194="N/A"," ",IF(Pricetype2=2,MAX(G194,0),IF(OR(Pricetype2=1,Pricetype2=4),IF(G194=0,0,(EURO(G194,Strikeprice2,0,0,($AK194+IF(Smile=TRUE(),VLOOKUP(MAX(-5,Strikeprice2-G194),Volsmile,2),0)),($A194-DateToday)+15,IF(Pricetype2=1,1,0),0))),G194)))</f>
        <v> </v>
      </c>
      <c r="Q194" s="318" t="str">
        <f aca="false">IF($A194="N/A"," ",IF(Pricetype2=2,MAX(H194,0),IF(OR(Pricetype2=1,Pricetype2=4),IF(H194=0,0,(EURO(H194,Strikeprice2,0,0,($AK194+IF(Smile=TRUE(),VLOOKUP(MAX(-5,Strikeprice2-H194),Volsmile,2),0)),($A194-DateToday)+15,IF(Pricetype2=1,1,0),0))),H194)))</f>
        <v> </v>
      </c>
      <c r="R194" s="318" t="str">
        <f aca="false">IF($A194="N/A"," ",IF(Pricetype2=2,MAX(I194,0),IF(OR(Pricetype2=1,Pricetype2=4),IF(I194=0,0,(EURO(I194,Strikeprice2,0,0,($AK194+IF(Smile=TRUE(),VLOOKUP(MAX(-5,Strikeprice2-I194),Volsmile,2),0)),($A194-DateToday)+15,IF(Pricetype2=1,1,0),0))),I194)))</f>
        <v> </v>
      </c>
      <c r="S194" s="318" t="str">
        <f aca="false">IF($A194="N/A"," ",IF(Pricetype2=2,MAX(J194,0),IF(OR(Pricetype2=1,Pricetype2=4),IF(J194=0,0,(EURO(J194,Strikeprice2,0,0,($AK194+IF(Smile=TRUE(),VLOOKUP(MAX(-5,Strikeprice2-J194),Volsmile,2),0)),($A194-DateToday)+15,IF(Pricetype2=1,1,0),0))),J194)))</f>
        <v> </v>
      </c>
      <c r="T194" s="318" t="str">
        <f aca="false">IF($A194="N/A"," ",IF(Pricetype2=2,MAX(K194,0),IF(OR(Pricetype2=1,Pricetype2=4),IF(K194=0,0,(EURO(K194,Strikeprice2,0,0,($AK194+IF(Smile=TRUE(),VLOOKUP(MAX(-5,Strikeprice2-K194),Volsmile,2),0)),($A194-DateToday)+15,IF(Pricetype2=1,1,0),0))),K194)))</f>
        <v> </v>
      </c>
      <c r="U194" s="319" t="str">
        <f aca="false">IF($A194="N/A"," ",Volume2*$AM194)</f>
        <v> </v>
      </c>
      <c r="V194" s="320" t="str">
        <f aca="false">IF($A194="N/A"," ",$U194*(8*($BQ194))*L194)</f>
        <v> </v>
      </c>
      <c r="W194" s="320" t="str">
        <f aca="false">IF($A194="N/A"," ",$U194*(8*($BQ194))*M194)</f>
        <v> </v>
      </c>
      <c r="X194" s="320" t="str">
        <f aca="false">IF($A194="N/A"," ",$U194*(8*($BQ194))*N194)</f>
        <v> </v>
      </c>
      <c r="Y194" s="320" t="str">
        <f aca="false">IF($A194="N/A"," ",$U194*(8*($BR194))*O194)</f>
        <v> </v>
      </c>
      <c r="Z194" s="320" t="str">
        <f aca="false">IF($A194="N/A"," ",$U194*(8*($BR194))*P194)</f>
        <v> </v>
      </c>
      <c r="AA194" s="320" t="str">
        <f aca="false">IF($A194="N/A"," ",$U194*(8*($BR194))*Q194)</f>
        <v> </v>
      </c>
      <c r="AB194" s="320" t="str">
        <f aca="false">IF($A194="N/A"," ",$U194*(8*($BS194))*R194)</f>
        <v> </v>
      </c>
      <c r="AC194" s="320" t="str">
        <f aca="false">IF($A194="N/A"," ",$U194*(8*($BS194))*S194)</f>
        <v> </v>
      </c>
      <c r="AD194" s="320" t="str">
        <f aca="false">IF($A194="N/A"," ",$U194*(8*($BS194))*T194)</f>
        <v> </v>
      </c>
      <c r="AE194" s="320" t="str">
        <f aca="false">IF($A194="N/A"," ",SUM(V194:AD194))</f>
        <v> </v>
      </c>
      <c r="AF194" s="321" t="str">
        <f aca="false">IF(A194="N/A"," ",(VLOOKUP(A194,PowerVolTable,(IF(VolBMO2=2,7,IF(VolBMO2=1,6,8))),FALSE())))</f>
        <v> </v>
      </c>
      <c r="AG194" s="321" t="str">
        <f aca="false">IF(A194="N/A"," ",(VLOOKUP(A194,IntraPowerVol,(IF(VolBMO2=2,3,IF(VolBMO2=1,2,4))),FALSE())*VLOOKUP(MONTH($A194),Volscale,2)))</f>
        <v> </v>
      </c>
      <c r="AH194" s="321" t="str">
        <f aca="false">IF($A194="N/A"," ",IF(VolType2=1,AG194,AF194))</f>
        <v> </v>
      </c>
      <c r="AI194" s="321" t="str">
        <f aca="false">IF($A194="N/A"," ",(VLOOKUP($A194,OffPwrVolTable,(IF(VolBMO2=2,7,IF(VolBMO2=1,6,8))),FALSE())))</f>
        <v> </v>
      </c>
      <c r="AJ194" s="321" t="str">
        <f aca="false">IF($A194="N/A"," ",(VLOOKUP($A194,OffPwrVolTable,(IF(VolBMO2=2,3,IF(VolBMO2=1,2,4))),FALSE())*VLOOKUP(MONTH($A194),Volscale,2)))</f>
        <v> </v>
      </c>
      <c r="AK194" s="321" t="str">
        <f aca="false">IF($A194="N/A"," ",IF(VolType2=1,AJ194,AI194))</f>
        <v> </v>
      </c>
      <c r="AL194" s="321" t="str">
        <f aca="false">IF($A194="N/A"," ",IF(PV=1,0,'Pricing Inputs2'!R227))</f>
        <v> </v>
      </c>
      <c r="AM194" s="323" t="str">
        <f aca="false">IF($A194="N/A"," ",(1+AL194/2)^(-2*((EOMONTH(A194,0)+20)-DateToday)/365.25))</f>
        <v> </v>
      </c>
      <c r="BQ194" s="0" t="str">
        <f aca="false">IF($A194="N/A"," ",(VLOOKUP($A194,NumberofDaysTable,2)))</f>
        <v> </v>
      </c>
      <c r="BR194" s="0" t="str">
        <f aca="false">IF($A194="N/A"," ",(VLOOKUP($A194,NumberofDaysTable,3)))</f>
        <v> </v>
      </c>
      <c r="BS194" s="0" t="str">
        <f aca="false">IF($A194="N/A"," ",(VLOOKUP($A194,NumberofDaysTable,4)))</f>
        <v> </v>
      </c>
    </row>
    <row r="195" customFormat="false" ht="12.75" hidden="false" customHeight="false" outlineLevel="0" collapsed="false">
      <c r="A195" s="315" t="str">
        <f aca="false">IF(A194="N/A","N/A",IF(EDATE(A194,1)&gt;Inputs!$P$5,"N/A",EDATE(A194,1)))</f>
        <v>N/A</v>
      </c>
      <c r="B195" s="316" t="str">
        <f aca="false">IF(A195="N/A"," ",YEAR(A195))</f>
        <v> </v>
      </c>
      <c r="C195" s="317" t="str">
        <f aca="false">IF($A195="N/A"," ",IF(Dayrun2=10,0,IF(Scaler2=1,(VLOOKUP(A195,ScaledPrice2,4)),(VLOOKUP(A195,ScaledPrice2,2)))))</f>
        <v> </v>
      </c>
      <c r="D195" s="317" t="str">
        <f aca="false">IF(A195="N/A"," ",IF(Dayrun2&gt;=7,0,IF(Scaler2=2,VLOOKUP(A195,ScaledPrice2,2),(VLOOKUP(A195,ScaledPrice2,2))*(2-(VLOOKUP(A195,ScaledPrice2,3))))))</f>
        <v> </v>
      </c>
      <c r="E195" s="317" t="str">
        <f aca="false">IF($A195="N/A"," ",IF(AND(Dayrun2&gt;=4,Dayrun2&lt;=9),0,VLOOKUP($A195,ScaledPrice2,9)))</f>
        <v> </v>
      </c>
      <c r="F195" s="317" t="str">
        <f aca="false">IF(A195="N/A"," ",IF(OR(Dayrun2=2,Dayrun2=3,Dayrun2=5,Dayrun2=6,Dayrun2=8,Dayrun2=9),VLOOKUP(A195,ScaledPrice2,IF(Scaler2=1,6,5)),0))</f>
        <v> </v>
      </c>
      <c r="G195" s="317" t="str">
        <f aca="false">IF(A195="N/A"," ",IF(OR(Dayrun2=2,Dayrun2=3,Dayrun2=5,Dayrun2=6),IF(Scaler2=2,F195,(VLOOKUP(A195,ScaledPrice2,5))*(2-(VLOOKUP(A195,ScaledPrice2,3)))),0))</f>
        <v> </v>
      </c>
      <c r="H195" s="317" t="str">
        <f aca="false">IF($A195="N/A"," ",IF(OR(Dayrun2=2,Dayrun2=3,Dayrun2=10),VLOOKUP($A195,ScaledPrice2,9),0))</f>
        <v> </v>
      </c>
      <c r="I195" s="317" t="str">
        <f aca="false">IF(A195="N/A"," ",IF(OR(Dayrun2=3,Dayrun2=6,Dayrun2=9),(VLOOKUP(A195,ScaledPrice2,IF(Scaler2=2,7,8))),0))</f>
        <v> </v>
      </c>
      <c r="J195" s="317" t="str">
        <f aca="false">IF(A195="N/A"," ",IF(OR(Dayrun2=3,Dayrun2=6),IF(Scaler2=2,I195,(VLOOKUP(A195,ScaledPrice2,7))*(2-(VLOOKUP(A195,ScaledPrice2,3)))),0))</f>
        <v> </v>
      </c>
      <c r="K195" s="317" t="str">
        <f aca="false">IF($A195="N/A"," ",IF(OR(Dayrun2=3,Dayrun2=10),VLOOKUP($A195,ScaledPrice2,9),0))</f>
        <v> </v>
      </c>
      <c r="L195" s="318" t="str">
        <f aca="false">IF($A195="N/A"," ",IF(Pricetype2=2,MAX(C195,0),IF(OR(Pricetype2=1,Pricetype2=4),IF(C195=0,0,(EURO(C195,Strikeprice2,0,0,($AH195+IF(Smile=TRUE(),VLOOKUP(MAX(-5,Strikeprice2-C195),Volsmile,2),0)),($A195-DateToday)+15,IF(Pricetype2=1,1,0),0))),C195)))</f>
        <v> </v>
      </c>
      <c r="M195" s="318" t="str">
        <f aca="false">IF($A195="N/A"," ",IF(Pricetype2=2,MAX(D195,0),IF(OR(Pricetype2=1,Pricetype2=4),IF(D195=0,0,(EURO(D195,Strikeprice2,0,0,($AH195+IF(Smile=TRUE(),VLOOKUP(MAX(-5,Strikeprice2-D195),Volsmile,2),0)),($A195-DateToday)+15,IF(Pricetype2=1,1,0),0))),D195)))</f>
        <v> </v>
      </c>
      <c r="N195" s="318" t="str">
        <f aca="false">IF($A195="N/A"," ",IF(Pricetype2=2,MAX(E195,0),IF(OR(Pricetype2=1,Pricetype2=4),IF(E195=0,0,(EURO(E195,Strikeprice2,0,0,($AK195+IF(Smile=TRUE(),VLOOKUP(MAX(-5,Strikeprice2-E195),Volsmile,2),0)),($A195-DateToday)+15,IF(Pricetype2=1,1,0),0))),E195)))</f>
        <v> </v>
      </c>
      <c r="O195" s="318" t="str">
        <f aca="false">IF($A195="N/A"," ",IF(Pricetype2=2,MAX(F195,0),IF(OR(Pricetype2=1,Pricetype2=4),IF(F195=0,0,(EURO(F195,Strikeprice2,0,0,($AK195+IF(Smile=TRUE(),VLOOKUP(MAX(-5,Strikeprice2-F195),Volsmile,2),0)),($A195-DateToday)+15,IF(Pricetype2=1,1,0),0))),F195)))</f>
        <v> </v>
      </c>
      <c r="P195" s="318" t="str">
        <f aca="false">IF($A195="N/A"," ",IF(Pricetype2=2,MAX(G195,0),IF(OR(Pricetype2=1,Pricetype2=4),IF(G195=0,0,(EURO(G195,Strikeprice2,0,0,($AK195+IF(Smile=TRUE(),VLOOKUP(MAX(-5,Strikeprice2-G195),Volsmile,2),0)),($A195-DateToday)+15,IF(Pricetype2=1,1,0),0))),G195)))</f>
        <v> </v>
      </c>
      <c r="Q195" s="318" t="str">
        <f aca="false">IF($A195="N/A"," ",IF(Pricetype2=2,MAX(H195,0),IF(OR(Pricetype2=1,Pricetype2=4),IF(H195=0,0,(EURO(H195,Strikeprice2,0,0,($AK195+IF(Smile=TRUE(),VLOOKUP(MAX(-5,Strikeprice2-H195),Volsmile,2),0)),($A195-DateToday)+15,IF(Pricetype2=1,1,0),0))),H195)))</f>
        <v> </v>
      </c>
      <c r="R195" s="318" t="str">
        <f aca="false">IF($A195="N/A"," ",IF(Pricetype2=2,MAX(I195,0),IF(OR(Pricetype2=1,Pricetype2=4),IF(I195=0,0,(EURO(I195,Strikeprice2,0,0,($AK195+IF(Smile=TRUE(),VLOOKUP(MAX(-5,Strikeprice2-I195),Volsmile,2),0)),($A195-DateToday)+15,IF(Pricetype2=1,1,0),0))),I195)))</f>
        <v> </v>
      </c>
      <c r="S195" s="318" t="str">
        <f aca="false">IF($A195="N/A"," ",IF(Pricetype2=2,MAX(J195,0),IF(OR(Pricetype2=1,Pricetype2=4),IF(J195=0,0,(EURO(J195,Strikeprice2,0,0,($AK195+IF(Smile=TRUE(),VLOOKUP(MAX(-5,Strikeprice2-J195),Volsmile,2),0)),($A195-DateToday)+15,IF(Pricetype2=1,1,0),0))),J195)))</f>
        <v> </v>
      </c>
      <c r="T195" s="318" t="str">
        <f aca="false">IF($A195="N/A"," ",IF(Pricetype2=2,MAX(K195,0),IF(OR(Pricetype2=1,Pricetype2=4),IF(K195=0,0,(EURO(K195,Strikeprice2,0,0,($AK195+IF(Smile=TRUE(),VLOOKUP(MAX(-5,Strikeprice2-K195),Volsmile,2),0)),($A195-DateToday)+15,IF(Pricetype2=1,1,0),0))),K195)))</f>
        <v> </v>
      </c>
      <c r="U195" s="319" t="str">
        <f aca="false">IF($A195="N/A"," ",Volume2*$AM195)</f>
        <v> </v>
      </c>
      <c r="V195" s="320" t="str">
        <f aca="false">IF($A195="N/A"," ",$U195*(8*($BQ195))*L195)</f>
        <v> </v>
      </c>
      <c r="W195" s="320" t="str">
        <f aca="false">IF($A195="N/A"," ",$U195*(8*($BQ195))*M195)</f>
        <v> </v>
      </c>
      <c r="X195" s="320" t="str">
        <f aca="false">IF($A195="N/A"," ",$U195*(8*($BQ195))*N195)</f>
        <v> </v>
      </c>
      <c r="Y195" s="320" t="str">
        <f aca="false">IF($A195="N/A"," ",$U195*(8*($BR195))*O195)</f>
        <v> </v>
      </c>
      <c r="Z195" s="320" t="str">
        <f aca="false">IF($A195="N/A"," ",$U195*(8*($BR195))*P195)</f>
        <v> </v>
      </c>
      <c r="AA195" s="320" t="str">
        <f aca="false">IF($A195="N/A"," ",$U195*(8*($BR195))*Q195)</f>
        <v> </v>
      </c>
      <c r="AB195" s="320" t="str">
        <f aca="false">IF($A195="N/A"," ",$U195*(8*($BS195))*R195)</f>
        <v> </v>
      </c>
      <c r="AC195" s="320" t="str">
        <f aca="false">IF($A195="N/A"," ",$U195*(8*($BS195))*S195)</f>
        <v> </v>
      </c>
      <c r="AD195" s="320" t="str">
        <f aca="false">IF($A195="N/A"," ",$U195*(8*($BS195))*T195)</f>
        <v> </v>
      </c>
      <c r="AE195" s="320" t="str">
        <f aca="false">IF($A195="N/A"," ",SUM(V195:AD195))</f>
        <v> </v>
      </c>
      <c r="AF195" s="321" t="str">
        <f aca="false">IF(A195="N/A"," ",(VLOOKUP(A195,PowerVolTable,(IF(VolBMO2=2,7,IF(VolBMO2=1,6,8))),FALSE())))</f>
        <v> </v>
      </c>
      <c r="AG195" s="321" t="str">
        <f aca="false">IF(A195="N/A"," ",(VLOOKUP(A195,IntraPowerVol,(IF(VolBMO2=2,3,IF(VolBMO2=1,2,4))),FALSE())*VLOOKUP(MONTH($A195),Volscale,2)))</f>
        <v> </v>
      </c>
      <c r="AH195" s="321" t="str">
        <f aca="false">IF($A195="N/A"," ",IF(VolType2=1,AG195,AF195))</f>
        <v> </v>
      </c>
      <c r="AI195" s="321" t="str">
        <f aca="false">IF($A195="N/A"," ",(VLOOKUP($A195,OffPwrVolTable,(IF(VolBMO2=2,7,IF(VolBMO2=1,6,8))),FALSE())))</f>
        <v> </v>
      </c>
      <c r="AJ195" s="321" t="str">
        <f aca="false">IF($A195="N/A"," ",(VLOOKUP($A195,OffPwrVolTable,(IF(VolBMO2=2,3,IF(VolBMO2=1,2,4))),FALSE())*VLOOKUP(MONTH($A195),Volscale,2)))</f>
        <v> </v>
      </c>
      <c r="AK195" s="321" t="str">
        <f aca="false">IF($A195="N/A"," ",IF(VolType2=1,AJ195,AI195))</f>
        <v> </v>
      </c>
      <c r="AL195" s="321" t="str">
        <f aca="false">IF($A195="N/A"," ",IF(PV=1,0,'Pricing Inputs2'!R228))</f>
        <v> </v>
      </c>
      <c r="AM195" s="323" t="str">
        <f aca="false">IF($A195="N/A"," ",(1+AL195/2)^(-2*((EOMONTH(A195,0)+20)-DateToday)/365.25))</f>
        <v> </v>
      </c>
      <c r="BQ195" s="0" t="str">
        <f aca="false">IF($A195="N/A"," ",(VLOOKUP($A195,NumberofDaysTable,2)))</f>
        <v> </v>
      </c>
      <c r="BR195" s="0" t="str">
        <f aca="false">IF($A195="N/A"," ",(VLOOKUP($A195,NumberofDaysTable,3)))</f>
        <v> </v>
      </c>
      <c r="BS195" s="0" t="str">
        <f aca="false">IF($A195="N/A"," ",(VLOOKUP($A195,NumberofDaysTable,4)))</f>
        <v> </v>
      </c>
    </row>
    <row r="196" customFormat="false" ht="12.75" hidden="false" customHeight="false" outlineLevel="0" collapsed="false">
      <c r="A196" s="315" t="str">
        <f aca="false">IF(A195="N/A","N/A",IF(EDATE(A195,1)&gt;Inputs!$P$5,"N/A",EDATE(A195,1)))</f>
        <v>N/A</v>
      </c>
      <c r="B196" s="316" t="str">
        <f aca="false">IF(A196="N/A"," ",YEAR(A196))</f>
        <v> </v>
      </c>
      <c r="C196" s="317" t="str">
        <f aca="false">IF($A196="N/A"," ",IF(Dayrun2=10,0,IF(Scaler2=1,(VLOOKUP(A196,ScaledPrice2,4)),(VLOOKUP(A196,ScaledPrice2,2)))))</f>
        <v> </v>
      </c>
      <c r="D196" s="317" t="str">
        <f aca="false">IF(A196="N/A"," ",IF(Dayrun2&gt;=7,0,IF(Scaler2=2,VLOOKUP(A196,ScaledPrice2,2),(VLOOKUP(A196,ScaledPrice2,2))*(2-(VLOOKUP(A196,ScaledPrice2,3))))))</f>
        <v> </v>
      </c>
      <c r="E196" s="317" t="str">
        <f aca="false">IF($A196="N/A"," ",IF(AND(Dayrun2&gt;=4,Dayrun2&lt;=9),0,VLOOKUP($A196,ScaledPrice2,9)))</f>
        <v> </v>
      </c>
      <c r="F196" s="317" t="str">
        <f aca="false">IF(A196="N/A"," ",IF(OR(Dayrun2=2,Dayrun2=3,Dayrun2=5,Dayrun2=6,Dayrun2=8,Dayrun2=9),VLOOKUP(A196,ScaledPrice2,IF(Scaler2=1,6,5)),0))</f>
        <v> </v>
      </c>
      <c r="G196" s="317" t="str">
        <f aca="false">IF(A196="N/A"," ",IF(OR(Dayrun2=2,Dayrun2=3,Dayrun2=5,Dayrun2=6),IF(Scaler2=2,F196,(VLOOKUP(A196,ScaledPrice2,5))*(2-(VLOOKUP(A196,ScaledPrice2,3)))),0))</f>
        <v> </v>
      </c>
      <c r="H196" s="317" t="str">
        <f aca="false">IF($A196="N/A"," ",IF(OR(Dayrun2=2,Dayrun2=3,Dayrun2=10),VLOOKUP($A196,ScaledPrice2,9),0))</f>
        <v> </v>
      </c>
      <c r="I196" s="317" t="str">
        <f aca="false">IF(A196="N/A"," ",IF(OR(Dayrun2=3,Dayrun2=6,Dayrun2=9),(VLOOKUP(A196,ScaledPrice2,IF(Scaler2=2,7,8))),0))</f>
        <v> </v>
      </c>
      <c r="J196" s="317" t="str">
        <f aca="false">IF(A196="N/A"," ",IF(OR(Dayrun2=3,Dayrun2=6),IF(Scaler2=2,I196,(VLOOKUP(A196,ScaledPrice2,7))*(2-(VLOOKUP(A196,ScaledPrice2,3)))),0))</f>
        <v> </v>
      </c>
      <c r="K196" s="317" t="str">
        <f aca="false">IF($A196="N/A"," ",IF(OR(Dayrun2=3,Dayrun2=10),VLOOKUP($A196,ScaledPrice2,9),0))</f>
        <v> </v>
      </c>
      <c r="L196" s="318" t="str">
        <f aca="false">IF($A196="N/A"," ",IF(Pricetype2=2,MAX(C196,0),IF(OR(Pricetype2=1,Pricetype2=4),IF(C196=0,0,(EURO(C196,Strikeprice2,0,0,($AH196+IF(Smile=TRUE(),VLOOKUP(MAX(-5,Strikeprice2-C196),Volsmile,2),0)),($A196-DateToday)+15,IF(Pricetype2=1,1,0),0))),C196)))</f>
        <v> </v>
      </c>
      <c r="M196" s="318" t="str">
        <f aca="false">IF($A196="N/A"," ",IF(Pricetype2=2,MAX(D196,0),IF(OR(Pricetype2=1,Pricetype2=4),IF(D196=0,0,(EURO(D196,Strikeprice2,0,0,($AH196+IF(Smile=TRUE(),VLOOKUP(MAX(-5,Strikeprice2-D196),Volsmile,2),0)),($A196-DateToday)+15,IF(Pricetype2=1,1,0),0))),D196)))</f>
        <v> </v>
      </c>
      <c r="N196" s="318" t="str">
        <f aca="false">IF($A196="N/A"," ",IF(Pricetype2=2,MAX(E196,0),IF(OR(Pricetype2=1,Pricetype2=4),IF(E196=0,0,(EURO(E196,Strikeprice2,0,0,($AK196+IF(Smile=TRUE(),VLOOKUP(MAX(-5,Strikeprice2-E196),Volsmile,2),0)),($A196-DateToday)+15,IF(Pricetype2=1,1,0),0))),E196)))</f>
        <v> </v>
      </c>
      <c r="O196" s="318" t="str">
        <f aca="false">IF($A196="N/A"," ",IF(Pricetype2=2,MAX(F196,0),IF(OR(Pricetype2=1,Pricetype2=4),IF(F196=0,0,(EURO(F196,Strikeprice2,0,0,($AK196+IF(Smile=TRUE(),VLOOKUP(MAX(-5,Strikeprice2-F196),Volsmile,2),0)),($A196-DateToday)+15,IF(Pricetype2=1,1,0),0))),F196)))</f>
        <v> </v>
      </c>
      <c r="P196" s="318" t="str">
        <f aca="false">IF($A196="N/A"," ",IF(Pricetype2=2,MAX(G196,0),IF(OR(Pricetype2=1,Pricetype2=4),IF(G196=0,0,(EURO(G196,Strikeprice2,0,0,($AK196+IF(Smile=TRUE(),VLOOKUP(MAX(-5,Strikeprice2-G196),Volsmile,2),0)),($A196-DateToday)+15,IF(Pricetype2=1,1,0),0))),G196)))</f>
        <v> </v>
      </c>
      <c r="Q196" s="318" t="str">
        <f aca="false">IF($A196="N/A"," ",IF(Pricetype2=2,MAX(H196,0),IF(OR(Pricetype2=1,Pricetype2=4),IF(H196=0,0,(EURO(H196,Strikeprice2,0,0,($AK196+IF(Smile=TRUE(),VLOOKUP(MAX(-5,Strikeprice2-H196),Volsmile,2),0)),($A196-DateToday)+15,IF(Pricetype2=1,1,0),0))),H196)))</f>
        <v> </v>
      </c>
      <c r="R196" s="318" t="str">
        <f aca="false">IF($A196="N/A"," ",IF(Pricetype2=2,MAX(I196,0),IF(OR(Pricetype2=1,Pricetype2=4),IF(I196=0,0,(EURO(I196,Strikeprice2,0,0,($AK196+IF(Smile=TRUE(),VLOOKUP(MAX(-5,Strikeprice2-I196),Volsmile,2),0)),($A196-DateToday)+15,IF(Pricetype2=1,1,0),0))),I196)))</f>
        <v> </v>
      </c>
      <c r="S196" s="318" t="str">
        <f aca="false">IF($A196="N/A"," ",IF(Pricetype2=2,MAX(J196,0),IF(OR(Pricetype2=1,Pricetype2=4),IF(J196=0,0,(EURO(J196,Strikeprice2,0,0,($AK196+IF(Smile=TRUE(),VLOOKUP(MAX(-5,Strikeprice2-J196),Volsmile,2),0)),($A196-DateToday)+15,IF(Pricetype2=1,1,0),0))),J196)))</f>
        <v> </v>
      </c>
      <c r="T196" s="318" t="str">
        <f aca="false">IF($A196="N/A"," ",IF(Pricetype2=2,MAX(K196,0),IF(OR(Pricetype2=1,Pricetype2=4),IF(K196=0,0,(EURO(K196,Strikeprice2,0,0,($AK196+IF(Smile=TRUE(),VLOOKUP(MAX(-5,Strikeprice2-K196),Volsmile,2),0)),($A196-DateToday)+15,IF(Pricetype2=1,1,0),0))),K196)))</f>
        <v> </v>
      </c>
      <c r="U196" s="319" t="str">
        <f aca="false">IF($A196="N/A"," ",Volume2*$AM196)</f>
        <v> </v>
      </c>
      <c r="V196" s="320" t="str">
        <f aca="false">IF($A196="N/A"," ",$U196*(8*($BQ196))*L196)</f>
        <v> </v>
      </c>
      <c r="W196" s="320" t="str">
        <f aca="false">IF($A196="N/A"," ",$U196*(8*($BQ196))*M196)</f>
        <v> </v>
      </c>
      <c r="X196" s="320" t="str">
        <f aca="false">IF($A196="N/A"," ",$U196*(8*($BQ196))*N196)</f>
        <v> </v>
      </c>
      <c r="Y196" s="320" t="str">
        <f aca="false">IF($A196="N/A"," ",$U196*(8*($BR196))*O196)</f>
        <v> </v>
      </c>
      <c r="Z196" s="320" t="str">
        <f aca="false">IF($A196="N/A"," ",$U196*(8*($BR196))*P196)</f>
        <v> </v>
      </c>
      <c r="AA196" s="320" t="str">
        <f aca="false">IF($A196="N/A"," ",$U196*(8*($BR196))*Q196)</f>
        <v> </v>
      </c>
      <c r="AB196" s="320" t="str">
        <f aca="false">IF($A196="N/A"," ",$U196*(8*($BS196))*R196)</f>
        <v> </v>
      </c>
      <c r="AC196" s="320" t="str">
        <f aca="false">IF($A196="N/A"," ",$U196*(8*($BS196))*S196)</f>
        <v> </v>
      </c>
      <c r="AD196" s="320" t="str">
        <f aca="false">IF($A196="N/A"," ",$U196*(8*($BS196))*T196)</f>
        <v> </v>
      </c>
      <c r="AE196" s="320" t="str">
        <f aca="false">IF($A196="N/A"," ",SUM(V196:AD196))</f>
        <v> </v>
      </c>
      <c r="AF196" s="321" t="str">
        <f aca="false">IF(A196="N/A"," ",(VLOOKUP(A196,PowerVolTable,(IF(VolBMO2=2,7,IF(VolBMO2=1,6,8))),FALSE())))</f>
        <v> </v>
      </c>
      <c r="AG196" s="321" t="str">
        <f aca="false">IF(A196="N/A"," ",(VLOOKUP(A196,IntraPowerVol,(IF(VolBMO2=2,3,IF(VolBMO2=1,2,4))),FALSE())*VLOOKUP(MONTH($A196),Volscale,2)))</f>
        <v> </v>
      </c>
      <c r="AH196" s="321" t="str">
        <f aca="false">IF($A196="N/A"," ",IF(VolType2=1,AG196,AF196))</f>
        <v> </v>
      </c>
      <c r="AI196" s="321" t="str">
        <f aca="false">IF($A196="N/A"," ",(VLOOKUP($A196,OffPwrVolTable,(IF(VolBMO2=2,7,IF(VolBMO2=1,6,8))),FALSE())))</f>
        <v> </v>
      </c>
      <c r="AJ196" s="321" t="str">
        <f aca="false">IF($A196="N/A"," ",(VLOOKUP($A196,OffPwrVolTable,(IF(VolBMO2=2,3,IF(VolBMO2=1,2,4))),FALSE())*VLOOKUP(MONTH($A196),Volscale,2)))</f>
        <v> </v>
      </c>
      <c r="AK196" s="321" t="str">
        <f aca="false">IF($A196="N/A"," ",IF(VolType2=1,AJ196,AI196))</f>
        <v> </v>
      </c>
      <c r="AL196" s="321" t="str">
        <f aca="false">IF($A196="N/A"," ",IF(PV=1,0,'Pricing Inputs2'!R229))</f>
        <v> </v>
      </c>
      <c r="AM196" s="323" t="str">
        <f aca="false">IF($A196="N/A"," ",(1+AL196/2)^(-2*((EOMONTH(A196,0)+20)-DateToday)/365.25))</f>
        <v> </v>
      </c>
      <c r="BQ196" s="0" t="str">
        <f aca="false">IF($A196="N/A"," ",(VLOOKUP($A196,NumberofDaysTable,2)))</f>
        <v> </v>
      </c>
      <c r="BR196" s="0" t="str">
        <f aca="false">IF($A196="N/A"," ",(VLOOKUP($A196,NumberofDaysTable,3)))</f>
        <v> </v>
      </c>
      <c r="BS196" s="0" t="str">
        <f aca="false">IF($A196="N/A"," ",(VLOOKUP($A196,NumberofDaysTable,4)))</f>
        <v> </v>
      </c>
    </row>
    <row r="197" customFormat="false" ht="12.75" hidden="false" customHeight="false" outlineLevel="0" collapsed="false">
      <c r="A197" s="315" t="str">
        <f aca="false">IF(A196="N/A","N/A",IF(EDATE(A196,1)&gt;Inputs!$P$5,"N/A",EDATE(A196,1)))</f>
        <v>N/A</v>
      </c>
      <c r="B197" s="316" t="str">
        <f aca="false">IF(A197="N/A"," ",YEAR(A197))</f>
        <v> </v>
      </c>
      <c r="C197" s="317" t="str">
        <f aca="false">IF($A197="N/A"," ",IF(Dayrun2=10,0,IF(Scaler2=1,(VLOOKUP(A197,ScaledPrice2,4)),(VLOOKUP(A197,ScaledPrice2,2)))))</f>
        <v> </v>
      </c>
      <c r="D197" s="317" t="str">
        <f aca="false">IF(A197="N/A"," ",IF(Dayrun2&gt;=7,0,IF(Scaler2=2,VLOOKUP(A197,ScaledPrice2,2),(VLOOKUP(A197,ScaledPrice2,2))*(2-(VLOOKUP(A197,ScaledPrice2,3))))))</f>
        <v> </v>
      </c>
      <c r="E197" s="317" t="str">
        <f aca="false">IF($A197="N/A"," ",IF(AND(Dayrun2&gt;=4,Dayrun2&lt;=9),0,VLOOKUP($A197,ScaledPrice2,9)))</f>
        <v> </v>
      </c>
      <c r="F197" s="317" t="str">
        <f aca="false">IF(A197="N/A"," ",IF(OR(Dayrun2=2,Dayrun2=3,Dayrun2=5,Dayrun2=6,Dayrun2=8,Dayrun2=9),VLOOKUP(A197,ScaledPrice2,IF(Scaler2=1,6,5)),0))</f>
        <v> </v>
      </c>
      <c r="G197" s="317" t="str">
        <f aca="false">IF(A197="N/A"," ",IF(OR(Dayrun2=2,Dayrun2=3,Dayrun2=5,Dayrun2=6),IF(Scaler2=2,F197,(VLOOKUP(A197,ScaledPrice2,5))*(2-(VLOOKUP(A197,ScaledPrice2,3)))),0))</f>
        <v> </v>
      </c>
      <c r="H197" s="317" t="str">
        <f aca="false">IF($A197="N/A"," ",IF(OR(Dayrun2=2,Dayrun2=3,Dayrun2=10),VLOOKUP($A197,ScaledPrice2,9),0))</f>
        <v> </v>
      </c>
      <c r="I197" s="317" t="str">
        <f aca="false">IF(A197="N/A"," ",IF(OR(Dayrun2=3,Dayrun2=6,Dayrun2=9),(VLOOKUP(A197,ScaledPrice2,IF(Scaler2=2,7,8))),0))</f>
        <v> </v>
      </c>
      <c r="J197" s="317" t="str">
        <f aca="false">IF(A197="N/A"," ",IF(OR(Dayrun2=3,Dayrun2=6),IF(Scaler2=2,I197,(VLOOKUP(A197,ScaledPrice2,7))*(2-(VLOOKUP(A197,ScaledPrice2,3)))),0))</f>
        <v> </v>
      </c>
      <c r="K197" s="317" t="str">
        <f aca="false">IF($A197="N/A"," ",IF(OR(Dayrun2=3,Dayrun2=10),VLOOKUP($A197,ScaledPrice2,9),0))</f>
        <v> </v>
      </c>
      <c r="L197" s="318" t="str">
        <f aca="false">IF($A197="N/A"," ",IF(Pricetype2=2,MAX(C197,0),IF(OR(Pricetype2=1,Pricetype2=4),IF(C197=0,0,(EURO(C197,Strikeprice2,0,0,($AH197+IF(Smile=TRUE(),VLOOKUP(MAX(-5,Strikeprice2-C197),Volsmile,2),0)),($A197-DateToday)+15,IF(Pricetype2=1,1,0),0))),C197)))</f>
        <v> </v>
      </c>
      <c r="M197" s="318" t="str">
        <f aca="false">IF($A197="N/A"," ",IF(Pricetype2=2,MAX(D197,0),IF(OR(Pricetype2=1,Pricetype2=4),IF(D197=0,0,(EURO(D197,Strikeprice2,0,0,($AH197+IF(Smile=TRUE(),VLOOKUP(MAX(-5,Strikeprice2-D197),Volsmile,2),0)),($A197-DateToday)+15,IF(Pricetype2=1,1,0),0))),D197)))</f>
        <v> </v>
      </c>
      <c r="N197" s="318" t="str">
        <f aca="false">IF($A197="N/A"," ",IF(Pricetype2=2,MAX(E197,0),IF(OR(Pricetype2=1,Pricetype2=4),IF(E197=0,0,(EURO(E197,Strikeprice2,0,0,($AK197+IF(Smile=TRUE(),VLOOKUP(MAX(-5,Strikeprice2-E197),Volsmile,2),0)),($A197-DateToday)+15,IF(Pricetype2=1,1,0),0))),E197)))</f>
        <v> </v>
      </c>
      <c r="O197" s="318" t="str">
        <f aca="false">IF($A197="N/A"," ",IF(Pricetype2=2,MAX(F197,0),IF(OR(Pricetype2=1,Pricetype2=4),IF(F197=0,0,(EURO(F197,Strikeprice2,0,0,($AK197+IF(Smile=TRUE(),VLOOKUP(MAX(-5,Strikeprice2-F197),Volsmile,2),0)),($A197-DateToday)+15,IF(Pricetype2=1,1,0),0))),F197)))</f>
        <v> </v>
      </c>
      <c r="P197" s="318" t="str">
        <f aca="false">IF($A197="N/A"," ",IF(Pricetype2=2,MAX(G197,0),IF(OR(Pricetype2=1,Pricetype2=4),IF(G197=0,0,(EURO(G197,Strikeprice2,0,0,($AK197+IF(Smile=TRUE(),VLOOKUP(MAX(-5,Strikeprice2-G197),Volsmile,2),0)),($A197-DateToday)+15,IF(Pricetype2=1,1,0),0))),G197)))</f>
        <v> </v>
      </c>
      <c r="Q197" s="318" t="str">
        <f aca="false">IF($A197="N/A"," ",IF(Pricetype2=2,MAX(H197,0),IF(OR(Pricetype2=1,Pricetype2=4),IF(H197=0,0,(EURO(H197,Strikeprice2,0,0,($AK197+IF(Smile=TRUE(),VLOOKUP(MAX(-5,Strikeprice2-H197),Volsmile,2),0)),($A197-DateToday)+15,IF(Pricetype2=1,1,0),0))),H197)))</f>
        <v> </v>
      </c>
      <c r="R197" s="318" t="str">
        <f aca="false">IF($A197="N/A"," ",IF(Pricetype2=2,MAX(I197,0),IF(OR(Pricetype2=1,Pricetype2=4),IF(I197=0,0,(EURO(I197,Strikeprice2,0,0,($AK197+IF(Smile=TRUE(),VLOOKUP(MAX(-5,Strikeprice2-I197),Volsmile,2),0)),($A197-DateToday)+15,IF(Pricetype2=1,1,0),0))),I197)))</f>
        <v> </v>
      </c>
      <c r="S197" s="318" t="str">
        <f aca="false">IF($A197="N/A"," ",IF(Pricetype2=2,MAX(J197,0),IF(OR(Pricetype2=1,Pricetype2=4),IF(J197=0,0,(EURO(J197,Strikeprice2,0,0,($AK197+IF(Smile=TRUE(),VLOOKUP(MAX(-5,Strikeprice2-J197),Volsmile,2),0)),($A197-DateToday)+15,IF(Pricetype2=1,1,0),0))),J197)))</f>
        <v> </v>
      </c>
      <c r="T197" s="318" t="str">
        <f aca="false">IF($A197="N/A"," ",IF(Pricetype2=2,MAX(K197,0),IF(OR(Pricetype2=1,Pricetype2=4),IF(K197=0,0,(EURO(K197,Strikeprice2,0,0,($AK197+IF(Smile=TRUE(),VLOOKUP(MAX(-5,Strikeprice2-K197),Volsmile,2),0)),($A197-DateToday)+15,IF(Pricetype2=1,1,0),0))),K197)))</f>
        <v> </v>
      </c>
      <c r="U197" s="319" t="str">
        <f aca="false">IF($A197="N/A"," ",Volume2*$AM197)</f>
        <v> </v>
      </c>
      <c r="V197" s="320" t="str">
        <f aca="false">IF($A197="N/A"," ",$U197*(8*($BQ197))*L197)</f>
        <v> </v>
      </c>
      <c r="W197" s="320" t="str">
        <f aca="false">IF($A197="N/A"," ",$U197*(8*($BQ197))*M197)</f>
        <v> </v>
      </c>
      <c r="X197" s="320" t="str">
        <f aca="false">IF($A197="N/A"," ",$U197*(8*($BQ197))*N197)</f>
        <v> </v>
      </c>
      <c r="Y197" s="320" t="str">
        <f aca="false">IF($A197="N/A"," ",$U197*(8*($BR197))*O197)</f>
        <v> </v>
      </c>
      <c r="Z197" s="320" t="str">
        <f aca="false">IF($A197="N/A"," ",$U197*(8*($BR197))*P197)</f>
        <v> </v>
      </c>
      <c r="AA197" s="320" t="str">
        <f aca="false">IF($A197="N/A"," ",$U197*(8*($BR197))*Q197)</f>
        <v> </v>
      </c>
      <c r="AB197" s="320" t="str">
        <f aca="false">IF($A197="N/A"," ",$U197*(8*($BS197))*R197)</f>
        <v> </v>
      </c>
      <c r="AC197" s="320" t="str">
        <f aca="false">IF($A197="N/A"," ",$U197*(8*($BS197))*S197)</f>
        <v> </v>
      </c>
      <c r="AD197" s="320" t="str">
        <f aca="false">IF($A197="N/A"," ",$U197*(8*($BS197))*T197)</f>
        <v> </v>
      </c>
      <c r="AE197" s="320" t="str">
        <f aca="false">IF($A197="N/A"," ",SUM(V197:AD197))</f>
        <v> </v>
      </c>
      <c r="AF197" s="321" t="str">
        <f aca="false">IF(A197="N/A"," ",(VLOOKUP(A197,PowerVolTable,(IF(VolBMO2=2,7,IF(VolBMO2=1,6,8))),FALSE())))</f>
        <v> </v>
      </c>
      <c r="AG197" s="321" t="str">
        <f aca="false">IF(A197="N/A"," ",(VLOOKUP(A197,IntraPowerVol,(IF(VolBMO2=2,3,IF(VolBMO2=1,2,4))),FALSE())*VLOOKUP(MONTH($A197),Volscale,2)))</f>
        <v> </v>
      </c>
      <c r="AH197" s="321" t="str">
        <f aca="false">IF($A197="N/A"," ",IF(VolType2=1,AG197,AF197))</f>
        <v> </v>
      </c>
      <c r="AI197" s="321" t="str">
        <f aca="false">IF($A197="N/A"," ",(VLOOKUP($A197,OffPwrVolTable,(IF(VolBMO2=2,7,IF(VolBMO2=1,6,8))),FALSE())))</f>
        <v> </v>
      </c>
      <c r="AJ197" s="321" t="str">
        <f aca="false">IF($A197="N/A"," ",(VLOOKUP($A197,OffPwrVolTable,(IF(VolBMO2=2,3,IF(VolBMO2=1,2,4))),FALSE())*VLOOKUP(MONTH($A197),Volscale,2)))</f>
        <v> </v>
      </c>
      <c r="AK197" s="321" t="str">
        <f aca="false">IF($A197="N/A"," ",IF(VolType2=1,AJ197,AI197))</f>
        <v> </v>
      </c>
      <c r="AL197" s="321" t="str">
        <f aca="false">IF($A197="N/A"," ",IF(PV=1,0,'Pricing Inputs2'!R230))</f>
        <v> </v>
      </c>
      <c r="AM197" s="323" t="str">
        <f aca="false">IF($A197="N/A"," ",(1+AL197/2)^(-2*((EOMONTH(A197,0)+20)-DateToday)/365.25))</f>
        <v> </v>
      </c>
      <c r="BQ197" s="0" t="str">
        <f aca="false">IF($A197="N/A"," ",(VLOOKUP($A197,NumberofDaysTable,2)))</f>
        <v> </v>
      </c>
      <c r="BR197" s="0" t="str">
        <f aca="false">IF($A197="N/A"," ",(VLOOKUP($A197,NumberofDaysTable,3)))</f>
        <v> </v>
      </c>
      <c r="BS197" s="0" t="str">
        <f aca="false">IF($A197="N/A"," ",(VLOOKUP($A197,NumberofDaysTable,4)))</f>
        <v> </v>
      </c>
    </row>
    <row r="198" customFormat="false" ht="12.75" hidden="false" customHeight="false" outlineLevel="0" collapsed="false">
      <c r="A198" s="315" t="str">
        <f aca="false">IF(A197="N/A","N/A",IF(EDATE(A197,1)&gt;Inputs!$P$5,"N/A",EDATE(A197,1)))</f>
        <v>N/A</v>
      </c>
      <c r="B198" s="316" t="str">
        <f aca="false">IF(A198="N/A"," ",YEAR(A198))</f>
        <v> </v>
      </c>
      <c r="C198" s="317" t="str">
        <f aca="false">IF($A198="N/A"," ",IF(Dayrun2=10,0,IF(Scaler2=1,(VLOOKUP(A198,ScaledPrice2,4)),(VLOOKUP(A198,ScaledPrice2,2)))))</f>
        <v> </v>
      </c>
      <c r="D198" s="317" t="str">
        <f aca="false">IF(A198="N/A"," ",IF(Dayrun2&gt;=7,0,IF(Scaler2=2,VLOOKUP(A198,ScaledPrice2,2),(VLOOKUP(A198,ScaledPrice2,2))*(2-(VLOOKUP(A198,ScaledPrice2,3))))))</f>
        <v> </v>
      </c>
      <c r="E198" s="317" t="str">
        <f aca="false">IF($A198="N/A"," ",IF(AND(Dayrun2&gt;=4,Dayrun2&lt;=9),0,VLOOKUP($A198,ScaledPrice2,9)))</f>
        <v> </v>
      </c>
      <c r="F198" s="317" t="str">
        <f aca="false">IF(A198="N/A"," ",IF(OR(Dayrun2=2,Dayrun2=3,Dayrun2=5,Dayrun2=6,Dayrun2=8,Dayrun2=9),VLOOKUP(A198,ScaledPrice2,IF(Scaler2=1,6,5)),0))</f>
        <v> </v>
      </c>
      <c r="G198" s="317" t="str">
        <f aca="false">IF(A198="N/A"," ",IF(OR(Dayrun2=2,Dayrun2=3,Dayrun2=5,Dayrun2=6),IF(Scaler2=2,F198,(VLOOKUP(A198,ScaledPrice2,5))*(2-(VLOOKUP(A198,ScaledPrice2,3)))),0))</f>
        <v> </v>
      </c>
      <c r="H198" s="317" t="str">
        <f aca="false">IF($A198="N/A"," ",IF(OR(Dayrun2=2,Dayrun2=3,Dayrun2=10),VLOOKUP($A198,ScaledPrice2,9),0))</f>
        <v> </v>
      </c>
      <c r="I198" s="317" t="str">
        <f aca="false">IF(A198="N/A"," ",IF(OR(Dayrun2=3,Dayrun2=6,Dayrun2=9),(VLOOKUP(A198,ScaledPrice2,IF(Scaler2=2,7,8))),0))</f>
        <v> </v>
      </c>
      <c r="J198" s="317" t="str">
        <f aca="false">IF(A198="N/A"," ",IF(OR(Dayrun2=3,Dayrun2=6),IF(Scaler2=2,I198,(VLOOKUP(A198,ScaledPrice2,7))*(2-(VLOOKUP(A198,ScaledPrice2,3)))),0))</f>
        <v> </v>
      </c>
      <c r="K198" s="317" t="str">
        <f aca="false">IF($A198="N/A"," ",IF(OR(Dayrun2=3,Dayrun2=10),VLOOKUP($A198,ScaledPrice2,9),0))</f>
        <v> </v>
      </c>
      <c r="L198" s="318" t="str">
        <f aca="false">IF($A198="N/A"," ",IF(Pricetype2=2,MAX(C198,0),IF(OR(Pricetype2=1,Pricetype2=4),IF(C198=0,0,(EURO(C198,Strikeprice2,0,0,($AH198+IF(Smile=TRUE(),VLOOKUP(MAX(-5,Strikeprice2-C198),Volsmile,2),0)),($A198-DateToday)+15,IF(Pricetype2=1,1,0),0))),C198)))</f>
        <v> </v>
      </c>
      <c r="M198" s="318" t="str">
        <f aca="false">IF($A198="N/A"," ",IF(Pricetype2=2,MAX(D198,0),IF(OR(Pricetype2=1,Pricetype2=4),IF(D198=0,0,(EURO(D198,Strikeprice2,0,0,($AH198+IF(Smile=TRUE(),VLOOKUP(MAX(-5,Strikeprice2-D198),Volsmile,2),0)),($A198-DateToday)+15,IF(Pricetype2=1,1,0),0))),D198)))</f>
        <v> </v>
      </c>
      <c r="N198" s="318" t="str">
        <f aca="false">IF($A198="N/A"," ",IF(Pricetype2=2,MAX(E198,0),IF(OR(Pricetype2=1,Pricetype2=4),IF(E198=0,0,(EURO(E198,Strikeprice2,0,0,($AK198+IF(Smile=TRUE(),VLOOKUP(MAX(-5,Strikeprice2-E198),Volsmile,2),0)),($A198-DateToday)+15,IF(Pricetype2=1,1,0),0))),E198)))</f>
        <v> </v>
      </c>
      <c r="O198" s="318" t="str">
        <f aca="false">IF($A198="N/A"," ",IF(Pricetype2=2,MAX(F198,0),IF(OR(Pricetype2=1,Pricetype2=4),IF(F198=0,0,(EURO(F198,Strikeprice2,0,0,($AK198+IF(Smile=TRUE(),VLOOKUP(MAX(-5,Strikeprice2-F198),Volsmile,2),0)),($A198-DateToday)+15,IF(Pricetype2=1,1,0),0))),F198)))</f>
        <v> </v>
      </c>
      <c r="P198" s="318" t="str">
        <f aca="false">IF($A198="N/A"," ",IF(Pricetype2=2,MAX(G198,0),IF(OR(Pricetype2=1,Pricetype2=4),IF(G198=0,0,(EURO(G198,Strikeprice2,0,0,($AK198+IF(Smile=TRUE(),VLOOKUP(MAX(-5,Strikeprice2-G198),Volsmile,2),0)),($A198-DateToday)+15,IF(Pricetype2=1,1,0),0))),G198)))</f>
        <v> </v>
      </c>
      <c r="Q198" s="318" t="str">
        <f aca="false">IF($A198="N/A"," ",IF(Pricetype2=2,MAX(H198,0),IF(OR(Pricetype2=1,Pricetype2=4),IF(H198=0,0,(EURO(H198,Strikeprice2,0,0,($AK198+IF(Smile=TRUE(),VLOOKUP(MAX(-5,Strikeprice2-H198),Volsmile,2),0)),($A198-DateToday)+15,IF(Pricetype2=1,1,0),0))),H198)))</f>
        <v> </v>
      </c>
      <c r="R198" s="318" t="str">
        <f aca="false">IF($A198="N/A"," ",IF(Pricetype2=2,MAX(I198,0),IF(OR(Pricetype2=1,Pricetype2=4),IF(I198=0,0,(EURO(I198,Strikeprice2,0,0,($AK198+IF(Smile=TRUE(),VLOOKUP(MAX(-5,Strikeprice2-I198),Volsmile,2),0)),($A198-DateToday)+15,IF(Pricetype2=1,1,0),0))),I198)))</f>
        <v> </v>
      </c>
      <c r="S198" s="318" t="str">
        <f aca="false">IF($A198="N/A"," ",IF(Pricetype2=2,MAX(J198,0),IF(OR(Pricetype2=1,Pricetype2=4),IF(J198=0,0,(EURO(J198,Strikeprice2,0,0,($AK198+IF(Smile=TRUE(),VLOOKUP(MAX(-5,Strikeprice2-J198),Volsmile,2),0)),($A198-DateToday)+15,IF(Pricetype2=1,1,0),0))),J198)))</f>
        <v> </v>
      </c>
      <c r="T198" s="318" t="str">
        <f aca="false">IF($A198="N/A"," ",IF(Pricetype2=2,MAX(K198,0),IF(OR(Pricetype2=1,Pricetype2=4),IF(K198=0,0,(EURO(K198,Strikeprice2,0,0,($AK198+IF(Smile=TRUE(),VLOOKUP(MAX(-5,Strikeprice2-K198),Volsmile,2),0)),($A198-DateToday)+15,IF(Pricetype2=1,1,0),0))),K198)))</f>
        <v> </v>
      </c>
      <c r="U198" s="319" t="str">
        <f aca="false">IF($A198="N/A"," ",Volume2*$AM198)</f>
        <v> </v>
      </c>
      <c r="V198" s="320" t="str">
        <f aca="false">IF($A198="N/A"," ",$U198*(8*($BQ198))*L198)</f>
        <v> </v>
      </c>
      <c r="W198" s="320" t="str">
        <f aca="false">IF($A198="N/A"," ",$U198*(8*($BQ198))*M198)</f>
        <v> </v>
      </c>
      <c r="X198" s="320" t="str">
        <f aca="false">IF($A198="N/A"," ",$U198*(8*($BQ198))*N198)</f>
        <v> </v>
      </c>
      <c r="Y198" s="320" t="str">
        <f aca="false">IF($A198="N/A"," ",$U198*(8*($BR198))*O198)</f>
        <v> </v>
      </c>
      <c r="Z198" s="320" t="str">
        <f aca="false">IF($A198="N/A"," ",$U198*(8*($BR198))*P198)</f>
        <v> </v>
      </c>
      <c r="AA198" s="320" t="str">
        <f aca="false">IF($A198="N/A"," ",$U198*(8*($BR198))*Q198)</f>
        <v> </v>
      </c>
      <c r="AB198" s="320" t="str">
        <f aca="false">IF($A198="N/A"," ",$U198*(8*($BS198))*R198)</f>
        <v> </v>
      </c>
      <c r="AC198" s="320" t="str">
        <f aca="false">IF($A198="N/A"," ",$U198*(8*($BS198))*S198)</f>
        <v> </v>
      </c>
      <c r="AD198" s="320" t="str">
        <f aca="false">IF($A198="N/A"," ",$U198*(8*($BS198))*T198)</f>
        <v> </v>
      </c>
      <c r="AE198" s="320" t="str">
        <f aca="false">IF($A198="N/A"," ",SUM(V198:AD198))</f>
        <v> </v>
      </c>
      <c r="AF198" s="321" t="str">
        <f aca="false">IF(A198="N/A"," ",(VLOOKUP(A198,PowerVolTable,(IF(VolBMO2=2,7,IF(VolBMO2=1,6,8))),FALSE())))</f>
        <v> </v>
      </c>
      <c r="AG198" s="321" t="str">
        <f aca="false">IF(A198="N/A"," ",(VLOOKUP(A198,IntraPowerVol,(IF(VolBMO2=2,3,IF(VolBMO2=1,2,4))),FALSE())*VLOOKUP(MONTH($A198),Volscale,2)))</f>
        <v> </v>
      </c>
      <c r="AH198" s="321" t="str">
        <f aca="false">IF($A198="N/A"," ",IF(VolType2=1,AG198,AF198))</f>
        <v> </v>
      </c>
      <c r="AI198" s="321" t="str">
        <f aca="false">IF($A198="N/A"," ",(VLOOKUP($A198,OffPwrVolTable,(IF(VolBMO2=2,7,IF(VolBMO2=1,6,8))),FALSE())))</f>
        <v> </v>
      </c>
      <c r="AJ198" s="321" t="str">
        <f aca="false">IF($A198="N/A"," ",(VLOOKUP($A198,OffPwrVolTable,(IF(VolBMO2=2,3,IF(VolBMO2=1,2,4))),FALSE())*VLOOKUP(MONTH($A198),Volscale,2)))</f>
        <v> </v>
      </c>
      <c r="AK198" s="321" t="str">
        <f aca="false">IF($A198="N/A"," ",IF(VolType2=1,AJ198,AI198))</f>
        <v> </v>
      </c>
      <c r="AL198" s="321" t="str">
        <f aca="false">IF($A198="N/A"," ",IF(PV=1,0,'Pricing Inputs2'!R231))</f>
        <v> </v>
      </c>
      <c r="AM198" s="323" t="str">
        <f aca="false">IF($A198="N/A"," ",(1+AL198/2)^(-2*((EOMONTH(A198,0)+20)-DateToday)/365.25))</f>
        <v> </v>
      </c>
      <c r="BQ198" s="0" t="str">
        <f aca="false">IF($A198="N/A"," ",(VLOOKUP($A198,NumberofDaysTable,2)))</f>
        <v> </v>
      </c>
      <c r="BR198" s="0" t="str">
        <f aca="false">IF($A198="N/A"," ",(VLOOKUP($A198,NumberofDaysTable,3)))</f>
        <v> </v>
      </c>
      <c r="BS198" s="0" t="str">
        <f aca="false">IF($A198="N/A"," ",(VLOOKUP($A198,NumberofDaysTable,4)))</f>
        <v> </v>
      </c>
    </row>
    <row r="199" customFormat="false" ht="12.75" hidden="false" customHeight="false" outlineLevel="0" collapsed="false">
      <c r="A199" s="315" t="str">
        <f aca="false">IF(A198="N/A","N/A",IF(EDATE(A198,1)&gt;Inputs!$P$5,"N/A",EDATE(A198,1)))</f>
        <v>N/A</v>
      </c>
      <c r="B199" s="316" t="str">
        <f aca="false">IF(A199="N/A"," ",YEAR(A199))</f>
        <v> </v>
      </c>
      <c r="C199" s="317" t="str">
        <f aca="false">IF($A199="N/A"," ",IF(Dayrun2=10,0,IF(Scaler2=1,(VLOOKUP(A199,ScaledPrice2,4)),(VLOOKUP(A199,ScaledPrice2,2)))))</f>
        <v> </v>
      </c>
      <c r="D199" s="317" t="str">
        <f aca="false">IF(A199="N/A"," ",IF(Dayrun2&gt;=7,0,IF(Scaler2=2,VLOOKUP(A199,ScaledPrice2,2),(VLOOKUP(A199,ScaledPrice2,2))*(2-(VLOOKUP(A199,ScaledPrice2,3))))))</f>
        <v> </v>
      </c>
      <c r="E199" s="317" t="str">
        <f aca="false">IF($A199="N/A"," ",IF(AND(Dayrun2&gt;=4,Dayrun2&lt;=9),0,VLOOKUP($A199,ScaledPrice2,9)))</f>
        <v> </v>
      </c>
      <c r="F199" s="317" t="str">
        <f aca="false">IF(A199="N/A"," ",IF(OR(Dayrun2=2,Dayrun2=3,Dayrun2=5,Dayrun2=6,Dayrun2=8,Dayrun2=9),VLOOKUP(A199,ScaledPrice2,IF(Scaler2=1,6,5)),0))</f>
        <v> </v>
      </c>
      <c r="G199" s="317" t="str">
        <f aca="false">IF(A199="N/A"," ",IF(OR(Dayrun2=2,Dayrun2=3,Dayrun2=5,Dayrun2=6),IF(Scaler2=2,F199,(VLOOKUP(A199,ScaledPrice2,5))*(2-(VLOOKUP(A199,ScaledPrice2,3)))),0))</f>
        <v> </v>
      </c>
      <c r="H199" s="317" t="str">
        <f aca="false">IF($A199="N/A"," ",IF(OR(Dayrun2=2,Dayrun2=3,Dayrun2=10),VLOOKUP($A199,ScaledPrice2,9),0))</f>
        <v> </v>
      </c>
      <c r="I199" s="317" t="str">
        <f aca="false">IF(A199="N/A"," ",IF(OR(Dayrun2=3,Dayrun2=6,Dayrun2=9),(VLOOKUP(A199,ScaledPrice2,IF(Scaler2=2,7,8))),0))</f>
        <v> </v>
      </c>
      <c r="J199" s="317" t="str">
        <f aca="false">IF(A199="N/A"," ",IF(OR(Dayrun2=3,Dayrun2=6),IF(Scaler2=2,I199,(VLOOKUP(A199,ScaledPrice2,7))*(2-(VLOOKUP(A199,ScaledPrice2,3)))),0))</f>
        <v> </v>
      </c>
      <c r="K199" s="317" t="str">
        <f aca="false">IF($A199="N/A"," ",IF(OR(Dayrun2=3,Dayrun2=10),VLOOKUP($A199,ScaledPrice2,9),0))</f>
        <v> </v>
      </c>
      <c r="L199" s="318" t="str">
        <f aca="false">IF($A199="N/A"," ",IF(Pricetype2=2,MAX(C199,0),IF(OR(Pricetype2=1,Pricetype2=4),IF(C199=0,0,(EURO(C199,Strikeprice2,0,0,($AH199+IF(Smile=TRUE(),VLOOKUP(MAX(-5,Strikeprice2-C199),Volsmile,2),0)),($A199-DateToday)+15,IF(Pricetype2=1,1,0),0))),C199)))</f>
        <v> </v>
      </c>
      <c r="M199" s="318" t="str">
        <f aca="false">IF($A199="N/A"," ",IF(Pricetype2=2,MAX(D199,0),IF(OR(Pricetype2=1,Pricetype2=4),IF(D199=0,0,(EURO(D199,Strikeprice2,0,0,($AH199+IF(Smile=TRUE(),VLOOKUP(MAX(-5,Strikeprice2-D199),Volsmile,2),0)),($A199-DateToday)+15,IF(Pricetype2=1,1,0),0))),D199)))</f>
        <v> </v>
      </c>
      <c r="N199" s="318" t="str">
        <f aca="false">IF($A199="N/A"," ",IF(Pricetype2=2,MAX(E199,0),IF(OR(Pricetype2=1,Pricetype2=4),IF(E199=0,0,(EURO(E199,Strikeprice2,0,0,($AK199+IF(Smile=TRUE(),VLOOKUP(MAX(-5,Strikeprice2-E199),Volsmile,2),0)),($A199-DateToday)+15,IF(Pricetype2=1,1,0),0))),E199)))</f>
        <v> </v>
      </c>
      <c r="O199" s="318" t="str">
        <f aca="false">IF($A199="N/A"," ",IF(Pricetype2=2,MAX(F199,0),IF(OR(Pricetype2=1,Pricetype2=4),IF(F199=0,0,(EURO(F199,Strikeprice2,0,0,($AK199+IF(Smile=TRUE(),VLOOKUP(MAX(-5,Strikeprice2-F199),Volsmile,2),0)),($A199-DateToday)+15,IF(Pricetype2=1,1,0),0))),F199)))</f>
        <v> </v>
      </c>
      <c r="P199" s="318" t="str">
        <f aca="false">IF($A199="N/A"," ",IF(Pricetype2=2,MAX(G199,0),IF(OR(Pricetype2=1,Pricetype2=4),IF(G199=0,0,(EURO(G199,Strikeprice2,0,0,($AK199+IF(Smile=TRUE(),VLOOKUP(MAX(-5,Strikeprice2-G199),Volsmile,2),0)),($A199-DateToday)+15,IF(Pricetype2=1,1,0),0))),G199)))</f>
        <v> </v>
      </c>
      <c r="Q199" s="318" t="str">
        <f aca="false">IF($A199="N/A"," ",IF(Pricetype2=2,MAX(H199,0),IF(OR(Pricetype2=1,Pricetype2=4),IF(H199=0,0,(EURO(H199,Strikeprice2,0,0,($AK199+IF(Smile=TRUE(),VLOOKUP(MAX(-5,Strikeprice2-H199),Volsmile,2),0)),($A199-DateToday)+15,IF(Pricetype2=1,1,0),0))),H199)))</f>
        <v> </v>
      </c>
      <c r="R199" s="318" t="str">
        <f aca="false">IF($A199="N/A"," ",IF(Pricetype2=2,MAX(I199,0),IF(OR(Pricetype2=1,Pricetype2=4),IF(I199=0,0,(EURO(I199,Strikeprice2,0,0,($AK199+IF(Smile=TRUE(),VLOOKUP(MAX(-5,Strikeprice2-I199),Volsmile,2),0)),($A199-DateToday)+15,IF(Pricetype2=1,1,0),0))),I199)))</f>
        <v> </v>
      </c>
      <c r="S199" s="318" t="str">
        <f aca="false">IF($A199="N/A"," ",IF(Pricetype2=2,MAX(J199,0),IF(OR(Pricetype2=1,Pricetype2=4),IF(J199=0,0,(EURO(J199,Strikeprice2,0,0,($AK199+IF(Smile=TRUE(),VLOOKUP(MAX(-5,Strikeprice2-J199),Volsmile,2),0)),($A199-DateToday)+15,IF(Pricetype2=1,1,0),0))),J199)))</f>
        <v> </v>
      </c>
      <c r="T199" s="318" t="str">
        <f aca="false">IF($A199="N/A"," ",IF(Pricetype2=2,MAX(K199,0),IF(OR(Pricetype2=1,Pricetype2=4),IF(K199=0,0,(EURO(K199,Strikeprice2,0,0,($AK199+IF(Smile=TRUE(),VLOOKUP(MAX(-5,Strikeprice2-K199),Volsmile,2),0)),($A199-DateToday)+15,IF(Pricetype2=1,1,0),0))),K199)))</f>
        <v> </v>
      </c>
      <c r="U199" s="319" t="str">
        <f aca="false">IF($A199="N/A"," ",Volume2*$AM199)</f>
        <v> </v>
      </c>
      <c r="V199" s="320" t="str">
        <f aca="false">IF($A199="N/A"," ",$U199*(8*($BQ199))*L199)</f>
        <v> </v>
      </c>
      <c r="W199" s="320" t="str">
        <f aca="false">IF($A199="N/A"," ",$U199*(8*($BQ199))*M199)</f>
        <v> </v>
      </c>
      <c r="X199" s="320" t="str">
        <f aca="false">IF($A199="N/A"," ",$U199*(8*($BQ199))*N199)</f>
        <v> </v>
      </c>
      <c r="Y199" s="320" t="str">
        <f aca="false">IF($A199="N/A"," ",$U199*(8*($BR199))*O199)</f>
        <v> </v>
      </c>
      <c r="Z199" s="320" t="str">
        <f aca="false">IF($A199="N/A"," ",$U199*(8*($BR199))*P199)</f>
        <v> </v>
      </c>
      <c r="AA199" s="320" t="str">
        <f aca="false">IF($A199="N/A"," ",$U199*(8*($BR199))*Q199)</f>
        <v> </v>
      </c>
      <c r="AB199" s="320" t="str">
        <f aca="false">IF($A199="N/A"," ",$U199*(8*($BS199))*R199)</f>
        <v> </v>
      </c>
      <c r="AC199" s="320" t="str">
        <f aca="false">IF($A199="N/A"," ",$U199*(8*($BS199))*S199)</f>
        <v> </v>
      </c>
      <c r="AD199" s="320" t="str">
        <f aca="false">IF($A199="N/A"," ",$U199*(8*($BS199))*T199)</f>
        <v> </v>
      </c>
      <c r="AE199" s="320" t="str">
        <f aca="false">IF($A199="N/A"," ",SUM(V199:AD199))</f>
        <v> </v>
      </c>
      <c r="AF199" s="321" t="str">
        <f aca="false">IF(A199="N/A"," ",(VLOOKUP(A199,PowerVolTable,(IF(VolBMO2=2,7,IF(VolBMO2=1,6,8))),FALSE())))</f>
        <v> </v>
      </c>
      <c r="AG199" s="321" t="str">
        <f aca="false">IF(A199="N/A"," ",(VLOOKUP(A199,IntraPowerVol,(IF(VolBMO2=2,3,IF(VolBMO2=1,2,4))),FALSE())*VLOOKUP(MONTH($A199),Volscale,2)))</f>
        <v> </v>
      </c>
      <c r="AH199" s="321" t="str">
        <f aca="false">IF($A199="N/A"," ",IF(VolType2=1,AG199,AF199))</f>
        <v> </v>
      </c>
      <c r="AI199" s="321" t="str">
        <f aca="false">IF($A199="N/A"," ",(VLOOKUP($A199,OffPwrVolTable,(IF(VolBMO2=2,7,IF(VolBMO2=1,6,8))),FALSE())))</f>
        <v> </v>
      </c>
      <c r="AJ199" s="321" t="str">
        <f aca="false">IF($A199="N/A"," ",(VLOOKUP($A199,OffPwrVolTable,(IF(VolBMO2=2,3,IF(VolBMO2=1,2,4))),FALSE())*VLOOKUP(MONTH($A199),Volscale,2)))</f>
        <v> </v>
      </c>
      <c r="AK199" s="321" t="str">
        <f aca="false">IF($A199="N/A"," ",IF(VolType2=1,AJ199,AI199))</f>
        <v> </v>
      </c>
      <c r="AL199" s="321" t="str">
        <f aca="false">IF($A199="N/A"," ",IF(PV=1,0,'Pricing Inputs2'!R232))</f>
        <v> </v>
      </c>
      <c r="AM199" s="323" t="str">
        <f aca="false">IF($A199="N/A"," ",(1+AL199/2)^(-2*((EOMONTH(A199,0)+20)-DateToday)/365.25))</f>
        <v> </v>
      </c>
      <c r="BQ199" s="0" t="str">
        <f aca="false">IF($A199="N/A"," ",(VLOOKUP($A199,NumberofDaysTable,2)))</f>
        <v> </v>
      </c>
      <c r="BR199" s="0" t="str">
        <f aca="false">IF($A199="N/A"," ",(VLOOKUP($A199,NumberofDaysTable,3)))</f>
        <v> </v>
      </c>
      <c r="BS199" s="0" t="str">
        <f aca="false">IF($A199="N/A"," ",(VLOOKUP($A199,NumberofDaysTable,4)))</f>
        <v> </v>
      </c>
    </row>
    <row r="200" customFormat="false" ht="12.75" hidden="false" customHeight="false" outlineLevel="0" collapsed="false">
      <c r="A200" s="315" t="str">
        <f aca="false">IF(A199="N/A","N/A",IF(EDATE(A199,1)&gt;Inputs!$P$5,"N/A",EDATE(A199,1)))</f>
        <v>N/A</v>
      </c>
      <c r="B200" s="316" t="str">
        <f aca="false">IF(A200="N/A"," ",YEAR(A200))</f>
        <v> </v>
      </c>
      <c r="C200" s="317" t="str">
        <f aca="false">IF($A200="N/A"," ",IF(Dayrun2=10,0,IF(Scaler2=1,(VLOOKUP(A200,ScaledPrice2,4)),(VLOOKUP(A200,ScaledPrice2,2)))))</f>
        <v> </v>
      </c>
      <c r="D200" s="317" t="str">
        <f aca="false">IF(A200="N/A"," ",IF(Dayrun2&gt;=7,0,IF(Scaler2=2,VLOOKUP(A200,ScaledPrice2,2),(VLOOKUP(A200,ScaledPrice2,2))*(2-(VLOOKUP(A200,ScaledPrice2,3))))))</f>
        <v> </v>
      </c>
      <c r="E200" s="317" t="str">
        <f aca="false">IF($A200="N/A"," ",IF(AND(Dayrun2&gt;=4,Dayrun2&lt;=9),0,VLOOKUP($A200,ScaledPrice2,9)))</f>
        <v> </v>
      </c>
      <c r="F200" s="317" t="str">
        <f aca="false">IF(A200="N/A"," ",IF(OR(Dayrun2=2,Dayrun2=3,Dayrun2=5,Dayrun2=6,Dayrun2=8,Dayrun2=9),VLOOKUP(A200,ScaledPrice2,IF(Scaler2=1,6,5)),0))</f>
        <v> </v>
      </c>
      <c r="G200" s="317" t="str">
        <f aca="false">IF(A200="N/A"," ",IF(OR(Dayrun2=2,Dayrun2=3,Dayrun2=5,Dayrun2=6),IF(Scaler2=2,F200,(VLOOKUP(A200,ScaledPrice2,5))*(2-(VLOOKUP(A200,ScaledPrice2,3)))),0))</f>
        <v> </v>
      </c>
      <c r="H200" s="317" t="str">
        <f aca="false">IF($A200="N/A"," ",IF(OR(Dayrun2=2,Dayrun2=3,Dayrun2=10),VLOOKUP($A200,ScaledPrice2,9),0))</f>
        <v> </v>
      </c>
      <c r="I200" s="317" t="str">
        <f aca="false">IF(A200="N/A"," ",IF(OR(Dayrun2=3,Dayrun2=6,Dayrun2=9),(VLOOKUP(A200,ScaledPrice2,IF(Scaler2=2,7,8))),0))</f>
        <v> </v>
      </c>
      <c r="J200" s="317" t="str">
        <f aca="false">IF(A200="N/A"," ",IF(OR(Dayrun2=3,Dayrun2=6),IF(Scaler2=2,I200,(VLOOKUP(A200,ScaledPrice2,7))*(2-(VLOOKUP(A200,ScaledPrice2,3)))),0))</f>
        <v> </v>
      </c>
      <c r="K200" s="317" t="str">
        <f aca="false">IF($A200="N/A"," ",IF(OR(Dayrun2=3,Dayrun2=10),VLOOKUP($A200,ScaledPrice2,9),0))</f>
        <v> </v>
      </c>
      <c r="L200" s="318" t="str">
        <f aca="false">IF($A200="N/A"," ",IF(Pricetype2=2,MAX(C200,0),IF(OR(Pricetype2=1,Pricetype2=4),IF(C200=0,0,(EURO(C200,Strikeprice2,0,0,($AH200+IF(Smile=TRUE(),VLOOKUP(MAX(-5,Strikeprice2-C200),Volsmile,2),0)),($A200-DateToday)+15,IF(Pricetype2=1,1,0),0))),C200)))</f>
        <v> </v>
      </c>
      <c r="M200" s="318" t="str">
        <f aca="false">IF($A200="N/A"," ",IF(Pricetype2=2,MAX(D200,0),IF(OR(Pricetype2=1,Pricetype2=4),IF(D200=0,0,(EURO(D200,Strikeprice2,0,0,($AH200+IF(Smile=TRUE(),VLOOKUP(MAX(-5,Strikeprice2-D200),Volsmile,2),0)),($A200-DateToday)+15,IF(Pricetype2=1,1,0),0))),D200)))</f>
        <v> </v>
      </c>
      <c r="N200" s="318" t="str">
        <f aca="false">IF($A200="N/A"," ",IF(Pricetype2=2,MAX(E200,0),IF(OR(Pricetype2=1,Pricetype2=4),IF(E200=0,0,(EURO(E200,Strikeprice2,0,0,($AK200+IF(Smile=TRUE(),VLOOKUP(MAX(-5,Strikeprice2-E200),Volsmile,2),0)),($A200-DateToday)+15,IF(Pricetype2=1,1,0),0))),E200)))</f>
        <v> </v>
      </c>
      <c r="O200" s="318" t="str">
        <f aca="false">IF($A200="N/A"," ",IF(Pricetype2=2,MAX(F200,0),IF(OR(Pricetype2=1,Pricetype2=4),IF(F200=0,0,(EURO(F200,Strikeprice2,0,0,($AK200+IF(Smile=TRUE(),VLOOKUP(MAX(-5,Strikeprice2-F200),Volsmile,2),0)),($A200-DateToday)+15,IF(Pricetype2=1,1,0),0))),F200)))</f>
        <v> </v>
      </c>
      <c r="P200" s="318" t="str">
        <f aca="false">IF($A200="N/A"," ",IF(Pricetype2=2,MAX(G200,0),IF(OR(Pricetype2=1,Pricetype2=4),IF(G200=0,0,(EURO(G200,Strikeprice2,0,0,($AK200+IF(Smile=TRUE(),VLOOKUP(MAX(-5,Strikeprice2-G200),Volsmile,2),0)),($A200-DateToday)+15,IF(Pricetype2=1,1,0),0))),G200)))</f>
        <v> </v>
      </c>
      <c r="Q200" s="318" t="str">
        <f aca="false">IF($A200="N/A"," ",IF(Pricetype2=2,MAX(H200,0),IF(OR(Pricetype2=1,Pricetype2=4),IF(H200=0,0,(EURO(H200,Strikeprice2,0,0,($AK200+IF(Smile=TRUE(),VLOOKUP(MAX(-5,Strikeprice2-H200),Volsmile,2),0)),($A200-DateToday)+15,IF(Pricetype2=1,1,0),0))),H200)))</f>
        <v> </v>
      </c>
      <c r="R200" s="318" t="str">
        <f aca="false">IF($A200="N/A"," ",IF(Pricetype2=2,MAX(I200,0),IF(OR(Pricetype2=1,Pricetype2=4),IF(I200=0,0,(EURO(I200,Strikeprice2,0,0,($AK200+IF(Smile=TRUE(),VLOOKUP(MAX(-5,Strikeprice2-I200),Volsmile,2),0)),($A200-DateToday)+15,IF(Pricetype2=1,1,0),0))),I200)))</f>
        <v> </v>
      </c>
      <c r="S200" s="318" t="str">
        <f aca="false">IF($A200="N/A"," ",IF(Pricetype2=2,MAX(J200,0),IF(OR(Pricetype2=1,Pricetype2=4),IF(J200=0,0,(EURO(J200,Strikeprice2,0,0,($AK200+IF(Smile=TRUE(),VLOOKUP(MAX(-5,Strikeprice2-J200),Volsmile,2),0)),($A200-DateToday)+15,IF(Pricetype2=1,1,0),0))),J200)))</f>
        <v> </v>
      </c>
      <c r="T200" s="318" t="str">
        <f aca="false">IF($A200="N/A"," ",IF(Pricetype2=2,MAX(K200,0),IF(OR(Pricetype2=1,Pricetype2=4),IF(K200=0,0,(EURO(K200,Strikeprice2,0,0,($AK200+IF(Smile=TRUE(),VLOOKUP(MAX(-5,Strikeprice2-K200),Volsmile,2),0)),($A200-DateToday)+15,IF(Pricetype2=1,1,0),0))),K200)))</f>
        <v> </v>
      </c>
      <c r="U200" s="319" t="str">
        <f aca="false">IF($A200="N/A"," ",Volume2*$AM200)</f>
        <v> </v>
      </c>
      <c r="V200" s="320" t="str">
        <f aca="false">IF($A200="N/A"," ",$U200*(8*($BQ200))*L200)</f>
        <v> </v>
      </c>
      <c r="W200" s="320" t="str">
        <f aca="false">IF($A200="N/A"," ",$U200*(8*($BQ200))*M200)</f>
        <v> </v>
      </c>
      <c r="X200" s="320" t="str">
        <f aca="false">IF($A200="N/A"," ",$U200*(8*($BQ200))*N200)</f>
        <v> </v>
      </c>
      <c r="Y200" s="320" t="str">
        <f aca="false">IF($A200="N/A"," ",$U200*(8*($BR200))*O200)</f>
        <v> </v>
      </c>
      <c r="Z200" s="320" t="str">
        <f aca="false">IF($A200="N/A"," ",$U200*(8*($BR200))*P200)</f>
        <v> </v>
      </c>
      <c r="AA200" s="320" t="str">
        <f aca="false">IF($A200="N/A"," ",$U200*(8*($BR200))*Q200)</f>
        <v> </v>
      </c>
      <c r="AB200" s="320" t="str">
        <f aca="false">IF($A200="N/A"," ",$U200*(8*($BS200))*R200)</f>
        <v> </v>
      </c>
      <c r="AC200" s="320" t="str">
        <f aca="false">IF($A200="N/A"," ",$U200*(8*($BS200))*S200)</f>
        <v> </v>
      </c>
      <c r="AD200" s="320" t="str">
        <f aca="false">IF($A200="N/A"," ",$U200*(8*($BS200))*T200)</f>
        <v> </v>
      </c>
      <c r="AE200" s="320" t="str">
        <f aca="false">IF($A200="N/A"," ",SUM(V200:AD200))</f>
        <v> </v>
      </c>
      <c r="AF200" s="321" t="str">
        <f aca="false">IF(A200="N/A"," ",(VLOOKUP(A200,PowerVolTable,(IF(VolBMO2=2,7,IF(VolBMO2=1,6,8))),FALSE())))</f>
        <v> </v>
      </c>
      <c r="AG200" s="321" t="str">
        <f aca="false">IF(A200="N/A"," ",(VLOOKUP(A200,IntraPowerVol,(IF(VolBMO2=2,3,IF(VolBMO2=1,2,4))),FALSE())*VLOOKUP(MONTH($A200),Volscale,2)))</f>
        <v> </v>
      </c>
      <c r="AH200" s="321" t="str">
        <f aca="false">IF($A200="N/A"," ",IF(VolType2=1,AG200,AF200))</f>
        <v> </v>
      </c>
      <c r="AI200" s="321" t="str">
        <f aca="false">IF($A200="N/A"," ",(VLOOKUP($A200,OffPwrVolTable,(IF(VolBMO2=2,7,IF(VolBMO2=1,6,8))),FALSE())))</f>
        <v> </v>
      </c>
      <c r="AJ200" s="321" t="str">
        <f aca="false">IF($A200="N/A"," ",(VLOOKUP($A200,OffPwrVolTable,(IF(VolBMO2=2,3,IF(VolBMO2=1,2,4))),FALSE())*VLOOKUP(MONTH($A200),Volscale,2)))</f>
        <v> </v>
      </c>
      <c r="AK200" s="321" t="str">
        <f aca="false">IF($A200="N/A"," ",IF(VolType2=1,AJ200,AI200))</f>
        <v> </v>
      </c>
      <c r="AL200" s="321" t="str">
        <f aca="false">IF($A200="N/A"," ",IF(PV=1,0,'Pricing Inputs2'!R233))</f>
        <v> </v>
      </c>
      <c r="AM200" s="323" t="str">
        <f aca="false">IF($A200="N/A"," ",(1+AL200/2)^(-2*((EOMONTH(A200,0)+20)-DateToday)/365.25))</f>
        <v> </v>
      </c>
      <c r="BQ200" s="0" t="str">
        <f aca="false">IF($A200="N/A"," ",(VLOOKUP($A200,NumberofDaysTable,2)))</f>
        <v> </v>
      </c>
      <c r="BR200" s="0" t="str">
        <f aca="false">IF($A200="N/A"," ",(VLOOKUP($A200,NumberofDaysTable,3)))</f>
        <v> </v>
      </c>
      <c r="BS200" s="0" t="str">
        <f aca="false">IF($A200="N/A"," ",(VLOOKUP($A200,NumberofDaysTable,4)))</f>
        <v> </v>
      </c>
    </row>
    <row r="201" customFormat="false" ht="12.75" hidden="false" customHeight="false" outlineLevel="0" collapsed="false">
      <c r="A201" s="315" t="str">
        <f aca="false">IF(A200="N/A","N/A",IF(EDATE(A200,1)&gt;Inputs!$P$5,"N/A",EDATE(A200,1)))</f>
        <v>N/A</v>
      </c>
      <c r="B201" s="316" t="str">
        <f aca="false">IF(A201="N/A"," ",YEAR(A201))</f>
        <v> </v>
      </c>
      <c r="C201" s="317" t="str">
        <f aca="false">IF($A201="N/A"," ",IF(Dayrun2=10,0,IF(Scaler2=1,(VLOOKUP(A201,ScaledPrice2,4)),(VLOOKUP(A201,ScaledPrice2,2)))))</f>
        <v> </v>
      </c>
      <c r="D201" s="317" t="str">
        <f aca="false">IF(A201="N/A"," ",IF(Dayrun2&gt;=7,0,IF(Scaler2=2,VLOOKUP(A201,ScaledPrice2,2),(VLOOKUP(A201,ScaledPrice2,2))*(2-(VLOOKUP(A201,ScaledPrice2,3))))))</f>
        <v> </v>
      </c>
      <c r="E201" s="317" t="str">
        <f aca="false">IF($A201="N/A"," ",IF(AND(Dayrun2&gt;=4,Dayrun2&lt;=9),0,VLOOKUP($A201,ScaledPrice2,9)))</f>
        <v> </v>
      </c>
      <c r="F201" s="317" t="str">
        <f aca="false">IF(A201="N/A"," ",IF(OR(Dayrun2=2,Dayrun2=3,Dayrun2=5,Dayrun2=6,Dayrun2=8,Dayrun2=9),VLOOKUP(A201,ScaledPrice2,IF(Scaler2=1,6,5)),0))</f>
        <v> </v>
      </c>
      <c r="G201" s="317" t="str">
        <f aca="false">IF(A201="N/A"," ",IF(OR(Dayrun2=2,Dayrun2=3,Dayrun2=5,Dayrun2=6),IF(Scaler2=2,F201,(VLOOKUP(A201,ScaledPrice2,5))*(2-(VLOOKUP(A201,ScaledPrice2,3)))),0))</f>
        <v> </v>
      </c>
      <c r="H201" s="317" t="str">
        <f aca="false">IF($A201="N/A"," ",IF(OR(Dayrun2=2,Dayrun2=3,Dayrun2=10),VLOOKUP($A201,ScaledPrice2,9),0))</f>
        <v> </v>
      </c>
      <c r="I201" s="317" t="str">
        <f aca="false">IF(A201="N/A"," ",IF(OR(Dayrun2=3,Dayrun2=6,Dayrun2=9),(VLOOKUP(A201,ScaledPrice2,IF(Scaler2=2,7,8))),0))</f>
        <v> </v>
      </c>
      <c r="J201" s="317" t="str">
        <f aca="false">IF(A201="N/A"," ",IF(OR(Dayrun2=3,Dayrun2=6),IF(Scaler2=2,I201,(VLOOKUP(A201,ScaledPrice2,7))*(2-(VLOOKUP(A201,ScaledPrice2,3)))),0))</f>
        <v> </v>
      </c>
      <c r="K201" s="317" t="str">
        <f aca="false">IF($A201="N/A"," ",IF(OR(Dayrun2=3,Dayrun2=10),VLOOKUP($A201,ScaledPrice2,9),0))</f>
        <v> </v>
      </c>
      <c r="L201" s="318" t="str">
        <f aca="false">IF($A201="N/A"," ",IF(Pricetype2=2,MAX(C201,0),IF(OR(Pricetype2=1,Pricetype2=4),IF(C201=0,0,(EURO(C201,Strikeprice2,0,0,($AH201+IF(Smile=TRUE(),VLOOKUP(MAX(-5,Strikeprice2-C201),Volsmile,2),0)),($A201-DateToday)+15,IF(Pricetype2=1,1,0),0))),C201)))</f>
        <v> </v>
      </c>
      <c r="M201" s="318" t="str">
        <f aca="false">IF($A201="N/A"," ",IF(Pricetype2=2,MAX(D201,0),IF(OR(Pricetype2=1,Pricetype2=4),IF(D201=0,0,(EURO(D201,Strikeprice2,0,0,($AH201+IF(Smile=TRUE(),VLOOKUP(MAX(-5,Strikeprice2-D201),Volsmile,2),0)),($A201-DateToday)+15,IF(Pricetype2=1,1,0),0))),D201)))</f>
        <v> </v>
      </c>
      <c r="N201" s="318" t="str">
        <f aca="false">IF($A201="N/A"," ",IF(Pricetype2=2,MAX(E201,0),IF(OR(Pricetype2=1,Pricetype2=4),IF(E201=0,0,(EURO(E201,Strikeprice2,0,0,($AK201+IF(Smile=TRUE(),VLOOKUP(MAX(-5,Strikeprice2-E201),Volsmile,2),0)),($A201-DateToday)+15,IF(Pricetype2=1,1,0),0))),E201)))</f>
        <v> </v>
      </c>
      <c r="O201" s="318" t="str">
        <f aca="false">IF($A201="N/A"," ",IF(Pricetype2=2,MAX(F201,0),IF(OR(Pricetype2=1,Pricetype2=4),IF(F201=0,0,(EURO(F201,Strikeprice2,0,0,($AK201+IF(Smile=TRUE(),VLOOKUP(MAX(-5,Strikeprice2-F201),Volsmile,2),0)),($A201-DateToday)+15,IF(Pricetype2=1,1,0),0))),F201)))</f>
        <v> </v>
      </c>
      <c r="P201" s="318" t="str">
        <f aca="false">IF($A201="N/A"," ",IF(Pricetype2=2,MAX(G201,0),IF(OR(Pricetype2=1,Pricetype2=4),IF(G201=0,0,(EURO(G201,Strikeprice2,0,0,($AK201+IF(Smile=TRUE(),VLOOKUP(MAX(-5,Strikeprice2-G201),Volsmile,2),0)),($A201-DateToday)+15,IF(Pricetype2=1,1,0),0))),G201)))</f>
        <v> </v>
      </c>
      <c r="Q201" s="318" t="str">
        <f aca="false">IF($A201="N/A"," ",IF(Pricetype2=2,MAX(H201,0),IF(OR(Pricetype2=1,Pricetype2=4),IF(H201=0,0,(EURO(H201,Strikeprice2,0,0,($AK201+IF(Smile=TRUE(),VLOOKUP(MAX(-5,Strikeprice2-H201),Volsmile,2),0)),($A201-DateToday)+15,IF(Pricetype2=1,1,0),0))),H201)))</f>
        <v> </v>
      </c>
      <c r="R201" s="318" t="str">
        <f aca="false">IF($A201="N/A"," ",IF(Pricetype2=2,MAX(I201,0),IF(OR(Pricetype2=1,Pricetype2=4),IF(I201=0,0,(EURO(I201,Strikeprice2,0,0,($AK201+IF(Smile=TRUE(),VLOOKUP(MAX(-5,Strikeprice2-I201),Volsmile,2),0)),($A201-DateToday)+15,IF(Pricetype2=1,1,0),0))),I201)))</f>
        <v> </v>
      </c>
      <c r="S201" s="318" t="str">
        <f aca="false">IF($A201="N/A"," ",IF(Pricetype2=2,MAX(J201,0),IF(OR(Pricetype2=1,Pricetype2=4),IF(J201=0,0,(EURO(J201,Strikeprice2,0,0,($AK201+IF(Smile=TRUE(),VLOOKUP(MAX(-5,Strikeprice2-J201),Volsmile,2),0)),($A201-DateToday)+15,IF(Pricetype2=1,1,0),0))),J201)))</f>
        <v> </v>
      </c>
      <c r="T201" s="318" t="str">
        <f aca="false">IF($A201="N/A"," ",IF(Pricetype2=2,MAX(K201,0),IF(OR(Pricetype2=1,Pricetype2=4),IF(K201=0,0,(EURO(K201,Strikeprice2,0,0,($AK201+IF(Smile=TRUE(),VLOOKUP(MAX(-5,Strikeprice2-K201),Volsmile,2),0)),($A201-DateToday)+15,IF(Pricetype2=1,1,0),0))),K201)))</f>
        <v> </v>
      </c>
      <c r="U201" s="319" t="str">
        <f aca="false">IF($A201="N/A"," ",Volume2*$AM201)</f>
        <v> </v>
      </c>
      <c r="V201" s="320" t="str">
        <f aca="false">IF($A201="N/A"," ",$U201*(8*($BQ201))*L201)</f>
        <v> </v>
      </c>
      <c r="W201" s="320" t="str">
        <f aca="false">IF($A201="N/A"," ",$U201*(8*($BQ201))*M201)</f>
        <v> </v>
      </c>
      <c r="X201" s="320" t="str">
        <f aca="false">IF($A201="N/A"," ",$U201*(8*($BQ201))*N201)</f>
        <v> </v>
      </c>
      <c r="Y201" s="320" t="str">
        <f aca="false">IF($A201="N/A"," ",$U201*(8*($BR201))*O201)</f>
        <v> </v>
      </c>
      <c r="Z201" s="320" t="str">
        <f aca="false">IF($A201="N/A"," ",$U201*(8*($BR201))*P201)</f>
        <v> </v>
      </c>
      <c r="AA201" s="320" t="str">
        <f aca="false">IF($A201="N/A"," ",$U201*(8*($BR201))*Q201)</f>
        <v> </v>
      </c>
      <c r="AB201" s="320" t="str">
        <f aca="false">IF($A201="N/A"," ",$U201*(8*($BS201))*R201)</f>
        <v> </v>
      </c>
      <c r="AC201" s="320" t="str">
        <f aca="false">IF($A201="N/A"," ",$U201*(8*($BS201))*S201)</f>
        <v> </v>
      </c>
      <c r="AD201" s="320" t="str">
        <f aca="false">IF($A201="N/A"," ",$U201*(8*($BS201))*T201)</f>
        <v> </v>
      </c>
      <c r="AE201" s="320" t="str">
        <f aca="false">IF($A201="N/A"," ",SUM(V201:AD201))</f>
        <v> </v>
      </c>
      <c r="AF201" s="321" t="str">
        <f aca="false">IF(A201="N/A"," ",(VLOOKUP(A201,PowerVolTable,(IF(VolBMO2=2,7,IF(VolBMO2=1,6,8))),FALSE())))</f>
        <v> </v>
      </c>
      <c r="AG201" s="321" t="str">
        <f aca="false">IF(A201="N/A"," ",(VLOOKUP(A201,IntraPowerVol,(IF(VolBMO2=2,3,IF(VolBMO2=1,2,4))),FALSE())*VLOOKUP(MONTH($A201),Volscale,2)))</f>
        <v> </v>
      </c>
      <c r="AH201" s="321" t="str">
        <f aca="false">IF($A201="N/A"," ",IF(VolType2=1,AG201,AF201))</f>
        <v> </v>
      </c>
      <c r="AI201" s="321" t="str">
        <f aca="false">IF($A201="N/A"," ",(VLOOKUP($A201,OffPwrVolTable,(IF(VolBMO2=2,7,IF(VolBMO2=1,6,8))),FALSE())))</f>
        <v> </v>
      </c>
      <c r="AJ201" s="321" t="str">
        <f aca="false">IF($A201="N/A"," ",(VLOOKUP($A201,OffPwrVolTable,(IF(VolBMO2=2,3,IF(VolBMO2=1,2,4))),FALSE())*VLOOKUP(MONTH($A201),Volscale,2)))</f>
        <v> </v>
      </c>
      <c r="AK201" s="321" t="str">
        <f aca="false">IF($A201="N/A"," ",IF(VolType2=1,AJ201,AI201))</f>
        <v> </v>
      </c>
      <c r="AL201" s="321" t="str">
        <f aca="false">IF($A201="N/A"," ",IF(PV=1,0,'Pricing Inputs2'!R234))</f>
        <v> </v>
      </c>
      <c r="AM201" s="323" t="str">
        <f aca="false">IF($A201="N/A"," ",(1+AL201/2)^(-2*((EOMONTH(A201,0)+20)-DateToday)/365.25))</f>
        <v> </v>
      </c>
      <c r="BQ201" s="0" t="str">
        <f aca="false">IF($A201="N/A"," ",(VLOOKUP($A201,NumberofDaysTable,2)))</f>
        <v> </v>
      </c>
      <c r="BR201" s="0" t="str">
        <f aca="false">IF($A201="N/A"," ",(VLOOKUP($A201,NumberofDaysTable,3)))</f>
        <v> </v>
      </c>
      <c r="BS201" s="0" t="str">
        <f aca="false">IF($A201="N/A"," ",(VLOOKUP($A201,NumberofDaysTable,4)))</f>
        <v> </v>
      </c>
    </row>
    <row r="202" customFormat="false" ht="12.75" hidden="false" customHeight="false" outlineLevel="0" collapsed="false">
      <c r="A202" s="315" t="str">
        <f aca="false">IF(A201="N/A","N/A",IF(EDATE(A201,1)&gt;Inputs!$P$5,"N/A",EDATE(A201,1)))</f>
        <v>N/A</v>
      </c>
      <c r="B202" s="316" t="str">
        <f aca="false">IF(A202="N/A"," ",YEAR(A202))</f>
        <v> </v>
      </c>
      <c r="C202" s="317" t="str">
        <f aca="false">IF($A202="N/A"," ",IF(Dayrun2=10,0,IF(Scaler2=1,(VLOOKUP(A202,ScaledPrice2,4)),(VLOOKUP(A202,ScaledPrice2,2)))))</f>
        <v> </v>
      </c>
      <c r="D202" s="317" t="str">
        <f aca="false">IF(A202="N/A"," ",IF(Dayrun2&gt;=7,0,IF(Scaler2=2,VLOOKUP(A202,ScaledPrice2,2),(VLOOKUP(A202,ScaledPrice2,2))*(2-(VLOOKUP(A202,ScaledPrice2,3))))))</f>
        <v> </v>
      </c>
      <c r="E202" s="317" t="str">
        <f aca="false">IF($A202="N/A"," ",IF(AND(Dayrun2&gt;=4,Dayrun2&lt;=9),0,VLOOKUP($A202,ScaledPrice2,9)))</f>
        <v> </v>
      </c>
      <c r="F202" s="317" t="str">
        <f aca="false">IF(A202="N/A"," ",IF(OR(Dayrun2=2,Dayrun2=3,Dayrun2=5,Dayrun2=6,Dayrun2=8,Dayrun2=9),VLOOKUP(A202,ScaledPrice2,IF(Scaler2=1,6,5)),0))</f>
        <v> </v>
      </c>
      <c r="G202" s="317" t="str">
        <f aca="false">IF(A202="N/A"," ",IF(OR(Dayrun2=2,Dayrun2=3,Dayrun2=5,Dayrun2=6),IF(Scaler2=2,F202,(VLOOKUP(A202,ScaledPrice2,5))*(2-(VLOOKUP(A202,ScaledPrice2,3)))),0))</f>
        <v> </v>
      </c>
      <c r="H202" s="317" t="str">
        <f aca="false">IF($A202="N/A"," ",IF(OR(Dayrun2=2,Dayrun2=3,Dayrun2=10),VLOOKUP($A202,ScaledPrice2,9),0))</f>
        <v> </v>
      </c>
      <c r="I202" s="317" t="str">
        <f aca="false">IF(A202="N/A"," ",IF(OR(Dayrun2=3,Dayrun2=6,Dayrun2=9),(VLOOKUP(A202,ScaledPrice2,IF(Scaler2=2,7,8))),0))</f>
        <v> </v>
      </c>
      <c r="J202" s="317" t="str">
        <f aca="false">IF(A202="N/A"," ",IF(OR(Dayrun2=3,Dayrun2=6),IF(Scaler2=2,I202,(VLOOKUP(A202,ScaledPrice2,7))*(2-(VLOOKUP(A202,ScaledPrice2,3)))),0))</f>
        <v> </v>
      </c>
      <c r="K202" s="317" t="str">
        <f aca="false">IF($A202="N/A"," ",IF(OR(Dayrun2=3,Dayrun2=10),VLOOKUP($A202,ScaledPrice2,9),0))</f>
        <v> </v>
      </c>
      <c r="L202" s="318" t="str">
        <f aca="false">IF($A202="N/A"," ",IF(Pricetype2=2,MAX(C202,0),IF(OR(Pricetype2=1,Pricetype2=4),IF(C202=0,0,(EURO(C202,Strikeprice2,0,0,($AH202+IF(Smile=TRUE(),VLOOKUP(MAX(-5,Strikeprice2-C202),Volsmile,2),0)),($A202-DateToday)+15,IF(Pricetype2=1,1,0),0))),C202)))</f>
        <v> </v>
      </c>
      <c r="M202" s="318" t="str">
        <f aca="false">IF($A202="N/A"," ",IF(Pricetype2=2,MAX(D202,0),IF(OR(Pricetype2=1,Pricetype2=4),IF(D202=0,0,(EURO(D202,Strikeprice2,0,0,($AH202+IF(Smile=TRUE(),VLOOKUP(MAX(-5,Strikeprice2-D202),Volsmile,2),0)),($A202-DateToday)+15,IF(Pricetype2=1,1,0),0))),D202)))</f>
        <v> </v>
      </c>
      <c r="N202" s="318" t="str">
        <f aca="false">IF($A202="N/A"," ",IF(Pricetype2=2,MAX(E202,0),IF(OR(Pricetype2=1,Pricetype2=4),IF(E202=0,0,(EURO(E202,Strikeprice2,0,0,($AK202+IF(Smile=TRUE(),VLOOKUP(MAX(-5,Strikeprice2-E202),Volsmile,2),0)),($A202-DateToday)+15,IF(Pricetype2=1,1,0),0))),E202)))</f>
        <v> </v>
      </c>
      <c r="O202" s="318" t="str">
        <f aca="false">IF($A202="N/A"," ",IF(Pricetype2=2,MAX(F202,0),IF(OR(Pricetype2=1,Pricetype2=4),IF(F202=0,0,(EURO(F202,Strikeprice2,0,0,($AK202+IF(Smile=TRUE(),VLOOKUP(MAX(-5,Strikeprice2-F202),Volsmile,2),0)),($A202-DateToday)+15,IF(Pricetype2=1,1,0),0))),F202)))</f>
        <v> </v>
      </c>
      <c r="P202" s="318" t="str">
        <f aca="false">IF($A202="N/A"," ",IF(Pricetype2=2,MAX(G202,0),IF(OR(Pricetype2=1,Pricetype2=4),IF(G202=0,0,(EURO(G202,Strikeprice2,0,0,($AK202+IF(Smile=TRUE(),VLOOKUP(MAX(-5,Strikeprice2-G202),Volsmile,2),0)),($A202-DateToday)+15,IF(Pricetype2=1,1,0),0))),G202)))</f>
        <v> </v>
      </c>
      <c r="Q202" s="318" t="str">
        <f aca="false">IF($A202="N/A"," ",IF(Pricetype2=2,MAX(H202,0),IF(OR(Pricetype2=1,Pricetype2=4),IF(H202=0,0,(EURO(H202,Strikeprice2,0,0,($AK202+IF(Smile=TRUE(),VLOOKUP(MAX(-5,Strikeprice2-H202),Volsmile,2),0)),($A202-DateToday)+15,IF(Pricetype2=1,1,0),0))),H202)))</f>
        <v> </v>
      </c>
      <c r="R202" s="318" t="str">
        <f aca="false">IF($A202="N/A"," ",IF(Pricetype2=2,MAX(I202,0),IF(OR(Pricetype2=1,Pricetype2=4),IF(I202=0,0,(EURO(I202,Strikeprice2,0,0,($AK202+IF(Smile=TRUE(),VLOOKUP(MAX(-5,Strikeprice2-I202),Volsmile,2),0)),($A202-DateToday)+15,IF(Pricetype2=1,1,0),0))),I202)))</f>
        <v> </v>
      </c>
      <c r="S202" s="318" t="str">
        <f aca="false">IF($A202="N/A"," ",IF(Pricetype2=2,MAX(J202,0),IF(OR(Pricetype2=1,Pricetype2=4),IF(J202=0,0,(EURO(J202,Strikeprice2,0,0,($AK202+IF(Smile=TRUE(),VLOOKUP(MAX(-5,Strikeprice2-J202),Volsmile,2),0)),($A202-DateToday)+15,IF(Pricetype2=1,1,0),0))),J202)))</f>
        <v> </v>
      </c>
      <c r="T202" s="318" t="str">
        <f aca="false">IF($A202="N/A"," ",IF(Pricetype2=2,MAX(K202,0),IF(OR(Pricetype2=1,Pricetype2=4),IF(K202=0,0,(EURO(K202,Strikeprice2,0,0,($AK202+IF(Smile=TRUE(),VLOOKUP(MAX(-5,Strikeprice2-K202),Volsmile,2),0)),($A202-DateToday)+15,IF(Pricetype2=1,1,0),0))),K202)))</f>
        <v> </v>
      </c>
      <c r="U202" s="319" t="str">
        <f aca="false">IF($A202="N/A"," ",Volume2*$AM202)</f>
        <v> </v>
      </c>
      <c r="V202" s="320" t="str">
        <f aca="false">IF($A202="N/A"," ",$U202*(8*($BQ202))*L202)</f>
        <v> </v>
      </c>
      <c r="W202" s="320" t="str">
        <f aca="false">IF($A202="N/A"," ",$U202*(8*($BQ202))*M202)</f>
        <v> </v>
      </c>
      <c r="X202" s="320" t="str">
        <f aca="false">IF($A202="N/A"," ",$U202*(8*($BQ202))*N202)</f>
        <v> </v>
      </c>
      <c r="Y202" s="320" t="str">
        <f aca="false">IF($A202="N/A"," ",$U202*(8*($BR202))*O202)</f>
        <v> </v>
      </c>
      <c r="Z202" s="320" t="str">
        <f aca="false">IF($A202="N/A"," ",$U202*(8*($BR202))*P202)</f>
        <v> </v>
      </c>
      <c r="AA202" s="320" t="str">
        <f aca="false">IF($A202="N/A"," ",$U202*(8*($BR202))*Q202)</f>
        <v> </v>
      </c>
      <c r="AB202" s="320" t="str">
        <f aca="false">IF($A202="N/A"," ",$U202*(8*($BS202))*R202)</f>
        <v> </v>
      </c>
      <c r="AC202" s="320" t="str">
        <f aca="false">IF($A202="N/A"," ",$U202*(8*($BS202))*S202)</f>
        <v> </v>
      </c>
      <c r="AD202" s="320" t="str">
        <f aca="false">IF($A202="N/A"," ",$U202*(8*($BS202))*T202)</f>
        <v> </v>
      </c>
      <c r="AE202" s="320" t="str">
        <f aca="false">IF($A202="N/A"," ",SUM(V202:AD202))</f>
        <v> </v>
      </c>
      <c r="AF202" s="321" t="str">
        <f aca="false">IF(A202="N/A"," ",(VLOOKUP(A202,PowerVolTable,(IF(VolBMO2=2,7,IF(VolBMO2=1,6,8))),FALSE())))</f>
        <v> </v>
      </c>
      <c r="AG202" s="321" t="str">
        <f aca="false">IF(A202="N/A"," ",(VLOOKUP(A202,IntraPowerVol,(IF(VolBMO2=2,3,IF(VolBMO2=1,2,4))),FALSE())*VLOOKUP(MONTH($A202),Volscale,2)))</f>
        <v> </v>
      </c>
      <c r="AH202" s="321" t="str">
        <f aca="false">IF($A202="N/A"," ",IF(VolType2=1,AG202,AF202))</f>
        <v> </v>
      </c>
      <c r="AI202" s="321" t="str">
        <f aca="false">IF($A202="N/A"," ",(VLOOKUP($A202,OffPwrVolTable,(IF(VolBMO2=2,7,IF(VolBMO2=1,6,8))),FALSE())))</f>
        <v> </v>
      </c>
      <c r="AJ202" s="321" t="str">
        <f aca="false">IF($A202="N/A"," ",(VLOOKUP($A202,OffPwrVolTable,(IF(VolBMO2=2,3,IF(VolBMO2=1,2,4))),FALSE())*VLOOKUP(MONTH($A202),Volscale,2)))</f>
        <v> </v>
      </c>
      <c r="AK202" s="321" t="str">
        <f aca="false">IF($A202="N/A"," ",IF(VolType2=1,AJ202,AI202))</f>
        <v> </v>
      </c>
      <c r="AL202" s="321" t="str">
        <f aca="false">IF($A202="N/A"," ",IF(PV=1,0,'Pricing Inputs2'!R235))</f>
        <v> </v>
      </c>
      <c r="AM202" s="323" t="str">
        <f aca="false">IF($A202="N/A"," ",(1+AL202/2)^(-2*((EOMONTH(A202,0)+20)-DateToday)/365.25))</f>
        <v> </v>
      </c>
      <c r="BQ202" s="0" t="str">
        <f aca="false">IF($A202="N/A"," ",(VLOOKUP($A202,NumberofDaysTable,2)))</f>
        <v> </v>
      </c>
      <c r="BR202" s="0" t="str">
        <f aca="false">IF($A202="N/A"," ",(VLOOKUP($A202,NumberofDaysTable,3)))</f>
        <v> </v>
      </c>
      <c r="BS202" s="0" t="str">
        <f aca="false">IF($A202="N/A"," ",(VLOOKUP($A202,NumberofDaysTable,4)))</f>
        <v> </v>
      </c>
    </row>
    <row r="203" customFormat="false" ht="12.75" hidden="false" customHeight="false" outlineLevel="0" collapsed="false">
      <c r="A203" s="315" t="str">
        <f aca="false">IF(A202="N/A","N/A",IF(EDATE(A202,1)&gt;Inputs!$P$5,"N/A",EDATE(A202,1)))</f>
        <v>N/A</v>
      </c>
      <c r="B203" s="316" t="str">
        <f aca="false">IF(A203="N/A"," ",YEAR(A203))</f>
        <v> </v>
      </c>
      <c r="C203" s="317" t="str">
        <f aca="false">IF($A203="N/A"," ",IF(Dayrun2=10,0,IF(Scaler2=1,(VLOOKUP(A203,ScaledPrice2,4)),(VLOOKUP(A203,ScaledPrice2,2)))))</f>
        <v> </v>
      </c>
      <c r="D203" s="317" t="str">
        <f aca="false">IF(A203="N/A"," ",IF(Dayrun2&gt;=7,0,IF(Scaler2=2,VLOOKUP(A203,ScaledPrice2,2),(VLOOKUP(A203,ScaledPrice2,2))*(2-(VLOOKUP(A203,ScaledPrice2,3))))))</f>
        <v> </v>
      </c>
      <c r="E203" s="317" t="str">
        <f aca="false">IF($A203="N/A"," ",IF(AND(Dayrun2&gt;=4,Dayrun2&lt;=9),0,VLOOKUP($A203,ScaledPrice2,9)))</f>
        <v> </v>
      </c>
      <c r="F203" s="317" t="str">
        <f aca="false">IF(A203="N/A"," ",IF(OR(Dayrun2=2,Dayrun2=3,Dayrun2=5,Dayrun2=6,Dayrun2=8,Dayrun2=9),VLOOKUP(A203,ScaledPrice2,IF(Scaler2=1,6,5)),0))</f>
        <v> </v>
      </c>
      <c r="G203" s="317" t="str">
        <f aca="false">IF(A203="N/A"," ",IF(OR(Dayrun2=2,Dayrun2=3,Dayrun2=5,Dayrun2=6),IF(Scaler2=2,F203,(VLOOKUP(A203,ScaledPrice2,5))*(2-(VLOOKUP(A203,ScaledPrice2,3)))),0))</f>
        <v> </v>
      </c>
      <c r="H203" s="317" t="str">
        <f aca="false">IF($A203="N/A"," ",IF(OR(Dayrun2=2,Dayrun2=3,Dayrun2=10),VLOOKUP($A203,ScaledPrice2,9),0))</f>
        <v> </v>
      </c>
      <c r="I203" s="317" t="str">
        <f aca="false">IF(A203="N/A"," ",IF(OR(Dayrun2=3,Dayrun2=6,Dayrun2=9),(VLOOKUP(A203,ScaledPrice2,IF(Scaler2=2,7,8))),0))</f>
        <v> </v>
      </c>
      <c r="J203" s="317" t="str">
        <f aca="false">IF(A203="N/A"," ",IF(OR(Dayrun2=3,Dayrun2=6),IF(Scaler2=2,I203,(VLOOKUP(A203,ScaledPrice2,7))*(2-(VLOOKUP(A203,ScaledPrice2,3)))),0))</f>
        <v> </v>
      </c>
      <c r="K203" s="317" t="str">
        <f aca="false">IF($A203="N/A"," ",IF(OR(Dayrun2=3,Dayrun2=10),VLOOKUP($A203,ScaledPrice2,9),0))</f>
        <v> </v>
      </c>
      <c r="L203" s="318" t="str">
        <f aca="false">IF($A203="N/A"," ",IF(Pricetype2=2,MAX(C203,0),IF(OR(Pricetype2=1,Pricetype2=4),IF(C203=0,0,(EURO(C203,Strikeprice2,0,0,($AH203+IF(Smile=TRUE(),VLOOKUP(MAX(-5,Strikeprice2-C203),Volsmile,2),0)),($A203-DateToday)+15,IF(Pricetype2=1,1,0),0))),C203)))</f>
        <v> </v>
      </c>
      <c r="M203" s="318" t="str">
        <f aca="false">IF($A203="N/A"," ",IF(Pricetype2=2,MAX(D203,0),IF(OR(Pricetype2=1,Pricetype2=4),IF(D203=0,0,(EURO(D203,Strikeprice2,0,0,($AH203+IF(Smile=TRUE(),VLOOKUP(MAX(-5,Strikeprice2-D203),Volsmile,2),0)),($A203-DateToday)+15,IF(Pricetype2=1,1,0),0))),D203)))</f>
        <v> </v>
      </c>
      <c r="N203" s="318" t="str">
        <f aca="false">IF($A203="N/A"," ",IF(Pricetype2=2,MAX(E203,0),IF(OR(Pricetype2=1,Pricetype2=4),IF(E203=0,0,(EURO(E203,Strikeprice2,0,0,($AK203+IF(Smile=TRUE(),VLOOKUP(MAX(-5,Strikeprice2-E203),Volsmile,2),0)),($A203-DateToday)+15,IF(Pricetype2=1,1,0),0))),E203)))</f>
        <v> </v>
      </c>
      <c r="O203" s="318" t="str">
        <f aca="false">IF($A203="N/A"," ",IF(Pricetype2=2,MAX(F203,0),IF(OR(Pricetype2=1,Pricetype2=4),IF(F203=0,0,(EURO(F203,Strikeprice2,0,0,($AK203+IF(Smile=TRUE(),VLOOKUP(MAX(-5,Strikeprice2-F203),Volsmile,2),0)),($A203-DateToday)+15,IF(Pricetype2=1,1,0),0))),F203)))</f>
        <v> </v>
      </c>
      <c r="P203" s="318" t="str">
        <f aca="false">IF($A203="N/A"," ",IF(Pricetype2=2,MAX(G203,0),IF(OR(Pricetype2=1,Pricetype2=4),IF(G203=0,0,(EURO(G203,Strikeprice2,0,0,($AK203+IF(Smile=TRUE(),VLOOKUP(MAX(-5,Strikeprice2-G203),Volsmile,2),0)),($A203-DateToday)+15,IF(Pricetype2=1,1,0),0))),G203)))</f>
        <v> </v>
      </c>
      <c r="Q203" s="318" t="str">
        <f aca="false">IF($A203="N/A"," ",IF(Pricetype2=2,MAX(H203,0),IF(OR(Pricetype2=1,Pricetype2=4),IF(H203=0,0,(EURO(H203,Strikeprice2,0,0,($AK203+IF(Smile=TRUE(),VLOOKUP(MAX(-5,Strikeprice2-H203),Volsmile,2),0)),($A203-DateToday)+15,IF(Pricetype2=1,1,0),0))),H203)))</f>
        <v> </v>
      </c>
      <c r="R203" s="318" t="str">
        <f aca="false">IF($A203="N/A"," ",IF(Pricetype2=2,MAX(I203,0),IF(OR(Pricetype2=1,Pricetype2=4),IF(I203=0,0,(EURO(I203,Strikeprice2,0,0,($AK203+IF(Smile=TRUE(),VLOOKUP(MAX(-5,Strikeprice2-I203),Volsmile,2),0)),($A203-DateToday)+15,IF(Pricetype2=1,1,0),0))),I203)))</f>
        <v> </v>
      </c>
      <c r="S203" s="318" t="str">
        <f aca="false">IF($A203="N/A"," ",IF(Pricetype2=2,MAX(J203,0),IF(OR(Pricetype2=1,Pricetype2=4),IF(J203=0,0,(EURO(J203,Strikeprice2,0,0,($AK203+IF(Smile=TRUE(),VLOOKUP(MAX(-5,Strikeprice2-J203),Volsmile,2),0)),($A203-DateToday)+15,IF(Pricetype2=1,1,0),0))),J203)))</f>
        <v> </v>
      </c>
      <c r="T203" s="318" t="str">
        <f aca="false">IF($A203="N/A"," ",IF(Pricetype2=2,MAX(K203,0),IF(OR(Pricetype2=1,Pricetype2=4),IF(K203=0,0,(EURO(K203,Strikeprice2,0,0,($AK203+IF(Smile=TRUE(),VLOOKUP(MAX(-5,Strikeprice2-K203),Volsmile,2),0)),($A203-DateToday)+15,IF(Pricetype2=1,1,0),0))),K203)))</f>
        <v> </v>
      </c>
      <c r="U203" s="319" t="str">
        <f aca="false">IF($A203="N/A"," ",Volume2*$AM203)</f>
        <v> </v>
      </c>
      <c r="V203" s="320" t="str">
        <f aca="false">IF($A203="N/A"," ",$U203*(8*($BQ203))*L203)</f>
        <v> </v>
      </c>
      <c r="W203" s="320" t="str">
        <f aca="false">IF($A203="N/A"," ",$U203*(8*($BQ203))*M203)</f>
        <v> </v>
      </c>
      <c r="X203" s="320" t="str">
        <f aca="false">IF($A203="N/A"," ",$U203*(8*($BQ203))*N203)</f>
        <v> </v>
      </c>
      <c r="Y203" s="320" t="str">
        <f aca="false">IF($A203="N/A"," ",$U203*(8*($BR203))*O203)</f>
        <v> </v>
      </c>
      <c r="Z203" s="320" t="str">
        <f aca="false">IF($A203="N/A"," ",$U203*(8*($BR203))*P203)</f>
        <v> </v>
      </c>
      <c r="AA203" s="320" t="str">
        <f aca="false">IF($A203="N/A"," ",$U203*(8*($BR203))*Q203)</f>
        <v> </v>
      </c>
      <c r="AB203" s="320" t="str">
        <f aca="false">IF($A203="N/A"," ",$U203*(8*($BS203))*R203)</f>
        <v> </v>
      </c>
      <c r="AC203" s="320" t="str">
        <f aca="false">IF($A203="N/A"," ",$U203*(8*($BS203))*S203)</f>
        <v> </v>
      </c>
      <c r="AD203" s="320" t="str">
        <f aca="false">IF($A203="N/A"," ",$U203*(8*($BS203))*T203)</f>
        <v> </v>
      </c>
      <c r="AE203" s="320" t="str">
        <f aca="false">IF($A203="N/A"," ",SUM(V203:AD203))</f>
        <v> </v>
      </c>
      <c r="AF203" s="321" t="str">
        <f aca="false">IF(A203="N/A"," ",(VLOOKUP(A203,PowerVolTable,(IF(VolBMO2=2,7,IF(VolBMO2=1,6,8))),FALSE())))</f>
        <v> </v>
      </c>
      <c r="AG203" s="321" t="str">
        <f aca="false">IF(A203="N/A"," ",(VLOOKUP(A203,IntraPowerVol,(IF(VolBMO2=2,3,IF(VolBMO2=1,2,4))),FALSE())*VLOOKUP(MONTH($A203),Volscale,2)))</f>
        <v> </v>
      </c>
      <c r="AH203" s="321" t="str">
        <f aca="false">IF($A203="N/A"," ",IF(VolType2=1,AG203,AF203))</f>
        <v> </v>
      </c>
      <c r="AI203" s="321" t="str">
        <f aca="false">IF($A203="N/A"," ",(VLOOKUP($A203,OffPwrVolTable,(IF(VolBMO2=2,7,IF(VolBMO2=1,6,8))),FALSE())))</f>
        <v> </v>
      </c>
      <c r="AJ203" s="321" t="str">
        <f aca="false">IF($A203="N/A"," ",(VLOOKUP($A203,OffPwrVolTable,(IF(VolBMO2=2,3,IF(VolBMO2=1,2,4))),FALSE())*VLOOKUP(MONTH($A203),Volscale,2)))</f>
        <v> </v>
      </c>
      <c r="AK203" s="321" t="str">
        <f aca="false">IF($A203="N/A"," ",IF(VolType2=1,AJ203,AI203))</f>
        <v> </v>
      </c>
      <c r="AL203" s="321" t="str">
        <f aca="false">IF($A203="N/A"," ",IF(PV=1,0,'Pricing Inputs2'!R236))</f>
        <v> </v>
      </c>
      <c r="AM203" s="323" t="str">
        <f aca="false">IF($A203="N/A"," ",(1+AL203/2)^(-2*((EOMONTH(A203,0)+20)-DateToday)/365.25))</f>
        <v> </v>
      </c>
      <c r="BQ203" s="0" t="str">
        <f aca="false">IF($A203="N/A"," ",(VLOOKUP($A203,NumberofDaysTable,2)))</f>
        <v> </v>
      </c>
      <c r="BR203" s="0" t="str">
        <f aca="false">IF($A203="N/A"," ",(VLOOKUP($A203,NumberofDaysTable,3)))</f>
        <v> </v>
      </c>
      <c r="BS203" s="0" t="str">
        <f aca="false">IF($A203="N/A"," ",(VLOOKUP($A203,NumberofDaysTable,4)))</f>
        <v> </v>
      </c>
    </row>
    <row r="204" customFormat="false" ht="12.75" hidden="false" customHeight="false" outlineLevel="0" collapsed="false">
      <c r="A204" s="315" t="str">
        <f aca="false">IF(A203="N/A","N/A",IF(EDATE(A203,1)&gt;Inputs!$P$5,"N/A",EDATE(A203,1)))</f>
        <v>N/A</v>
      </c>
      <c r="B204" s="316" t="str">
        <f aca="false">IF(A204="N/A"," ",YEAR(A204))</f>
        <v> </v>
      </c>
      <c r="C204" s="317" t="str">
        <f aca="false">IF($A204="N/A"," ",IF(Dayrun2=10,0,IF(Scaler2=1,(VLOOKUP(A204,ScaledPrice2,4)),(VLOOKUP(A204,ScaledPrice2,2)))))</f>
        <v> </v>
      </c>
      <c r="D204" s="317" t="str">
        <f aca="false">IF(A204="N/A"," ",IF(Dayrun2&gt;=7,0,IF(Scaler2=2,VLOOKUP(A204,ScaledPrice2,2),(VLOOKUP(A204,ScaledPrice2,2))*(2-(VLOOKUP(A204,ScaledPrice2,3))))))</f>
        <v> </v>
      </c>
      <c r="E204" s="317" t="str">
        <f aca="false">IF($A204="N/A"," ",IF(AND(Dayrun2&gt;=4,Dayrun2&lt;=9),0,VLOOKUP($A204,ScaledPrice2,9)))</f>
        <v> </v>
      </c>
      <c r="F204" s="317" t="str">
        <f aca="false">IF(A204="N/A"," ",IF(OR(Dayrun2=2,Dayrun2=3,Dayrun2=5,Dayrun2=6,Dayrun2=8,Dayrun2=9),VLOOKUP(A204,ScaledPrice2,IF(Scaler2=1,6,5)),0))</f>
        <v> </v>
      </c>
      <c r="G204" s="317" t="str">
        <f aca="false">IF(A204="N/A"," ",IF(OR(Dayrun2=2,Dayrun2=3,Dayrun2=5,Dayrun2=6),IF(Scaler2=2,F204,(VLOOKUP(A204,ScaledPrice2,5))*(2-(VLOOKUP(A204,ScaledPrice2,3)))),0))</f>
        <v> </v>
      </c>
      <c r="H204" s="317" t="str">
        <f aca="false">IF($A204="N/A"," ",IF(OR(Dayrun2=2,Dayrun2=3,Dayrun2=10),VLOOKUP($A204,ScaledPrice2,9),0))</f>
        <v> </v>
      </c>
      <c r="I204" s="317" t="str">
        <f aca="false">IF(A204="N/A"," ",IF(OR(Dayrun2=3,Dayrun2=6,Dayrun2=9),(VLOOKUP(A204,ScaledPrice2,IF(Scaler2=2,7,8))),0))</f>
        <v> </v>
      </c>
      <c r="J204" s="317" t="str">
        <f aca="false">IF(A204="N/A"," ",IF(OR(Dayrun2=3,Dayrun2=6),IF(Scaler2=2,I204,(VLOOKUP(A204,ScaledPrice2,7))*(2-(VLOOKUP(A204,ScaledPrice2,3)))),0))</f>
        <v> </v>
      </c>
      <c r="K204" s="317" t="str">
        <f aca="false">IF($A204="N/A"," ",IF(OR(Dayrun2=3,Dayrun2=10),VLOOKUP($A204,ScaledPrice2,9),0))</f>
        <v> </v>
      </c>
      <c r="L204" s="318" t="str">
        <f aca="false">IF($A204="N/A"," ",IF(Pricetype2=2,MAX(C204,0),IF(OR(Pricetype2=1,Pricetype2=4),IF(C204=0,0,(EURO(C204,Strikeprice2,0,0,($AH204+IF(Smile=TRUE(),VLOOKUP(MAX(-5,Strikeprice2-C204),Volsmile,2),0)),($A204-DateToday)+15,IF(Pricetype2=1,1,0),0))),C204)))</f>
        <v> </v>
      </c>
      <c r="M204" s="318" t="str">
        <f aca="false">IF($A204="N/A"," ",IF(Pricetype2=2,MAX(D204,0),IF(OR(Pricetype2=1,Pricetype2=4),IF(D204=0,0,(EURO(D204,Strikeprice2,0,0,($AH204+IF(Smile=TRUE(),VLOOKUP(MAX(-5,Strikeprice2-D204),Volsmile,2),0)),($A204-DateToday)+15,IF(Pricetype2=1,1,0),0))),D204)))</f>
        <v> </v>
      </c>
      <c r="N204" s="318" t="str">
        <f aca="false">IF($A204="N/A"," ",IF(Pricetype2=2,MAX(E204,0),IF(OR(Pricetype2=1,Pricetype2=4),IF(E204=0,0,(EURO(E204,Strikeprice2,0,0,($AK204+IF(Smile=TRUE(),VLOOKUP(MAX(-5,Strikeprice2-E204),Volsmile,2),0)),($A204-DateToday)+15,IF(Pricetype2=1,1,0),0))),E204)))</f>
        <v> </v>
      </c>
      <c r="O204" s="318" t="str">
        <f aca="false">IF($A204="N/A"," ",IF(Pricetype2=2,MAX(F204,0),IF(OR(Pricetype2=1,Pricetype2=4),IF(F204=0,0,(EURO(F204,Strikeprice2,0,0,($AK204+IF(Smile=TRUE(),VLOOKUP(MAX(-5,Strikeprice2-F204),Volsmile,2),0)),($A204-DateToday)+15,IF(Pricetype2=1,1,0),0))),F204)))</f>
        <v> </v>
      </c>
      <c r="P204" s="318" t="str">
        <f aca="false">IF($A204="N/A"," ",IF(Pricetype2=2,MAX(G204,0),IF(OR(Pricetype2=1,Pricetype2=4),IF(G204=0,0,(EURO(G204,Strikeprice2,0,0,($AK204+IF(Smile=TRUE(),VLOOKUP(MAX(-5,Strikeprice2-G204),Volsmile,2),0)),($A204-DateToday)+15,IF(Pricetype2=1,1,0),0))),G204)))</f>
        <v> </v>
      </c>
      <c r="Q204" s="318" t="str">
        <f aca="false">IF($A204="N/A"," ",IF(Pricetype2=2,MAX(H204,0),IF(OR(Pricetype2=1,Pricetype2=4),IF(H204=0,0,(EURO(H204,Strikeprice2,0,0,($AK204+IF(Smile=TRUE(),VLOOKUP(MAX(-5,Strikeprice2-H204),Volsmile,2),0)),($A204-DateToday)+15,IF(Pricetype2=1,1,0),0))),H204)))</f>
        <v> </v>
      </c>
      <c r="R204" s="318" t="str">
        <f aca="false">IF($A204="N/A"," ",IF(Pricetype2=2,MAX(I204,0),IF(OR(Pricetype2=1,Pricetype2=4),IF(I204=0,0,(EURO(I204,Strikeprice2,0,0,($AK204+IF(Smile=TRUE(),VLOOKUP(MAX(-5,Strikeprice2-I204),Volsmile,2),0)),($A204-DateToday)+15,IF(Pricetype2=1,1,0),0))),I204)))</f>
        <v> </v>
      </c>
      <c r="S204" s="318" t="str">
        <f aca="false">IF($A204="N/A"," ",IF(Pricetype2=2,MAX(J204,0),IF(OR(Pricetype2=1,Pricetype2=4),IF(J204=0,0,(EURO(J204,Strikeprice2,0,0,($AK204+IF(Smile=TRUE(),VLOOKUP(MAX(-5,Strikeprice2-J204),Volsmile,2),0)),($A204-DateToday)+15,IF(Pricetype2=1,1,0),0))),J204)))</f>
        <v> </v>
      </c>
      <c r="T204" s="318" t="str">
        <f aca="false">IF($A204="N/A"," ",IF(Pricetype2=2,MAX(K204,0),IF(OR(Pricetype2=1,Pricetype2=4),IF(K204=0,0,(EURO(K204,Strikeprice2,0,0,($AK204+IF(Smile=TRUE(),VLOOKUP(MAX(-5,Strikeprice2-K204),Volsmile,2),0)),($A204-DateToday)+15,IF(Pricetype2=1,1,0),0))),K204)))</f>
        <v> </v>
      </c>
      <c r="U204" s="319" t="str">
        <f aca="false">IF($A204="N/A"," ",Volume2*$AM204)</f>
        <v> </v>
      </c>
      <c r="V204" s="320" t="str">
        <f aca="false">IF($A204="N/A"," ",$U204*(8*($BQ204))*L204)</f>
        <v> </v>
      </c>
      <c r="W204" s="320" t="str">
        <f aca="false">IF($A204="N/A"," ",$U204*(8*($BQ204))*M204)</f>
        <v> </v>
      </c>
      <c r="X204" s="320" t="str">
        <f aca="false">IF($A204="N/A"," ",$U204*(8*($BQ204))*N204)</f>
        <v> </v>
      </c>
      <c r="Y204" s="320" t="str">
        <f aca="false">IF($A204="N/A"," ",$U204*(8*($BR204))*O204)</f>
        <v> </v>
      </c>
      <c r="Z204" s="320" t="str">
        <f aca="false">IF($A204="N/A"," ",$U204*(8*($BR204))*P204)</f>
        <v> </v>
      </c>
      <c r="AA204" s="320" t="str">
        <f aca="false">IF($A204="N/A"," ",$U204*(8*($BR204))*Q204)</f>
        <v> </v>
      </c>
      <c r="AB204" s="320" t="str">
        <f aca="false">IF($A204="N/A"," ",$U204*(8*($BS204))*R204)</f>
        <v> </v>
      </c>
      <c r="AC204" s="320" t="str">
        <f aca="false">IF($A204="N/A"," ",$U204*(8*($BS204))*S204)</f>
        <v> </v>
      </c>
      <c r="AD204" s="320" t="str">
        <f aca="false">IF($A204="N/A"," ",$U204*(8*($BS204))*T204)</f>
        <v> </v>
      </c>
      <c r="AE204" s="320" t="str">
        <f aca="false">IF($A204="N/A"," ",SUM(V204:AD204))</f>
        <v> </v>
      </c>
      <c r="AF204" s="321" t="str">
        <f aca="false">IF(A204="N/A"," ",(VLOOKUP(A204,PowerVolTable,(IF(VolBMO2=2,7,IF(VolBMO2=1,6,8))),FALSE())))</f>
        <v> </v>
      </c>
      <c r="AG204" s="321" t="str">
        <f aca="false">IF(A204="N/A"," ",(VLOOKUP(A204,IntraPowerVol,(IF(VolBMO2=2,3,IF(VolBMO2=1,2,4))),FALSE())*VLOOKUP(MONTH($A204),Volscale,2)))</f>
        <v> </v>
      </c>
      <c r="AH204" s="321" t="str">
        <f aca="false">IF($A204="N/A"," ",IF(VolType2=1,AG204,AF204))</f>
        <v> </v>
      </c>
      <c r="AI204" s="321" t="str">
        <f aca="false">IF($A204="N/A"," ",(VLOOKUP($A204,OffPwrVolTable,(IF(VolBMO2=2,7,IF(VolBMO2=1,6,8))),FALSE())))</f>
        <v> </v>
      </c>
      <c r="AJ204" s="321" t="str">
        <f aca="false">IF($A204="N/A"," ",(VLOOKUP($A204,OffPwrVolTable,(IF(VolBMO2=2,3,IF(VolBMO2=1,2,4))),FALSE())*VLOOKUP(MONTH($A204),Volscale,2)))</f>
        <v> </v>
      </c>
      <c r="AK204" s="321" t="str">
        <f aca="false">IF($A204="N/A"," ",IF(VolType2=1,AJ204,AI204))</f>
        <v> </v>
      </c>
      <c r="AL204" s="321" t="str">
        <f aca="false">IF($A204="N/A"," ",IF(PV=1,0,'Pricing Inputs2'!R237))</f>
        <v> </v>
      </c>
      <c r="AM204" s="323" t="str">
        <f aca="false">IF($A204="N/A"," ",(1+AL204/2)^(-2*((EOMONTH(A204,0)+20)-DateToday)/365.25))</f>
        <v> </v>
      </c>
      <c r="BQ204" s="0" t="str">
        <f aca="false">IF($A204="N/A"," ",(VLOOKUP($A204,NumberofDaysTable,2)))</f>
        <v> </v>
      </c>
      <c r="BR204" s="0" t="str">
        <f aca="false">IF($A204="N/A"," ",(VLOOKUP($A204,NumberofDaysTable,3)))</f>
        <v> </v>
      </c>
      <c r="BS204" s="0" t="str">
        <f aca="false">IF($A204="N/A"," ",(VLOOKUP($A204,NumberofDaysTable,4)))</f>
        <v> </v>
      </c>
    </row>
    <row r="205" customFormat="false" ht="12.75" hidden="false" customHeight="false" outlineLevel="0" collapsed="false">
      <c r="A205" s="315" t="str">
        <f aca="false">IF(A204="N/A","N/A",IF(EDATE(A204,1)&gt;Inputs!$P$5,"N/A",EDATE(A204,1)))</f>
        <v>N/A</v>
      </c>
      <c r="B205" s="316" t="str">
        <f aca="false">IF(A205="N/A"," ",YEAR(A205))</f>
        <v> </v>
      </c>
      <c r="C205" s="317" t="str">
        <f aca="false">IF($A205="N/A"," ",IF(Dayrun2=10,0,IF(Scaler2=1,(VLOOKUP(A205,ScaledPrice2,4)),(VLOOKUP(A205,ScaledPrice2,2)))))</f>
        <v> </v>
      </c>
      <c r="D205" s="317" t="str">
        <f aca="false">IF(A205="N/A"," ",IF(Dayrun2&gt;=7,0,IF(Scaler2=2,VLOOKUP(A205,ScaledPrice2,2),(VLOOKUP(A205,ScaledPrice2,2))*(2-(VLOOKUP(A205,ScaledPrice2,3))))))</f>
        <v> </v>
      </c>
      <c r="E205" s="317" t="str">
        <f aca="false">IF($A205="N/A"," ",IF(AND(Dayrun2&gt;=4,Dayrun2&lt;=9),0,VLOOKUP($A205,ScaledPrice2,9)))</f>
        <v> </v>
      </c>
      <c r="F205" s="317" t="str">
        <f aca="false">IF(A205="N/A"," ",IF(OR(Dayrun2=2,Dayrun2=3,Dayrun2=5,Dayrun2=6,Dayrun2=8,Dayrun2=9),VLOOKUP(A205,ScaledPrice2,IF(Scaler2=1,6,5)),0))</f>
        <v> </v>
      </c>
      <c r="G205" s="317" t="str">
        <f aca="false">IF(A205="N/A"," ",IF(OR(Dayrun2=2,Dayrun2=3,Dayrun2=5,Dayrun2=6),IF(Scaler2=2,F205,(VLOOKUP(A205,ScaledPrice2,5))*(2-(VLOOKUP(A205,ScaledPrice2,3)))),0))</f>
        <v> </v>
      </c>
      <c r="H205" s="317" t="str">
        <f aca="false">IF($A205="N/A"," ",IF(OR(Dayrun2=2,Dayrun2=3,Dayrun2=10),VLOOKUP($A205,ScaledPrice2,9),0))</f>
        <v> </v>
      </c>
      <c r="I205" s="317" t="str">
        <f aca="false">IF(A205="N/A"," ",IF(OR(Dayrun2=3,Dayrun2=6,Dayrun2=9),(VLOOKUP(A205,ScaledPrice2,IF(Scaler2=2,7,8))),0))</f>
        <v> </v>
      </c>
      <c r="J205" s="317" t="str">
        <f aca="false">IF(A205="N/A"," ",IF(OR(Dayrun2=3,Dayrun2=6),IF(Scaler2=2,I205,(VLOOKUP(A205,ScaledPrice2,7))*(2-(VLOOKUP(A205,ScaledPrice2,3)))),0))</f>
        <v> </v>
      </c>
      <c r="K205" s="317" t="str">
        <f aca="false">IF($A205="N/A"," ",IF(OR(Dayrun2=3,Dayrun2=10),VLOOKUP($A205,ScaledPrice2,9),0))</f>
        <v> </v>
      </c>
      <c r="L205" s="318" t="str">
        <f aca="false">IF($A205="N/A"," ",IF(Pricetype2=2,MAX(C205,0),IF(OR(Pricetype2=1,Pricetype2=4),IF(C205=0,0,(EURO(C205,Strikeprice2,0,0,($AH205+IF(Smile=TRUE(),VLOOKUP(MAX(-5,Strikeprice2-C205),Volsmile,2),0)),($A205-DateToday)+15,IF(Pricetype2=1,1,0),0))),C205)))</f>
        <v> </v>
      </c>
      <c r="M205" s="318" t="str">
        <f aca="false">IF($A205="N/A"," ",IF(Pricetype2=2,MAX(D205,0),IF(OR(Pricetype2=1,Pricetype2=4),IF(D205=0,0,(EURO(D205,Strikeprice2,0,0,($AH205+IF(Smile=TRUE(),VLOOKUP(MAX(-5,Strikeprice2-D205),Volsmile,2),0)),($A205-DateToday)+15,IF(Pricetype2=1,1,0),0))),D205)))</f>
        <v> </v>
      </c>
      <c r="N205" s="318" t="str">
        <f aca="false">IF($A205="N/A"," ",IF(Pricetype2=2,MAX(E205,0),IF(OR(Pricetype2=1,Pricetype2=4),IF(E205=0,0,(EURO(E205,Strikeprice2,0,0,($AK205+IF(Smile=TRUE(),VLOOKUP(MAX(-5,Strikeprice2-E205),Volsmile,2),0)),($A205-DateToday)+15,IF(Pricetype2=1,1,0),0))),E205)))</f>
        <v> </v>
      </c>
      <c r="O205" s="318" t="str">
        <f aca="false">IF($A205="N/A"," ",IF(Pricetype2=2,MAX(F205,0),IF(OR(Pricetype2=1,Pricetype2=4),IF(F205=0,0,(EURO(F205,Strikeprice2,0,0,($AK205+IF(Smile=TRUE(),VLOOKUP(MAX(-5,Strikeprice2-F205),Volsmile,2),0)),($A205-DateToday)+15,IF(Pricetype2=1,1,0),0))),F205)))</f>
        <v> </v>
      </c>
      <c r="P205" s="318" t="str">
        <f aca="false">IF($A205="N/A"," ",IF(Pricetype2=2,MAX(G205,0),IF(OR(Pricetype2=1,Pricetype2=4),IF(G205=0,0,(EURO(G205,Strikeprice2,0,0,($AK205+IF(Smile=TRUE(),VLOOKUP(MAX(-5,Strikeprice2-G205),Volsmile,2),0)),($A205-DateToday)+15,IF(Pricetype2=1,1,0),0))),G205)))</f>
        <v> </v>
      </c>
      <c r="Q205" s="318" t="str">
        <f aca="false">IF($A205="N/A"," ",IF(Pricetype2=2,MAX(H205,0),IF(OR(Pricetype2=1,Pricetype2=4),IF(H205=0,0,(EURO(H205,Strikeprice2,0,0,($AK205+IF(Smile=TRUE(),VLOOKUP(MAX(-5,Strikeprice2-H205),Volsmile,2),0)),($A205-DateToday)+15,IF(Pricetype2=1,1,0),0))),H205)))</f>
        <v> </v>
      </c>
      <c r="R205" s="318" t="str">
        <f aca="false">IF($A205="N/A"," ",IF(Pricetype2=2,MAX(I205,0),IF(OR(Pricetype2=1,Pricetype2=4),IF(I205=0,0,(EURO(I205,Strikeprice2,0,0,($AK205+IF(Smile=TRUE(),VLOOKUP(MAX(-5,Strikeprice2-I205),Volsmile,2),0)),($A205-DateToday)+15,IF(Pricetype2=1,1,0),0))),I205)))</f>
        <v> </v>
      </c>
      <c r="S205" s="318" t="str">
        <f aca="false">IF($A205="N/A"," ",IF(Pricetype2=2,MAX(J205,0),IF(OR(Pricetype2=1,Pricetype2=4),IF(J205=0,0,(EURO(J205,Strikeprice2,0,0,($AK205+IF(Smile=TRUE(),VLOOKUP(MAX(-5,Strikeprice2-J205),Volsmile,2),0)),($A205-DateToday)+15,IF(Pricetype2=1,1,0),0))),J205)))</f>
        <v> </v>
      </c>
      <c r="T205" s="318" t="str">
        <f aca="false">IF($A205="N/A"," ",IF(Pricetype2=2,MAX(K205,0),IF(OR(Pricetype2=1,Pricetype2=4),IF(K205=0,0,(EURO(K205,Strikeprice2,0,0,($AK205+IF(Smile=TRUE(),VLOOKUP(MAX(-5,Strikeprice2-K205),Volsmile,2),0)),($A205-DateToday)+15,IF(Pricetype2=1,1,0),0))),K205)))</f>
        <v> </v>
      </c>
      <c r="U205" s="319" t="str">
        <f aca="false">IF($A205="N/A"," ",Volume2*$AM205)</f>
        <v> </v>
      </c>
      <c r="V205" s="320" t="str">
        <f aca="false">IF($A205="N/A"," ",$U205*(8*($BQ205))*L205)</f>
        <v> </v>
      </c>
      <c r="W205" s="320" t="str">
        <f aca="false">IF($A205="N/A"," ",$U205*(8*($BQ205))*M205)</f>
        <v> </v>
      </c>
      <c r="X205" s="320" t="str">
        <f aca="false">IF($A205="N/A"," ",$U205*(8*($BQ205))*N205)</f>
        <v> </v>
      </c>
      <c r="Y205" s="320" t="str">
        <f aca="false">IF($A205="N/A"," ",$U205*(8*($BR205))*O205)</f>
        <v> </v>
      </c>
      <c r="Z205" s="320" t="str">
        <f aca="false">IF($A205="N/A"," ",$U205*(8*($BR205))*P205)</f>
        <v> </v>
      </c>
      <c r="AA205" s="320" t="str">
        <f aca="false">IF($A205="N/A"," ",$U205*(8*($BR205))*Q205)</f>
        <v> </v>
      </c>
      <c r="AB205" s="320" t="str">
        <f aca="false">IF($A205="N/A"," ",$U205*(8*($BS205))*R205)</f>
        <v> </v>
      </c>
      <c r="AC205" s="320" t="str">
        <f aca="false">IF($A205="N/A"," ",$U205*(8*($BS205))*S205)</f>
        <v> </v>
      </c>
      <c r="AD205" s="320" t="str">
        <f aca="false">IF($A205="N/A"," ",$U205*(8*($BS205))*T205)</f>
        <v> </v>
      </c>
      <c r="AE205" s="320" t="str">
        <f aca="false">IF($A205="N/A"," ",SUM(V205:AD205))</f>
        <v> </v>
      </c>
      <c r="AF205" s="321" t="str">
        <f aca="false">IF(A205="N/A"," ",(VLOOKUP(A205,PowerVolTable,(IF(VolBMO2=2,7,IF(VolBMO2=1,6,8))),FALSE())))</f>
        <v> </v>
      </c>
      <c r="AG205" s="321" t="str">
        <f aca="false">IF(A205="N/A"," ",(VLOOKUP(A205,IntraPowerVol,(IF(VolBMO2=2,3,IF(VolBMO2=1,2,4))),FALSE())*VLOOKUP(MONTH($A205),Volscale,2)))</f>
        <v> </v>
      </c>
      <c r="AH205" s="321" t="str">
        <f aca="false">IF($A205="N/A"," ",IF(VolType2=1,AG205,AF205))</f>
        <v> </v>
      </c>
      <c r="AI205" s="321" t="str">
        <f aca="false">IF($A205="N/A"," ",(VLOOKUP($A205,OffPwrVolTable,(IF(VolBMO2=2,7,IF(VolBMO2=1,6,8))),FALSE())))</f>
        <v> </v>
      </c>
      <c r="AJ205" s="321" t="str">
        <f aca="false">IF($A205="N/A"," ",(VLOOKUP($A205,OffPwrVolTable,(IF(VolBMO2=2,3,IF(VolBMO2=1,2,4))),FALSE())*VLOOKUP(MONTH($A205),Volscale,2)))</f>
        <v> </v>
      </c>
      <c r="AK205" s="321" t="str">
        <f aca="false">IF($A205="N/A"," ",IF(VolType2=1,AJ205,AI205))</f>
        <v> </v>
      </c>
      <c r="AL205" s="321" t="str">
        <f aca="false">IF($A205="N/A"," ",IF(PV=1,0,'Pricing Inputs2'!R238))</f>
        <v> </v>
      </c>
      <c r="AM205" s="323" t="str">
        <f aca="false">IF($A205="N/A"," ",(1+AL205/2)^(-2*((EOMONTH(A205,0)+20)-DateToday)/365.25))</f>
        <v> </v>
      </c>
      <c r="BQ205" s="0" t="str">
        <f aca="false">IF($A205="N/A"," ",(VLOOKUP($A205,NumberofDaysTable,2)))</f>
        <v> </v>
      </c>
      <c r="BR205" s="0" t="str">
        <f aca="false">IF($A205="N/A"," ",(VLOOKUP($A205,NumberofDaysTable,3)))</f>
        <v> </v>
      </c>
      <c r="BS205" s="0" t="str">
        <f aca="false">IF($A205="N/A"," ",(VLOOKUP($A205,NumberofDaysTable,4)))</f>
        <v> </v>
      </c>
    </row>
    <row r="206" customFormat="false" ht="12.75" hidden="false" customHeight="false" outlineLevel="0" collapsed="false">
      <c r="A206" s="315" t="str">
        <f aca="false">IF(A205="N/A","N/A",IF(EDATE(A205,1)&gt;Inputs!$P$5,"N/A",EDATE(A205,1)))</f>
        <v>N/A</v>
      </c>
      <c r="B206" s="316" t="str">
        <f aca="false">IF(A206="N/A"," ",YEAR(A206))</f>
        <v> </v>
      </c>
      <c r="C206" s="317" t="str">
        <f aca="false">IF($A206="N/A"," ",IF(Dayrun2=10,0,IF(Scaler2=1,(VLOOKUP(A206,ScaledPrice2,4)),(VLOOKUP(A206,ScaledPrice2,2)))))</f>
        <v> </v>
      </c>
      <c r="D206" s="317" t="str">
        <f aca="false">IF(A206="N/A"," ",IF(Dayrun2&gt;=7,0,IF(Scaler2=2,VLOOKUP(A206,ScaledPrice2,2),(VLOOKUP(A206,ScaledPrice2,2))*(2-(VLOOKUP(A206,ScaledPrice2,3))))))</f>
        <v> </v>
      </c>
      <c r="E206" s="317" t="str">
        <f aca="false">IF($A206="N/A"," ",IF(AND(Dayrun2&gt;=4,Dayrun2&lt;=9),0,VLOOKUP($A206,ScaledPrice2,9)))</f>
        <v> </v>
      </c>
      <c r="F206" s="317" t="str">
        <f aca="false">IF(A206="N/A"," ",IF(OR(Dayrun2=2,Dayrun2=3,Dayrun2=5,Dayrun2=6,Dayrun2=8,Dayrun2=9),VLOOKUP(A206,ScaledPrice2,IF(Scaler2=1,6,5)),0))</f>
        <v> </v>
      </c>
      <c r="G206" s="317" t="str">
        <f aca="false">IF(A206="N/A"," ",IF(OR(Dayrun2=2,Dayrun2=3,Dayrun2=5,Dayrun2=6),IF(Scaler2=2,F206,(VLOOKUP(A206,ScaledPrice2,5))*(2-(VLOOKUP(A206,ScaledPrice2,3)))),0))</f>
        <v> </v>
      </c>
      <c r="H206" s="317" t="str">
        <f aca="false">IF($A206="N/A"," ",IF(OR(Dayrun2=2,Dayrun2=3,Dayrun2=10),VLOOKUP($A206,ScaledPrice2,9),0))</f>
        <v> </v>
      </c>
      <c r="I206" s="317" t="str">
        <f aca="false">IF(A206="N/A"," ",IF(OR(Dayrun2=3,Dayrun2=6,Dayrun2=9),(VLOOKUP(A206,ScaledPrice2,IF(Scaler2=2,7,8))),0))</f>
        <v> </v>
      </c>
      <c r="J206" s="317" t="str">
        <f aca="false">IF(A206="N/A"," ",IF(OR(Dayrun2=3,Dayrun2=6),IF(Scaler2=2,I206,(VLOOKUP(A206,ScaledPrice2,7))*(2-(VLOOKUP(A206,ScaledPrice2,3)))),0))</f>
        <v> </v>
      </c>
      <c r="K206" s="317" t="str">
        <f aca="false">IF($A206="N/A"," ",IF(OR(Dayrun2=3,Dayrun2=10),VLOOKUP($A206,ScaledPrice2,9),0))</f>
        <v> </v>
      </c>
      <c r="L206" s="318" t="str">
        <f aca="false">IF($A206="N/A"," ",IF(Pricetype2=2,MAX(C206,0),IF(OR(Pricetype2=1,Pricetype2=4),IF(C206=0,0,(EURO(C206,Strikeprice2,0,0,($AH206+IF(Smile=TRUE(),VLOOKUP(MAX(-5,Strikeprice2-C206),Volsmile,2),0)),($A206-DateToday)+15,IF(Pricetype2=1,1,0),0))),C206)))</f>
        <v> </v>
      </c>
      <c r="M206" s="318" t="str">
        <f aca="false">IF($A206="N/A"," ",IF(Pricetype2=2,MAX(D206,0),IF(OR(Pricetype2=1,Pricetype2=4),IF(D206=0,0,(EURO(D206,Strikeprice2,0,0,($AH206+IF(Smile=TRUE(),VLOOKUP(MAX(-5,Strikeprice2-D206),Volsmile,2),0)),($A206-DateToday)+15,IF(Pricetype2=1,1,0),0))),D206)))</f>
        <v> </v>
      </c>
      <c r="N206" s="318" t="str">
        <f aca="false">IF($A206="N/A"," ",IF(Pricetype2=2,MAX(E206,0),IF(OR(Pricetype2=1,Pricetype2=4),IF(E206=0,0,(EURO(E206,Strikeprice2,0,0,($AK206+IF(Smile=TRUE(),VLOOKUP(MAX(-5,Strikeprice2-E206),Volsmile,2),0)),($A206-DateToday)+15,IF(Pricetype2=1,1,0),0))),E206)))</f>
        <v> </v>
      </c>
      <c r="O206" s="318" t="str">
        <f aca="false">IF($A206="N/A"," ",IF(Pricetype2=2,MAX(F206,0),IF(OR(Pricetype2=1,Pricetype2=4),IF(F206=0,0,(EURO(F206,Strikeprice2,0,0,($AK206+IF(Smile=TRUE(),VLOOKUP(MAX(-5,Strikeprice2-F206),Volsmile,2),0)),($A206-DateToday)+15,IF(Pricetype2=1,1,0),0))),F206)))</f>
        <v> </v>
      </c>
      <c r="P206" s="318" t="str">
        <f aca="false">IF($A206="N/A"," ",IF(Pricetype2=2,MAX(G206,0),IF(OR(Pricetype2=1,Pricetype2=4),IF(G206=0,0,(EURO(G206,Strikeprice2,0,0,($AK206+IF(Smile=TRUE(),VLOOKUP(MAX(-5,Strikeprice2-G206),Volsmile,2),0)),($A206-DateToday)+15,IF(Pricetype2=1,1,0),0))),G206)))</f>
        <v> </v>
      </c>
      <c r="Q206" s="318" t="str">
        <f aca="false">IF($A206="N/A"," ",IF(Pricetype2=2,MAX(H206,0),IF(OR(Pricetype2=1,Pricetype2=4),IF(H206=0,0,(EURO(H206,Strikeprice2,0,0,($AK206+IF(Smile=TRUE(),VLOOKUP(MAX(-5,Strikeprice2-H206),Volsmile,2),0)),($A206-DateToday)+15,IF(Pricetype2=1,1,0),0))),H206)))</f>
        <v> </v>
      </c>
      <c r="R206" s="318" t="str">
        <f aca="false">IF($A206="N/A"," ",IF(Pricetype2=2,MAX(I206,0),IF(OR(Pricetype2=1,Pricetype2=4),IF(I206=0,0,(EURO(I206,Strikeprice2,0,0,($AK206+IF(Smile=TRUE(),VLOOKUP(MAX(-5,Strikeprice2-I206),Volsmile,2),0)),($A206-DateToday)+15,IF(Pricetype2=1,1,0),0))),I206)))</f>
        <v> </v>
      </c>
      <c r="S206" s="318" t="str">
        <f aca="false">IF($A206="N/A"," ",IF(Pricetype2=2,MAX(J206,0),IF(OR(Pricetype2=1,Pricetype2=4),IF(J206=0,0,(EURO(J206,Strikeprice2,0,0,($AK206+IF(Smile=TRUE(),VLOOKUP(MAX(-5,Strikeprice2-J206),Volsmile,2),0)),($A206-DateToday)+15,IF(Pricetype2=1,1,0),0))),J206)))</f>
        <v> </v>
      </c>
      <c r="T206" s="318" t="str">
        <f aca="false">IF($A206="N/A"," ",IF(Pricetype2=2,MAX(K206,0),IF(OR(Pricetype2=1,Pricetype2=4),IF(K206=0,0,(EURO(K206,Strikeprice2,0,0,($AK206+IF(Smile=TRUE(),VLOOKUP(MAX(-5,Strikeprice2-K206),Volsmile,2),0)),($A206-DateToday)+15,IF(Pricetype2=1,1,0),0))),K206)))</f>
        <v> </v>
      </c>
      <c r="U206" s="319" t="str">
        <f aca="false">IF($A206="N/A"," ",Volume2*$AM206)</f>
        <v> </v>
      </c>
      <c r="V206" s="320" t="str">
        <f aca="false">IF($A206="N/A"," ",$U206*(8*($BQ206))*L206)</f>
        <v> </v>
      </c>
      <c r="W206" s="320" t="str">
        <f aca="false">IF($A206="N/A"," ",$U206*(8*($BQ206))*M206)</f>
        <v> </v>
      </c>
      <c r="X206" s="320" t="str">
        <f aca="false">IF($A206="N/A"," ",$U206*(8*($BQ206))*N206)</f>
        <v> </v>
      </c>
      <c r="Y206" s="320" t="str">
        <f aca="false">IF($A206="N/A"," ",$U206*(8*($BR206))*O206)</f>
        <v> </v>
      </c>
      <c r="Z206" s="320" t="str">
        <f aca="false">IF($A206="N/A"," ",$U206*(8*($BR206))*P206)</f>
        <v> </v>
      </c>
      <c r="AA206" s="320" t="str">
        <f aca="false">IF($A206="N/A"," ",$U206*(8*($BR206))*Q206)</f>
        <v> </v>
      </c>
      <c r="AB206" s="320" t="str">
        <f aca="false">IF($A206="N/A"," ",$U206*(8*($BS206))*R206)</f>
        <v> </v>
      </c>
      <c r="AC206" s="320" t="str">
        <f aca="false">IF($A206="N/A"," ",$U206*(8*($BS206))*S206)</f>
        <v> </v>
      </c>
      <c r="AD206" s="320" t="str">
        <f aca="false">IF($A206="N/A"," ",$U206*(8*($BS206))*T206)</f>
        <v> </v>
      </c>
      <c r="AE206" s="320" t="str">
        <f aca="false">IF($A206="N/A"," ",SUM(V206:AD206))</f>
        <v> </v>
      </c>
      <c r="AF206" s="321" t="str">
        <f aca="false">IF(A206="N/A"," ",(VLOOKUP(A206,PowerVolTable,(IF(VolBMO2=2,7,IF(VolBMO2=1,6,8))),FALSE())))</f>
        <v> </v>
      </c>
      <c r="AG206" s="321" t="str">
        <f aca="false">IF(A206="N/A"," ",(VLOOKUP(A206,IntraPowerVol,(IF(VolBMO2=2,3,IF(VolBMO2=1,2,4))),FALSE())*VLOOKUP(MONTH($A206),Volscale,2)))</f>
        <v> </v>
      </c>
      <c r="AH206" s="321" t="str">
        <f aca="false">IF($A206="N/A"," ",IF(VolType2=1,AG206,AF206))</f>
        <v> </v>
      </c>
      <c r="AI206" s="321" t="str">
        <f aca="false">IF($A206="N/A"," ",(VLOOKUP($A206,OffPwrVolTable,(IF(VolBMO2=2,7,IF(VolBMO2=1,6,8))),FALSE())))</f>
        <v> </v>
      </c>
      <c r="AJ206" s="321" t="str">
        <f aca="false">IF($A206="N/A"," ",(VLOOKUP($A206,OffPwrVolTable,(IF(VolBMO2=2,3,IF(VolBMO2=1,2,4))),FALSE())*VLOOKUP(MONTH($A206),Volscale,2)))</f>
        <v> </v>
      </c>
      <c r="AK206" s="321" t="str">
        <f aca="false">IF($A206="N/A"," ",IF(VolType2=1,AJ206,AI206))</f>
        <v> </v>
      </c>
      <c r="AL206" s="321" t="str">
        <f aca="false">IF($A206="N/A"," ",IF(PV=1,0,'Pricing Inputs2'!R239))</f>
        <v> </v>
      </c>
      <c r="AM206" s="323" t="str">
        <f aca="false">IF($A206="N/A"," ",(1+AL206/2)^(-2*((EOMONTH(A206,0)+20)-DateToday)/365.25))</f>
        <v> </v>
      </c>
      <c r="BQ206" s="0" t="str">
        <f aca="false">IF($A206="N/A"," ",(VLOOKUP($A206,NumberofDaysTable,2)))</f>
        <v> </v>
      </c>
      <c r="BR206" s="0" t="str">
        <f aca="false">IF($A206="N/A"," ",(VLOOKUP($A206,NumberofDaysTable,3)))</f>
        <v> </v>
      </c>
      <c r="BS206" s="0" t="str">
        <f aca="false">IF($A206="N/A"," ",(VLOOKUP($A206,NumberofDaysTable,4)))</f>
        <v> </v>
      </c>
    </row>
    <row r="207" customFormat="false" ht="12.75" hidden="false" customHeight="false" outlineLevel="0" collapsed="false">
      <c r="A207" s="315" t="str">
        <f aca="false">IF(A206="N/A","N/A",IF(EDATE(A206,1)&gt;Inputs!$P$5,"N/A",EDATE(A206,1)))</f>
        <v>N/A</v>
      </c>
      <c r="B207" s="316" t="str">
        <f aca="false">IF(A207="N/A"," ",YEAR(A207))</f>
        <v> </v>
      </c>
      <c r="C207" s="317" t="str">
        <f aca="false">IF($A207="N/A"," ",IF(Dayrun2=10,0,IF(Scaler2=1,(VLOOKUP(A207,ScaledPrice2,4)),(VLOOKUP(A207,ScaledPrice2,2)))))</f>
        <v> </v>
      </c>
      <c r="D207" s="317" t="str">
        <f aca="false">IF(A207="N/A"," ",IF(Dayrun2&gt;=7,0,IF(Scaler2=2,VLOOKUP(A207,ScaledPrice2,2),(VLOOKUP(A207,ScaledPrice2,2))*(2-(VLOOKUP(A207,ScaledPrice2,3))))))</f>
        <v> </v>
      </c>
      <c r="E207" s="317" t="str">
        <f aca="false">IF($A207="N/A"," ",IF(AND(Dayrun2&gt;=4,Dayrun2&lt;=9),0,VLOOKUP($A207,ScaledPrice2,9)))</f>
        <v> </v>
      </c>
      <c r="F207" s="317" t="str">
        <f aca="false">IF(A207="N/A"," ",IF(OR(Dayrun2=2,Dayrun2=3,Dayrun2=5,Dayrun2=6,Dayrun2=8,Dayrun2=9),VLOOKUP(A207,ScaledPrice2,IF(Scaler2=1,6,5)),0))</f>
        <v> </v>
      </c>
      <c r="G207" s="317" t="str">
        <f aca="false">IF(A207="N/A"," ",IF(OR(Dayrun2=2,Dayrun2=3,Dayrun2=5,Dayrun2=6),IF(Scaler2=2,F207,(VLOOKUP(A207,ScaledPrice2,5))*(2-(VLOOKUP(A207,ScaledPrice2,3)))),0))</f>
        <v> </v>
      </c>
      <c r="H207" s="317" t="str">
        <f aca="false">IF($A207="N/A"," ",IF(OR(Dayrun2=2,Dayrun2=3,Dayrun2=10),VLOOKUP($A207,ScaledPrice2,9),0))</f>
        <v> </v>
      </c>
      <c r="I207" s="317" t="str">
        <f aca="false">IF(A207="N/A"," ",IF(OR(Dayrun2=3,Dayrun2=6,Dayrun2=9),(VLOOKUP(A207,ScaledPrice2,IF(Scaler2=2,7,8))),0))</f>
        <v> </v>
      </c>
      <c r="J207" s="317" t="str">
        <f aca="false">IF(A207="N/A"," ",IF(OR(Dayrun2=3,Dayrun2=6),IF(Scaler2=2,I207,(VLOOKUP(A207,ScaledPrice2,7))*(2-(VLOOKUP(A207,ScaledPrice2,3)))),0))</f>
        <v> </v>
      </c>
      <c r="K207" s="317" t="str">
        <f aca="false">IF($A207="N/A"," ",IF(OR(Dayrun2=3,Dayrun2=10),VLOOKUP($A207,ScaledPrice2,9),0))</f>
        <v> </v>
      </c>
      <c r="L207" s="318" t="str">
        <f aca="false">IF($A207="N/A"," ",IF(Pricetype2=2,MAX(C207,0),IF(OR(Pricetype2=1,Pricetype2=4),IF(C207=0,0,(EURO(C207,Strikeprice2,0,0,($AH207+IF(Smile=TRUE(),VLOOKUP(MAX(-5,Strikeprice2-C207),Volsmile,2),0)),($A207-DateToday)+15,IF(Pricetype2=1,1,0),0))),C207)))</f>
        <v> </v>
      </c>
      <c r="M207" s="318" t="str">
        <f aca="false">IF($A207="N/A"," ",IF(Pricetype2=2,MAX(D207,0),IF(OR(Pricetype2=1,Pricetype2=4),IF(D207=0,0,(EURO(D207,Strikeprice2,0,0,($AH207+IF(Smile=TRUE(),VLOOKUP(MAX(-5,Strikeprice2-D207),Volsmile,2),0)),($A207-DateToday)+15,IF(Pricetype2=1,1,0),0))),D207)))</f>
        <v> </v>
      </c>
      <c r="N207" s="318" t="str">
        <f aca="false">IF($A207="N/A"," ",IF(Pricetype2=2,MAX(E207,0),IF(OR(Pricetype2=1,Pricetype2=4),IF(E207=0,0,(EURO(E207,Strikeprice2,0,0,($AK207+IF(Smile=TRUE(),VLOOKUP(MAX(-5,Strikeprice2-E207),Volsmile,2),0)),($A207-DateToday)+15,IF(Pricetype2=1,1,0),0))),E207)))</f>
        <v> </v>
      </c>
      <c r="O207" s="318" t="str">
        <f aca="false">IF($A207="N/A"," ",IF(Pricetype2=2,MAX(F207,0),IF(OR(Pricetype2=1,Pricetype2=4),IF(F207=0,0,(EURO(F207,Strikeprice2,0,0,($AK207+IF(Smile=TRUE(),VLOOKUP(MAX(-5,Strikeprice2-F207),Volsmile,2),0)),($A207-DateToday)+15,IF(Pricetype2=1,1,0),0))),F207)))</f>
        <v> </v>
      </c>
      <c r="P207" s="318" t="str">
        <f aca="false">IF($A207="N/A"," ",IF(Pricetype2=2,MAX(G207,0),IF(OR(Pricetype2=1,Pricetype2=4),IF(G207=0,0,(EURO(G207,Strikeprice2,0,0,($AK207+IF(Smile=TRUE(),VLOOKUP(MAX(-5,Strikeprice2-G207),Volsmile,2),0)),($A207-DateToday)+15,IF(Pricetype2=1,1,0),0))),G207)))</f>
        <v> </v>
      </c>
      <c r="Q207" s="318" t="str">
        <f aca="false">IF($A207="N/A"," ",IF(Pricetype2=2,MAX(H207,0),IF(OR(Pricetype2=1,Pricetype2=4),IF(H207=0,0,(EURO(H207,Strikeprice2,0,0,($AK207+IF(Smile=TRUE(),VLOOKUP(MAX(-5,Strikeprice2-H207),Volsmile,2),0)),($A207-DateToday)+15,IF(Pricetype2=1,1,0),0))),H207)))</f>
        <v> </v>
      </c>
      <c r="R207" s="318" t="str">
        <f aca="false">IF($A207="N/A"," ",IF(Pricetype2=2,MAX(I207,0),IF(OR(Pricetype2=1,Pricetype2=4),IF(I207=0,0,(EURO(I207,Strikeprice2,0,0,($AK207+IF(Smile=TRUE(),VLOOKUP(MAX(-5,Strikeprice2-I207),Volsmile,2),0)),($A207-DateToday)+15,IF(Pricetype2=1,1,0),0))),I207)))</f>
        <v> </v>
      </c>
      <c r="S207" s="318" t="str">
        <f aca="false">IF($A207="N/A"," ",IF(Pricetype2=2,MAX(J207,0),IF(OR(Pricetype2=1,Pricetype2=4),IF(J207=0,0,(EURO(J207,Strikeprice2,0,0,($AK207+IF(Smile=TRUE(),VLOOKUP(MAX(-5,Strikeprice2-J207),Volsmile,2),0)),($A207-DateToday)+15,IF(Pricetype2=1,1,0),0))),J207)))</f>
        <v> </v>
      </c>
      <c r="T207" s="318" t="str">
        <f aca="false">IF($A207="N/A"," ",IF(Pricetype2=2,MAX(K207,0),IF(OR(Pricetype2=1,Pricetype2=4),IF(K207=0,0,(EURO(K207,Strikeprice2,0,0,($AK207+IF(Smile=TRUE(),VLOOKUP(MAX(-5,Strikeprice2-K207),Volsmile,2),0)),($A207-DateToday)+15,IF(Pricetype2=1,1,0),0))),K207)))</f>
        <v> </v>
      </c>
      <c r="U207" s="319" t="str">
        <f aca="false">IF($A207="N/A"," ",Volume2*$AM207)</f>
        <v> </v>
      </c>
      <c r="V207" s="320" t="str">
        <f aca="false">IF($A207="N/A"," ",$U207*(8*($BQ207))*L207)</f>
        <v> </v>
      </c>
      <c r="W207" s="320" t="str">
        <f aca="false">IF($A207="N/A"," ",$U207*(8*($BQ207))*M207)</f>
        <v> </v>
      </c>
      <c r="X207" s="320" t="str">
        <f aca="false">IF($A207="N/A"," ",$U207*(8*($BQ207))*N207)</f>
        <v> </v>
      </c>
      <c r="Y207" s="320" t="str">
        <f aca="false">IF($A207="N/A"," ",$U207*(8*($BR207))*O207)</f>
        <v> </v>
      </c>
      <c r="Z207" s="320" t="str">
        <f aca="false">IF($A207="N/A"," ",$U207*(8*($BR207))*P207)</f>
        <v> </v>
      </c>
      <c r="AA207" s="320" t="str">
        <f aca="false">IF($A207="N/A"," ",$U207*(8*($BR207))*Q207)</f>
        <v> </v>
      </c>
      <c r="AB207" s="320" t="str">
        <f aca="false">IF($A207="N/A"," ",$U207*(8*($BS207))*R207)</f>
        <v> </v>
      </c>
      <c r="AC207" s="320" t="str">
        <f aca="false">IF($A207="N/A"," ",$U207*(8*($BS207))*S207)</f>
        <v> </v>
      </c>
      <c r="AD207" s="320" t="str">
        <f aca="false">IF($A207="N/A"," ",$U207*(8*($BS207))*T207)</f>
        <v> </v>
      </c>
      <c r="AE207" s="320" t="str">
        <f aca="false">IF($A207="N/A"," ",SUM(V207:AD207))</f>
        <v> </v>
      </c>
      <c r="AF207" s="321" t="str">
        <f aca="false">IF(A207="N/A"," ",(VLOOKUP(A207,PowerVolTable,(IF(VolBMO2=2,7,IF(VolBMO2=1,6,8))),FALSE())))</f>
        <v> </v>
      </c>
      <c r="AG207" s="321" t="str">
        <f aca="false">IF(A207="N/A"," ",(VLOOKUP(A207,IntraPowerVol,(IF(VolBMO2=2,3,IF(VolBMO2=1,2,4))),FALSE())*VLOOKUP(MONTH($A207),Volscale,2)))</f>
        <v> </v>
      </c>
      <c r="AH207" s="321" t="str">
        <f aca="false">IF($A207="N/A"," ",IF(VolType2=1,AG207,AF207))</f>
        <v> </v>
      </c>
      <c r="AI207" s="321" t="str">
        <f aca="false">IF($A207="N/A"," ",(VLOOKUP($A207,OffPwrVolTable,(IF(VolBMO2=2,7,IF(VolBMO2=1,6,8))),FALSE())))</f>
        <v> </v>
      </c>
      <c r="AJ207" s="321" t="str">
        <f aca="false">IF($A207="N/A"," ",(VLOOKUP($A207,OffPwrVolTable,(IF(VolBMO2=2,3,IF(VolBMO2=1,2,4))),FALSE())*VLOOKUP(MONTH($A207),Volscale,2)))</f>
        <v> </v>
      </c>
      <c r="AK207" s="321" t="str">
        <f aca="false">IF($A207="N/A"," ",IF(VolType2=1,AJ207,AI207))</f>
        <v> </v>
      </c>
      <c r="AL207" s="321" t="str">
        <f aca="false">IF($A207="N/A"," ",IF(PV=1,0,'Pricing Inputs2'!R240))</f>
        <v> </v>
      </c>
      <c r="AM207" s="323" t="str">
        <f aca="false">IF($A207="N/A"," ",(1+AL207/2)^(-2*((EOMONTH(A207,0)+20)-DateToday)/365.25))</f>
        <v> </v>
      </c>
      <c r="BQ207" s="0" t="str">
        <f aca="false">IF($A207="N/A"," ",(VLOOKUP($A207,NumberofDaysTable,2)))</f>
        <v> </v>
      </c>
      <c r="BR207" s="0" t="str">
        <f aca="false">IF($A207="N/A"," ",(VLOOKUP($A207,NumberofDaysTable,3)))</f>
        <v> </v>
      </c>
      <c r="BS207" s="0" t="str">
        <f aca="false">IF($A207="N/A"," ",(VLOOKUP($A207,NumberofDaysTable,4)))</f>
        <v> </v>
      </c>
    </row>
    <row r="208" customFormat="false" ht="12.75" hidden="false" customHeight="false" outlineLevel="0" collapsed="false">
      <c r="A208" s="315" t="str">
        <f aca="false">IF(A207="N/A","N/A",IF(EDATE(A207,1)&gt;Inputs!$P$5,"N/A",EDATE(A207,1)))</f>
        <v>N/A</v>
      </c>
      <c r="B208" s="316" t="str">
        <f aca="false">IF(A208="N/A"," ",YEAR(A208))</f>
        <v> </v>
      </c>
      <c r="C208" s="317" t="str">
        <f aca="false">IF($A208="N/A"," ",IF(Dayrun2=10,0,IF(Scaler2=1,(VLOOKUP(A208,ScaledPrice2,4)),(VLOOKUP(A208,ScaledPrice2,2)))))</f>
        <v> </v>
      </c>
      <c r="D208" s="317" t="str">
        <f aca="false">IF(A208="N/A"," ",IF(Dayrun2&gt;=7,0,IF(Scaler2=2,VLOOKUP(A208,ScaledPrice2,2),(VLOOKUP(A208,ScaledPrice2,2))*(2-(VLOOKUP(A208,ScaledPrice2,3))))))</f>
        <v> </v>
      </c>
      <c r="E208" s="317" t="str">
        <f aca="false">IF($A208="N/A"," ",IF(AND(Dayrun2&gt;=4,Dayrun2&lt;=9),0,VLOOKUP($A208,ScaledPrice2,9)))</f>
        <v> </v>
      </c>
      <c r="F208" s="317" t="str">
        <f aca="false">IF(A208="N/A"," ",IF(OR(Dayrun2=2,Dayrun2=3,Dayrun2=5,Dayrun2=6,Dayrun2=8,Dayrun2=9),VLOOKUP(A208,ScaledPrice2,IF(Scaler2=1,6,5)),0))</f>
        <v> </v>
      </c>
      <c r="G208" s="317" t="str">
        <f aca="false">IF(A208="N/A"," ",IF(OR(Dayrun2=2,Dayrun2=3,Dayrun2=5,Dayrun2=6),IF(Scaler2=2,F208,(VLOOKUP(A208,ScaledPrice2,5))*(2-(VLOOKUP(A208,ScaledPrice2,3)))),0))</f>
        <v> </v>
      </c>
      <c r="H208" s="317" t="str">
        <f aca="false">IF($A208="N/A"," ",IF(OR(Dayrun2=2,Dayrun2=3,Dayrun2=10),VLOOKUP($A208,ScaledPrice2,9),0))</f>
        <v> </v>
      </c>
      <c r="I208" s="317" t="str">
        <f aca="false">IF(A208="N/A"," ",IF(OR(Dayrun2=3,Dayrun2=6,Dayrun2=9),(VLOOKUP(A208,ScaledPrice2,IF(Scaler2=2,7,8))),0))</f>
        <v> </v>
      </c>
      <c r="J208" s="317" t="str">
        <f aca="false">IF(A208="N/A"," ",IF(OR(Dayrun2=3,Dayrun2=6),IF(Scaler2=2,I208,(VLOOKUP(A208,ScaledPrice2,7))*(2-(VLOOKUP(A208,ScaledPrice2,3)))),0))</f>
        <v> </v>
      </c>
      <c r="K208" s="317" t="str">
        <f aca="false">IF($A208="N/A"," ",IF(OR(Dayrun2=3,Dayrun2=10),VLOOKUP($A208,ScaledPrice2,9),0))</f>
        <v> </v>
      </c>
      <c r="L208" s="318" t="str">
        <f aca="false">IF($A208="N/A"," ",IF(Pricetype2=2,MAX(C208,0),IF(OR(Pricetype2=1,Pricetype2=4),IF(C208=0,0,(EURO(C208,Strikeprice2,0,0,($AH208+IF(Smile=TRUE(),VLOOKUP(MAX(-5,Strikeprice2-C208),Volsmile,2),0)),($A208-DateToday)+15,IF(Pricetype2=1,1,0),0))),C208)))</f>
        <v> </v>
      </c>
      <c r="M208" s="318" t="str">
        <f aca="false">IF($A208="N/A"," ",IF(Pricetype2=2,MAX(D208,0),IF(OR(Pricetype2=1,Pricetype2=4),IF(D208=0,0,(EURO(D208,Strikeprice2,0,0,($AH208+IF(Smile=TRUE(),VLOOKUP(MAX(-5,Strikeprice2-D208),Volsmile,2),0)),($A208-DateToday)+15,IF(Pricetype2=1,1,0),0))),D208)))</f>
        <v> </v>
      </c>
      <c r="N208" s="318" t="str">
        <f aca="false">IF($A208="N/A"," ",IF(Pricetype2=2,MAX(E208,0),IF(OR(Pricetype2=1,Pricetype2=4),IF(E208=0,0,(EURO(E208,Strikeprice2,0,0,($AK208+IF(Smile=TRUE(),VLOOKUP(MAX(-5,Strikeprice2-E208),Volsmile,2),0)),($A208-DateToday)+15,IF(Pricetype2=1,1,0),0))),E208)))</f>
        <v> </v>
      </c>
      <c r="O208" s="318" t="str">
        <f aca="false">IF($A208="N/A"," ",IF(Pricetype2=2,MAX(F208,0),IF(OR(Pricetype2=1,Pricetype2=4),IF(F208=0,0,(EURO(F208,Strikeprice2,0,0,($AK208+IF(Smile=TRUE(),VLOOKUP(MAX(-5,Strikeprice2-F208),Volsmile,2),0)),($A208-DateToday)+15,IF(Pricetype2=1,1,0),0))),F208)))</f>
        <v> </v>
      </c>
      <c r="P208" s="318" t="str">
        <f aca="false">IF($A208="N/A"," ",IF(Pricetype2=2,MAX(G208,0),IF(OR(Pricetype2=1,Pricetype2=4),IF(G208=0,0,(EURO(G208,Strikeprice2,0,0,($AK208+IF(Smile=TRUE(),VLOOKUP(MAX(-5,Strikeprice2-G208),Volsmile,2),0)),($A208-DateToday)+15,IF(Pricetype2=1,1,0),0))),G208)))</f>
        <v> </v>
      </c>
      <c r="Q208" s="318" t="str">
        <f aca="false">IF($A208="N/A"," ",IF(Pricetype2=2,MAX(H208,0),IF(OR(Pricetype2=1,Pricetype2=4),IF(H208=0,0,(EURO(H208,Strikeprice2,0,0,($AK208+IF(Smile=TRUE(),VLOOKUP(MAX(-5,Strikeprice2-H208),Volsmile,2),0)),($A208-DateToday)+15,IF(Pricetype2=1,1,0),0))),H208)))</f>
        <v> </v>
      </c>
      <c r="R208" s="318" t="str">
        <f aca="false">IF($A208="N/A"," ",IF(Pricetype2=2,MAX(I208,0),IF(OR(Pricetype2=1,Pricetype2=4),IF(I208=0,0,(EURO(I208,Strikeprice2,0,0,($AK208+IF(Smile=TRUE(),VLOOKUP(MAX(-5,Strikeprice2-I208),Volsmile,2),0)),($A208-DateToday)+15,IF(Pricetype2=1,1,0),0))),I208)))</f>
        <v> </v>
      </c>
      <c r="S208" s="318" t="str">
        <f aca="false">IF($A208="N/A"," ",IF(Pricetype2=2,MAX(J208,0),IF(OR(Pricetype2=1,Pricetype2=4),IF(J208=0,0,(EURO(J208,Strikeprice2,0,0,($AK208+IF(Smile=TRUE(),VLOOKUP(MAX(-5,Strikeprice2-J208),Volsmile,2),0)),($A208-DateToday)+15,IF(Pricetype2=1,1,0),0))),J208)))</f>
        <v> </v>
      </c>
      <c r="T208" s="318" t="str">
        <f aca="false">IF($A208="N/A"," ",IF(Pricetype2=2,MAX(K208,0),IF(OR(Pricetype2=1,Pricetype2=4),IF(K208=0,0,(EURO(K208,Strikeprice2,0,0,($AK208+IF(Smile=TRUE(),VLOOKUP(MAX(-5,Strikeprice2-K208),Volsmile,2),0)),($A208-DateToday)+15,IF(Pricetype2=1,1,0),0))),K208)))</f>
        <v> </v>
      </c>
      <c r="U208" s="319" t="str">
        <f aca="false">IF($A208="N/A"," ",Volume2*$AM208)</f>
        <v> </v>
      </c>
      <c r="V208" s="320" t="str">
        <f aca="false">IF($A208="N/A"," ",$U208*(8*($BQ208))*L208)</f>
        <v> </v>
      </c>
      <c r="W208" s="320" t="str">
        <f aca="false">IF($A208="N/A"," ",$U208*(8*($BQ208))*M208)</f>
        <v> </v>
      </c>
      <c r="X208" s="320" t="str">
        <f aca="false">IF($A208="N/A"," ",$U208*(8*($BQ208))*N208)</f>
        <v> </v>
      </c>
      <c r="Y208" s="320" t="str">
        <f aca="false">IF($A208="N/A"," ",$U208*(8*($BR208))*O208)</f>
        <v> </v>
      </c>
      <c r="Z208" s="320" t="str">
        <f aca="false">IF($A208="N/A"," ",$U208*(8*($BR208))*P208)</f>
        <v> </v>
      </c>
      <c r="AA208" s="320" t="str">
        <f aca="false">IF($A208="N/A"," ",$U208*(8*($BR208))*Q208)</f>
        <v> </v>
      </c>
      <c r="AB208" s="320" t="str">
        <f aca="false">IF($A208="N/A"," ",$U208*(8*($BS208))*R208)</f>
        <v> </v>
      </c>
      <c r="AC208" s="320" t="str">
        <f aca="false">IF($A208="N/A"," ",$U208*(8*($BS208))*S208)</f>
        <v> </v>
      </c>
      <c r="AD208" s="320" t="str">
        <f aca="false">IF($A208="N/A"," ",$U208*(8*($BS208))*T208)</f>
        <v> </v>
      </c>
      <c r="AE208" s="320" t="str">
        <f aca="false">IF($A208="N/A"," ",SUM(V208:AD208))</f>
        <v> </v>
      </c>
      <c r="AF208" s="321" t="str">
        <f aca="false">IF(A208="N/A"," ",(VLOOKUP(A208,PowerVolTable,(IF(VolBMO2=2,7,IF(VolBMO2=1,6,8))),FALSE())))</f>
        <v> </v>
      </c>
      <c r="AG208" s="321" t="str">
        <f aca="false">IF(A208="N/A"," ",(VLOOKUP(A208,IntraPowerVol,(IF(VolBMO2=2,3,IF(VolBMO2=1,2,4))),FALSE())*VLOOKUP(MONTH($A208),Volscale,2)))</f>
        <v> </v>
      </c>
      <c r="AH208" s="321" t="str">
        <f aca="false">IF($A208="N/A"," ",IF(VolType2=1,AG208,AF208))</f>
        <v> </v>
      </c>
      <c r="AI208" s="321" t="str">
        <f aca="false">IF($A208="N/A"," ",(VLOOKUP($A208,OffPwrVolTable,(IF(VolBMO2=2,7,IF(VolBMO2=1,6,8))),FALSE())))</f>
        <v> </v>
      </c>
      <c r="AJ208" s="321" t="str">
        <f aca="false">IF($A208="N/A"," ",(VLOOKUP($A208,OffPwrVolTable,(IF(VolBMO2=2,3,IF(VolBMO2=1,2,4))),FALSE())*VLOOKUP(MONTH($A208),Volscale,2)))</f>
        <v> </v>
      </c>
      <c r="AK208" s="321" t="str">
        <f aca="false">IF($A208="N/A"," ",IF(VolType2=1,AJ208,AI208))</f>
        <v> </v>
      </c>
      <c r="AL208" s="321" t="str">
        <f aca="false">IF($A208="N/A"," ",IF(PV=1,0,'Pricing Inputs2'!R241))</f>
        <v> </v>
      </c>
      <c r="AM208" s="323" t="str">
        <f aca="false">IF($A208="N/A"," ",(1+AL208/2)^(-2*((EOMONTH(A208,0)+20)-DateToday)/365.25))</f>
        <v> </v>
      </c>
      <c r="BQ208" s="0" t="str">
        <f aca="false">IF($A208="N/A"," ",(VLOOKUP($A208,NumberofDaysTable,2)))</f>
        <v> </v>
      </c>
      <c r="BR208" s="0" t="str">
        <f aca="false">IF($A208="N/A"," ",(VLOOKUP($A208,NumberofDaysTable,3)))</f>
        <v> </v>
      </c>
      <c r="BS208" s="0" t="str">
        <f aca="false">IF($A208="N/A"," ",(VLOOKUP($A208,NumberofDaysTable,4)))</f>
        <v> </v>
      </c>
    </row>
    <row r="209" customFormat="false" ht="12.75" hidden="false" customHeight="false" outlineLevel="0" collapsed="false">
      <c r="A209" s="315" t="str">
        <f aca="false">IF(A208="N/A","N/A",IF(EDATE(A208,1)&gt;Inputs!$P$5,"N/A",EDATE(A208,1)))</f>
        <v>N/A</v>
      </c>
      <c r="B209" s="316" t="str">
        <f aca="false">IF(A209="N/A"," ",YEAR(A209))</f>
        <v> </v>
      </c>
      <c r="C209" s="317" t="str">
        <f aca="false">IF($A209="N/A"," ",IF(Dayrun2=10,0,IF(Scaler2=1,(VLOOKUP(A209,ScaledPrice2,4)),(VLOOKUP(A209,ScaledPrice2,2)))))</f>
        <v> </v>
      </c>
      <c r="D209" s="317" t="str">
        <f aca="false">IF(A209="N/A"," ",IF(Dayrun2&gt;=7,0,IF(Scaler2=2,VLOOKUP(A209,ScaledPrice2,2),(VLOOKUP(A209,ScaledPrice2,2))*(2-(VLOOKUP(A209,ScaledPrice2,3))))))</f>
        <v> </v>
      </c>
      <c r="E209" s="317" t="str">
        <f aca="false">IF($A209="N/A"," ",IF(AND(Dayrun2&gt;=4,Dayrun2&lt;=9),0,VLOOKUP($A209,ScaledPrice2,9)))</f>
        <v> </v>
      </c>
      <c r="F209" s="317" t="str">
        <f aca="false">IF(A209="N/A"," ",IF(OR(Dayrun2=2,Dayrun2=3,Dayrun2=5,Dayrun2=6,Dayrun2=8,Dayrun2=9),VLOOKUP(A209,ScaledPrice2,IF(Scaler2=1,6,5)),0))</f>
        <v> </v>
      </c>
      <c r="G209" s="317" t="str">
        <f aca="false">IF(A209="N/A"," ",IF(OR(Dayrun2=2,Dayrun2=3,Dayrun2=5,Dayrun2=6),IF(Scaler2=2,F209,(VLOOKUP(A209,ScaledPrice2,5))*(2-(VLOOKUP(A209,ScaledPrice2,3)))),0))</f>
        <v> </v>
      </c>
      <c r="H209" s="317" t="str">
        <f aca="false">IF($A209="N/A"," ",IF(OR(Dayrun2=2,Dayrun2=3,Dayrun2=10),VLOOKUP($A209,ScaledPrice2,9),0))</f>
        <v> </v>
      </c>
      <c r="I209" s="317" t="str">
        <f aca="false">IF(A209="N/A"," ",IF(OR(Dayrun2=3,Dayrun2=6,Dayrun2=9),(VLOOKUP(A209,ScaledPrice2,IF(Scaler2=2,7,8))),0))</f>
        <v> </v>
      </c>
      <c r="J209" s="317" t="str">
        <f aca="false">IF(A209="N/A"," ",IF(OR(Dayrun2=3,Dayrun2=6),IF(Scaler2=2,I209,(VLOOKUP(A209,ScaledPrice2,7))*(2-(VLOOKUP(A209,ScaledPrice2,3)))),0))</f>
        <v> </v>
      </c>
      <c r="K209" s="317" t="str">
        <f aca="false">IF($A209="N/A"," ",IF(OR(Dayrun2=3,Dayrun2=10),VLOOKUP($A209,ScaledPrice2,9),0))</f>
        <v> </v>
      </c>
      <c r="L209" s="318" t="str">
        <f aca="false">IF($A209="N/A"," ",IF(Pricetype2=2,MAX(C209,0),IF(OR(Pricetype2=1,Pricetype2=4),IF(C209=0,0,(EURO(C209,Strikeprice2,0,0,($AH209+IF(Smile=TRUE(),VLOOKUP(MAX(-5,Strikeprice2-C209),Volsmile,2),0)),($A209-DateToday)+15,IF(Pricetype2=1,1,0),0))),C209)))</f>
        <v> </v>
      </c>
      <c r="M209" s="318" t="str">
        <f aca="false">IF($A209="N/A"," ",IF(Pricetype2=2,MAX(D209,0),IF(OR(Pricetype2=1,Pricetype2=4),IF(D209=0,0,(EURO(D209,Strikeprice2,0,0,($AH209+IF(Smile=TRUE(),VLOOKUP(MAX(-5,Strikeprice2-D209),Volsmile,2),0)),($A209-DateToday)+15,IF(Pricetype2=1,1,0),0))),D209)))</f>
        <v> </v>
      </c>
      <c r="N209" s="318" t="str">
        <f aca="false">IF($A209="N/A"," ",IF(Pricetype2=2,MAX(E209,0),IF(OR(Pricetype2=1,Pricetype2=4),IF(E209=0,0,(EURO(E209,Strikeprice2,0,0,($AK209+IF(Smile=TRUE(),VLOOKUP(MAX(-5,Strikeprice2-E209),Volsmile,2),0)),($A209-DateToday)+15,IF(Pricetype2=1,1,0),0))),E209)))</f>
        <v> </v>
      </c>
      <c r="O209" s="318" t="str">
        <f aca="false">IF($A209="N/A"," ",IF(Pricetype2=2,MAX(F209,0),IF(OR(Pricetype2=1,Pricetype2=4),IF(F209=0,0,(EURO(F209,Strikeprice2,0,0,($AK209+IF(Smile=TRUE(),VLOOKUP(MAX(-5,Strikeprice2-F209),Volsmile,2),0)),($A209-DateToday)+15,IF(Pricetype2=1,1,0),0))),F209)))</f>
        <v> </v>
      </c>
      <c r="P209" s="318" t="str">
        <f aca="false">IF($A209="N/A"," ",IF(Pricetype2=2,MAX(G209,0),IF(OR(Pricetype2=1,Pricetype2=4),IF(G209=0,0,(EURO(G209,Strikeprice2,0,0,($AK209+IF(Smile=TRUE(),VLOOKUP(MAX(-5,Strikeprice2-G209),Volsmile,2),0)),($A209-DateToday)+15,IF(Pricetype2=1,1,0),0))),G209)))</f>
        <v> </v>
      </c>
      <c r="Q209" s="318" t="str">
        <f aca="false">IF($A209="N/A"," ",IF(Pricetype2=2,MAX(H209,0),IF(OR(Pricetype2=1,Pricetype2=4),IF(H209=0,0,(EURO(H209,Strikeprice2,0,0,($AK209+IF(Smile=TRUE(),VLOOKUP(MAX(-5,Strikeprice2-H209),Volsmile,2),0)),($A209-DateToday)+15,IF(Pricetype2=1,1,0),0))),H209)))</f>
        <v> </v>
      </c>
      <c r="R209" s="318" t="str">
        <f aca="false">IF($A209="N/A"," ",IF(Pricetype2=2,MAX(I209,0),IF(OR(Pricetype2=1,Pricetype2=4),IF(I209=0,0,(EURO(I209,Strikeprice2,0,0,($AK209+IF(Smile=TRUE(),VLOOKUP(MAX(-5,Strikeprice2-I209),Volsmile,2),0)),($A209-DateToday)+15,IF(Pricetype2=1,1,0),0))),I209)))</f>
        <v> </v>
      </c>
      <c r="S209" s="318" t="str">
        <f aca="false">IF($A209="N/A"," ",IF(Pricetype2=2,MAX(J209,0),IF(OR(Pricetype2=1,Pricetype2=4),IF(J209=0,0,(EURO(J209,Strikeprice2,0,0,($AK209+IF(Smile=TRUE(),VLOOKUP(MAX(-5,Strikeprice2-J209),Volsmile,2),0)),($A209-DateToday)+15,IF(Pricetype2=1,1,0),0))),J209)))</f>
        <v> </v>
      </c>
      <c r="T209" s="318" t="str">
        <f aca="false">IF($A209="N/A"," ",IF(Pricetype2=2,MAX(K209,0),IF(OR(Pricetype2=1,Pricetype2=4),IF(K209=0,0,(EURO(K209,Strikeprice2,0,0,($AK209+IF(Smile=TRUE(),VLOOKUP(MAX(-5,Strikeprice2-K209),Volsmile,2),0)),($A209-DateToday)+15,IF(Pricetype2=1,1,0),0))),K209)))</f>
        <v> </v>
      </c>
      <c r="U209" s="319" t="str">
        <f aca="false">IF($A209="N/A"," ",Volume2*$AM209)</f>
        <v> </v>
      </c>
      <c r="V209" s="320" t="str">
        <f aca="false">IF($A209="N/A"," ",$U209*(8*($BQ209))*L209)</f>
        <v> </v>
      </c>
      <c r="W209" s="320" t="str">
        <f aca="false">IF($A209="N/A"," ",$U209*(8*($BQ209))*M209)</f>
        <v> </v>
      </c>
      <c r="X209" s="320" t="str">
        <f aca="false">IF($A209="N/A"," ",$U209*(8*($BQ209))*N209)</f>
        <v> </v>
      </c>
      <c r="Y209" s="320" t="str">
        <f aca="false">IF($A209="N/A"," ",$U209*(8*($BR209))*O209)</f>
        <v> </v>
      </c>
      <c r="Z209" s="320" t="str">
        <f aca="false">IF($A209="N/A"," ",$U209*(8*($BR209))*P209)</f>
        <v> </v>
      </c>
      <c r="AA209" s="320" t="str">
        <f aca="false">IF($A209="N/A"," ",$U209*(8*($BR209))*Q209)</f>
        <v> </v>
      </c>
      <c r="AB209" s="320" t="str">
        <f aca="false">IF($A209="N/A"," ",$U209*(8*($BS209))*R209)</f>
        <v> </v>
      </c>
      <c r="AC209" s="320" t="str">
        <f aca="false">IF($A209="N/A"," ",$U209*(8*($BS209))*S209)</f>
        <v> </v>
      </c>
      <c r="AD209" s="320" t="str">
        <f aca="false">IF($A209="N/A"," ",$U209*(8*($BS209))*T209)</f>
        <v> </v>
      </c>
      <c r="AE209" s="320" t="str">
        <f aca="false">IF($A209="N/A"," ",SUM(V209:AD209))</f>
        <v> </v>
      </c>
      <c r="AF209" s="321" t="str">
        <f aca="false">IF(A209="N/A"," ",(VLOOKUP(A209,PowerVolTable,(IF(VolBMO2=2,7,IF(VolBMO2=1,6,8))),FALSE())))</f>
        <v> </v>
      </c>
      <c r="AG209" s="321" t="str">
        <f aca="false">IF(A209="N/A"," ",(VLOOKUP(A209,IntraPowerVol,(IF(VolBMO2=2,3,IF(VolBMO2=1,2,4))),FALSE())*VLOOKUP(MONTH($A209),Volscale,2)))</f>
        <v> </v>
      </c>
      <c r="AH209" s="321" t="str">
        <f aca="false">IF($A209="N/A"," ",IF(VolType2=1,AG209,AF209))</f>
        <v> </v>
      </c>
      <c r="AI209" s="321" t="str">
        <f aca="false">IF($A209="N/A"," ",(VLOOKUP($A209,OffPwrVolTable,(IF(VolBMO2=2,7,IF(VolBMO2=1,6,8))),FALSE())))</f>
        <v> </v>
      </c>
      <c r="AJ209" s="321" t="str">
        <f aca="false">IF($A209="N/A"," ",(VLOOKUP($A209,OffPwrVolTable,(IF(VolBMO2=2,3,IF(VolBMO2=1,2,4))),FALSE())*VLOOKUP(MONTH($A209),Volscale,2)))</f>
        <v> </v>
      </c>
      <c r="AK209" s="321" t="str">
        <f aca="false">IF($A209="N/A"," ",IF(VolType2=1,AJ209,AI209))</f>
        <v> </v>
      </c>
      <c r="AL209" s="321" t="str">
        <f aca="false">IF($A209="N/A"," ",IF(PV=1,0,'Pricing Inputs2'!R242))</f>
        <v> </v>
      </c>
      <c r="AM209" s="323" t="str">
        <f aca="false">IF($A209="N/A"," ",(1+AL209/2)^(-2*((EOMONTH(A209,0)+20)-DateToday)/365.25))</f>
        <v> </v>
      </c>
      <c r="BQ209" s="0" t="str">
        <f aca="false">IF($A209="N/A"," ",(VLOOKUP($A209,NumberofDaysTable,2)))</f>
        <v> </v>
      </c>
      <c r="BR209" s="0" t="str">
        <f aca="false">IF($A209="N/A"," ",(VLOOKUP($A209,NumberofDaysTable,3)))</f>
        <v> </v>
      </c>
      <c r="BS209" s="0" t="str">
        <f aca="false">IF($A209="N/A"," ",(VLOOKUP($A209,NumberofDaysTable,4)))</f>
        <v> </v>
      </c>
    </row>
    <row r="210" customFormat="false" ht="12.75" hidden="false" customHeight="false" outlineLevel="0" collapsed="false">
      <c r="A210" s="315" t="str">
        <f aca="false">IF(A209="N/A","N/A",IF(EDATE(A209,1)&gt;Inputs!$P$5,"N/A",EDATE(A209,1)))</f>
        <v>N/A</v>
      </c>
      <c r="B210" s="316" t="str">
        <f aca="false">IF(A210="N/A"," ",YEAR(A210))</f>
        <v> </v>
      </c>
      <c r="C210" s="317" t="str">
        <f aca="false">IF($A210="N/A"," ",IF(Dayrun2=10,0,IF(Scaler2=1,(VLOOKUP(A210,ScaledPrice2,4)),(VLOOKUP(A210,ScaledPrice2,2)))))</f>
        <v> </v>
      </c>
      <c r="D210" s="317" t="str">
        <f aca="false">IF(A210="N/A"," ",IF(Dayrun2&gt;=7,0,IF(Scaler2=2,VLOOKUP(A210,ScaledPrice2,2),(VLOOKUP(A210,ScaledPrice2,2))*(2-(VLOOKUP(A210,ScaledPrice2,3))))))</f>
        <v> </v>
      </c>
      <c r="E210" s="317" t="str">
        <f aca="false">IF($A210="N/A"," ",IF(AND(Dayrun2&gt;=4,Dayrun2&lt;=9),0,VLOOKUP($A210,ScaledPrice2,9)))</f>
        <v> </v>
      </c>
      <c r="F210" s="317" t="str">
        <f aca="false">IF(A210="N/A"," ",IF(OR(Dayrun2=2,Dayrun2=3,Dayrun2=5,Dayrun2=6,Dayrun2=8,Dayrun2=9),VLOOKUP(A210,ScaledPrice2,IF(Scaler2=1,6,5)),0))</f>
        <v> </v>
      </c>
      <c r="G210" s="317" t="str">
        <f aca="false">IF(A210="N/A"," ",IF(OR(Dayrun2=2,Dayrun2=3,Dayrun2=5,Dayrun2=6),IF(Scaler2=2,F210,(VLOOKUP(A210,ScaledPrice2,5))*(2-(VLOOKUP(A210,ScaledPrice2,3)))),0))</f>
        <v> </v>
      </c>
      <c r="H210" s="317" t="str">
        <f aca="false">IF($A210="N/A"," ",IF(OR(Dayrun2=2,Dayrun2=3,Dayrun2=10),VLOOKUP($A210,ScaledPrice2,9),0))</f>
        <v> </v>
      </c>
      <c r="I210" s="317" t="str">
        <f aca="false">IF(A210="N/A"," ",IF(OR(Dayrun2=3,Dayrun2=6,Dayrun2=9),(VLOOKUP(A210,ScaledPrice2,IF(Scaler2=2,7,8))),0))</f>
        <v> </v>
      </c>
      <c r="J210" s="317" t="str">
        <f aca="false">IF(A210="N/A"," ",IF(OR(Dayrun2=3,Dayrun2=6),IF(Scaler2=2,I210,(VLOOKUP(A210,ScaledPrice2,7))*(2-(VLOOKUP(A210,ScaledPrice2,3)))),0))</f>
        <v> </v>
      </c>
      <c r="K210" s="317" t="str">
        <f aca="false">IF($A210="N/A"," ",IF(OR(Dayrun2=3,Dayrun2=10),VLOOKUP($A210,ScaledPrice2,9),0))</f>
        <v> </v>
      </c>
      <c r="L210" s="318" t="str">
        <f aca="false">IF($A210="N/A"," ",IF(Pricetype2=2,MAX(C210,0),IF(OR(Pricetype2=1,Pricetype2=4),IF(C210=0,0,(EURO(C210,Strikeprice2,0,0,($AH210+IF(Smile=TRUE(),VLOOKUP(MAX(-5,Strikeprice2-C210),Volsmile,2),0)),($A210-DateToday)+15,IF(Pricetype2=1,1,0),0))),C210)))</f>
        <v> </v>
      </c>
      <c r="M210" s="318" t="str">
        <f aca="false">IF($A210="N/A"," ",IF(Pricetype2=2,MAX(D210,0),IF(OR(Pricetype2=1,Pricetype2=4),IF(D210=0,0,(EURO(D210,Strikeprice2,0,0,($AH210+IF(Smile=TRUE(),VLOOKUP(MAX(-5,Strikeprice2-D210),Volsmile,2),0)),($A210-DateToday)+15,IF(Pricetype2=1,1,0),0))),D210)))</f>
        <v> </v>
      </c>
      <c r="N210" s="318" t="str">
        <f aca="false">IF($A210="N/A"," ",IF(Pricetype2=2,MAX(E210,0),IF(OR(Pricetype2=1,Pricetype2=4),IF(E210=0,0,(EURO(E210,Strikeprice2,0,0,($AK210+IF(Smile=TRUE(),VLOOKUP(MAX(-5,Strikeprice2-E210),Volsmile,2),0)),($A210-DateToday)+15,IF(Pricetype2=1,1,0),0))),E210)))</f>
        <v> </v>
      </c>
      <c r="O210" s="318" t="str">
        <f aca="false">IF($A210="N/A"," ",IF(Pricetype2=2,MAX(F210,0),IF(OR(Pricetype2=1,Pricetype2=4),IF(F210=0,0,(EURO(F210,Strikeprice2,0,0,($AK210+IF(Smile=TRUE(),VLOOKUP(MAX(-5,Strikeprice2-F210),Volsmile,2),0)),($A210-DateToday)+15,IF(Pricetype2=1,1,0),0))),F210)))</f>
        <v> </v>
      </c>
      <c r="P210" s="318" t="str">
        <f aca="false">IF($A210="N/A"," ",IF(Pricetype2=2,MAX(G210,0),IF(OR(Pricetype2=1,Pricetype2=4),IF(G210=0,0,(EURO(G210,Strikeprice2,0,0,($AK210+IF(Smile=TRUE(),VLOOKUP(MAX(-5,Strikeprice2-G210),Volsmile,2),0)),($A210-DateToday)+15,IF(Pricetype2=1,1,0),0))),G210)))</f>
        <v> </v>
      </c>
      <c r="Q210" s="318" t="str">
        <f aca="false">IF($A210="N/A"," ",IF(Pricetype2=2,MAX(H210,0),IF(OR(Pricetype2=1,Pricetype2=4),IF(H210=0,0,(EURO(H210,Strikeprice2,0,0,($AK210+IF(Smile=TRUE(),VLOOKUP(MAX(-5,Strikeprice2-H210),Volsmile,2),0)),($A210-DateToday)+15,IF(Pricetype2=1,1,0),0))),H210)))</f>
        <v> </v>
      </c>
      <c r="R210" s="318" t="str">
        <f aca="false">IF($A210="N/A"," ",IF(Pricetype2=2,MAX(I210,0),IF(OR(Pricetype2=1,Pricetype2=4),IF(I210=0,0,(EURO(I210,Strikeprice2,0,0,($AK210+IF(Smile=TRUE(),VLOOKUP(MAX(-5,Strikeprice2-I210),Volsmile,2),0)),($A210-DateToday)+15,IF(Pricetype2=1,1,0),0))),I210)))</f>
        <v> </v>
      </c>
      <c r="S210" s="318" t="str">
        <f aca="false">IF($A210="N/A"," ",IF(Pricetype2=2,MAX(J210,0),IF(OR(Pricetype2=1,Pricetype2=4),IF(J210=0,0,(EURO(J210,Strikeprice2,0,0,($AK210+IF(Smile=TRUE(),VLOOKUP(MAX(-5,Strikeprice2-J210),Volsmile,2),0)),($A210-DateToday)+15,IF(Pricetype2=1,1,0),0))),J210)))</f>
        <v> </v>
      </c>
      <c r="T210" s="318" t="str">
        <f aca="false">IF($A210="N/A"," ",IF(Pricetype2=2,MAX(K210,0),IF(OR(Pricetype2=1,Pricetype2=4),IF(K210=0,0,(EURO(K210,Strikeprice2,0,0,($AK210+IF(Smile=TRUE(),VLOOKUP(MAX(-5,Strikeprice2-K210),Volsmile,2),0)),($A210-DateToday)+15,IF(Pricetype2=1,1,0),0))),K210)))</f>
        <v> </v>
      </c>
      <c r="U210" s="319" t="str">
        <f aca="false">IF($A210="N/A"," ",Volume2*$AM210)</f>
        <v> </v>
      </c>
      <c r="V210" s="320" t="str">
        <f aca="false">IF($A210="N/A"," ",$U210*(8*($BQ210))*L210)</f>
        <v> </v>
      </c>
      <c r="W210" s="320" t="str">
        <f aca="false">IF($A210="N/A"," ",$U210*(8*($BQ210))*M210)</f>
        <v> </v>
      </c>
      <c r="X210" s="320" t="str">
        <f aca="false">IF($A210="N/A"," ",$U210*(8*($BQ210))*N210)</f>
        <v> </v>
      </c>
      <c r="Y210" s="320" t="str">
        <f aca="false">IF($A210="N/A"," ",$U210*(8*($BR210))*O210)</f>
        <v> </v>
      </c>
      <c r="Z210" s="320" t="str">
        <f aca="false">IF($A210="N/A"," ",$U210*(8*($BR210))*P210)</f>
        <v> </v>
      </c>
      <c r="AA210" s="320" t="str">
        <f aca="false">IF($A210="N/A"," ",$U210*(8*($BR210))*Q210)</f>
        <v> </v>
      </c>
      <c r="AB210" s="320" t="str">
        <f aca="false">IF($A210="N/A"," ",$U210*(8*($BS210))*R210)</f>
        <v> </v>
      </c>
      <c r="AC210" s="320" t="str">
        <f aca="false">IF($A210="N/A"," ",$U210*(8*($BS210))*S210)</f>
        <v> </v>
      </c>
      <c r="AD210" s="320" t="str">
        <f aca="false">IF($A210="N/A"," ",$U210*(8*($BS210))*T210)</f>
        <v> </v>
      </c>
      <c r="AE210" s="320" t="str">
        <f aca="false">IF($A210="N/A"," ",SUM(V210:AD210))</f>
        <v> </v>
      </c>
      <c r="AF210" s="321" t="str">
        <f aca="false">IF(A210="N/A"," ",(VLOOKUP(A210,PowerVolTable,(IF(VolBMO2=2,7,IF(VolBMO2=1,6,8))),FALSE())))</f>
        <v> </v>
      </c>
      <c r="AG210" s="321" t="str">
        <f aca="false">IF(A210="N/A"," ",(VLOOKUP(A210,IntraPowerVol,(IF(VolBMO2=2,3,IF(VolBMO2=1,2,4))),FALSE())*VLOOKUP(MONTH($A210),Volscale,2)))</f>
        <v> </v>
      </c>
      <c r="AH210" s="321" t="str">
        <f aca="false">IF($A210="N/A"," ",IF(VolType2=1,AG210,AF210))</f>
        <v> </v>
      </c>
      <c r="AI210" s="321" t="str">
        <f aca="false">IF($A210="N/A"," ",(VLOOKUP($A210,OffPwrVolTable,(IF(VolBMO2=2,7,IF(VolBMO2=1,6,8))),FALSE())))</f>
        <v> </v>
      </c>
      <c r="AJ210" s="321" t="str">
        <f aca="false">IF($A210="N/A"," ",(VLOOKUP($A210,OffPwrVolTable,(IF(VolBMO2=2,3,IF(VolBMO2=1,2,4))),FALSE())*VLOOKUP(MONTH($A210),Volscale,2)))</f>
        <v> </v>
      </c>
      <c r="AK210" s="321" t="str">
        <f aca="false">IF($A210="N/A"," ",IF(VolType2=1,AJ210,AI210))</f>
        <v> </v>
      </c>
      <c r="AL210" s="321" t="str">
        <f aca="false">IF($A210="N/A"," ",IF(PV=1,0,'Pricing Inputs2'!R243))</f>
        <v> </v>
      </c>
      <c r="AM210" s="323" t="str">
        <f aca="false">IF($A210="N/A"," ",(1+AL210/2)^(-2*((EOMONTH(A210,0)+20)-DateToday)/365.25))</f>
        <v> </v>
      </c>
      <c r="BQ210" s="0" t="str">
        <f aca="false">IF($A210="N/A"," ",(VLOOKUP($A210,NumberofDaysTable,2)))</f>
        <v> </v>
      </c>
      <c r="BR210" s="0" t="str">
        <f aca="false">IF($A210="N/A"," ",(VLOOKUP($A210,NumberofDaysTable,3)))</f>
        <v> </v>
      </c>
      <c r="BS210" s="0" t="str">
        <f aca="false">IF($A210="N/A"," ",(VLOOKUP($A210,NumberofDaysTable,4)))</f>
        <v> </v>
      </c>
    </row>
    <row r="211" customFormat="false" ht="12.75" hidden="false" customHeight="false" outlineLevel="0" collapsed="false">
      <c r="A211" s="315" t="str">
        <f aca="false">IF(A210="N/A","N/A",IF(EDATE(A210,1)&gt;Inputs!$P$5,"N/A",EDATE(A210,1)))</f>
        <v>N/A</v>
      </c>
      <c r="B211" s="316" t="str">
        <f aca="false">IF(A211="N/A"," ",YEAR(A211))</f>
        <v> </v>
      </c>
      <c r="C211" s="317" t="str">
        <f aca="false">IF($A211="N/A"," ",IF(Dayrun2=10,0,IF(Scaler2=1,(VLOOKUP(A211,ScaledPrice2,4)),(VLOOKUP(A211,ScaledPrice2,2)))))</f>
        <v> </v>
      </c>
      <c r="D211" s="317" t="str">
        <f aca="false">IF(A211="N/A"," ",IF(Dayrun2&gt;=7,0,IF(Scaler2=2,VLOOKUP(A211,ScaledPrice2,2),(VLOOKUP(A211,ScaledPrice2,2))*(2-(VLOOKUP(A211,ScaledPrice2,3))))))</f>
        <v> </v>
      </c>
      <c r="E211" s="317" t="str">
        <f aca="false">IF($A211="N/A"," ",IF(AND(Dayrun2&gt;=4,Dayrun2&lt;=9),0,VLOOKUP($A211,ScaledPrice2,9)))</f>
        <v> </v>
      </c>
      <c r="F211" s="317" t="str">
        <f aca="false">IF(A211="N/A"," ",IF(OR(Dayrun2=2,Dayrun2=3,Dayrun2=5,Dayrun2=6,Dayrun2=8,Dayrun2=9),VLOOKUP(A211,ScaledPrice2,IF(Scaler2=1,6,5)),0))</f>
        <v> </v>
      </c>
      <c r="G211" s="317" t="str">
        <f aca="false">IF(A211="N/A"," ",IF(OR(Dayrun2=2,Dayrun2=3,Dayrun2=5,Dayrun2=6),IF(Scaler2=2,F211,(VLOOKUP(A211,ScaledPrice2,5))*(2-(VLOOKUP(A211,ScaledPrice2,3)))),0))</f>
        <v> </v>
      </c>
      <c r="H211" s="317" t="str">
        <f aca="false">IF($A211="N/A"," ",IF(OR(Dayrun2=2,Dayrun2=3,Dayrun2=10),VLOOKUP($A211,ScaledPrice2,9),0))</f>
        <v> </v>
      </c>
      <c r="I211" s="317" t="str">
        <f aca="false">IF(A211="N/A"," ",IF(OR(Dayrun2=3,Dayrun2=6,Dayrun2=9),(VLOOKUP(A211,ScaledPrice2,IF(Scaler2=2,7,8))),0))</f>
        <v> </v>
      </c>
      <c r="J211" s="317" t="str">
        <f aca="false">IF(A211="N/A"," ",IF(OR(Dayrun2=3,Dayrun2=6),IF(Scaler2=2,I211,(VLOOKUP(A211,ScaledPrice2,7))*(2-(VLOOKUP(A211,ScaledPrice2,3)))),0))</f>
        <v> </v>
      </c>
      <c r="K211" s="317" t="str">
        <f aca="false">IF($A211="N/A"," ",IF(OR(Dayrun2=3,Dayrun2=10),VLOOKUP($A211,ScaledPrice2,9),0))</f>
        <v> </v>
      </c>
      <c r="L211" s="318" t="str">
        <f aca="false">IF($A211="N/A"," ",IF(Pricetype2=2,MAX(C211,0),IF(OR(Pricetype2=1,Pricetype2=4),IF(C211=0,0,(EURO(C211,Strikeprice2,0,0,($AH211+IF(Smile=TRUE(),VLOOKUP(MAX(-5,Strikeprice2-C211),Volsmile,2),0)),($A211-DateToday)+15,IF(Pricetype2=1,1,0),0))),C211)))</f>
        <v> </v>
      </c>
      <c r="M211" s="318" t="str">
        <f aca="false">IF($A211="N/A"," ",IF(Pricetype2=2,MAX(D211,0),IF(OR(Pricetype2=1,Pricetype2=4),IF(D211=0,0,(EURO(D211,Strikeprice2,0,0,($AH211+IF(Smile=TRUE(),VLOOKUP(MAX(-5,Strikeprice2-D211),Volsmile,2),0)),($A211-DateToday)+15,IF(Pricetype2=1,1,0),0))),D211)))</f>
        <v> </v>
      </c>
      <c r="N211" s="318" t="str">
        <f aca="false">IF($A211="N/A"," ",IF(Pricetype2=2,MAX(E211,0),IF(OR(Pricetype2=1,Pricetype2=4),IF(E211=0,0,(EURO(E211,Strikeprice2,0,0,($AK211+IF(Smile=TRUE(),VLOOKUP(MAX(-5,Strikeprice2-E211),Volsmile,2),0)),($A211-DateToday)+15,IF(Pricetype2=1,1,0),0))),E211)))</f>
        <v> </v>
      </c>
      <c r="O211" s="318" t="str">
        <f aca="false">IF($A211="N/A"," ",IF(Pricetype2=2,MAX(F211,0),IF(OR(Pricetype2=1,Pricetype2=4),IF(F211=0,0,(EURO(F211,Strikeprice2,0,0,($AK211+IF(Smile=TRUE(),VLOOKUP(MAX(-5,Strikeprice2-F211),Volsmile,2),0)),($A211-DateToday)+15,IF(Pricetype2=1,1,0),0))),F211)))</f>
        <v> </v>
      </c>
      <c r="P211" s="318" t="str">
        <f aca="false">IF($A211="N/A"," ",IF(Pricetype2=2,MAX(G211,0),IF(OR(Pricetype2=1,Pricetype2=4),IF(G211=0,0,(EURO(G211,Strikeprice2,0,0,($AK211+IF(Smile=TRUE(),VLOOKUP(MAX(-5,Strikeprice2-G211),Volsmile,2),0)),($A211-DateToday)+15,IF(Pricetype2=1,1,0),0))),G211)))</f>
        <v> </v>
      </c>
      <c r="Q211" s="318" t="str">
        <f aca="false">IF($A211="N/A"," ",IF(Pricetype2=2,MAX(H211,0),IF(OR(Pricetype2=1,Pricetype2=4),IF(H211=0,0,(EURO(H211,Strikeprice2,0,0,($AK211+IF(Smile=TRUE(),VLOOKUP(MAX(-5,Strikeprice2-H211),Volsmile,2),0)),($A211-DateToday)+15,IF(Pricetype2=1,1,0),0))),H211)))</f>
        <v> </v>
      </c>
      <c r="R211" s="318" t="str">
        <f aca="false">IF($A211="N/A"," ",IF(Pricetype2=2,MAX(I211,0),IF(OR(Pricetype2=1,Pricetype2=4),IF(I211=0,0,(EURO(I211,Strikeprice2,0,0,($AK211+IF(Smile=TRUE(),VLOOKUP(MAX(-5,Strikeprice2-I211),Volsmile,2),0)),($A211-DateToday)+15,IF(Pricetype2=1,1,0),0))),I211)))</f>
        <v> </v>
      </c>
      <c r="S211" s="318" t="str">
        <f aca="false">IF($A211="N/A"," ",IF(Pricetype2=2,MAX(J211,0),IF(OR(Pricetype2=1,Pricetype2=4),IF(J211=0,0,(EURO(J211,Strikeprice2,0,0,($AK211+IF(Smile=TRUE(),VLOOKUP(MAX(-5,Strikeprice2-J211),Volsmile,2),0)),($A211-DateToday)+15,IF(Pricetype2=1,1,0),0))),J211)))</f>
        <v> </v>
      </c>
      <c r="T211" s="318" t="str">
        <f aca="false">IF($A211="N/A"," ",IF(Pricetype2=2,MAX(K211,0),IF(OR(Pricetype2=1,Pricetype2=4),IF(K211=0,0,(EURO(K211,Strikeprice2,0,0,($AK211+IF(Smile=TRUE(),VLOOKUP(MAX(-5,Strikeprice2-K211),Volsmile,2),0)),($A211-DateToday)+15,IF(Pricetype2=1,1,0),0))),K211)))</f>
        <v> </v>
      </c>
      <c r="U211" s="319" t="str">
        <f aca="false">IF($A211="N/A"," ",Volume2*$AM211)</f>
        <v> </v>
      </c>
      <c r="V211" s="320" t="str">
        <f aca="false">IF($A211="N/A"," ",$U211*(8*($BQ211))*L211)</f>
        <v> </v>
      </c>
      <c r="W211" s="320" t="str">
        <f aca="false">IF($A211="N/A"," ",$U211*(8*($BQ211))*M211)</f>
        <v> </v>
      </c>
      <c r="X211" s="320" t="str">
        <f aca="false">IF($A211="N/A"," ",$U211*(8*($BQ211))*N211)</f>
        <v> </v>
      </c>
      <c r="Y211" s="320" t="str">
        <f aca="false">IF($A211="N/A"," ",$U211*(8*($BR211))*O211)</f>
        <v> </v>
      </c>
      <c r="Z211" s="320" t="str">
        <f aca="false">IF($A211="N/A"," ",$U211*(8*($BR211))*P211)</f>
        <v> </v>
      </c>
      <c r="AA211" s="320" t="str">
        <f aca="false">IF($A211="N/A"," ",$U211*(8*($BR211))*Q211)</f>
        <v> </v>
      </c>
      <c r="AB211" s="320" t="str">
        <f aca="false">IF($A211="N/A"," ",$U211*(8*($BS211))*R211)</f>
        <v> </v>
      </c>
      <c r="AC211" s="320" t="str">
        <f aca="false">IF($A211="N/A"," ",$U211*(8*($BS211))*S211)</f>
        <v> </v>
      </c>
      <c r="AD211" s="320" t="str">
        <f aca="false">IF($A211="N/A"," ",$U211*(8*($BS211))*T211)</f>
        <v> </v>
      </c>
      <c r="AE211" s="320" t="str">
        <f aca="false">IF($A211="N/A"," ",SUM(V211:AD211))</f>
        <v> </v>
      </c>
      <c r="AF211" s="321" t="str">
        <f aca="false">IF(A211="N/A"," ",(VLOOKUP(A211,PowerVolTable,(IF(VolBMO2=2,7,IF(VolBMO2=1,6,8))),FALSE())))</f>
        <v> </v>
      </c>
      <c r="AG211" s="321" t="str">
        <f aca="false">IF(A211="N/A"," ",(VLOOKUP(A211,IntraPowerVol,(IF(VolBMO2=2,3,IF(VolBMO2=1,2,4))),FALSE())*VLOOKUP(MONTH($A211),Volscale,2)))</f>
        <v> </v>
      </c>
      <c r="AH211" s="321" t="str">
        <f aca="false">IF($A211="N/A"," ",IF(VolType2=1,AG211,AF211))</f>
        <v> </v>
      </c>
      <c r="AI211" s="321" t="str">
        <f aca="false">IF($A211="N/A"," ",(VLOOKUP($A211,OffPwrVolTable,(IF(VolBMO2=2,7,IF(VolBMO2=1,6,8))),FALSE())))</f>
        <v> </v>
      </c>
      <c r="AJ211" s="321" t="str">
        <f aca="false">IF($A211="N/A"," ",(VLOOKUP($A211,OffPwrVolTable,(IF(VolBMO2=2,3,IF(VolBMO2=1,2,4))),FALSE())*VLOOKUP(MONTH($A211),Volscale,2)))</f>
        <v> </v>
      </c>
      <c r="AK211" s="321" t="str">
        <f aca="false">IF($A211="N/A"," ",IF(VolType2=1,AJ211,AI211))</f>
        <v> </v>
      </c>
      <c r="AL211" s="321" t="str">
        <f aca="false">IF($A211="N/A"," ",IF(PV=1,0,'Pricing Inputs2'!R244))</f>
        <v> </v>
      </c>
      <c r="AM211" s="323" t="str">
        <f aca="false">IF($A211="N/A"," ",(1+AL211/2)^(-2*((EOMONTH(A211,0)+20)-DateToday)/365.25))</f>
        <v> </v>
      </c>
      <c r="BQ211" s="0" t="str">
        <f aca="false">IF($A211="N/A"," ",(VLOOKUP($A211,NumberofDaysTable,2)))</f>
        <v> </v>
      </c>
      <c r="BR211" s="0" t="str">
        <f aca="false">IF($A211="N/A"," ",(VLOOKUP($A211,NumberofDaysTable,3)))</f>
        <v> </v>
      </c>
      <c r="BS211" s="0" t="str">
        <f aca="false">IF($A211="N/A"," ",(VLOOKUP($A211,NumberofDaysTable,4)))</f>
        <v> </v>
      </c>
    </row>
    <row r="212" customFormat="false" ht="12.75" hidden="false" customHeight="false" outlineLevel="0" collapsed="false">
      <c r="A212" s="315" t="str">
        <f aca="false">IF(A211="N/A","N/A",IF(EDATE(A211,1)&gt;Inputs!$P$5,"N/A",EDATE(A211,1)))</f>
        <v>N/A</v>
      </c>
      <c r="B212" s="316" t="str">
        <f aca="false">IF(A212="N/A"," ",YEAR(A212))</f>
        <v> </v>
      </c>
      <c r="C212" s="317" t="str">
        <f aca="false">IF($A212="N/A"," ",IF(Dayrun2=10,0,IF(Scaler2=1,(VLOOKUP(A212,ScaledPrice2,4)),(VLOOKUP(A212,ScaledPrice2,2)))))</f>
        <v> </v>
      </c>
      <c r="D212" s="317" t="str">
        <f aca="false">IF(A212="N/A"," ",IF(Dayrun2&gt;=7,0,IF(Scaler2=2,VLOOKUP(A212,ScaledPrice2,2),(VLOOKUP(A212,ScaledPrice2,2))*(2-(VLOOKUP(A212,ScaledPrice2,3))))))</f>
        <v> </v>
      </c>
      <c r="E212" s="317" t="str">
        <f aca="false">IF($A212="N/A"," ",IF(AND(Dayrun2&gt;=4,Dayrun2&lt;=9),0,VLOOKUP($A212,ScaledPrice2,9)))</f>
        <v> </v>
      </c>
      <c r="F212" s="317" t="str">
        <f aca="false">IF(A212="N/A"," ",IF(OR(Dayrun2=2,Dayrun2=3,Dayrun2=5,Dayrun2=6,Dayrun2=8,Dayrun2=9),VLOOKUP(A212,ScaledPrice2,IF(Scaler2=1,6,5)),0))</f>
        <v> </v>
      </c>
      <c r="G212" s="317" t="str">
        <f aca="false">IF(A212="N/A"," ",IF(OR(Dayrun2=2,Dayrun2=3,Dayrun2=5,Dayrun2=6),IF(Scaler2=2,F212,(VLOOKUP(A212,ScaledPrice2,5))*(2-(VLOOKUP(A212,ScaledPrice2,3)))),0))</f>
        <v> </v>
      </c>
      <c r="H212" s="317" t="str">
        <f aca="false">IF($A212="N/A"," ",IF(OR(Dayrun2=2,Dayrun2=3,Dayrun2=10),VLOOKUP($A212,ScaledPrice2,9),0))</f>
        <v> </v>
      </c>
      <c r="I212" s="317" t="str">
        <f aca="false">IF(A212="N/A"," ",IF(OR(Dayrun2=3,Dayrun2=6,Dayrun2=9),(VLOOKUP(A212,ScaledPrice2,IF(Scaler2=2,7,8))),0))</f>
        <v> </v>
      </c>
      <c r="J212" s="317" t="str">
        <f aca="false">IF(A212="N/A"," ",IF(OR(Dayrun2=3,Dayrun2=6),IF(Scaler2=2,I212,(VLOOKUP(A212,ScaledPrice2,7))*(2-(VLOOKUP(A212,ScaledPrice2,3)))),0))</f>
        <v> </v>
      </c>
      <c r="K212" s="317" t="str">
        <f aca="false">IF($A212="N/A"," ",IF(OR(Dayrun2=3,Dayrun2=10),VLOOKUP($A212,ScaledPrice2,9),0))</f>
        <v> </v>
      </c>
      <c r="L212" s="318" t="str">
        <f aca="false">IF($A212="N/A"," ",IF(Pricetype2=2,MAX(C212,0),IF(OR(Pricetype2=1,Pricetype2=4),IF(C212=0,0,(EURO(C212,Strikeprice2,0,0,($AH212+IF(Smile=TRUE(),VLOOKUP(MAX(-5,Strikeprice2-C212),Volsmile,2),0)),($A212-DateToday)+15,IF(Pricetype2=1,1,0),0))),C212)))</f>
        <v> </v>
      </c>
      <c r="M212" s="318" t="str">
        <f aca="false">IF($A212="N/A"," ",IF(Pricetype2=2,MAX(D212,0),IF(OR(Pricetype2=1,Pricetype2=4),IF(D212=0,0,(EURO(D212,Strikeprice2,0,0,($AH212+IF(Smile=TRUE(),VLOOKUP(MAX(-5,Strikeprice2-D212),Volsmile,2),0)),($A212-DateToday)+15,IF(Pricetype2=1,1,0),0))),D212)))</f>
        <v> </v>
      </c>
      <c r="N212" s="318" t="str">
        <f aca="false">IF($A212="N/A"," ",IF(Pricetype2=2,MAX(E212,0),IF(OR(Pricetype2=1,Pricetype2=4),IF(E212=0,0,(EURO(E212,Strikeprice2,0,0,($AK212+IF(Smile=TRUE(),VLOOKUP(MAX(-5,Strikeprice2-E212),Volsmile,2),0)),($A212-DateToday)+15,IF(Pricetype2=1,1,0),0))),E212)))</f>
        <v> </v>
      </c>
      <c r="O212" s="318" t="str">
        <f aca="false">IF($A212="N/A"," ",IF(Pricetype2=2,MAX(F212,0),IF(OR(Pricetype2=1,Pricetype2=4),IF(F212=0,0,(EURO(F212,Strikeprice2,0,0,($AK212+IF(Smile=TRUE(),VLOOKUP(MAX(-5,Strikeprice2-F212),Volsmile,2),0)),($A212-DateToday)+15,IF(Pricetype2=1,1,0),0))),F212)))</f>
        <v> </v>
      </c>
      <c r="P212" s="318" t="str">
        <f aca="false">IF($A212="N/A"," ",IF(Pricetype2=2,MAX(G212,0),IF(OR(Pricetype2=1,Pricetype2=4),IF(G212=0,0,(EURO(G212,Strikeprice2,0,0,($AK212+IF(Smile=TRUE(),VLOOKUP(MAX(-5,Strikeprice2-G212),Volsmile,2),0)),($A212-DateToday)+15,IF(Pricetype2=1,1,0),0))),G212)))</f>
        <v> </v>
      </c>
      <c r="Q212" s="318" t="str">
        <f aca="false">IF($A212="N/A"," ",IF(Pricetype2=2,MAX(H212,0),IF(OR(Pricetype2=1,Pricetype2=4),IF(H212=0,0,(EURO(H212,Strikeprice2,0,0,($AK212+IF(Smile=TRUE(),VLOOKUP(MAX(-5,Strikeprice2-H212),Volsmile,2),0)),($A212-DateToday)+15,IF(Pricetype2=1,1,0),0))),H212)))</f>
        <v> </v>
      </c>
      <c r="R212" s="318" t="str">
        <f aca="false">IF($A212="N/A"," ",IF(Pricetype2=2,MAX(I212,0),IF(OR(Pricetype2=1,Pricetype2=4),IF(I212=0,0,(EURO(I212,Strikeprice2,0,0,($AK212+IF(Smile=TRUE(),VLOOKUP(MAX(-5,Strikeprice2-I212),Volsmile,2),0)),($A212-DateToday)+15,IF(Pricetype2=1,1,0),0))),I212)))</f>
        <v> </v>
      </c>
      <c r="S212" s="318" t="str">
        <f aca="false">IF($A212="N/A"," ",IF(Pricetype2=2,MAX(J212,0),IF(OR(Pricetype2=1,Pricetype2=4),IF(J212=0,0,(EURO(J212,Strikeprice2,0,0,($AK212+IF(Smile=TRUE(),VLOOKUP(MAX(-5,Strikeprice2-J212),Volsmile,2),0)),($A212-DateToday)+15,IF(Pricetype2=1,1,0),0))),J212)))</f>
        <v> </v>
      </c>
      <c r="T212" s="318" t="str">
        <f aca="false">IF($A212="N/A"," ",IF(Pricetype2=2,MAX(K212,0),IF(OR(Pricetype2=1,Pricetype2=4),IF(K212=0,0,(EURO(K212,Strikeprice2,0,0,($AK212+IF(Smile=TRUE(),VLOOKUP(MAX(-5,Strikeprice2-K212),Volsmile,2),0)),($A212-DateToday)+15,IF(Pricetype2=1,1,0),0))),K212)))</f>
        <v> </v>
      </c>
      <c r="U212" s="319" t="str">
        <f aca="false">IF($A212="N/A"," ",Volume2*$AM212)</f>
        <v> </v>
      </c>
      <c r="V212" s="320" t="str">
        <f aca="false">IF($A212="N/A"," ",$U212*(8*($BQ212))*L212)</f>
        <v> </v>
      </c>
      <c r="W212" s="320" t="str">
        <f aca="false">IF($A212="N/A"," ",$U212*(8*($BQ212))*M212)</f>
        <v> </v>
      </c>
      <c r="X212" s="320" t="str">
        <f aca="false">IF($A212="N/A"," ",$U212*(8*($BQ212))*N212)</f>
        <v> </v>
      </c>
      <c r="Y212" s="320" t="str">
        <f aca="false">IF($A212="N/A"," ",$U212*(8*($BR212))*O212)</f>
        <v> </v>
      </c>
      <c r="Z212" s="320" t="str">
        <f aca="false">IF($A212="N/A"," ",$U212*(8*($BR212))*P212)</f>
        <v> </v>
      </c>
      <c r="AA212" s="320" t="str">
        <f aca="false">IF($A212="N/A"," ",$U212*(8*($BR212))*Q212)</f>
        <v> </v>
      </c>
      <c r="AB212" s="320" t="str">
        <f aca="false">IF($A212="N/A"," ",$U212*(8*($BS212))*R212)</f>
        <v> </v>
      </c>
      <c r="AC212" s="320" t="str">
        <f aca="false">IF($A212="N/A"," ",$U212*(8*($BS212))*S212)</f>
        <v> </v>
      </c>
      <c r="AD212" s="320" t="str">
        <f aca="false">IF($A212="N/A"," ",$U212*(8*($BS212))*T212)</f>
        <v> </v>
      </c>
      <c r="AE212" s="320" t="str">
        <f aca="false">IF($A212="N/A"," ",SUM(V212:AD212))</f>
        <v> </v>
      </c>
      <c r="AF212" s="321" t="str">
        <f aca="false">IF(A212="N/A"," ",(VLOOKUP(A212,PowerVolTable,(IF(VolBMO2=2,7,IF(VolBMO2=1,6,8))),FALSE())))</f>
        <v> </v>
      </c>
      <c r="AG212" s="321" t="str">
        <f aca="false">IF(A212="N/A"," ",(VLOOKUP(A212,IntraPowerVol,(IF(VolBMO2=2,3,IF(VolBMO2=1,2,4))),FALSE())*VLOOKUP(MONTH($A212),Volscale,2)))</f>
        <v> </v>
      </c>
      <c r="AH212" s="321" t="str">
        <f aca="false">IF($A212="N/A"," ",IF(VolType2=1,AG212,AF212))</f>
        <v> </v>
      </c>
      <c r="AI212" s="321" t="str">
        <f aca="false">IF($A212="N/A"," ",(VLOOKUP($A212,OffPwrVolTable,(IF(VolBMO2=2,7,IF(VolBMO2=1,6,8))),FALSE())))</f>
        <v> </v>
      </c>
      <c r="AJ212" s="321" t="str">
        <f aca="false">IF($A212="N/A"," ",(VLOOKUP($A212,OffPwrVolTable,(IF(VolBMO2=2,3,IF(VolBMO2=1,2,4))),FALSE())*VLOOKUP(MONTH($A212),Volscale,2)))</f>
        <v> </v>
      </c>
      <c r="AK212" s="321" t="str">
        <f aca="false">IF($A212="N/A"," ",IF(VolType2=1,AJ212,AI212))</f>
        <v> </v>
      </c>
      <c r="AL212" s="321" t="str">
        <f aca="false">IF($A212="N/A"," ",IF(PV=1,0,'Pricing Inputs2'!R245))</f>
        <v> </v>
      </c>
      <c r="AM212" s="323" t="str">
        <f aca="false">IF($A212="N/A"," ",(1+AL212/2)^(-2*((EOMONTH(A212,0)+20)-DateToday)/365.25))</f>
        <v> </v>
      </c>
      <c r="BQ212" s="0" t="str">
        <f aca="false">IF($A212="N/A"," ",(VLOOKUP($A212,NumberofDaysTable,2)))</f>
        <v> </v>
      </c>
      <c r="BR212" s="0" t="str">
        <f aca="false">IF($A212="N/A"," ",(VLOOKUP($A212,NumberofDaysTable,3)))</f>
        <v> </v>
      </c>
      <c r="BS212" s="0" t="str">
        <f aca="false">IF($A212="N/A"," ",(VLOOKUP($A212,NumberofDaysTable,4)))</f>
        <v> </v>
      </c>
    </row>
    <row r="213" customFormat="false" ht="12.75" hidden="false" customHeight="false" outlineLevel="0" collapsed="false">
      <c r="A213" s="315" t="str">
        <f aca="false">IF(A212="N/A","N/A",IF(EDATE(A212,1)&gt;Inputs!$P$5,"N/A",EDATE(A212,1)))</f>
        <v>N/A</v>
      </c>
      <c r="B213" s="316" t="str">
        <f aca="false">IF(A213="N/A"," ",YEAR(A213))</f>
        <v> </v>
      </c>
      <c r="C213" s="317" t="str">
        <f aca="false">IF($A213="N/A"," ",IF(Dayrun2=10,0,IF(Scaler2=1,(VLOOKUP(A213,ScaledPrice2,4)),(VLOOKUP(A213,ScaledPrice2,2)))))</f>
        <v> </v>
      </c>
      <c r="D213" s="317" t="str">
        <f aca="false">IF(A213="N/A"," ",IF(Dayrun2&gt;=7,0,IF(Scaler2=2,VLOOKUP(A213,ScaledPrice2,2),(VLOOKUP(A213,ScaledPrice2,2))*(2-(VLOOKUP(A213,ScaledPrice2,3))))))</f>
        <v> </v>
      </c>
      <c r="E213" s="317" t="str">
        <f aca="false">IF($A213="N/A"," ",IF(AND(Dayrun2&gt;=4,Dayrun2&lt;=9),0,VLOOKUP($A213,ScaledPrice2,9)))</f>
        <v> </v>
      </c>
      <c r="F213" s="317" t="str">
        <f aca="false">IF(A213="N/A"," ",IF(OR(Dayrun2=2,Dayrun2=3,Dayrun2=5,Dayrun2=6,Dayrun2=8,Dayrun2=9),VLOOKUP(A213,ScaledPrice2,IF(Scaler2=1,6,5)),0))</f>
        <v> </v>
      </c>
      <c r="G213" s="317" t="str">
        <f aca="false">IF(A213="N/A"," ",IF(OR(Dayrun2=2,Dayrun2=3,Dayrun2=5,Dayrun2=6),IF(Scaler2=2,F213,(VLOOKUP(A213,ScaledPrice2,5))*(2-(VLOOKUP(A213,ScaledPrice2,3)))),0))</f>
        <v> </v>
      </c>
      <c r="H213" s="317" t="str">
        <f aca="false">IF($A213="N/A"," ",IF(OR(Dayrun2=2,Dayrun2=3,Dayrun2=10),VLOOKUP($A213,ScaledPrice2,9),0))</f>
        <v> </v>
      </c>
      <c r="I213" s="317" t="str">
        <f aca="false">IF(A213="N/A"," ",IF(OR(Dayrun2=3,Dayrun2=6,Dayrun2=9),(VLOOKUP(A213,ScaledPrice2,IF(Scaler2=2,7,8))),0))</f>
        <v> </v>
      </c>
      <c r="J213" s="317" t="str">
        <f aca="false">IF(A213="N/A"," ",IF(OR(Dayrun2=3,Dayrun2=6),IF(Scaler2=2,I213,(VLOOKUP(A213,ScaledPrice2,7))*(2-(VLOOKUP(A213,ScaledPrice2,3)))),0))</f>
        <v> </v>
      </c>
      <c r="K213" s="317" t="str">
        <f aca="false">IF($A213="N/A"," ",IF(OR(Dayrun2=3,Dayrun2=10),VLOOKUP($A213,ScaledPrice2,9),0))</f>
        <v> </v>
      </c>
      <c r="L213" s="318" t="str">
        <f aca="false">IF($A213="N/A"," ",IF(Pricetype2=2,MAX(C213,0),IF(OR(Pricetype2=1,Pricetype2=4),IF(C213=0,0,(EURO(C213,Strikeprice2,0,0,($AH213+IF(Smile=TRUE(),VLOOKUP(MAX(-5,Strikeprice2-C213),Volsmile,2),0)),($A213-DateToday)+15,IF(Pricetype2=1,1,0),0))),C213)))</f>
        <v> </v>
      </c>
      <c r="M213" s="318" t="str">
        <f aca="false">IF($A213="N/A"," ",IF(Pricetype2=2,MAX(D213,0),IF(OR(Pricetype2=1,Pricetype2=4),IF(D213=0,0,(EURO(D213,Strikeprice2,0,0,($AH213+IF(Smile=TRUE(),VLOOKUP(MAX(-5,Strikeprice2-D213),Volsmile,2),0)),($A213-DateToday)+15,IF(Pricetype2=1,1,0),0))),D213)))</f>
        <v> </v>
      </c>
      <c r="N213" s="318" t="str">
        <f aca="false">IF($A213="N/A"," ",IF(Pricetype2=2,MAX(E213,0),IF(OR(Pricetype2=1,Pricetype2=4),IF(E213=0,0,(EURO(E213,Strikeprice2,0,0,($AK213+IF(Smile=TRUE(),VLOOKUP(MAX(-5,Strikeprice2-E213),Volsmile,2),0)),($A213-DateToday)+15,IF(Pricetype2=1,1,0),0))),E213)))</f>
        <v> </v>
      </c>
      <c r="O213" s="318" t="str">
        <f aca="false">IF($A213="N/A"," ",IF(Pricetype2=2,MAX(F213,0),IF(OR(Pricetype2=1,Pricetype2=4),IF(F213=0,0,(EURO(F213,Strikeprice2,0,0,($AK213+IF(Smile=TRUE(),VLOOKUP(MAX(-5,Strikeprice2-F213),Volsmile,2),0)),($A213-DateToday)+15,IF(Pricetype2=1,1,0),0))),F213)))</f>
        <v> </v>
      </c>
      <c r="P213" s="318" t="str">
        <f aca="false">IF($A213="N/A"," ",IF(Pricetype2=2,MAX(G213,0),IF(OR(Pricetype2=1,Pricetype2=4),IF(G213=0,0,(EURO(G213,Strikeprice2,0,0,($AK213+IF(Smile=TRUE(),VLOOKUP(MAX(-5,Strikeprice2-G213),Volsmile,2),0)),($A213-DateToday)+15,IF(Pricetype2=1,1,0),0))),G213)))</f>
        <v> </v>
      </c>
      <c r="Q213" s="318" t="str">
        <f aca="false">IF($A213="N/A"," ",IF(Pricetype2=2,MAX(H213,0),IF(OR(Pricetype2=1,Pricetype2=4),IF(H213=0,0,(EURO(H213,Strikeprice2,0,0,($AK213+IF(Smile=TRUE(),VLOOKUP(MAX(-5,Strikeprice2-H213),Volsmile,2),0)),($A213-DateToday)+15,IF(Pricetype2=1,1,0),0))),H213)))</f>
        <v> </v>
      </c>
      <c r="R213" s="318" t="str">
        <f aca="false">IF($A213="N/A"," ",IF(Pricetype2=2,MAX(I213,0),IF(OR(Pricetype2=1,Pricetype2=4),IF(I213=0,0,(EURO(I213,Strikeprice2,0,0,($AK213+IF(Smile=TRUE(),VLOOKUP(MAX(-5,Strikeprice2-I213),Volsmile,2),0)),($A213-DateToday)+15,IF(Pricetype2=1,1,0),0))),I213)))</f>
        <v> </v>
      </c>
      <c r="S213" s="318" t="str">
        <f aca="false">IF($A213="N/A"," ",IF(Pricetype2=2,MAX(J213,0),IF(OR(Pricetype2=1,Pricetype2=4),IF(J213=0,0,(EURO(J213,Strikeprice2,0,0,($AK213+IF(Smile=TRUE(),VLOOKUP(MAX(-5,Strikeprice2-J213),Volsmile,2),0)),($A213-DateToday)+15,IF(Pricetype2=1,1,0),0))),J213)))</f>
        <v> </v>
      </c>
      <c r="T213" s="318" t="str">
        <f aca="false">IF($A213="N/A"," ",IF(Pricetype2=2,MAX(K213,0),IF(OR(Pricetype2=1,Pricetype2=4),IF(K213=0,0,(EURO(K213,Strikeprice2,0,0,($AK213+IF(Smile=TRUE(),VLOOKUP(MAX(-5,Strikeprice2-K213),Volsmile,2),0)),($A213-DateToday)+15,IF(Pricetype2=1,1,0),0))),K213)))</f>
        <v> </v>
      </c>
      <c r="U213" s="319" t="str">
        <f aca="false">IF($A213="N/A"," ",Volume2*$AM213)</f>
        <v> </v>
      </c>
      <c r="V213" s="320" t="str">
        <f aca="false">IF($A213="N/A"," ",$U213*(8*($BQ213))*L213)</f>
        <v> </v>
      </c>
      <c r="W213" s="320" t="str">
        <f aca="false">IF($A213="N/A"," ",$U213*(8*($BQ213))*M213)</f>
        <v> </v>
      </c>
      <c r="X213" s="320" t="str">
        <f aca="false">IF($A213="N/A"," ",$U213*(8*($BQ213))*N213)</f>
        <v> </v>
      </c>
      <c r="Y213" s="320" t="str">
        <f aca="false">IF($A213="N/A"," ",$U213*(8*($BR213))*O213)</f>
        <v> </v>
      </c>
      <c r="Z213" s="320" t="str">
        <f aca="false">IF($A213="N/A"," ",$U213*(8*($BR213))*P213)</f>
        <v> </v>
      </c>
      <c r="AA213" s="320" t="str">
        <f aca="false">IF($A213="N/A"," ",$U213*(8*($BR213))*Q213)</f>
        <v> </v>
      </c>
      <c r="AB213" s="320" t="str">
        <f aca="false">IF($A213="N/A"," ",$U213*(8*($BS213))*R213)</f>
        <v> </v>
      </c>
      <c r="AC213" s="320" t="str">
        <f aca="false">IF($A213="N/A"," ",$U213*(8*($BS213))*S213)</f>
        <v> </v>
      </c>
      <c r="AD213" s="320" t="str">
        <f aca="false">IF($A213="N/A"," ",$U213*(8*($BS213))*T213)</f>
        <v> </v>
      </c>
      <c r="AE213" s="320" t="str">
        <f aca="false">IF($A213="N/A"," ",SUM(V213:AD213))</f>
        <v> </v>
      </c>
      <c r="AF213" s="321" t="str">
        <f aca="false">IF(A213="N/A"," ",(VLOOKUP(A213,PowerVolTable,(IF(VolBMO2=2,7,IF(VolBMO2=1,6,8))),FALSE())))</f>
        <v> </v>
      </c>
      <c r="AG213" s="321" t="str">
        <f aca="false">IF(A213="N/A"," ",(VLOOKUP(A213,IntraPowerVol,(IF(VolBMO2=2,3,IF(VolBMO2=1,2,4))),FALSE())*VLOOKUP(MONTH($A213),Volscale,2)))</f>
        <v> </v>
      </c>
      <c r="AH213" s="321" t="str">
        <f aca="false">IF($A213="N/A"," ",IF(VolType2=1,AG213,AF213))</f>
        <v> </v>
      </c>
      <c r="AI213" s="321" t="str">
        <f aca="false">IF($A213="N/A"," ",(VLOOKUP($A213,OffPwrVolTable,(IF(VolBMO2=2,7,IF(VolBMO2=1,6,8))),FALSE())))</f>
        <v> </v>
      </c>
      <c r="AJ213" s="321" t="str">
        <f aca="false">IF($A213="N/A"," ",(VLOOKUP($A213,OffPwrVolTable,(IF(VolBMO2=2,3,IF(VolBMO2=1,2,4))),FALSE())*VLOOKUP(MONTH($A213),Volscale,2)))</f>
        <v> </v>
      </c>
      <c r="AK213" s="321" t="str">
        <f aca="false">IF($A213="N/A"," ",IF(VolType2=1,AJ213,AI213))</f>
        <v> </v>
      </c>
      <c r="AL213" s="321" t="str">
        <f aca="false">IF($A213="N/A"," ",IF(PV=1,0,'Pricing Inputs2'!R246))</f>
        <v> </v>
      </c>
      <c r="AM213" s="323" t="str">
        <f aca="false">IF($A213="N/A"," ",(1+AL213/2)^(-2*((EOMONTH(A213,0)+20)-DateToday)/365.25))</f>
        <v> </v>
      </c>
      <c r="BQ213" s="0" t="str">
        <f aca="false">IF($A213="N/A"," ",(VLOOKUP($A213,NumberofDaysTable,2)))</f>
        <v> </v>
      </c>
      <c r="BR213" s="0" t="str">
        <f aca="false">IF($A213="N/A"," ",(VLOOKUP($A213,NumberofDaysTable,3)))</f>
        <v> </v>
      </c>
      <c r="BS213" s="0" t="str">
        <f aca="false">IF($A213="N/A"," ",(VLOOKUP($A213,NumberofDaysTable,4)))</f>
        <v> </v>
      </c>
    </row>
    <row r="214" customFormat="false" ht="12.75" hidden="false" customHeight="false" outlineLevel="0" collapsed="false">
      <c r="A214" s="315" t="str">
        <f aca="false">IF(A213="N/A","N/A",IF(EDATE(A213,1)&gt;Inputs!$P$5,"N/A",EDATE(A213,1)))</f>
        <v>N/A</v>
      </c>
      <c r="B214" s="316" t="str">
        <f aca="false">IF(A214="N/A"," ",YEAR(A214))</f>
        <v> </v>
      </c>
      <c r="C214" s="317" t="str">
        <f aca="false">IF($A214="N/A"," ",IF(Dayrun2=10,0,IF(Scaler2=1,(VLOOKUP(A214,ScaledPrice2,4)),(VLOOKUP(A214,ScaledPrice2,2)))))</f>
        <v> </v>
      </c>
      <c r="D214" s="317" t="str">
        <f aca="false">IF(A214="N/A"," ",IF(Dayrun2&gt;=7,0,IF(Scaler2=2,VLOOKUP(A214,ScaledPrice2,2),(VLOOKUP(A214,ScaledPrice2,2))*(2-(VLOOKUP(A214,ScaledPrice2,3))))))</f>
        <v> </v>
      </c>
      <c r="E214" s="317" t="str">
        <f aca="false">IF($A214="N/A"," ",IF(AND(Dayrun2&gt;=4,Dayrun2&lt;=9),0,VLOOKUP($A214,ScaledPrice2,9)))</f>
        <v> </v>
      </c>
      <c r="F214" s="317" t="str">
        <f aca="false">IF(A214="N/A"," ",IF(OR(Dayrun2=2,Dayrun2=3,Dayrun2=5,Dayrun2=6,Dayrun2=8,Dayrun2=9),VLOOKUP(A214,ScaledPrice2,IF(Scaler2=1,6,5)),0))</f>
        <v> </v>
      </c>
      <c r="G214" s="317" t="str">
        <f aca="false">IF(A214="N/A"," ",IF(OR(Dayrun2=2,Dayrun2=3,Dayrun2=5,Dayrun2=6),IF(Scaler2=2,F214,(VLOOKUP(A214,ScaledPrice2,5))*(2-(VLOOKUP(A214,ScaledPrice2,3)))),0))</f>
        <v> </v>
      </c>
      <c r="H214" s="317" t="str">
        <f aca="false">IF($A214="N/A"," ",IF(OR(Dayrun2=2,Dayrun2=3,Dayrun2=10),VLOOKUP($A214,ScaledPrice2,9),0))</f>
        <v> </v>
      </c>
      <c r="I214" s="317" t="str">
        <f aca="false">IF(A214="N/A"," ",IF(OR(Dayrun2=3,Dayrun2=6,Dayrun2=9),(VLOOKUP(A214,ScaledPrice2,IF(Scaler2=2,7,8))),0))</f>
        <v> </v>
      </c>
      <c r="J214" s="317" t="str">
        <f aca="false">IF(A214="N/A"," ",IF(OR(Dayrun2=3,Dayrun2=6),IF(Scaler2=2,I214,(VLOOKUP(A214,ScaledPrice2,7))*(2-(VLOOKUP(A214,ScaledPrice2,3)))),0))</f>
        <v> </v>
      </c>
      <c r="K214" s="317" t="str">
        <f aca="false">IF($A214="N/A"," ",IF(OR(Dayrun2=3,Dayrun2=10),VLOOKUP($A214,ScaledPrice2,9),0))</f>
        <v> </v>
      </c>
      <c r="L214" s="318" t="str">
        <f aca="false">IF($A214="N/A"," ",IF(Pricetype2=2,MAX(C214,0),IF(OR(Pricetype2=1,Pricetype2=4),IF(C214=0,0,(EURO(C214,Strikeprice2,0,0,($AH214+IF(Smile=TRUE(),VLOOKUP(MAX(-5,Strikeprice2-C214),Volsmile,2),0)),($A214-DateToday)+15,IF(Pricetype2=1,1,0),0))),C214)))</f>
        <v> </v>
      </c>
      <c r="M214" s="318" t="str">
        <f aca="false">IF($A214="N/A"," ",IF(Pricetype2=2,MAX(D214,0),IF(OR(Pricetype2=1,Pricetype2=4),IF(D214=0,0,(EURO(D214,Strikeprice2,0,0,($AH214+IF(Smile=TRUE(),VLOOKUP(MAX(-5,Strikeprice2-D214),Volsmile,2),0)),($A214-DateToday)+15,IF(Pricetype2=1,1,0),0))),D214)))</f>
        <v> </v>
      </c>
      <c r="N214" s="318" t="str">
        <f aca="false">IF($A214="N/A"," ",IF(Pricetype2=2,MAX(E214,0),IF(OR(Pricetype2=1,Pricetype2=4),IF(E214=0,0,(EURO(E214,Strikeprice2,0,0,($AK214+IF(Smile=TRUE(),VLOOKUP(MAX(-5,Strikeprice2-E214),Volsmile,2),0)),($A214-DateToday)+15,IF(Pricetype2=1,1,0),0))),E214)))</f>
        <v> </v>
      </c>
      <c r="O214" s="318" t="str">
        <f aca="false">IF($A214="N/A"," ",IF(Pricetype2=2,MAX(F214,0),IF(OR(Pricetype2=1,Pricetype2=4),IF(F214=0,0,(EURO(F214,Strikeprice2,0,0,($AK214+IF(Smile=TRUE(),VLOOKUP(MAX(-5,Strikeprice2-F214),Volsmile,2),0)),($A214-DateToday)+15,IF(Pricetype2=1,1,0),0))),F214)))</f>
        <v> </v>
      </c>
      <c r="P214" s="318" t="str">
        <f aca="false">IF($A214="N/A"," ",IF(Pricetype2=2,MAX(G214,0),IF(OR(Pricetype2=1,Pricetype2=4),IF(G214=0,0,(EURO(G214,Strikeprice2,0,0,($AK214+IF(Smile=TRUE(),VLOOKUP(MAX(-5,Strikeprice2-G214),Volsmile,2),0)),($A214-DateToday)+15,IF(Pricetype2=1,1,0),0))),G214)))</f>
        <v> </v>
      </c>
      <c r="Q214" s="318" t="str">
        <f aca="false">IF($A214="N/A"," ",IF(Pricetype2=2,MAX(H214,0),IF(OR(Pricetype2=1,Pricetype2=4),IF(H214=0,0,(EURO(H214,Strikeprice2,0,0,($AK214+IF(Smile=TRUE(),VLOOKUP(MAX(-5,Strikeprice2-H214),Volsmile,2),0)),($A214-DateToday)+15,IF(Pricetype2=1,1,0),0))),H214)))</f>
        <v> </v>
      </c>
      <c r="R214" s="318" t="str">
        <f aca="false">IF($A214="N/A"," ",IF(Pricetype2=2,MAX(I214,0),IF(OR(Pricetype2=1,Pricetype2=4),IF(I214=0,0,(EURO(I214,Strikeprice2,0,0,($AK214+IF(Smile=TRUE(),VLOOKUP(MAX(-5,Strikeprice2-I214),Volsmile,2),0)),($A214-DateToday)+15,IF(Pricetype2=1,1,0),0))),I214)))</f>
        <v> </v>
      </c>
      <c r="S214" s="318" t="str">
        <f aca="false">IF($A214="N/A"," ",IF(Pricetype2=2,MAX(J214,0),IF(OR(Pricetype2=1,Pricetype2=4),IF(J214=0,0,(EURO(J214,Strikeprice2,0,0,($AK214+IF(Smile=TRUE(),VLOOKUP(MAX(-5,Strikeprice2-J214),Volsmile,2),0)),($A214-DateToday)+15,IF(Pricetype2=1,1,0),0))),J214)))</f>
        <v> </v>
      </c>
      <c r="T214" s="318" t="str">
        <f aca="false">IF($A214="N/A"," ",IF(Pricetype2=2,MAX(K214,0),IF(OR(Pricetype2=1,Pricetype2=4),IF(K214=0,0,(EURO(K214,Strikeprice2,0,0,($AK214+IF(Smile=TRUE(),VLOOKUP(MAX(-5,Strikeprice2-K214),Volsmile,2),0)),($A214-DateToday)+15,IF(Pricetype2=1,1,0),0))),K214)))</f>
        <v> </v>
      </c>
      <c r="U214" s="319" t="str">
        <f aca="false">IF($A214="N/A"," ",Volume2*$AM214)</f>
        <v> </v>
      </c>
      <c r="V214" s="320" t="str">
        <f aca="false">IF($A214="N/A"," ",$U214*(8*($BQ214))*L214)</f>
        <v> </v>
      </c>
      <c r="W214" s="320" t="str">
        <f aca="false">IF($A214="N/A"," ",$U214*(8*($BQ214))*M214)</f>
        <v> </v>
      </c>
      <c r="X214" s="320" t="str">
        <f aca="false">IF($A214="N/A"," ",$U214*(8*($BQ214))*N214)</f>
        <v> </v>
      </c>
      <c r="Y214" s="320" t="str">
        <f aca="false">IF($A214="N/A"," ",$U214*(8*($BR214))*O214)</f>
        <v> </v>
      </c>
      <c r="Z214" s="320" t="str">
        <f aca="false">IF($A214="N/A"," ",$U214*(8*($BR214))*P214)</f>
        <v> </v>
      </c>
      <c r="AA214" s="320" t="str">
        <f aca="false">IF($A214="N/A"," ",$U214*(8*($BR214))*Q214)</f>
        <v> </v>
      </c>
      <c r="AB214" s="320" t="str">
        <f aca="false">IF($A214="N/A"," ",$U214*(8*($BS214))*R214)</f>
        <v> </v>
      </c>
      <c r="AC214" s="320" t="str">
        <f aca="false">IF($A214="N/A"," ",$U214*(8*($BS214))*S214)</f>
        <v> </v>
      </c>
      <c r="AD214" s="320" t="str">
        <f aca="false">IF($A214="N/A"," ",$U214*(8*($BS214))*T214)</f>
        <v> </v>
      </c>
      <c r="AE214" s="320" t="str">
        <f aca="false">IF($A214="N/A"," ",SUM(V214:AD214))</f>
        <v> </v>
      </c>
      <c r="AF214" s="321" t="str">
        <f aca="false">IF(A214="N/A"," ",(VLOOKUP(A214,PowerVolTable,(IF(VolBMO2=2,7,IF(VolBMO2=1,6,8))),FALSE())))</f>
        <v> </v>
      </c>
      <c r="AG214" s="321" t="str">
        <f aca="false">IF(A214="N/A"," ",(VLOOKUP(A214,IntraPowerVol,(IF(VolBMO2=2,3,IF(VolBMO2=1,2,4))),FALSE())*VLOOKUP(MONTH($A214),Volscale,2)))</f>
        <v> </v>
      </c>
      <c r="AH214" s="321" t="str">
        <f aca="false">IF($A214="N/A"," ",IF(VolType2=1,AG214,AF214))</f>
        <v> </v>
      </c>
      <c r="AI214" s="321" t="str">
        <f aca="false">IF($A214="N/A"," ",(VLOOKUP($A214,OffPwrVolTable,(IF(VolBMO2=2,7,IF(VolBMO2=1,6,8))),FALSE())))</f>
        <v> </v>
      </c>
      <c r="AJ214" s="321" t="str">
        <f aca="false">IF($A214="N/A"," ",(VLOOKUP($A214,OffPwrVolTable,(IF(VolBMO2=2,3,IF(VolBMO2=1,2,4))),FALSE())*VLOOKUP(MONTH($A214),Volscale,2)))</f>
        <v> </v>
      </c>
      <c r="AK214" s="321" t="str">
        <f aca="false">IF($A214="N/A"," ",IF(VolType2=1,AJ214,AI214))</f>
        <v> </v>
      </c>
      <c r="AL214" s="321" t="str">
        <f aca="false">IF($A214="N/A"," ",IF(PV=1,0,'Pricing Inputs2'!R247))</f>
        <v> </v>
      </c>
      <c r="AM214" s="323" t="str">
        <f aca="false">IF($A214="N/A"," ",(1+AL214/2)^(-2*((EOMONTH(A214,0)+20)-DateToday)/365.25))</f>
        <v> </v>
      </c>
      <c r="BQ214" s="0" t="str">
        <f aca="false">IF($A214="N/A"," ",(VLOOKUP($A214,NumberofDaysTable,2)))</f>
        <v> </v>
      </c>
      <c r="BR214" s="0" t="str">
        <f aca="false">IF($A214="N/A"," ",(VLOOKUP($A214,NumberofDaysTable,3)))</f>
        <v> </v>
      </c>
      <c r="BS214" s="0" t="str">
        <f aca="false">IF($A214="N/A"," ",(VLOOKUP($A214,NumberofDaysTable,4)))</f>
        <v> </v>
      </c>
    </row>
    <row r="215" customFormat="false" ht="12.75" hidden="false" customHeight="false" outlineLevel="0" collapsed="false">
      <c r="A215" s="315" t="str">
        <f aca="false">IF(A214="N/A","N/A",IF(EDATE(A214,1)&gt;Inputs!$P$5,"N/A",EDATE(A214,1)))</f>
        <v>N/A</v>
      </c>
      <c r="B215" s="316" t="str">
        <f aca="false">IF(A215="N/A"," ",YEAR(A215))</f>
        <v> </v>
      </c>
      <c r="C215" s="317" t="str">
        <f aca="false">IF($A215="N/A"," ",IF(Dayrun2=10,0,IF(Scaler2=1,(VLOOKUP(A215,ScaledPrice2,4)),(VLOOKUP(A215,ScaledPrice2,2)))))</f>
        <v> </v>
      </c>
      <c r="D215" s="317" t="str">
        <f aca="false">IF(A215="N/A"," ",IF(Dayrun2&gt;=7,0,IF(Scaler2=2,VLOOKUP(A215,ScaledPrice2,2),(VLOOKUP(A215,ScaledPrice2,2))*(2-(VLOOKUP(A215,ScaledPrice2,3))))))</f>
        <v> </v>
      </c>
      <c r="E215" s="317" t="str">
        <f aca="false">IF($A215="N/A"," ",IF(AND(Dayrun2&gt;=4,Dayrun2&lt;=9),0,VLOOKUP($A215,ScaledPrice2,9)))</f>
        <v> </v>
      </c>
      <c r="F215" s="317" t="str">
        <f aca="false">IF(A215="N/A"," ",IF(OR(Dayrun2=2,Dayrun2=3,Dayrun2=5,Dayrun2=6,Dayrun2=8,Dayrun2=9),VLOOKUP(A215,ScaledPrice2,IF(Scaler2=1,6,5)),0))</f>
        <v> </v>
      </c>
      <c r="G215" s="317" t="str">
        <f aca="false">IF(A215="N/A"," ",IF(OR(Dayrun2=2,Dayrun2=3,Dayrun2=5,Dayrun2=6),IF(Scaler2=2,F215,(VLOOKUP(A215,ScaledPrice2,5))*(2-(VLOOKUP(A215,ScaledPrice2,3)))),0))</f>
        <v> </v>
      </c>
      <c r="H215" s="317" t="str">
        <f aca="false">IF($A215="N/A"," ",IF(OR(Dayrun2=2,Dayrun2=3,Dayrun2=10),VLOOKUP($A215,ScaledPrice2,9),0))</f>
        <v> </v>
      </c>
      <c r="I215" s="317" t="str">
        <f aca="false">IF(A215="N/A"," ",IF(OR(Dayrun2=3,Dayrun2=6,Dayrun2=9),(VLOOKUP(A215,ScaledPrice2,IF(Scaler2=2,7,8))),0))</f>
        <v> </v>
      </c>
      <c r="J215" s="317" t="str">
        <f aca="false">IF(A215="N/A"," ",IF(OR(Dayrun2=3,Dayrun2=6),IF(Scaler2=2,I215,(VLOOKUP(A215,ScaledPrice2,7))*(2-(VLOOKUP(A215,ScaledPrice2,3)))),0))</f>
        <v> </v>
      </c>
      <c r="K215" s="317" t="str">
        <f aca="false">IF($A215="N/A"," ",IF(OR(Dayrun2=3,Dayrun2=10),VLOOKUP($A215,ScaledPrice2,9),0))</f>
        <v> </v>
      </c>
      <c r="L215" s="318" t="str">
        <f aca="false">IF($A215="N/A"," ",IF(Pricetype2=2,MAX(C215,0),IF(OR(Pricetype2=1,Pricetype2=4),IF(C215=0,0,(EURO(C215,Strikeprice2,0,0,($AH215+IF(Smile=TRUE(),VLOOKUP(MAX(-5,Strikeprice2-C215),Volsmile,2),0)),($A215-DateToday)+15,IF(Pricetype2=1,1,0),0))),C215)))</f>
        <v> </v>
      </c>
      <c r="M215" s="318" t="str">
        <f aca="false">IF($A215="N/A"," ",IF(Pricetype2=2,MAX(D215,0),IF(OR(Pricetype2=1,Pricetype2=4),IF(D215=0,0,(EURO(D215,Strikeprice2,0,0,($AH215+IF(Smile=TRUE(),VLOOKUP(MAX(-5,Strikeprice2-D215),Volsmile,2),0)),($A215-DateToday)+15,IF(Pricetype2=1,1,0),0))),D215)))</f>
        <v> </v>
      </c>
      <c r="N215" s="318" t="str">
        <f aca="false">IF($A215="N/A"," ",IF(Pricetype2=2,MAX(E215,0),IF(OR(Pricetype2=1,Pricetype2=4),IF(E215=0,0,(EURO(E215,Strikeprice2,0,0,($AK215+IF(Smile=TRUE(),VLOOKUP(MAX(-5,Strikeprice2-E215),Volsmile,2),0)),($A215-DateToday)+15,IF(Pricetype2=1,1,0),0))),E215)))</f>
        <v> </v>
      </c>
      <c r="O215" s="318" t="str">
        <f aca="false">IF($A215="N/A"," ",IF(Pricetype2=2,MAX(F215,0),IF(OR(Pricetype2=1,Pricetype2=4),IF(F215=0,0,(EURO(F215,Strikeprice2,0,0,($AK215+IF(Smile=TRUE(),VLOOKUP(MAX(-5,Strikeprice2-F215),Volsmile,2),0)),($A215-DateToday)+15,IF(Pricetype2=1,1,0),0))),F215)))</f>
        <v> </v>
      </c>
      <c r="P215" s="318" t="str">
        <f aca="false">IF($A215="N/A"," ",IF(Pricetype2=2,MAX(G215,0),IF(OR(Pricetype2=1,Pricetype2=4),IF(G215=0,0,(EURO(G215,Strikeprice2,0,0,($AK215+IF(Smile=TRUE(),VLOOKUP(MAX(-5,Strikeprice2-G215),Volsmile,2),0)),($A215-DateToday)+15,IF(Pricetype2=1,1,0),0))),G215)))</f>
        <v> </v>
      </c>
      <c r="Q215" s="318" t="str">
        <f aca="false">IF($A215="N/A"," ",IF(Pricetype2=2,MAX(H215,0),IF(OR(Pricetype2=1,Pricetype2=4),IF(H215=0,0,(EURO(H215,Strikeprice2,0,0,($AK215+IF(Smile=TRUE(),VLOOKUP(MAX(-5,Strikeprice2-H215),Volsmile,2),0)),($A215-DateToday)+15,IF(Pricetype2=1,1,0),0))),H215)))</f>
        <v> </v>
      </c>
      <c r="R215" s="318" t="str">
        <f aca="false">IF($A215="N/A"," ",IF(Pricetype2=2,MAX(I215,0),IF(OR(Pricetype2=1,Pricetype2=4),IF(I215=0,0,(EURO(I215,Strikeprice2,0,0,($AK215+IF(Smile=TRUE(),VLOOKUP(MAX(-5,Strikeprice2-I215),Volsmile,2),0)),($A215-DateToday)+15,IF(Pricetype2=1,1,0),0))),I215)))</f>
        <v> </v>
      </c>
      <c r="S215" s="318" t="str">
        <f aca="false">IF($A215="N/A"," ",IF(Pricetype2=2,MAX(J215,0),IF(OR(Pricetype2=1,Pricetype2=4),IF(J215=0,0,(EURO(J215,Strikeprice2,0,0,($AK215+IF(Smile=TRUE(),VLOOKUP(MAX(-5,Strikeprice2-J215),Volsmile,2),0)),($A215-DateToday)+15,IF(Pricetype2=1,1,0),0))),J215)))</f>
        <v> </v>
      </c>
      <c r="T215" s="318" t="str">
        <f aca="false">IF($A215="N/A"," ",IF(Pricetype2=2,MAX(K215,0),IF(OR(Pricetype2=1,Pricetype2=4),IF(K215=0,0,(EURO(K215,Strikeprice2,0,0,($AK215+IF(Smile=TRUE(),VLOOKUP(MAX(-5,Strikeprice2-K215),Volsmile,2),0)),($A215-DateToday)+15,IF(Pricetype2=1,1,0),0))),K215)))</f>
        <v> </v>
      </c>
      <c r="U215" s="319" t="str">
        <f aca="false">IF($A215="N/A"," ",Volume2*$AM215)</f>
        <v> </v>
      </c>
      <c r="V215" s="320" t="str">
        <f aca="false">IF($A215="N/A"," ",$U215*(8*($BQ215))*L215)</f>
        <v> </v>
      </c>
      <c r="W215" s="320" t="str">
        <f aca="false">IF($A215="N/A"," ",$U215*(8*($BQ215))*M215)</f>
        <v> </v>
      </c>
      <c r="X215" s="320" t="str">
        <f aca="false">IF($A215="N/A"," ",$U215*(8*($BQ215))*N215)</f>
        <v> </v>
      </c>
      <c r="Y215" s="320" t="str">
        <f aca="false">IF($A215="N/A"," ",$U215*(8*($BR215))*O215)</f>
        <v> </v>
      </c>
      <c r="Z215" s="320" t="str">
        <f aca="false">IF($A215="N/A"," ",$U215*(8*($BR215))*P215)</f>
        <v> </v>
      </c>
      <c r="AA215" s="320" t="str">
        <f aca="false">IF($A215="N/A"," ",$U215*(8*($BR215))*Q215)</f>
        <v> </v>
      </c>
      <c r="AB215" s="320" t="str">
        <f aca="false">IF($A215="N/A"," ",$U215*(8*($BS215))*R215)</f>
        <v> </v>
      </c>
      <c r="AC215" s="320" t="str">
        <f aca="false">IF($A215="N/A"," ",$U215*(8*($BS215))*S215)</f>
        <v> </v>
      </c>
      <c r="AD215" s="320" t="str">
        <f aca="false">IF($A215="N/A"," ",$U215*(8*($BS215))*T215)</f>
        <v> </v>
      </c>
      <c r="AE215" s="320" t="str">
        <f aca="false">IF($A215="N/A"," ",SUM(V215:AD215))</f>
        <v> </v>
      </c>
      <c r="AF215" s="321" t="str">
        <f aca="false">IF(A215="N/A"," ",(VLOOKUP(A215,PowerVolTable,(IF(VolBMO2=2,7,IF(VolBMO2=1,6,8))),FALSE())))</f>
        <v> </v>
      </c>
      <c r="AG215" s="321" t="str">
        <f aca="false">IF(A215="N/A"," ",(VLOOKUP(A215,IntraPowerVol,(IF(VolBMO2=2,3,IF(VolBMO2=1,2,4))),FALSE())*VLOOKUP(MONTH($A215),Volscale,2)))</f>
        <v> </v>
      </c>
      <c r="AH215" s="321" t="str">
        <f aca="false">IF($A215="N/A"," ",IF(VolType2=1,AG215,AF215))</f>
        <v> </v>
      </c>
      <c r="AI215" s="321" t="str">
        <f aca="false">IF($A215="N/A"," ",(VLOOKUP($A215,OffPwrVolTable,(IF(VolBMO2=2,7,IF(VolBMO2=1,6,8))),FALSE())))</f>
        <v> </v>
      </c>
      <c r="AJ215" s="321" t="str">
        <f aca="false">IF($A215="N/A"," ",(VLOOKUP($A215,OffPwrVolTable,(IF(VolBMO2=2,3,IF(VolBMO2=1,2,4))),FALSE())*VLOOKUP(MONTH($A215),Volscale,2)))</f>
        <v> </v>
      </c>
      <c r="AK215" s="321" t="str">
        <f aca="false">IF($A215="N/A"," ",IF(VolType2=1,AJ215,AI215))</f>
        <v> </v>
      </c>
      <c r="AL215" s="321" t="str">
        <f aca="false">IF($A215="N/A"," ",IF(PV=1,0,'Pricing Inputs2'!R248))</f>
        <v> </v>
      </c>
      <c r="AM215" s="323" t="str">
        <f aca="false">IF($A215="N/A"," ",(1+AL215/2)^(-2*((EOMONTH(A215,0)+20)-DateToday)/365.25))</f>
        <v> </v>
      </c>
      <c r="BQ215" s="0" t="str">
        <f aca="false">IF($A215="N/A"," ",(VLOOKUP($A215,NumberofDaysTable,2)))</f>
        <v> </v>
      </c>
      <c r="BR215" s="0" t="str">
        <f aca="false">IF($A215="N/A"," ",(VLOOKUP($A215,NumberofDaysTable,3)))</f>
        <v> </v>
      </c>
      <c r="BS215" s="0" t="str">
        <f aca="false">IF($A215="N/A"," ",(VLOOKUP($A215,NumberofDaysTable,4)))</f>
        <v> </v>
      </c>
    </row>
    <row r="216" customFormat="false" ht="12.75" hidden="false" customHeight="false" outlineLevel="0" collapsed="false">
      <c r="A216" s="315" t="str">
        <f aca="false">IF(A215="N/A","N/A",IF(EDATE(A215,1)&gt;Inputs!$P$5,"N/A",EDATE(A215,1)))</f>
        <v>N/A</v>
      </c>
      <c r="B216" s="316" t="str">
        <f aca="false">IF(A216="N/A"," ",YEAR(A216))</f>
        <v> </v>
      </c>
      <c r="C216" s="317" t="str">
        <f aca="false">IF($A216="N/A"," ",IF(Dayrun2=10,0,IF(Scaler2=1,(VLOOKUP(A216,ScaledPrice2,4)),(VLOOKUP(A216,ScaledPrice2,2)))))</f>
        <v> </v>
      </c>
      <c r="D216" s="317" t="str">
        <f aca="false">IF(A216="N/A"," ",IF(Dayrun2&gt;=7,0,IF(Scaler2=2,VLOOKUP(A216,ScaledPrice2,2),(VLOOKUP(A216,ScaledPrice2,2))*(2-(VLOOKUP(A216,ScaledPrice2,3))))))</f>
        <v> </v>
      </c>
      <c r="E216" s="317" t="str">
        <f aca="false">IF($A216="N/A"," ",IF(AND(Dayrun2&gt;=4,Dayrun2&lt;=9),0,VLOOKUP($A216,ScaledPrice2,9)))</f>
        <v> </v>
      </c>
      <c r="F216" s="317" t="str">
        <f aca="false">IF(A216="N/A"," ",IF(OR(Dayrun2=2,Dayrun2=3,Dayrun2=5,Dayrun2=6,Dayrun2=8,Dayrun2=9),VLOOKUP(A216,ScaledPrice2,IF(Scaler2=1,6,5)),0))</f>
        <v> </v>
      </c>
      <c r="G216" s="317" t="str">
        <f aca="false">IF(A216="N/A"," ",IF(OR(Dayrun2=2,Dayrun2=3,Dayrun2=5,Dayrun2=6),IF(Scaler2=2,F216,(VLOOKUP(A216,ScaledPrice2,5))*(2-(VLOOKUP(A216,ScaledPrice2,3)))),0))</f>
        <v> </v>
      </c>
      <c r="H216" s="317" t="str">
        <f aca="false">IF($A216="N/A"," ",IF(OR(Dayrun2=2,Dayrun2=3,Dayrun2=10),VLOOKUP($A216,ScaledPrice2,9),0))</f>
        <v> </v>
      </c>
      <c r="I216" s="317" t="str">
        <f aca="false">IF(A216="N/A"," ",IF(OR(Dayrun2=3,Dayrun2=6,Dayrun2=9),(VLOOKUP(A216,ScaledPrice2,IF(Scaler2=2,7,8))),0))</f>
        <v> </v>
      </c>
      <c r="J216" s="317" t="str">
        <f aca="false">IF(A216="N/A"," ",IF(OR(Dayrun2=3,Dayrun2=6),IF(Scaler2=2,I216,(VLOOKUP(A216,ScaledPrice2,7))*(2-(VLOOKUP(A216,ScaledPrice2,3)))),0))</f>
        <v> </v>
      </c>
      <c r="K216" s="317" t="str">
        <f aca="false">IF($A216="N/A"," ",IF(OR(Dayrun2=3,Dayrun2=10),VLOOKUP($A216,ScaledPrice2,9),0))</f>
        <v> </v>
      </c>
      <c r="L216" s="318" t="str">
        <f aca="false">IF($A216="N/A"," ",IF(Pricetype2=2,MAX(C216,0),IF(OR(Pricetype2=1,Pricetype2=4),IF(C216=0,0,(EURO(C216,Strikeprice2,0,0,($AH216+IF(Smile=TRUE(),VLOOKUP(MAX(-5,Strikeprice2-C216),Volsmile,2),0)),($A216-DateToday)+15,IF(Pricetype2=1,1,0),0))),C216)))</f>
        <v> </v>
      </c>
      <c r="M216" s="318" t="str">
        <f aca="false">IF($A216="N/A"," ",IF(Pricetype2=2,MAX(D216,0),IF(OR(Pricetype2=1,Pricetype2=4),IF(D216=0,0,(EURO(D216,Strikeprice2,0,0,($AH216+IF(Smile=TRUE(),VLOOKUP(MAX(-5,Strikeprice2-D216),Volsmile,2),0)),($A216-DateToday)+15,IF(Pricetype2=1,1,0),0))),D216)))</f>
        <v> </v>
      </c>
      <c r="N216" s="318" t="str">
        <f aca="false">IF($A216="N/A"," ",IF(Pricetype2=2,MAX(E216,0),IF(OR(Pricetype2=1,Pricetype2=4),IF(E216=0,0,(EURO(E216,Strikeprice2,0,0,($AK216+IF(Smile=TRUE(),VLOOKUP(MAX(-5,Strikeprice2-E216),Volsmile,2),0)),($A216-DateToday)+15,IF(Pricetype2=1,1,0),0))),E216)))</f>
        <v> </v>
      </c>
      <c r="O216" s="318" t="str">
        <f aca="false">IF($A216="N/A"," ",IF(Pricetype2=2,MAX(F216,0),IF(OR(Pricetype2=1,Pricetype2=4),IF(F216=0,0,(EURO(F216,Strikeprice2,0,0,($AK216+IF(Smile=TRUE(),VLOOKUP(MAX(-5,Strikeprice2-F216),Volsmile,2),0)),($A216-DateToday)+15,IF(Pricetype2=1,1,0),0))),F216)))</f>
        <v> </v>
      </c>
      <c r="P216" s="318" t="str">
        <f aca="false">IF($A216="N/A"," ",IF(Pricetype2=2,MAX(G216,0),IF(OR(Pricetype2=1,Pricetype2=4),IF(G216=0,0,(EURO(G216,Strikeprice2,0,0,($AK216+IF(Smile=TRUE(),VLOOKUP(MAX(-5,Strikeprice2-G216),Volsmile,2),0)),($A216-DateToday)+15,IF(Pricetype2=1,1,0),0))),G216)))</f>
        <v> </v>
      </c>
      <c r="Q216" s="318" t="str">
        <f aca="false">IF($A216="N/A"," ",IF(Pricetype2=2,MAX(H216,0),IF(OR(Pricetype2=1,Pricetype2=4),IF(H216=0,0,(EURO(H216,Strikeprice2,0,0,($AK216+IF(Smile=TRUE(),VLOOKUP(MAX(-5,Strikeprice2-H216),Volsmile,2),0)),($A216-DateToday)+15,IF(Pricetype2=1,1,0),0))),H216)))</f>
        <v> </v>
      </c>
      <c r="R216" s="318" t="str">
        <f aca="false">IF($A216="N/A"," ",IF(Pricetype2=2,MAX(I216,0),IF(OR(Pricetype2=1,Pricetype2=4),IF(I216=0,0,(EURO(I216,Strikeprice2,0,0,($AK216+IF(Smile=TRUE(),VLOOKUP(MAX(-5,Strikeprice2-I216),Volsmile,2),0)),($A216-DateToday)+15,IF(Pricetype2=1,1,0),0))),I216)))</f>
        <v> </v>
      </c>
      <c r="S216" s="318" t="str">
        <f aca="false">IF($A216="N/A"," ",IF(Pricetype2=2,MAX(J216,0),IF(OR(Pricetype2=1,Pricetype2=4),IF(J216=0,0,(EURO(J216,Strikeprice2,0,0,($AK216+IF(Smile=TRUE(),VLOOKUP(MAX(-5,Strikeprice2-J216),Volsmile,2),0)),($A216-DateToday)+15,IF(Pricetype2=1,1,0),0))),J216)))</f>
        <v> </v>
      </c>
      <c r="T216" s="318" t="str">
        <f aca="false">IF($A216="N/A"," ",IF(Pricetype2=2,MAX(K216,0),IF(OR(Pricetype2=1,Pricetype2=4),IF(K216=0,0,(EURO(K216,Strikeprice2,0,0,($AK216+IF(Smile=TRUE(),VLOOKUP(MAX(-5,Strikeprice2-K216),Volsmile,2),0)),($A216-DateToday)+15,IF(Pricetype2=1,1,0),0))),K216)))</f>
        <v> </v>
      </c>
      <c r="U216" s="319" t="str">
        <f aca="false">IF($A216="N/A"," ",Volume2*$AM216)</f>
        <v> </v>
      </c>
      <c r="V216" s="320" t="str">
        <f aca="false">IF($A216="N/A"," ",$U216*(8*($BQ216))*L216)</f>
        <v> </v>
      </c>
      <c r="W216" s="320" t="str">
        <f aca="false">IF($A216="N/A"," ",$U216*(8*($BQ216))*M216)</f>
        <v> </v>
      </c>
      <c r="X216" s="320" t="str">
        <f aca="false">IF($A216="N/A"," ",$U216*(8*($BQ216))*N216)</f>
        <v> </v>
      </c>
      <c r="Y216" s="320" t="str">
        <f aca="false">IF($A216="N/A"," ",$U216*(8*($BR216))*O216)</f>
        <v> </v>
      </c>
      <c r="Z216" s="320" t="str">
        <f aca="false">IF($A216="N/A"," ",$U216*(8*($BR216))*P216)</f>
        <v> </v>
      </c>
      <c r="AA216" s="320" t="str">
        <f aca="false">IF($A216="N/A"," ",$U216*(8*($BR216))*Q216)</f>
        <v> </v>
      </c>
      <c r="AB216" s="320" t="str">
        <f aca="false">IF($A216="N/A"," ",$U216*(8*($BS216))*R216)</f>
        <v> </v>
      </c>
      <c r="AC216" s="320" t="str">
        <f aca="false">IF($A216="N/A"," ",$U216*(8*($BS216))*S216)</f>
        <v> </v>
      </c>
      <c r="AD216" s="320" t="str">
        <f aca="false">IF($A216="N/A"," ",$U216*(8*($BS216))*T216)</f>
        <v> </v>
      </c>
      <c r="AE216" s="320" t="str">
        <f aca="false">IF($A216="N/A"," ",SUM(V216:AD216))</f>
        <v> </v>
      </c>
      <c r="AF216" s="321" t="str">
        <f aca="false">IF(A216="N/A"," ",(VLOOKUP(A216,PowerVolTable,(IF(VolBMO2=2,7,IF(VolBMO2=1,6,8))),FALSE())))</f>
        <v> </v>
      </c>
      <c r="AG216" s="321" t="str">
        <f aca="false">IF(A216="N/A"," ",(VLOOKUP(A216,IntraPowerVol,(IF(VolBMO2=2,3,IF(VolBMO2=1,2,4))),FALSE())*VLOOKUP(MONTH($A216),Volscale,2)))</f>
        <v> </v>
      </c>
      <c r="AH216" s="321" t="str">
        <f aca="false">IF($A216="N/A"," ",IF(VolType2=1,AG216,AF216))</f>
        <v> </v>
      </c>
      <c r="AI216" s="321" t="str">
        <f aca="false">IF($A216="N/A"," ",(VLOOKUP($A216,OffPwrVolTable,(IF(VolBMO2=2,7,IF(VolBMO2=1,6,8))),FALSE())))</f>
        <v> </v>
      </c>
      <c r="AJ216" s="321" t="str">
        <f aca="false">IF($A216="N/A"," ",(VLOOKUP($A216,OffPwrVolTable,(IF(VolBMO2=2,3,IF(VolBMO2=1,2,4))),FALSE())*VLOOKUP(MONTH($A216),Volscale,2)))</f>
        <v> </v>
      </c>
      <c r="AK216" s="321" t="str">
        <f aca="false">IF($A216="N/A"," ",IF(VolType2=1,AJ216,AI216))</f>
        <v> </v>
      </c>
      <c r="AL216" s="321" t="str">
        <f aca="false">IF($A216="N/A"," ",IF(PV=1,0,'Pricing Inputs2'!R249))</f>
        <v> </v>
      </c>
      <c r="AM216" s="323" t="str">
        <f aca="false">IF($A216="N/A"," ",(1+AL216/2)^(-2*((EOMONTH(A216,0)+20)-DateToday)/365.25))</f>
        <v> </v>
      </c>
      <c r="BQ216" s="0" t="str">
        <f aca="false">IF($A216="N/A"," ",(VLOOKUP($A216,NumberofDaysTable,2)))</f>
        <v> </v>
      </c>
      <c r="BR216" s="0" t="str">
        <f aca="false">IF($A216="N/A"," ",(VLOOKUP($A216,NumberofDaysTable,3)))</f>
        <v> </v>
      </c>
      <c r="BS216" s="0" t="str">
        <f aca="false">IF($A216="N/A"," ",(VLOOKUP($A216,NumberofDaysTable,4)))</f>
        <v> </v>
      </c>
    </row>
    <row r="217" customFormat="false" ht="12.75" hidden="false" customHeight="false" outlineLevel="0" collapsed="false">
      <c r="A217" s="315" t="str">
        <f aca="false">IF(A216="N/A","N/A",IF(EDATE(A216,1)&gt;Inputs!$P$5,"N/A",EDATE(A216,1)))</f>
        <v>N/A</v>
      </c>
      <c r="B217" s="316" t="str">
        <f aca="false">IF(A217="N/A"," ",YEAR(A217))</f>
        <v> </v>
      </c>
      <c r="C217" s="317" t="str">
        <f aca="false">IF($A217="N/A"," ",IF(Dayrun2=10,0,IF(Scaler2=1,(VLOOKUP(A217,ScaledPrice2,4)),(VLOOKUP(A217,ScaledPrice2,2)))))</f>
        <v> </v>
      </c>
      <c r="D217" s="317" t="str">
        <f aca="false">IF(A217="N/A"," ",IF(Dayrun2&gt;=7,0,IF(Scaler2=2,VLOOKUP(A217,ScaledPrice2,2),(VLOOKUP(A217,ScaledPrice2,2))*(2-(VLOOKUP(A217,ScaledPrice2,3))))))</f>
        <v> </v>
      </c>
      <c r="E217" s="317" t="str">
        <f aca="false">IF($A217="N/A"," ",IF(AND(Dayrun2&gt;=4,Dayrun2&lt;=9),0,VLOOKUP($A217,ScaledPrice2,9)))</f>
        <v> </v>
      </c>
      <c r="F217" s="317" t="str">
        <f aca="false">IF(A217="N/A"," ",IF(OR(Dayrun2=2,Dayrun2=3,Dayrun2=5,Dayrun2=6,Dayrun2=8,Dayrun2=9),VLOOKUP(A217,ScaledPrice2,IF(Scaler2=1,6,5)),0))</f>
        <v> </v>
      </c>
      <c r="G217" s="317" t="str">
        <f aca="false">IF(A217="N/A"," ",IF(OR(Dayrun2=2,Dayrun2=3,Dayrun2=5,Dayrun2=6),IF(Scaler2=2,F217,(VLOOKUP(A217,ScaledPrice2,5))*(2-(VLOOKUP(A217,ScaledPrice2,3)))),0))</f>
        <v> </v>
      </c>
      <c r="H217" s="317" t="str">
        <f aca="false">IF($A217="N/A"," ",IF(OR(Dayrun2=2,Dayrun2=3,Dayrun2=10),VLOOKUP($A217,ScaledPrice2,9),0))</f>
        <v> </v>
      </c>
      <c r="I217" s="317" t="str">
        <f aca="false">IF(A217="N/A"," ",IF(OR(Dayrun2=3,Dayrun2=6,Dayrun2=9),(VLOOKUP(A217,ScaledPrice2,IF(Scaler2=2,7,8))),0))</f>
        <v> </v>
      </c>
      <c r="J217" s="317" t="str">
        <f aca="false">IF(A217="N/A"," ",IF(OR(Dayrun2=3,Dayrun2=6),IF(Scaler2=2,I217,(VLOOKUP(A217,ScaledPrice2,7))*(2-(VLOOKUP(A217,ScaledPrice2,3)))),0))</f>
        <v> </v>
      </c>
      <c r="K217" s="317" t="str">
        <f aca="false">IF($A217="N/A"," ",IF(OR(Dayrun2=3,Dayrun2=10),VLOOKUP($A217,ScaledPrice2,9),0))</f>
        <v> </v>
      </c>
      <c r="L217" s="318" t="str">
        <f aca="false">IF($A217="N/A"," ",IF(Pricetype2=2,MAX(C217,0),IF(OR(Pricetype2=1,Pricetype2=4),IF(C217=0,0,(EURO(C217,Strikeprice2,0,0,($AH217+IF(Smile=TRUE(),VLOOKUP(MAX(-5,Strikeprice2-C217),Volsmile,2),0)),($A217-DateToday)+15,IF(Pricetype2=1,1,0),0))),C217)))</f>
        <v> </v>
      </c>
      <c r="M217" s="318" t="str">
        <f aca="false">IF($A217="N/A"," ",IF(Pricetype2=2,MAX(D217,0),IF(OR(Pricetype2=1,Pricetype2=4),IF(D217=0,0,(EURO(D217,Strikeprice2,0,0,($AH217+IF(Smile=TRUE(),VLOOKUP(MAX(-5,Strikeprice2-D217),Volsmile,2),0)),($A217-DateToday)+15,IF(Pricetype2=1,1,0),0))),D217)))</f>
        <v> </v>
      </c>
      <c r="N217" s="318" t="str">
        <f aca="false">IF($A217="N/A"," ",IF(Pricetype2=2,MAX(E217,0),IF(OR(Pricetype2=1,Pricetype2=4),IF(E217=0,0,(EURO(E217,Strikeprice2,0,0,($AK217+IF(Smile=TRUE(),VLOOKUP(MAX(-5,Strikeprice2-E217),Volsmile,2),0)),($A217-DateToday)+15,IF(Pricetype2=1,1,0),0))),E217)))</f>
        <v> </v>
      </c>
      <c r="O217" s="318" t="str">
        <f aca="false">IF($A217="N/A"," ",IF(Pricetype2=2,MAX(F217,0),IF(OR(Pricetype2=1,Pricetype2=4),IF(F217=0,0,(EURO(F217,Strikeprice2,0,0,($AK217+IF(Smile=TRUE(),VLOOKUP(MAX(-5,Strikeprice2-F217),Volsmile,2),0)),($A217-DateToday)+15,IF(Pricetype2=1,1,0),0))),F217)))</f>
        <v> </v>
      </c>
      <c r="P217" s="318" t="str">
        <f aca="false">IF($A217="N/A"," ",IF(Pricetype2=2,MAX(G217,0),IF(OR(Pricetype2=1,Pricetype2=4),IF(G217=0,0,(EURO(G217,Strikeprice2,0,0,($AK217+IF(Smile=TRUE(),VLOOKUP(MAX(-5,Strikeprice2-G217),Volsmile,2),0)),($A217-DateToday)+15,IF(Pricetype2=1,1,0),0))),G217)))</f>
        <v> </v>
      </c>
      <c r="Q217" s="318" t="str">
        <f aca="false">IF($A217="N/A"," ",IF(Pricetype2=2,MAX(H217,0),IF(OR(Pricetype2=1,Pricetype2=4),IF(H217=0,0,(EURO(H217,Strikeprice2,0,0,($AK217+IF(Smile=TRUE(),VLOOKUP(MAX(-5,Strikeprice2-H217),Volsmile,2),0)),($A217-DateToday)+15,IF(Pricetype2=1,1,0),0))),H217)))</f>
        <v> </v>
      </c>
      <c r="R217" s="318" t="str">
        <f aca="false">IF($A217="N/A"," ",IF(Pricetype2=2,MAX(I217,0),IF(OR(Pricetype2=1,Pricetype2=4),IF(I217=0,0,(EURO(I217,Strikeprice2,0,0,($AK217+IF(Smile=TRUE(),VLOOKUP(MAX(-5,Strikeprice2-I217),Volsmile,2),0)),($A217-DateToday)+15,IF(Pricetype2=1,1,0),0))),I217)))</f>
        <v> </v>
      </c>
      <c r="S217" s="318" t="str">
        <f aca="false">IF($A217="N/A"," ",IF(Pricetype2=2,MAX(J217,0),IF(OR(Pricetype2=1,Pricetype2=4),IF(J217=0,0,(EURO(J217,Strikeprice2,0,0,($AK217+IF(Smile=TRUE(),VLOOKUP(MAX(-5,Strikeprice2-J217),Volsmile,2),0)),($A217-DateToday)+15,IF(Pricetype2=1,1,0),0))),J217)))</f>
        <v> </v>
      </c>
      <c r="T217" s="318" t="str">
        <f aca="false">IF($A217="N/A"," ",IF(Pricetype2=2,MAX(K217,0),IF(OR(Pricetype2=1,Pricetype2=4),IF(K217=0,0,(EURO(K217,Strikeprice2,0,0,($AK217+IF(Smile=TRUE(),VLOOKUP(MAX(-5,Strikeprice2-K217),Volsmile,2),0)),($A217-DateToday)+15,IF(Pricetype2=1,1,0),0))),K217)))</f>
        <v> </v>
      </c>
      <c r="U217" s="319" t="str">
        <f aca="false">IF($A217="N/A"," ",Volume2*$AM217)</f>
        <v> </v>
      </c>
      <c r="V217" s="320" t="str">
        <f aca="false">IF($A217="N/A"," ",$U217*(8*($BQ217))*L217)</f>
        <v> </v>
      </c>
      <c r="W217" s="320" t="str">
        <f aca="false">IF($A217="N/A"," ",$U217*(8*($BQ217))*M217)</f>
        <v> </v>
      </c>
      <c r="X217" s="320" t="str">
        <f aca="false">IF($A217="N/A"," ",$U217*(8*($BQ217))*N217)</f>
        <v> </v>
      </c>
      <c r="Y217" s="320" t="str">
        <f aca="false">IF($A217="N/A"," ",$U217*(8*($BR217))*O217)</f>
        <v> </v>
      </c>
      <c r="Z217" s="320" t="str">
        <f aca="false">IF($A217="N/A"," ",$U217*(8*($BR217))*P217)</f>
        <v> </v>
      </c>
      <c r="AA217" s="320" t="str">
        <f aca="false">IF($A217="N/A"," ",$U217*(8*($BR217))*Q217)</f>
        <v> </v>
      </c>
      <c r="AB217" s="320" t="str">
        <f aca="false">IF($A217="N/A"," ",$U217*(8*($BS217))*R217)</f>
        <v> </v>
      </c>
      <c r="AC217" s="320" t="str">
        <f aca="false">IF($A217="N/A"," ",$U217*(8*($BS217))*S217)</f>
        <v> </v>
      </c>
      <c r="AD217" s="320" t="str">
        <f aca="false">IF($A217="N/A"," ",$U217*(8*($BS217))*T217)</f>
        <v> </v>
      </c>
      <c r="AE217" s="320" t="str">
        <f aca="false">IF($A217="N/A"," ",SUM(V217:AD217))</f>
        <v> </v>
      </c>
      <c r="AF217" s="321" t="str">
        <f aca="false">IF(A217="N/A"," ",(VLOOKUP(A217,PowerVolTable,(IF(VolBMO2=2,7,IF(VolBMO2=1,6,8))),FALSE())))</f>
        <v> </v>
      </c>
      <c r="AG217" s="321" t="str">
        <f aca="false">IF(A217="N/A"," ",(VLOOKUP(A217,IntraPowerVol,(IF(VolBMO2=2,3,IF(VolBMO2=1,2,4))),FALSE())*VLOOKUP(MONTH($A217),Volscale,2)))</f>
        <v> </v>
      </c>
      <c r="AH217" s="321" t="str">
        <f aca="false">IF($A217="N/A"," ",IF(VolType2=1,AG217,AF217))</f>
        <v> </v>
      </c>
      <c r="AI217" s="321" t="str">
        <f aca="false">IF($A217="N/A"," ",(VLOOKUP($A217,OffPwrVolTable,(IF(VolBMO2=2,7,IF(VolBMO2=1,6,8))),FALSE())))</f>
        <v> </v>
      </c>
      <c r="AJ217" s="321" t="str">
        <f aca="false">IF($A217="N/A"," ",(VLOOKUP($A217,OffPwrVolTable,(IF(VolBMO2=2,3,IF(VolBMO2=1,2,4))),FALSE())*VLOOKUP(MONTH($A217),Volscale,2)))</f>
        <v> </v>
      </c>
      <c r="AK217" s="321" t="str">
        <f aca="false">IF($A217="N/A"," ",IF(VolType2=1,AJ217,AI217))</f>
        <v> </v>
      </c>
      <c r="AL217" s="321" t="str">
        <f aca="false">IF($A217="N/A"," ",IF(PV=1,0,'Pricing Inputs2'!R250))</f>
        <v> </v>
      </c>
      <c r="AM217" s="323" t="str">
        <f aca="false">IF($A217="N/A"," ",(1+AL217/2)^(-2*((EOMONTH(A217,0)+20)-DateToday)/365.25))</f>
        <v> </v>
      </c>
      <c r="BQ217" s="0" t="str">
        <f aca="false">IF($A217="N/A"," ",(VLOOKUP($A217,NumberofDaysTable,2)))</f>
        <v> </v>
      </c>
      <c r="BR217" s="0" t="str">
        <f aca="false">IF($A217="N/A"," ",(VLOOKUP($A217,NumberofDaysTable,3)))</f>
        <v> </v>
      </c>
      <c r="BS217" s="0" t="str">
        <f aca="false">IF($A217="N/A"," ",(VLOOKUP($A217,NumberofDaysTable,4)))</f>
        <v> </v>
      </c>
    </row>
    <row r="218" customFormat="false" ht="12.75" hidden="false" customHeight="false" outlineLevel="0" collapsed="false">
      <c r="A218" s="315" t="str">
        <f aca="false">IF(A217="N/A","N/A",IF(EDATE(A217,1)&gt;Inputs!$P$5,"N/A",EDATE(A217,1)))</f>
        <v>N/A</v>
      </c>
      <c r="B218" s="316" t="str">
        <f aca="false">IF(A218="N/A"," ",YEAR(A218))</f>
        <v> </v>
      </c>
      <c r="C218" s="317" t="str">
        <f aca="false">IF($A218="N/A"," ",IF(Dayrun2=10,0,IF(Scaler2=1,(VLOOKUP(A218,ScaledPrice2,4)),(VLOOKUP(A218,ScaledPrice2,2)))))</f>
        <v> </v>
      </c>
      <c r="D218" s="317" t="str">
        <f aca="false">IF(A218="N/A"," ",IF(Dayrun2&gt;=7,0,IF(Scaler2=2,VLOOKUP(A218,ScaledPrice2,2),(VLOOKUP(A218,ScaledPrice2,2))*(2-(VLOOKUP(A218,ScaledPrice2,3))))))</f>
        <v> </v>
      </c>
      <c r="E218" s="317" t="str">
        <f aca="false">IF($A218="N/A"," ",IF(AND(Dayrun2&gt;=4,Dayrun2&lt;=9),0,VLOOKUP($A218,ScaledPrice2,9)))</f>
        <v> </v>
      </c>
      <c r="F218" s="317" t="str">
        <f aca="false">IF(A218="N/A"," ",IF(OR(Dayrun2=2,Dayrun2=3,Dayrun2=5,Dayrun2=6,Dayrun2=8,Dayrun2=9),VLOOKUP(A218,ScaledPrice2,IF(Scaler2=1,6,5)),0))</f>
        <v> </v>
      </c>
      <c r="G218" s="317" t="str">
        <f aca="false">IF(A218="N/A"," ",IF(OR(Dayrun2=2,Dayrun2=3,Dayrun2=5,Dayrun2=6),IF(Scaler2=2,F218,(VLOOKUP(A218,ScaledPrice2,5))*(2-(VLOOKUP(A218,ScaledPrice2,3)))),0))</f>
        <v> </v>
      </c>
      <c r="H218" s="317" t="str">
        <f aca="false">IF($A218="N/A"," ",IF(OR(Dayrun2=2,Dayrun2=3,Dayrun2=10),VLOOKUP($A218,ScaledPrice2,9),0))</f>
        <v> </v>
      </c>
      <c r="I218" s="317" t="str">
        <f aca="false">IF(A218="N/A"," ",IF(OR(Dayrun2=3,Dayrun2=6,Dayrun2=9),(VLOOKUP(A218,ScaledPrice2,IF(Scaler2=2,7,8))),0))</f>
        <v> </v>
      </c>
      <c r="J218" s="317" t="str">
        <f aca="false">IF(A218="N/A"," ",IF(OR(Dayrun2=3,Dayrun2=6),IF(Scaler2=2,I218,(VLOOKUP(A218,ScaledPrice2,7))*(2-(VLOOKUP(A218,ScaledPrice2,3)))),0))</f>
        <v> </v>
      </c>
      <c r="K218" s="317" t="str">
        <f aca="false">IF($A218="N/A"," ",IF(OR(Dayrun2=3,Dayrun2=10),VLOOKUP($A218,ScaledPrice2,9),0))</f>
        <v> </v>
      </c>
      <c r="L218" s="318" t="str">
        <f aca="false">IF($A218="N/A"," ",IF(Pricetype2=2,MAX(C218,0),IF(OR(Pricetype2=1,Pricetype2=4),IF(C218=0,0,(EURO(C218,Strikeprice2,0,0,($AH218+IF(Smile=TRUE(),VLOOKUP(MAX(-5,Strikeprice2-C218),Volsmile,2),0)),($A218-DateToday)+15,IF(Pricetype2=1,1,0),0))),C218)))</f>
        <v> </v>
      </c>
      <c r="M218" s="318" t="str">
        <f aca="false">IF($A218="N/A"," ",IF(Pricetype2=2,MAX(D218,0),IF(OR(Pricetype2=1,Pricetype2=4),IF(D218=0,0,(EURO(D218,Strikeprice2,0,0,($AH218+IF(Smile=TRUE(),VLOOKUP(MAX(-5,Strikeprice2-D218),Volsmile,2),0)),($A218-DateToday)+15,IF(Pricetype2=1,1,0),0))),D218)))</f>
        <v> </v>
      </c>
      <c r="N218" s="318" t="str">
        <f aca="false">IF($A218="N/A"," ",IF(Pricetype2=2,MAX(E218,0),IF(OR(Pricetype2=1,Pricetype2=4),IF(E218=0,0,(EURO(E218,Strikeprice2,0,0,($AK218+IF(Smile=TRUE(),VLOOKUP(MAX(-5,Strikeprice2-E218),Volsmile,2),0)),($A218-DateToday)+15,IF(Pricetype2=1,1,0),0))),E218)))</f>
        <v> </v>
      </c>
      <c r="O218" s="318" t="str">
        <f aca="false">IF($A218="N/A"," ",IF(Pricetype2=2,MAX(F218,0),IF(OR(Pricetype2=1,Pricetype2=4),IF(F218=0,0,(EURO(F218,Strikeprice2,0,0,($AK218+IF(Smile=TRUE(),VLOOKUP(MAX(-5,Strikeprice2-F218),Volsmile,2),0)),($A218-DateToday)+15,IF(Pricetype2=1,1,0),0))),F218)))</f>
        <v> </v>
      </c>
      <c r="P218" s="318" t="str">
        <f aca="false">IF($A218="N/A"," ",IF(Pricetype2=2,MAX(G218,0),IF(OR(Pricetype2=1,Pricetype2=4),IF(G218=0,0,(EURO(G218,Strikeprice2,0,0,($AK218+IF(Smile=TRUE(),VLOOKUP(MAX(-5,Strikeprice2-G218),Volsmile,2),0)),($A218-DateToday)+15,IF(Pricetype2=1,1,0),0))),G218)))</f>
        <v> </v>
      </c>
      <c r="Q218" s="318" t="str">
        <f aca="false">IF($A218="N/A"," ",IF(Pricetype2=2,MAX(H218,0),IF(OR(Pricetype2=1,Pricetype2=4),IF(H218=0,0,(EURO(H218,Strikeprice2,0,0,($AK218+IF(Smile=TRUE(),VLOOKUP(MAX(-5,Strikeprice2-H218),Volsmile,2),0)),($A218-DateToday)+15,IF(Pricetype2=1,1,0),0))),H218)))</f>
        <v> </v>
      </c>
      <c r="R218" s="318" t="str">
        <f aca="false">IF($A218="N/A"," ",IF(Pricetype2=2,MAX(I218,0),IF(OR(Pricetype2=1,Pricetype2=4),IF(I218=0,0,(EURO(I218,Strikeprice2,0,0,($AK218+IF(Smile=TRUE(),VLOOKUP(MAX(-5,Strikeprice2-I218),Volsmile,2),0)),($A218-DateToday)+15,IF(Pricetype2=1,1,0),0))),I218)))</f>
        <v> </v>
      </c>
      <c r="S218" s="318" t="str">
        <f aca="false">IF($A218="N/A"," ",IF(Pricetype2=2,MAX(J218,0),IF(OR(Pricetype2=1,Pricetype2=4),IF(J218=0,0,(EURO(J218,Strikeprice2,0,0,($AK218+IF(Smile=TRUE(),VLOOKUP(MAX(-5,Strikeprice2-J218),Volsmile,2),0)),($A218-DateToday)+15,IF(Pricetype2=1,1,0),0))),J218)))</f>
        <v> </v>
      </c>
      <c r="T218" s="318" t="str">
        <f aca="false">IF($A218="N/A"," ",IF(Pricetype2=2,MAX(K218,0),IF(OR(Pricetype2=1,Pricetype2=4),IF(K218=0,0,(EURO(K218,Strikeprice2,0,0,($AK218+IF(Smile=TRUE(),VLOOKUP(MAX(-5,Strikeprice2-K218),Volsmile,2),0)),($A218-DateToday)+15,IF(Pricetype2=1,1,0),0))),K218)))</f>
        <v> </v>
      </c>
      <c r="U218" s="319" t="str">
        <f aca="false">IF($A218="N/A"," ",Volume2*$AM218)</f>
        <v> </v>
      </c>
      <c r="V218" s="320" t="str">
        <f aca="false">IF($A218="N/A"," ",$U218*(8*($BQ218))*L218)</f>
        <v> </v>
      </c>
      <c r="W218" s="320" t="str">
        <f aca="false">IF($A218="N/A"," ",$U218*(8*($BQ218))*M218)</f>
        <v> </v>
      </c>
      <c r="X218" s="320" t="str">
        <f aca="false">IF($A218="N/A"," ",$U218*(8*($BQ218))*N218)</f>
        <v> </v>
      </c>
      <c r="Y218" s="320" t="str">
        <f aca="false">IF($A218="N/A"," ",$U218*(8*($BR218))*O218)</f>
        <v> </v>
      </c>
      <c r="Z218" s="320" t="str">
        <f aca="false">IF($A218="N/A"," ",$U218*(8*($BR218))*P218)</f>
        <v> </v>
      </c>
      <c r="AA218" s="320" t="str">
        <f aca="false">IF($A218="N/A"," ",$U218*(8*($BR218))*Q218)</f>
        <v> </v>
      </c>
      <c r="AB218" s="320" t="str">
        <f aca="false">IF($A218="N/A"," ",$U218*(8*($BS218))*R218)</f>
        <v> </v>
      </c>
      <c r="AC218" s="320" t="str">
        <f aca="false">IF($A218="N/A"," ",$U218*(8*($BS218))*S218)</f>
        <v> </v>
      </c>
      <c r="AD218" s="320" t="str">
        <f aca="false">IF($A218="N/A"," ",$U218*(8*($BS218))*T218)</f>
        <v> </v>
      </c>
      <c r="AE218" s="320" t="str">
        <f aca="false">IF($A218="N/A"," ",SUM(V218:AD218))</f>
        <v> </v>
      </c>
      <c r="AF218" s="321" t="str">
        <f aca="false">IF(A218="N/A"," ",(VLOOKUP(A218,PowerVolTable,(IF(VolBMO2=2,7,IF(VolBMO2=1,6,8))),FALSE())))</f>
        <v> </v>
      </c>
      <c r="AG218" s="321" t="str">
        <f aca="false">IF(A218="N/A"," ",(VLOOKUP(A218,IntraPowerVol,(IF(VolBMO2=2,3,IF(VolBMO2=1,2,4))),FALSE())*VLOOKUP(MONTH($A218),Volscale,2)))</f>
        <v> </v>
      </c>
      <c r="AH218" s="321" t="str">
        <f aca="false">IF($A218="N/A"," ",IF(VolType2=1,AG218,AF218))</f>
        <v> </v>
      </c>
      <c r="AI218" s="321" t="str">
        <f aca="false">IF($A218="N/A"," ",(VLOOKUP($A218,OffPwrVolTable,(IF(VolBMO2=2,7,IF(VolBMO2=1,6,8))),FALSE())))</f>
        <v> </v>
      </c>
      <c r="AJ218" s="321" t="str">
        <f aca="false">IF($A218="N/A"," ",(VLOOKUP($A218,OffPwrVolTable,(IF(VolBMO2=2,3,IF(VolBMO2=1,2,4))),FALSE())*VLOOKUP(MONTH($A218),Volscale,2)))</f>
        <v> </v>
      </c>
      <c r="AK218" s="321" t="str">
        <f aca="false">IF($A218="N/A"," ",IF(VolType2=1,AJ218,AI218))</f>
        <v> </v>
      </c>
      <c r="AL218" s="321" t="str">
        <f aca="false">IF($A218="N/A"," ",IF(PV=1,0,'Pricing Inputs2'!R251))</f>
        <v> </v>
      </c>
      <c r="AM218" s="323" t="str">
        <f aca="false">IF($A218="N/A"," ",(1+AL218/2)^(-2*((EOMONTH(A218,0)+20)-DateToday)/365.25))</f>
        <v> </v>
      </c>
      <c r="BQ218" s="0" t="str">
        <f aca="false">IF($A218="N/A"," ",(VLOOKUP($A218,NumberofDaysTable,2)))</f>
        <v> </v>
      </c>
      <c r="BR218" s="0" t="str">
        <f aca="false">IF($A218="N/A"," ",(VLOOKUP($A218,NumberofDaysTable,3)))</f>
        <v> </v>
      </c>
      <c r="BS218" s="0" t="str">
        <f aca="false">IF($A218="N/A"," ",(VLOOKUP($A218,NumberofDaysTable,4)))</f>
        <v> </v>
      </c>
    </row>
    <row r="219" customFormat="false" ht="12.75" hidden="false" customHeight="false" outlineLevel="0" collapsed="false">
      <c r="A219" s="315" t="str">
        <f aca="false">IF(A218="N/A","N/A",IF(EDATE(A218,1)&gt;Inputs!$P$5,"N/A",EDATE(A218,1)))</f>
        <v>N/A</v>
      </c>
      <c r="B219" s="316" t="str">
        <f aca="false">IF(A219="N/A"," ",YEAR(A219))</f>
        <v> </v>
      </c>
      <c r="C219" s="317" t="str">
        <f aca="false">IF($A219="N/A"," ",IF(Dayrun2=10,0,IF(Scaler2=1,(VLOOKUP(A219,ScaledPrice2,4)),(VLOOKUP(A219,ScaledPrice2,2)))))</f>
        <v> </v>
      </c>
      <c r="D219" s="317" t="str">
        <f aca="false">IF(A219="N/A"," ",IF(Dayrun2&gt;=7,0,IF(Scaler2=2,VLOOKUP(A219,ScaledPrice2,2),(VLOOKUP(A219,ScaledPrice2,2))*(2-(VLOOKUP(A219,ScaledPrice2,3))))))</f>
        <v> </v>
      </c>
      <c r="E219" s="317" t="str">
        <f aca="false">IF($A219="N/A"," ",IF(AND(Dayrun2&gt;=4,Dayrun2&lt;=9),0,VLOOKUP($A219,ScaledPrice2,9)))</f>
        <v> </v>
      </c>
      <c r="F219" s="317" t="str">
        <f aca="false">IF(A219="N/A"," ",IF(OR(Dayrun2=2,Dayrun2=3,Dayrun2=5,Dayrun2=6,Dayrun2=8,Dayrun2=9),VLOOKUP(A219,ScaledPrice2,IF(Scaler2=1,6,5)),0))</f>
        <v> </v>
      </c>
      <c r="G219" s="317" t="str">
        <f aca="false">IF(A219="N/A"," ",IF(OR(Dayrun2=2,Dayrun2=3,Dayrun2=5,Dayrun2=6),IF(Scaler2=2,F219,(VLOOKUP(A219,ScaledPrice2,5))*(2-(VLOOKUP(A219,ScaledPrice2,3)))),0))</f>
        <v> </v>
      </c>
      <c r="H219" s="317" t="str">
        <f aca="false">IF($A219="N/A"," ",IF(OR(Dayrun2=2,Dayrun2=3,Dayrun2=10),VLOOKUP($A219,ScaledPrice2,9),0))</f>
        <v> </v>
      </c>
      <c r="I219" s="317" t="str">
        <f aca="false">IF(A219="N/A"," ",IF(OR(Dayrun2=3,Dayrun2=6,Dayrun2=9),(VLOOKUP(A219,ScaledPrice2,IF(Scaler2=2,7,8))),0))</f>
        <v> </v>
      </c>
      <c r="J219" s="317" t="str">
        <f aca="false">IF(A219="N/A"," ",IF(OR(Dayrun2=3,Dayrun2=6),IF(Scaler2=2,I219,(VLOOKUP(A219,ScaledPrice2,7))*(2-(VLOOKUP(A219,ScaledPrice2,3)))),0))</f>
        <v> </v>
      </c>
      <c r="K219" s="317" t="str">
        <f aca="false">IF($A219="N/A"," ",IF(OR(Dayrun2=3,Dayrun2=10),VLOOKUP($A219,ScaledPrice2,9),0))</f>
        <v> </v>
      </c>
      <c r="L219" s="318" t="str">
        <f aca="false">IF($A219="N/A"," ",IF(Pricetype2=2,MAX(C219,0),IF(OR(Pricetype2=1,Pricetype2=4),IF(C219=0,0,(EURO(C219,Strikeprice2,0,0,($AH219+IF(Smile=TRUE(),VLOOKUP(MAX(-5,Strikeprice2-C219),Volsmile,2),0)),($A219-DateToday)+15,IF(Pricetype2=1,1,0),0))),C219)))</f>
        <v> </v>
      </c>
      <c r="M219" s="318" t="str">
        <f aca="false">IF($A219="N/A"," ",IF(Pricetype2=2,MAX(D219,0),IF(OR(Pricetype2=1,Pricetype2=4),IF(D219=0,0,(EURO(D219,Strikeprice2,0,0,($AH219+IF(Smile=TRUE(),VLOOKUP(MAX(-5,Strikeprice2-D219),Volsmile,2),0)),($A219-DateToday)+15,IF(Pricetype2=1,1,0),0))),D219)))</f>
        <v> </v>
      </c>
      <c r="N219" s="318" t="str">
        <f aca="false">IF($A219="N/A"," ",IF(Pricetype2=2,MAX(E219,0),IF(OR(Pricetype2=1,Pricetype2=4),IF(E219=0,0,(EURO(E219,Strikeprice2,0,0,($AK219+IF(Smile=TRUE(),VLOOKUP(MAX(-5,Strikeprice2-E219),Volsmile,2),0)),($A219-DateToday)+15,IF(Pricetype2=1,1,0),0))),E219)))</f>
        <v> </v>
      </c>
      <c r="O219" s="318" t="str">
        <f aca="false">IF($A219="N/A"," ",IF(Pricetype2=2,MAX(F219,0),IF(OR(Pricetype2=1,Pricetype2=4),IF(F219=0,0,(EURO(F219,Strikeprice2,0,0,($AK219+IF(Smile=TRUE(),VLOOKUP(MAX(-5,Strikeprice2-F219),Volsmile,2),0)),($A219-DateToday)+15,IF(Pricetype2=1,1,0),0))),F219)))</f>
        <v> </v>
      </c>
      <c r="P219" s="318" t="str">
        <f aca="false">IF($A219="N/A"," ",IF(Pricetype2=2,MAX(G219,0),IF(OR(Pricetype2=1,Pricetype2=4),IF(G219=0,0,(EURO(G219,Strikeprice2,0,0,($AK219+IF(Smile=TRUE(),VLOOKUP(MAX(-5,Strikeprice2-G219),Volsmile,2),0)),($A219-DateToday)+15,IF(Pricetype2=1,1,0),0))),G219)))</f>
        <v> </v>
      </c>
      <c r="Q219" s="318" t="str">
        <f aca="false">IF($A219="N/A"," ",IF(Pricetype2=2,MAX(H219,0),IF(OR(Pricetype2=1,Pricetype2=4),IF(H219=0,0,(EURO(H219,Strikeprice2,0,0,($AK219+IF(Smile=TRUE(),VLOOKUP(MAX(-5,Strikeprice2-H219),Volsmile,2),0)),($A219-DateToday)+15,IF(Pricetype2=1,1,0),0))),H219)))</f>
        <v> </v>
      </c>
      <c r="R219" s="318" t="str">
        <f aca="false">IF($A219="N/A"," ",IF(Pricetype2=2,MAX(I219,0),IF(OR(Pricetype2=1,Pricetype2=4),IF(I219=0,0,(EURO(I219,Strikeprice2,0,0,($AK219+IF(Smile=TRUE(),VLOOKUP(MAX(-5,Strikeprice2-I219),Volsmile,2),0)),($A219-DateToday)+15,IF(Pricetype2=1,1,0),0))),I219)))</f>
        <v> </v>
      </c>
      <c r="S219" s="318" t="str">
        <f aca="false">IF($A219="N/A"," ",IF(Pricetype2=2,MAX(J219,0),IF(OR(Pricetype2=1,Pricetype2=4),IF(J219=0,0,(EURO(J219,Strikeprice2,0,0,($AK219+IF(Smile=TRUE(),VLOOKUP(MAX(-5,Strikeprice2-J219),Volsmile,2),0)),($A219-DateToday)+15,IF(Pricetype2=1,1,0),0))),J219)))</f>
        <v> </v>
      </c>
      <c r="T219" s="318" t="str">
        <f aca="false">IF($A219="N/A"," ",IF(Pricetype2=2,MAX(K219,0),IF(OR(Pricetype2=1,Pricetype2=4),IF(K219=0,0,(EURO(K219,Strikeprice2,0,0,($AK219+IF(Smile=TRUE(),VLOOKUP(MAX(-5,Strikeprice2-K219),Volsmile,2),0)),($A219-DateToday)+15,IF(Pricetype2=1,1,0),0))),K219)))</f>
        <v> </v>
      </c>
      <c r="U219" s="319" t="str">
        <f aca="false">IF($A219="N/A"," ",Volume2*$AM219)</f>
        <v> </v>
      </c>
      <c r="V219" s="320" t="str">
        <f aca="false">IF($A219="N/A"," ",$U219*(8*($BQ219))*L219)</f>
        <v> </v>
      </c>
      <c r="W219" s="320" t="str">
        <f aca="false">IF($A219="N/A"," ",$U219*(8*($BQ219))*M219)</f>
        <v> </v>
      </c>
      <c r="X219" s="320" t="str">
        <f aca="false">IF($A219="N/A"," ",$U219*(8*($BQ219))*N219)</f>
        <v> </v>
      </c>
      <c r="Y219" s="320" t="str">
        <f aca="false">IF($A219="N/A"," ",$U219*(8*($BR219))*O219)</f>
        <v> </v>
      </c>
      <c r="Z219" s="320" t="str">
        <f aca="false">IF($A219="N/A"," ",$U219*(8*($BR219))*P219)</f>
        <v> </v>
      </c>
      <c r="AA219" s="320" t="str">
        <f aca="false">IF($A219="N/A"," ",$U219*(8*($BR219))*Q219)</f>
        <v> </v>
      </c>
      <c r="AB219" s="320" t="str">
        <f aca="false">IF($A219="N/A"," ",$U219*(8*($BS219))*R219)</f>
        <v> </v>
      </c>
      <c r="AC219" s="320" t="str">
        <f aca="false">IF($A219="N/A"," ",$U219*(8*($BS219))*S219)</f>
        <v> </v>
      </c>
      <c r="AD219" s="320" t="str">
        <f aca="false">IF($A219="N/A"," ",$U219*(8*($BS219))*T219)</f>
        <v> </v>
      </c>
      <c r="AE219" s="320" t="str">
        <f aca="false">IF($A219="N/A"," ",SUM(V219:AD219))</f>
        <v> </v>
      </c>
      <c r="AF219" s="321" t="str">
        <f aca="false">IF(A219="N/A"," ",(VLOOKUP(A219,PowerVolTable,(IF(VolBMO2=2,7,IF(VolBMO2=1,6,8))),FALSE())))</f>
        <v> </v>
      </c>
      <c r="AG219" s="321" t="str">
        <f aca="false">IF(A219="N/A"," ",(VLOOKUP(A219,IntraPowerVol,(IF(VolBMO2=2,3,IF(VolBMO2=1,2,4))),FALSE())*VLOOKUP(MONTH($A219),Volscale,2)))</f>
        <v> </v>
      </c>
      <c r="AH219" s="321" t="str">
        <f aca="false">IF($A219="N/A"," ",IF(VolType2=1,AG219,AF219))</f>
        <v> </v>
      </c>
      <c r="AI219" s="321" t="str">
        <f aca="false">IF($A219="N/A"," ",(VLOOKUP($A219,OffPwrVolTable,(IF(VolBMO2=2,7,IF(VolBMO2=1,6,8))),FALSE())))</f>
        <v> </v>
      </c>
      <c r="AJ219" s="321" t="str">
        <f aca="false">IF($A219="N/A"," ",(VLOOKUP($A219,OffPwrVolTable,(IF(VolBMO2=2,3,IF(VolBMO2=1,2,4))),FALSE())*VLOOKUP(MONTH($A219),Volscale,2)))</f>
        <v> </v>
      </c>
      <c r="AK219" s="321" t="str">
        <f aca="false">IF($A219="N/A"," ",IF(VolType2=1,AJ219,AI219))</f>
        <v> </v>
      </c>
      <c r="AL219" s="321" t="str">
        <f aca="false">IF($A219="N/A"," ",IF(PV=1,0,'Pricing Inputs2'!R252))</f>
        <v> </v>
      </c>
      <c r="AM219" s="323" t="str">
        <f aca="false">IF($A219="N/A"," ",(1+AL219/2)^(-2*((EOMONTH(A219,0)+20)-DateToday)/365.25))</f>
        <v> </v>
      </c>
      <c r="BQ219" s="0" t="str">
        <f aca="false">IF($A219="N/A"," ",(VLOOKUP($A219,NumberofDaysTable,2)))</f>
        <v> </v>
      </c>
      <c r="BR219" s="0" t="str">
        <f aca="false">IF($A219="N/A"," ",(VLOOKUP($A219,NumberofDaysTable,3)))</f>
        <v> </v>
      </c>
      <c r="BS219" s="0" t="str">
        <f aca="false">IF($A219="N/A"," ",(VLOOKUP($A219,NumberofDaysTable,4)))</f>
        <v> </v>
      </c>
    </row>
    <row r="220" customFormat="false" ht="12.75" hidden="false" customHeight="false" outlineLevel="0" collapsed="false">
      <c r="A220" s="315" t="str">
        <f aca="false">IF(A219="N/A","N/A",IF(EDATE(A219,1)&gt;Inputs!$P$5,"N/A",EDATE(A219,1)))</f>
        <v>N/A</v>
      </c>
      <c r="B220" s="316" t="str">
        <f aca="false">IF(A220="N/A"," ",YEAR(A220))</f>
        <v> </v>
      </c>
      <c r="C220" s="317" t="str">
        <f aca="false">IF($A220="N/A"," ",IF(Dayrun2=10,0,IF(Scaler2=1,(VLOOKUP(A220,ScaledPrice2,4)),(VLOOKUP(A220,ScaledPrice2,2)))))</f>
        <v> </v>
      </c>
      <c r="D220" s="317" t="str">
        <f aca="false">IF(A220="N/A"," ",IF(Dayrun2&gt;=7,0,IF(Scaler2=2,VLOOKUP(A220,ScaledPrice2,2),(VLOOKUP(A220,ScaledPrice2,2))*(2-(VLOOKUP(A220,ScaledPrice2,3))))))</f>
        <v> </v>
      </c>
      <c r="E220" s="317" t="str">
        <f aca="false">IF($A220="N/A"," ",IF(AND(Dayrun2&gt;=4,Dayrun2&lt;=9),0,VLOOKUP($A220,ScaledPrice2,9)))</f>
        <v> </v>
      </c>
      <c r="F220" s="317" t="str">
        <f aca="false">IF(A220="N/A"," ",IF(OR(Dayrun2=2,Dayrun2=3,Dayrun2=5,Dayrun2=6,Dayrun2=8,Dayrun2=9),VLOOKUP(A220,ScaledPrice2,IF(Scaler2=1,6,5)),0))</f>
        <v> </v>
      </c>
      <c r="G220" s="317" t="str">
        <f aca="false">IF(A220="N/A"," ",IF(OR(Dayrun2=2,Dayrun2=3,Dayrun2=5,Dayrun2=6),IF(Scaler2=2,F220,(VLOOKUP(A220,ScaledPrice2,5))*(2-(VLOOKUP(A220,ScaledPrice2,3)))),0))</f>
        <v> </v>
      </c>
      <c r="H220" s="317" t="str">
        <f aca="false">IF($A220="N/A"," ",IF(OR(Dayrun2=2,Dayrun2=3,Dayrun2=10),VLOOKUP($A220,ScaledPrice2,9),0))</f>
        <v> </v>
      </c>
      <c r="I220" s="317" t="str">
        <f aca="false">IF(A220="N/A"," ",IF(OR(Dayrun2=3,Dayrun2=6,Dayrun2=9),(VLOOKUP(A220,ScaledPrice2,IF(Scaler2=2,7,8))),0))</f>
        <v> </v>
      </c>
      <c r="J220" s="317" t="str">
        <f aca="false">IF(A220="N/A"," ",IF(OR(Dayrun2=3,Dayrun2=6),IF(Scaler2=2,I220,(VLOOKUP(A220,ScaledPrice2,7))*(2-(VLOOKUP(A220,ScaledPrice2,3)))),0))</f>
        <v> </v>
      </c>
      <c r="K220" s="317" t="str">
        <f aca="false">IF($A220="N/A"," ",IF(OR(Dayrun2=3,Dayrun2=10),VLOOKUP($A220,ScaledPrice2,9),0))</f>
        <v> </v>
      </c>
      <c r="L220" s="318" t="str">
        <f aca="false">IF($A220="N/A"," ",IF(Pricetype2=2,MAX(C220,0),IF(OR(Pricetype2=1,Pricetype2=4),IF(C220=0,0,(EURO(C220,Strikeprice2,0,0,($AH220+IF(Smile=TRUE(),VLOOKUP(MAX(-5,Strikeprice2-C220),Volsmile,2),0)),($A220-DateToday)+15,IF(Pricetype2=1,1,0),0))),C220)))</f>
        <v> </v>
      </c>
      <c r="M220" s="318" t="str">
        <f aca="false">IF($A220="N/A"," ",IF(Pricetype2=2,MAX(D220,0),IF(OR(Pricetype2=1,Pricetype2=4),IF(D220=0,0,(EURO(D220,Strikeprice2,0,0,($AH220+IF(Smile=TRUE(),VLOOKUP(MAX(-5,Strikeprice2-D220),Volsmile,2),0)),($A220-DateToday)+15,IF(Pricetype2=1,1,0),0))),D220)))</f>
        <v> </v>
      </c>
      <c r="N220" s="318" t="str">
        <f aca="false">IF($A220="N/A"," ",IF(Pricetype2=2,MAX(E220,0),IF(OR(Pricetype2=1,Pricetype2=4),IF(E220=0,0,(EURO(E220,Strikeprice2,0,0,($AK220+IF(Smile=TRUE(),VLOOKUP(MAX(-5,Strikeprice2-E220),Volsmile,2),0)),($A220-DateToday)+15,IF(Pricetype2=1,1,0),0))),E220)))</f>
        <v> </v>
      </c>
      <c r="O220" s="318" t="str">
        <f aca="false">IF($A220="N/A"," ",IF(Pricetype2=2,MAX(F220,0),IF(OR(Pricetype2=1,Pricetype2=4),IF(F220=0,0,(EURO(F220,Strikeprice2,0,0,($AK220+IF(Smile=TRUE(),VLOOKUP(MAX(-5,Strikeprice2-F220),Volsmile,2),0)),($A220-DateToday)+15,IF(Pricetype2=1,1,0),0))),F220)))</f>
        <v> </v>
      </c>
      <c r="P220" s="318" t="str">
        <f aca="false">IF($A220="N/A"," ",IF(Pricetype2=2,MAX(G220,0),IF(OR(Pricetype2=1,Pricetype2=4),IF(G220=0,0,(EURO(G220,Strikeprice2,0,0,($AK220+IF(Smile=TRUE(),VLOOKUP(MAX(-5,Strikeprice2-G220),Volsmile,2),0)),($A220-DateToday)+15,IF(Pricetype2=1,1,0),0))),G220)))</f>
        <v> </v>
      </c>
      <c r="Q220" s="318" t="str">
        <f aca="false">IF($A220="N/A"," ",IF(Pricetype2=2,MAX(H220,0),IF(OR(Pricetype2=1,Pricetype2=4),IF(H220=0,0,(EURO(H220,Strikeprice2,0,0,($AK220+IF(Smile=TRUE(),VLOOKUP(MAX(-5,Strikeprice2-H220),Volsmile,2),0)),($A220-DateToday)+15,IF(Pricetype2=1,1,0),0))),H220)))</f>
        <v> </v>
      </c>
      <c r="R220" s="318" t="str">
        <f aca="false">IF($A220="N/A"," ",IF(Pricetype2=2,MAX(I220,0),IF(OR(Pricetype2=1,Pricetype2=4),IF(I220=0,0,(EURO(I220,Strikeprice2,0,0,($AK220+IF(Smile=TRUE(),VLOOKUP(MAX(-5,Strikeprice2-I220),Volsmile,2),0)),($A220-DateToday)+15,IF(Pricetype2=1,1,0),0))),I220)))</f>
        <v> </v>
      </c>
      <c r="S220" s="318" t="str">
        <f aca="false">IF($A220="N/A"," ",IF(Pricetype2=2,MAX(J220,0),IF(OR(Pricetype2=1,Pricetype2=4),IF(J220=0,0,(EURO(J220,Strikeprice2,0,0,($AK220+IF(Smile=TRUE(),VLOOKUP(MAX(-5,Strikeprice2-J220),Volsmile,2),0)),($A220-DateToday)+15,IF(Pricetype2=1,1,0),0))),J220)))</f>
        <v> </v>
      </c>
      <c r="T220" s="318" t="str">
        <f aca="false">IF($A220="N/A"," ",IF(Pricetype2=2,MAX(K220,0),IF(OR(Pricetype2=1,Pricetype2=4),IF(K220=0,0,(EURO(K220,Strikeprice2,0,0,($AK220+IF(Smile=TRUE(),VLOOKUP(MAX(-5,Strikeprice2-K220),Volsmile,2),0)),($A220-DateToday)+15,IF(Pricetype2=1,1,0),0))),K220)))</f>
        <v> </v>
      </c>
      <c r="U220" s="319" t="str">
        <f aca="false">IF($A220="N/A"," ",Volume2*$AM220)</f>
        <v> </v>
      </c>
      <c r="V220" s="320" t="str">
        <f aca="false">IF($A220="N/A"," ",$U220*(8*($BQ220))*L220)</f>
        <v> </v>
      </c>
      <c r="W220" s="320" t="str">
        <f aca="false">IF($A220="N/A"," ",$U220*(8*($BQ220))*M220)</f>
        <v> </v>
      </c>
      <c r="X220" s="320" t="str">
        <f aca="false">IF($A220="N/A"," ",$U220*(8*($BQ220))*N220)</f>
        <v> </v>
      </c>
      <c r="Y220" s="320" t="str">
        <f aca="false">IF($A220="N/A"," ",$U220*(8*($BR220))*O220)</f>
        <v> </v>
      </c>
      <c r="Z220" s="320" t="str">
        <f aca="false">IF($A220="N/A"," ",$U220*(8*($BR220))*P220)</f>
        <v> </v>
      </c>
      <c r="AA220" s="320" t="str">
        <f aca="false">IF($A220="N/A"," ",$U220*(8*($BR220))*Q220)</f>
        <v> </v>
      </c>
      <c r="AB220" s="320" t="str">
        <f aca="false">IF($A220="N/A"," ",$U220*(8*($BS220))*R220)</f>
        <v> </v>
      </c>
      <c r="AC220" s="320" t="str">
        <f aca="false">IF($A220="N/A"," ",$U220*(8*($BS220))*S220)</f>
        <v> </v>
      </c>
      <c r="AD220" s="320" t="str">
        <f aca="false">IF($A220="N/A"," ",$U220*(8*($BS220))*T220)</f>
        <v> </v>
      </c>
      <c r="AE220" s="320" t="str">
        <f aca="false">IF($A220="N/A"," ",SUM(V220:AD220))</f>
        <v> </v>
      </c>
      <c r="AF220" s="321" t="str">
        <f aca="false">IF(A220="N/A"," ",(VLOOKUP(A220,PowerVolTable,(IF(VolBMO2=2,7,IF(VolBMO2=1,6,8))),FALSE())))</f>
        <v> </v>
      </c>
      <c r="AG220" s="321" t="str">
        <f aca="false">IF(A220="N/A"," ",(VLOOKUP(A220,IntraPowerVol,(IF(VolBMO2=2,3,IF(VolBMO2=1,2,4))),FALSE())*VLOOKUP(MONTH($A220),Volscale,2)))</f>
        <v> </v>
      </c>
      <c r="AH220" s="321" t="str">
        <f aca="false">IF($A220="N/A"," ",IF(VolType2=1,AG220,AF220))</f>
        <v> </v>
      </c>
      <c r="AI220" s="321" t="str">
        <f aca="false">IF($A220="N/A"," ",(VLOOKUP($A220,OffPwrVolTable,(IF(VolBMO2=2,7,IF(VolBMO2=1,6,8))),FALSE())))</f>
        <v> </v>
      </c>
      <c r="AJ220" s="321" t="str">
        <f aca="false">IF($A220="N/A"," ",(VLOOKUP($A220,OffPwrVolTable,(IF(VolBMO2=2,3,IF(VolBMO2=1,2,4))),FALSE())*VLOOKUP(MONTH($A220),Volscale,2)))</f>
        <v> </v>
      </c>
      <c r="AK220" s="321" t="str">
        <f aca="false">IF($A220="N/A"," ",IF(VolType2=1,AJ220,AI220))</f>
        <v> </v>
      </c>
      <c r="AL220" s="321" t="str">
        <f aca="false">IF($A220="N/A"," ",IF(PV=1,0,'Pricing Inputs2'!R253))</f>
        <v> </v>
      </c>
      <c r="AM220" s="323" t="str">
        <f aca="false">IF($A220="N/A"," ",(1+AL220/2)^(-2*((EOMONTH(A220,0)+20)-DateToday)/365.25))</f>
        <v> </v>
      </c>
      <c r="BQ220" s="0" t="str">
        <f aca="false">IF($A220="N/A"," ",(VLOOKUP($A220,NumberofDaysTable,2)))</f>
        <v> </v>
      </c>
      <c r="BR220" s="0" t="str">
        <f aca="false">IF($A220="N/A"," ",(VLOOKUP($A220,NumberofDaysTable,3)))</f>
        <v> </v>
      </c>
      <c r="BS220" s="0" t="str">
        <f aca="false">IF($A220="N/A"," ",(VLOOKUP($A220,NumberofDaysTable,4)))</f>
        <v> </v>
      </c>
    </row>
    <row r="221" customFormat="false" ht="12.75" hidden="false" customHeight="false" outlineLevel="0" collapsed="false">
      <c r="A221" s="315" t="str">
        <f aca="false">IF(A220="N/A","N/A",IF(EDATE(A220,1)&gt;Inputs!$P$5,"N/A",EDATE(A220,1)))</f>
        <v>N/A</v>
      </c>
      <c r="B221" s="316" t="str">
        <f aca="false">IF(A221="N/A"," ",YEAR(A221))</f>
        <v> </v>
      </c>
      <c r="C221" s="317" t="str">
        <f aca="false">IF($A221="N/A"," ",IF(Dayrun2=10,0,IF(Scaler2=1,(VLOOKUP(A221,ScaledPrice2,4)),(VLOOKUP(A221,ScaledPrice2,2)))))</f>
        <v> </v>
      </c>
      <c r="D221" s="317" t="str">
        <f aca="false">IF(A221="N/A"," ",IF(Dayrun2&gt;=7,0,IF(Scaler2=2,VLOOKUP(A221,ScaledPrice2,2),(VLOOKUP(A221,ScaledPrice2,2))*(2-(VLOOKUP(A221,ScaledPrice2,3))))))</f>
        <v> </v>
      </c>
      <c r="E221" s="317" t="str">
        <f aca="false">IF($A221="N/A"," ",IF(AND(Dayrun2&gt;=4,Dayrun2&lt;=9),0,VLOOKUP($A221,ScaledPrice2,9)))</f>
        <v> </v>
      </c>
      <c r="F221" s="317" t="str">
        <f aca="false">IF(A221="N/A"," ",IF(OR(Dayrun2=2,Dayrun2=3,Dayrun2=5,Dayrun2=6,Dayrun2=8,Dayrun2=9),VLOOKUP(A221,ScaledPrice2,IF(Scaler2=1,6,5)),0))</f>
        <v> </v>
      </c>
      <c r="G221" s="317" t="str">
        <f aca="false">IF(A221="N/A"," ",IF(OR(Dayrun2=2,Dayrun2=3,Dayrun2=5,Dayrun2=6),IF(Scaler2=2,F221,(VLOOKUP(A221,ScaledPrice2,5))*(2-(VLOOKUP(A221,ScaledPrice2,3)))),0))</f>
        <v> </v>
      </c>
      <c r="H221" s="317" t="str">
        <f aca="false">IF($A221="N/A"," ",IF(OR(Dayrun2=2,Dayrun2=3,Dayrun2=10),VLOOKUP($A221,ScaledPrice2,9),0))</f>
        <v> </v>
      </c>
      <c r="I221" s="317" t="str">
        <f aca="false">IF(A221="N/A"," ",IF(OR(Dayrun2=3,Dayrun2=6,Dayrun2=9),(VLOOKUP(A221,ScaledPrice2,IF(Scaler2=2,7,8))),0))</f>
        <v> </v>
      </c>
      <c r="J221" s="317" t="str">
        <f aca="false">IF(A221="N/A"," ",IF(OR(Dayrun2=3,Dayrun2=6),IF(Scaler2=2,I221,(VLOOKUP(A221,ScaledPrice2,7))*(2-(VLOOKUP(A221,ScaledPrice2,3)))),0))</f>
        <v> </v>
      </c>
      <c r="K221" s="317" t="str">
        <f aca="false">IF($A221="N/A"," ",IF(OR(Dayrun2=3,Dayrun2=10),VLOOKUP($A221,ScaledPrice2,9),0))</f>
        <v> </v>
      </c>
      <c r="L221" s="318" t="str">
        <f aca="false">IF($A221="N/A"," ",IF(Pricetype2=2,MAX(C221,0),IF(OR(Pricetype2=1,Pricetype2=4),IF(C221=0,0,(EURO(C221,Strikeprice2,0,0,($AH221+IF(Smile=TRUE(),VLOOKUP(MAX(-5,Strikeprice2-C221),Volsmile,2),0)),($A221-DateToday)+15,IF(Pricetype2=1,1,0),0))),C221)))</f>
        <v> </v>
      </c>
      <c r="M221" s="318" t="str">
        <f aca="false">IF($A221="N/A"," ",IF(Pricetype2=2,MAX(D221,0),IF(OR(Pricetype2=1,Pricetype2=4),IF(D221=0,0,(EURO(D221,Strikeprice2,0,0,($AH221+IF(Smile=TRUE(),VLOOKUP(MAX(-5,Strikeprice2-D221),Volsmile,2),0)),($A221-DateToday)+15,IF(Pricetype2=1,1,0),0))),D221)))</f>
        <v> </v>
      </c>
      <c r="N221" s="318" t="str">
        <f aca="false">IF($A221="N/A"," ",IF(Pricetype2=2,MAX(E221,0),IF(OR(Pricetype2=1,Pricetype2=4),IF(E221=0,0,(EURO(E221,Strikeprice2,0,0,($AK221+IF(Smile=TRUE(),VLOOKUP(MAX(-5,Strikeprice2-E221),Volsmile,2),0)),($A221-DateToday)+15,IF(Pricetype2=1,1,0),0))),E221)))</f>
        <v> </v>
      </c>
      <c r="O221" s="318" t="str">
        <f aca="false">IF($A221="N/A"," ",IF(Pricetype2=2,MAX(F221,0),IF(OR(Pricetype2=1,Pricetype2=4),IF(F221=0,0,(EURO(F221,Strikeprice2,0,0,($AK221+IF(Smile=TRUE(),VLOOKUP(MAX(-5,Strikeprice2-F221),Volsmile,2),0)),($A221-DateToday)+15,IF(Pricetype2=1,1,0),0))),F221)))</f>
        <v> </v>
      </c>
      <c r="P221" s="318" t="str">
        <f aca="false">IF($A221="N/A"," ",IF(Pricetype2=2,MAX(G221,0),IF(OR(Pricetype2=1,Pricetype2=4),IF(G221=0,0,(EURO(G221,Strikeprice2,0,0,($AK221+IF(Smile=TRUE(),VLOOKUP(MAX(-5,Strikeprice2-G221),Volsmile,2),0)),($A221-DateToday)+15,IF(Pricetype2=1,1,0),0))),G221)))</f>
        <v> </v>
      </c>
      <c r="Q221" s="318" t="str">
        <f aca="false">IF($A221="N/A"," ",IF(Pricetype2=2,MAX(H221,0),IF(OR(Pricetype2=1,Pricetype2=4),IF(H221=0,0,(EURO(H221,Strikeprice2,0,0,($AK221+IF(Smile=TRUE(),VLOOKUP(MAX(-5,Strikeprice2-H221),Volsmile,2),0)),($A221-DateToday)+15,IF(Pricetype2=1,1,0),0))),H221)))</f>
        <v> </v>
      </c>
      <c r="R221" s="318" t="str">
        <f aca="false">IF($A221="N/A"," ",IF(Pricetype2=2,MAX(I221,0),IF(OR(Pricetype2=1,Pricetype2=4),IF(I221=0,0,(EURO(I221,Strikeprice2,0,0,($AK221+IF(Smile=TRUE(),VLOOKUP(MAX(-5,Strikeprice2-I221),Volsmile,2),0)),($A221-DateToday)+15,IF(Pricetype2=1,1,0),0))),I221)))</f>
        <v> </v>
      </c>
      <c r="S221" s="318" t="str">
        <f aca="false">IF($A221="N/A"," ",IF(Pricetype2=2,MAX(J221,0),IF(OR(Pricetype2=1,Pricetype2=4),IF(J221=0,0,(EURO(J221,Strikeprice2,0,0,($AK221+IF(Smile=TRUE(),VLOOKUP(MAX(-5,Strikeprice2-J221),Volsmile,2),0)),($A221-DateToday)+15,IF(Pricetype2=1,1,0),0))),J221)))</f>
        <v> </v>
      </c>
      <c r="T221" s="318" t="str">
        <f aca="false">IF($A221="N/A"," ",IF(Pricetype2=2,MAX(K221,0),IF(OR(Pricetype2=1,Pricetype2=4),IF(K221=0,0,(EURO(K221,Strikeprice2,0,0,($AK221+IF(Smile=TRUE(),VLOOKUP(MAX(-5,Strikeprice2-K221),Volsmile,2),0)),($A221-DateToday)+15,IF(Pricetype2=1,1,0),0))),K221)))</f>
        <v> </v>
      </c>
      <c r="U221" s="319" t="str">
        <f aca="false">IF($A221="N/A"," ",Volume2*$AM221)</f>
        <v> </v>
      </c>
      <c r="V221" s="320" t="str">
        <f aca="false">IF($A221="N/A"," ",$U221*(8*($BQ221))*L221)</f>
        <v> </v>
      </c>
      <c r="W221" s="320" t="str">
        <f aca="false">IF($A221="N/A"," ",$U221*(8*($BQ221))*M221)</f>
        <v> </v>
      </c>
      <c r="X221" s="320" t="str">
        <f aca="false">IF($A221="N/A"," ",$U221*(8*($BQ221))*N221)</f>
        <v> </v>
      </c>
      <c r="Y221" s="320" t="str">
        <f aca="false">IF($A221="N/A"," ",$U221*(8*($BR221))*O221)</f>
        <v> </v>
      </c>
      <c r="Z221" s="320" t="str">
        <f aca="false">IF($A221="N/A"," ",$U221*(8*($BR221))*P221)</f>
        <v> </v>
      </c>
      <c r="AA221" s="320" t="str">
        <f aca="false">IF($A221="N/A"," ",$U221*(8*($BR221))*Q221)</f>
        <v> </v>
      </c>
      <c r="AB221" s="320" t="str">
        <f aca="false">IF($A221="N/A"," ",$U221*(8*($BS221))*R221)</f>
        <v> </v>
      </c>
      <c r="AC221" s="320" t="str">
        <f aca="false">IF($A221="N/A"," ",$U221*(8*($BS221))*S221)</f>
        <v> </v>
      </c>
      <c r="AD221" s="320" t="str">
        <f aca="false">IF($A221="N/A"," ",$U221*(8*($BS221))*T221)</f>
        <v> </v>
      </c>
      <c r="AE221" s="320" t="str">
        <f aca="false">IF($A221="N/A"," ",SUM(V221:AD221))</f>
        <v> </v>
      </c>
      <c r="AF221" s="321" t="str">
        <f aca="false">IF(A221="N/A"," ",(VLOOKUP(A221,PowerVolTable,(IF(VolBMO2=2,7,IF(VolBMO2=1,6,8))),FALSE())))</f>
        <v> </v>
      </c>
      <c r="AG221" s="321" t="str">
        <f aca="false">IF(A221="N/A"," ",(VLOOKUP(A221,IntraPowerVol,(IF(VolBMO2=2,3,IF(VolBMO2=1,2,4))),FALSE())*VLOOKUP(MONTH($A221),Volscale,2)))</f>
        <v> </v>
      </c>
      <c r="AH221" s="321" t="str">
        <f aca="false">IF($A221="N/A"," ",IF(VolType2=1,AG221,AF221))</f>
        <v> </v>
      </c>
      <c r="AI221" s="321" t="str">
        <f aca="false">IF($A221="N/A"," ",(VLOOKUP($A221,OffPwrVolTable,(IF(VolBMO2=2,7,IF(VolBMO2=1,6,8))),FALSE())))</f>
        <v> </v>
      </c>
      <c r="AJ221" s="321" t="str">
        <f aca="false">IF($A221="N/A"," ",(VLOOKUP($A221,OffPwrVolTable,(IF(VolBMO2=2,3,IF(VolBMO2=1,2,4))),FALSE())*VLOOKUP(MONTH($A221),Volscale,2)))</f>
        <v> </v>
      </c>
      <c r="AK221" s="321" t="str">
        <f aca="false">IF($A221="N/A"," ",IF(VolType2=1,AJ221,AI221))</f>
        <v> </v>
      </c>
      <c r="AL221" s="321" t="str">
        <f aca="false">IF($A221="N/A"," ",IF(PV=1,0,'Pricing Inputs2'!R254))</f>
        <v> </v>
      </c>
      <c r="AM221" s="323" t="str">
        <f aca="false">IF($A221="N/A"," ",(1+AL221/2)^(-2*((EOMONTH(A221,0)+20)-DateToday)/365.25))</f>
        <v> </v>
      </c>
      <c r="BQ221" s="0" t="str">
        <f aca="false">IF($A221="N/A"," ",(VLOOKUP($A221,NumberofDaysTable,2)))</f>
        <v> </v>
      </c>
      <c r="BR221" s="0" t="str">
        <f aca="false">IF($A221="N/A"," ",(VLOOKUP($A221,NumberofDaysTable,3)))</f>
        <v> </v>
      </c>
      <c r="BS221" s="0" t="str">
        <f aca="false">IF($A221="N/A"," ",(VLOOKUP($A221,NumberofDaysTable,4)))</f>
        <v> </v>
      </c>
    </row>
    <row r="222" customFormat="false" ht="12.75" hidden="false" customHeight="false" outlineLevel="0" collapsed="false">
      <c r="A222" s="315" t="str">
        <f aca="false">IF(A221="N/A","N/A",IF(EDATE(A221,1)&gt;Inputs!$P$5,"N/A",EDATE(A221,1)))</f>
        <v>N/A</v>
      </c>
      <c r="B222" s="316" t="str">
        <f aca="false">IF(A222="N/A"," ",YEAR(A222))</f>
        <v> </v>
      </c>
      <c r="C222" s="317" t="str">
        <f aca="false">IF($A222="N/A"," ",IF(Dayrun2=10,0,IF(Scaler2=1,(VLOOKUP(A222,ScaledPrice2,4)),(VLOOKUP(A222,ScaledPrice2,2)))))</f>
        <v> </v>
      </c>
      <c r="D222" s="317" t="str">
        <f aca="false">IF(A222="N/A"," ",IF(Dayrun2&gt;=7,0,IF(Scaler2=2,VLOOKUP(A222,ScaledPrice2,2),(VLOOKUP(A222,ScaledPrice2,2))*(2-(VLOOKUP(A222,ScaledPrice2,3))))))</f>
        <v> </v>
      </c>
      <c r="E222" s="317" t="str">
        <f aca="false">IF($A222="N/A"," ",IF(AND(Dayrun2&gt;=4,Dayrun2&lt;=9),0,VLOOKUP($A222,ScaledPrice2,9)))</f>
        <v> </v>
      </c>
      <c r="F222" s="317" t="str">
        <f aca="false">IF(A222="N/A"," ",IF(OR(Dayrun2=2,Dayrun2=3,Dayrun2=5,Dayrun2=6,Dayrun2=8,Dayrun2=9),VLOOKUP(A222,ScaledPrice2,IF(Scaler2=1,6,5)),0))</f>
        <v> </v>
      </c>
      <c r="G222" s="317" t="str">
        <f aca="false">IF(A222="N/A"," ",IF(OR(Dayrun2=2,Dayrun2=3,Dayrun2=5,Dayrun2=6),IF(Scaler2=2,F222,(VLOOKUP(A222,ScaledPrice2,5))*(2-(VLOOKUP(A222,ScaledPrice2,3)))),0))</f>
        <v> </v>
      </c>
      <c r="H222" s="317" t="str">
        <f aca="false">IF($A222="N/A"," ",IF(OR(Dayrun2=2,Dayrun2=3,Dayrun2=10),VLOOKUP($A222,ScaledPrice2,9),0))</f>
        <v> </v>
      </c>
      <c r="I222" s="317" t="str">
        <f aca="false">IF(A222="N/A"," ",IF(OR(Dayrun2=3,Dayrun2=6,Dayrun2=9),(VLOOKUP(A222,ScaledPrice2,IF(Scaler2=2,7,8))),0))</f>
        <v> </v>
      </c>
      <c r="J222" s="317" t="str">
        <f aca="false">IF(A222="N/A"," ",IF(OR(Dayrun2=3,Dayrun2=6),IF(Scaler2=2,I222,(VLOOKUP(A222,ScaledPrice2,7))*(2-(VLOOKUP(A222,ScaledPrice2,3)))),0))</f>
        <v> </v>
      </c>
      <c r="K222" s="317" t="str">
        <f aca="false">IF($A222="N/A"," ",IF(OR(Dayrun2=3,Dayrun2=10),VLOOKUP($A222,ScaledPrice2,9),0))</f>
        <v> </v>
      </c>
      <c r="L222" s="318" t="str">
        <f aca="false">IF($A222="N/A"," ",IF(Pricetype2=2,MAX(C222,0),IF(OR(Pricetype2=1,Pricetype2=4),IF(C222=0,0,(EURO(C222,Strikeprice2,0,0,($AH222+IF(Smile=TRUE(),VLOOKUP(MAX(-5,Strikeprice2-C222),Volsmile,2),0)),($A222-DateToday)+15,IF(Pricetype2=1,1,0),0))),C222)))</f>
        <v> </v>
      </c>
      <c r="M222" s="318" t="str">
        <f aca="false">IF($A222="N/A"," ",IF(Pricetype2=2,MAX(D222,0),IF(OR(Pricetype2=1,Pricetype2=4),IF(D222=0,0,(EURO(D222,Strikeprice2,0,0,($AH222+IF(Smile=TRUE(),VLOOKUP(MAX(-5,Strikeprice2-D222),Volsmile,2),0)),($A222-DateToday)+15,IF(Pricetype2=1,1,0),0))),D222)))</f>
        <v> </v>
      </c>
      <c r="N222" s="318" t="str">
        <f aca="false">IF($A222="N/A"," ",IF(Pricetype2=2,MAX(E222,0),IF(OR(Pricetype2=1,Pricetype2=4),IF(E222=0,0,(EURO(E222,Strikeprice2,0,0,($AK222+IF(Smile=TRUE(),VLOOKUP(MAX(-5,Strikeprice2-E222),Volsmile,2),0)),($A222-DateToday)+15,IF(Pricetype2=1,1,0),0))),E222)))</f>
        <v> </v>
      </c>
      <c r="O222" s="318" t="str">
        <f aca="false">IF($A222="N/A"," ",IF(Pricetype2=2,MAX(F222,0),IF(OR(Pricetype2=1,Pricetype2=4),IF(F222=0,0,(EURO(F222,Strikeprice2,0,0,($AK222+IF(Smile=TRUE(),VLOOKUP(MAX(-5,Strikeprice2-F222),Volsmile,2),0)),($A222-DateToday)+15,IF(Pricetype2=1,1,0),0))),F222)))</f>
        <v> </v>
      </c>
      <c r="P222" s="318" t="str">
        <f aca="false">IF($A222="N/A"," ",IF(Pricetype2=2,MAX(G222,0),IF(OR(Pricetype2=1,Pricetype2=4),IF(G222=0,0,(EURO(G222,Strikeprice2,0,0,($AK222+IF(Smile=TRUE(),VLOOKUP(MAX(-5,Strikeprice2-G222),Volsmile,2),0)),($A222-DateToday)+15,IF(Pricetype2=1,1,0),0))),G222)))</f>
        <v> </v>
      </c>
      <c r="Q222" s="318" t="str">
        <f aca="false">IF($A222="N/A"," ",IF(Pricetype2=2,MAX(H222,0),IF(OR(Pricetype2=1,Pricetype2=4),IF(H222=0,0,(EURO(H222,Strikeprice2,0,0,($AK222+IF(Smile=TRUE(),VLOOKUP(MAX(-5,Strikeprice2-H222),Volsmile,2),0)),($A222-DateToday)+15,IF(Pricetype2=1,1,0),0))),H222)))</f>
        <v> </v>
      </c>
      <c r="R222" s="318" t="str">
        <f aca="false">IF($A222="N/A"," ",IF(Pricetype2=2,MAX(I222,0),IF(OR(Pricetype2=1,Pricetype2=4),IF(I222=0,0,(EURO(I222,Strikeprice2,0,0,($AK222+IF(Smile=TRUE(),VLOOKUP(MAX(-5,Strikeprice2-I222),Volsmile,2),0)),($A222-DateToday)+15,IF(Pricetype2=1,1,0),0))),I222)))</f>
        <v> </v>
      </c>
      <c r="S222" s="318" t="str">
        <f aca="false">IF($A222="N/A"," ",IF(Pricetype2=2,MAX(J222,0),IF(OR(Pricetype2=1,Pricetype2=4),IF(J222=0,0,(EURO(J222,Strikeprice2,0,0,($AK222+IF(Smile=TRUE(),VLOOKUP(MAX(-5,Strikeprice2-J222),Volsmile,2),0)),($A222-DateToday)+15,IF(Pricetype2=1,1,0),0))),J222)))</f>
        <v> </v>
      </c>
      <c r="T222" s="318" t="str">
        <f aca="false">IF($A222="N/A"," ",IF(Pricetype2=2,MAX(K222,0),IF(OR(Pricetype2=1,Pricetype2=4),IF(K222=0,0,(EURO(K222,Strikeprice2,0,0,($AK222+IF(Smile=TRUE(),VLOOKUP(MAX(-5,Strikeprice2-K222),Volsmile,2),0)),($A222-DateToday)+15,IF(Pricetype2=1,1,0),0))),K222)))</f>
        <v> </v>
      </c>
      <c r="U222" s="319" t="str">
        <f aca="false">IF($A222="N/A"," ",Volume2*$AM222)</f>
        <v> </v>
      </c>
      <c r="V222" s="320" t="str">
        <f aca="false">IF($A222="N/A"," ",$U222*(8*($BQ222))*L222)</f>
        <v> </v>
      </c>
      <c r="W222" s="320" t="str">
        <f aca="false">IF($A222="N/A"," ",$U222*(8*($BQ222))*M222)</f>
        <v> </v>
      </c>
      <c r="X222" s="320" t="str">
        <f aca="false">IF($A222="N/A"," ",$U222*(8*($BQ222))*N222)</f>
        <v> </v>
      </c>
      <c r="Y222" s="320" t="str">
        <f aca="false">IF($A222="N/A"," ",$U222*(8*($BR222))*O222)</f>
        <v> </v>
      </c>
      <c r="Z222" s="320" t="str">
        <f aca="false">IF($A222="N/A"," ",$U222*(8*($BR222))*P222)</f>
        <v> </v>
      </c>
      <c r="AA222" s="320" t="str">
        <f aca="false">IF($A222="N/A"," ",$U222*(8*($BR222))*Q222)</f>
        <v> </v>
      </c>
      <c r="AB222" s="320" t="str">
        <f aca="false">IF($A222="N/A"," ",$U222*(8*($BS222))*R222)</f>
        <v> </v>
      </c>
      <c r="AC222" s="320" t="str">
        <f aca="false">IF($A222="N/A"," ",$U222*(8*($BS222))*S222)</f>
        <v> </v>
      </c>
      <c r="AD222" s="320" t="str">
        <f aca="false">IF($A222="N/A"," ",$U222*(8*($BS222))*T222)</f>
        <v> </v>
      </c>
      <c r="AE222" s="320" t="str">
        <f aca="false">IF($A222="N/A"," ",SUM(V222:AD222))</f>
        <v> </v>
      </c>
      <c r="AF222" s="321" t="str">
        <f aca="false">IF(A222="N/A"," ",(VLOOKUP(A222,PowerVolTable,(IF(VolBMO2=2,7,IF(VolBMO2=1,6,8))),FALSE())))</f>
        <v> </v>
      </c>
      <c r="AG222" s="321" t="str">
        <f aca="false">IF(A222="N/A"," ",(VLOOKUP(A222,IntraPowerVol,(IF(VolBMO2=2,3,IF(VolBMO2=1,2,4))),FALSE())*VLOOKUP(MONTH($A222),Volscale,2)))</f>
        <v> </v>
      </c>
      <c r="AH222" s="321" t="str">
        <f aca="false">IF($A222="N/A"," ",IF(VolType2=1,AG222,AF222))</f>
        <v> </v>
      </c>
      <c r="AI222" s="321" t="str">
        <f aca="false">IF($A222="N/A"," ",(VLOOKUP($A222,OffPwrVolTable,(IF(VolBMO2=2,7,IF(VolBMO2=1,6,8))),FALSE())))</f>
        <v> </v>
      </c>
      <c r="AJ222" s="321" t="str">
        <f aca="false">IF($A222="N/A"," ",(VLOOKUP($A222,OffPwrVolTable,(IF(VolBMO2=2,3,IF(VolBMO2=1,2,4))),FALSE())*VLOOKUP(MONTH($A222),Volscale,2)))</f>
        <v> </v>
      </c>
      <c r="AK222" s="321" t="str">
        <f aca="false">IF($A222="N/A"," ",IF(VolType2=1,AJ222,AI222))</f>
        <v> </v>
      </c>
      <c r="AL222" s="321" t="str">
        <f aca="false">IF($A222="N/A"," ",IF(PV=1,0,'Pricing Inputs2'!R255))</f>
        <v> </v>
      </c>
      <c r="AM222" s="323" t="str">
        <f aca="false">IF($A222="N/A"," ",(1+AL222/2)^(-2*((EOMONTH(A222,0)+20)-DateToday)/365.25))</f>
        <v> </v>
      </c>
      <c r="BQ222" s="0" t="str">
        <f aca="false">IF($A222="N/A"," ",(VLOOKUP($A222,NumberofDaysTable,2)))</f>
        <v> </v>
      </c>
      <c r="BR222" s="0" t="str">
        <f aca="false">IF($A222="N/A"," ",(VLOOKUP($A222,NumberofDaysTable,3)))</f>
        <v> </v>
      </c>
      <c r="BS222" s="0" t="str">
        <f aca="false">IF($A222="N/A"," ",(VLOOKUP($A222,NumberofDaysTable,4)))</f>
        <v> </v>
      </c>
    </row>
    <row r="223" customFormat="false" ht="12.75" hidden="false" customHeight="false" outlineLevel="0" collapsed="false">
      <c r="A223" s="315" t="str">
        <f aca="false">IF(A222="N/A","N/A",IF(EDATE(A222,1)&gt;Inputs!$P$5,"N/A",EDATE(A222,1)))</f>
        <v>N/A</v>
      </c>
      <c r="B223" s="316" t="str">
        <f aca="false">IF(A223="N/A"," ",YEAR(A223))</f>
        <v> </v>
      </c>
      <c r="C223" s="317" t="str">
        <f aca="false">IF($A223="N/A"," ",IF(Dayrun2=10,0,IF(Scaler2=1,(VLOOKUP(A223,ScaledPrice2,4)),(VLOOKUP(A223,ScaledPrice2,2)))))</f>
        <v> </v>
      </c>
      <c r="D223" s="317" t="str">
        <f aca="false">IF(A223="N/A"," ",IF(Dayrun2&gt;=7,0,IF(Scaler2=2,VLOOKUP(A223,ScaledPrice2,2),(VLOOKUP(A223,ScaledPrice2,2))*(2-(VLOOKUP(A223,ScaledPrice2,3))))))</f>
        <v> </v>
      </c>
      <c r="E223" s="317" t="str">
        <f aca="false">IF($A223="N/A"," ",IF(AND(Dayrun2&gt;=4,Dayrun2&lt;=9),0,VLOOKUP($A223,ScaledPrice2,9)))</f>
        <v> </v>
      </c>
      <c r="F223" s="317" t="str">
        <f aca="false">IF(A223="N/A"," ",IF(OR(Dayrun2=2,Dayrun2=3,Dayrun2=5,Dayrun2=6,Dayrun2=8,Dayrun2=9),VLOOKUP(A223,ScaledPrice2,IF(Scaler2=1,6,5)),0))</f>
        <v> </v>
      </c>
      <c r="G223" s="317" t="str">
        <f aca="false">IF(A223="N/A"," ",IF(OR(Dayrun2=2,Dayrun2=3,Dayrun2=5,Dayrun2=6),IF(Scaler2=2,F223,(VLOOKUP(A223,ScaledPrice2,5))*(2-(VLOOKUP(A223,ScaledPrice2,3)))),0))</f>
        <v> </v>
      </c>
      <c r="H223" s="317" t="str">
        <f aca="false">IF($A223="N/A"," ",IF(OR(Dayrun2=2,Dayrun2=3,Dayrun2=10),VLOOKUP($A223,ScaledPrice2,9),0))</f>
        <v> </v>
      </c>
      <c r="I223" s="317" t="str">
        <f aca="false">IF(A223="N/A"," ",IF(OR(Dayrun2=3,Dayrun2=6,Dayrun2=9),(VLOOKUP(A223,ScaledPrice2,IF(Scaler2=2,7,8))),0))</f>
        <v> </v>
      </c>
      <c r="J223" s="317" t="str">
        <f aca="false">IF(A223="N/A"," ",IF(OR(Dayrun2=3,Dayrun2=6),IF(Scaler2=2,I223,(VLOOKUP(A223,ScaledPrice2,7))*(2-(VLOOKUP(A223,ScaledPrice2,3)))),0))</f>
        <v> </v>
      </c>
      <c r="K223" s="317" t="str">
        <f aca="false">IF($A223="N/A"," ",IF(OR(Dayrun2=3,Dayrun2=10),VLOOKUP($A223,ScaledPrice2,9),0))</f>
        <v> </v>
      </c>
      <c r="L223" s="318" t="str">
        <f aca="false">IF($A223="N/A"," ",IF(Pricetype2=2,MAX(C223,0),IF(OR(Pricetype2=1,Pricetype2=4),IF(C223=0,0,(EURO(C223,Strikeprice2,0,0,($AH223+IF(Smile=TRUE(),VLOOKUP(MAX(-5,Strikeprice2-C223),Volsmile,2),0)),($A223-DateToday)+15,IF(Pricetype2=1,1,0),0))),C223)))</f>
        <v> </v>
      </c>
      <c r="M223" s="318" t="str">
        <f aca="false">IF($A223="N/A"," ",IF(Pricetype2=2,MAX(D223,0),IF(OR(Pricetype2=1,Pricetype2=4),IF(D223=0,0,(EURO(D223,Strikeprice2,0,0,($AH223+IF(Smile=TRUE(),VLOOKUP(MAX(-5,Strikeprice2-D223),Volsmile,2),0)),($A223-DateToday)+15,IF(Pricetype2=1,1,0),0))),D223)))</f>
        <v> </v>
      </c>
      <c r="N223" s="318" t="str">
        <f aca="false">IF($A223="N/A"," ",IF(Pricetype2=2,MAX(E223,0),IF(OR(Pricetype2=1,Pricetype2=4),IF(E223=0,0,(EURO(E223,Strikeprice2,0,0,($AK223+IF(Smile=TRUE(),VLOOKUP(MAX(-5,Strikeprice2-E223),Volsmile,2),0)),($A223-DateToday)+15,IF(Pricetype2=1,1,0),0))),E223)))</f>
        <v> </v>
      </c>
      <c r="O223" s="318" t="str">
        <f aca="false">IF($A223="N/A"," ",IF(Pricetype2=2,MAX(F223,0),IF(OR(Pricetype2=1,Pricetype2=4),IF(F223=0,0,(EURO(F223,Strikeprice2,0,0,($AK223+IF(Smile=TRUE(),VLOOKUP(MAX(-5,Strikeprice2-F223),Volsmile,2),0)),($A223-DateToday)+15,IF(Pricetype2=1,1,0),0))),F223)))</f>
        <v> </v>
      </c>
      <c r="P223" s="318" t="str">
        <f aca="false">IF($A223="N/A"," ",IF(Pricetype2=2,MAX(G223,0),IF(OR(Pricetype2=1,Pricetype2=4),IF(G223=0,0,(EURO(G223,Strikeprice2,0,0,($AK223+IF(Smile=TRUE(),VLOOKUP(MAX(-5,Strikeprice2-G223),Volsmile,2),0)),($A223-DateToday)+15,IF(Pricetype2=1,1,0),0))),G223)))</f>
        <v> </v>
      </c>
      <c r="Q223" s="318" t="str">
        <f aca="false">IF($A223="N/A"," ",IF(Pricetype2=2,MAX(H223,0),IF(OR(Pricetype2=1,Pricetype2=4),IF(H223=0,0,(EURO(H223,Strikeprice2,0,0,($AK223+IF(Smile=TRUE(),VLOOKUP(MAX(-5,Strikeprice2-H223),Volsmile,2),0)),($A223-DateToday)+15,IF(Pricetype2=1,1,0),0))),H223)))</f>
        <v> </v>
      </c>
      <c r="R223" s="318" t="str">
        <f aca="false">IF($A223="N/A"," ",IF(Pricetype2=2,MAX(I223,0),IF(OR(Pricetype2=1,Pricetype2=4),IF(I223=0,0,(EURO(I223,Strikeprice2,0,0,($AK223+IF(Smile=TRUE(),VLOOKUP(MAX(-5,Strikeprice2-I223),Volsmile,2),0)),($A223-DateToday)+15,IF(Pricetype2=1,1,0),0))),I223)))</f>
        <v> </v>
      </c>
      <c r="S223" s="318" t="str">
        <f aca="false">IF($A223="N/A"," ",IF(Pricetype2=2,MAX(J223,0),IF(OR(Pricetype2=1,Pricetype2=4),IF(J223=0,0,(EURO(J223,Strikeprice2,0,0,($AK223+IF(Smile=TRUE(),VLOOKUP(MAX(-5,Strikeprice2-J223),Volsmile,2),0)),($A223-DateToday)+15,IF(Pricetype2=1,1,0),0))),J223)))</f>
        <v> </v>
      </c>
      <c r="T223" s="318" t="str">
        <f aca="false">IF($A223="N/A"," ",IF(Pricetype2=2,MAX(K223,0),IF(OR(Pricetype2=1,Pricetype2=4),IF(K223=0,0,(EURO(K223,Strikeprice2,0,0,($AK223+IF(Smile=TRUE(),VLOOKUP(MAX(-5,Strikeprice2-K223),Volsmile,2),0)),($A223-DateToday)+15,IF(Pricetype2=1,1,0),0))),K223)))</f>
        <v> </v>
      </c>
      <c r="U223" s="319" t="str">
        <f aca="false">IF($A223="N/A"," ",Volume2*$AM223)</f>
        <v> </v>
      </c>
      <c r="V223" s="320" t="str">
        <f aca="false">IF($A223="N/A"," ",$U223*(8*($BQ223))*L223)</f>
        <v> </v>
      </c>
      <c r="W223" s="320" t="str">
        <f aca="false">IF($A223="N/A"," ",$U223*(8*($BQ223))*M223)</f>
        <v> </v>
      </c>
      <c r="X223" s="320" t="str">
        <f aca="false">IF($A223="N/A"," ",$U223*(8*($BQ223))*N223)</f>
        <v> </v>
      </c>
      <c r="Y223" s="320" t="str">
        <f aca="false">IF($A223="N/A"," ",$U223*(8*($BR223))*O223)</f>
        <v> </v>
      </c>
      <c r="Z223" s="320" t="str">
        <f aca="false">IF($A223="N/A"," ",$U223*(8*($BR223))*P223)</f>
        <v> </v>
      </c>
      <c r="AA223" s="320" t="str">
        <f aca="false">IF($A223="N/A"," ",$U223*(8*($BR223))*Q223)</f>
        <v> </v>
      </c>
      <c r="AB223" s="320" t="str">
        <f aca="false">IF($A223="N/A"," ",$U223*(8*($BS223))*R223)</f>
        <v> </v>
      </c>
      <c r="AC223" s="320" t="str">
        <f aca="false">IF($A223="N/A"," ",$U223*(8*($BS223))*S223)</f>
        <v> </v>
      </c>
      <c r="AD223" s="320" t="str">
        <f aca="false">IF($A223="N/A"," ",$U223*(8*($BS223))*T223)</f>
        <v> </v>
      </c>
      <c r="AE223" s="320" t="str">
        <f aca="false">IF($A223="N/A"," ",SUM(V223:AD223))</f>
        <v> </v>
      </c>
      <c r="AF223" s="321" t="str">
        <f aca="false">IF(A223="N/A"," ",(VLOOKUP(A223,PowerVolTable,(IF(VolBMO2=2,7,IF(VolBMO2=1,6,8))),FALSE())))</f>
        <v> </v>
      </c>
      <c r="AG223" s="321" t="str">
        <f aca="false">IF(A223="N/A"," ",(VLOOKUP(A223,IntraPowerVol,(IF(VolBMO2=2,3,IF(VolBMO2=1,2,4))),FALSE())*VLOOKUP(MONTH($A223),Volscale,2)))</f>
        <v> </v>
      </c>
      <c r="AH223" s="321" t="str">
        <f aca="false">IF($A223="N/A"," ",IF(VolType2=1,AG223,AF223))</f>
        <v> </v>
      </c>
      <c r="AI223" s="321" t="str">
        <f aca="false">IF($A223="N/A"," ",(VLOOKUP($A223,OffPwrVolTable,(IF(VolBMO2=2,7,IF(VolBMO2=1,6,8))),FALSE())))</f>
        <v> </v>
      </c>
      <c r="AJ223" s="321" t="str">
        <f aca="false">IF($A223="N/A"," ",(VLOOKUP($A223,OffPwrVolTable,(IF(VolBMO2=2,3,IF(VolBMO2=1,2,4))),FALSE())*VLOOKUP(MONTH($A223),Volscale,2)))</f>
        <v> </v>
      </c>
      <c r="AK223" s="321" t="str">
        <f aca="false">IF($A223="N/A"," ",IF(VolType2=1,AJ223,AI223))</f>
        <v> </v>
      </c>
      <c r="AL223" s="321" t="str">
        <f aca="false">IF($A223="N/A"," ",IF(PV=1,0,'Pricing Inputs2'!R256))</f>
        <v> </v>
      </c>
      <c r="AM223" s="323" t="str">
        <f aca="false">IF($A223="N/A"," ",(1+AL223/2)^(-2*((EOMONTH(A223,0)+20)-DateToday)/365.25))</f>
        <v> </v>
      </c>
      <c r="BQ223" s="0" t="str">
        <f aca="false">IF($A223="N/A"," ",(VLOOKUP($A223,NumberofDaysTable,2)))</f>
        <v> </v>
      </c>
      <c r="BR223" s="0" t="str">
        <f aca="false">IF($A223="N/A"," ",(VLOOKUP($A223,NumberofDaysTable,3)))</f>
        <v> </v>
      </c>
      <c r="BS223" s="0" t="str">
        <f aca="false">IF($A223="N/A"," ",(VLOOKUP($A223,NumberofDaysTable,4)))</f>
        <v> </v>
      </c>
    </row>
    <row r="224" customFormat="false" ht="12.75" hidden="false" customHeight="false" outlineLevel="0" collapsed="false">
      <c r="A224" s="315" t="str">
        <f aca="false">IF(A223="N/A","N/A",IF(EDATE(A223,1)&gt;Inputs!$P$5,"N/A",EDATE(A223,1)))</f>
        <v>N/A</v>
      </c>
      <c r="B224" s="316" t="str">
        <f aca="false">IF(A224="N/A"," ",YEAR(A224))</f>
        <v> </v>
      </c>
      <c r="C224" s="317" t="str">
        <f aca="false">IF($A224="N/A"," ",IF(Dayrun2=10,0,IF(Scaler2=1,(VLOOKUP(A224,ScaledPrice2,4)),(VLOOKUP(A224,ScaledPrice2,2)))))</f>
        <v> </v>
      </c>
      <c r="D224" s="317" t="str">
        <f aca="false">IF(A224="N/A"," ",IF(Dayrun2&gt;=7,0,IF(Scaler2=2,VLOOKUP(A224,ScaledPrice2,2),(VLOOKUP(A224,ScaledPrice2,2))*(2-(VLOOKUP(A224,ScaledPrice2,3))))))</f>
        <v> </v>
      </c>
      <c r="E224" s="317" t="str">
        <f aca="false">IF($A224="N/A"," ",IF(AND(Dayrun2&gt;=4,Dayrun2&lt;=9),0,VLOOKUP($A224,ScaledPrice2,9)))</f>
        <v> </v>
      </c>
      <c r="F224" s="317" t="str">
        <f aca="false">IF(A224="N/A"," ",IF(OR(Dayrun2=2,Dayrun2=3,Dayrun2=5,Dayrun2=6,Dayrun2=8,Dayrun2=9),VLOOKUP(A224,ScaledPrice2,IF(Scaler2=1,6,5)),0))</f>
        <v> </v>
      </c>
      <c r="G224" s="317" t="str">
        <f aca="false">IF(A224="N/A"," ",IF(OR(Dayrun2=2,Dayrun2=3,Dayrun2=5,Dayrun2=6),IF(Scaler2=2,F224,(VLOOKUP(A224,ScaledPrice2,5))*(2-(VLOOKUP(A224,ScaledPrice2,3)))),0))</f>
        <v> </v>
      </c>
      <c r="H224" s="317" t="str">
        <f aca="false">IF($A224="N/A"," ",IF(OR(Dayrun2=2,Dayrun2=3,Dayrun2=10),VLOOKUP($A224,ScaledPrice2,9),0))</f>
        <v> </v>
      </c>
      <c r="I224" s="317" t="str">
        <f aca="false">IF(A224="N/A"," ",IF(OR(Dayrun2=3,Dayrun2=6,Dayrun2=9),(VLOOKUP(A224,ScaledPrice2,IF(Scaler2=2,7,8))),0))</f>
        <v> </v>
      </c>
      <c r="J224" s="317" t="str">
        <f aca="false">IF(A224="N/A"," ",IF(OR(Dayrun2=3,Dayrun2=6),IF(Scaler2=2,I224,(VLOOKUP(A224,ScaledPrice2,7))*(2-(VLOOKUP(A224,ScaledPrice2,3)))),0))</f>
        <v> </v>
      </c>
      <c r="K224" s="317" t="str">
        <f aca="false">IF($A224="N/A"," ",IF(OR(Dayrun2=3,Dayrun2=10),VLOOKUP($A224,ScaledPrice2,9),0))</f>
        <v> </v>
      </c>
      <c r="L224" s="318" t="str">
        <f aca="false">IF($A224="N/A"," ",IF(Pricetype2=2,MAX(C224,0),IF(OR(Pricetype2=1,Pricetype2=4),IF(C224=0,0,(EURO(C224,Strikeprice2,0,0,($AH224+IF(Smile=TRUE(),VLOOKUP(MAX(-5,Strikeprice2-C224),Volsmile,2),0)),($A224-DateToday)+15,IF(Pricetype2=1,1,0),0))),C224)))</f>
        <v> </v>
      </c>
      <c r="M224" s="318" t="str">
        <f aca="false">IF($A224="N/A"," ",IF(Pricetype2=2,MAX(D224,0),IF(OR(Pricetype2=1,Pricetype2=4),IF(D224=0,0,(EURO(D224,Strikeprice2,0,0,($AH224+IF(Smile=TRUE(),VLOOKUP(MAX(-5,Strikeprice2-D224),Volsmile,2),0)),($A224-DateToday)+15,IF(Pricetype2=1,1,0),0))),D224)))</f>
        <v> </v>
      </c>
      <c r="N224" s="318" t="str">
        <f aca="false">IF($A224="N/A"," ",IF(Pricetype2=2,MAX(E224,0),IF(OR(Pricetype2=1,Pricetype2=4),IF(E224=0,0,(EURO(E224,Strikeprice2,0,0,($AK224+IF(Smile=TRUE(),VLOOKUP(MAX(-5,Strikeprice2-E224),Volsmile,2),0)),($A224-DateToday)+15,IF(Pricetype2=1,1,0),0))),E224)))</f>
        <v> </v>
      </c>
      <c r="O224" s="318" t="str">
        <f aca="false">IF($A224="N/A"," ",IF(Pricetype2=2,MAX(F224,0),IF(OR(Pricetype2=1,Pricetype2=4),IF(F224=0,0,(EURO(F224,Strikeprice2,0,0,($AK224+IF(Smile=TRUE(),VLOOKUP(MAX(-5,Strikeprice2-F224),Volsmile,2),0)),($A224-DateToday)+15,IF(Pricetype2=1,1,0),0))),F224)))</f>
        <v> </v>
      </c>
      <c r="P224" s="318" t="str">
        <f aca="false">IF($A224="N/A"," ",IF(Pricetype2=2,MAX(G224,0),IF(OR(Pricetype2=1,Pricetype2=4),IF(G224=0,0,(EURO(G224,Strikeprice2,0,0,($AK224+IF(Smile=TRUE(),VLOOKUP(MAX(-5,Strikeprice2-G224),Volsmile,2),0)),($A224-DateToday)+15,IF(Pricetype2=1,1,0),0))),G224)))</f>
        <v> </v>
      </c>
      <c r="Q224" s="318" t="str">
        <f aca="false">IF($A224="N/A"," ",IF(Pricetype2=2,MAX(H224,0),IF(OR(Pricetype2=1,Pricetype2=4),IF(H224=0,0,(EURO(H224,Strikeprice2,0,0,($AK224+IF(Smile=TRUE(),VLOOKUP(MAX(-5,Strikeprice2-H224),Volsmile,2),0)),($A224-DateToday)+15,IF(Pricetype2=1,1,0),0))),H224)))</f>
        <v> </v>
      </c>
      <c r="R224" s="318" t="str">
        <f aca="false">IF($A224="N/A"," ",IF(Pricetype2=2,MAX(I224,0),IF(OR(Pricetype2=1,Pricetype2=4),IF(I224=0,0,(EURO(I224,Strikeprice2,0,0,($AK224+IF(Smile=TRUE(),VLOOKUP(MAX(-5,Strikeprice2-I224),Volsmile,2),0)),($A224-DateToday)+15,IF(Pricetype2=1,1,0),0))),I224)))</f>
        <v> </v>
      </c>
      <c r="S224" s="318" t="str">
        <f aca="false">IF($A224="N/A"," ",IF(Pricetype2=2,MAX(J224,0),IF(OR(Pricetype2=1,Pricetype2=4),IF(J224=0,0,(EURO(J224,Strikeprice2,0,0,($AK224+IF(Smile=TRUE(),VLOOKUP(MAX(-5,Strikeprice2-J224),Volsmile,2),0)),($A224-DateToday)+15,IF(Pricetype2=1,1,0),0))),J224)))</f>
        <v> </v>
      </c>
      <c r="T224" s="318" t="str">
        <f aca="false">IF($A224="N/A"," ",IF(Pricetype2=2,MAX(K224,0),IF(OR(Pricetype2=1,Pricetype2=4),IF(K224=0,0,(EURO(K224,Strikeprice2,0,0,($AK224+IF(Smile=TRUE(),VLOOKUP(MAX(-5,Strikeprice2-K224),Volsmile,2),0)),($A224-DateToday)+15,IF(Pricetype2=1,1,0),0))),K224)))</f>
        <v> </v>
      </c>
      <c r="U224" s="319" t="str">
        <f aca="false">IF($A224="N/A"," ",Volume2*$AM224)</f>
        <v> </v>
      </c>
      <c r="V224" s="320" t="str">
        <f aca="false">IF($A224="N/A"," ",$U224*(8*($BQ224))*L224)</f>
        <v> </v>
      </c>
      <c r="W224" s="320" t="str">
        <f aca="false">IF($A224="N/A"," ",$U224*(8*($BQ224))*M224)</f>
        <v> </v>
      </c>
      <c r="X224" s="320" t="str">
        <f aca="false">IF($A224="N/A"," ",$U224*(8*($BQ224))*N224)</f>
        <v> </v>
      </c>
      <c r="Y224" s="320" t="str">
        <f aca="false">IF($A224="N/A"," ",$U224*(8*($BR224))*O224)</f>
        <v> </v>
      </c>
      <c r="Z224" s="320" t="str">
        <f aca="false">IF($A224="N/A"," ",$U224*(8*($BR224))*P224)</f>
        <v> </v>
      </c>
      <c r="AA224" s="320" t="str">
        <f aca="false">IF($A224="N/A"," ",$U224*(8*($BR224))*Q224)</f>
        <v> </v>
      </c>
      <c r="AB224" s="320" t="str">
        <f aca="false">IF($A224="N/A"," ",$U224*(8*($BS224))*R224)</f>
        <v> </v>
      </c>
      <c r="AC224" s="320" t="str">
        <f aca="false">IF($A224="N/A"," ",$U224*(8*($BS224))*S224)</f>
        <v> </v>
      </c>
      <c r="AD224" s="320" t="str">
        <f aca="false">IF($A224="N/A"," ",$U224*(8*($BS224))*T224)</f>
        <v> </v>
      </c>
      <c r="AE224" s="320" t="str">
        <f aca="false">IF($A224="N/A"," ",SUM(V224:AD224))</f>
        <v> </v>
      </c>
      <c r="AF224" s="321" t="str">
        <f aca="false">IF(A224="N/A"," ",(VLOOKUP(A224,PowerVolTable,(IF(VolBMO2=2,7,IF(VolBMO2=1,6,8))),FALSE())))</f>
        <v> </v>
      </c>
      <c r="AG224" s="321" t="str">
        <f aca="false">IF(A224="N/A"," ",(VLOOKUP(A224,IntraPowerVol,(IF(VolBMO2=2,3,IF(VolBMO2=1,2,4))),FALSE())*VLOOKUP(MONTH($A224),Volscale,2)))</f>
        <v> </v>
      </c>
      <c r="AH224" s="321" t="str">
        <f aca="false">IF($A224="N/A"," ",IF(VolType2=1,AG224,AF224))</f>
        <v> </v>
      </c>
      <c r="AI224" s="321" t="str">
        <f aca="false">IF($A224="N/A"," ",(VLOOKUP($A224,OffPwrVolTable,(IF(VolBMO2=2,7,IF(VolBMO2=1,6,8))),FALSE())))</f>
        <v> </v>
      </c>
      <c r="AJ224" s="321" t="str">
        <f aca="false">IF($A224="N/A"," ",(VLOOKUP($A224,OffPwrVolTable,(IF(VolBMO2=2,3,IF(VolBMO2=1,2,4))),FALSE())*VLOOKUP(MONTH($A224),Volscale,2)))</f>
        <v> </v>
      </c>
      <c r="AK224" s="321" t="str">
        <f aca="false">IF($A224="N/A"," ",IF(VolType2=1,AJ224,AI224))</f>
        <v> </v>
      </c>
      <c r="AL224" s="321" t="str">
        <f aca="false">IF($A224="N/A"," ",IF(PV=1,0,'Pricing Inputs2'!R257))</f>
        <v> </v>
      </c>
      <c r="AM224" s="323" t="str">
        <f aca="false">IF($A224="N/A"," ",(1+AL224/2)^(-2*((EOMONTH(A224,0)+20)-DateToday)/365.25))</f>
        <v> </v>
      </c>
      <c r="BQ224" s="0" t="str">
        <f aca="false">IF($A224="N/A"," ",(VLOOKUP($A224,NumberofDaysTable,2)))</f>
        <v> </v>
      </c>
      <c r="BR224" s="0" t="str">
        <f aca="false">IF($A224="N/A"," ",(VLOOKUP($A224,NumberofDaysTable,3)))</f>
        <v> </v>
      </c>
      <c r="BS224" s="0" t="str">
        <f aca="false">IF($A224="N/A"," ",(VLOOKUP($A224,NumberofDaysTable,4)))</f>
        <v> </v>
      </c>
    </row>
    <row r="225" customFormat="false" ht="12.75" hidden="false" customHeight="false" outlineLevel="0" collapsed="false">
      <c r="A225" s="315" t="str">
        <f aca="false">IF(A224="N/A","N/A",IF(EDATE(A224,1)&gt;Inputs!$P$5,"N/A",EDATE(A224,1)))</f>
        <v>N/A</v>
      </c>
      <c r="B225" s="316" t="str">
        <f aca="false">IF(A225="N/A"," ",YEAR(A225))</f>
        <v> </v>
      </c>
      <c r="C225" s="317" t="str">
        <f aca="false">IF($A225="N/A"," ",IF(Dayrun2=10,0,IF(Scaler2=1,(VLOOKUP(A225,ScaledPrice2,4)),(VLOOKUP(A225,ScaledPrice2,2)))))</f>
        <v> </v>
      </c>
      <c r="D225" s="317" t="str">
        <f aca="false">IF(A225="N/A"," ",IF(Dayrun2&gt;=7,0,IF(Scaler2=2,VLOOKUP(A225,ScaledPrice2,2),(VLOOKUP(A225,ScaledPrice2,2))*(2-(VLOOKUP(A225,ScaledPrice2,3))))))</f>
        <v> </v>
      </c>
      <c r="E225" s="317" t="str">
        <f aca="false">IF($A225="N/A"," ",IF(AND(Dayrun2&gt;=4,Dayrun2&lt;=9),0,VLOOKUP($A225,ScaledPrice2,9)))</f>
        <v> </v>
      </c>
      <c r="F225" s="317" t="str">
        <f aca="false">IF(A225="N/A"," ",IF(OR(Dayrun2=2,Dayrun2=3,Dayrun2=5,Dayrun2=6,Dayrun2=8,Dayrun2=9),VLOOKUP(A225,ScaledPrice2,IF(Scaler2=1,6,5)),0))</f>
        <v> </v>
      </c>
      <c r="G225" s="317" t="str">
        <f aca="false">IF(A225="N/A"," ",IF(OR(Dayrun2=2,Dayrun2=3,Dayrun2=5,Dayrun2=6),IF(Scaler2=2,F225,(VLOOKUP(A225,ScaledPrice2,5))*(2-(VLOOKUP(A225,ScaledPrice2,3)))),0))</f>
        <v> </v>
      </c>
      <c r="H225" s="317" t="str">
        <f aca="false">IF($A225="N/A"," ",IF(OR(Dayrun2=2,Dayrun2=3,Dayrun2=10),VLOOKUP($A225,ScaledPrice2,9),0))</f>
        <v> </v>
      </c>
      <c r="I225" s="317" t="str">
        <f aca="false">IF(A225="N/A"," ",IF(OR(Dayrun2=3,Dayrun2=6,Dayrun2=9),(VLOOKUP(A225,ScaledPrice2,IF(Scaler2=2,7,8))),0))</f>
        <v> </v>
      </c>
      <c r="J225" s="317" t="str">
        <f aca="false">IF(A225="N/A"," ",IF(OR(Dayrun2=3,Dayrun2=6),IF(Scaler2=2,I225,(VLOOKUP(A225,ScaledPrice2,7))*(2-(VLOOKUP(A225,ScaledPrice2,3)))),0))</f>
        <v> </v>
      </c>
      <c r="K225" s="317" t="str">
        <f aca="false">IF($A225="N/A"," ",IF(OR(Dayrun2=3,Dayrun2=10),VLOOKUP($A225,ScaledPrice2,9),0))</f>
        <v> </v>
      </c>
      <c r="L225" s="318" t="str">
        <f aca="false">IF($A225="N/A"," ",IF(Pricetype2=2,MAX(C225,0),IF(OR(Pricetype2=1,Pricetype2=4),IF(C225=0,0,(EURO(C225,Strikeprice2,0,0,($AH225+IF(Smile=TRUE(),VLOOKUP(MAX(-5,Strikeprice2-C225),Volsmile,2),0)),($A225-DateToday)+15,IF(Pricetype2=1,1,0),0))),C225)))</f>
        <v> </v>
      </c>
      <c r="M225" s="318" t="str">
        <f aca="false">IF($A225="N/A"," ",IF(Pricetype2=2,MAX(D225,0),IF(OR(Pricetype2=1,Pricetype2=4),IF(D225=0,0,(EURO(D225,Strikeprice2,0,0,($AH225+IF(Smile=TRUE(),VLOOKUP(MAX(-5,Strikeprice2-D225),Volsmile,2),0)),($A225-DateToday)+15,IF(Pricetype2=1,1,0),0))),D225)))</f>
        <v> </v>
      </c>
      <c r="N225" s="318" t="str">
        <f aca="false">IF($A225="N/A"," ",IF(Pricetype2=2,MAX(E225,0),IF(OR(Pricetype2=1,Pricetype2=4),IF(E225=0,0,(EURO(E225,Strikeprice2,0,0,($AK225+IF(Smile=TRUE(),VLOOKUP(MAX(-5,Strikeprice2-E225),Volsmile,2),0)),($A225-DateToday)+15,IF(Pricetype2=1,1,0),0))),E225)))</f>
        <v> </v>
      </c>
      <c r="O225" s="318" t="str">
        <f aca="false">IF($A225="N/A"," ",IF(Pricetype2=2,MAX(F225,0),IF(OR(Pricetype2=1,Pricetype2=4),IF(F225=0,0,(EURO(F225,Strikeprice2,0,0,($AK225+IF(Smile=TRUE(),VLOOKUP(MAX(-5,Strikeprice2-F225),Volsmile,2),0)),($A225-DateToday)+15,IF(Pricetype2=1,1,0),0))),F225)))</f>
        <v> </v>
      </c>
      <c r="P225" s="318" t="str">
        <f aca="false">IF($A225="N/A"," ",IF(Pricetype2=2,MAX(G225,0),IF(OR(Pricetype2=1,Pricetype2=4),IF(G225=0,0,(EURO(G225,Strikeprice2,0,0,($AK225+IF(Smile=TRUE(),VLOOKUP(MAX(-5,Strikeprice2-G225),Volsmile,2),0)),($A225-DateToday)+15,IF(Pricetype2=1,1,0),0))),G225)))</f>
        <v> </v>
      </c>
      <c r="Q225" s="318" t="str">
        <f aca="false">IF($A225="N/A"," ",IF(Pricetype2=2,MAX(H225,0),IF(OR(Pricetype2=1,Pricetype2=4),IF(H225=0,0,(EURO(H225,Strikeprice2,0,0,($AK225+IF(Smile=TRUE(),VLOOKUP(MAX(-5,Strikeprice2-H225),Volsmile,2),0)),($A225-DateToday)+15,IF(Pricetype2=1,1,0),0))),H225)))</f>
        <v> </v>
      </c>
      <c r="R225" s="318" t="str">
        <f aca="false">IF($A225="N/A"," ",IF(Pricetype2=2,MAX(I225,0),IF(OR(Pricetype2=1,Pricetype2=4),IF(I225=0,0,(EURO(I225,Strikeprice2,0,0,($AK225+IF(Smile=TRUE(),VLOOKUP(MAX(-5,Strikeprice2-I225),Volsmile,2),0)),($A225-DateToday)+15,IF(Pricetype2=1,1,0),0))),I225)))</f>
        <v> </v>
      </c>
      <c r="S225" s="318" t="str">
        <f aca="false">IF($A225="N/A"," ",IF(Pricetype2=2,MAX(J225,0),IF(OR(Pricetype2=1,Pricetype2=4),IF(J225=0,0,(EURO(J225,Strikeprice2,0,0,($AK225+IF(Smile=TRUE(),VLOOKUP(MAX(-5,Strikeprice2-J225),Volsmile,2),0)),($A225-DateToday)+15,IF(Pricetype2=1,1,0),0))),J225)))</f>
        <v> </v>
      </c>
      <c r="T225" s="318" t="str">
        <f aca="false">IF($A225="N/A"," ",IF(Pricetype2=2,MAX(K225,0),IF(OR(Pricetype2=1,Pricetype2=4),IF(K225=0,0,(EURO(K225,Strikeprice2,0,0,($AK225+IF(Smile=TRUE(),VLOOKUP(MAX(-5,Strikeprice2-K225),Volsmile,2),0)),($A225-DateToday)+15,IF(Pricetype2=1,1,0),0))),K225)))</f>
        <v> </v>
      </c>
      <c r="U225" s="319" t="str">
        <f aca="false">IF($A225="N/A"," ",Volume2*$AM225)</f>
        <v> </v>
      </c>
      <c r="V225" s="320" t="str">
        <f aca="false">IF($A225="N/A"," ",$U225*(8*($BQ225))*L225)</f>
        <v> </v>
      </c>
      <c r="W225" s="320" t="str">
        <f aca="false">IF($A225="N/A"," ",$U225*(8*($BQ225))*M225)</f>
        <v> </v>
      </c>
      <c r="X225" s="320" t="str">
        <f aca="false">IF($A225="N/A"," ",$U225*(8*($BQ225))*N225)</f>
        <v> </v>
      </c>
      <c r="Y225" s="320" t="str">
        <f aca="false">IF($A225="N/A"," ",$U225*(8*($BR225))*O225)</f>
        <v> </v>
      </c>
      <c r="Z225" s="320" t="str">
        <f aca="false">IF($A225="N/A"," ",$U225*(8*($BR225))*P225)</f>
        <v> </v>
      </c>
      <c r="AA225" s="320" t="str">
        <f aca="false">IF($A225="N/A"," ",$U225*(8*($BR225))*Q225)</f>
        <v> </v>
      </c>
      <c r="AB225" s="320" t="str">
        <f aca="false">IF($A225="N/A"," ",$U225*(8*($BS225))*R225)</f>
        <v> </v>
      </c>
      <c r="AC225" s="320" t="str">
        <f aca="false">IF($A225="N/A"," ",$U225*(8*($BS225))*S225)</f>
        <v> </v>
      </c>
      <c r="AD225" s="320" t="str">
        <f aca="false">IF($A225="N/A"," ",$U225*(8*($BS225))*T225)</f>
        <v> </v>
      </c>
      <c r="AE225" s="320" t="str">
        <f aca="false">IF($A225="N/A"," ",SUM(V225:AD225))</f>
        <v> </v>
      </c>
      <c r="AF225" s="321" t="str">
        <f aca="false">IF(A225="N/A"," ",(VLOOKUP(A225,PowerVolTable,(IF(VolBMO2=2,7,IF(VolBMO2=1,6,8))),FALSE())))</f>
        <v> </v>
      </c>
      <c r="AG225" s="321" t="str">
        <f aca="false">IF(A225="N/A"," ",(VLOOKUP(A225,IntraPowerVol,(IF(VolBMO2=2,3,IF(VolBMO2=1,2,4))),FALSE())*VLOOKUP(MONTH($A225),Volscale,2)))</f>
        <v> </v>
      </c>
      <c r="AH225" s="321" t="str">
        <f aca="false">IF($A225="N/A"," ",IF(VolType2=1,AG225,AF225))</f>
        <v> </v>
      </c>
      <c r="AI225" s="321" t="str">
        <f aca="false">IF($A225="N/A"," ",(VLOOKUP($A225,OffPwrVolTable,(IF(VolBMO2=2,7,IF(VolBMO2=1,6,8))),FALSE())))</f>
        <v> </v>
      </c>
      <c r="AJ225" s="321" t="str">
        <f aca="false">IF($A225="N/A"," ",(VLOOKUP($A225,OffPwrVolTable,(IF(VolBMO2=2,3,IF(VolBMO2=1,2,4))),FALSE())*VLOOKUP(MONTH($A225),Volscale,2)))</f>
        <v> </v>
      </c>
      <c r="AK225" s="321" t="str">
        <f aca="false">IF($A225="N/A"," ",IF(VolType2=1,AJ225,AI225))</f>
        <v> </v>
      </c>
      <c r="AL225" s="321" t="str">
        <f aca="false">IF($A225="N/A"," ",IF(PV=1,0,'Pricing Inputs2'!R258))</f>
        <v> </v>
      </c>
      <c r="AM225" s="323" t="str">
        <f aca="false">IF($A225="N/A"," ",(1+AL225/2)^(-2*((EOMONTH(A225,0)+20)-DateToday)/365.25))</f>
        <v> </v>
      </c>
      <c r="BQ225" s="0" t="str">
        <f aca="false">IF($A225="N/A"," ",(VLOOKUP($A225,NumberofDaysTable,2)))</f>
        <v> </v>
      </c>
      <c r="BR225" s="0" t="str">
        <f aca="false">IF($A225="N/A"," ",(VLOOKUP($A225,NumberofDaysTable,3)))</f>
        <v> </v>
      </c>
      <c r="BS225" s="0" t="str">
        <f aca="false">IF($A225="N/A"," ",(VLOOKUP($A225,NumberofDaysTable,4)))</f>
        <v> </v>
      </c>
    </row>
    <row r="226" customFormat="false" ht="12.75" hidden="false" customHeight="false" outlineLevel="0" collapsed="false">
      <c r="A226" s="315" t="str">
        <f aca="false">IF(A225="N/A","N/A",IF(EDATE(A225,1)&gt;Inputs!$P$5,"N/A",EDATE(A225,1)))</f>
        <v>N/A</v>
      </c>
      <c r="B226" s="316" t="str">
        <f aca="false">IF(A226="N/A"," ",YEAR(A226))</f>
        <v> </v>
      </c>
      <c r="C226" s="317" t="str">
        <f aca="false">IF($A226="N/A"," ",IF(Dayrun2=10,0,IF(Scaler2=1,(VLOOKUP(A226,ScaledPrice2,4)),(VLOOKUP(A226,ScaledPrice2,2)))))</f>
        <v> </v>
      </c>
      <c r="D226" s="317" t="str">
        <f aca="false">IF(A226="N/A"," ",IF(Dayrun2&gt;=7,0,IF(Scaler2=2,VLOOKUP(A226,ScaledPrice2,2),(VLOOKUP(A226,ScaledPrice2,2))*(2-(VLOOKUP(A226,ScaledPrice2,3))))))</f>
        <v> </v>
      </c>
      <c r="E226" s="317" t="str">
        <f aca="false">IF($A226="N/A"," ",IF(AND(Dayrun2&gt;=4,Dayrun2&lt;=9),0,VLOOKUP($A226,ScaledPrice2,9)))</f>
        <v> </v>
      </c>
      <c r="F226" s="317" t="str">
        <f aca="false">IF(A226="N/A"," ",IF(OR(Dayrun2=2,Dayrun2=3,Dayrun2=5,Dayrun2=6,Dayrun2=8,Dayrun2=9),VLOOKUP(A226,ScaledPrice2,IF(Scaler2=1,6,5)),0))</f>
        <v> </v>
      </c>
      <c r="G226" s="317" t="str">
        <f aca="false">IF(A226="N/A"," ",IF(OR(Dayrun2=2,Dayrun2=3,Dayrun2=5,Dayrun2=6),IF(Scaler2=2,F226,(VLOOKUP(A226,ScaledPrice2,5))*(2-(VLOOKUP(A226,ScaledPrice2,3)))),0))</f>
        <v> </v>
      </c>
      <c r="H226" s="317" t="str">
        <f aca="false">IF($A226="N/A"," ",IF(OR(Dayrun2=2,Dayrun2=3,Dayrun2=10),VLOOKUP($A226,ScaledPrice2,9),0))</f>
        <v> </v>
      </c>
      <c r="I226" s="317" t="str">
        <f aca="false">IF(A226="N/A"," ",IF(OR(Dayrun2=3,Dayrun2=6,Dayrun2=9),(VLOOKUP(A226,ScaledPrice2,IF(Scaler2=2,7,8))),0))</f>
        <v> </v>
      </c>
      <c r="J226" s="317" t="str">
        <f aca="false">IF(A226="N/A"," ",IF(OR(Dayrun2=3,Dayrun2=6),IF(Scaler2=2,I226,(VLOOKUP(A226,ScaledPrice2,7))*(2-(VLOOKUP(A226,ScaledPrice2,3)))),0))</f>
        <v> </v>
      </c>
      <c r="K226" s="317" t="str">
        <f aca="false">IF($A226="N/A"," ",IF(OR(Dayrun2=3,Dayrun2=10),VLOOKUP($A226,ScaledPrice2,9),0))</f>
        <v> </v>
      </c>
      <c r="L226" s="318" t="str">
        <f aca="false">IF($A226="N/A"," ",IF(Pricetype2=2,MAX(C226,0),IF(OR(Pricetype2=1,Pricetype2=4),IF(C226=0,0,(EURO(C226,Strikeprice2,0,0,($AH226+IF(Smile=TRUE(),VLOOKUP(MAX(-5,Strikeprice2-C226),Volsmile,2),0)),($A226-DateToday)+15,IF(Pricetype2=1,1,0),0))),C226)))</f>
        <v> </v>
      </c>
      <c r="M226" s="318" t="str">
        <f aca="false">IF($A226="N/A"," ",IF(Pricetype2=2,MAX(D226,0),IF(OR(Pricetype2=1,Pricetype2=4),IF(D226=0,0,(EURO(D226,Strikeprice2,0,0,($AH226+IF(Smile=TRUE(),VLOOKUP(MAX(-5,Strikeprice2-D226),Volsmile,2),0)),($A226-DateToday)+15,IF(Pricetype2=1,1,0),0))),D226)))</f>
        <v> </v>
      </c>
      <c r="N226" s="318" t="str">
        <f aca="false">IF($A226="N/A"," ",IF(Pricetype2=2,MAX(E226,0),IF(OR(Pricetype2=1,Pricetype2=4),IF(E226=0,0,(EURO(E226,Strikeprice2,0,0,($AK226+IF(Smile=TRUE(),VLOOKUP(MAX(-5,Strikeprice2-E226),Volsmile,2),0)),($A226-DateToday)+15,IF(Pricetype2=1,1,0),0))),E226)))</f>
        <v> </v>
      </c>
      <c r="O226" s="318" t="str">
        <f aca="false">IF($A226="N/A"," ",IF(Pricetype2=2,MAX(F226,0),IF(OR(Pricetype2=1,Pricetype2=4),IF(F226=0,0,(EURO(F226,Strikeprice2,0,0,($AK226+IF(Smile=TRUE(),VLOOKUP(MAX(-5,Strikeprice2-F226),Volsmile,2),0)),($A226-DateToday)+15,IF(Pricetype2=1,1,0),0))),F226)))</f>
        <v> </v>
      </c>
      <c r="P226" s="318" t="str">
        <f aca="false">IF($A226="N/A"," ",IF(Pricetype2=2,MAX(G226,0),IF(OR(Pricetype2=1,Pricetype2=4),IF(G226=0,0,(EURO(G226,Strikeprice2,0,0,($AK226+IF(Smile=TRUE(),VLOOKUP(MAX(-5,Strikeprice2-G226),Volsmile,2),0)),($A226-DateToday)+15,IF(Pricetype2=1,1,0),0))),G226)))</f>
        <v> </v>
      </c>
      <c r="Q226" s="318" t="str">
        <f aca="false">IF($A226="N/A"," ",IF(Pricetype2=2,MAX(H226,0),IF(OR(Pricetype2=1,Pricetype2=4),IF(H226=0,0,(EURO(H226,Strikeprice2,0,0,($AK226+IF(Smile=TRUE(),VLOOKUP(MAX(-5,Strikeprice2-H226),Volsmile,2),0)),($A226-DateToday)+15,IF(Pricetype2=1,1,0),0))),H226)))</f>
        <v> </v>
      </c>
      <c r="R226" s="318" t="str">
        <f aca="false">IF($A226="N/A"," ",IF(Pricetype2=2,MAX(I226,0),IF(OR(Pricetype2=1,Pricetype2=4),IF(I226=0,0,(EURO(I226,Strikeprice2,0,0,($AK226+IF(Smile=TRUE(),VLOOKUP(MAX(-5,Strikeprice2-I226),Volsmile,2),0)),($A226-DateToday)+15,IF(Pricetype2=1,1,0),0))),I226)))</f>
        <v> </v>
      </c>
      <c r="S226" s="318" t="str">
        <f aca="false">IF($A226="N/A"," ",IF(Pricetype2=2,MAX(J226,0),IF(OR(Pricetype2=1,Pricetype2=4),IF(J226=0,0,(EURO(J226,Strikeprice2,0,0,($AK226+IF(Smile=TRUE(),VLOOKUP(MAX(-5,Strikeprice2-J226),Volsmile,2),0)),($A226-DateToday)+15,IF(Pricetype2=1,1,0),0))),J226)))</f>
        <v> </v>
      </c>
      <c r="T226" s="318" t="str">
        <f aca="false">IF($A226="N/A"," ",IF(Pricetype2=2,MAX(K226,0),IF(OR(Pricetype2=1,Pricetype2=4),IF(K226=0,0,(EURO(K226,Strikeprice2,0,0,($AK226+IF(Smile=TRUE(),VLOOKUP(MAX(-5,Strikeprice2-K226),Volsmile,2),0)),($A226-DateToday)+15,IF(Pricetype2=1,1,0),0))),K226)))</f>
        <v> </v>
      </c>
      <c r="U226" s="319" t="str">
        <f aca="false">IF($A226="N/A"," ",Volume2*$AM226)</f>
        <v> </v>
      </c>
      <c r="V226" s="320" t="str">
        <f aca="false">IF($A226="N/A"," ",$U226*(8*($BQ226))*L226)</f>
        <v> </v>
      </c>
      <c r="W226" s="320" t="str">
        <f aca="false">IF($A226="N/A"," ",$U226*(8*($BQ226))*M226)</f>
        <v> </v>
      </c>
      <c r="X226" s="320" t="str">
        <f aca="false">IF($A226="N/A"," ",$U226*(8*($BQ226))*N226)</f>
        <v> </v>
      </c>
      <c r="Y226" s="320" t="str">
        <f aca="false">IF($A226="N/A"," ",$U226*(8*($BR226))*O226)</f>
        <v> </v>
      </c>
      <c r="Z226" s="320" t="str">
        <f aca="false">IF($A226="N/A"," ",$U226*(8*($BR226))*P226)</f>
        <v> </v>
      </c>
      <c r="AA226" s="320" t="str">
        <f aca="false">IF($A226="N/A"," ",$U226*(8*($BR226))*Q226)</f>
        <v> </v>
      </c>
      <c r="AB226" s="320" t="str">
        <f aca="false">IF($A226="N/A"," ",$U226*(8*($BS226))*R226)</f>
        <v> </v>
      </c>
      <c r="AC226" s="320" t="str">
        <f aca="false">IF($A226="N/A"," ",$U226*(8*($BS226))*S226)</f>
        <v> </v>
      </c>
      <c r="AD226" s="320" t="str">
        <f aca="false">IF($A226="N/A"," ",$U226*(8*($BS226))*T226)</f>
        <v> </v>
      </c>
      <c r="AE226" s="320" t="str">
        <f aca="false">IF($A226="N/A"," ",SUM(V226:AD226))</f>
        <v> </v>
      </c>
      <c r="AF226" s="321" t="str">
        <f aca="false">IF(A226="N/A"," ",(VLOOKUP(A226,PowerVolTable,(IF(VolBMO2=2,7,IF(VolBMO2=1,6,8))),FALSE())))</f>
        <v> </v>
      </c>
      <c r="AG226" s="321" t="str">
        <f aca="false">IF(A226="N/A"," ",(VLOOKUP(A226,IntraPowerVol,(IF(VolBMO2=2,3,IF(VolBMO2=1,2,4))),FALSE())*VLOOKUP(MONTH($A226),Volscale,2)))</f>
        <v> </v>
      </c>
      <c r="AH226" s="321" t="str">
        <f aca="false">IF($A226="N/A"," ",IF(VolType2=1,AG226,AF226))</f>
        <v> </v>
      </c>
      <c r="AI226" s="321" t="str">
        <f aca="false">IF($A226="N/A"," ",(VLOOKUP($A226,OffPwrVolTable,(IF(VolBMO2=2,7,IF(VolBMO2=1,6,8))),FALSE())))</f>
        <v> </v>
      </c>
      <c r="AJ226" s="321" t="str">
        <f aca="false">IF($A226="N/A"," ",(VLOOKUP($A226,OffPwrVolTable,(IF(VolBMO2=2,3,IF(VolBMO2=1,2,4))),FALSE())*VLOOKUP(MONTH($A226),Volscale,2)))</f>
        <v> </v>
      </c>
      <c r="AK226" s="321" t="str">
        <f aca="false">IF($A226="N/A"," ",IF(VolType2=1,AJ226,AI226))</f>
        <v> </v>
      </c>
      <c r="AL226" s="321" t="str">
        <f aca="false">IF($A226="N/A"," ",IF(PV=1,0,'Pricing Inputs2'!R259))</f>
        <v> </v>
      </c>
      <c r="AM226" s="323" t="str">
        <f aca="false">IF($A226="N/A"," ",(1+AL226/2)^(-2*((EOMONTH(A226,0)+20)-DateToday)/365.25))</f>
        <v> </v>
      </c>
      <c r="BQ226" s="0" t="str">
        <f aca="false">IF($A226="N/A"," ",(VLOOKUP($A226,NumberofDaysTable,2)))</f>
        <v> </v>
      </c>
      <c r="BR226" s="0" t="str">
        <f aca="false">IF($A226="N/A"," ",(VLOOKUP($A226,NumberofDaysTable,3)))</f>
        <v> </v>
      </c>
      <c r="BS226" s="0" t="str">
        <f aca="false">IF($A226="N/A"," ",(VLOOKUP($A226,NumberofDaysTable,4)))</f>
        <v> </v>
      </c>
    </row>
    <row r="227" customFormat="false" ht="12.75" hidden="false" customHeight="false" outlineLevel="0" collapsed="false">
      <c r="A227" s="315" t="str">
        <f aca="false">IF(A226="N/A","N/A",IF(EDATE(A226,1)&gt;Inputs!$P$5,"N/A",EDATE(A226,1)))</f>
        <v>N/A</v>
      </c>
      <c r="B227" s="316" t="str">
        <f aca="false">IF(A227="N/A"," ",YEAR(A227))</f>
        <v> </v>
      </c>
      <c r="C227" s="317" t="str">
        <f aca="false">IF($A227="N/A"," ",IF(Dayrun2=10,0,IF(Scaler2=1,(VLOOKUP(A227,ScaledPrice2,4)),(VLOOKUP(A227,ScaledPrice2,2)))))</f>
        <v> </v>
      </c>
      <c r="D227" s="317" t="str">
        <f aca="false">IF(A227="N/A"," ",IF(Dayrun2&gt;=7,0,IF(Scaler2=2,VLOOKUP(A227,ScaledPrice2,2),(VLOOKUP(A227,ScaledPrice2,2))*(2-(VLOOKUP(A227,ScaledPrice2,3))))))</f>
        <v> </v>
      </c>
      <c r="E227" s="317" t="str">
        <f aca="false">IF($A227="N/A"," ",IF(AND(Dayrun2&gt;=4,Dayrun2&lt;=9),0,VLOOKUP($A227,ScaledPrice2,9)))</f>
        <v> </v>
      </c>
      <c r="F227" s="317" t="str">
        <f aca="false">IF(A227="N/A"," ",IF(OR(Dayrun2=2,Dayrun2=3,Dayrun2=5,Dayrun2=6,Dayrun2=8,Dayrun2=9),VLOOKUP(A227,ScaledPrice2,IF(Scaler2=1,6,5)),0))</f>
        <v> </v>
      </c>
      <c r="G227" s="317" t="str">
        <f aca="false">IF(A227="N/A"," ",IF(OR(Dayrun2=2,Dayrun2=3,Dayrun2=5,Dayrun2=6),IF(Scaler2=2,F227,(VLOOKUP(A227,ScaledPrice2,5))*(2-(VLOOKUP(A227,ScaledPrice2,3)))),0))</f>
        <v> </v>
      </c>
      <c r="H227" s="317" t="str">
        <f aca="false">IF($A227="N/A"," ",IF(OR(Dayrun2=2,Dayrun2=3,Dayrun2=10),VLOOKUP($A227,ScaledPrice2,9),0))</f>
        <v> </v>
      </c>
      <c r="I227" s="317" t="str">
        <f aca="false">IF(A227="N/A"," ",IF(OR(Dayrun2=3,Dayrun2=6,Dayrun2=9),(VLOOKUP(A227,ScaledPrice2,IF(Scaler2=2,7,8))),0))</f>
        <v> </v>
      </c>
      <c r="J227" s="317" t="str">
        <f aca="false">IF(A227="N/A"," ",IF(OR(Dayrun2=3,Dayrun2=6),IF(Scaler2=2,I227,(VLOOKUP(A227,ScaledPrice2,7))*(2-(VLOOKUP(A227,ScaledPrice2,3)))),0))</f>
        <v> </v>
      </c>
      <c r="K227" s="317" t="str">
        <f aca="false">IF($A227="N/A"," ",IF(OR(Dayrun2=3,Dayrun2=10),VLOOKUP($A227,ScaledPrice2,9),0))</f>
        <v> </v>
      </c>
      <c r="L227" s="318" t="str">
        <f aca="false">IF($A227="N/A"," ",IF(Pricetype2=2,MAX(C227,0),IF(OR(Pricetype2=1,Pricetype2=4),IF(C227=0,0,(EURO(C227,Strikeprice2,0,0,($AH227+IF(Smile=TRUE(),VLOOKUP(MAX(-5,Strikeprice2-C227),Volsmile,2),0)),($A227-DateToday)+15,IF(Pricetype2=1,1,0),0))),C227)))</f>
        <v> </v>
      </c>
      <c r="M227" s="318" t="str">
        <f aca="false">IF($A227="N/A"," ",IF(Pricetype2=2,MAX(D227,0),IF(OR(Pricetype2=1,Pricetype2=4),IF(D227=0,0,(EURO(D227,Strikeprice2,0,0,($AH227+IF(Smile=TRUE(),VLOOKUP(MAX(-5,Strikeprice2-D227),Volsmile,2),0)),($A227-DateToday)+15,IF(Pricetype2=1,1,0),0))),D227)))</f>
        <v> </v>
      </c>
      <c r="N227" s="318" t="str">
        <f aca="false">IF($A227="N/A"," ",IF(Pricetype2=2,MAX(E227,0),IF(OR(Pricetype2=1,Pricetype2=4),IF(E227=0,0,(EURO(E227,Strikeprice2,0,0,($AK227+IF(Smile=TRUE(),VLOOKUP(MAX(-5,Strikeprice2-E227),Volsmile,2),0)),($A227-DateToday)+15,IF(Pricetype2=1,1,0),0))),E227)))</f>
        <v> </v>
      </c>
      <c r="O227" s="318" t="str">
        <f aca="false">IF($A227="N/A"," ",IF(Pricetype2=2,MAX(F227,0),IF(OR(Pricetype2=1,Pricetype2=4),IF(F227=0,0,(EURO(F227,Strikeprice2,0,0,($AK227+IF(Smile=TRUE(),VLOOKUP(MAX(-5,Strikeprice2-F227),Volsmile,2),0)),($A227-DateToday)+15,IF(Pricetype2=1,1,0),0))),F227)))</f>
        <v> </v>
      </c>
      <c r="P227" s="318" t="str">
        <f aca="false">IF($A227="N/A"," ",IF(Pricetype2=2,MAX(G227,0),IF(OR(Pricetype2=1,Pricetype2=4),IF(G227=0,0,(EURO(G227,Strikeprice2,0,0,($AK227+IF(Smile=TRUE(),VLOOKUP(MAX(-5,Strikeprice2-G227),Volsmile,2),0)),($A227-DateToday)+15,IF(Pricetype2=1,1,0),0))),G227)))</f>
        <v> </v>
      </c>
      <c r="Q227" s="318" t="str">
        <f aca="false">IF($A227="N/A"," ",IF(Pricetype2=2,MAX(H227,0),IF(OR(Pricetype2=1,Pricetype2=4),IF(H227=0,0,(EURO(H227,Strikeprice2,0,0,($AK227+IF(Smile=TRUE(),VLOOKUP(MAX(-5,Strikeprice2-H227),Volsmile,2),0)),($A227-DateToday)+15,IF(Pricetype2=1,1,0),0))),H227)))</f>
        <v> </v>
      </c>
      <c r="R227" s="318" t="str">
        <f aca="false">IF($A227="N/A"," ",IF(Pricetype2=2,MAX(I227,0),IF(OR(Pricetype2=1,Pricetype2=4),IF(I227=0,0,(EURO(I227,Strikeprice2,0,0,($AK227+IF(Smile=TRUE(),VLOOKUP(MAX(-5,Strikeprice2-I227),Volsmile,2),0)),($A227-DateToday)+15,IF(Pricetype2=1,1,0),0))),I227)))</f>
        <v> </v>
      </c>
      <c r="S227" s="318" t="str">
        <f aca="false">IF($A227="N/A"," ",IF(Pricetype2=2,MAX(J227,0),IF(OR(Pricetype2=1,Pricetype2=4),IF(J227=0,0,(EURO(J227,Strikeprice2,0,0,($AK227+IF(Smile=TRUE(),VLOOKUP(MAX(-5,Strikeprice2-J227),Volsmile,2),0)),($A227-DateToday)+15,IF(Pricetype2=1,1,0),0))),J227)))</f>
        <v> </v>
      </c>
      <c r="T227" s="318" t="str">
        <f aca="false">IF($A227="N/A"," ",IF(Pricetype2=2,MAX(K227,0),IF(OR(Pricetype2=1,Pricetype2=4),IF(K227=0,0,(EURO(K227,Strikeprice2,0,0,($AK227+IF(Smile=TRUE(),VLOOKUP(MAX(-5,Strikeprice2-K227),Volsmile,2),0)),($A227-DateToday)+15,IF(Pricetype2=1,1,0),0))),K227)))</f>
        <v> </v>
      </c>
      <c r="U227" s="319" t="str">
        <f aca="false">IF($A227="N/A"," ",Volume2*$AM227)</f>
        <v> </v>
      </c>
      <c r="V227" s="320" t="str">
        <f aca="false">IF($A227="N/A"," ",$U227*(8*($BQ227))*L227)</f>
        <v> </v>
      </c>
      <c r="W227" s="320" t="str">
        <f aca="false">IF($A227="N/A"," ",$U227*(8*($BQ227))*M227)</f>
        <v> </v>
      </c>
      <c r="X227" s="320" t="str">
        <f aca="false">IF($A227="N/A"," ",$U227*(8*($BQ227))*N227)</f>
        <v> </v>
      </c>
      <c r="Y227" s="320" t="str">
        <f aca="false">IF($A227="N/A"," ",$U227*(8*($BR227))*O227)</f>
        <v> </v>
      </c>
      <c r="Z227" s="320" t="str">
        <f aca="false">IF($A227="N/A"," ",$U227*(8*($BR227))*P227)</f>
        <v> </v>
      </c>
      <c r="AA227" s="320" t="str">
        <f aca="false">IF($A227="N/A"," ",$U227*(8*($BR227))*Q227)</f>
        <v> </v>
      </c>
      <c r="AB227" s="320" t="str">
        <f aca="false">IF($A227="N/A"," ",$U227*(8*($BS227))*R227)</f>
        <v> </v>
      </c>
      <c r="AC227" s="320" t="str">
        <f aca="false">IF($A227="N/A"," ",$U227*(8*($BS227))*S227)</f>
        <v> </v>
      </c>
      <c r="AD227" s="320" t="str">
        <f aca="false">IF($A227="N/A"," ",$U227*(8*($BS227))*T227)</f>
        <v> </v>
      </c>
      <c r="AE227" s="320" t="str">
        <f aca="false">IF($A227="N/A"," ",SUM(V227:AD227))</f>
        <v> </v>
      </c>
      <c r="AF227" s="321" t="str">
        <f aca="false">IF(A227="N/A"," ",(VLOOKUP(A227,PowerVolTable,(IF(VolBMO2=2,7,IF(VolBMO2=1,6,8))),FALSE())))</f>
        <v> </v>
      </c>
      <c r="AG227" s="321" t="str">
        <f aca="false">IF(A227="N/A"," ",(VLOOKUP(A227,IntraPowerVol,(IF(VolBMO2=2,3,IF(VolBMO2=1,2,4))),FALSE())*VLOOKUP(MONTH($A227),Volscale,2)))</f>
        <v> </v>
      </c>
      <c r="AH227" s="321" t="str">
        <f aca="false">IF($A227="N/A"," ",IF(VolType2=1,AG227,AF227))</f>
        <v> </v>
      </c>
      <c r="AI227" s="321" t="str">
        <f aca="false">IF($A227="N/A"," ",(VLOOKUP($A227,OffPwrVolTable,(IF(VolBMO2=2,7,IF(VolBMO2=1,6,8))),FALSE())))</f>
        <v> </v>
      </c>
      <c r="AJ227" s="321" t="str">
        <f aca="false">IF($A227="N/A"," ",(VLOOKUP($A227,OffPwrVolTable,(IF(VolBMO2=2,3,IF(VolBMO2=1,2,4))),FALSE())*VLOOKUP(MONTH($A227),Volscale,2)))</f>
        <v> </v>
      </c>
      <c r="AK227" s="321" t="str">
        <f aca="false">IF($A227="N/A"," ",IF(VolType2=1,AJ227,AI227))</f>
        <v> </v>
      </c>
      <c r="AL227" s="321" t="str">
        <f aca="false">IF($A227="N/A"," ",IF(PV=1,0,'Pricing Inputs2'!R260))</f>
        <v> </v>
      </c>
      <c r="AM227" s="323" t="str">
        <f aca="false">IF($A227="N/A"," ",(1+AL227/2)^(-2*((EOMONTH(A227,0)+20)-DateToday)/365.25))</f>
        <v> </v>
      </c>
      <c r="BQ227" s="0" t="str">
        <f aca="false">IF($A227="N/A"," ",(VLOOKUP($A227,NumberofDaysTable,2)))</f>
        <v> </v>
      </c>
      <c r="BR227" s="0" t="str">
        <f aca="false">IF($A227="N/A"," ",(VLOOKUP($A227,NumberofDaysTable,3)))</f>
        <v> </v>
      </c>
      <c r="BS227" s="0" t="str">
        <f aca="false">IF($A227="N/A"," ",(VLOOKUP($A227,NumberofDaysTable,4)))</f>
        <v> </v>
      </c>
    </row>
    <row r="228" customFormat="false" ht="12.75" hidden="false" customHeight="false" outlineLevel="0" collapsed="false">
      <c r="A228" s="315" t="str">
        <f aca="false">IF(A227="N/A","N/A",IF(EDATE(A227,1)&gt;Inputs!$P$5,"N/A",EDATE(A227,1)))</f>
        <v>N/A</v>
      </c>
      <c r="B228" s="316" t="str">
        <f aca="false">IF(A228="N/A"," ",YEAR(A228))</f>
        <v> </v>
      </c>
      <c r="C228" s="317" t="str">
        <f aca="false">IF($A228="N/A"," ",IF(Dayrun2=10,0,IF(Scaler2=1,(VLOOKUP(A228,ScaledPrice2,4)),(VLOOKUP(A228,ScaledPrice2,2)))))</f>
        <v> </v>
      </c>
      <c r="D228" s="317" t="str">
        <f aca="false">IF(A228="N/A"," ",IF(Dayrun2&gt;=7,0,IF(Scaler2=2,VLOOKUP(A228,ScaledPrice2,2),(VLOOKUP(A228,ScaledPrice2,2))*(2-(VLOOKUP(A228,ScaledPrice2,3))))))</f>
        <v> </v>
      </c>
      <c r="E228" s="317" t="str">
        <f aca="false">IF($A228="N/A"," ",IF(AND(Dayrun2&gt;=4,Dayrun2&lt;=9),0,VLOOKUP($A228,ScaledPrice2,9)))</f>
        <v> </v>
      </c>
      <c r="F228" s="317" t="str">
        <f aca="false">IF(A228="N/A"," ",IF(OR(Dayrun2=2,Dayrun2=3,Dayrun2=5,Dayrun2=6,Dayrun2=8,Dayrun2=9),VLOOKUP(A228,ScaledPrice2,IF(Scaler2=1,6,5)),0))</f>
        <v> </v>
      </c>
      <c r="G228" s="317" t="str">
        <f aca="false">IF(A228="N/A"," ",IF(OR(Dayrun2=2,Dayrun2=3,Dayrun2=5,Dayrun2=6),IF(Scaler2=2,F228,(VLOOKUP(A228,ScaledPrice2,5))*(2-(VLOOKUP(A228,ScaledPrice2,3)))),0))</f>
        <v> </v>
      </c>
      <c r="H228" s="317" t="str">
        <f aca="false">IF($A228="N/A"," ",IF(OR(Dayrun2=2,Dayrun2=3,Dayrun2=10),VLOOKUP($A228,ScaledPrice2,9),0))</f>
        <v> </v>
      </c>
      <c r="I228" s="317" t="str">
        <f aca="false">IF(A228="N/A"," ",IF(OR(Dayrun2=3,Dayrun2=6,Dayrun2=9),(VLOOKUP(A228,ScaledPrice2,IF(Scaler2=2,7,8))),0))</f>
        <v> </v>
      </c>
      <c r="J228" s="317" t="str">
        <f aca="false">IF(A228="N/A"," ",IF(OR(Dayrun2=3,Dayrun2=6),IF(Scaler2=2,I228,(VLOOKUP(A228,ScaledPrice2,7))*(2-(VLOOKUP(A228,ScaledPrice2,3)))),0))</f>
        <v> </v>
      </c>
      <c r="K228" s="317" t="str">
        <f aca="false">IF($A228="N/A"," ",IF(OR(Dayrun2=3,Dayrun2=10),VLOOKUP($A228,ScaledPrice2,9),0))</f>
        <v> </v>
      </c>
      <c r="L228" s="318" t="str">
        <f aca="false">IF($A228="N/A"," ",IF(Pricetype2=2,MAX(C228,0),IF(OR(Pricetype2=1,Pricetype2=4),IF(C228=0,0,(EURO(C228,Strikeprice2,0,0,($AH228+IF(Smile=TRUE(),VLOOKUP(MAX(-5,Strikeprice2-C228),Volsmile,2),0)),($A228-DateToday)+15,IF(Pricetype2=1,1,0),0))),C228)))</f>
        <v> </v>
      </c>
      <c r="M228" s="318" t="str">
        <f aca="false">IF($A228="N/A"," ",IF(Pricetype2=2,MAX(D228,0),IF(OR(Pricetype2=1,Pricetype2=4),IF(D228=0,0,(EURO(D228,Strikeprice2,0,0,($AH228+IF(Smile=TRUE(),VLOOKUP(MAX(-5,Strikeprice2-D228),Volsmile,2),0)),($A228-DateToday)+15,IF(Pricetype2=1,1,0),0))),D228)))</f>
        <v> </v>
      </c>
      <c r="N228" s="318" t="str">
        <f aca="false">IF($A228="N/A"," ",IF(Pricetype2=2,MAX(E228,0),IF(OR(Pricetype2=1,Pricetype2=4),IF(E228=0,0,(EURO(E228,Strikeprice2,0,0,($AK228+IF(Smile=TRUE(),VLOOKUP(MAX(-5,Strikeprice2-E228),Volsmile,2),0)),($A228-DateToday)+15,IF(Pricetype2=1,1,0),0))),E228)))</f>
        <v> </v>
      </c>
      <c r="O228" s="318" t="str">
        <f aca="false">IF($A228="N/A"," ",IF(Pricetype2=2,MAX(F228,0),IF(OR(Pricetype2=1,Pricetype2=4),IF(F228=0,0,(EURO(F228,Strikeprice2,0,0,($AK228+IF(Smile=TRUE(),VLOOKUP(MAX(-5,Strikeprice2-F228),Volsmile,2),0)),($A228-DateToday)+15,IF(Pricetype2=1,1,0),0))),F228)))</f>
        <v> </v>
      </c>
      <c r="P228" s="318" t="str">
        <f aca="false">IF($A228="N/A"," ",IF(Pricetype2=2,MAX(G228,0),IF(OR(Pricetype2=1,Pricetype2=4),IF(G228=0,0,(EURO(G228,Strikeprice2,0,0,($AK228+IF(Smile=TRUE(),VLOOKUP(MAX(-5,Strikeprice2-G228),Volsmile,2),0)),($A228-DateToday)+15,IF(Pricetype2=1,1,0),0))),G228)))</f>
        <v> </v>
      </c>
      <c r="Q228" s="318" t="str">
        <f aca="false">IF($A228="N/A"," ",IF(Pricetype2=2,MAX(H228,0),IF(OR(Pricetype2=1,Pricetype2=4),IF(H228=0,0,(EURO(H228,Strikeprice2,0,0,($AK228+IF(Smile=TRUE(),VLOOKUP(MAX(-5,Strikeprice2-H228),Volsmile,2),0)),($A228-DateToday)+15,IF(Pricetype2=1,1,0),0))),H228)))</f>
        <v> </v>
      </c>
      <c r="R228" s="318" t="str">
        <f aca="false">IF($A228="N/A"," ",IF(Pricetype2=2,MAX(I228,0),IF(OR(Pricetype2=1,Pricetype2=4),IF(I228=0,0,(EURO(I228,Strikeprice2,0,0,($AK228+IF(Smile=TRUE(),VLOOKUP(MAX(-5,Strikeprice2-I228),Volsmile,2),0)),($A228-DateToday)+15,IF(Pricetype2=1,1,0),0))),I228)))</f>
        <v> </v>
      </c>
      <c r="S228" s="318" t="str">
        <f aca="false">IF($A228="N/A"," ",IF(Pricetype2=2,MAX(J228,0),IF(OR(Pricetype2=1,Pricetype2=4),IF(J228=0,0,(EURO(J228,Strikeprice2,0,0,($AK228+IF(Smile=TRUE(),VLOOKUP(MAX(-5,Strikeprice2-J228),Volsmile,2),0)),($A228-DateToday)+15,IF(Pricetype2=1,1,0),0))),J228)))</f>
        <v> </v>
      </c>
      <c r="T228" s="318" t="str">
        <f aca="false">IF($A228="N/A"," ",IF(Pricetype2=2,MAX(K228,0),IF(OR(Pricetype2=1,Pricetype2=4),IF(K228=0,0,(EURO(K228,Strikeprice2,0,0,($AK228+IF(Smile=TRUE(),VLOOKUP(MAX(-5,Strikeprice2-K228),Volsmile,2),0)),($A228-DateToday)+15,IF(Pricetype2=1,1,0),0))),K228)))</f>
        <v> </v>
      </c>
      <c r="U228" s="319" t="str">
        <f aca="false">IF($A228="N/A"," ",Volume2*$AM228)</f>
        <v> </v>
      </c>
      <c r="V228" s="320" t="str">
        <f aca="false">IF($A228="N/A"," ",$U228*(8*($BQ228))*L228)</f>
        <v> </v>
      </c>
      <c r="W228" s="320" t="str">
        <f aca="false">IF($A228="N/A"," ",$U228*(8*($BQ228))*M228)</f>
        <v> </v>
      </c>
      <c r="X228" s="320" t="str">
        <f aca="false">IF($A228="N/A"," ",$U228*(8*($BQ228))*N228)</f>
        <v> </v>
      </c>
      <c r="Y228" s="320" t="str">
        <f aca="false">IF($A228="N/A"," ",$U228*(8*($BR228))*O228)</f>
        <v> </v>
      </c>
      <c r="Z228" s="320" t="str">
        <f aca="false">IF($A228="N/A"," ",$U228*(8*($BR228))*P228)</f>
        <v> </v>
      </c>
      <c r="AA228" s="320" t="str">
        <f aca="false">IF($A228="N/A"," ",$U228*(8*($BR228))*Q228)</f>
        <v> </v>
      </c>
      <c r="AB228" s="320" t="str">
        <f aca="false">IF($A228="N/A"," ",$U228*(8*($BS228))*R228)</f>
        <v> </v>
      </c>
      <c r="AC228" s="320" t="str">
        <f aca="false">IF($A228="N/A"," ",$U228*(8*($BS228))*S228)</f>
        <v> </v>
      </c>
      <c r="AD228" s="320" t="str">
        <f aca="false">IF($A228="N/A"," ",$U228*(8*($BS228))*T228)</f>
        <v> </v>
      </c>
      <c r="AE228" s="320" t="str">
        <f aca="false">IF($A228="N/A"," ",SUM(V228:AD228))</f>
        <v> </v>
      </c>
      <c r="AF228" s="321" t="str">
        <f aca="false">IF(A228="N/A"," ",(VLOOKUP(A228,PowerVolTable,(IF(VolBMO2=2,7,IF(VolBMO2=1,6,8))),FALSE())))</f>
        <v> </v>
      </c>
      <c r="AG228" s="321" t="str">
        <f aca="false">IF(A228="N/A"," ",(VLOOKUP(A228,IntraPowerVol,(IF(VolBMO2=2,3,IF(VolBMO2=1,2,4))),FALSE())*VLOOKUP(MONTH($A228),Volscale,2)))</f>
        <v> </v>
      </c>
      <c r="AH228" s="321" t="str">
        <f aca="false">IF($A228="N/A"," ",IF(VolType2=1,AG228,AF228))</f>
        <v> </v>
      </c>
      <c r="AI228" s="321" t="str">
        <f aca="false">IF($A228="N/A"," ",(VLOOKUP($A228,OffPwrVolTable,(IF(VolBMO2=2,7,IF(VolBMO2=1,6,8))),FALSE())))</f>
        <v> </v>
      </c>
      <c r="AJ228" s="321" t="str">
        <f aca="false">IF($A228="N/A"," ",(VLOOKUP($A228,OffPwrVolTable,(IF(VolBMO2=2,3,IF(VolBMO2=1,2,4))),FALSE())*VLOOKUP(MONTH($A228),Volscale,2)))</f>
        <v> </v>
      </c>
      <c r="AK228" s="321" t="str">
        <f aca="false">IF($A228="N/A"," ",IF(VolType2=1,AJ228,AI228))</f>
        <v> </v>
      </c>
      <c r="AL228" s="321" t="str">
        <f aca="false">IF($A228="N/A"," ",IF(PV=1,0,'Pricing Inputs2'!R261))</f>
        <v> </v>
      </c>
      <c r="AM228" s="323" t="str">
        <f aca="false">IF($A228="N/A"," ",(1+AL228/2)^(-2*((EOMONTH(A228,0)+20)-DateToday)/365.25))</f>
        <v> </v>
      </c>
      <c r="BQ228" s="0" t="str">
        <f aca="false">IF($A228="N/A"," ",(VLOOKUP($A228,NumberofDaysTable,2)))</f>
        <v> </v>
      </c>
      <c r="BR228" s="0" t="str">
        <f aca="false">IF($A228="N/A"," ",(VLOOKUP($A228,NumberofDaysTable,3)))</f>
        <v> </v>
      </c>
      <c r="BS228" s="0" t="str">
        <f aca="false">IF($A228="N/A"," ",(VLOOKUP($A228,NumberofDaysTable,4)))</f>
        <v> </v>
      </c>
    </row>
    <row r="229" customFormat="false" ht="12.75" hidden="false" customHeight="false" outlineLevel="0" collapsed="false">
      <c r="A229" s="315" t="str">
        <f aca="false">IF(A228="N/A","N/A",IF(EDATE(A228,1)&gt;Inputs!$P$5,"N/A",EDATE(A228,1)))</f>
        <v>N/A</v>
      </c>
      <c r="B229" s="316" t="str">
        <f aca="false">IF(A229="N/A"," ",YEAR(A229))</f>
        <v> </v>
      </c>
      <c r="C229" s="317" t="str">
        <f aca="false">IF($A229="N/A"," ",IF(Dayrun2=10,0,IF(Scaler2=1,(VLOOKUP(A229,ScaledPrice2,4)),(VLOOKUP(A229,ScaledPrice2,2)))))</f>
        <v> </v>
      </c>
      <c r="D229" s="317" t="str">
        <f aca="false">IF(A229="N/A"," ",IF(Dayrun2&gt;=7,0,IF(Scaler2=2,VLOOKUP(A229,ScaledPrice2,2),(VLOOKUP(A229,ScaledPrice2,2))*(2-(VLOOKUP(A229,ScaledPrice2,3))))))</f>
        <v> </v>
      </c>
      <c r="E229" s="317" t="str">
        <f aca="false">IF($A229="N/A"," ",IF(AND(Dayrun2&gt;=4,Dayrun2&lt;=9),0,VLOOKUP($A229,ScaledPrice2,9)))</f>
        <v> </v>
      </c>
      <c r="F229" s="317" t="str">
        <f aca="false">IF(A229="N/A"," ",IF(OR(Dayrun2=2,Dayrun2=3,Dayrun2=5,Dayrun2=6,Dayrun2=8,Dayrun2=9),VLOOKUP(A229,ScaledPrice2,IF(Scaler2=1,6,5)),0))</f>
        <v> </v>
      </c>
      <c r="G229" s="317" t="str">
        <f aca="false">IF(A229="N/A"," ",IF(OR(Dayrun2=2,Dayrun2=3,Dayrun2=5,Dayrun2=6),IF(Scaler2=2,F229,(VLOOKUP(A229,ScaledPrice2,5))*(2-(VLOOKUP(A229,ScaledPrice2,3)))),0))</f>
        <v> </v>
      </c>
      <c r="H229" s="317" t="str">
        <f aca="false">IF($A229="N/A"," ",IF(OR(Dayrun2=2,Dayrun2=3,Dayrun2=10),VLOOKUP($A229,ScaledPrice2,9),0))</f>
        <v> </v>
      </c>
      <c r="I229" s="317" t="str">
        <f aca="false">IF(A229="N/A"," ",IF(OR(Dayrun2=3,Dayrun2=6,Dayrun2=9),(VLOOKUP(A229,ScaledPrice2,IF(Scaler2=2,7,8))),0))</f>
        <v> </v>
      </c>
      <c r="J229" s="317" t="str">
        <f aca="false">IF(A229="N/A"," ",IF(OR(Dayrun2=3,Dayrun2=6),IF(Scaler2=2,I229,(VLOOKUP(A229,ScaledPrice2,7))*(2-(VLOOKUP(A229,ScaledPrice2,3)))),0))</f>
        <v> </v>
      </c>
      <c r="K229" s="317" t="str">
        <f aca="false">IF($A229="N/A"," ",IF(OR(Dayrun2=3,Dayrun2=10),VLOOKUP($A229,ScaledPrice2,9),0))</f>
        <v> </v>
      </c>
      <c r="L229" s="318" t="str">
        <f aca="false">IF($A229="N/A"," ",IF(Pricetype2=2,MAX(C229,0),IF(OR(Pricetype2=1,Pricetype2=4),IF(C229=0,0,(EURO(C229,Strikeprice2,0,0,($AH229+IF(Smile=TRUE(),VLOOKUP(MAX(-5,Strikeprice2-C229),Volsmile,2),0)),($A229-DateToday)+15,IF(Pricetype2=1,1,0),0))),C229)))</f>
        <v> </v>
      </c>
      <c r="M229" s="318" t="str">
        <f aca="false">IF($A229="N/A"," ",IF(Pricetype2=2,MAX(D229,0),IF(OR(Pricetype2=1,Pricetype2=4),IF(D229=0,0,(EURO(D229,Strikeprice2,0,0,($AH229+IF(Smile=TRUE(),VLOOKUP(MAX(-5,Strikeprice2-D229),Volsmile,2),0)),($A229-DateToday)+15,IF(Pricetype2=1,1,0),0))),D229)))</f>
        <v> </v>
      </c>
      <c r="N229" s="318" t="str">
        <f aca="false">IF($A229="N/A"," ",IF(Pricetype2=2,MAX(E229,0),IF(OR(Pricetype2=1,Pricetype2=4),IF(E229=0,0,(EURO(E229,Strikeprice2,0,0,($AK229+IF(Smile=TRUE(),VLOOKUP(MAX(-5,Strikeprice2-E229),Volsmile,2),0)),($A229-DateToday)+15,IF(Pricetype2=1,1,0),0))),E229)))</f>
        <v> </v>
      </c>
      <c r="O229" s="318" t="str">
        <f aca="false">IF($A229="N/A"," ",IF(Pricetype2=2,MAX(F229,0),IF(OR(Pricetype2=1,Pricetype2=4),IF(F229=0,0,(EURO(F229,Strikeprice2,0,0,($AK229+IF(Smile=TRUE(),VLOOKUP(MAX(-5,Strikeprice2-F229),Volsmile,2),0)),($A229-DateToday)+15,IF(Pricetype2=1,1,0),0))),F229)))</f>
        <v> </v>
      </c>
      <c r="P229" s="318" t="str">
        <f aca="false">IF($A229="N/A"," ",IF(Pricetype2=2,MAX(G229,0),IF(OR(Pricetype2=1,Pricetype2=4),IF(G229=0,0,(EURO(G229,Strikeprice2,0,0,($AK229+IF(Smile=TRUE(),VLOOKUP(MAX(-5,Strikeprice2-G229),Volsmile,2),0)),($A229-DateToday)+15,IF(Pricetype2=1,1,0),0))),G229)))</f>
        <v> </v>
      </c>
      <c r="Q229" s="318" t="str">
        <f aca="false">IF($A229="N/A"," ",IF(Pricetype2=2,MAX(H229,0),IF(OR(Pricetype2=1,Pricetype2=4),IF(H229=0,0,(EURO(H229,Strikeprice2,0,0,($AK229+IF(Smile=TRUE(),VLOOKUP(MAX(-5,Strikeprice2-H229),Volsmile,2),0)),($A229-DateToday)+15,IF(Pricetype2=1,1,0),0))),H229)))</f>
        <v> </v>
      </c>
      <c r="R229" s="318" t="str">
        <f aca="false">IF($A229="N/A"," ",IF(Pricetype2=2,MAX(I229,0),IF(OR(Pricetype2=1,Pricetype2=4),IF(I229=0,0,(EURO(I229,Strikeprice2,0,0,($AK229+IF(Smile=TRUE(),VLOOKUP(MAX(-5,Strikeprice2-I229),Volsmile,2),0)),($A229-DateToday)+15,IF(Pricetype2=1,1,0),0))),I229)))</f>
        <v> </v>
      </c>
      <c r="S229" s="318" t="str">
        <f aca="false">IF($A229="N/A"," ",IF(Pricetype2=2,MAX(J229,0),IF(OR(Pricetype2=1,Pricetype2=4),IF(J229=0,0,(EURO(J229,Strikeprice2,0,0,($AK229+IF(Smile=TRUE(),VLOOKUP(MAX(-5,Strikeprice2-J229),Volsmile,2),0)),($A229-DateToday)+15,IF(Pricetype2=1,1,0),0))),J229)))</f>
        <v> </v>
      </c>
      <c r="T229" s="318" t="str">
        <f aca="false">IF($A229="N/A"," ",IF(Pricetype2=2,MAX(K229,0),IF(OR(Pricetype2=1,Pricetype2=4),IF(K229=0,0,(EURO(K229,Strikeprice2,0,0,($AK229+IF(Smile=TRUE(),VLOOKUP(MAX(-5,Strikeprice2-K229),Volsmile,2),0)),($A229-DateToday)+15,IF(Pricetype2=1,1,0),0))),K229)))</f>
        <v> </v>
      </c>
      <c r="U229" s="319" t="str">
        <f aca="false">IF($A229="N/A"," ",Volume2*$AM229)</f>
        <v> </v>
      </c>
      <c r="V229" s="320" t="str">
        <f aca="false">IF($A229="N/A"," ",$U229*(8*($BQ229))*L229)</f>
        <v> </v>
      </c>
      <c r="W229" s="320" t="str">
        <f aca="false">IF($A229="N/A"," ",$U229*(8*($BQ229))*M229)</f>
        <v> </v>
      </c>
      <c r="X229" s="320" t="str">
        <f aca="false">IF($A229="N/A"," ",$U229*(8*($BQ229))*N229)</f>
        <v> </v>
      </c>
      <c r="Y229" s="320" t="str">
        <f aca="false">IF($A229="N/A"," ",$U229*(8*($BR229))*O229)</f>
        <v> </v>
      </c>
      <c r="Z229" s="320" t="str">
        <f aca="false">IF($A229="N/A"," ",$U229*(8*($BR229))*P229)</f>
        <v> </v>
      </c>
      <c r="AA229" s="320" t="str">
        <f aca="false">IF($A229="N/A"," ",$U229*(8*($BR229))*Q229)</f>
        <v> </v>
      </c>
      <c r="AB229" s="320" t="str">
        <f aca="false">IF($A229="N/A"," ",$U229*(8*($BS229))*R229)</f>
        <v> </v>
      </c>
      <c r="AC229" s="320" t="str">
        <f aca="false">IF($A229="N/A"," ",$U229*(8*($BS229))*S229)</f>
        <v> </v>
      </c>
      <c r="AD229" s="320" t="str">
        <f aca="false">IF($A229="N/A"," ",$U229*(8*($BS229))*T229)</f>
        <v> </v>
      </c>
      <c r="AE229" s="320" t="str">
        <f aca="false">IF($A229="N/A"," ",SUM(V229:AD229))</f>
        <v> </v>
      </c>
      <c r="AF229" s="321" t="str">
        <f aca="false">IF(A229="N/A"," ",(VLOOKUP(A229,PowerVolTable,(IF(VolBMO2=2,7,IF(VolBMO2=1,6,8))),FALSE())))</f>
        <v> </v>
      </c>
      <c r="AG229" s="321" t="str">
        <f aca="false">IF(A229="N/A"," ",(VLOOKUP(A229,IntraPowerVol,(IF(VolBMO2=2,3,IF(VolBMO2=1,2,4))),FALSE())*VLOOKUP(MONTH($A229),Volscale,2)))</f>
        <v> </v>
      </c>
      <c r="AH229" s="321" t="str">
        <f aca="false">IF($A229="N/A"," ",IF(VolType2=1,AG229,AF229))</f>
        <v> </v>
      </c>
      <c r="AI229" s="321" t="str">
        <f aca="false">IF($A229="N/A"," ",(VLOOKUP($A229,OffPwrVolTable,(IF(VolBMO2=2,7,IF(VolBMO2=1,6,8))),FALSE())))</f>
        <v> </v>
      </c>
      <c r="AJ229" s="321" t="str">
        <f aca="false">IF($A229="N/A"," ",(VLOOKUP($A229,OffPwrVolTable,(IF(VolBMO2=2,3,IF(VolBMO2=1,2,4))),FALSE())*VLOOKUP(MONTH($A229),Volscale,2)))</f>
        <v> </v>
      </c>
      <c r="AK229" s="321" t="str">
        <f aca="false">IF($A229="N/A"," ",IF(VolType2=1,AJ229,AI229))</f>
        <v> </v>
      </c>
      <c r="AL229" s="321" t="str">
        <f aca="false">IF($A229="N/A"," ",IF(PV=1,0,'Pricing Inputs2'!R262))</f>
        <v> </v>
      </c>
      <c r="AM229" s="323" t="str">
        <f aca="false">IF($A229="N/A"," ",(1+AL229/2)^(-2*((EOMONTH(A229,0)+20)-DateToday)/365.25))</f>
        <v> </v>
      </c>
      <c r="BQ229" s="0" t="str">
        <f aca="false">IF($A229="N/A"," ",(VLOOKUP($A229,NumberofDaysTable,2)))</f>
        <v> </v>
      </c>
      <c r="BR229" s="0" t="str">
        <f aca="false">IF($A229="N/A"," ",(VLOOKUP($A229,NumberofDaysTable,3)))</f>
        <v> </v>
      </c>
      <c r="BS229" s="0" t="str">
        <f aca="false">IF($A229="N/A"," ",(VLOOKUP($A229,NumberofDaysTable,4)))</f>
        <v> </v>
      </c>
    </row>
    <row r="230" customFormat="false" ht="12.75" hidden="false" customHeight="false" outlineLevel="0" collapsed="false">
      <c r="A230" s="315" t="str">
        <f aca="false">IF(A229="N/A","N/A",IF(EDATE(A229,1)&gt;Inputs!$P$5,"N/A",EDATE(A229,1)))</f>
        <v>N/A</v>
      </c>
      <c r="B230" s="316" t="str">
        <f aca="false">IF(A230="N/A"," ",YEAR(A230))</f>
        <v> </v>
      </c>
      <c r="C230" s="317" t="str">
        <f aca="false">IF($A230="N/A"," ",IF(Dayrun2=10,0,IF(Scaler2=1,(VLOOKUP(A230,ScaledPrice2,4)),(VLOOKUP(A230,ScaledPrice2,2)))))</f>
        <v> </v>
      </c>
      <c r="D230" s="317" t="str">
        <f aca="false">IF(A230="N/A"," ",IF(Dayrun2&gt;=7,0,IF(Scaler2=2,VLOOKUP(A230,ScaledPrice2,2),(VLOOKUP(A230,ScaledPrice2,2))*(2-(VLOOKUP(A230,ScaledPrice2,3))))))</f>
        <v> </v>
      </c>
      <c r="E230" s="317" t="str">
        <f aca="false">IF($A230="N/A"," ",IF(AND(Dayrun2&gt;=4,Dayrun2&lt;=9),0,VLOOKUP($A230,ScaledPrice2,9)))</f>
        <v> </v>
      </c>
      <c r="F230" s="317" t="str">
        <f aca="false">IF(A230="N/A"," ",IF(OR(Dayrun2=2,Dayrun2=3,Dayrun2=5,Dayrun2=6,Dayrun2=8,Dayrun2=9),VLOOKUP(A230,ScaledPrice2,IF(Scaler2=1,6,5)),0))</f>
        <v> </v>
      </c>
      <c r="G230" s="317" t="str">
        <f aca="false">IF(A230="N/A"," ",IF(OR(Dayrun2=2,Dayrun2=3,Dayrun2=5,Dayrun2=6),IF(Scaler2=2,F230,(VLOOKUP(A230,ScaledPrice2,5))*(2-(VLOOKUP(A230,ScaledPrice2,3)))),0))</f>
        <v> </v>
      </c>
      <c r="H230" s="317" t="str">
        <f aca="false">IF($A230="N/A"," ",IF(OR(Dayrun2=2,Dayrun2=3,Dayrun2=10),VLOOKUP($A230,ScaledPrice2,9),0))</f>
        <v> </v>
      </c>
      <c r="I230" s="317" t="str">
        <f aca="false">IF(A230="N/A"," ",IF(OR(Dayrun2=3,Dayrun2=6,Dayrun2=9),(VLOOKUP(A230,ScaledPrice2,IF(Scaler2=2,7,8))),0))</f>
        <v> </v>
      </c>
      <c r="J230" s="317" t="str">
        <f aca="false">IF(A230="N/A"," ",IF(OR(Dayrun2=3,Dayrun2=6),IF(Scaler2=2,I230,(VLOOKUP(A230,ScaledPrice2,7))*(2-(VLOOKUP(A230,ScaledPrice2,3)))),0))</f>
        <v> </v>
      </c>
      <c r="K230" s="317" t="str">
        <f aca="false">IF($A230="N/A"," ",IF(OR(Dayrun2=3,Dayrun2=10),VLOOKUP($A230,ScaledPrice2,9),0))</f>
        <v> </v>
      </c>
      <c r="L230" s="318" t="str">
        <f aca="false">IF($A230="N/A"," ",IF(Pricetype2=2,MAX(C230,0),IF(OR(Pricetype2=1,Pricetype2=4),IF(C230=0,0,(EURO(C230,Strikeprice2,0,0,($AH230+IF(Smile=TRUE(),VLOOKUP(MAX(-5,Strikeprice2-C230),Volsmile,2),0)),($A230-DateToday)+15,IF(Pricetype2=1,1,0),0))),C230)))</f>
        <v> </v>
      </c>
      <c r="M230" s="318" t="str">
        <f aca="false">IF($A230="N/A"," ",IF(Pricetype2=2,MAX(D230,0),IF(OR(Pricetype2=1,Pricetype2=4),IF(D230=0,0,(EURO(D230,Strikeprice2,0,0,($AH230+IF(Smile=TRUE(),VLOOKUP(MAX(-5,Strikeprice2-D230),Volsmile,2),0)),($A230-DateToday)+15,IF(Pricetype2=1,1,0),0))),D230)))</f>
        <v> </v>
      </c>
      <c r="N230" s="318" t="str">
        <f aca="false">IF($A230="N/A"," ",IF(Pricetype2=2,MAX(E230,0),IF(OR(Pricetype2=1,Pricetype2=4),IF(E230=0,0,(EURO(E230,Strikeprice2,0,0,($AK230+IF(Smile=TRUE(),VLOOKUP(MAX(-5,Strikeprice2-E230),Volsmile,2),0)),($A230-DateToday)+15,IF(Pricetype2=1,1,0),0))),E230)))</f>
        <v> </v>
      </c>
      <c r="O230" s="318" t="str">
        <f aca="false">IF($A230="N/A"," ",IF(Pricetype2=2,MAX(F230,0),IF(OR(Pricetype2=1,Pricetype2=4),IF(F230=0,0,(EURO(F230,Strikeprice2,0,0,($AK230+IF(Smile=TRUE(),VLOOKUP(MAX(-5,Strikeprice2-F230),Volsmile,2),0)),($A230-DateToday)+15,IF(Pricetype2=1,1,0),0))),F230)))</f>
        <v> </v>
      </c>
      <c r="P230" s="318" t="str">
        <f aca="false">IF($A230="N/A"," ",IF(Pricetype2=2,MAX(G230,0),IF(OR(Pricetype2=1,Pricetype2=4),IF(G230=0,0,(EURO(G230,Strikeprice2,0,0,($AK230+IF(Smile=TRUE(),VLOOKUP(MAX(-5,Strikeprice2-G230),Volsmile,2),0)),($A230-DateToday)+15,IF(Pricetype2=1,1,0),0))),G230)))</f>
        <v> </v>
      </c>
      <c r="Q230" s="318" t="str">
        <f aca="false">IF($A230="N/A"," ",IF(Pricetype2=2,MAX(H230,0),IF(OR(Pricetype2=1,Pricetype2=4),IF(H230=0,0,(EURO(H230,Strikeprice2,0,0,($AK230+IF(Smile=TRUE(),VLOOKUP(MAX(-5,Strikeprice2-H230),Volsmile,2),0)),($A230-DateToday)+15,IF(Pricetype2=1,1,0),0))),H230)))</f>
        <v> </v>
      </c>
      <c r="R230" s="318" t="str">
        <f aca="false">IF($A230="N/A"," ",IF(Pricetype2=2,MAX(I230,0),IF(OR(Pricetype2=1,Pricetype2=4),IF(I230=0,0,(EURO(I230,Strikeprice2,0,0,($AK230+IF(Smile=TRUE(),VLOOKUP(MAX(-5,Strikeprice2-I230),Volsmile,2),0)),($A230-DateToday)+15,IF(Pricetype2=1,1,0),0))),I230)))</f>
        <v> </v>
      </c>
      <c r="S230" s="318" t="str">
        <f aca="false">IF($A230="N/A"," ",IF(Pricetype2=2,MAX(J230,0),IF(OR(Pricetype2=1,Pricetype2=4),IF(J230=0,0,(EURO(J230,Strikeprice2,0,0,($AK230+IF(Smile=TRUE(),VLOOKUP(MAX(-5,Strikeprice2-J230),Volsmile,2),0)),($A230-DateToday)+15,IF(Pricetype2=1,1,0),0))),J230)))</f>
        <v> </v>
      </c>
      <c r="T230" s="318" t="str">
        <f aca="false">IF($A230="N/A"," ",IF(Pricetype2=2,MAX(K230,0),IF(OR(Pricetype2=1,Pricetype2=4),IF(K230=0,0,(EURO(K230,Strikeprice2,0,0,($AK230+IF(Smile=TRUE(),VLOOKUP(MAX(-5,Strikeprice2-K230),Volsmile,2),0)),($A230-DateToday)+15,IF(Pricetype2=1,1,0),0))),K230)))</f>
        <v> </v>
      </c>
      <c r="U230" s="319" t="str">
        <f aca="false">IF($A230="N/A"," ",Volume2*$AM230)</f>
        <v> </v>
      </c>
      <c r="V230" s="320" t="str">
        <f aca="false">IF($A230="N/A"," ",$U230*(8*($BQ230))*L230)</f>
        <v> </v>
      </c>
      <c r="W230" s="320" t="str">
        <f aca="false">IF($A230="N/A"," ",$U230*(8*($BQ230))*M230)</f>
        <v> </v>
      </c>
      <c r="X230" s="320" t="str">
        <f aca="false">IF($A230="N/A"," ",$U230*(8*($BQ230))*N230)</f>
        <v> </v>
      </c>
      <c r="Y230" s="320" t="str">
        <f aca="false">IF($A230="N/A"," ",$U230*(8*($BR230))*O230)</f>
        <v> </v>
      </c>
      <c r="Z230" s="320" t="str">
        <f aca="false">IF($A230="N/A"," ",$U230*(8*($BR230))*P230)</f>
        <v> </v>
      </c>
      <c r="AA230" s="320" t="str">
        <f aca="false">IF($A230="N/A"," ",$U230*(8*($BR230))*Q230)</f>
        <v> </v>
      </c>
      <c r="AB230" s="320" t="str">
        <f aca="false">IF($A230="N/A"," ",$U230*(8*($BS230))*R230)</f>
        <v> </v>
      </c>
      <c r="AC230" s="320" t="str">
        <f aca="false">IF($A230="N/A"," ",$U230*(8*($BS230))*S230)</f>
        <v> </v>
      </c>
      <c r="AD230" s="320" t="str">
        <f aca="false">IF($A230="N/A"," ",$U230*(8*($BS230))*T230)</f>
        <v> </v>
      </c>
      <c r="AE230" s="320" t="str">
        <f aca="false">IF($A230="N/A"," ",SUM(V230:AD230))</f>
        <v> </v>
      </c>
      <c r="AF230" s="321" t="str">
        <f aca="false">IF(A230="N/A"," ",(VLOOKUP(A230,PowerVolTable,(IF(VolBMO2=2,7,IF(VolBMO2=1,6,8))),FALSE())))</f>
        <v> </v>
      </c>
      <c r="AG230" s="321" t="str">
        <f aca="false">IF(A230="N/A"," ",(VLOOKUP(A230,IntraPowerVol,(IF(VolBMO2=2,3,IF(VolBMO2=1,2,4))),FALSE())*VLOOKUP(MONTH($A230),Volscale,2)))</f>
        <v> </v>
      </c>
      <c r="AH230" s="321" t="str">
        <f aca="false">IF($A230="N/A"," ",IF(VolType2=1,AG230,AF230))</f>
        <v> </v>
      </c>
      <c r="AI230" s="321" t="str">
        <f aca="false">IF($A230="N/A"," ",(VLOOKUP($A230,OffPwrVolTable,(IF(VolBMO2=2,7,IF(VolBMO2=1,6,8))),FALSE())))</f>
        <v> </v>
      </c>
      <c r="AJ230" s="321" t="str">
        <f aca="false">IF($A230="N/A"," ",(VLOOKUP($A230,OffPwrVolTable,(IF(VolBMO2=2,3,IF(VolBMO2=1,2,4))),FALSE())*VLOOKUP(MONTH($A230),Volscale,2)))</f>
        <v> </v>
      </c>
      <c r="AK230" s="321" t="str">
        <f aca="false">IF($A230="N/A"," ",IF(VolType2=1,AJ230,AI230))</f>
        <v> </v>
      </c>
      <c r="AL230" s="321" t="str">
        <f aca="false">IF($A230="N/A"," ",IF(PV=1,0,'Pricing Inputs2'!R263))</f>
        <v> </v>
      </c>
      <c r="AM230" s="323" t="str">
        <f aca="false">IF($A230="N/A"," ",(1+AL230/2)^(-2*((EOMONTH(A230,0)+20)-DateToday)/365.25))</f>
        <v> </v>
      </c>
      <c r="BQ230" s="0" t="str">
        <f aca="false">IF($A230="N/A"," ",(VLOOKUP($A230,NumberofDaysTable,2)))</f>
        <v> </v>
      </c>
      <c r="BR230" s="0" t="str">
        <f aca="false">IF($A230="N/A"," ",(VLOOKUP($A230,NumberofDaysTable,3)))</f>
        <v> </v>
      </c>
      <c r="BS230" s="0" t="str">
        <f aca="false">IF($A230="N/A"," ",(VLOOKUP($A230,NumberofDaysTable,4)))</f>
        <v> </v>
      </c>
    </row>
    <row r="231" customFormat="false" ht="12.75" hidden="false" customHeight="false" outlineLevel="0" collapsed="false">
      <c r="A231" s="315" t="str">
        <f aca="false">IF(A230="N/A","N/A",IF(EDATE(A230,1)&gt;Inputs!$P$5,"N/A",EDATE(A230,1)))</f>
        <v>N/A</v>
      </c>
      <c r="B231" s="316" t="str">
        <f aca="false">IF(A231="N/A"," ",YEAR(A231))</f>
        <v> </v>
      </c>
      <c r="C231" s="317" t="str">
        <f aca="false">IF($A231="N/A"," ",IF(Dayrun2=10,0,IF(Scaler2=1,(VLOOKUP(A231,ScaledPrice2,4)),(VLOOKUP(A231,ScaledPrice2,2)))))</f>
        <v> </v>
      </c>
      <c r="D231" s="317" t="str">
        <f aca="false">IF(A231="N/A"," ",IF(Dayrun2&gt;=7,0,IF(Scaler2=2,VLOOKUP(A231,ScaledPrice2,2),(VLOOKUP(A231,ScaledPrice2,2))*(2-(VLOOKUP(A231,ScaledPrice2,3))))))</f>
        <v> </v>
      </c>
      <c r="E231" s="317" t="str">
        <f aca="false">IF($A231="N/A"," ",IF(AND(Dayrun2&gt;=4,Dayrun2&lt;=9),0,VLOOKUP($A231,ScaledPrice2,9)))</f>
        <v> </v>
      </c>
      <c r="F231" s="317" t="str">
        <f aca="false">IF(A231="N/A"," ",IF(OR(Dayrun2=2,Dayrun2=3,Dayrun2=5,Dayrun2=6,Dayrun2=8,Dayrun2=9),VLOOKUP(A231,ScaledPrice2,IF(Scaler2=1,6,5)),0))</f>
        <v> </v>
      </c>
      <c r="G231" s="317" t="str">
        <f aca="false">IF(A231="N/A"," ",IF(OR(Dayrun2=2,Dayrun2=3,Dayrun2=5,Dayrun2=6),IF(Scaler2=2,F231,(VLOOKUP(A231,ScaledPrice2,5))*(2-(VLOOKUP(A231,ScaledPrice2,3)))),0))</f>
        <v> </v>
      </c>
      <c r="H231" s="317" t="str">
        <f aca="false">IF($A231="N/A"," ",IF(OR(Dayrun2=2,Dayrun2=3,Dayrun2=10),VLOOKUP($A231,ScaledPrice2,9),0))</f>
        <v> </v>
      </c>
      <c r="I231" s="317" t="str">
        <f aca="false">IF(A231="N/A"," ",IF(OR(Dayrun2=3,Dayrun2=6,Dayrun2=9),(VLOOKUP(A231,ScaledPrice2,IF(Scaler2=2,7,8))),0))</f>
        <v> </v>
      </c>
      <c r="J231" s="317" t="str">
        <f aca="false">IF(A231="N/A"," ",IF(OR(Dayrun2=3,Dayrun2=6),IF(Scaler2=2,I231,(VLOOKUP(A231,ScaledPrice2,7))*(2-(VLOOKUP(A231,ScaledPrice2,3)))),0))</f>
        <v> </v>
      </c>
      <c r="K231" s="317" t="str">
        <f aca="false">IF($A231="N/A"," ",IF(OR(Dayrun2=3,Dayrun2=10),VLOOKUP($A231,ScaledPrice2,9),0))</f>
        <v> </v>
      </c>
      <c r="L231" s="318" t="str">
        <f aca="false">IF($A231="N/A"," ",IF(Pricetype2=2,MAX(C231,0),IF(OR(Pricetype2=1,Pricetype2=4),IF(C231=0,0,(EURO(C231,Strikeprice2,0,0,($AH231+IF(Smile=TRUE(),VLOOKUP(MAX(-5,Strikeprice2-C231),Volsmile,2),0)),($A231-DateToday)+15,IF(Pricetype2=1,1,0),0))),C231)))</f>
        <v> </v>
      </c>
      <c r="M231" s="318" t="str">
        <f aca="false">IF($A231="N/A"," ",IF(Pricetype2=2,MAX(D231,0),IF(OR(Pricetype2=1,Pricetype2=4),IF(D231=0,0,(EURO(D231,Strikeprice2,0,0,($AH231+IF(Smile=TRUE(),VLOOKUP(MAX(-5,Strikeprice2-D231),Volsmile,2),0)),($A231-DateToday)+15,IF(Pricetype2=1,1,0),0))),D231)))</f>
        <v> </v>
      </c>
      <c r="N231" s="318" t="str">
        <f aca="false">IF($A231="N/A"," ",IF(Pricetype2=2,MAX(E231,0),IF(OR(Pricetype2=1,Pricetype2=4),IF(E231=0,0,(EURO(E231,Strikeprice2,0,0,($AK231+IF(Smile=TRUE(),VLOOKUP(MAX(-5,Strikeprice2-E231),Volsmile,2),0)),($A231-DateToday)+15,IF(Pricetype2=1,1,0),0))),E231)))</f>
        <v> </v>
      </c>
      <c r="O231" s="318" t="str">
        <f aca="false">IF($A231="N/A"," ",IF(Pricetype2=2,MAX(F231,0),IF(OR(Pricetype2=1,Pricetype2=4),IF(F231=0,0,(EURO(F231,Strikeprice2,0,0,($AK231+IF(Smile=TRUE(),VLOOKUP(MAX(-5,Strikeprice2-F231),Volsmile,2),0)),($A231-DateToday)+15,IF(Pricetype2=1,1,0),0))),F231)))</f>
        <v> </v>
      </c>
      <c r="P231" s="318" t="str">
        <f aca="false">IF($A231="N/A"," ",IF(Pricetype2=2,MAX(G231,0),IF(OR(Pricetype2=1,Pricetype2=4),IF(G231=0,0,(EURO(G231,Strikeprice2,0,0,($AK231+IF(Smile=TRUE(),VLOOKUP(MAX(-5,Strikeprice2-G231),Volsmile,2),0)),($A231-DateToday)+15,IF(Pricetype2=1,1,0),0))),G231)))</f>
        <v> </v>
      </c>
      <c r="Q231" s="318" t="str">
        <f aca="false">IF($A231="N/A"," ",IF(Pricetype2=2,MAX(H231,0),IF(OR(Pricetype2=1,Pricetype2=4),IF(H231=0,0,(EURO(H231,Strikeprice2,0,0,($AK231+IF(Smile=TRUE(),VLOOKUP(MAX(-5,Strikeprice2-H231),Volsmile,2),0)),($A231-DateToday)+15,IF(Pricetype2=1,1,0),0))),H231)))</f>
        <v> </v>
      </c>
      <c r="R231" s="318" t="str">
        <f aca="false">IF($A231="N/A"," ",IF(Pricetype2=2,MAX(I231,0),IF(OR(Pricetype2=1,Pricetype2=4),IF(I231=0,0,(EURO(I231,Strikeprice2,0,0,($AK231+IF(Smile=TRUE(),VLOOKUP(MAX(-5,Strikeprice2-I231),Volsmile,2),0)),($A231-DateToday)+15,IF(Pricetype2=1,1,0),0))),I231)))</f>
        <v> </v>
      </c>
      <c r="S231" s="318" t="str">
        <f aca="false">IF($A231="N/A"," ",IF(Pricetype2=2,MAX(J231,0),IF(OR(Pricetype2=1,Pricetype2=4),IF(J231=0,0,(EURO(J231,Strikeprice2,0,0,($AK231+IF(Smile=TRUE(),VLOOKUP(MAX(-5,Strikeprice2-J231),Volsmile,2),0)),($A231-DateToday)+15,IF(Pricetype2=1,1,0),0))),J231)))</f>
        <v> </v>
      </c>
      <c r="T231" s="318" t="str">
        <f aca="false">IF($A231="N/A"," ",IF(Pricetype2=2,MAX(K231,0),IF(OR(Pricetype2=1,Pricetype2=4),IF(K231=0,0,(EURO(K231,Strikeprice2,0,0,($AK231+IF(Smile=TRUE(),VLOOKUP(MAX(-5,Strikeprice2-K231),Volsmile,2),0)),($A231-DateToday)+15,IF(Pricetype2=1,1,0),0))),K231)))</f>
        <v> </v>
      </c>
      <c r="U231" s="319" t="str">
        <f aca="false">IF($A231="N/A"," ",Volume2*$AM231)</f>
        <v> </v>
      </c>
      <c r="V231" s="320" t="str">
        <f aca="false">IF($A231="N/A"," ",$U231*(8*($BQ231))*L231)</f>
        <v> </v>
      </c>
      <c r="W231" s="320" t="str">
        <f aca="false">IF($A231="N/A"," ",$U231*(8*($BQ231))*M231)</f>
        <v> </v>
      </c>
      <c r="X231" s="320" t="str">
        <f aca="false">IF($A231="N/A"," ",$U231*(8*($BQ231))*N231)</f>
        <v> </v>
      </c>
      <c r="Y231" s="320" t="str">
        <f aca="false">IF($A231="N/A"," ",$U231*(8*($BR231))*O231)</f>
        <v> </v>
      </c>
      <c r="Z231" s="320" t="str">
        <f aca="false">IF($A231="N/A"," ",$U231*(8*($BR231))*P231)</f>
        <v> </v>
      </c>
      <c r="AA231" s="320" t="str">
        <f aca="false">IF($A231="N/A"," ",$U231*(8*($BR231))*Q231)</f>
        <v> </v>
      </c>
      <c r="AB231" s="320" t="str">
        <f aca="false">IF($A231="N/A"," ",$U231*(8*($BS231))*R231)</f>
        <v> </v>
      </c>
      <c r="AC231" s="320" t="str">
        <f aca="false">IF($A231="N/A"," ",$U231*(8*($BS231))*S231)</f>
        <v> </v>
      </c>
      <c r="AD231" s="320" t="str">
        <f aca="false">IF($A231="N/A"," ",$U231*(8*($BS231))*T231)</f>
        <v> </v>
      </c>
      <c r="AE231" s="320" t="str">
        <f aca="false">IF($A231="N/A"," ",SUM(V231:AD231))</f>
        <v> </v>
      </c>
      <c r="AF231" s="321" t="str">
        <f aca="false">IF(A231="N/A"," ",(VLOOKUP(A231,PowerVolTable,(IF(VolBMO2=2,7,IF(VolBMO2=1,6,8))),FALSE())))</f>
        <v> </v>
      </c>
      <c r="AG231" s="321" t="str">
        <f aca="false">IF(A231="N/A"," ",(VLOOKUP(A231,IntraPowerVol,(IF(VolBMO2=2,3,IF(VolBMO2=1,2,4))),FALSE())*VLOOKUP(MONTH($A231),Volscale,2)))</f>
        <v> </v>
      </c>
      <c r="AH231" s="321" t="str">
        <f aca="false">IF($A231="N/A"," ",IF(VolType2=1,AG231,AF231))</f>
        <v> </v>
      </c>
      <c r="AI231" s="321" t="str">
        <f aca="false">IF($A231="N/A"," ",(VLOOKUP($A231,OffPwrVolTable,(IF(VolBMO2=2,7,IF(VolBMO2=1,6,8))),FALSE())))</f>
        <v> </v>
      </c>
      <c r="AJ231" s="321" t="str">
        <f aca="false">IF($A231="N/A"," ",(VLOOKUP($A231,OffPwrVolTable,(IF(VolBMO2=2,3,IF(VolBMO2=1,2,4))),FALSE())*VLOOKUP(MONTH($A231),Volscale,2)))</f>
        <v> </v>
      </c>
      <c r="AK231" s="321" t="str">
        <f aca="false">IF($A231="N/A"," ",IF(VolType2=1,AJ231,AI231))</f>
        <v> </v>
      </c>
      <c r="AL231" s="321" t="str">
        <f aca="false">IF($A231="N/A"," ",IF(PV=1,0,'Pricing Inputs2'!R264))</f>
        <v> </v>
      </c>
      <c r="AM231" s="323" t="str">
        <f aca="false">IF($A231="N/A"," ",(1+AL231/2)^(-2*((EOMONTH(A231,0)+20)-DateToday)/365.25))</f>
        <v> </v>
      </c>
      <c r="BQ231" s="0" t="str">
        <f aca="false">IF($A231="N/A"," ",(VLOOKUP($A231,NumberofDaysTable,2)))</f>
        <v> </v>
      </c>
      <c r="BR231" s="0" t="str">
        <f aca="false">IF($A231="N/A"," ",(VLOOKUP($A231,NumberofDaysTable,3)))</f>
        <v> </v>
      </c>
      <c r="BS231" s="0" t="str">
        <f aca="false">IF($A231="N/A"," ",(VLOOKUP($A231,NumberofDaysTable,4)))</f>
        <v> </v>
      </c>
    </row>
    <row r="232" customFormat="false" ht="12.75" hidden="false" customHeight="false" outlineLevel="0" collapsed="false">
      <c r="A232" s="315" t="str">
        <f aca="false">IF(A231="N/A","N/A",IF(EDATE(A231,1)&gt;Inputs!$P$5,"N/A",EDATE(A231,1)))</f>
        <v>N/A</v>
      </c>
      <c r="B232" s="316" t="str">
        <f aca="false">IF(A232="N/A"," ",YEAR(A232))</f>
        <v> </v>
      </c>
      <c r="C232" s="317" t="str">
        <f aca="false">IF($A232="N/A"," ",IF(Dayrun2=10,0,IF(Scaler2=1,(VLOOKUP(A232,ScaledPrice2,4)),(VLOOKUP(A232,ScaledPrice2,2)))))</f>
        <v> </v>
      </c>
      <c r="D232" s="317" t="str">
        <f aca="false">IF(A232="N/A"," ",IF(Dayrun2&gt;=7,0,IF(Scaler2=2,VLOOKUP(A232,ScaledPrice2,2),(VLOOKUP(A232,ScaledPrice2,2))*(2-(VLOOKUP(A232,ScaledPrice2,3))))))</f>
        <v> </v>
      </c>
      <c r="E232" s="317" t="str">
        <f aca="false">IF($A232="N/A"," ",IF(AND(Dayrun2&gt;=4,Dayrun2&lt;=9),0,VLOOKUP($A232,ScaledPrice2,9)))</f>
        <v> </v>
      </c>
      <c r="F232" s="317" t="str">
        <f aca="false">IF(A232="N/A"," ",IF(OR(Dayrun2=2,Dayrun2=3,Dayrun2=5,Dayrun2=6,Dayrun2=8,Dayrun2=9),VLOOKUP(A232,ScaledPrice2,IF(Scaler2=1,6,5)),0))</f>
        <v> </v>
      </c>
      <c r="G232" s="317" t="str">
        <f aca="false">IF(A232="N/A"," ",IF(OR(Dayrun2=2,Dayrun2=3,Dayrun2=5,Dayrun2=6),IF(Scaler2=2,F232,(VLOOKUP(A232,ScaledPrice2,5))*(2-(VLOOKUP(A232,ScaledPrice2,3)))),0))</f>
        <v> </v>
      </c>
      <c r="H232" s="317" t="str">
        <f aca="false">IF($A232="N/A"," ",IF(OR(Dayrun2=2,Dayrun2=3,Dayrun2=10),VLOOKUP($A232,ScaledPrice2,9),0))</f>
        <v> </v>
      </c>
      <c r="I232" s="317" t="str">
        <f aca="false">IF(A232="N/A"," ",IF(OR(Dayrun2=3,Dayrun2=6,Dayrun2=9),(VLOOKUP(A232,ScaledPrice2,IF(Scaler2=2,7,8))),0))</f>
        <v> </v>
      </c>
      <c r="J232" s="317" t="str">
        <f aca="false">IF(A232="N/A"," ",IF(OR(Dayrun2=3,Dayrun2=6),IF(Scaler2=2,I232,(VLOOKUP(A232,ScaledPrice2,7))*(2-(VLOOKUP(A232,ScaledPrice2,3)))),0))</f>
        <v> </v>
      </c>
      <c r="K232" s="317" t="str">
        <f aca="false">IF($A232="N/A"," ",IF(OR(Dayrun2=3,Dayrun2=10),VLOOKUP($A232,ScaledPrice2,9),0))</f>
        <v> </v>
      </c>
      <c r="L232" s="318" t="str">
        <f aca="false">IF($A232="N/A"," ",IF(Pricetype2=2,MAX(C232,0),IF(OR(Pricetype2=1,Pricetype2=4),IF(C232=0,0,(EURO(C232,Strikeprice2,0,0,($AH232+IF(Smile=TRUE(),VLOOKUP(MAX(-5,Strikeprice2-C232),Volsmile,2),0)),($A232-DateToday)+15,IF(Pricetype2=1,1,0),0))),C232)))</f>
        <v> </v>
      </c>
      <c r="M232" s="318" t="str">
        <f aca="false">IF($A232="N/A"," ",IF(Pricetype2=2,MAX(D232,0),IF(OR(Pricetype2=1,Pricetype2=4),IF(D232=0,0,(EURO(D232,Strikeprice2,0,0,($AH232+IF(Smile=TRUE(),VLOOKUP(MAX(-5,Strikeprice2-D232),Volsmile,2),0)),($A232-DateToday)+15,IF(Pricetype2=1,1,0),0))),D232)))</f>
        <v> </v>
      </c>
      <c r="N232" s="318" t="str">
        <f aca="false">IF($A232="N/A"," ",IF(Pricetype2=2,MAX(E232,0),IF(OR(Pricetype2=1,Pricetype2=4),IF(E232=0,0,(EURO(E232,Strikeprice2,0,0,($AK232+IF(Smile=TRUE(),VLOOKUP(MAX(-5,Strikeprice2-E232),Volsmile,2),0)),($A232-DateToday)+15,IF(Pricetype2=1,1,0),0))),E232)))</f>
        <v> </v>
      </c>
      <c r="O232" s="318" t="str">
        <f aca="false">IF($A232="N/A"," ",IF(Pricetype2=2,MAX(F232,0),IF(OR(Pricetype2=1,Pricetype2=4),IF(F232=0,0,(EURO(F232,Strikeprice2,0,0,($AK232+IF(Smile=TRUE(),VLOOKUP(MAX(-5,Strikeprice2-F232),Volsmile,2),0)),($A232-DateToday)+15,IF(Pricetype2=1,1,0),0))),F232)))</f>
        <v> </v>
      </c>
      <c r="P232" s="318" t="str">
        <f aca="false">IF($A232="N/A"," ",IF(Pricetype2=2,MAX(G232,0),IF(OR(Pricetype2=1,Pricetype2=4),IF(G232=0,0,(EURO(G232,Strikeprice2,0,0,($AK232+IF(Smile=TRUE(),VLOOKUP(MAX(-5,Strikeprice2-G232),Volsmile,2),0)),($A232-DateToday)+15,IF(Pricetype2=1,1,0),0))),G232)))</f>
        <v> </v>
      </c>
      <c r="Q232" s="318" t="str">
        <f aca="false">IF($A232="N/A"," ",IF(Pricetype2=2,MAX(H232,0),IF(OR(Pricetype2=1,Pricetype2=4),IF(H232=0,0,(EURO(H232,Strikeprice2,0,0,($AK232+IF(Smile=TRUE(),VLOOKUP(MAX(-5,Strikeprice2-H232),Volsmile,2),0)),($A232-DateToday)+15,IF(Pricetype2=1,1,0),0))),H232)))</f>
        <v> </v>
      </c>
      <c r="R232" s="318" t="str">
        <f aca="false">IF($A232="N/A"," ",IF(Pricetype2=2,MAX(I232,0),IF(OR(Pricetype2=1,Pricetype2=4),IF(I232=0,0,(EURO(I232,Strikeprice2,0,0,($AK232+IF(Smile=TRUE(),VLOOKUP(MAX(-5,Strikeprice2-I232),Volsmile,2),0)),($A232-DateToday)+15,IF(Pricetype2=1,1,0),0))),I232)))</f>
        <v> </v>
      </c>
      <c r="S232" s="318" t="str">
        <f aca="false">IF($A232="N/A"," ",IF(Pricetype2=2,MAX(J232,0),IF(OR(Pricetype2=1,Pricetype2=4),IF(J232=0,0,(EURO(J232,Strikeprice2,0,0,($AK232+IF(Smile=TRUE(),VLOOKUP(MAX(-5,Strikeprice2-J232),Volsmile,2),0)),($A232-DateToday)+15,IF(Pricetype2=1,1,0),0))),J232)))</f>
        <v> </v>
      </c>
      <c r="T232" s="318" t="str">
        <f aca="false">IF($A232="N/A"," ",IF(Pricetype2=2,MAX(K232,0),IF(OR(Pricetype2=1,Pricetype2=4),IF(K232=0,0,(EURO(K232,Strikeprice2,0,0,($AK232+IF(Smile=TRUE(),VLOOKUP(MAX(-5,Strikeprice2-K232),Volsmile,2),0)),($A232-DateToday)+15,IF(Pricetype2=1,1,0),0))),K232)))</f>
        <v> </v>
      </c>
      <c r="U232" s="319" t="str">
        <f aca="false">IF($A232="N/A"," ",Volume2*$AM232)</f>
        <v> </v>
      </c>
      <c r="V232" s="320" t="str">
        <f aca="false">IF($A232="N/A"," ",$U232*(8*($BQ232))*L232)</f>
        <v> </v>
      </c>
      <c r="W232" s="320" t="str">
        <f aca="false">IF($A232="N/A"," ",$U232*(8*($BQ232))*M232)</f>
        <v> </v>
      </c>
      <c r="X232" s="320" t="str">
        <f aca="false">IF($A232="N/A"," ",$U232*(8*($BQ232))*N232)</f>
        <v> </v>
      </c>
      <c r="Y232" s="320" t="str">
        <f aca="false">IF($A232="N/A"," ",$U232*(8*($BR232))*O232)</f>
        <v> </v>
      </c>
      <c r="Z232" s="320" t="str">
        <f aca="false">IF($A232="N/A"," ",$U232*(8*($BR232))*P232)</f>
        <v> </v>
      </c>
      <c r="AA232" s="320" t="str">
        <f aca="false">IF($A232="N/A"," ",$U232*(8*($BR232))*Q232)</f>
        <v> </v>
      </c>
      <c r="AB232" s="320" t="str">
        <f aca="false">IF($A232="N/A"," ",$U232*(8*($BS232))*R232)</f>
        <v> </v>
      </c>
      <c r="AC232" s="320" t="str">
        <f aca="false">IF($A232="N/A"," ",$U232*(8*($BS232))*S232)</f>
        <v> </v>
      </c>
      <c r="AD232" s="320" t="str">
        <f aca="false">IF($A232="N/A"," ",$U232*(8*($BS232))*T232)</f>
        <v> </v>
      </c>
      <c r="AE232" s="320" t="str">
        <f aca="false">IF($A232="N/A"," ",SUM(V232:AD232))</f>
        <v> </v>
      </c>
      <c r="AF232" s="321" t="str">
        <f aca="false">IF(A232="N/A"," ",(VLOOKUP(A232,PowerVolTable,(IF(VolBMO2=2,7,IF(VolBMO2=1,6,8))),FALSE())))</f>
        <v> </v>
      </c>
      <c r="AG232" s="321" t="str">
        <f aca="false">IF(A232="N/A"," ",(VLOOKUP(A232,IntraPowerVol,(IF(VolBMO2=2,3,IF(VolBMO2=1,2,4))),FALSE())*VLOOKUP(MONTH($A232),Volscale,2)))</f>
        <v> </v>
      </c>
      <c r="AH232" s="321" t="str">
        <f aca="false">IF($A232="N/A"," ",IF(VolType2=1,AG232,AF232))</f>
        <v> </v>
      </c>
      <c r="AI232" s="321" t="str">
        <f aca="false">IF($A232="N/A"," ",(VLOOKUP($A232,OffPwrVolTable,(IF(VolBMO2=2,7,IF(VolBMO2=1,6,8))),FALSE())))</f>
        <v> </v>
      </c>
      <c r="AJ232" s="321" t="str">
        <f aca="false">IF($A232="N/A"," ",(VLOOKUP($A232,OffPwrVolTable,(IF(VolBMO2=2,3,IF(VolBMO2=1,2,4))),FALSE())*VLOOKUP(MONTH($A232),Volscale,2)))</f>
        <v> </v>
      </c>
      <c r="AK232" s="321" t="str">
        <f aca="false">IF($A232="N/A"," ",IF(VolType2=1,AJ232,AI232))</f>
        <v> </v>
      </c>
      <c r="AL232" s="321" t="str">
        <f aca="false">IF($A232="N/A"," ",IF(PV=1,0,'Pricing Inputs2'!R265))</f>
        <v> </v>
      </c>
      <c r="AM232" s="323" t="str">
        <f aca="false">IF($A232="N/A"," ",(1+AL232/2)^(-2*((EOMONTH(A232,0)+20)-DateToday)/365.25))</f>
        <v> </v>
      </c>
      <c r="BQ232" s="0" t="str">
        <f aca="false">IF($A232="N/A"," ",(VLOOKUP($A232,NumberofDaysTable,2)))</f>
        <v> </v>
      </c>
      <c r="BR232" s="0" t="str">
        <f aca="false">IF($A232="N/A"," ",(VLOOKUP($A232,NumberofDaysTable,3)))</f>
        <v> </v>
      </c>
      <c r="BS232" s="0" t="str">
        <f aca="false">IF($A232="N/A"," ",(VLOOKUP($A232,NumberofDaysTable,4)))</f>
        <v> </v>
      </c>
    </row>
    <row r="233" customFormat="false" ht="12.75" hidden="false" customHeight="false" outlineLevel="0" collapsed="false">
      <c r="A233" s="315" t="str">
        <f aca="false">IF(A232="N/A","N/A",IF(EDATE(A232,1)&gt;Inputs!$P$5,"N/A",EDATE(A232,1)))</f>
        <v>N/A</v>
      </c>
      <c r="B233" s="316" t="str">
        <f aca="false">IF(A233="N/A"," ",YEAR(A233))</f>
        <v> </v>
      </c>
      <c r="C233" s="317" t="str">
        <f aca="false">IF($A233="N/A"," ",IF(Dayrun2=10,0,IF(Scaler2=1,(VLOOKUP(A233,ScaledPrice2,4)),(VLOOKUP(A233,ScaledPrice2,2)))))</f>
        <v> </v>
      </c>
      <c r="D233" s="317" t="str">
        <f aca="false">IF(A233="N/A"," ",IF(Dayrun2&gt;=7,0,IF(Scaler2=2,VLOOKUP(A233,ScaledPrice2,2),(VLOOKUP(A233,ScaledPrice2,2))*(2-(VLOOKUP(A233,ScaledPrice2,3))))))</f>
        <v> </v>
      </c>
      <c r="E233" s="317" t="str">
        <f aca="false">IF($A233="N/A"," ",IF(AND(Dayrun2&gt;=4,Dayrun2&lt;=9),0,VLOOKUP($A233,ScaledPrice2,9)))</f>
        <v> </v>
      </c>
      <c r="F233" s="317" t="str">
        <f aca="false">IF(A233="N/A"," ",IF(OR(Dayrun2=2,Dayrun2=3,Dayrun2=5,Dayrun2=6,Dayrun2=8,Dayrun2=9),VLOOKUP(A233,ScaledPrice2,IF(Scaler2=1,6,5)),0))</f>
        <v> </v>
      </c>
      <c r="G233" s="317" t="str">
        <f aca="false">IF(A233="N/A"," ",IF(OR(Dayrun2=2,Dayrun2=3,Dayrun2=5,Dayrun2=6),IF(Scaler2=2,F233,(VLOOKUP(A233,ScaledPrice2,5))*(2-(VLOOKUP(A233,ScaledPrice2,3)))),0))</f>
        <v> </v>
      </c>
      <c r="H233" s="317" t="str">
        <f aca="false">IF($A233="N/A"," ",IF(OR(Dayrun2=2,Dayrun2=3,Dayrun2=10),VLOOKUP($A233,ScaledPrice2,9),0))</f>
        <v> </v>
      </c>
      <c r="I233" s="317" t="str">
        <f aca="false">IF(A233="N/A"," ",IF(OR(Dayrun2=3,Dayrun2=6,Dayrun2=9),(VLOOKUP(A233,ScaledPrice2,IF(Scaler2=2,7,8))),0))</f>
        <v> </v>
      </c>
      <c r="J233" s="317" t="str">
        <f aca="false">IF(A233="N/A"," ",IF(OR(Dayrun2=3,Dayrun2=6),IF(Scaler2=2,I233,(VLOOKUP(A233,ScaledPrice2,7))*(2-(VLOOKUP(A233,ScaledPrice2,3)))),0))</f>
        <v> </v>
      </c>
      <c r="K233" s="317" t="str">
        <f aca="false">IF($A233="N/A"," ",IF(OR(Dayrun2=3,Dayrun2=10),VLOOKUP($A233,ScaledPrice2,9),0))</f>
        <v> </v>
      </c>
      <c r="L233" s="318" t="str">
        <f aca="false">IF($A233="N/A"," ",IF(Pricetype2=2,MAX(C233,0),IF(OR(Pricetype2=1,Pricetype2=4),IF(C233=0,0,(EURO(C233,Strikeprice2,0,0,($AH233+IF(Smile=TRUE(),VLOOKUP(MAX(-5,Strikeprice2-C233),Volsmile,2),0)),($A233-DateToday)+15,IF(Pricetype2=1,1,0),0))),C233)))</f>
        <v> </v>
      </c>
      <c r="M233" s="318" t="str">
        <f aca="false">IF($A233="N/A"," ",IF(Pricetype2=2,MAX(D233,0),IF(OR(Pricetype2=1,Pricetype2=4),IF(D233=0,0,(EURO(D233,Strikeprice2,0,0,($AH233+IF(Smile=TRUE(),VLOOKUP(MAX(-5,Strikeprice2-D233),Volsmile,2),0)),($A233-DateToday)+15,IF(Pricetype2=1,1,0),0))),D233)))</f>
        <v> </v>
      </c>
      <c r="N233" s="318" t="str">
        <f aca="false">IF($A233="N/A"," ",IF(Pricetype2=2,MAX(E233,0),IF(OR(Pricetype2=1,Pricetype2=4),IF(E233=0,0,(EURO(E233,Strikeprice2,0,0,($AK233+IF(Smile=TRUE(),VLOOKUP(MAX(-5,Strikeprice2-E233),Volsmile,2),0)),($A233-DateToday)+15,IF(Pricetype2=1,1,0),0))),E233)))</f>
        <v> </v>
      </c>
      <c r="O233" s="318" t="str">
        <f aca="false">IF($A233="N/A"," ",IF(Pricetype2=2,MAX(F233,0),IF(OR(Pricetype2=1,Pricetype2=4),IF(F233=0,0,(EURO(F233,Strikeprice2,0,0,($AK233+IF(Smile=TRUE(),VLOOKUP(MAX(-5,Strikeprice2-F233),Volsmile,2),0)),($A233-DateToday)+15,IF(Pricetype2=1,1,0),0))),F233)))</f>
        <v> </v>
      </c>
      <c r="P233" s="318" t="str">
        <f aca="false">IF($A233="N/A"," ",IF(Pricetype2=2,MAX(G233,0),IF(OR(Pricetype2=1,Pricetype2=4),IF(G233=0,0,(EURO(G233,Strikeprice2,0,0,($AK233+IF(Smile=TRUE(),VLOOKUP(MAX(-5,Strikeprice2-G233),Volsmile,2),0)),($A233-DateToday)+15,IF(Pricetype2=1,1,0),0))),G233)))</f>
        <v> </v>
      </c>
      <c r="Q233" s="318" t="str">
        <f aca="false">IF($A233="N/A"," ",IF(Pricetype2=2,MAX(H233,0),IF(OR(Pricetype2=1,Pricetype2=4),IF(H233=0,0,(EURO(H233,Strikeprice2,0,0,($AK233+IF(Smile=TRUE(),VLOOKUP(MAX(-5,Strikeprice2-H233),Volsmile,2),0)),($A233-DateToday)+15,IF(Pricetype2=1,1,0),0))),H233)))</f>
        <v> </v>
      </c>
      <c r="R233" s="318" t="str">
        <f aca="false">IF($A233="N/A"," ",IF(Pricetype2=2,MAX(I233,0),IF(OR(Pricetype2=1,Pricetype2=4),IF(I233=0,0,(EURO(I233,Strikeprice2,0,0,($AK233+IF(Smile=TRUE(),VLOOKUP(MAX(-5,Strikeprice2-I233),Volsmile,2),0)),($A233-DateToday)+15,IF(Pricetype2=1,1,0),0))),I233)))</f>
        <v> </v>
      </c>
      <c r="S233" s="318" t="str">
        <f aca="false">IF($A233="N/A"," ",IF(Pricetype2=2,MAX(J233,0),IF(OR(Pricetype2=1,Pricetype2=4),IF(J233=0,0,(EURO(J233,Strikeprice2,0,0,($AK233+IF(Smile=TRUE(),VLOOKUP(MAX(-5,Strikeprice2-J233),Volsmile,2),0)),($A233-DateToday)+15,IF(Pricetype2=1,1,0),0))),J233)))</f>
        <v> </v>
      </c>
      <c r="T233" s="318" t="str">
        <f aca="false">IF($A233="N/A"," ",IF(Pricetype2=2,MAX(K233,0),IF(OR(Pricetype2=1,Pricetype2=4),IF(K233=0,0,(EURO(K233,Strikeprice2,0,0,($AK233+IF(Smile=TRUE(),VLOOKUP(MAX(-5,Strikeprice2-K233),Volsmile,2),0)),($A233-DateToday)+15,IF(Pricetype2=1,1,0),0))),K233)))</f>
        <v> </v>
      </c>
      <c r="U233" s="319" t="str">
        <f aca="false">IF($A233="N/A"," ",Volume2*$AM233)</f>
        <v> </v>
      </c>
      <c r="V233" s="320" t="str">
        <f aca="false">IF($A233="N/A"," ",$U233*(8*($BQ233))*L233)</f>
        <v> </v>
      </c>
      <c r="W233" s="320" t="str">
        <f aca="false">IF($A233="N/A"," ",$U233*(8*($BQ233))*M233)</f>
        <v> </v>
      </c>
      <c r="X233" s="320" t="str">
        <f aca="false">IF($A233="N/A"," ",$U233*(8*($BQ233))*N233)</f>
        <v> </v>
      </c>
      <c r="Y233" s="320" t="str">
        <f aca="false">IF($A233="N/A"," ",$U233*(8*($BR233))*O233)</f>
        <v> </v>
      </c>
      <c r="Z233" s="320" t="str">
        <f aca="false">IF($A233="N/A"," ",$U233*(8*($BR233))*P233)</f>
        <v> </v>
      </c>
      <c r="AA233" s="320" t="str">
        <f aca="false">IF($A233="N/A"," ",$U233*(8*($BR233))*Q233)</f>
        <v> </v>
      </c>
      <c r="AB233" s="320" t="str">
        <f aca="false">IF($A233="N/A"," ",$U233*(8*($BS233))*R233)</f>
        <v> </v>
      </c>
      <c r="AC233" s="320" t="str">
        <f aca="false">IF($A233="N/A"," ",$U233*(8*($BS233))*S233)</f>
        <v> </v>
      </c>
      <c r="AD233" s="320" t="str">
        <f aca="false">IF($A233="N/A"," ",$U233*(8*($BS233))*T233)</f>
        <v> </v>
      </c>
      <c r="AE233" s="320" t="str">
        <f aca="false">IF($A233="N/A"," ",SUM(V233:AD233))</f>
        <v> </v>
      </c>
      <c r="AF233" s="321" t="str">
        <f aca="false">IF(A233="N/A"," ",(VLOOKUP(A233,PowerVolTable,(IF(VolBMO2=2,7,IF(VolBMO2=1,6,8))),FALSE())))</f>
        <v> </v>
      </c>
      <c r="AG233" s="321" t="str">
        <f aca="false">IF(A233="N/A"," ",(VLOOKUP(A233,IntraPowerVol,(IF(VolBMO2=2,3,IF(VolBMO2=1,2,4))),FALSE())*VLOOKUP(MONTH($A233),Volscale,2)))</f>
        <v> </v>
      </c>
      <c r="AH233" s="321" t="str">
        <f aca="false">IF($A233="N/A"," ",IF(VolType2=1,AG233,AF233))</f>
        <v> </v>
      </c>
      <c r="AI233" s="321" t="str">
        <f aca="false">IF($A233="N/A"," ",(VLOOKUP($A233,OffPwrVolTable,(IF(VolBMO2=2,7,IF(VolBMO2=1,6,8))),FALSE())))</f>
        <v> </v>
      </c>
      <c r="AJ233" s="321" t="str">
        <f aca="false">IF($A233="N/A"," ",(VLOOKUP($A233,OffPwrVolTable,(IF(VolBMO2=2,3,IF(VolBMO2=1,2,4))),FALSE())*VLOOKUP(MONTH($A233),Volscale,2)))</f>
        <v> </v>
      </c>
      <c r="AK233" s="321" t="str">
        <f aca="false">IF($A233="N/A"," ",IF(VolType2=1,AJ233,AI233))</f>
        <v> </v>
      </c>
      <c r="AL233" s="321" t="str">
        <f aca="false">IF($A233="N/A"," ",IF(PV=1,0,'Pricing Inputs2'!R266))</f>
        <v> </v>
      </c>
      <c r="AM233" s="323" t="str">
        <f aca="false">IF($A233="N/A"," ",(1+AL233/2)^(-2*((EOMONTH(A233,0)+20)-DateToday)/365.25))</f>
        <v> </v>
      </c>
      <c r="BQ233" s="0" t="str">
        <f aca="false">IF($A233="N/A"," ",(VLOOKUP($A233,NumberofDaysTable,2)))</f>
        <v> </v>
      </c>
      <c r="BR233" s="0" t="str">
        <f aca="false">IF($A233="N/A"," ",(VLOOKUP($A233,NumberofDaysTable,3)))</f>
        <v> </v>
      </c>
      <c r="BS233" s="0" t="str">
        <f aca="false">IF($A233="N/A"," ",(VLOOKUP($A233,NumberofDaysTable,4)))</f>
        <v> </v>
      </c>
    </row>
    <row r="234" customFormat="false" ht="12.75" hidden="false" customHeight="false" outlineLevel="0" collapsed="false">
      <c r="A234" s="315" t="str">
        <f aca="false">IF(A233="N/A","N/A",IF(EDATE(A233,1)&gt;Inputs!$P$5,"N/A",EDATE(A233,1)))</f>
        <v>N/A</v>
      </c>
      <c r="B234" s="316" t="str">
        <f aca="false">IF(A234="N/A"," ",YEAR(A234))</f>
        <v> </v>
      </c>
      <c r="C234" s="317" t="str">
        <f aca="false">IF($A234="N/A"," ",IF(Dayrun2=10,0,IF(Scaler2=1,(VLOOKUP(A234,ScaledPrice2,4)),(VLOOKUP(A234,ScaledPrice2,2)))))</f>
        <v> </v>
      </c>
      <c r="D234" s="317" t="str">
        <f aca="false">IF(A234="N/A"," ",IF(Dayrun2&gt;=7,0,IF(Scaler2=2,VLOOKUP(A234,ScaledPrice2,2),(VLOOKUP(A234,ScaledPrice2,2))*(2-(VLOOKUP(A234,ScaledPrice2,3))))))</f>
        <v> </v>
      </c>
      <c r="E234" s="317" t="str">
        <f aca="false">IF($A234="N/A"," ",IF(AND(Dayrun2&gt;=4,Dayrun2&lt;=9),0,VLOOKUP($A234,ScaledPrice2,9)))</f>
        <v> </v>
      </c>
      <c r="F234" s="317" t="str">
        <f aca="false">IF(A234="N/A"," ",IF(OR(Dayrun2=2,Dayrun2=3,Dayrun2=5,Dayrun2=6,Dayrun2=8,Dayrun2=9),VLOOKUP(A234,ScaledPrice2,IF(Scaler2=1,6,5)),0))</f>
        <v> </v>
      </c>
      <c r="G234" s="317" t="str">
        <f aca="false">IF(A234="N/A"," ",IF(OR(Dayrun2=2,Dayrun2=3,Dayrun2=5,Dayrun2=6),IF(Scaler2=2,F234,(VLOOKUP(A234,ScaledPrice2,5))*(2-(VLOOKUP(A234,ScaledPrice2,3)))),0))</f>
        <v> </v>
      </c>
      <c r="H234" s="317" t="str">
        <f aca="false">IF($A234="N/A"," ",IF(OR(Dayrun2=2,Dayrun2=3,Dayrun2=10),VLOOKUP($A234,ScaledPrice2,9),0))</f>
        <v> </v>
      </c>
      <c r="I234" s="317" t="str">
        <f aca="false">IF(A234="N/A"," ",IF(OR(Dayrun2=3,Dayrun2=6,Dayrun2=9),(VLOOKUP(A234,ScaledPrice2,IF(Scaler2=2,7,8))),0))</f>
        <v> </v>
      </c>
      <c r="J234" s="317" t="str">
        <f aca="false">IF(A234="N/A"," ",IF(OR(Dayrun2=3,Dayrun2=6),IF(Scaler2=2,I234,(VLOOKUP(A234,ScaledPrice2,7))*(2-(VLOOKUP(A234,ScaledPrice2,3)))),0))</f>
        <v> </v>
      </c>
      <c r="K234" s="317" t="str">
        <f aca="false">IF($A234="N/A"," ",IF(OR(Dayrun2=3,Dayrun2=10),VLOOKUP($A234,ScaledPrice2,9),0))</f>
        <v> </v>
      </c>
      <c r="L234" s="318" t="str">
        <f aca="false">IF($A234="N/A"," ",IF(Pricetype2=2,MAX(C234,0),IF(OR(Pricetype2=1,Pricetype2=4),IF(C234=0,0,(EURO(C234,Strikeprice2,0,0,($AH234+IF(Smile=TRUE(),VLOOKUP(MAX(-5,Strikeprice2-C234),Volsmile,2),0)),($A234-DateToday)+15,IF(Pricetype2=1,1,0),0))),C234)))</f>
        <v> </v>
      </c>
      <c r="M234" s="318" t="str">
        <f aca="false">IF($A234="N/A"," ",IF(Pricetype2=2,MAX(D234,0),IF(OR(Pricetype2=1,Pricetype2=4),IF(D234=0,0,(EURO(D234,Strikeprice2,0,0,($AH234+IF(Smile=TRUE(),VLOOKUP(MAX(-5,Strikeprice2-D234),Volsmile,2),0)),($A234-DateToday)+15,IF(Pricetype2=1,1,0),0))),D234)))</f>
        <v> </v>
      </c>
      <c r="N234" s="318" t="str">
        <f aca="false">IF($A234="N/A"," ",IF(Pricetype2=2,MAX(E234,0),IF(OR(Pricetype2=1,Pricetype2=4),IF(E234=0,0,(EURO(E234,Strikeprice2,0,0,($AK234+IF(Smile=TRUE(),VLOOKUP(MAX(-5,Strikeprice2-E234),Volsmile,2),0)),($A234-DateToday)+15,IF(Pricetype2=1,1,0),0))),E234)))</f>
        <v> </v>
      </c>
      <c r="O234" s="318" t="str">
        <f aca="false">IF($A234="N/A"," ",IF(Pricetype2=2,MAX(F234,0),IF(OR(Pricetype2=1,Pricetype2=4),IF(F234=0,0,(EURO(F234,Strikeprice2,0,0,($AK234+IF(Smile=TRUE(),VLOOKUP(MAX(-5,Strikeprice2-F234),Volsmile,2),0)),($A234-DateToday)+15,IF(Pricetype2=1,1,0),0))),F234)))</f>
        <v> </v>
      </c>
      <c r="P234" s="318" t="str">
        <f aca="false">IF($A234="N/A"," ",IF(Pricetype2=2,MAX(G234,0),IF(OR(Pricetype2=1,Pricetype2=4),IF(G234=0,0,(EURO(G234,Strikeprice2,0,0,($AK234+IF(Smile=TRUE(),VLOOKUP(MAX(-5,Strikeprice2-G234),Volsmile,2),0)),($A234-DateToday)+15,IF(Pricetype2=1,1,0),0))),G234)))</f>
        <v> </v>
      </c>
      <c r="Q234" s="318" t="str">
        <f aca="false">IF($A234="N/A"," ",IF(Pricetype2=2,MAX(H234,0),IF(OR(Pricetype2=1,Pricetype2=4),IF(H234=0,0,(EURO(H234,Strikeprice2,0,0,($AK234+IF(Smile=TRUE(),VLOOKUP(MAX(-5,Strikeprice2-H234),Volsmile,2),0)),($A234-DateToday)+15,IF(Pricetype2=1,1,0),0))),H234)))</f>
        <v> </v>
      </c>
      <c r="R234" s="318" t="str">
        <f aca="false">IF($A234="N/A"," ",IF(Pricetype2=2,MAX(I234,0),IF(OR(Pricetype2=1,Pricetype2=4),IF(I234=0,0,(EURO(I234,Strikeprice2,0,0,($AK234+IF(Smile=TRUE(),VLOOKUP(MAX(-5,Strikeprice2-I234),Volsmile,2),0)),($A234-DateToday)+15,IF(Pricetype2=1,1,0),0))),I234)))</f>
        <v> </v>
      </c>
      <c r="S234" s="318" t="str">
        <f aca="false">IF($A234="N/A"," ",IF(Pricetype2=2,MAX(J234,0),IF(OR(Pricetype2=1,Pricetype2=4),IF(J234=0,0,(EURO(J234,Strikeprice2,0,0,($AK234+IF(Smile=TRUE(),VLOOKUP(MAX(-5,Strikeprice2-J234),Volsmile,2),0)),($A234-DateToday)+15,IF(Pricetype2=1,1,0),0))),J234)))</f>
        <v> </v>
      </c>
      <c r="T234" s="318" t="str">
        <f aca="false">IF($A234="N/A"," ",IF(Pricetype2=2,MAX(K234,0),IF(OR(Pricetype2=1,Pricetype2=4),IF(K234=0,0,(EURO(K234,Strikeprice2,0,0,($AK234+IF(Smile=TRUE(),VLOOKUP(MAX(-5,Strikeprice2-K234),Volsmile,2),0)),($A234-DateToday)+15,IF(Pricetype2=1,1,0),0))),K234)))</f>
        <v> </v>
      </c>
      <c r="U234" s="319" t="str">
        <f aca="false">IF($A234="N/A"," ",Volume2*$AM234)</f>
        <v> </v>
      </c>
      <c r="V234" s="320" t="str">
        <f aca="false">IF($A234="N/A"," ",$U234*(8*($BQ234))*L234)</f>
        <v> </v>
      </c>
      <c r="W234" s="320" t="str">
        <f aca="false">IF($A234="N/A"," ",$U234*(8*($BQ234))*M234)</f>
        <v> </v>
      </c>
      <c r="X234" s="320" t="str">
        <f aca="false">IF($A234="N/A"," ",$U234*(8*($BQ234))*N234)</f>
        <v> </v>
      </c>
      <c r="Y234" s="320" t="str">
        <f aca="false">IF($A234="N/A"," ",$U234*(8*($BR234))*O234)</f>
        <v> </v>
      </c>
      <c r="Z234" s="320" t="str">
        <f aca="false">IF($A234="N/A"," ",$U234*(8*($BR234))*P234)</f>
        <v> </v>
      </c>
      <c r="AA234" s="320" t="str">
        <f aca="false">IF($A234="N/A"," ",$U234*(8*($BR234))*Q234)</f>
        <v> </v>
      </c>
      <c r="AB234" s="320" t="str">
        <f aca="false">IF($A234="N/A"," ",$U234*(8*($BS234))*R234)</f>
        <v> </v>
      </c>
      <c r="AC234" s="320" t="str">
        <f aca="false">IF($A234="N/A"," ",$U234*(8*($BS234))*S234)</f>
        <v> </v>
      </c>
      <c r="AD234" s="320" t="str">
        <f aca="false">IF($A234="N/A"," ",$U234*(8*($BS234))*T234)</f>
        <v> </v>
      </c>
      <c r="AE234" s="320" t="str">
        <f aca="false">IF($A234="N/A"," ",SUM(V234:AD234))</f>
        <v> </v>
      </c>
      <c r="AF234" s="321" t="str">
        <f aca="false">IF(A234="N/A"," ",(VLOOKUP(A234,PowerVolTable,(IF(VolBMO2=2,7,IF(VolBMO2=1,6,8))),FALSE())))</f>
        <v> </v>
      </c>
      <c r="AG234" s="321" t="str">
        <f aca="false">IF(A234="N/A"," ",(VLOOKUP(A234,IntraPowerVol,(IF(VolBMO2=2,3,IF(VolBMO2=1,2,4))),FALSE())*VLOOKUP(MONTH($A234),Volscale,2)))</f>
        <v> </v>
      </c>
      <c r="AH234" s="321" t="str">
        <f aca="false">IF($A234="N/A"," ",IF(VolType2=1,AG234,AF234))</f>
        <v> </v>
      </c>
      <c r="AI234" s="321" t="str">
        <f aca="false">IF($A234="N/A"," ",(VLOOKUP($A234,OffPwrVolTable,(IF(VolBMO2=2,7,IF(VolBMO2=1,6,8))),FALSE())))</f>
        <v> </v>
      </c>
      <c r="AJ234" s="321" t="str">
        <f aca="false">IF($A234="N/A"," ",(VLOOKUP($A234,OffPwrVolTable,(IF(VolBMO2=2,3,IF(VolBMO2=1,2,4))),FALSE())*VLOOKUP(MONTH($A234),Volscale,2)))</f>
        <v> </v>
      </c>
      <c r="AK234" s="321" t="str">
        <f aca="false">IF($A234="N/A"," ",IF(VolType2=1,AJ234,AI234))</f>
        <v> </v>
      </c>
      <c r="AL234" s="321" t="str">
        <f aca="false">IF($A234="N/A"," ",IF(PV=1,0,'Pricing Inputs2'!R267))</f>
        <v> </v>
      </c>
      <c r="AM234" s="323" t="str">
        <f aca="false">IF($A234="N/A"," ",(1+AL234/2)^(-2*((EOMONTH(A234,0)+20)-DateToday)/365.25))</f>
        <v> </v>
      </c>
      <c r="BQ234" s="0" t="str">
        <f aca="false">IF($A234="N/A"," ",(VLOOKUP($A234,NumberofDaysTable,2)))</f>
        <v> </v>
      </c>
      <c r="BR234" s="0" t="str">
        <f aca="false">IF($A234="N/A"," ",(VLOOKUP($A234,NumberofDaysTable,3)))</f>
        <v> </v>
      </c>
      <c r="BS234" s="0" t="str">
        <f aca="false">IF($A234="N/A"," ",(VLOOKUP($A234,NumberofDaysTable,4)))</f>
        <v> </v>
      </c>
    </row>
    <row r="235" customFormat="false" ht="12.75" hidden="false" customHeight="false" outlineLevel="0" collapsed="false">
      <c r="A235" s="315" t="str">
        <f aca="false">IF(A234="N/A","N/A",IF(EDATE(A234,1)&gt;Inputs!$P$5,"N/A",EDATE(A234,1)))</f>
        <v>N/A</v>
      </c>
      <c r="B235" s="316" t="str">
        <f aca="false">IF(A235="N/A"," ",YEAR(A235))</f>
        <v> </v>
      </c>
      <c r="C235" s="317" t="str">
        <f aca="false">IF($A235="N/A"," ",IF(Dayrun2=10,0,IF(Scaler2=1,(VLOOKUP(A235,ScaledPrice2,4)),(VLOOKUP(A235,ScaledPrice2,2)))))</f>
        <v> </v>
      </c>
      <c r="D235" s="317" t="str">
        <f aca="false">IF(A235="N/A"," ",IF(Dayrun2&gt;=7,0,IF(Scaler2=2,VLOOKUP(A235,ScaledPrice2,2),(VLOOKUP(A235,ScaledPrice2,2))*(2-(VLOOKUP(A235,ScaledPrice2,3))))))</f>
        <v> </v>
      </c>
      <c r="E235" s="317" t="str">
        <f aca="false">IF($A235="N/A"," ",IF(AND(Dayrun2&gt;=4,Dayrun2&lt;=9),0,VLOOKUP($A235,ScaledPrice2,9)))</f>
        <v> </v>
      </c>
      <c r="F235" s="317" t="str">
        <f aca="false">IF(A235="N/A"," ",IF(OR(Dayrun2=2,Dayrun2=3,Dayrun2=5,Dayrun2=6,Dayrun2=8,Dayrun2=9),VLOOKUP(A235,ScaledPrice2,IF(Scaler2=1,6,5)),0))</f>
        <v> </v>
      </c>
      <c r="G235" s="317" t="str">
        <f aca="false">IF(A235="N/A"," ",IF(OR(Dayrun2=2,Dayrun2=3,Dayrun2=5,Dayrun2=6),IF(Scaler2=2,F235,(VLOOKUP(A235,ScaledPrice2,5))*(2-(VLOOKUP(A235,ScaledPrice2,3)))),0))</f>
        <v> </v>
      </c>
      <c r="H235" s="317" t="str">
        <f aca="false">IF($A235="N/A"," ",IF(OR(Dayrun2=2,Dayrun2=3,Dayrun2=10),VLOOKUP($A235,ScaledPrice2,9),0))</f>
        <v> </v>
      </c>
      <c r="I235" s="317" t="str">
        <f aca="false">IF(A235="N/A"," ",IF(OR(Dayrun2=3,Dayrun2=6,Dayrun2=9),(VLOOKUP(A235,ScaledPrice2,IF(Scaler2=2,7,8))),0))</f>
        <v> </v>
      </c>
      <c r="J235" s="317" t="str">
        <f aca="false">IF(A235="N/A"," ",IF(OR(Dayrun2=3,Dayrun2=6),IF(Scaler2=2,I235,(VLOOKUP(A235,ScaledPrice2,7))*(2-(VLOOKUP(A235,ScaledPrice2,3)))),0))</f>
        <v> </v>
      </c>
      <c r="K235" s="317" t="str">
        <f aca="false">IF($A235="N/A"," ",IF(OR(Dayrun2=3,Dayrun2=10),VLOOKUP($A235,ScaledPrice2,9),0))</f>
        <v> </v>
      </c>
      <c r="L235" s="318" t="str">
        <f aca="false">IF($A235="N/A"," ",IF(Pricetype2=2,MAX(C235,0),IF(OR(Pricetype2=1,Pricetype2=4),IF(C235=0,0,(EURO(C235,Strikeprice2,0,0,($AH235+IF(Smile=TRUE(),VLOOKUP(MAX(-5,Strikeprice2-C235),Volsmile,2),0)),($A235-DateToday)+15,IF(Pricetype2=1,1,0),0))),C235)))</f>
        <v> </v>
      </c>
      <c r="M235" s="318" t="str">
        <f aca="false">IF($A235="N/A"," ",IF(Pricetype2=2,MAX(D235,0),IF(OR(Pricetype2=1,Pricetype2=4),IF(D235=0,0,(EURO(D235,Strikeprice2,0,0,($AH235+IF(Smile=TRUE(),VLOOKUP(MAX(-5,Strikeprice2-D235),Volsmile,2),0)),($A235-DateToday)+15,IF(Pricetype2=1,1,0),0))),D235)))</f>
        <v> </v>
      </c>
      <c r="N235" s="318" t="str">
        <f aca="false">IF($A235="N/A"," ",IF(Pricetype2=2,MAX(E235,0),IF(OR(Pricetype2=1,Pricetype2=4),IF(E235=0,0,(EURO(E235,Strikeprice2,0,0,($AK235+IF(Smile=TRUE(),VLOOKUP(MAX(-5,Strikeprice2-E235),Volsmile,2),0)),($A235-DateToday)+15,IF(Pricetype2=1,1,0),0))),E235)))</f>
        <v> </v>
      </c>
      <c r="O235" s="318" t="str">
        <f aca="false">IF($A235="N/A"," ",IF(Pricetype2=2,MAX(F235,0),IF(OR(Pricetype2=1,Pricetype2=4),IF(F235=0,0,(EURO(F235,Strikeprice2,0,0,($AK235+IF(Smile=TRUE(),VLOOKUP(MAX(-5,Strikeprice2-F235),Volsmile,2),0)),($A235-DateToday)+15,IF(Pricetype2=1,1,0),0))),F235)))</f>
        <v> </v>
      </c>
      <c r="P235" s="318" t="str">
        <f aca="false">IF($A235="N/A"," ",IF(Pricetype2=2,MAX(G235,0),IF(OR(Pricetype2=1,Pricetype2=4),IF(G235=0,0,(EURO(G235,Strikeprice2,0,0,($AK235+IF(Smile=TRUE(),VLOOKUP(MAX(-5,Strikeprice2-G235),Volsmile,2),0)),($A235-DateToday)+15,IF(Pricetype2=1,1,0),0))),G235)))</f>
        <v> </v>
      </c>
      <c r="Q235" s="318" t="str">
        <f aca="false">IF($A235="N/A"," ",IF(Pricetype2=2,MAX(H235,0),IF(OR(Pricetype2=1,Pricetype2=4),IF(H235=0,0,(EURO(H235,Strikeprice2,0,0,($AK235+IF(Smile=TRUE(),VLOOKUP(MAX(-5,Strikeprice2-H235),Volsmile,2),0)),($A235-DateToday)+15,IF(Pricetype2=1,1,0),0))),H235)))</f>
        <v> </v>
      </c>
      <c r="R235" s="318" t="str">
        <f aca="false">IF($A235="N/A"," ",IF(Pricetype2=2,MAX(I235,0),IF(OR(Pricetype2=1,Pricetype2=4),IF(I235=0,0,(EURO(I235,Strikeprice2,0,0,($AK235+IF(Smile=TRUE(),VLOOKUP(MAX(-5,Strikeprice2-I235),Volsmile,2),0)),($A235-DateToday)+15,IF(Pricetype2=1,1,0),0))),I235)))</f>
        <v> </v>
      </c>
      <c r="S235" s="318" t="str">
        <f aca="false">IF($A235="N/A"," ",IF(Pricetype2=2,MAX(J235,0),IF(OR(Pricetype2=1,Pricetype2=4),IF(J235=0,0,(EURO(J235,Strikeprice2,0,0,($AK235+IF(Smile=TRUE(),VLOOKUP(MAX(-5,Strikeprice2-J235),Volsmile,2),0)),($A235-DateToday)+15,IF(Pricetype2=1,1,0),0))),J235)))</f>
        <v> </v>
      </c>
      <c r="T235" s="318" t="str">
        <f aca="false">IF($A235="N/A"," ",IF(Pricetype2=2,MAX(K235,0),IF(OR(Pricetype2=1,Pricetype2=4),IF(K235=0,0,(EURO(K235,Strikeprice2,0,0,($AK235+IF(Smile=TRUE(),VLOOKUP(MAX(-5,Strikeprice2-K235),Volsmile,2),0)),($A235-DateToday)+15,IF(Pricetype2=1,1,0),0))),K235)))</f>
        <v> </v>
      </c>
      <c r="U235" s="319" t="str">
        <f aca="false">IF($A235="N/A"," ",Volume2*$AM235)</f>
        <v> </v>
      </c>
      <c r="V235" s="320" t="str">
        <f aca="false">IF($A235="N/A"," ",$U235*(8*($BQ235))*L235)</f>
        <v> </v>
      </c>
      <c r="W235" s="320" t="str">
        <f aca="false">IF($A235="N/A"," ",$U235*(8*($BQ235))*M235)</f>
        <v> </v>
      </c>
      <c r="X235" s="320" t="str">
        <f aca="false">IF($A235="N/A"," ",$U235*(8*($BQ235))*N235)</f>
        <v> </v>
      </c>
      <c r="Y235" s="320" t="str">
        <f aca="false">IF($A235="N/A"," ",$U235*(8*($BR235))*O235)</f>
        <v> </v>
      </c>
      <c r="Z235" s="320" t="str">
        <f aca="false">IF($A235="N/A"," ",$U235*(8*($BR235))*P235)</f>
        <v> </v>
      </c>
      <c r="AA235" s="320" t="str">
        <f aca="false">IF($A235="N/A"," ",$U235*(8*($BR235))*Q235)</f>
        <v> </v>
      </c>
      <c r="AB235" s="320" t="str">
        <f aca="false">IF($A235="N/A"," ",$U235*(8*($BS235))*R235)</f>
        <v> </v>
      </c>
      <c r="AC235" s="320" t="str">
        <f aca="false">IF($A235="N/A"," ",$U235*(8*($BS235))*S235)</f>
        <v> </v>
      </c>
      <c r="AD235" s="320" t="str">
        <f aca="false">IF($A235="N/A"," ",$U235*(8*($BS235))*T235)</f>
        <v> </v>
      </c>
      <c r="AE235" s="320" t="str">
        <f aca="false">IF($A235="N/A"," ",SUM(V235:AD235))</f>
        <v> </v>
      </c>
      <c r="AF235" s="321" t="str">
        <f aca="false">IF(A235="N/A"," ",(VLOOKUP(A235,PowerVolTable,(IF(VolBMO2=2,7,IF(VolBMO2=1,6,8))),FALSE())))</f>
        <v> </v>
      </c>
      <c r="AG235" s="321" t="str">
        <f aca="false">IF(A235="N/A"," ",(VLOOKUP(A235,IntraPowerVol,(IF(VolBMO2=2,3,IF(VolBMO2=1,2,4))),FALSE())*VLOOKUP(MONTH($A235),Volscale,2)))</f>
        <v> </v>
      </c>
      <c r="AH235" s="321" t="str">
        <f aca="false">IF($A235="N/A"," ",IF(VolType2=1,AG235,AF235))</f>
        <v> </v>
      </c>
      <c r="AI235" s="321" t="str">
        <f aca="false">IF($A235="N/A"," ",(VLOOKUP($A235,OffPwrVolTable,(IF(VolBMO2=2,7,IF(VolBMO2=1,6,8))),FALSE())))</f>
        <v> </v>
      </c>
      <c r="AJ235" s="321" t="str">
        <f aca="false">IF($A235="N/A"," ",(VLOOKUP($A235,OffPwrVolTable,(IF(VolBMO2=2,3,IF(VolBMO2=1,2,4))),FALSE())*VLOOKUP(MONTH($A235),Volscale,2)))</f>
        <v> </v>
      </c>
      <c r="AK235" s="321" t="str">
        <f aca="false">IF($A235="N/A"," ",IF(VolType2=1,AJ235,AI235))</f>
        <v> </v>
      </c>
      <c r="AL235" s="321" t="str">
        <f aca="false">IF($A235="N/A"," ",IF(PV=1,0,'Pricing Inputs2'!R268))</f>
        <v> </v>
      </c>
      <c r="AM235" s="323" t="str">
        <f aca="false">IF($A235="N/A"," ",(1+AL235/2)^(-2*((EOMONTH(A235,0)+20)-DateToday)/365.25))</f>
        <v> </v>
      </c>
      <c r="BQ235" s="0" t="str">
        <f aca="false">IF($A235="N/A"," ",(VLOOKUP($A235,NumberofDaysTable,2)))</f>
        <v> </v>
      </c>
      <c r="BR235" s="0" t="str">
        <f aca="false">IF($A235="N/A"," ",(VLOOKUP($A235,NumberofDaysTable,3)))</f>
        <v> </v>
      </c>
      <c r="BS235" s="0" t="str">
        <f aca="false">IF($A235="N/A"," ",(VLOOKUP($A235,NumberofDaysTable,4)))</f>
        <v> </v>
      </c>
    </row>
    <row r="236" customFormat="false" ht="12.75" hidden="false" customHeight="false" outlineLevel="0" collapsed="false">
      <c r="A236" s="315" t="str">
        <f aca="false">IF(A235="N/A","N/A",IF(EDATE(A235,1)&gt;Inputs!$P$5,"N/A",EDATE(A235,1)))</f>
        <v>N/A</v>
      </c>
      <c r="B236" s="316" t="str">
        <f aca="false">IF(A236="N/A"," ",YEAR(A236))</f>
        <v> </v>
      </c>
      <c r="C236" s="317" t="str">
        <f aca="false">IF($A236="N/A"," ",IF(Dayrun2=10,0,IF(Scaler2=1,(VLOOKUP(A236,ScaledPrice2,4)),(VLOOKUP(A236,ScaledPrice2,2)))))</f>
        <v> </v>
      </c>
      <c r="D236" s="317" t="str">
        <f aca="false">IF(A236="N/A"," ",IF(Dayrun2&gt;=7,0,IF(Scaler2=2,VLOOKUP(A236,ScaledPrice2,2),(VLOOKUP(A236,ScaledPrice2,2))*(2-(VLOOKUP(A236,ScaledPrice2,3))))))</f>
        <v> </v>
      </c>
      <c r="E236" s="317" t="str">
        <f aca="false">IF($A236="N/A"," ",IF(AND(Dayrun2&gt;=4,Dayrun2&lt;=9),0,VLOOKUP($A236,ScaledPrice2,9)))</f>
        <v> </v>
      </c>
      <c r="F236" s="317" t="str">
        <f aca="false">IF(A236="N/A"," ",IF(OR(Dayrun2=2,Dayrun2=3,Dayrun2=5,Dayrun2=6,Dayrun2=8,Dayrun2=9),VLOOKUP(A236,ScaledPrice2,IF(Scaler2=1,6,5)),0))</f>
        <v> </v>
      </c>
      <c r="G236" s="317" t="str">
        <f aca="false">IF(A236="N/A"," ",IF(OR(Dayrun2=2,Dayrun2=3,Dayrun2=5,Dayrun2=6),IF(Scaler2=2,F236,(VLOOKUP(A236,ScaledPrice2,5))*(2-(VLOOKUP(A236,ScaledPrice2,3)))),0))</f>
        <v> </v>
      </c>
      <c r="H236" s="317" t="str">
        <f aca="false">IF($A236="N/A"," ",IF(OR(Dayrun2=2,Dayrun2=3,Dayrun2=10),VLOOKUP($A236,ScaledPrice2,9),0))</f>
        <v> </v>
      </c>
      <c r="I236" s="317" t="str">
        <f aca="false">IF(A236="N/A"," ",IF(OR(Dayrun2=3,Dayrun2=6,Dayrun2=9),(VLOOKUP(A236,ScaledPrice2,IF(Scaler2=2,7,8))),0))</f>
        <v> </v>
      </c>
      <c r="J236" s="317" t="str">
        <f aca="false">IF(A236="N/A"," ",IF(OR(Dayrun2=3,Dayrun2=6),IF(Scaler2=2,I236,(VLOOKUP(A236,ScaledPrice2,7))*(2-(VLOOKUP(A236,ScaledPrice2,3)))),0))</f>
        <v> </v>
      </c>
      <c r="K236" s="317" t="str">
        <f aca="false">IF($A236="N/A"," ",IF(OR(Dayrun2=3,Dayrun2=10),VLOOKUP($A236,ScaledPrice2,9),0))</f>
        <v> </v>
      </c>
      <c r="L236" s="318" t="str">
        <f aca="false">IF($A236="N/A"," ",IF(Pricetype2=2,MAX(C236,0),IF(OR(Pricetype2=1,Pricetype2=4),IF(C236=0,0,(EURO(C236,Strikeprice2,0,0,($AH236+IF(Smile=TRUE(),VLOOKUP(MAX(-5,Strikeprice2-C236),Volsmile,2),0)),($A236-DateToday)+15,IF(Pricetype2=1,1,0),0))),C236)))</f>
        <v> </v>
      </c>
      <c r="M236" s="318" t="str">
        <f aca="false">IF($A236="N/A"," ",IF(Pricetype2=2,MAX(D236,0),IF(OR(Pricetype2=1,Pricetype2=4),IF(D236=0,0,(EURO(D236,Strikeprice2,0,0,($AH236+IF(Smile=TRUE(),VLOOKUP(MAX(-5,Strikeprice2-D236),Volsmile,2),0)),($A236-DateToday)+15,IF(Pricetype2=1,1,0),0))),D236)))</f>
        <v> </v>
      </c>
      <c r="N236" s="318" t="str">
        <f aca="false">IF($A236="N/A"," ",IF(Pricetype2=2,MAX(E236,0),IF(OR(Pricetype2=1,Pricetype2=4),IF(E236=0,0,(EURO(E236,Strikeprice2,0,0,($AK236+IF(Smile=TRUE(),VLOOKUP(MAX(-5,Strikeprice2-E236),Volsmile,2),0)),($A236-DateToday)+15,IF(Pricetype2=1,1,0),0))),E236)))</f>
        <v> </v>
      </c>
      <c r="O236" s="318" t="str">
        <f aca="false">IF($A236="N/A"," ",IF(Pricetype2=2,MAX(F236,0),IF(OR(Pricetype2=1,Pricetype2=4),IF(F236=0,0,(EURO(F236,Strikeprice2,0,0,($AK236+IF(Smile=TRUE(),VLOOKUP(MAX(-5,Strikeprice2-F236),Volsmile,2),0)),($A236-DateToday)+15,IF(Pricetype2=1,1,0),0))),F236)))</f>
        <v> </v>
      </c>
      <c r="P236" s="318" t="str">
        <f aca="false">IF($A236="N/A"," ",IF(Pricetype2=2,MAX(G236,0),IF(OR(Pricetype2=1,Pricetype2=4),IF(G236=0,0,(EURO(G236,Strikeprice2,0,0,($AK236+IF(Smile=TRUE(),VLOOKUP(MAX(-5,Strikeprice2-G236),Volsmile,2),0)),($A236-DateToday)+15,IF(Pricetype2=1,1,0),0))),G236)))</f>
        <v> </v>
      </c>
      <c r="Q236" s="318" t="str">
        <f aca="false">IF($A236="N/A"," ",IF(Pricetype2=2,MAX(H236,0),IF(OR(Pricetype2=1,Pricetype2=4),IF(H236=0,0,(EURO(H236,Strikeprice2,0,0,($AK236+IF(Smile=TRUE(),VLOOKUP(MAX(-5,Strikeprice2-H236),Volsmile,2),0)),($A236-DateToday)+15,IF(Pricetype2=1,1,0),0))),H236)))</f>
        <v> </v>
      </c>
      <c r="R236" s="318" t="str">
        <f aca="false">IF($A236="N/A"," ",IF(Pricetype2=2,MAX(I236,0),IF(OR(Pricetype2=1,Pricetype2=4),IF(I236=0,0,(EURO(I236,Strikeprice2,0,0,($AK236+IF(Smile=TRUE(),VLOOKUP(MAX(-5,Strikeprice2-I236),Volsmile,2),0)),($A236-DateToday)+15,IF(Pricetype2=1,1,0),0))),I236)))</f>
        <v> </v>
      </c>
      <c r="S236" s="318" t="str">
        <f aca="false">IF($A236="N/A"," ",IF(Pricetype2=2,MAX(J236,0),IF(OR(Pricetype2=1,Pricetype2=4),IF(J236=0,0,(EURO(J236,Strikeprice2,0,0,($AK236+IF(Smile=TRUE(),VLOOKUP(MAX(-5,Strikeprice2-J236),Volsmile,2),0)),($A236-DateToday)+15,IF(Pricetype2=1,1,0),0))),J236)))</f>
        <v> </v>
      </c>
      <c r="T236" s="318" t="str">
        <f aca="false">IF($A236="N/A"," ",IF(Pricetype2=2,MAX(K236,0),IF(OR(Pricetype2=1,Pricetype2=4),IF(K236=0,0,(EURO(K236,Strikeprice2,0,0,($AK236+IF(Smile=TRUE(),VLOOKUP(MAX(-5,Strikeprice2-K236),Volsmile,2),0)),($A236-DateToday)+15,IF(Pricetype2=1,1,0),0))),K236)))</f>
        <v> </v>
      </c>
      <c r="U236" s="319" t="str">
        <f aca="false">IF($A236="N/A"," ",Volume2*$AM236)</f>
        <v> </v>
      </c>
      <c r="V236" s="320" t="str">
        <f aca="false">IF($A236="N/A"," ",$U236*(8*($BQ236))*L236)</f>
        <v> </v>
      </c>
      <c r="W236" s="320" t="str">
        <f aca="false">IF($A236="N/A"," ",$U236*(8*($BQ236))*M236)</f>
        <v> </v>
      </c>
      <c r="X236" s="320" t="str">
        <f aca="false">IF($A236="N/A"," ",$U236*(8*($BQ236))*N236)</f>
        <v> </v>
      </c>
      <c r="Y236" s="320" t="str">
        <f aca="false">IF($A236="N/A"," ",$U236*(8*($BR236))*O236)</f>
        <v> </v>
      </c>
      <c r="Z236" s="320" t="str">
        <f aca="false">IF($A236="N/A"," ",$U236*(8*($BR236))*P236)</f>
        <v> </v>
      </c>
      <c r="AA236" s="320" t="str">
        <f aca="false">IF($A236="N/A"," ",$U236*(8*($BR236))*Q236)</f>
        <v> </v>
      </c>
      <c r="AB236" s="320" t="str">
        <f aca="false">IF($A236="N/A"," ",$U236*(8*($BS236))*R236)</f>
        <v> </v>
      </c>
      <c r="AC236" s="320" t="str">
        <f aca="false">IF($A236="N/A"," ",$U236*(8*($BS236))*S236)</f>
        <v> </v>
      </c>
      <c r="AD236" s="320" t="str">
        <f aca="false">IF($A236="N/A"," ",$U236*(8*($BS236))*T236)</f>
        <v> </v>
      </c>
      <c r="AE236" s="320" t="str">
        <f aca="false">IF($A236="N/A"," ",SUM(V236:AD236))</f>
        <v> </v>
      </c>
      <c r="AF236" s="321" t="str">
        <f aca="false">IF(A236="N/A"," ",(VLOOKUP(A236,PowerVolTable,(IF(VolBMO2=2,7,IF(VolBMO2=1,6,8))),FALSE())))</f>
        <v> </v>
      </c>
      <c r="AG236" s="321" t="str">
        <f aca="false">IF(A236="N/A"," ",(VLOOKUP(A236,IntraPowerVol,(IF(VolBMO2=2,3,IF(VolBMO2=1,2,4))),FALSE())*VLOOKUP(MONTH($A236),Volscale,2)))</f>
        <v> </v>
      </c>
      <c r="AH236" s="321" t="str">
        <f aca="false">IF($A236="N/A"," ",IF(VolType2=1,AG236,AF236))</f>
        <v> </v>
      </c>
      <c r="AI236" s="321" t="str">
        <f aca="false">IF($A236="N/A"," ",(VLOOKUP($A236,OffPwrVolTable,(IF(VolBMO2=2,7,IF(VolBMO2=1,6,8))),FALSE())))</f>
        <v> </v>
      </c>
      <c r="AJ236" s="321" t="str">
        <f aca="false">IF($A236="N/A"," ",(VLOOKUP($A236,OffPwrVolTable,(IF(VolBMO2=2,3,IF(VolBMO2=1,2,4))),FALSE())*VLOOKUP(MONTH($A236),Volscale,2)))</f>
        <v> </v>
      </c>
      <c r="AK236" s="321" t="str">
        <f aca="false">IF($A236="N/A"," ",IF(VolType2=1,AJ236,AI236))</f>
        <v> </v>
      </c>
      <c r="AL236" s="321" t="str">
        <f aca="false">IF($A236="N/A"," ",IF(PV=1,0,'Pricing Inputs2'!R269))</f>
        <v> </v>
      </c>
      <c r="AM236" s="323" t="str">
        <f aca="false">IF($A236="N/A"," ",(1+AL236/2)^(-2*((EOMONTH(A236,0)+20)-DateToday)/365.25))</f>
        <v> </v>
      </c>
      <c r="BQ236" s="0" t="str">
        <f aca="false">IF($A236="N/A"," ",(VLOOKUP($A236,NumberofDaysTable,2)))</f>
        <v> </v>
      </c>
      <c r="BR236" s="0" t="str">
        <f aca="false">IF($A236="N/A"," ",(VLOOKUP($A236,NumberofDaysTable,3)))</f>
        <v> </v>
      </c>
      <c r="BS236" s="0" t="str">
        <f aca="false">IF($A236="N/A"," ",(VLOOKUP($A236,NumberofDaysTable,4)))</f>
        <v> </v>
      </c>
    </row>
    <row r="237" customFormat="false" ht="12.75" hidden="false" customHeight="false" outlineLevel="0" collapsed="false">
      <c r="A237" s="315" t="str">
        <f aca="false">IF(A236="N/A","N/A",IF(EDATE(A236,1)&gt;Inputs!$P$5,"N/A",EDATE(A236,1)))</f>
        <v>N/A</v>
      </c>
      <c r="B237" s="316" t="str">
        <f aca="false">IF(A237="N/A"," ",YEAR(A237))</f>
        <v> </v>
      </c>
      <c r="C237" s="317" t="str">
        <f aca="false">IF($A237="N/A"," ",IF(Dayrun2=10,0,IF(Scaler2=1,(VLOOKUP(A237,ScaledPrice2,4)),(VLOOKUP(A237,ScaledPrice2,2)))))</f>
        <v> </v>
      </c>
      <c r="D237" s="317" t="str">
        <f aca="false">IF(A237="N/A"," ",IF(Dayrun2&gt;=7,0,IF(Scaler2=2,VLOOKUP(A237,ScaledPrice2,2),(VLOOKUP(A237,ScaledPrice2,2))*(2-(VLOOKUP(A237,ScaledPrice2,3))))))</f>
        <v> </v>
      </c>
      <c r="E237" s="317" t="str">
        <f aca="false">IF($A237="N/A"," ",IF(AND(Dayrun2&gt;=4,Dayrun2&lt;=9),0,VLOOKUP($A237,ScaledPrice2,9)))</f>
        <v> </v>
      </c>
      <c r="F237" s="317" t="str">
        <f aca="false">IF(A237="N/A"," ",IF(OR(Dayrun2=2,Dayrun2=3,Dayrun2=5,Dayrun2=6,Dayrun2=8,Dayrun2=9),VLOOKUP(A237,ScaledPrice2,IF(Scaler2=1,6,5)),0))</f>
        <v> </v>
      </c>
      <c r="G237" s="317" t="str">
        <f aca="false">IF(A237="N/A"," ",IF(OR(Dayrun2=2,Dayrun2=3,Dayrun2=5,Dayrun2=6),IF(Scaler2=2,F237,(VLOOKUP(A237,ScaledPrice2,5))*(2-(VLOOKUP(A237,ScaledPrice2,3)))),0))</f>
        <v> </v>
      </c>
      <c r="H237" s="317" t="str">
        <f aca="false">IF($A237="N/A"," ",IF(OR(Dayrun2=2,Dayrun2=3,Dayrun2=10),VLOOKUP($A237,ScaledPrice2,9),0))</f>
        <v> </v>
      </c>
      <c r="I237" s="317" t="str">
        <f aca="false">IF(A237="N/A"," ",IF(OR(Dayrun2=3,Dayrun2=6,Dayrun2=9),(VLOOKUP(A237,ScaledPrice2,IF(Scaler2=2,7,8))),0))</f>
        <v> </v>
      </c>
      <c r="J237" s="317" t="str">
        <f aca="false">IF(A237="N/A"," ",IF(OR(Dayrun2=3,Dayrun2=6),IF(Scaler2=2,I237,(VLOOKUP(A237,ScaledPrice2,7))*(2-(VLOOKUP(A237,ScaledPrice2,3)))),0))</f>
        <v> </v>
      </c>
      <c r="K237" s="317" t="str">
        <f aca="false">IF($A237="N/A"," ",IF(OR(Dayrun2=3,Dayrun2=10),VLOOKUP($A237,ScaledPrice2,9),0))</f>
        <v> </v>
      </c>
      <c r="L237" s="318" t="str">
        <f aca="false">IF($A237="N/A"," ",IF(Pricetype2=2,MAX(C237,0),IF(OR(Pricetype2=1,Pricetype2=4),IF(C237=0,0,(EURO(C237,Strikeprice2,0,0,($AH237+IF(Smile=TRUE(),VLOOKUP(MAX(-5,Strikeprice2-C237),Volsmile,2),0)),($A237-DateToday)+15,IF(Pricetype2=1,1,0),0))),C237)))</f>
        <v> </v>
      </c>
      <c r="M237" s="318" t="str">
        <f aca="false">IF($A237="N/A"," ",IF(Pricetype2=2,MAX(D237,0),IF(OR(Pricetype2=1,Pricetype2=4),IF(D237=0,0,(EURO(D237,Strikeprice2,0,0,($AH237+IF(Smile=TRUE(),VLOOKUP(MAX(-5,Strikeprice2-D237),Volsmile,2),0)),($A237-DateToday)+15,IF(Pricetype2=1,1,0),0))),D237)))</f>
        <v> </v>
      </c>
      <c r="N237" s="318" t="str">
        <f aca="false">IF($A237="N/A"," ",IF(Pricetype2=2,MAX(E237,0),IF(OR(Pricetype2=1,Pricetype2=4),IF(E237=0,0,(EURO(E237,Strikeprice2,0,0,($AK237+IF(Smile=TRUE(),VLOOKUP(MAX(-5,Strikeprice2-E237),Volsmile,2),0)),($A237-DateToday)+15,IF(Pricetype2=1,1,0),0))),E237)))</f>
        <v> </v>
      </c>
      <c r="O237" s="318" t="str">
        <f aca="false">IF($A237="N/A"," ",IF(Pricetype2=2,MAX(F237,0),IF(OR(Pricetype2=1,Pricetype2=4),IF(F237=0,0,(EURO(F237,Strikeprice2,0,0,($AK237+IF(Smile=TRUE(),VLOOKUP(MAX(-5,Strikeprice2-F237),Volsmile,2),0)),($A237-DateToday)+15,IF(Pricetype2=1,1,0),0))),F237)))</f>
        <v> </v>
      </c>
      <c r="P237" s="318" t="str">
        <f aca="false">IF($A237="N/A"," ",IF(Pricetype2=2,MAX(G237,0),IF(OR(Pricetype2=1,Pricetype2=4),IF(G237=0,0,(EURO(G237,Strikeprice2,0,0,($AK237+IF(Smile=TRUE(),VLOOKUP(MAX(-5,Strikeprice2-G237),Volsmile,2),0)),($A237-DateToday)+15,IF(Pricetype2=1,1,0),0))),G237)))</f>
        <v> </v>
      </c>
      <c r="Q237" s="318" t="str">
        <f aca="false">IF($A237="N/A"," ",IF(Pricetype2=2,MAX(H237,0),IF(OR(Pricetype2=1,Pricetype2=4),IF(H237=0,0,(EURO(H237,Strikeprice2,0,0,($AK237+IF(Smile=TRUE(),VLOOKUP(MAX(-5,Strikeprice2-H237),Volsmile,2),0)),($A237-DateToday)+15,IF(Pricetype2=1,1,0),0))),H237)))</f>
        <v> </v>
      </c>
      <c r="R237" s="318" t="str">
        <f aca="false">IF($A237="N/A"," ",IF(Pricetype2=2,MAX(I237,0),IF(OR(Pricetype2=1,Pricetype2=4),IF(I237=0,0,(EURO(I237,Strikeprice2,0,0,($AK237+IF(Smile=TRUE(),VLOOKUP(MAX(-5,Strikeprice2-I237),Volsmile,2),0)),($A237-DateToday)+15,IF(Pricetype2=1,1,0),0))),I237)))</f>
        <v> </v>
      </c>
      <c r="S237" s="318" t="str">
        <f aca="false">IF($A237="N/A"," ",IF(Pricetype2=2,MAX(J237,0),IF(OR(Pricetype2=1,Pricetype2=4),IF(J237=0,0,(EURO(J237,Strikeprice2,0,0,($AK237+IF(Smile=TRUE(),VLOOKUP(MAX(-5,Strikeprice2-J237),Volsmile,2),0)),($A237-DateToday)+15,IF(Pricetype2=1,1,0),0))),J237)))</f>
        <v> </v>
      </c>
      <c r="T237" s="318" t="str">
        <f aca="false">IF($A237="N/A"," ",IF(Pricetype2=2,MAX(K237,0),IF(OR(Pricetype2=1,Pricetype2=4),IF(K237=0,0,(EURO(K237,Strikeprice2,0,0,($AK237+IF(Smile=TRUE(),VLOOKUP(MAX(-5,Strikeprice2-K237),Volsmile,2),0)),($A237-DateToday)+15,IF(Pricetype2=1,1,0),0))),K237)))</f>
        <v> </v>
      </c>
      <c r="U237" s="319" t="str">
        <f aca="false">IF($A237="N/A"," ",Volume2*$AM237)</f>
        <v> </v>
      </c>
      <c r="V237" s="320" t="str">
        <f aca="false">IF($A237="N/A"," ",$U237*(8*($BQ237))*L237)</f>
        <v> </v>
      </c>
      <c r="W237" s="320" t="str">
        <f aca="false">IF($A237="N/A"," ",$U237*(8*($BQ237))*M237)</f>
        <v> </v>
      </c>
      <c r="X237" s="320" t="str">
        <f aca="false">IF($A237="N/A"," ",$U237*(8*($BQ237))*N237)</f>
        <v> </v>
      </c>
      <c r="Y237" s="320" t="str">
        <f aca="false">IF($A237="N/A"," ",$U237*(8*($BR237))*O237)</f>
        <v> </v>
      </c>
      <c r="Z237" s="320" t="str">
        <f aca="false">IF($A237="N/A"," ",$U237*(8*($BR237))*P237)</f>
        <v> </v>
      </c>
      <c r="AA237" s="320" t="str">
        <f aca="false">IF($A237="N/A"," ",$U237*(8*($BR237))*Q237)</f>
        <v> </v>
      </c>
      <c r="AB237" s="320" t="str">
        <f aca="false">IF($A237="N/A"," ",$U237*(8*($BS237))*R237)</f>
        <v> </v>
      </c>
      <c r="AC237" s="320" t="str">
        <f aca="false">IF($A237="N/A"," ",$U237*(8*($BS237))*S237)</f>
        <v> </v>
      </c>
      <c r="AD237" s="320" t="str">
        <f aca="false">IF($A237="N/A"," ",$U237*(8*($BS237))*T237)</f>
        <v> </v>
      </c>
      <c r="AE237" s="320" t="str">
        <f aca="false">IF($A237="N/A"," ",SUM(V237:AD237))</f>
        <v> </v>
      </c>
      <c r="AF237" s="321" t="str">
        <f aca="false">IF(A237="N/A"," ",(VLOOKUP(A237,PowerVolTable,(IF(VolBMO2=2,7,IF(VolBMO2=1,6,8))),FALSE())))</f>
        <v> </v>
      </c>
      <c r="AG237" s="321" t="str">
        <f aca="false">IF(A237="N/A"," ",(VLOOKUP(A237,IntraPowerVol,(IF(VolBMO2=2,3,IF(VolBMO2=1,2,4))),FALSE())*VLOOKUP(MONTH($A237),Volscale,2)))</f>
        <v> </v>
      </c>
      <c r="AH237" s="321" t="str">
        <f aca="false">IF($A237="N/A"," ",IF(VolType2=1,AG237,AF237))</f>
        <v> </v>
      </c>
      <c r="AI237" s="321" t="str">
        <f aca="false">IF($A237="N/A"," ",(VLOOKUP($A237,OffPwrVolTable,(IF(VolBMO2=2,7,IF(VolBMO2=1,6,8))),FALSE())))</f>
        <v> </v>
      </c>
      <c r="AJ237" s="321" t="str">
        <f aca="false">IF($A237="N/A"," ",(VLOOKUP($A237,OffPwrVolTable,(IF(VolBMO2=2,3,IF(VolBMO2=1,2,4))),FALSE())*VLOOKUP(MONTH($A237),Volscale,2)))</f>
        <v> </v>
      </c>
      <c r="AK237" s="321" t="str">
        <f aca="false">IF($A237="N/A"," ",IF(VolType2=1,AJ237,AI237))</f>
        <v> </v>
      </c>
      <c r="AL237" s="321" t="str">
        <f aca="false">IF($A237="N/A"," ",IF(PV=1,0,'Pricing Inputs2'!R270))</f>
        <v> </v>
      </c>
      <c r="AM237" s="323" t="str">
        <f aca="false">IF($A237="N/A"," ",(1+AL237/2)^(-2*((EOMONTH(A237,0)+20)-DateToday)/365.25))</f>
        <v> </v>
      </c>
      <c r="BQ237" s="0" t="str">
        <f aca="false">IF($A237="N/A"," ",(VLOOKUP($A237,NumberofDaysTable,2)))</f>
        <v> </v>
      </c>
      <c r="BR237" s="0" t="str">
        <f aca="false">IF($A237="N/A"," ",(VLOOKUP($A237,NumberofDaysTable,3)))</f>
        <v> </v>
      </c>
      <c r="BS237" s="0" t="str">
        <f aca="false">IF($A237="N/A"," ",(VLOOKUP($A237,NumberofDaysTable,4)))</f>
        <v> </v>
      </c>
    </row>
    <row r="238" customFormat="false" ht="12.75" hidden="false" customHeight="false" outlineLevel="0" collapsed="false">
      <c r="A238" s="315" t="str">
        <f aca="false">IF(A237="N/A","N/A",IF(EDATE(A237,1)&gt;Inputs!$P$5,"N/A",EDATE(A237,1)))</f>
        <v>N/A</v>
      </c>
      <c r="B238" s="316" t="str">
        <f aca="false">IF(A238="N/A"," ",YEAR(A238))</f>
        <v> </v>
      </c>
      <c r="C238" s="317" t="str">
        <f aca="false">IF($A238="N/A"," ",IF(Dayrun2=10,0,IF(Scaler2=1,(VLOOKUP(A238,ScaledPrice2,4)),(VLOOKUP(A238,ScaledPrice2,2)))))</f>
        <v> </v>
      </c>
      <c r="D238" s="317" t="str">
        <f aca="false">IF(A238="N/A"," ",IF(Dayrun2&gt;=7,0,IF(Scaler2=2,VLOOKUP(A238,ScaledPrice2,2),(VLOOKUP(A238,ScaledPrice2,2))*(2-(VLOOKUP(A238,ScaledPrice2,3))))))</f>
        <v> </v>
      </c>
      <c r="E238" s="317" t="str">
        <f aca="false">IF($A238="N/A"," ",IF(AND(Dayrun2&gt;=4,Dayrun2&lt;=9),0,VLOOKUP($A238,ScaledPrice2,9)))</f>
        <v> </v>
      </c>
      <c r="F238" s="317" t="str">
        <f aca="false">IF(A238="N/A"," ",IF(OR(Dayrun2=2,Dayrun2=3,Dayrun2=5,Dayrun2=6,Dayrun2=8,Dayrun2=9),VLOOKUP(A238,ScaledPrice2,IF(Scaler2=1,6,5)),0))</f>
        <v> </v>
      </c>
      <c r="G238" s="317" t="str">
        <f aca="false">IF(A238="N/A"," ",IF(OR(Dayrun2=2,Dayrun2=3,Dayrun2=5,Dayrun2=6),IF(Scaler2=2,F238,(VLOOKUP(A238,ScaledPrice2,5))*(2-(VLOOKUP(A238,ScaledPrice2,3)))),0))</f>
        <v> </v>
      </c>
      <c r="H238" s="317" t="str">
        <f aca="false">IF($A238="N/A"," ",IF(OR(Dayrun2=2,Dayrun2=3,Dayrun2=10),VLOOKUP($A238,ScaledPrice2,9),0))</f>
        <v> </v>
      </c>
      <c r="I238" s="317" t="str">
        <f aca="false">IF(A238="N/A"," ",IF(OR(Dayrun2=3,Dayrun2=6,Dayrun2=9),(VLOOKUP(A238,ScaledPrice2,IF(Scaler2=2,7,8))),0))</f>
        <v> </v>
      </c>
      <c r="J238" s="317" t="str">
        <f aca="false">IF(A238="N/A"," ",IF(OR(Dayrun2=3,Dayrun2=6),IF(Scaler2=2,I238,(VLOOKUP(A238,ScaledPrice2,7))*(2-(VLOOKUP(A238,ScaledPrice2,3)))),0))</f>
        <v> </v>
      </c>
      <c r="K238" s="317" t="str">
        <f aca="false">IF($A238="N/A"," ",IF(OR(Dayrun2=3,Dayrun2=10),VLOOKUP($A238,ScaledPrice2,9),0))</f>
        <v> </v>
      </c>
      <c r="L238" s="318" t="str">
        <f aca="false">IF($A238="N/A"," ",IF(Pricetype2=2,MAX(C238,0),IF(OR(Pricetype2=1,Pricetype2=4),IF(C238=0,0,(EURO(C238,Strikeprice2,0,0,($AH238+IF(Smile=TRUE(),VLOOKUP(MAX(-5,Strikeprice2-C238),Volsmile,2),0)),($A238-DateToday)+15,IF(Pricetype2=1,1,0),0))),C238)))</f>
        <v> </v>
      </c>
      <c r="M238" s="318" t="str">
        <f aca="false">IF($A238="N/A"," ",IF(Pricetype2=2,MAX(D238,0),IF(OR(Pricetype2=1,Pricetype2=4),IF(D238=0,0,(EURO(D238,Strikeprice2,0,0,($AH238+IF(Smile=TRUE(),VLOOKUP(MAX(-5,Strikeprice2-D238),Volsmile,2),0)),($A238-DateToday)+15,IF(Pricetype2=1,1,0),0))),D238)))</f>
        <v> </v>
      </c>
      <c r="N238" s="318" t="str">
        <f aca="false">IF($A238="N/A"," ",IF(Pricetype2=2,MAX(E238,0),IF(OR(Pricetype2=1,Pricetype2=4),IF(E238=0,0,(EURO(E238,Strikeprice2,0,0,($AK238+IF(Smile=TRUE(),VLOOKUP(MAX(-5,Strikeprice2-E238),Volsmile,2),0)),($A238-DateToday)+15,IF(Pricetype2=1,1,0),0))),E238)))</f>
        <v> </v>
      </c>
      <c r="O238" s="318" t="str">
        <f aca="false">IF($A238="N/A"," ",IF(Pricetype2=2,MAX(F238,0),IF(OR(Pricetype2=1,Pricetype2=4),IF(F238=0,0,(EURO(F238,Strikeprice2,0,0,($AK238+IF(Smile=TRUE(),VLOOKUP(MAX(-5,Strikeprice2-F238),Volsmile,2),0)),($A238-DateToday)+15,IF(Pricetype2=1,1,0),0))),F238)))</f>
        <v> </v>
      </c>
      <c r="P238" s="318" t="str">
        <f aca="false">IF($A238="N/A"," ",IF(Pricetype2=2,MAX(G238,0),IF(OR(Pricetype2=1,Pricetype2=4),IF(G238=0,0,(EURO(G238,Strikeprice2,0,0,($AK238+IF(Smile=TRUE(),VLOOKUP(MAX(-5,Strikeprice2-G238),Volsmile,2),0)),($A238-DateToday)+15,IF(Pricetype2=1,1,0),0))),G238)))</f>
        <v> </v>
      </c>
      <c r="Q238" s="318" t="str">
        <f aca="false">IF($A238="N/A"," ",IF(Pricetype2=2,MAX(H238,0),IF(OR(Pricetype2=1,Pricetype2=4),IF(H238=0,0,(EURO(H238,Strikeprice2,0,0,($AK238+IF(Smile=TRUE(),VLOOKUP(MAX(-5,Strikeprice2-H238),Volsmile,2),0)),($A238-DateToday)+15,IF(Pricetype2=1,1,0),0))),H238)))</f>
        <v> </v>
      </c>
      <c r="R238" s="318" t="str">
        <f aca="false">IF($A238="N/A"," ",IF(Pricetype2=2,MAX(I238,0),IF(OR(Pricetype2=1,Pricetype2=4),IF(I238=0,0,(EURO(I238,Strikeprice2,0,0,($AK238+IF(Smile=TRUE(),VLOOKUP(MAX(-5,Strikeprice2-I238),Volsmile,2),0)),($A238-DateToday)+15,IF(Pricetype2=1,1,0),0))),I238)))</f>
        <v> </v>
      </c>
      <c r="S238" s="318" t="str">
        <f aca="false">IF($A238="N/A"," ",IF(Pricetype2=2,MAX(J238,0),IF(OR(Pricetype2=1,Pricetype2=4),IF(J238=0,0,(EURO(J238,Strikeprice2,0,0,($AK238+IF(Smile=TRUE(),VLOOKUP(MAX(-5,Strikeprice2-J238),Volsmile,2),0)),($A238-DateToday)+15,IF(Pricetype2=1,1,0),0))),J238)))</f>
        <v> </v>
      </c>
      <c r="T238" s="318" t="str">
        <f aca="false">IF($A238="N/A"," ",IF(Pricetype2=2,MAX(K238,0),IF(OR(Pricetype2=1,Pricetype2=4),IF(K238=0,0,(EURO(K238,Strikeprice2,0,0,($AK238+IF(Smile=TRUE(),VLOOKUP(MAX(-5,Strikeprice2-K238),Volsmile,2),0)),($A238-DateToday)+15,IF(Pricetype2=1,1,0),0))),K238)))</f>
        <v> </v>
      </c>
      <c r="U238" s="319" t="str">
        <f aca="false">IF($A238="N/A"," ",Volume2*$AM238)</f>
        <v> </v>
      </c>
      <c r="V238" s="320" t="str">
        <f aca="false">IF($A238="N/A"," ",$U238*(8*($BQ238))*L238)</f>
        <v> </v>
      </c>
      <c r="W238" s="320" t="str">
        <f aca="false">IF($A238="N/A"," ",$U238*(8*($BQ238))*M238)</f>
        <v> </v>
      </c>
      <c r="X238" s="320" t="str">
        <f aca="false">IF($A238="N/A"," ",$U238*(8*($BQ238))*N238)</f>
        <v> </v>
      </c>
      <c r="Y238" s="320" t="str">
        <f aca="false">IF($A238="N/A"," ",$U238*(8*($BR238))*O238)</f>
        <v> </v>
      </c>
      <c r="Z238" s="320" t="str">
        <f aca="false">IF($A238="N/A"," ",$U238*(8*($BR238))*P238)</f>
        <v> </v>
      </c>
      <c r="AA238" s="320" t="str">
        <f aca="false">IF($A238="N/A"," ",$U238*(8*($BR238))*Q238)</f>
        <v> </v>
      </c>
      <c r="AB238" s="320" t="str">
        <f aca="false">IF($A238="N/A"," ",$U238*(8*($BS238))*R238)</f>
        <v> </v>
      </c>
      <c r="AC238" s="320" t="str">
        <f aca="false">IF($A238="N/A"," ",$U238*(8*($BS238))*S238)</f>
        <v> </v>
      </c>
      <c r="AD238" s="320" t="str">
        <f aca="false">IF($A238="N/A"," ",$U238*(8*($BS238))*T238)</f>
        <v> </v>
      </c>
      <c r="AE238" s="320" t="str">
        <f aca="false">IF($A238="N/A"," ",SUM(V238:AD238))</f>
        <v> </v>
      </c>
      <c r="AF238" s="321" t="str">
        <f aca="false">IF(A238="N/A"," ",(VLOOKUP(A238,PowerVolTable,(IF(VolBMO2=2,7,IF(VolBMO2=1,6,8))),FALSE())))</f>
        <v> </v>
      </c>
      <c r="AG238" s="321" t="str">
        <f aca="false">IF(A238="N/A"," ",(VLOOKUP(A238,IntraPowerVol,(IF(VolBMO2=2,3,IF(VolBMO2=1,2,4))),FALSE())*VLOOKUP(MONTH($A238),Volscale,2)))</f>
        <v> </v>
      </c>
      <c r="AH238" s="321" t="str">
        <f aca="false">IF($A238="N/A"," ",IF(VolType2=1,AG238,AF238))</f>
        <v> </v>
      </c>
      <c r="AI238" s="321" t="str">
        <f aca="false">IF($A238="N/A"," ",(VLOOKUP($A238,OffPwrVolTable,(IF(VolBMO2=2,7,IF(VolBMO2=1,6,8))),FALSE())))</f>
        <v> </v>
      </c>
      <c r="AJ238" s="321" t="str">
        <f aca="false">IF($A238="N/A"," ",(VLOOKUP($A238,OffPwrVolTable,(IF(VolBMO2=2,3,IF(VolBMO2=1,2,4))),FALSE())*VLOOKUP(MONTH($A238),Volscale,2)))</f>
        <v> </v>
      </c>
      <c r="AK238" s="321" t="str">
        <f aca="false">IF($A238="N/A"," ",IF(VolType2=1,AJ238,AI238))</f>
        <v> </v>
      </c>
      <c r="AL238" s="321" t="str">
        <f aca="false">IF($A238="N/A"," ",IF(PV=1,0,'Pricing Inputs2'!R271))</f>
        <v> </v>
      </c>
      <c r="AM238" s="323" t="str">
        <f aca="false">IF($A238="N/A"," ",(1+AL238/2)^(-2*((EOMONTH(A238,0)+20)-DateToday)/365.25))</f>
        <v> </v>
      </c>
      <c r="BQ238" s="0" t="str">
        <f aca="false">IF($A238="N/A"," ",(VLOOKUP($A238,NumberofDaysTable,2)))</f>
        <v> </v>
      </c>
      <c r="BR238" s="0" t="str">
        <f aca="false">IF($A238="N/A"," ",(VLOOKUP($A238,NumberofDaysTable,3)))</f>
        <v> </v>
      </c>
      <c r="BS238" s="0" t="str">
        <f aca="false">IF($A238="N/A"," ",(VLOOKUP($A238,NumberofDaysTable,4)))</f>
        <v> </v>
      </c>
    </row>
    <row r="239" customFormat="false" ht="12.75" hidden="false" customHeight="false" outlineLevel="0" collapsed="false">
      <c r="A239" s="315" t="str">
        <f aca="false">IF(A238="N/A","N/A",IF(EDATE(A238,1)&gt;Inputs!$P$5,"N/A",EDATE(A238,1)))</f>
        <v>N/A</v>
      </c>
      <c r="B239" s="316" t="str">
        <f aca="false">IF(A239="N/A"," ",YEAR(A239))</f>
        <v> </v>
      </c>
      <c r="C239" s="317" t="str">
        <f aca="false">IF($A239="N/A"," ",IF(Dayrun2=10,0,IF(Scaler2=1,(VLOOKUP(A239,ScaledPrice2,4)),(VLOOKUP(A239,ScaledPrice2,2)))))</f>
        <v> </v>
      </c>
      <c r="D239" s="317" t="str">
        <f aca="false">IF(A239="N/A"," ",IF(Dayrun2&gt;=7,0,IF(Scaler2=2,VLOOKUP(A239,ScaledPrice2,2),(VLOOKUP(A239,ScaledPrice2,2))*(2-(VLOOKUP(A239,ScaledPrice2,3))))))</f>
        <v> </v>
      </c>
      <c r="E239" s="317" t="str">
        <f aca="false">IF($A239="N/A"," ",IF(AND(Dayrun2&gt;=4,Dayrun2&lt;=9),0,VLOOKUP($A239,ScaledPrice2,9)))</f>
        <v> </v>
      </c>
      <c r="F239" s="317" t="str">
        <f aca="false">IF(A239="N/A"," ",IF(OR(Dayrun2=2,Dayrun2=3,Dayrun2=5,Dayrun2=6,Dayrun2=8,Dayrun2=9),VLOOKUP(A239,ScaledPrice2,IF(Scaler2=1,6,5)),0))</f>
        <v> </v>
      </c>
      <c r="G239" s="317" t="str">
        <f aca="false">IF(A239="N/A"," ",IF(OR(Dayrun2=2,Dayrun2=3,Dayrun2=5,Dayrun2=6),IF(Scaler2=2,F239,(VLOOKUP(A239,ScaledPrice2,5))*(2-(VLOOKUP(A239,ScaledPrice2,3)))),0))</f>
        <v> </v>
      </c>
      <c r="H239" s="317" t="str">
        <f aca="false">IF($A239="N/A"," ",IF(OR(Dayrun2=2,Dayrun2=3,Dayrun2=10),VLOOKUP($A239,ScaledPrice2,9),0))</f>
        <v> </v>
      </c>
      <c r="I239" s="317" t="str">
        <f aca="false">IF(A239="N/A"," ",IF(OR(Dayrun2=3,Dayrun2=6,Dayrun2=9),(VLOOKUP(A239,ScaledPrice2,IF(Scaler2=2,7,8))),0))</f>
        <v> </v>
      </c>
      <c r="J239" s="317" t="str">
        <f aca="false">IF(A239="N/A"," ",IF(OR(Dayrun2=3,Dayrun2=6),IF(Scaler2=2,I239,(VLOOKUP(A239,ScaledPrice2,7))*(2-(VLOOKUP(A239,ScaledPrice2,3)))),0))</f>
        <v> </v>
      </c>
      <c r="K239" s="317" t="str">
        <f aca="false">IF($A239="N/A"," ",IF(OR(Dayrun2=3,Dayrun2=10),VLOOKUP($A239,ScaledPrice2,9),0))</f>
        <v> </v>
      </c>
      <c r="L239" s="318" t="str">
        <f aca="false">IF($A239="N/A"," ",IF(Pricetype2=2,MAX(C239,0),IF(OR(Pricetype2=1,Pricetype2=4),IF(C239=0,0,(EURO(C239,Strikeprice2,0,0,($AH239+IF(Smile=TRUE(),VLOOKUP(MAX(-5,Strikeprice2-C239),Volsmile,2),0)),($A239-DateToday)+15,IF(Pricetype2=1,1,0),0))),C239)))</f>
        <v> </v>
      </c>
      <c r="M239" s="318" t="str">
        <f aca="false">IF($A239="N/A"," ",IF(Pricetype2=2,MAX(D239,0),IF(OR(Pricetype2=1,Pricetype2=4),IF(D239=0,0,(EURO(D239,Strikeprice2,0,0,($AH239+IF(Smile=TRUE(),VLOOKUP(MAX(-5,Strikeprice2-D239),Volsmile,2),0)),($A239-DateToday)+15,IF(Pricetype2=1,1,0),0))),D239)))</f>
        <v> </v>
      </c>
      <c r="N239" s="318" t="str">
        <f aca="false">IF($A239="N/A"," ",IF(Pricetype2=2,MAX(E239,0),IF(OR(Pricetype2=1,Pricetype2=4),IF(E239=0,0,(EURO(E239,Strikeprice2,0,0,($AK239+IF(Smile=TRUE(),VLOOKUP(MAX(-5,Strikeprice2-E239),Volsmile,2),0)),($A239-DateToday)+15,IF(Pricetype2=1,1,0),0))),E239)))</f>
        <v> </v>
      </c>
      <c r="O239" s="318" t="str">
        <f aca="false">IF($A239="N/A"," ",IF(Pricetype2=2,MAX(F239,0),IF(OR(Pricetype2=1,Pricetype2=4),IF(F239=0,0,(EURO(F239,Strikeprice2,0,0,($AK239+IF(Smile=TRUE(),VLOOKUP(MAX(-5,Strikeprice2-F239),Volsmile,2),0)),($A239-DateToday)+15,IF(Pricetype2=1,1,0),0))),F239)))</f>
        <v> </v>
      </c>
      <c r="P239" s="318" t="str">
        <f aca="false">IF($A239="N/A"," ",IF(Pricetype2=2,MAX(G239,0),IF(OR(Pricetype2=1,Pricetype2=4),IF(G239=0,0,(EURO(G239,Strikeprice2,0,0,($AK239+IF(Smile=TRUE(),VLOOKUP(MAX(-5,Strikeprice2-G239),Volsmile,2),0)),($A239-DateToday)+15,IF(Pricetype2=1,1,0),0))),G239)))</f>
        <v> </v>
      </c>
      <c r="Q239" s="318" t="str">
        <f aca="false">IF($A239="N/A"," ",IF(Pricetype2=2,MAX(H239,0),IF(OR(Pricetype2=1,Pricetype2=4),IF(H239=0,0,(EURO(H239,Strikeprice2,0,0,($AK239+IF(Smile=TRUE(),VLOOKUP(MAX(-5,Strikeprice2-H239),Volsmile,2),0)),($A239-DateToday)+15,IF(Pricetype2=1,1,0),0))),H239)))</f>
        <v> </v>
      </c>
      <c r="R239" s="318" t="str">
        <f aca="false">IF($A239="N/A"," ",IF(Pricetype2=2,MAX(I239,0),IF(OR(Pricetype2=1,Pricetype2=4),IF(I239=0,0,(EURO(I239,Strikeprice2,0,0,($AK239+IF(Smile=TRUE(),VLOOKUP(MAX(-5,Strikeprice2-I239),Volsmile,2),0)),($A239-DateToday)+15,IF(Pricetype2=1,1,0),0))),I239)))</f>
        <v> </v>
      </c>
      <c r="S239" s="318" t="str">
        <f aca="false">IF($A239="N/A"," ",IF(Pricetype2=2,MAX(J239,0),IF(OR(Pricetype2=1,Pricetype2=4),IF(J239=0,0,(EURO(J239,Strikeprice2,0,0,($AK239+IF(Smile=TRUE(),VLOOKUP(MAX(-5,Strikeprice2-J239),Volsmile,2),0)),($A239-DateToday)+15,IF(Pricetype2=1,1,0),0))),J239)))</f>
        <v> </v>
      </c>
      <c r="T239" s="318" t="str">
        <f aca="false">IF($A239="N/A"," ",IF(Pricetype2=2,MAX(K239,0),IF(OR(Pricetype2=1,Pricetype2=4),IF(K239=0,0,(EURO(K239,Strikeprice2,0,0,($AK239+IF(Smile=TRUE(),VLOOKUP(MAX(-5,Strikeprice2-K239),Volsmile,2),0)),($A239-DateToday)+15,IF(Pricetype2=1,1,0),0))),K239)))</f>
        <v> </v>
      </c>
      <c r="U239" s="319" t="str">
        <f aca="false">IF($A239="N/A"," ",Volume2*$AM239)</f>
        <v> </v>
      </c>
      <c r="V239" s="320" t="str">
        <f aca="false">IF($A239="N/A"," ",$U239*(8*($BQ239))*L239)</f>
        <v> </v>
      </c>
      <c r="W239" s="320" t="str">
        <f aca="false">IF($A239="N/A"," ",$U239*(8*($BQ239))*M239)</f>
        <v> </v>
      </c>
      <c r="X239" s="320" t="str">
        <f aca="false">IF($A239="N/A"," ",$U239*(8*($BQ239))*N239)</f>
        <v> </v>
      </c>
      <c r="Y239" s="320" t="str">
        <f aca="false">IF($A239="N/A"," ",$U239*(8*($BR239))*O239)</f>
        <v> </v>
      </c>
      <c r="Z239" s="320" t="str">
        <f aca="false">IF($A239="N/A"," ",$U239*(8*($BR239))*P239)</f>
        <v> </v>
      </c>
      <c r="AA239" s="320" t="str">
        <f aca="false">IF($A239="N/A"," ",$U239*(8*($BR239))*Q239)</f>
        <v> </v>
      </c>
      <c r="AB239" s="320" t="str">
        <f aca="false">IF($A239="N/A"," ",$U239*(8*($BS239))*R239)</f>
        <v> </v>
      </c>
      <c r="AC239" s="320" t="str">
        <f aca="false">IF($A239="N/A"," ",$U239*(8*($BS239))*S239)</f>
        <v> </v>
      </c>
      <c r="AD239" s="320" t="str">
        <f aca="false">IF($A239="N/A"," ",$U239*(8*($BS239))*T239)</f>
        <v> </v>
      </c>
      <c r="AE239" s="320" t="str">
        <f aca="false">IF($A239="N/A"," ",SUM(V239:AD239))</f>
        <v> </v>
      </c>
      <c r="AF239" s="321" t="str">
        <f aca="false">IF(A239="N/A"," ",(VLOOKUP(A239,PowerVolTable,(IF(VolBMO2=2,7,IF(VolBMO2=1,6,8))),FALSE())))</f>
        <v> </v>
      </c>
      <c r="AG239" s="321" t="str">
        <f aca="false">IF(A239="N/A"," ",(VLOOKUP(A239,IntraPowerVol,(IF(VolBMO2=2,3,IF(VolBMO2=1,2,4))),FALSE())*VLOOKUP(MONTH($A239),Volscale,2)))</f>
        <v> </v>
      </c>
      <c r="AH239" s="321" t="str">
        <f aca="false">IF($A239="N/A"," ",IF(VolType2=1,AG239,AF239))</f>
        <v> </v>
      </c>
      <c r="AI239" s="321" t="str">
        <f aca="false">IF($A239="N/A"," ",(VLOOKUP($A239,OffPwrVolTable,(IF(VolBMO2=2,7,IF(VolBMO2=1,6,8))),FALSE())))</f>
        <v> </v>
      </c>
      <c r="AJ239" s="321" t="str">
        <f aca="false">IF($A239="N/A"," ",(VLOOKUP($A239,OffPwrVolTable,(IF(VolBMO2=2,3,IF(VolBMO2=1,2,4))),FALSE())*VLOOKUP(MONTH($A239),Volscale,2)))</f>
        <v> </v>
      </c>
      <c r="AK239" s="321" t="str">
        <f aca="false">IF($A239="N/A"," ",IF(VolType2=1,AJ239,AI239))</f>
        <v> </v>
      </c>
      <c r="AL239" s="321" t="str">
        <f aca="false">IF($A239="N/A"," ",IF(PV=1,0,'Pricing Inputs2'!R272))</f>
        <v> </v>
      </c>
      <c r="AM239" s="323" t="str">
        <f aca="false">IF($A239="N/A"," ",(1+AL239/2)^(-2*((EOMONTH(A239,0)+20)-DateToday)/365.25))</f>
        <v> </v>
      </c>
      <c r="BQ239" s="0" t="str">
        <f aca="false">IF($A239="N/A"," ",(VLOOKUP($A239,NumberofDaysTable,2)))</f>
        <v> </v>
      </c>
      <c r="BR239" s="0" t="str">
        <f aca="false">IF($A239="N/A"," ",(VLOOKUP($A239,NumberofDaysTable,3)))</f>
        <v> </v>
      </c>
      <c r="BS239" s="0" t="str">
        <f aca="false">IF($A239="N/A"," ",(VLOOKUP($A239,NumberofDaysTable,4)))</f>
        <v> </v>
      </c>
    </row>
    <row r="240" customFormat="false" ht="12.75" hidden="false" customHeight="false" outlineLevel="0" collapsed="false">
      <c r="A240" s="315" t="str">
        <f aca="false">IF(A239="N/A","N/A",IF(EDATE(A239,1)&gt;Inputs!$P$5,"N/A",EDATE(A239,1)))</f>
        <v>N/A</v>
      </c>
      <c r="B240" s="316" t="str">
        <f aca="false">IF(A240="N/A"," ",YEAR(A240))</f>
        <v> </v>
      </c>
      <c r="C240" s="317" t="str">
        <f aca="false">IF($A240="N/A"," ",IF(Dayrun2=10,0,IF(Scaler2=1,(VLOOKUP(A240,ScaledPrice2,4)),(VLOOKUP(A240,ScaledPrice2,2)))))</f>
        <v> </v>
      </c>
      <c r="D240" s="317" t="str">
        <f aca="false">IF(A240="N/A"," ",IF(Dayrun2&gt;=7,0,IF(Scaler2=2,VLOOKUP(A240,ScaledPrice2,2),(VLOOKUP(A240,ScaledPrice2,2))*(2-(VLOOKUP(A240,ScaledPrice2,3))))))</f>
        <v> </v>
      </c>
      <c r="E240" s="317" t="str">
        <f aca="false">IF($A240="N/A"," ",IF(AND(Dayrun2&gt;=4,Dayrun2&lt;=9),0,VLOOKUP($A240,ScaledPrice2,9)))</f>
        <v> </v>
      </c>
      <c r="F240" s="317" t="str">
        <f aca="false">IF(A240="N/A"," ",IF(OR(Dayrun2=2,Dayrun2=3,Dayrun2=5,Dayrun2=6,Dayrun2=8,Dayrun2=9),VLOOKUP(A240,ScaledPrice2,IF(Scaler2=1,6,5)),0))</f>
        <v> </v>
      </c>
      <c r="G240" s="317" t="str">
        <f aca="false">IF(A240="N/A"," ",IF(OR(Dayrun2=2,Dayrun2=3,Dayrun2=5,Dayrun2=6),IF(Scaler2=2,F240,(VLOOKUP(A240,ScaledPrice2,5))*(2-(VLOOKUP(A240,ScaledPrice2,3)))),0))</f>
        <v> </v>
      </c>
      <c r="H240" s="317" t="str">
        <f aca="false">IF($A240="N/A"," ",IF(OR(Dayrun2=2,Dayrun2=3,Dayrun2=10),VLOOKUP($A240,ScaledPrice2,9),0))</f>
        <v> </v>
      </c>
      <c r="I240" s="317" t="str">
        <f aca="false">IF(A240="N/A"," ",IF(OR(Dayrun2=3,Dayrun2=6,Dayrun2=9),(VLOOKUP(A240,ScaledPrice2,IF(Scaler2=2,7,8))),0))</f>
        <v> </v>
      </c>
      <c r="J240" s="317" t="str">
        <f aca="false">IF(A240="N/A"," ",IF(OR(Dayrun2=3,Dayrun2=6),IF(Scaler2=2,I240,(VLOOKUP(A240,ScaledPrice2,7))*(2-(VLOOKUP(A240,ScaledPrice2,3)))),0))</f>
        <v> </v>
      </c>
      <c r="K240" s="317" t="str">
        <f aca="false">IF($A240="N/A"," ",IF(OR(Dayrun2=3,Dayrun2=10),VLOOKUP($A240,ScaledPrice2,9),0))</f>
        <v> </v>
      </c>
      <c r="L240" s="318" t="str">
        <f aca="false">IF($A240="N/A"," ",IF(Pricetype2=2,MAX(C240,0),IF(OR(Pricetype2=1,Pricetype2=4),IF(C240=0,0,(EURO(C240,Strikeprice2,0,0,($AH240+IF(Smile=TRUE(),VLOOKUP(MAX(-5,Strikeprice2-C240),Volsmile,2),0)),($A240-DateToday)+15,IF(Pricetype2=1,1,0),0))),C240)))</f>
        <v> </v>
      </c>
      <c r="M240" s="318" t="str">
        <f aca="false">IF($A240="N/A"," ",IF(Pricetype2=2,MAX(D240,0),IF(OR(Pricetype2=1,Pricetype2=4),IF(D240=0,0,(EURO(D240,Strikeprice2,0,0,($AH240+IF(Smile=TRUE(),VLOOKUP(MAX(-5,Strikeprice2-D240),Volsmile,2),0)),($A240-DateToday)+15,IF(Pricetype2=1,1,0),0))),D240)))</f>
        <v> </v>
      </c>
      <c r="N240" s="318" t="str">
        <f aca="false">IF($A240="N/A"," ",IF(Pricetype2=2,MAX(E240,0),IF(OR(Pricetype2=1,Pricetype2=4),IF(E240=0,0,(EURO(E240,Strikeprice2,0,0,($AK240+IF(Smile=TRUE(),VLOOKUP(MAX(-5,Strikeprice2-E240),Volsmile,2),0)),($A240-DateToday)+15,IF(Pricetype2=1,1,0),0))),E240)))</f>
        <v> </v>
      </c>
      <c r="O240" s="318" t="str">
        <f aca="false">IF($A240="N/A"," ",IF(Pricetype2=2,MAX(F240,0),IF(OR(Pricetype2=1,Pricetype2=4),IF(F240=0,0,(EURO(F240,Strikeprice2,0,0,($AK240+IF(Smile=TRUE(),VLOOKUP(MAX(-5,Strikeprice2-F240),Volsmile,2),0)),($A240-DateToday)+15,IF(Pricetype2=1,1,0),0))),F240)))</f>
        <v> </v>
      </c>
      <c r="P240" s="318" t="str">
        <f aca="false">IF($A240="N/A"," ",IF(Pricetype2=2,MAX(G240,0),IF(OR(Pricetype2=1,Pricetype2=4),IF(G240=0,0,(EURO(G240,Strikeprice2,0,0,($AK240+IF(Smile=TRUE(),VLOOKUP(MAX(-5,Strikeprice2-G240),Volsmile,2),0)),($A240-DateToday)+15,IF(Pricetype2=1,1,0),0))),G240)))</f>
        <v> </v>
      </c>
      <c r="Q240" s="318" t="str">
        <f aca="false">IF($A240="N/A"," ",IF(Pricetype2=2,MAX(H240,0),IF(OR(Pricetype2=1,Pricetype2=4),IF(H240=0,0,(EURO(H240,Strikeprice2,0,0,($AK240+IF(Smile=TRUE(),VLOOKUP(MAX(-5,Strikeprice2-H240),Volsmile,2),0)),($A240-DateToday)+15,IF(Pricetype2=1,1,0),0))),H240)))</f>
        <v> </v>
      </c>
      <c r="R240" s="318" t="str">
        <f aca="false">IF($A240="N/A"," ",IF(Pricetype2=2,MAX(I240,0),IF(OR(Pricetype2=1,Pricetype2=4),IF(I240=0,0,(EURO(I240,Strikeprice2,0,0,($AK240+IF(Smile=TRUE(),VLOOKUP(MAX(-5,Strikeprice2-I240),Volsmile,2),0)),($A240-DateToday)+15,IF(Pricetype2=1,1,0),0))),I240)))</f>
        <v> </v>
      </c>
      <c r="S240" s="318" t="str">
        <f aca="false">IF($A240="N/A"," ",IF(Pricetype2=2,MAX(J240,0),IF(OR(Pricetype2=1,Pricetype2=4),IF(J240=0,0,(EURO(J240,Strikeprice2,0,0,($AK240+IF(Smile=TRUE(),VLOOKUP(MAX(-5,Strikeprice2-J240),Volsmile,2),0)),($A240-DateToday)+15,IF(Pricetype2=1,1,0),0))),J240)))</f>
        <v> </v>
      </c>
      <c r="T240" s="318" t="str">
        <f aca="false">IF($A240="N/A"," ",IF(Pricetype2=2,MAX(K240,0),IF(OR(Pricetype2=1,Pricetype2=4),IF(K240=0,0,(EURO(K240,Strikeprice2,0,0,($AK240+IF(Smile=TRUE(),VLOOKUP(MAX(-5,Strikeprice2-K240),Volsmile,2),0)),($A240-DateToday)+15,IF(Pricetype2=1,1,0),0))),K240)))</f>
        <v> </v>
      </c>
      <c r="U240" s="319" t="str">
        <f aca="false">IF($A240="N/A"," ",Volume2*$AM240)</f>
        <v> </v>
      </c>
      <c r="V240" s="320" t="str">
        <f aca="false">IF($A240="N/A"," ",$U240*(8*($BQ240))*L240)</f>
        <v> </v>
      </c>
      <c r="W240" s="320" t="str">
        <f aca="false">IF($A240="N/A"," ",$U240*(8*($BQ240))*M240)</f>
        <v> </v>
      </c>
      <c r="X240" s="320" t="str">
        <f aca="false">IF($A240="N/A"," ",$U240*(8*($BQ240))*N240)</f>
        <v> </v>
      </c>
      <c r="Y240" s="320" t="str">
        <f aca="false">IF($A240="N/A"," ",$U240*(8*($BR240))*O240)</f>
        <v> </v>
      </c>
      <c r="Z240" s="320" t="str">
        <f aca="false">IF($A240="N/A"," ",$U240*(8*($BR240))*P240)</f>
        <v> </v>
      </c>
      <c r="AA240" s="320" t="str">
        <f aca="false">IF($A240="N/A"," ",$U240*(8*($BR240))*Q240)</f>
        <v> </v>
      </c>
      <c r="AB240" s="320" t="str">
        <f aca="false">IF($A240="N/A"," ",$U240*(8*($BS240))*R240)</f>
        <v> </v>
      </c>
      <c r="AC240" s="320" t="str">
        <f aca="false">IF($A240="N/A"," ",$U240*(8*($BS240))*S240)</f>
        <v> </v>
      </c>
      <c r="AD240" s="320" t="str">
        <f aca="false">IF($A240="N/A"," ",$U240*(8*($BS240))*T240)</f>
        <v> </v>
      </c>
      <c r="AE240" s="320" t="str">
        <f aca="false">IF($A240="N/A"," ",SUM(V240:AD240))</f>
        <v> </v>
      </c>
      <c r="AF240" s="321" t="str">
        <f aca="false">IF(A240="N/A"," ",(VLOOKUP(A240,PowerVolTable,(IF(VolBMO2=2,7,IF(VolBMO2=1,6,8))),FALSE())))</f>
        <v> </v>
      </c>
      <c r="AG240" s="321" t="str">
        <f aca="false">IF(A240="N/A"," ",(VLOOKUP(A240,IntraPowerVol,(IF(VolBMO2=2,3,IF(VolBMO2=1,2,4))),FALSE())*VLOOKUP(MONTH($A240),Volscale,2)))</f>
        <v> </v>
      </c>
      <c r="AH240" s="321" t="str">
        <f aca="false">IF($A240="N/A"," ",IF(VolType2=1,AG240,AF240))</f>
        <v> </v>
      </c>
      <c r="AI240" s="321" t="str">
        <f aca="false">IF($A240="N/A"," ",(VLOOKUP($A240,OffPwrVolTable,(IF(VolBMO2=2,7,IF(VolBMO2=1,6,8))),FALSE())))</f>
        <v> </v>
      </c>
      <c r="AJ240" s="321" t="str">
        <f aca="false">IF($A240="N/A"," ",(VLOOKUP($A240,OffPwrVolTable,(IF(VolBMO2=2,3,IF(VolBMO2=1,2,4))),FALSE())*VLOOKUP(MONTH($A240),Volscale,2)))</f>
        <v> </v>
      </c>
      <c r="AK240" s="321" t="str">
        <f aca="false">IF($A240="N/A"," ",IF(VolType2=1,AJ240,AI240))</f>
        <v> </v>
      </c>
      <c r="AL240" s="321" t="str">
        <f aca="false">IF($A240="N/A"," ",IF(PV=1,0,'Pricing Inputs2'!R273))</f>
        <v> </v>
      </c>
      <c r="AM240" s="323" t="str">
        <f aca="false">IF($A240="N/A"," ",(1+AL240/2)^(-2*((EOMONTH(A240,0)+20)-DateToday)/365.25))</f>
        <v> </v>
      </c>
      <c r="BQ240" s="0" t="str">
        <f aca="false">IF($A240="N/A"," ",(VLOOKUP($A240,NumberofDaysTable,2)))</f>
        <v> </v>
      </c>
      <c r="BR240" s="0" t="str">
        <f aca="false">IF($A240="N/A"," ",(VLOOKUP($A240,NumberofDaysTable,3)))</f>
        <v> </v>
      </c>
      <c r="BS240" s="0" t="str">
        <f aca="false">IF($A240="N/A"," ",(VLOOKUP($A240,NumberofDaysTable,4)))</f>
        <v> </v>
      </c>
    </row>
    <row r="241" customFormat="false" ht="12.75" hidden="false" customHeight="false" outlineLevel="0" collapsed="false">
      <c r="A241" s="315" t="str">
        <f aca="false">IF(A240="N/A","N/A",IF(EDATE(A240,1)&gt;Inputs!$P$5,"N/A",EDATE(A240,1)))</f>
        <v>N/A</v>
      </c>
      <c r="B241" s="316" t="str">
        <f aca="false">IF(A241="N/A"," ",YEAR(A241))</f>
        <v> </v>
      </c>
      <c r="C241" s="317" t="str">
        <f aca="false">IF($A241="N/A"," ",IF(Dayrun2=10,0,IF(Scaler2=1,(VLOOKUP(A241,ScaledPrice2,4)),(VLOOKUP(A241,ScaledPrice2,2)))))</f>
        <v> </v>
      </c>
      <c r="D241" s="317" t="str">
        <f aca="false">IF(A241="N/A"," ",IF(Dayrun2&gt;=7,0,IF(Scaler2=2,VLOOKUP(A241,ScaledPrice2,2),(VLOOKUP(A241,ScaledPrice2,2))*(2-(VLOOKUP(A241,ScaledPrice2,3))))))</f>
        <v> </v>
      </c>
      <c r="E241" s="317" t="str">
        <f aca="false">IF($A241="N/A"," ",IF(AND(Dayrun2&gt;=4,Dayrun2&lt;=9),0,VLOOKUP($A241,ScaledPrice2,9)))</f>
        <v> </v>
      </c>
      <c r="F241" s="317" t="str">
        <f aca="false">IF(A241="N/A"," ",IF(OR(Dayrun2=2,Dayrun2=3,Dayrun2=5,Dayrun2=6,Dayrun2=8,Dayrun2=9),VLOOKUP(A241,ScaledPrice2,IF(Scaler2=1,6,5)),0))</f>
        <v> </v>
      </c>
      <c r="G241" s="317" t="str">
        <f aca="false">IF(A241="N/A"," ",IF(OR(Dayrun2=2,Dayrun2=3,Dayrun2=5,Dayrun2=6),IF(Scaler2=2,F241,(VLOOKUP(A241,ScaledPrice2,5))*(2-(VLOOKUP(A241,ScaledPrice2,3)))),0))</f>
        <v> </v>
      </c>
      <c r="H241" s="317" t="str">
        <f aca="false">IF($A241="N/A"," ",IF(OR(Dayrun2=2,Dayrun2=3,Dayrun2=10),VLOOKUP($A241,ScaledPrice2,9),0))</f>
        <v> </v>
      </c>
      <c r="I241" s="317" t="str">
        <f aca="false">IF(A241="N/A"," ",IF(OR(Dayrun2=3,Dayrun2=6,Dayrun2=9),(VLOOKUP(A241,ScaledPrice2,IF(Scaler2=2,7,8))),0))</f>
        <v> </v>
      </c>
      <c r="J241" s="317" t="str">
        <f aca="false">IF(A241="N/A"," ",IF(OR(Dayrun2=3,Dayrun2=6),IF(Scaler2=2,I241,(VLOOKUP(A241,ScaledPrice2,7))*(2-(VLOOKUP(A241,ScaledPrice2,3)))),0))</f>
        <v> </v>
      </c>
      <c r="K241" s="317" t="str">
        <f aca="false">IF($A241="N/A"," ",IF(OR(Dayrun2=3,Dayrun2=10),VLOOKUP($A241,ScaledPrice2,9),0))</f>
        <v> </v>
      </c>
      <c r="L241" s="318" t="str">
        <f aca="false">IF($A241="N/A"," ",IF(Pricetype2=2,MAX(C241,0),IF(OR(Pricetype2=1,Pricetype2=4),IF(C241=0,0,(EURO(C241,Strikeprice2,0,0,($AH241+IF(Smile=TRUE(),VLOOKUP(MAX(-5,Strikeprice2-C241),Volsmile,2),0)),($A241-DateToday)+15,IF(Pricetype2=1,1,0),0))),C241)))</f>
        <v> </v>
      </c>
      <c r="M241" s="318" t="str">
        <f aca="false">IF($A241="N/A"," ",IF(Pricetype2=2,MAX(D241,0),IF(OR(Pricetype2=1,Pricetype2=4),IF(D241=0,0,(EURO(D241,Strikeprice2,0,0,($AH241+IF(Smile=TRUE(),VLOOKUP(MAX(-5,Strikeprice2-D241),Volsmile,2),0)),($A241-DateToday)+15,IF(Pricetype2=1,1,0),0))),D241)))</f>
        <v> </v>
      </c>
      <c r="N241" s="318" t="str">
        <f aca="false">IF($A241="N/A"," ",IF(Pricetype2=2,MAX(E241,0),IF(OR(Pricetype2=1,Pricetype2=4),IF(E241=0,0,(EURO(E241,Strikeprice2,0,0,($AK241+IF(Smile=TRUE(),VLOOKUP(MAX(-5,Strikeprice2-E241),Volsmile,2),0)),($A241-DateToday)+15,IF(Pricetype2=1,1,0),0))),E241)))</f>
        <v> </v>
      </c>
      <c r="O241" s="318" t="str">
        <f aca="false">IF($A241="N/A"," ",IF(Pricetype2=2,MAX(F241,0),IF(OR(Pricetype2=1,Pricetype2=4),IF(F241=0,0,(EURO(F241,Strikeprice2,0,0,($AK241+IF(Smile=TRUE(),VLOOKUP(MAX(-5,Strikeprice2-F241),Volsmile,2),0)),($A241-DateToday)+15,IF(Pricetype2=1,1,0),0))),F241)))</f>
        <v> </v>
      </c>
      <c r="P241" s="318" t="str">
        <f aca="false">IF($A241="N/A"," ",IF(Pricetype2=2,MAX(G241,0),IF(OR(Pricetype2=1,Pricetype2=4),IF(G241=0,0,(EURO(G241,Strikeprice2,0,0,($AK241+IF(Smile=TRUE(),VLOOKUP(MAX(-5,Strikeprice2-G241),Volsmile,2),0)),($A241-DateToday)+15,IF(Pricetype2=1,1,0),0))),G241)))</f>
        <v> </v>
      </c>
      <c r="Q241" s="318" t="str">
        <f aca="false">IF($A241="N/A"," ",IF(Pricetype2=2,MAX(H241,0),IF(OR(Pricetype2=1,Pricetype2=4),IF(H241=0,0,(EURO(H241,Strikeprice2,0,0,($AK241+IF(Smile=TRUE(),VLOOKUP(MAX(-5,Strikeprice2-H241),Volsmile,2),0)),($A241-DateToday)+15,IF(Pricetype2=1,1,0),0))),H241)))</f>
        <v> </v>
      </c>
      <c r="R241" s="318" t="str">
        <f aca="false">IF($A241="N/A"," ",IF(Pricetype2=2,MAX(I241,0),IF(OR(Pricetype2=1,Pricetype2=4),IF(I241=0,0,(EURO(I241,Strikeprice2,0,0,($AK241+IF(Smile=TRUE(),VLOOKUP(MAX(-5,Strikeprice2-I241),Volsmile,2),0)),($A241-DateToday)+15,IF(Pricetype2=1,1,0),0))),I241)))</f>
        <v> </v>
      </c>
      <c r="S241" s="318" t="str">
        <f aca="false">IF($A241="N/A"," ",IF(Pricetype2=2,MAX(J241,0),IF(OR(Pricetype2=1,Pricetype2=4),IF(J241=0,0,(EURO(J241,Strikeprice2,0,0,($AK241+IF(Smile=TRUE(),VLOOKUP(MAX(-5,Strikeprice2-J241),Volsmile,2),0)),($A241-DateToday)+15,IF(Pricetype2=1,1,0),0))),J241)))</f>
        <v> </v>
      </c>
      <c r="T241" s="318" t="str">
        <f aca="false">IF($A241="N/A"," ",IF(Pricetype2=2,MAX(K241,0),IF(OR(Pricetype2=1,Pricetype2=4),IF(K241=0,0,(EURO(K241,Strikeprice2,0,0,($AK241+IF(Smile=TRUE(),VLOOKUP(MAX(-5,Strikeprice2-K241),Volsmile,2),0)),($A241-DateToday)+15,IF(Pricetype2=1,1,0),0))),K241)))</f>
        <v> </v>
      </c>
      <c r="U241" s="319" t="str">
        <f aca="false">IF($A241="N/A"," ",Volume2*$AM241)</f>
        <v> </v>
      </c>
      <c r="V241" s="320" t="str">
        <f aca="false">IF($A241="N/A"," ",$U241*(8*($BQ241))*L241)</f>
        <v> </v>
      </c>
      <c r="W241" s="320" t="str">
        <f aca="false">IF($A241="N/A"," ",$U241*(8*($BQ241))*M241)</f>
        <v> </v>
      </c>
      <c r="X241" s="320" t="str">
        <f aca="false">IF($A241="N/A"," ",$U241*(8*($BQ241))*N241)</f>
        <v> </v>
      </c>
      <c r="Y241" s="320" t="str">
        <f aca="false">IF($A241="N/A"," ",$U241*(8*($BR241))*O241)</f>
        <v> </v>
      </c>
      <c r="Z241" s="320" t="str">
        <f aca="false">IF($A241="N/A"," ",$U241*(8*($BR241))*P241)</f>
        <v> </v>
      </c>
      <c r="AA241" s="320" t="str">
        <f aca="false">IF($A241="N/A"," ",$U241*(8*($BR241))*Q241)</f>
        <v> </v>
      </c>
      <c r="AB241" s="320" t="str">
        <f aca="false">IF($A241="N/A"," ",$U241*(8*($BS241))*R241)</f>
        <v> </v>
      </c>
      <c r="AC241" s="320" t="str">
        <f aca="false">IF($A241="N/A"," ",$U241*(8*($BS241))*S241)</f>
        <v> </v>
      </c>
      <c r="AD241" s="320" t="str">
        <f aca="false">IF($A241="N/A"," ",$U241*(8*($BS241))*T241)</f>
        <v> </v>
      </c>
      <c r="AE241" s="320" t="str">
        <f aca="false">IF($A241="N/A"," ",SUM(V241:AD241))</f>
        <v> </v>
      </c>
      <c r="AF241" s="321" t="str">
        <f aca="false">IF(A241="N/A"," ",(VLOOKUP(A241,PowerVolTable,(IF(VolBMO2=2,7,IF(VolBMO2=1,6,8))),FALSE())))</f>
        <v> </v>
      </c>
      <c r="AG241" s="321" t="str">
        <f aca="false">IF(A241="N/A"," ",(VLOOKUP(A241,IntraPowerVol,(IF(VolBMO2=2,3,IF(VolBMO2=1,2,4))),FALSE())*VLOOKUP(MONTH($A241),Volscale,2)))</f>
        <v> </v>
      </c>
      <c r="AH241" s="321" t="str">
        <f aca="false">IF($A241="N/A"," ",IF(VolType2=1,AG241,AF241))</f>
        <v> </v>
      </c>
      <c r="AI241" s="321" t="str">
        <f aca="false">IF($A241="N/A"," ",(VLOOKUP($A241,OffPwrVolTable,(IF(VolBMO2=2,7,IF(VolBMO2=1,6,8))),FALSE())))</f>
        <v> </v>
      </c>
      <c r="AJ241" s="321" t="str">
        <f aca="false">IF($A241="N/A"," ",(VLOOKUP($A241,OffPwrVolTable,(IF(VolBMO2=2,3,IF(VolBMO2=1,2,4))),FALSE())*VLOOKUP(MONTH($A241),Volscale,2)))</f>
        <v> </v>
      </c>
      <c r="AK241" s="321" t="str">
        <f aca="false">IF($A241="N/A"," ",IF(VolType2=1,AJ241,AI241))</f>
        <v> </v>
      </c>
      <c r="AL241" s="321" t="str">
        <f aca="false">IF($A241="N/A"," ",IF(PV=1,0,'Pricing Inputs2'!R274))</f>
        <v> </v>
      </c>
      <c r="AM241" s="323" t="str">
        <f aca="false">IF($A241="N/A"," ",(1+AL241/2)^(-2*((EOMONTH(A241,0)+20)-DateToday)/365.25))</f>
        <v> </v>
      </c>
      <c r="BQ241" s="0" t="str">
        <f aca="false">IF($A241="N/A"," ",(VLOOKUP($A241,NumberofDaysTable,2)))</f>
        <v> </v>
      </c>
      <c r="BR241" s="0" t="str">
        <f aca="false">IF($A241="N/A"," ",(VLOOKUP($A241,NumberofDaysTable,3)))</f>
        <v> </v>
      </c>
      <c r="BS241" s="0" t="str">
        <f aca="false">IF($A241="N/A"," ",(VLOOKUP($A241,NumberofDaysTable,4)))</f>
        <v> </v>
      </c>
    </row>
    <row r="242" customFormat="false" ht="12.75" hidden="false" customHeight="false" outlineLevel="0" collapsed="false">
      <c r="A242" s="315" t="str">
        <f aca="false">IF(A241="N/A","N/A",IF(EDATE(A241,1)&gt;Inputs!$P$5,"N/A",EDATE(A241,1)))</f>
        <v>N/A</v>
      </c>
      <c r="B242" s="316" t="str">
        <f aca="false">IF(A242="N/A"," ",YEAR(A242))</f>
        <v> </v>
      </c>
      <c r="C242" s="317" t="str">
        <f aca="false">IF($A242="N/A"," ",IF(Dayrun2=10,0,IF(Scaler2=1,(VLOOKUP(A242,ScaledPrice2,4)),(VLOOKUP(A242,ScaledPrice2,2)))))</f>
        <v> </v>
      </c>
      <c r="D242" s="317" t="str">
        <f aca="false">IF(A242="N/A"," ",IF(Dayrun2&gt;=7,0,IF(Scaler2=2,VLOOKUP(A242,ScaledPrice2,2),(VLOOKUP(A242,ScaledPrice2,2))*(2-(VLOOKUP(A242,ScaledPrice2,3))))))</f>
        <v> </v>
      </c>
      <c r="E242" s="317" t="str">
        <f aca="false">IF($A242="N/A"," ",IF(AND(Dayrun2&gt;=4,Dayrun2&lt;=9),0,VLOOKUP($A242,ScaledPrice2,9)))</f>
        <v> </v>
      </c>
      <c r="F242" s="317" t="str">
        <f aca="false">IF(A242="N/A"," ",IF(OR(Dayrun2=2,Dayrun2=3,Dayrun2=5,Dayrun2=6,Dayrun2=8,Dayrun2=9),VLOOKUP(A242,ScaledPrice2,IF(Scaler2=1,6,5)),0))</f>
        <v> </v>
      </c>
      <c r="G242" s="317" t="str">
        <f aca="false">IF(A242="N/A"," ",IF(OR(Dayrun2=2,Dayrun2=3,Dayrun2=5,Dayrun2=6),IF(Scaler2=2,F242,(VLOOKUP(A242,ScaledPrice2,5))*(2-(VLOOKUP(A242,ScaledPrice2,3)))),0))</f>
        <v> </v>
      </c>
      <c r="H242" s="317" t="str">
        <f aca="false">IF($A242="N/A"," ",IF(OR(Dayrun2=2,Dayrun2=3,Dayrun2=10),VLOOKUP($A242,ScaledPrice2,9),0))</f>
        <v> </v>
      </c>
      <c r="I242" s="317" t="str">
        <f aca="false">IF(A242="N/A"," ",IF(OR(Dayrun2=3,Dayrun2=6,Dayrun2=9),(VLOOKUP(A242,ScaledPrice2,IF(Scaler2=2,7,8))),0))</f>
        <v> </v>
      </c>
      <c r="J242" s="317" t="str">
        <f aca="false">IF(A242="N/A"," ",IF(OR(Dayrun2=3,Dayrun2=6),IF(Scaler2=2,I242,(VLOOKUP(A242,ScaledPrice2,7))*(2-(VLOOKUP(A242,ScaledPrice2,3)))),0))</f>
        <v> </v>
      </c>
      <c r="K242" s="317" t="str">
        <f aca="false">IF($A242="N/A"," ",IF(OR(Dayrun2=3,Dayrun2=10),VLOOKUP($A242,ScaledPrice2,9),0))</f>
        <v> </v>
      </c>
      <c r="L242" s="318" t="str">
        <f aca="false">IF($A242="N/A"," ",IF(Pricetype2=2,MAX(C242,0),IF(OR(Pricetype2=1,Pricetype2=4),IF(C242=0,0,(EURO(C242,Strikeprice2,0,0,($AH242+IF(Smile=TRUE(),VLOOKUP(MAX(-5,Strikeprice2-C242),Volsmile,2),0)),($A242-DateToday)+15,IF(Pricetype2=1,1,0),0))),C242)))</f>
        <v> </v>
      </c>
      <c r="M242" s="318" t="str">
        <f aca="false">IF($A242="N/A"," ",IF(Pricetype2=2,MAX(D242,0),IF(OR(Pricetype2=1,Pricetype2=4),IF(D242=0,0,(EURO(D242,Strikeprice2,0,0,($AH242+IF(Smile=TRUE(),VLOOKUP(MAX(-5,Strikeprice2-D242),Volsmile,2),0)),($A242-DateToday)+15,IF(Pricetype2=1,1,0),0))),D242)))</f>
        <v> </v>
      </c>
      <c r="N242" s="318" t="str">
        <f aca="false">IF($A242="N/A"," ",IF(Pricetype2=2,MAX(E242,0),IF(OR(Pricetype2=1,Pricetype2=4),IF(E242=0,0,(EURO(E242,Strikeprice2,0,0,($AK242+IF(Smile=TRUE(),VLOOKUP(MAX(-5,Strikeprice2-E242),Volsmile,2),0)),($A242-DateToday)+15,IF(Pricetype2=1,1,0),0))),E242)))</f>
        <v> </v>
      </c>
      <c r="O242" s="318" t="str">
        <f aca="false">IF($A242="N/A"," ",IF(Pricetype2=2,MAX(F242,0),IF(OR(Pricetype2=1,Pricetype2=4),IF(F242=0,0,(EURO(F242,Strikeprice2,0,0,($AK242+IF(Smile=TRUE(),VLOOKUP(MAX(-5,Strikeprice2-F242),Volsmile,2),0)),($A242-DateToday)+15,IF(Pricetype2=1,1,0),0))),F242)))</f>
        <v> </v>
      </c>
      <c r="P242" s="318" t="str">
        <f aca="false">IF($A242="N/A"," ",IF(Pricetype2=2,MAX(G242,0),IF(OR(Pricetype2=1,Pricetype2=4),IF(G242=0,0,(EURO(G242,Strikeprice2,0,0,($AK242+IF(Smile=TRUE(),VLOOKUP(MAX(-5,Strikeprice2-G242),Volsmile,2),0)),($A242-DateToday)+15,IF(Pricetype2=1,1,0),0))),G242)))</f>
        <v> </v>
      </c>
      <c r="Q242" s="318" t="str">
        <f aca="false">IF($A242="N/A"," ",IF(Pricetype2=2,MAX(H242,0),IF(OR(Pricetype2=1,Pricetype2=4),IF(H242=0,0,(EURO(H242,Strikeprice2,0,0,($AK242+IF(Smile=TRUE(),VLOOKUP(MAX(-5,Strikeprice2-H242),Volsmile,2),0)),($A242-DateToday)+15,IF(Pricetype2=1,1,0),0))),H242)))</f>
        <v> </v>
      </c>
      <c r="R242" s="318" t="str">
        <f aca="false">IF($A242="N/A"," ",IF(Pricetype2=2,MAX(I242,0),IF(OR(Pricetype2=1,Pricetype2=4),IF(I242=0,0,(EURO(I242,Strikeprice2,0,0,($AK242+IF(Smile=TRUE(),VLOOKUP(MAX(-5,Strikeprice2-I242),Volsmile,2),0)),($A242-DateToday)+15,IF(Pricetype2=1,1,0),0))),I242)))</f>
        <v> </v>
      </c>
      <c r="S242" s="318" t="str">
        <f aca="false">IF($A242="N/A"," ",IF(Pricetype2=2,MAX(J242,0),IF(OR(Pricetype2=1,Pricetype2=4),IF(J242=0,0,(EURO(J242,Strikeprice2,0,0,($AK242+IF(Smile=TRUE(),VLOOKUP(MAX(-5,Strikeprice2-J242),Volsmile,2),0)),($A242-DateToday)+15,IF(Pricetype2=1,1,0),0))),J242)))</f>
        <v> </v>
      </c>
      <c r="T242" s="318" t="str">
        <f aca="false">IF($A242="N/A"," ",IF(Pricetype2=2,MAX(K242,0),IF(OR(Pricetype2=1,Pricetype2=4),IF(K242=0,0,(EURO(K242,Strikeprice2,0,0,($AK242+IF(Smile=TRUE(),VLOOKUP(MAX(-5,Strikeprice2-K242),Volsmile,2),0)),($A242-DateToday)+15,IF(Pricetype2=1,1,0),0))),K242)))</f>
        <v> </v>
      </c>
      <c r="U242" s="319" t="str">
        <f aca="false">IF($A242="N/A"," ",Volume2*$AM242)</f>
        <v> </v>
      </c>
      <c r="V242" s="320" t="str">
        <f aca="false">IF($A242="N/A"," ",$U242*(8*($BQ242))*L242)</f>
        <v> </v>
      </c>
      <c r="W242" s="320" t="str">
        <f aca="false">IF($A242="N/A"," ",$U242*(8*($BQ242))*M242)</f>
        <v> </v>
      </c>
      <c r="X242" s="320" t="str">
        <f aca="false">IF($A242="N/A"," ",$U242*(8*($BQ242))*N242)</f>
        <v> </v>
      </c>
      <c r="Y242" s="320" t="str">
        <f aca="false">IF($A242="N/A"," ",$U242*(8*($BR242))*O242)</f>
        <v> </v>
      </c>
      <c r="Z242" s="320" t="str">
        <f aca="false">IF($A242="N/A"," ",$U242*(8*($BR242))*P242)</f>
        <v> </v>
      </c>
      <c r="AA242" s="320" t="str">
        <f aca="false">IF($A242="N/A"," ",$U242*(8*($BR242))*Q242)</f>
        <v> </v>
      </c>
      <c r="AB242" s="320" t="str">
        <f aca="false">IF($A242="N/A"," ",$U242*(8*($BS242))*R242)</f>
        <v> </v>
      </c>
      <c r="AC242" s="320" t="str">
        <f aca="false">IF($A242="N/A"," ",$U242*(8*($BS242))*S242)</f>
        <v> </v>
      </c>
      <c r="AD242" s="320" t="str">
        <f aca="false">IF($A242="N/A"," ",$U242*(8*($BS242))*T242)</f>
        <v> </v>
      </c>
      <c r="AE242" s="320" t="str">
        <f aca="false">IF($A242="N/A"," ",SUM(V242:AD242))</f>
        <v> </v>
      </c>
      <c r="AF242" s="321" t="str">
        <f aca="false">IF(A242="N/A"," ",(VLOOKUP(A242,PowerVolTable,(IF(VolBMO2=2,7,IF(VolBMO2=1,6,8))),FALSE())))</f>
        <v> </v>
      </c>
      <c r="AG242" s="321" t="str">
        <f aca="false">IF(A242="N/A"," ",(VLOOKUP(A242,IntraPowerVol,(IF(VolBMO2=2,3,IF(VolBMO2=1,2,4))),FALSE())*VLOOKUP(MONTH($A242),Volscale,2)))</f>
        <v> </v>
      </c>
      <c r="AH242" s="321" t="str">
        <f aca="false">IF($A242="N/A"," ",IF(VolType2=1,AG242,AF242))</f>
        <v> </v>
      </c>
      <c r="AI242" s="321" t="str">
        <f aca="false">IF($A242="N/A"," ",(VLOOKUP($A242,OffPwrVolTable,(IF(VolBMO2=2,7,IF(VolBMO2=1,6,8))),FALSE())))</f>
        <v> </v>
      </c>
      <c r="AJ242" s="321" t="str">
        <f aca="false">IF($A242="N/A"," ",(VLOOKUP($A242,OffPwrVolTable,(IF(VolBMO2=2,3,IF(VolBMO2=1,2,4))),FALSE())*VLOOKUP(MONTH($A242),Volscale,2)))</f>
        <v> </v>
      </c>
      <c r="AK242" s="321" t="str">
        <f aca="false">IF($A242="N/A"," ",IF(VolType2=1,AJ242,AI242))</f>
        <v> </v>
      </c>
      <c r="AL242" s="321" t="str">
        <f aca="false">IF($A242="N/A"," ",IF(PV=1,0,'Pricing Inputs2'!R275))</f>
        <v> </v>
      </c>
      <c r="AM242" s="323" t="str">
        <f aca="false">IF($A242="N/A"," ",(1+AL242/2)^(-2*((EOMONTH(A242,0)+20)-DateToday)/365.25))</f>
        <v> </v>
      </c>
      <c r="BQ242" s="0" t="str">
        <f aca="false">IF($A242="N/A"," ",(VLOOKUP($A242,NumberofDaysTable,2)))</f>
        <v> </v>
      </c>
      <c r="BR242" s="0" t="str">
        <f aca="false">IF($A242="N/A"," ",(VLOOKUP($A242,NumberofDaysTable,3)))</f>
        <v> </v>
      </c>
      <c r="BS242" s="0" t="str">
        <f aca="false">IF($A242="N/A"," ",(VLOOKUP($A242,NumberofDaysTable,4)))</f>
        <v> </v>
      </c>
    </row>
    <row r="243" customFormat="false" ht="12.75" hidden="false" customHeight="false" outlineLevel="0" collapsed="false">
      <c r="A243" s="315" t="str">
        <f aca="false">IF(A242="N/A","N/A",IF(EDATE(A242,1)&gt;Inputs!$P$5,"N/A",EDATE(A242,1)))</f>
        <v>N/A</v>
      </c>
      <c r="B243" s="316" t="str">
        <f aca="false">IF(A243="N/A"," ",YEAR(A243))</f>
        <v> </v>
      </c>
      <c r="C243" s="317" t="str">
        <f aca="false">IF($A243="N/A"," ",IF(Dayrun2=10,0,IF(Scaler2=1,(VLOOKUP(A243,ScaledPrice2,4)),(VLOOKUP(A243,ScaledPrice2,2)))))</f>
        <v> </v>
      </c>
      <c r="D243" s="317" t="str">
        <f aca="false">IF(A243="N/A"," ",IF(Dayrun2&gt;=7,0,IF(Scaler2=2,VLOOKUP(A243,ScaledPrice2,2),(VLOOKUP(A243,ScaledPrice2,2))*(2-(VLOOKUP(A243,ScaledPrice2,3))))))</f>
        <v> </v>
      </c>
      <c r="E243" s="317" t="str">
        <f aca="false">IF($A243="N/A"," ",IF(AND(Dayrun2&gt;=4,Dayrun2&lt;=9),0,VLOOKUP($A243,ScaledPrice2,9)))</f>
        <v> </v>
      </c>
      <c r="F243" s="317" t="str">
        <f aca="false">IF(A243="N/A"," ",IF(OR(Dayrun2=2,Dayrun2=3,Dayrun2=5,Dayrun2=6,Dayrun2=8,Dayrun2=9),VLOOKUP(A243,ScaledPrice2,IF(Scaler2=1,6,5)),0))</f>
        <v> </v>
      </c>
      <c r="G243" s="317" t="str">
        <f aca="false">IF(A243="N/A"," ",IF(OR(Dayrun2=2,Dayrun2=3,Dayrun2=5,Dayrun2=6),IF(Scaler2=2,F243,(VLOOKUP(A243,ScaledPrice2,5))*(2-(VLOOKUP(A243,ScaledPrice2,3)))),0))</f>
        <v> </v>
      </c>
      <c r="H243" s="317" t="str">
        <f aca="false">IF($A243="N/A"," ",IF(OR(Dayrun2=2,Dayrun2=3,Dayrun2=10),VLOOKUP($A243,ScaledPrice2,9),0))</f>
        <v> </v>
      </c>
      <c r="I243" s="317" t="str">
        <f aca="false">IF(A243="N/A"," ",IF(OR(Dayrun2=3,Dayrun2=6,Dayrun2=9),(VLOOKUP(A243,ScaledPrice2,IF(Scaler2=2,7,8))),0))</f>
        <v> </v>
      </c>
      <c r="J243" s="317" t="str">
        <f aca="false">IF(A243="N/A"," ",IF(OR(Dayrun2=3,Dayrun2=6),IF(Scaler2=2,I243,(VLOOKUP(A243,ScaledPrice2,7))*(2-(VLOOKUP(A243,ScaledPrice2,3)))),0))</f>
        <v> </v>
      </c>
      <c r="K243" s="317" t="str">
        <f aca="false">IF($A243="N/A"," ",IF(OR(Dayrun2=3,Dayrun2=10),VLOOKUP($A243,ScaledPrice2,9),0))</f>
        <v> </v>
      </c>
      <c r="L243" s="318" t="str">
        <f aca="false">IF($A243="N/A"," ",IF(Pricetype2=2,MAX(C243,0),IF(OR(Pricetype2=1,Pricetype2=4),IF(C243=0,0,(EURO(C243,Strikeprice2,0,0,($AH243+IF(Smile=TRUE(),VLOOKUP(MAX(-5,Strikeprice2-C243),Volsmile,2),0)),($A243-DateToday)+15,IF(Pricetype2=1,1,0),0))),C243)))</f>
        <v> </v>
      </c>
      <c r="M243" s="318" t="str">
        <f aca="false">IF($A243="N/A"," ",IF(Pricetype2=2,MAX(D243,0),IF(OR(Pricetype2=1,Pricetype2=4),IF(D243=0,0,(EURO(D243,Strikeprice2,0,0,($AH243+IF(Smile=TRUE(),VLOOKUP(MAX(-5,Strikeprice2-D243),Volsmile,2),0)),($A243-DateToday)+15,IF(Pricetype2=1,1,0),0))),D243)))</f>
        <v> </v>
      </c>
      <c r="N243" s="318" t="str">
        <f aca="false">IF($A243="N/A"," ",IF(Pricetype2=2,MAX(E243,0),IF(OR(Pricetype2=1,Pricetype2=4),IF(E243=0,0,(EURO(E243,Strikeprice2,0,0,($AK243+IF(Smile=TRUE(),VLOOKUP(MAX(-5,Strikeprice2-E243),Volsmile,2),0)),($A243-DateToday)+15,IF(Pricetype2=1,1,0),0))),E243)))</f>
        <v> </v>
      </c>
      <c r="O243" s="318" t="str">
        <f aca="false">IF($A243="N/A"," ",IF(Pricetype2=2,MAX(F243,0),IF(OR(Pricetype2=1,Pricetype2=4),IF(F243=0,0,(EURO(F243,Strikeprice2,0,0,($AK243+IF(Smile=TRUE(),VLOOKUP(MAX(-5,Strikeprice2-F243),Volsmile,2),0)),($A243-DateToday)+15,IF(Pricetype2=1,1,0),0))),F243)))</f>
        <v> </v>
      </c>
      <c r="P243" s="318" t="str">
        <f aca="false">IF($A243="N/A"," ",IF(Pricetype2=2,MAX(G243,0),IF(OR(Pricetype2=1,Pricetype2=4),IF(G243=0,0,(EURO(G243,Strikeprice2,0,0,($AK243+IF(Smile=TRUE(),VLOOKUP(MAX(-5,Strikeprice2-G243),Volsmile,2),0)),($A243-DateToday)+15,IF(Pricetype2=1,1,0),0))),G243)))</f>
        <v> </v>
      </c>
      <c r="Q243" s="318" t="str">
        <f aca="false">IF($A243="N/A"," ",IF(Pricetype2=2,MAX(H243,0),IF(OR(Pricetype2=1,Pricetype2=4),IF(H243=0,0,(EURO(H243,Strikeprice2,0,0,($AK243+IF(Smile=TRUE(),VLOOKUP(MAX(-5,Strikeprice2-H243),Volsmile,2),0)),($A243-DateToday)+15,IF(Pricetype2=1,1,0),0))),H243)))</f>
        <v> </v>
      </c>
      <c r="R243" s="318" t="str">
        <f aca="false">IF($A243="N/A"," ",IF(Pricetype2=2,MAX(I243,0),IF(OR(Pricetype2=1,Pricetype2=4),IF(I243=0,0,(EURO(I243,Strikeprice2,0,0,($AK243+IF(Smile=TRUE(),VLOOKUP(MAX(-5,Strikeprice2-I243),Volsmile,2),0)),($A243-DateToday)+15,IF(Pricetype2=1,1,0),0))),I243)))</f>
        <v> </v>
      </c>
      <c r="S243" s="318" t="str">
        <f aca="false">IF($A243="N/A"," ",IF(Pricetype2=2,MAX(J243,0),IF(OR(Pricetype2=1,Pricetype2=4),IF(J243=0,0,(EURO(J243,Strikeprice2,0,0,($AK243+IF(Smile=TRUE(),VLOOKUP(MAX(-5,Strikeprice2-J243),Volsmile,2),0)),($A243-DateToday)+15,IF(Pricetype2=1,1,0),0))),J243)))</f>
        <v> </v>
      </c>
      <c r="T243" s="318" t="str">
        <f aca="false">IF($A243="N/A"," ",IF(Pricetype2=2,MAX(K243,0),IF(OR(Pricetype2=1,Pricetype2=4),IF(K243=0,0,(EURO(K243,Strikeprice2,0,0,($AK243+IF(Smile=TRUE(),VLOOKUP(MAX(-5,Strikeprice2-K243),Volsmile,2),0)),($A243-DateToday)+15,IF(Pricetype2=1,1,0),0))),K243)))</f>
        <v> </v>
      </c>
      <c r="U243" s="319" t="str">
        <f aca="false">IF($A243="N/A"," ",Volume2*$AM243)</f>
        <v> </v>
      </c>
      <c r="V243" s="320" t="str">
        <f aca="false">IF($A243="N/A"," ",$U243*(8*($BQ243))*L243)</f>
        <v> </v>
      </c>
      <c r="W243" s="320" t="str">
        <f aca="false">IF($A243="N/A"," ",$U243*(8*($BQ243))*M243)</f>
        <v> </v>
      </c>
      <c r="X243" s="320" t="str">
        <f aca="false">IF($A243="N/A"," ",$U243*(8*($BQ243))*N243)</f>
        <v> </v>
      </c>
      <c r="Y243" s="320" t="str">
        <f aca="false">IF($A243="N/A"," ",$U243*(8*($BR243))*O243)</f>
        <v> </v>
      </c>
      <c r="Z243" s="320" t="str">
        <f aca="false">IF($A243="N/A"," ",$U243*(8*($BR243))*P243)</f>
        <v> </v>
      </c>
      <c r="AA243" s="320" t="str">
        <f aca="false">IF($A243="N/A"," ",$U243*(8*($BR243))*Q243)</f>
        <v> </v>
      </c>
      <c r="AB243" s="320" t="str">
        <f aca="false">IF($A243="N/A"," ",$U243*(8*($BS243))*R243)</f>
        <v> </v>
      </c>
      <c r="AC243" s="320" t="str">
        <f aca="false">IF($A243="N/A"," ",$U243*(8*($BS243))*S243)</f>
        <v> </v>
      </c>
      <c r="AD243" s="320" t="str">
        <f aca="false">IF($A243="N/A"," ",$U243*(8*($BS243))*T243)</f>
        <v> </v>
      </c>
      <c r="AE243" s="320" t="str">
        <f aca="false">IF($A243="N/A"," ",SUM(V243:AD243))</f>
        <v> </v>
      </c>
      <c r="AF243" s="321" t="str">
        <f aca="false">IF(A243="N/A"," ",(VLOOKUP(A243,PowerVolTable,(IF(VolBMO2=2,7,IF(VolBMO2=1,6,8))),FALSE())))</f>
        <v> </v>
      </c>
      <c r="AG243" s="321" t="str">
        <f aca="false">IF(A243="N/A"," ",(VLOOKUP(A243,IntraPowerVol,(IF(VolBMO2=2,3,IF(VolBMO2=1,2,4))),FALSE())*VLOOKUP(MONTH($A243),Volscale,2)))</f>
        <v> </v>
      </c>
      <c r="AH243" s="321" t="str">
        <f aca="false">IF($A243="N/A"," ",IF(VolType2=1,AG243,AF243))</f>
        <v> </v>
      </c>
      <c r="AI243" s="321" t="str">
        <f aca="false">IF($A243="N/A"," ",(VLOOKUP($A243,OffPwrVolTable,(IF(VolBMO2=2,7,IF(VolBMO2=1,6,8))),FALSE())))</f>
        <v> </v>
      </c>
      <c r="AJ243" s="321" t="str">
        <f aca="false">IF($A243="N/A"," ",(VLOOKUP($A243,OffPwrVolTable,(IF(VolBMO2=2,3,IF(VolBMO2=1,2,4))),FALSE())*VLOOKUP(MONTH($A243),Volscale,2)))</f>
        <v> </v>
      </c>
      <c r="AK243" s="321" t="str">
        <f aca="false">IF($A243="N/A"," ",IF(VolType2=1,AJ243,AI243))</f>
        <v> </v>
      </c>
      <c r="AL243" s="321" t="str">
        <f aca="false">IF($A243="N/A"," ",IF(PV=1,0,'Pricing Inputs2'!R276))</f>
        <v> </v>
      </c>
      <c r="AM243" s="323" t="str">
        <f aca="false">IF($A243="N/A"," ",(1+AL243/2)^(-2*((EOMONTH(A243,0)+20)-DateToday)/365.25))</f>
        <v> </v>
      </c>
      <c r="BQ243" s="0" t="str">
        <f aca="false">IF($A243="N/A"," ",(VLOOKUP($A243,NumberofDaysTable,2)))</f>
        <v> </v>
      </c>
      <c r="BR243" s="0" t="str">
        <f aca="false">IF($A243="N/A"," ",(VLOOKUP($A243,NumberofDaysTable,3)))</f>
        <v> </v>
      </c>
      <c r="BS243" s="0" t="str">
        <f aca="false">IF($A243="N/A"," ",(VLOOKUP($A243,NumberofDaysTable,4)))</f>
        <v> </v>
      </c>
    </row>
    <row r="244" customFormat="false" ht="12.75" hidden="false" customHeight="false" outlineLevel="0" collapsed="false">
      <c r="A244" s="315" t="str">
        <f aca="false">IF(A243="N/A","N/A",IF(EDATE(A243,1)&gt;Inputs!$P$5,"N/A",EDATE(A243,1)))</f>
        <v>N/A</v>
      </c>
      <c r="B244" s="316" t="str">
        <f aca="false">IF(A244="N/A"," ",YEAR(A244))</f>
        <v> </v>
      </c>
      <c r="C244" s="317" t="str">
        <f aca="false">IF($A244="N/A"," ",IF(Dayrun2=10,0,IF(Scaler2=1,(VLOOKUP(A244,ScaledPrice2,4)),(VLOOKUP(A244,ScaledPrice2,2)))))</f>
        <v> </v>
      </c>
      <c r="D244" s="317" t="str">
        <f aca="false">IF(A244="N/A"," ",IF(Dayrun2&gt;=7,0,IF(Scaler2=2,VLOOKUP(A244,ScaledPrice2,2),(VLOOKUP(A244,ScaledPrice2,2))*(2-(VLOOKUP(A244,ScaledPrice2,3))))))</f>
        <v> </v>
      </c>
      <c r="E244" s="317" t="str">
        <f aca="false">IF($A244="N/A"," ",IF(AND(Dayrun2&gt;=4,Dayrun2&lt;=9),0,VLOOKUP($A244,ScaledPrice2,9)))</f>
        <v> </v>
      </c>
      <c r="F244" s="317" t="str">
        <f aca="false">IF(A244="N/A"," ",IF(OR(Dayrun2=2,Dayrun2=3,Dayrun2=5,Dayrun2=6,Dayrun2=8,Dayrun2=9),VLOOKUP(A244,ScaledPrice2,IF(Scaler2=1,6,5)),0))</f>
        <v> </v>
      </c>
      <c r="G244" s="317" t="str">
        <f aca="false">IF(A244="N/A"," ",IF(OR(Dayrun2=2,Dayrun2=3,Dayrun2=5,Dayrun2=6),IF(Scaler2=2,F244,(VLOOKUP(A244,ScaledPrice2,5))*(2-(VLOOKUP(A244,ScaledPrice2,3)))),0))</f>
        <v> </v>
      </c>
      <c r="H244" s="317" t="str">
        <f aca="false">IF($A244="N/A"," ",IF(OR(Dayrun2=2,Dayrun2=3,Dayrun2=10),VLOOKUP($A244,ScaledPrice2,9),0))</f>
        <v> </v>
      </c>
      <c r="I244" s="317" t="str">
        <f aca="false">IF(A244="N/A"," ",IF(OR(Dayrun2=3,Dayrun2=6,Dayrun2=9),(VLOOKUP(A244,ScaledPrice2,IF(Scaler2=2,7,8))),0))</f>
        <v> </v>
      </c>
      <c r="J244" s="317" t="str">
        <f aca="false">IF(A244="N/A"," ",IF(OR(Dayrun2=3,Dayrun2=6),IF(Scaler2=2,I244,(VLOOKUP(A244,ScaledPrice2,7))*(2-(VLOOKUP(A244,ScaledPrice2,3)))),0))</f>
        <v> </v>
      </c>
      <c r="K244" s="317" t="str">
        <f aca="false">IF($A244="N/A"," ",IF(OR(Dayrun2=3,Dayrun2=10),VLOOKUP($A244,ScaledPrice2,9),0))</f>
        <v> </v>
      </c>
      <c r="L244" s="318" t="str">
        <f aca="false">IF($A244="N/A"," ",IF(Pricetype2=2,MAX(C244,0),IF(OR(Pricetype2=1,Pricetype2=4),IF(C244=0,0,(EURO(C244,Strikeprice2,0,0,($AH244+IF(Smile=TRUE(),VLOOKUP(MAX(-5,Strikeprice2-C244),Volsmile,2),0)),($A244-DateToday)+15,IF(Pricetype2=1,1,0),0))),C244)))</f>
        <v> </v>
      </c>
      <c r="M244" s="318" t="str">
        <f aca="false">IF($A244="N/A"," ",IF(Pricetype2=2,MAX(D244,0),IF(OR(Pricetype2=1,Pricetype2=4),IF(D244=0,0,(EURO(D244,Strikeprice2,0,0,($AH244+IF(Smile=TRUE(),VLOOKUP(MAX(-5,Strikeprice2-D244),Volsmile,2),0)),($A244-DateToday)+15,IF(Pricetype2=1,1,0),0))),D244)))</f>
        <v> </v>
      </c>
      <c r="N244" s="318" t="str">
        <f aca="false">IF($A244="N/A"," ",IF(Pricetype2=2,MAX(E244,0),IF(OR(Pricetype2=1,Pricetype2=4),IF(E244=0,0,(EURO(E244,Strikeprice2,0,0,($AK244+IF(Smile=TRUE(),VLOOKUP(MAX(-5,Strikeprice2-E244),Volsmile,2),0)),($A244-DateToday)+15,IF(Pricetype2=1,1,0),0))),E244)))</f>
        <v> </v>
      </c>
      <c r="O244" s="318" t="str">
        <f aca="false">IF($A244="N/A"," ",IF(Pricetype2=2,MAX(F244,0),IF(OR(Pricetype2=1,Pricetype2=4),IF(F244=0,0,(EURO(F244,Strikeprice2,0,0,($AK244+IF(Smile=TRUE(),VLOOKUP(MAX(-5,Strikeprice2-F244),Volsmile,2),0)),($A244-DateToday)+15,IF(Pricetype2=1,1,0),0))),F244)))</f>
        <v> </v>
      </c>
      <c r="P244" s="318" t="str">
        <f aca="false">IF($A244="N/A"," ",IF(Pricetype2=2,MAX(G244,0),IF(OR(Pricetype2=1,Pricetype2=4),IF(G244=0,0,(EURO(G244,Strikeprice2,0,0,($AK244+IF(Smile=TRUE(),VLOOKUP(MAX(-5,Strikeprice2-G244),Volsmile,2),0)),($A244-DateToday)+15,IF(Pricetype2=1,1,0),0))),G244)))</f>
        <v> </v>
      </c>
      <c r="Q244" s="318" t="str">
        <f aca="false">IF($A244="N/A"," ",IF(Pricetype2=2,MAX(H244,0),IF(OR(Pricetype2=1,Pricetype2=4),IF(H244=0,0,(EURO(H244,Strikeprice2,0,0,($AK244+IF(Smile=TRUE(),VLOOKUP(MAX(-5,Strikeprice2-H244),Volsmile,2),0)),($A244-DateToday)+15,IF(Pricetype2=1,1,0),0))),H244)))</f>
        <v> </v>
      </c>
      <c r="R244" s="318" t="str">
        <f aca="false">IF($A244="N/A"," ",IF(Pricetype2=2,MAX(I244,0),IF(OR(Pricetype2=1,Pricetype2=4),IF(I244=0,0,(EURO(I244,Strikeprice2,0,0,($AK244+IF(Smile=TRUE(),VLOOKUP(MAX(-5,Strikeprice2-I244),Volsmile,2),0)),($A244-DateToday)+15,IF(Pricetype2=1,1,0),0))),I244)))</f>
        <v> </v>
      </c>
      <c r="S244" s="318" t="str">
        <f aca="false">IF($A244="N/A"," ",IF(Pricetype2=2,MAX(J244,0),IF(OR(Pricetype2=1,Pricetype2=4),IF(J244=0,0,(EURO(J244,Strikeprice2,0,0,($AK244+IF(Smile=TRUE(),VLOOKUP(MAX(-5,Strikeprice2-J244),Volsmile,2),0)),($A244-DateToday)+15,IF(Pricetype2=1,1,0),0))),J244)))</f>
        <v> </v>
      </c>
      <c r="T244" s="318" t="str">
        <f aca="false">IF($A244="N/A"," ",IF(Pricetype2=2,MAX(K244,0),IF(OR(Pricetype2=1,Pricetype2=4),IF(K244=0,0,(EURO(K244,Strikeprice2,0,0,($AK244+IF(Smile=TRUE(),VLOOKUP(MAX(-5,Strikeprice2-K244),Volsmile,2),0)),($A244-DateToday)+15,IF(Pricetype2=1,1,0),0))),K244)))</f>
        <v> </v>
      </c>
      <c r="U244" s="319" t="str">
        <f aca="false">IF($A244="N/A"," ",Volume2*$AM244)</f>
        <v> </v>
      </c>
      <c r="V244" s="320" t="str">
        <f aca="false">IF($A244="N/A"," ",$U244*(8*($BQ244))*L244)</f>
        <v> </v>
      </c>
      <c r="W244" s="320" t="str">
        <f aca="false">IF($A244="N/A"," ",$U244*(8*($BQ244))*M244)</f>
        <v> </v>
      </c>
      <c r="X244" s="320" t="str">
        <f aca="false">IF($A244="N/A"," ",$U244*(8*($BQ244))*N244)</f>
        <v> </v>
      </c>
      <c r="Y244" s="320" t="str">
        <f aca="false">IF($A244="N/A"," ",$U244*(8*($BR244))*O244)</f>
        <v> </v>
      </c>
      <c r="Z244" s="320" t="str">
        <f aca="false">IF($A244="N/A"," ",$U244*(8*($BR244))*P244)</f>
        <v> </v>
      </c>
      <c r="AA244" s="320" t="str">
        <f aca="false">IF($A244="N/A"," ",$U244*(8*($BR244))*Q244)</f>
        <v> </v>
      </c>
      <c r="AB244" s="320" t="str">
        <f aca="false">IF($A244="N/A"," ",$U244*(8*($BS244))*R244)</f>
        <v> </v>
      </c>
      <c r="AC244" s="320" t="str">
        <f aca="false">IF($A244="N/A"," ",$U244*(8*($BS244))*S244)</f>
        <v> </v>
      </c>
      <c r="AD244" s="320" t="str">
        <f aca="false">IF($A244="N/A"," ",$U244*(8*($BS244))*T244)</f>
        <v> </v>
      </c>
      <c r="AE244" s="320" t="str">
        <f aca="false">IF($A244="N/A"," ",SUM(V244:AD244))</f>
        <v> </v>
      </c>
      <c r="AF244" s="321" t="str">
        <f aca="false">IF(A244="N/A"," ",(VLOOKUP(A244,PowerVolTable,(IF(VolBMO2=2,7,IF(VolBMO2=1,6,8))),FALSE())))</f>
        <v> </v>
      </c>
      <c r="AG244" s="321" t="str">
        <f aca="false">IF(A244="N/A"," ",(VLOOKUP(A244,IntraPowerVol,(IF(VolBMO2=2,3,IF(VolBMO2=1,2,4))),FALSE())*VLOOKUP(MONTH($A244),Volscale,2)))</f>
        <v> </v>
      </c>
      <c r="AH244" s="321" t="str">
        <f aca="false">IF($A244="N/A"," ",IF(VolType2=1,AG244,AF244))</f>
        <v> </v>
      </c>
      <c r="AI244" s="321" t="str">
        <f aca="false">IF($A244="N/A"," ",(VLOOKUP($A244,OffPwrVolTable,(IF(VolBMO2=2,7,IF(VolBMO2=1,6,8))),FALSE())))</f>
        <v> </v>
      </c>
      <c r="AJ244" s="321" t="str">
        <f aca="false">IF($A244="N/A"," ",(VLOOKUP($A244,OffPwrVolTable,(IF(VolBMO2=2,3,IF(VolBMO2=1,2,4))),FALSE())*VLOOKUP(MONTH($A244),Volscale,2)))</f>
        <v> </v>
      </c>
      <c r="AK244" s="321" t="str">
        <f aca="false">IF($A244="N/A"," ",IF(VolType2=1,AJ244,AI244))</f>
        <v> </v>
      </c>
      <c r="AL244" s="321" t="str">
        <f aca="false">IF($A244="N/A"," ",IF(PV=1,0,'Pricing Inputs2'!R277))</f>
        <v> </v>
      </c>
      <c r="AM244" s="323" t="str">
        <f aca="false">IF($A244="N/A"," ",(1+AL244/2)^(-2*((EOMONTH(A244,0)+20)-DateToday)/365.25))</f>
        <v> </v>
      </c>
      <c r="BQ244" s="0" t="str">
        <f aca="false">IF($A244="N/A"," ",(VLOOKUP($A244,NumberofDaysTable,2)))</f>
        <v> </v>
      </c>
      <c r="BR244" s="0" t="str">
        <f aca="false">IF($A244="N/A"," ",(VLOOKUP($A244,NumberofDaysTable,3)))</f>
        <v> </v>
      </c>
      <c r="BS244" s="0" t="str">
        <f aca="false">IF($A244="N/A"," ",(VLOOKUP($A244,NumberofDaysTable,4)))</f>
        <v> </v>
      </c>
    </row>
    <row r="245" customFormat="false" ht="12.75" hidden="false" customHeight="false" outlineLevel="0" collapsed="false">
      <c r="A245" s="315" t="str">
        <f aca="false">IF(A244="N/A","N/A",IF(EDATE(A244,1)&gt;Inputs!$P$5,"N/A",EDATE(A244,1)))</f>
        <v>N/A</v>
      </c>
      <c r="B245" s="316" t="str">
        <f aca="false">IF(A245="N/A"," ",YEAR(A245))</f>
        <v> </v>
      </c>
      <c r="C245" s="317" t="str">
        <f aca="false">IF($A245="N/A"," ",IF(Dayrun2=10,0,IF(Scaler2=1,(VLOOKUP(A245,ScaledPrice2,4)),(VLOOKUP(A245,ScaledPrice2,2)))))</f>
        <v> </v>
      </c>
      <c r="D245" s="317" t="str">
        <f aca="false">IF(A245="N/A"," ",IF(Dayrun2&gt;=7,0,IF(Scaler2=2,VLOOKUP(A245,ScaledPrice2,2),(VLOOKUP(A245,ScaledPrice2,2))*(2-(VLOOKUP(A245,ScaledPrice2,3))))))</f>
        <v> </v>
      </c>
      <c r="E245" s="317" t="str">
        <f aca="false">IF($A245="N/A"," ",IF(AND(Dayrun2&gt;=4,Dayrun2&lt;=9),0,VLOOKUP($A245,ScaledPrice2,9)))</f>
        <v> </v>
      </c>
      <c r="F245" s="317" t="str">
        <f aca="false">IF(A245="N/A"," ",IF(OR(Dayrun2=2,Dayrun2=3,Dayrun2=5,Dayrun2=6,Dayrun2=8,Dayrun2=9),VLOOKUP(A245,ScaledPrice2,IF(Scaler2=1,6,5)),0))</f>
        <v> </v>
      </c>
      <c r="G245" s="317" t="str">
        <f aca="false">IF(A245="N/A"," ",IF(OR(Dayrun2=2,Dayrun2=3,Dayrun2=5,Dayrun2=6),IF(Scaler2=2,F245,(VLOOKUP(A245,ScaledPrice2,5))*(2-(VLOOKUP(A245,ScaledPrice2,3)))),0))</f>
        <v> </v>
      </c>
      <c r="H245" s="317" t="str">
        <f aca="false">IF($A245="N/A"," ",IF(OR(Dayrun2=2,Dayrun2=3,Dayrun2=10),VLOOKUP($A245,ScaledPrice2,9),0))</f>
        <v> </v>
      </c>
      <c r="I245" s="317" t="str">
        <f aca="false">IF(A245="N/A"," ",IF(OR(Dayrun2=3,Dayrun2=6,Dayrun2=9),(VLOOKUP(A245,ScaledPrice2,IF(Scaler2=2,7,8))),0))</f>
        <v> </v>
      </c>
      <c r="J245" s="317" t="str">
        <f aca="false">IF(A245="N/A"," ",IF(OR(Dayrun2=3,Dayrun2=6),IF(Scaler2=2,I245,(VLOOKUP(A245,ScaledPrice2,7))*(2-(VLOOKUP(A245,ScaledPrice2,3)))),0))</f>
        <v> </v>
      </c>
      <c r="K245" s="317" t="str">
        <f aca="false">IF($A245="N/A"," ",IF(OR(Dayrun2=3,Dayrun2=10),VLOOKUP($A245,ScaledPrice2,9),0))</f>
        <v> </v>
      </c>
      <c r="L245" s="318" t="str">
        <f aca="false">IF($A245="N/A"," ",IF(Pricetype2=2,MAX(C245,0),IF(OR(Pricetype2=1,Pricetype2=4),IF(C245=0,0,(EURO(C245,Strikeprice2,0,0,($AH245+IF(Smile=TRUE(),VLOOKUP(MAX(-5,Strikeprice2-C245),Volsmile,2),0)),($A245-DateToday)+15,IF(Pricetype2=1,1,0),0))),C245)))</f>
        <v> </v>
      </c>
      <c r="M245" s="318" t="str">
        <f aca="false">IF($A245="N/A"," ",IF(Pricetype2=2,MAX(D245,0),IF(OR(Pricetype2=1,Pricetype2=4),IF(D245=0,0,(EURO(D245,Strikeprice2,0,0,($AH245+IF(Smile=TRUE(),VLOOKUP(MAX(-5,Strikeprice2-D245),Volsmile,2),0)),($A245-DateToday)+15,IF(Pricetype2=1,1,0),0))),D245)))</f>
        <v> </v>
      </c>
      <c r="N245" s="318" t="str">
        <f aca="false">IF($A245="N/A"," ",IF(Pricetype2=2,MAX(E245,0),IF(OR(Pricetype2=1,Pricetype2=4),IF(E245=0,0,(EURO(E245,Strikeprice2,0,0,($AK245+IF(Smile=TRUE(),VLOOKUP(MAX(-5,Strikeprice2-E245),Volsmile,2),0)),($A245-DateToday)+15,IF(Pricetype2=1,1,0),0))),E245)))</f>
        <v> </v>
      </c>
      <c r="O245" s="318" t="str">
        <f aca="false">IF($A245="N/A"," ",IF(Pricetype2=2,MAX(F245,0),IF(OR(Pricetype2=1,Pricetype2=4),IF(F245=0,0,(EURO(F245,Strikeprice2,0,0,($AK245+IF(Smile=TRUE(),VLOOKUP(MAX(-5,Strikeprice2-F245),Volsmile,2),0)),($A245-DateToday)+15,IF(Pricetype2=1,1,0),0))),F245)))</f>
        <v> </v>
      </c>
      <c r="P245" s="318" t="str">
        <f aca="false">IF($A245="N/A"," ",IF(Pricetype2=2,MAX(G245,0),IF(OR(Pricetype2=1,Pricetype2=4),IF(G245=0,0,(EURO(G245,Strikeprice2,0,0,($AK245+IF(Smile=TRUE(),VLOOKUP(MAX(-5,Strikeprice2-G245),Volsmile,2),0)),($A245-DateToday)+15,IF(Pricetype2=1,1,0),0))),G245)))</f>
        <v> </v>
      </c>
      <c r="Q245" s="318" t="str">
        <f aca="false">IF($A245="N/A"," ",IF(Pricetype2=2,MAX(H245,0),IF(OR(Pricetype2=1,Pricetype2=4),IF(H245=0,0,(EURO(H245,Strikeprice2,0,0,($AK245+IF(Smile=TRUE(),VLOOKUP(MAX(-5,Strikeprice2-H245),Volsmile,2),0)),($A245-DateToday)+15,IF(Pricetype2=1,1,0),0))),H245)))</f>
        <v> </v>
      </c>
      <c r="R245" s="318" t="str">
        <f aca="false">IF($A245="N/A"," ",IF(Pricetype2=2,MAX(I245,0),IF(OR(Pricetype2=1,Pricetype2=4),IF(I245=0,0,(EURO(I245,Strikeprice2,0,0,($AK245+IF(Smile=TRUE(),VLOOKUP(MAX(-5,Strikeprice2-I245),Volsmile,2),0)),($A245-DateToday)+15,IF(Pricetype2=1,1,0),0))),I245)))</f>
        <v> </v>
      </c>
      <c r="S245" s="318" t="str">
        <f aca="false">IF($A245="N/A"," ",IF(Pricetype2=2,MAX(J245,0),IF(OR(Pricetype2=1,Pricetype2=4),IF(J245=0,0,(EURO(J245,Strikeprice2,0,0,($AK245+IF(Smile=TRUE(),VLOOKUP(MAX(-5,Strikeprice2-J245),Volsmile,2),0)),($A245-DateToday)+15,IF(Pricetype2=1,1,0),0))),J245)))</f>
        <v> </v>
      </c>
      <c r="T245" s="318" t="str">
        <f aca="false">IF($A245="N/A"," ",IF(Pricetype2=2,MAX(K245,0),IF(OR(Pricetype2=1,Pricetype2=4),IF(K245=0,0,(EURO(K245,Strikeprice2,0,0,($AK245+IF(Smile=TRUE(),VLOOKUP(MAX(-5,Strikeprice2-K245),Volsmile,2),0)),($A245-DateToday)+15,IF(Pricetype2=1,1,0),0))),K245)))</f>
        <v> </v>
      </c>
      <c r="U245" s="319" t="str">
        <f aca="false">IF($A245="N/A"," ",Volume2*$AM245)</f>
        <v> </v>
      </c>
      <c r="V245" s="320" t="str">
        <f aca="false">IF($A245="N/A"," ",$U245*(8*($BQ245))*L245)</f>
        <v> </v>
      </c>
      <c r="W245" s="320" t="str">
        <f aca="false">IF($A245="N/A"," ",$U245*(8*($BQ245))*M245)</f>
        <v> </v>
      </c>
      <c r="X245" s="320" t="str">
        <f aca="false">IF($A245="N/A"," ",$U245*(8*($BQ245))*N245)</f>
        <v> </v>
      </c>
      <c r="Y245" s="320" t="str">
        <f aca="false">IF($A245="N/A"," ",$U245*(8*($BR245))*O245)</f>
        <v> </v>
      </c>
      <c r="Z245" s="320" t="str">
        <f aca="false">IF($A245="N/A"," ",$U245*(8*($BR245))*P245)</f>
        <v> </v>
      </c>
      <c r="AA245" s="320" t="str">
        <f aca="false">IF($A245="N/A"," ",$U245*(8*($BR245))*Q245)</f>
        <v> </v>
      </c>
      <c r="AB245" s="320" t="str">
        <f aca="false">IF($A245="N/A"," ",$U245*(8*($BS245))*R245)</f>
        <v> </v>
      </c>
      <c r="AC245" s="320" t="str">
        <f aca="false">IF($A245="N/A"," ",$U245*(8*($BS245))*S245)</f>
        <v> </v>
      </c>
      <c r="AD245" s="320" t="str">
        <f aca="false">IF($A245="N/A"," ",$U245*(8*($BS245))*T245)</f>
        <v> </v>
      </c>
      <c r="AE245" s="320" t="str">
        <f aca="false">IF($A245="N/A"," ",SUM(V245:AD245))</f>
        <v> </v>
      </c>
      <c r="AF245" s="321" t="str">
        <f aca="false">IF(A245="N/A"," ",(VLOOKUP(A245,PowerVolTable,(IF(VolBMO2=2,7,IF(VolBMO2=1,6,8))),FALSE())))</f>
        <v> </v>
      </c>
      <c r="AG245" s="321" t="str">
        <f aca="false">IF(A245="N/A"," ",(VLOOKUP(A245,IntraPowerVol,(IF(VolBMO2=2,3,IF(VolBMO2=1,2,4))),FALSE())*VLOOKUP(MONTH($A245),Volscale,2)))</f>
        <v> </v>
      </c>
      <c r="AH245" s="321" t="str">
        <f aca="false">IF($A245="N/A"," ",IF(VolType2=1,AG245,AF245))</f>
        <v> </v>
      </c>
      <c r="AI245" s="321" t="str">
        <f aca="false">IF($A245="N/A"," ",(VLOOKUP($A245,OffPwrVolTable,(IF(VolBMO2=2,7,IF(VolBMO2=1,6,8))),FALSE())))</f>
        <v> </v>
      </c>
      <c r="AJ245" s="321" t="str">
        <f aca="false">IF($A245="N/A"," ",(VLOOKUP($A245,OffPwrVolTable,(IF(VolBMO2=2,3,IF(VolBMO2=1,2,4))),FALSE())*VLOOKUP(MONTH($A245),Volscale,2)))</f>
        <v> </v>
      </c>
      <c r="AK245" s="321" t="str">
        <f aca="false">IF($A245="N/A"," ",IF(VolType2=1,AJ245,AI245))</f>
        <v> </v>
      </c>
      <c r="AL245" s="321" t="str">
        <f aca="false">IF($A245="N/A"," ",IF(PV=1,0,'Pricing Inputs2'!R278))</f>
        <v> </v>
      </c>
      <c r="AM245" s="323" t="str">
        <f aca="false">IF($A245="N/A"," ",(1+AL245/2)^(-2*((EOMONTH(A245,0)+20)-DateToday)/365.25))</f>
        <v> </v>
      </c>
      <c r="BQ245" s="0" t="str">
        <f aca="false">IF($A245="N/A"," ",(VLOOKUP($A245,NumberofDaysTable,2)))</f>
        <v> </v>
      </c>
      <c r="BR245" s="0" t="str">
        <f aca="false">IF($A245="N/A"," ",(VLOOKUP($A245,NumberofDaysTable,3)))</f>
        <v> </v>
      </c>
      <c r="BS245" s="0" t="str">
        <f aca="false">IF($A245="N/A"," ",(VLOOKUP($A245,NumberofDaysTable,4)))</f>
        <v> </v>
      </c>
    </row>
    <row r="246" customFormat="false" ht="12.75" hidden="false" customHeight="false" outlineLevel="0" collapsed="false">
      <c r="A246" s="315" t="str">
        <f aca="false">IF(A245="N/A","N/A",IF(EDATE(A245,1)&gt;Inputs!$P$5,"N/A",EDATE(A245,1)))</f>
        <v>N/A</v>
      </c>
      <c r="B246" s="316" t="str">
        <f aca="false">IF(A246="N/A"," ",YEAR(A246))</f>
        <v> </v>
      </c>
      <c r="C246" s="317" t="str">
        <f aca="false">IF($A246="N/A"," ",IF(Dayrun2=10,0,IF(Scaler2=1,(VLOOKUP(A246,ScaledPrice2,4)),(VLOOKUP(A246,ScaledPrice2,2)))))</f>
        <v> </v>
      </c>
      <c r="D246" s="317" t="str">
        <f aca="false">IF(A246="N/A"," ",IF(Dayrun2&gt;=7,0,IF(Scaler2=2,VLOOKUP(A246,ScaledPrice2,2),(VLOOKUP(A246,ScaledPrice2,2))*(2-(VLOOKUP(A246,ScaledPrice2,3))))))</f>
        <v> </v>
      </c>
      <c r="E246" s="317" t="str">
        <f aca="false">IF($A246="N/A"," ",IF(AND(Dayrun2&gt;=4,Dayrun2&lt;=9),0,VLOOKUP($A246,ScaledPrice2,9)))</f>
        <v> </v>
      </c>
      <c r="F246" s="317" t="str">
        <f aca="false">IF(A246="N/A"," ",IF(OR(Dayrun2=2,Dayrun2=3,Dayrun2=5,Dayrun2=6,Dayrun2=8,Dayrun2=9),VLOOKUP(A246,ScaledPrice2,IF(Scaler2=1,6,5)),0))</f>
        <v> </v>
      </c>
      <c r="G246" s="317" t="str">
        <f aca="false">IF(A246="N/A"," ",IF(OR(Dayrun2=2,Dayrun2=3,Dayrun2=5,Dayrun2=6),IF(Scaler2=2,F246,(VLOOKUP(A246,ScaledPrice2,5))*(2-(VLOOKUP(A246,ScaledPrice2,3)))),0))</f>
        <v> </v>
      </c>
      <c r="H246" s="317" t="str">
        <f aca="false">IF($A246="N/A"," ",IF(OR(Dayrun2=2,Dayrun2=3,Dayrun2=10),VLOOKUP($A246,ScaledPrice2,9),0))</f>
        <v> </v>
      </c>
      <c r="I246" s="317" t="str">
        <f aca="false">IF(A246="N/A"," ",IF(OR(Dayrun2=3,Dayrun2=6,Dayrun2=9),(VLOOKUP(A246,ScaledPrice2,IF(Scaler2=2,7,8))),0))</f>
        <v> </v>
      </c>
      <c r="J246" s="317" t="str">
        <f aca="false">IF(A246="N/A"," ",IF(OR(Dayrun2=3,Dayrun2=6),IF(Scaler2=2,I246,(VLOOKUP(A246,ScaledPrice2,7))*(2-(VLOOKUP(A246,ScaledPrice2,3)))),0))</f>
        <v> </v>
      </c>
      <c r="K246" s="317" t="str">
        <f aca="false">IF($A246="N/A"," ",IF(OR(Dayrun2=3,Dayrun2=10),VLOOKUP($A246,ScaledPrice2,9),0))</f>
        <v> </v>
      </c>
      <c r="L246" s="318" t="str">
        <f aca="false">IF($A246="N/A"," ",IF(Pricetype2=2,MAX(C246,0),IF(OR(Pricetype2=1,Pricetype2=4),IF(C246=0,0,(EURO(C246,Strikeprice2,0,0,($AH246+IF(Smile=TRUE(),VLOOKUP(MAX(-5,Strikeprice2-C246),Volsmile,2),0)),($A246-DateToday)+15,IF(Pricetype2=1,1,0),0))),C246)))</f>
        <v> </v>
      </c>
      <c r="M246" s="318" t="str">
        <f aca="false">IF($A246="N/A"," ",IF(Pricetype2=2,MAX(D246,0),IF(OR(Pricetype2=1,Pricetype2=4),IF(D246=0,0,(EURO(D246,Strikeprice2,0,0,($AH246+IF(Smile=TRUE(),VLOOKUP(MAX(-5,Strikeprice2-D246),Volsmile,2),0)),($A246-DateToday)+15,IF(Pricetype2=1,1,0),0))),D246)))</f>
        <v> </v>
      </c>
      <c r="N246" s="318" t="str">
        <f aca="false">IF($A246="N/A"," ",IF(Pricetype2=2,MAX(E246,0),IF(OR(Pricetype2=1,Pricetype2=4),IF(E246=0,0,(EURO(E246,Strikeprice2,0,0,($AK246+IF(Smile=TRUE(),VLOOKUP(MAX(-5,Strikeprice2-E246),Volsmile,2),0)),($A246-DateToday)+15,IF(Pricetype2=1,1,0),0))),E246)))</f>
        <v> </v>
      </c>
      <c r="O246" s="318" t="str">
        <f aca="false">IF($A246="N/A"," ",IF(Pricetype2=2,MAX(F246,0),IF(OR(Pricetype2=1,Pricetype2=4),IF(F246=0,0,(EURO(F246,Strikeprice2,0,0,($AK246+IF(Smile=TRUE(),VLOOKUP(MAX(-5,Strikeprice2-F246),Volsmile,2),0)),($A246-DateToday)+15,IF(Pricetype2=1,1,0),0))),F246)))</f>
        <v> </v>
      </c>
      <c r="P246" s="318" t="str">
        <f aca="false">IF($A246="N/A"," ",IF(Pricetype2=2,MAX(G246,0),IF(OR(Pricetype2=1,Pricetype2=4),IF(G246=0,0,(EURO(G246,Strikeprice2,0,0,($AK246+IF(Smile=TRUE(),VLOOKUP(MAX(-5,Strikeprice2-G246),Volsmile,2),0)),($A246-DateToday)+15,IF(Pricetype2=1,1,0),0))),G246)))</f>
        <v> </v>
      </c>
      <c r="Q246" s="318" t="str">
        <f aca="false">IF($A246="N/A"," ",IF(Pricetype2=2,MAX(H246,0),IF(OR(Pricetype2=1,Pricetype2=4),IF(H246=0,0,(EURO(H246,Strikeprice2,0,0,($AK246+IF(Smile=TRUE(),VLOOKUP(MAX(-5,Strikeprice2-H246),Volsmile,2),0)),($A246-DateToday)+15,IF(Pricetype2=1,1,0),0))),H246)))</f>
        <v> </v>
      </c>
      <c r="R246" s="318" t="str">
        <f aca="false">IF($A246="N/A"," ",IF(Pricetype2=2,MAX(I246,0),IF(OR(Pricetype2=1,Pricetype2=4),IF(I246=0,0,(EURO(I246,Strikeprice2,0,0,($AK246+IF(Smile=TRUE(),VLOOKUP(MAX(-5,Strikeprice2-I246),Volsmile,2),0)),($A246-DateToday)+15,IF(Pricetype2=1,1,0),0))),I246)))</f>
        <v> </v>
      </c>
      <c r="S246" s="318" t="str">
        <f aca="false">IF($A246="N/A"," ",IF(Pricetype2=2,MAX(J246,0),IF(OR(Pricetype2=1,Pricetype2=4),IF(J246=0,0,(EURO(J246,Strikeprice2,0,0,($AK246+IF(Smile=TRUE(),VLOOKUP(MAX(-5,Strikeprice2-J246),Volsmile,2),0)),($A246-DateToday)+15,IF(Pricetype2=1,1,0),0))),J246)))</f>
        <v> </v>
      </c>
      <c r="T246" s="318" t="str">
        <f aca="false">IF($A246="N/A"," ",IF(Pricetype2=2,MAX(K246,0),IF(OR(Pricetype2=1,Pricetype2=4),IF(K246=0,0,(EURO(K246,Strikeprice2,0,0,($AK246+IF(Smile=TRUE(),VLOOKUP(MAX(-5,Strikeprice2-K246),Volsmile,2),0)),($A246-DateToday)+15,IF(Pricetype2=1,1,0),0))),K246)))</f>
        <v> </v>
      </c>
      <c r="U246" s="319" t="str">
        <f aca="false">IF($A246="N/A"," ",Volume2*$AM246)</f>
        <v> </v>
      </c>
      <c r="V246" s="320" t="str">
        <f aca="false">IF($A246="N/A"," ",$U246*(8*($BQ246))*L246)</f>
        <v> </v>
      </c>
      <c r="W246" s="320" t="str">
        <f aca="false">IF($A246="N/A"," ",$U246*(8*($BQ246))*M246)</f>
        <v> </v>
      </c>
      <c r="X246" s="320" t="str">
        <f aca="false">IF($A246="N/A"," ",$U246*(8*($BQ246))*N246)</f>
        <v> </v>
      </c>
      <c r="Y246" s="320" t="str">
        <f aca="false">IF($A246="N/A"," ",$U246*(8*($BR246))*O246)</f>
        <v> </v>
      </c>
      <c r="Z246" s="320" t="str">
        <f aca="false">IF($A246="N/A"," ",$U246*(8*($BR246))*P246)</f>
        <v> </v>
      </c>
      <c r="AA246" s="320" t="str">
        <f aca="false">IF($A246="N/A"," ",$U246*(8*($BR246))*Q246)</f>
        <v> </v>
      </c>
      <c r="AB246" s="320" t="str">
        <f aca="false">IF($A246="N/A"," ",$U246*(8*($BS246))*R246)</f>
        <v> </v>
      </c>
      <c r="AC246" s="320" t="str">
        <f aca="false">IF($A246="N/A"," ",$U246*(8*($BS246))*S246)</f>
        <v> </v>
      </c>
      <c r="AD246" s="320" t="str">
        <f aca="false">IF($A246="N/A"," ",$U246*(8*($BS246))*T246)</f>
        <v> </v>
      </c>
      <c r="AE246" s="320" t="str">
        <f aca="false">IF($A246="N/A"," ",SUM(V246:AD246))</f>
        <v> </v>
      </c>
      <c r="AF246" s="321" t="str">
        <f aca="false">IF(A246="N/A"," ",(VLOOKUP(A246,PowerVolTable,(IF(VolBMO2=2,7,IF(VolBMO2=1,6,8))),FALSE())))</f>
        <v> </v>
      </c>
      <c r="AG246" s="321" t="str">
        <f aca="false">IF(A246="N/A"," ",(VLOOKUP(A246,IntraPowerVol,(IF(VolBMO2=2,3,IF(VolBMO2=1,2,4))),FALSE())*VLOOKUP(MONTH($A246),Volscale,2)))</f>
        <v> </v>
      </c>
      <c r="AH246" s="321" t="str">
        <f aca="false">IF($A246="N/A"," ",IF(VolType2=1,AG246,AF246))</f>
        <v> </v>
      </c>
      <c r="AI246" s="321" t="str">
        <f aca="false">IF($A246="N/A"," ",(VLOOKUP($A246,OffPwrVolTable,(IF(VolBMO2=2,7,IF(VolBMO2=1,6,8))),FALSE())))</f>
        <v> </v>
      </c>
      <c r="AJ246" s="321" t="str">
        <f aca="false">IF($A246="N/A"," ",(VLOOKUP($A246,OffPwrVolTable,(IF(VolBMO2=2,3,IF(VolBMO2=1,2,4))),FALSE())*VLOOKUP(MONTH($A246),Volscale,2)))</f>
        <v> </v>
      </c>
      <c r="AK246" s="321" t="str">
        <f aca="false">IF($A246="N/A"," ",IF(VolType2=1,AJ246,AI246))</f>
        <v> </v>
      </c>
      <c r="AL246" s="321" t="str">
        <f aca="false">IF($A246="N/A"," ",IF(PV=1,0,'Pricing Inputs2'!R279))</f>
        <v> </v>
      </c>
      <c r="AM246" s="323" t="str">
        <f aca="false">IF($A246="N/A"," ",(1+AL246/2)^(-2*((EOMONTH(A246,0)+20)-DateToday)/365.25))</f>
        <v> </v>
      </c>
      <c r="BQ246" s="0" t="str">
        <f aca="false">IF($A246="N/A"," ",(VLOOKUP($A246,NumberofDaysTable,2)))</f>
        <v> </v>
      </c>
      <c r="BR246" s="0" t="str">
        <f aca="false">IF($A246="N/A"," ",(VLOOKUP($A246,NumberofDaysTable,3)))</f>
        <v> </v>
      </c>
      <c r="BS246" s="0" t="str">
        <f aca="false">IF($A246="N/A"," ",(VLOOKUP($A246,NumberofDaysTable,4)))</f>
        <v> </v>
      </c>
    </row>
    <row r="247" customFormat="false" ht="12.75" hidden="false" customHeight="false" outlineLevel="0" collapsed="false">
      <c r="A247" s="315" t="str">
        <f aca="false">IF(A246="N/A","N/A",IF(EDATE(A246,1)&gt;Inputs!$P$5,"N/A",EDATE(A246,1)))</f>
        <v>N/A</v>
      </c>
      <c r="B247" s="316" t="str">
        <f aca="false">IF(A247="N/A"," ",YEAR(A247))</f>
        <v> </v>
      </c>
      <c r="C247" s="317" t="str">
        <f aca="false">IF($A247="N/A"," ",IF(Dayrun2=10,0,IF(Scaler2=1,(VLOOKUP(A247,ScaledPrice2,4)),(VLOOKUP(A247,ScaledPrice2,2)))))</f>
        <v> </v>
      </c>
      <c r="D247" s="317" t="str">
        <f aca="false">IF(A247="N/A"," ",IF(Dayrun2&gt;=7,0,IF(Scaler2=2,VLOOKUP(A247,ScaledPrice2,2),(VLOOKUP(A247,ScaledPrice2,2))*(2-(VLOOKUP(A247,ScaledPrice2,3))))))</f>
        <v> </v>
      </c>
      <c r="E247" s="317" t="str">
        <f aca="false">IF($A247="N/A"," ",IF(AND(Dayrun2&gt;=4,Dayrun2&lt;=9),0,VLOOKUP($A247,ScaledPrice2,9)))</f>
        <v> </v>
      </c>
      <c r="F247" s="317" t="str">
        <f aca="false">IF(A247="N/A"," ",IF(OR(Dayrun2=2,Dayrun2=3,Dayrun2=5,Dayrun2=6,Dayrun2=8,Dayrun2=9),VLOOKUP(A247,ScaledPrice2,IF(Scaler2=1,6,5)),0))</f>
        <v> </v>
      </c>
      <c r="G247" s="317" t="str">
        <f aca="false">IF(A247="N/A"," ",IF(OR(Dayrun2=2,Dayrun2=3,Dayrun2=5,Dayrun2=6),IF(Scaler2=2,F247,(VLOOKUP(A247,ScaledPrice2,5))*(2-(VLOOKUP(A247,ScaledPrice2,3)))),0))</f>
        <v> </v>
      </c>
      <c r="H247" s="317" t="str">
        <f aca="false">IF($A247="N/A"," ",IF(OR(Dayrun2=2,Dayrun2=3,Dayrun2=10),VLOOKUP($A247,ScaledPrice2,9),0))</f>
        <v> </v>
      </c>
      <c r="I247" s="317" t="str">
        <f aca="false">IF(A247="N/A"," ",IF(OR(Dayrun2=3,Dayrun2=6,Dayrun2=9),(VLOOKUP(A247,ScaledPrice2,IF(Scaler2=2,7,8))),0))</f>
        <v> </v>
      </c>
      <c r="J247" s="317" t="str">
        <f aca="false">IF(A247="N/A"," ",IF(OR(Dayrun2=3,Dayrun2=6),IF(Scaler2=2,I247,(VLOOKUP(A247,ScaledPrice2,7))*(2-(VLOOKUP(A247,ScaledPrice2,3)))),0))</f>
        <v> </v>
      </c>
      <c r="K247" s="317" t="str">
        <f aca="false">IF($A247="N/A"," ",IF(OR(Dayrun2=3,Dayrun2=10),VLOOKUP($A247,ScaledPrice2,9),0))</f>
        <v> </v>
      </c>
      <c r="L247" s="318" t="str">
        <f aca="false">IF($A247="N/A"," ",IF(Pricetype2=2,MAX(C247,0),IF(OR(Pricetype2=1,Pricetype2=4),IF(C247=0,0,(EURO(C247,Strikeprice2,0,0,($AH247+IF(Smile=TRUE(),VLOOKUP(MAX(-5,Strikeprice2-C247),Volsmile,2),0)),($A247-DateToday)+15,IF(Pricetype2=1,1,0),0))),C247)))</f>
        <v> </v>
      </c>
      <c r="M247" s="318" t="str">
        <f aca="false">IF($A247="N/A"," ",IF(Pricetype2=2,MAX(D247,0),IF(OR(Pricetype2=1,Pricetype2=4),IF(D247=0,0,(EURO(D247,Strikeprice2,0,0,($AH247+IF(Smile=TRUE(),VLOOKUP(MAX(-5,Strikeprice2-D247),Volsmile,2),0)),($A247-DateToday)+15,IF(Pricetype2=1,1,0),0))),D247)))</f>
        <v> </v>
      </c>
      <c r="N247" s="318" t="str">
        <f aca="false">IF($A247="N/A"," ",IF(Pricetype2=2,MAX(E247,0),IF(OR(Pricetype2=1,Pricetype2=4),IF(E247=0,0,(EURO(E247,Strikeprice2,0,0,($AK247+IF(Smile=TRUE(),VLOOKUP(MAX(-5,Strikeprice2-E247),Volsmile,2),0)),($A247-DateToday)+15,IF(Pricetype2=1,1,0),0))),E247)))</f>
        <v> </v>
      </c>
      <c r="O247" s="318" t="str">
        <f aca="false">IF($A247="N/A"," ",IF(Pricetype2=2,MAX(F247,0),IF(OR(Pricetype2=1,Pricetype2=4),IF(F247=0,0,(EURO(F247,Strikeprice2,0,0,($AK247+IF(Smile=TRUE(),VLOOKUP(MAX(-5,Strikeprice2-F247),Volsmile,2),0)),($A247-DateToday)+15,IF(Pricetype2=1,1,0),0))),F247)))</f>
        <v> </v>
      </c>
      <c r="P247" s="318" t="str">
        <f aca="false">IF($A247="N/A"," ",IF(Pricetype2=2,MAX(G247,0),IF(OR(Pricetype2=1,Pricetype2=4),IF(G247=0,0,(EURO(G247,Strikeprice2,0,0,($AK247+IF(Smile=TRUE(),VLOOKUP(MAX(-5,Strikeprice2-G247),Volsmile,2),0)),($A247-DateToday)+15,IF(Pricetype2=1,1,0),0))),G247)))</f>
        <v> </v>
      </c>
      <c r="Q247" s="318" t="str">
        <f aca="false">IF($A247="N/A"," ",IF(Pricetype2=2,MAX(H247,0),IF(OR(Pricetype2=1,Pricetype2=4),IF(H247=0,0,(EURO(H247,Strikeprice2,0,0,($AK247+IF(Smile=TRUE(),VLOOKUP(MAX(-5,Strikeprice2-H247),Volsmile,2),0)),($A247-DateToday)+15,IF(Pricetype2=1,1,0),0))),H247)))</f>
        <v> </v>
      </c>
      <c r="R247" s="318" t="str">
        <f aca="false">IF($A247="N/A"," ",IF(Pricetype2=2,MAX(I247,0),IF(OR(Pricetype2=1,Pricetype2=4),IF(I247=0,0,(EURO(I247,Strikeprice2,0,0,($AK247+IF(Smile=TRUE(),VLOOKUP(MAX(-5,Strikeprice2-I247),Volsmile,2),0)),($A247-DateToday)+15,IF(Pricetype2=1,1,0),0))),I247)))</f>
        <v> </v>
      </c>
      <c r="S247" s="318" t="str">
        <f aca="false">IF($A247="N/A"," ",IF(Pricetype2=2,MAX(J247,0),IF(OR(Pricetype2=1,Pricetype2=4),IF(J247=0,0,(EURO(J247,Strikeprice2,0,0,($AK247+IF(Smile=TRUE(),VLOOKUP(MAX(-5,Strikeprice2-J247),Volsmile,2),0)),($A247-DateToday)+15,IF(Pricetype2=1,1,0),0))),J247)))</f>
        <v> </v>
      </c>
      <c r="T247" s="318" t="str">
        <f aca="false">IF($A247="N/A"," ",IF(Pricetype2=2,MAX(K247,0),IF(OR(Pricetype2=1,Pricetype2=4),IF(K247=0,0,(EURO(K247,Strikeprice2,0,0,($AK247+IF(Smile=TRUE(),VLOOKUP(MAX(-5,Strikeprice2-K247),Volsmile,2),0)),($A247-DateToday)+15,IF(Pricetype2=1,1,0),0))),K247)))</f>
        <v> </v>
      </c>
      <c r="U247" s="319" t="str">
        <f aca="false">IF($A247="N/A"," ",Volume2*$AM247)</f>
        <v> </v>
      </c>
      <c r="V247" s="320" t="str">
        <f aca="false">IF($A247="N/A"," ",$U247*(8*($BQ247))*L247)</f>
        <v> </v>
      </c>
      <c r="W247" s="320" t="str">
        <f aca="false">IF($A247="N/A"," ",$U247*(8*($BQ247))*M247)</f>
        <v> </v>
      </c>
      <c r="X247" s="320" t="str">
        <f aca="false">IF($A247="N/A"," ",$U247*(8*($BQ247))*N247)</f>
        <v> </v>
      </c>
      <c r="Y247" s="320" t="str">
        <f aca="false">IF($A247="N/A"," ",$U247*(8*($BR247))*O247)</f>
        <v> </v>
      </c>
      <c r="Z247" s="320" t="str">
        <f aca="false">IF($A247="N/A"," ",$U247*(8*($BR247))*P247)</f>
        <v> </v>
      </c>
      <c r="AA247" s="320" t="str">
        <f aca="false">IF($A247="N/A"," ",$U247*(8*($BR247))*Q247)</f>
        <v> </v>
      </c>
      <c r="AB247" s="320" t="str">
        <f aca="false">IF($A247="N/A"," ",$U247*(8*($BS247))*R247)</f>
        <v> </v>
      </c>
      <c r="AC247" s="320" t="str">
        <f aca="false">IF($A247="N/A"," ",$U247*(8*($BS247))*S247)</f>
        <v> </v>
      </c>
      <c r="AD247" s="320" t="str">
        <f aca="false">IF($A247="N/A"," ",$U247*(8*($BS247))*T247)</f>
        <v> </v>
      </c>
      <c r="AE247" s="320" t="str">
        <f aca="false">IF($A247="N/A"," ",SUM(V247:AD247))</f>
        <v> </v>
      </c>
      <c r="AF247" s="321" t="str">
        <f aca="false">IF(A247="N/A"," ",(VLOOKUP(A247,PowerVolTable,(IF(VolBMO2=2,7,IF(VolBMO2=1,6,8))),FALSE())))</f>
        <v> </v>
      </c>
      <c r="AG247" s="321" t="str">
        <f aca="false">IF(A247="N/A"," ",(VLOOKUP(A247,IntraPowerVol,(IF(VolBMO2=2,3,IF(VolBMO2=1,2,4))),FALSE())*VLOOKUP(MONTH($A247),Volscale,2)))</f>
        <v> </v>
      </c>
      <c r="AH247" s="321" t="str">
        <f aca="false">IF($A247="N/A"," ",IF(VolType2=1,AG247,AF247))</f>
        <v> </v>
      </c>
      <c r="AI247" s="321" t="str">
        <f aca="false">IF($A247="N/A"," ",(VLOOKUP($A247,OffPwrVolTable,(IF(VolBMO2=2,7,IF(VolBMO2=1,6,8))),FALSE())))</f>
        <v> </v>
      </c>
      <c r="AJ247" s="321" t="str">
        <f aca="false">IF($A247="N/A"," ",(VLOOKUP($A247,OffPwrVolTable,(IF(VolBMO2=2,3,IF(VolBMO2=1,2,4))),FALSE())*VLOOKUP(MONTH($A247),Volscale,2)))</f>
        <v> </v>
      </c>
      <c r="AK247" s="321" t="str">
        <f aca="false">IF($A247="N/A"," ",IF(VolType2=1,AJ247,AI247))</f>
        <v> </v>
      </c>
      <c r="AL247" s="321" t="str">
        <f aca="false">IF($A247="N/A"," ",IF(PV=1,0,'Pricing Inputs2'!R280))</f>
        <v> </v>
      </c>
      <c r="AM247" s="323" t="str">
        <f aca="false">IF($A247="N/A"," ",(1+AL247/2)^(-2*((EOMONTH(A247,0)+20)-DateToday)/365.25))</f>
        <v> </v>
      </c>
      <c r="BQ247" s="0" t="str">
        <f aca="false">IF($A247="N/A"," ",(VLOOKUP($A247,NumberofDaysTable,2)))</f>
        <v> </v>
      </c>
      <c r="BR247" s="0" t="str">
        <f aca="false">IF($A247="N/A"," ",(VLOOKUP($A247,NumberofDaysTable,3)))</f>
        <v> </v>
      </c>
      <c r="BS247" s="0" t="str">
        <f aca="false">IF($A247="N/A"," ",(VLOOKUP($A247,NumberofDaysTable,4)))</f>
        <v> </v>
      </c>
    </row>
    <row r="248" customFormat="false" ht="12.75" hidden="false" customHeight="false" outlineLevel="0" collapsed="false">
      <c r="A248" s="315" t="str">
        <f aca="false">IF(A247="N/A","N/A",IF(EDATE(A247,1)&gt;Inputs!$P$5,"N/A",EDATE(A247,1)))</f>
        <v>N/A</v>
      </c>
      <c r="B248" s="316" t="str">
        <f aca="false">IF(A248="N/A"," ",YEAR(A248))</f>
        <v> </v>
      </c>
      <c r="C248" s="317" t="str">
        <f aca="false">IF($A248="N/A"," ",IF(Dayrun2=10,0,IF(Scaler2=1,(VLOOKUP(A248,ScaledPrice2,4)),(VLOOKUP(A248,ScaledPrice2,2)))))</f>
        <v> </v>
      </c>
      <c r="D248" s="317" t="str">
        <f aca="false">IF(A248="N/A"," ",IF(Dayrun2&gt;=7,0,IF(Scaler2=2,VLOOKUP(A248,ScaledPrice2,2),(VLOOKUP(A248,ScaledPrice2,2))*(2-(VLOOKUP(A248,ScaledPrice2,3))))))</f>
        <v> </v>
      </c>
      <c r="E248" s="317" t="str">
        <f aca="false">IF($A248="N/A"," ",IF(AND(Dayrun2&gt;=4,Dayrun2&lt;=9),0,VLOOKUP($A248,ScaledPrice2,9)))</f>
        <v> </v>
      </c>
      <c r="F248" s="317" t="str">
        <f aca="false">IF(A248="N/A"," ",IF(OR(Dayrun2=2,Dayrun2=3,Dayrun2=5,Dayrun2=6,Dayrun2=8,Dayrun2=9),VLOOKUP(A248,ScaledPrice2,IF(Scaler2=1,6,5)),0))</f>
        <v> </v>
      </c>
      <c r="G248" s="317" t="str">
        <f aca="false">IF(A248="N/A"," ",IF(OR(Dayrun2=2,Dayrun2=3,Dayrun2=5,Dayrun2=6),IF(Scaler2=2,F248,(VLOOKUP(A248,ScaledPrice2,5))*(2-(VLOOKUP(A248,ScaledPrice2,3)))),0))</f>
        <v> </v>
      </c>
      <c r="H248" s="317" t="str">
        <f aca="false">IF($A248="N/A"," ",IF(OR(Dayrun2=2,Dayrun2=3,Dayrun2=10),VLOOKUP($A248,ScaledPrice2,9),0))</f>
        <v> </v>
      </c>
      <c r="I248" s="317" t="str">
        <f aca="false">IF(A248="N/A"," ",IF(OR(Dayrun2=3,Dayrun2=6,Dayrun2=9),(VLOOKUP(A248,ScaledPrice2,IF(Scaler2=2,7,8))),0))</f>
        <v> </v>
      </c>
      <c r="J248" s="317" t="str">
        <f aca="false">IF(A248="N/A"," ",IF(OR(Dayrun2=3,Dayrun2=6),IF(Scaler2=2,I248,(VLOOKUP(A248,ScaledPrice2,7))*(2-(VLOOKUP(A248,ScaledPrice2,3)))),0))</f>
        <v> </v>
      </c>
      <c r="K248" s="317" t="str">
        <f aca="false">IF($A248="N/A"," ",IF(OR(Dayrun2=3,Dayrun2=10),VLOOKUP($A248,ScaledPrice2,9),0))</f>
        <v> </v>
      </c>
      <c r="L248" s="318" t="str">
        <f aca="false">IF($A248="N/A"," ",IF(Pricetype2=2,MAX(C248,0),IF(OR(Pricetype2=1,Pricetype2=4),IF(C248=0,0,(EURO(C248,Strikeprice2,0,0,($AH248+IF(Smile=TRUE(),VLOOKUP(MAX(-5,Strikeprice2-C248),Volsmile,2),0)),($A248-DateToday)+15,IF(Pricetype2=1,1,0),0))),C248)))</f>
        <v> </v>
      </c>
      <c r="M248" s="318" t="str">
        <f aca="false">IF($A248="N/A"," ",IF(Pricetype2=2,MAX(D248,0),IF(OR(Pricetype2=1,Pricetype2=4),IF(D248=0,0,(EURO(D248,Strikeprice2,0,0,($AH248+IF(Smile=TRUE(),VLOOKUP(MAX(-5,Strikeprice2-D248),Volsmile,2),0)),($A248-DateToday)+15,IF(Pricetype2=1,1,0),0))),D248)))</f>
        <v> </v>
      </c>
      <c r="N248" s="318" t="str">
        <f aca="false">IF($A248="N/A"," ",IF(Pricetype2=2,MAX(E248,0),IF(OR(Pricetype2=1,Pricetype2=4),IF(E248=0,0,(EURO(E248,Strikeprice2,0,0,($AK248+IF(Smile=TRUE(),VLOOKUP(MAX(-5,Strikeprice2-E248),Volsmile,2),0)),($A248-DateToday)+15,IF(Pricetype2=1,1,0),0))),E248)))</f>
        <v> </v>
      </c>
      <c r="O248" s="318" t="str">
        <f aca="false">IF($A248="N/A"," ",IF(Pricetype2=2,MAX(F248,0),IF(OR(Pricetype2=1,Pricetype2=4),IF(F248=0,0,(EURO(F248,Strikeprice2,0,0,($AK248+IF(Smile=TRUE(),VLOOKUP(MAX(-5,Strikeprice2-F248),Volsmile,2),0)),($A248-DateToday)+15,IF(Pricetype2=1,1,0),0))),F248)))</f>
        <v> </v>
      </c>
      <c r="P248" s="318" t="str">
        <f aca="false">IF($A248="N/A"," ",IF(Pricetype2=2,MAX(G248,0),IF(OR(Pricetype2=1,Pricetype2=4),IF(G248=0,0,(EURO(G248,Strikeprice2,0,0,($AK248+IF(Smile=TRUE(),VLOOKUP(MAX(-5,Strikeprice2-G248),Volsmile,2),0)),($A248-DateToday)+15,IF(Pricetype2=1,1,0),0))),G248)))</f>
        <v> </v>
      </c>
      <c r="Q248" s="318" t="str">
        <f aca="false">IF($A248="N/A"," ",IF(Pricetype2=2,MAX(H248,0),IF(OR(Pricetype2=1,Pricetype2=4),IF(H248=0,0,(EURO(H248,Strikeprice2,0,0,($AK248+IF(Smile=TRUE(),VLOOKUP(MAX(-5,Strikeprice2-H248),Volsmile,2),0)),($A248-DateToday)+15,IF(Pricetype2=1,1,0),0))),H248)))</f>
        <v> </v>
      </c>
      <c r="R248" s="318" t="str">
        <f aca="false">IF($A248="N/A"," ",IF(Pricetype2=2,MAX(I248,0),IF(OR(Pricetype2=1,Pricetype2=4),IF(I248=0,0,(EURO(I248,Strikeprice2,0,0,($AK248+IF(Smile=TRUE(),VLOOKUP(MAX(-5,Strikeprice2-I248),Volsmile,2),0)),($A248-DateToday)+15,IF(Pricetype2=1,1,0),0))),I248)))</f>
        <v> </v>
      </c>
      <c r="S248" s="318" t="str">
        <f aca="false">IF($A248="N/A"," ",IF(Pricetype2=2,MAX(J248,0),IF(OR(Pricetype2=1,Pricetype2=4),IF(J248=0,0,(EURO(J248,Strikeprice2,0,0,($AK248+IF(Smile=TRUE(),VLOOKUP(MAX(-5,Strikeprice2-J248),Volsmile,2),0)),($A248-DateToday)+15,IF(Pricetype2=1,1,0),0))),J248)))</f>
        <v> </v>
      </c>
      <c r="T248" s="318" t="str">
        <f aca="false">IF($A248="N/A"," ",IF(Pricetype2=2,MAX(K248,0),IF(OR(Pricetype2=1,Pricetype2=4),IF(K248=0,0,(EURO(K248,Strikeprice2,0,0,($AK248+IF(Smile=TRUE(),VLOOKUP(MAX(-5,Strikeprice2-K248),Volsmile,2),0)),($A248-DateToday)+15,IF(Pricetype2=1,1,0),0))),K248)))</f>
        <v> </v>
      </c>
      <c r="U248" s="319" t="str">
        <f aca="false">IF($A248="N/A"," ",Volume2*$AM248)</f>
        <v> </v>
      </c>
      <c r="V248" s="320" t="str">
        <f aca="false">IF($A248="N/A"," ",$U248*(8*($BQ248))*L248)</f>
        <v> </v>
      </c>
      <c r="W248" s="320" t="str">
        <f aca="false">IF($A248="N/A"," ",$U248*(8*($BQ248))*M248)</f>
        <v> </v>
      </c>
      <c r="X248" s="320" t="str">
        <f aca="false">IF($A248="N/A"," ",$U248*(8*($BQ248))*N248)</f>
        <v> </v>
      </c>
      <c r="Y248" s="320" t="str">
        <f aca="false">IF($A248="N/A"," ",$U248*(8*($BR248))*O248)</f>
        <v> </v>
      </c>
      <c r="Z248" s="320" t="str">
        <f aca="false">IF($A248="N/A"," ",$U248*(8*($BR248))*P248)</f>
        <v> </v>
      </c>
      <c r="AA248" s="320" t="str">
        <f aca="false">IF($A248="N/A"," ",$U248*(8*($BR248))*Q248)</f>
        <v> </v>
      </c>
      <c r="AB248" s="320" t="str">
        <f aca="false">IF($A248="N/A"," ",$U248*(8*($BS248))*R248)</f>
        <v> </v>
      </c>
      <c r="AC248" s="320" t="str">
        <f aca="false">IF($A248="N/A"," ",$U248*(8*($BS248))*S248)</f>
        <v> </v>
      </c>
      <c r="AD248" s="320" t="str">
        <f aca="false">IF($A248="N/A"," ",$U248*(8*($BS248))*T248)</f>
        <v> </v>
      </c>
      <c r="AE248" s="320" t="str">
        <f aca="false">IF($A248="N/A"," ",SUM(V248:AD248))</f>
        <v> </v>
      </c>
      <c r="AF248" s="321" t="str">
        <f aca="false">IF(A248="N/A"," ",(VLOOKUP(A248,PowerVolTable,(IF(VolBMO2=2,7,IF(VolBMO2=1,6,8))),FALSE())))</f>
        <v> </v>
      </c>
      <c r="AG248" s="321" t="str">
        <f aca="false">IF(A248="N/A"," ",(VLOOKUP(A248,IntraPowerVol,(IF(VolBMO2=2,3,IF(VolBMO2=1,2,4))),FALSE())*VLOOKUP(MONTH($A248),Volscale,2)))</f>
        <v> </v>
      </c>
      <c r="AH248" s="321" t="str">
        <f aca="false">IF($A248="N/A"," ",IF(VolType2=1,AG248,AF248))</f>
        <v> </v>
      </c>
      <c r="AI248" s="321" t="str">
        <f aca="false">IF($A248="N/A"," ",(VLOOKUP($A248,OffPwrVolTable,(IF(VolBMO2=2,7,IF(VolBMO2=1,6,8))),FALSE())))</f>
        <v> </v>
      </c>
      <c r="AJ248" s="321" t="str">
        <f aca="false">IF($A248="N/A"," ",(VLOOKUP($A248,OffPwrVolTable,(IF(VolBMO2=2,3,IF(VolBMO2=1,2,4))),FALSE())*VLOOKUP(MONTH($A248),Volscale,2)))</f>
        <v> </v>
      </c>
      <c r="AK248" s="321" t="str">
        <f aca="false">IF($A248="N/A"," ",IF(VolType2=1,AJ248,AI248))</f>
        <v> </v>
      </c>
      <c r="AL248" s="321" t="str">
        <f aca="false">IF($A248="N/A"," ",IF(PV=1,0,'Pricing Inputs2'!R281))</f>
        <v> </v>
      </c>
      <c r="AM248" s="323" t="str">
        <f aca="false">IF($A248="N/A"," ",(1+AL248/2)^(-2*((EOMONTH(A248,0)+20)-DateToday)/365.25))</f>
        <v> </v>
      </c>
      <c r="BQ248" s="0" t="str">
        <f aca="false">IF($A248="N/A"," ",(VLOOKUP($A248,NumberofDaysTable,2)))</f>
        <v> </v>
      </c>
      <c r="BR248" s="0" t="str">
        <f aca="false">IF($A248="N/A"," ",(VLOOKUP($A248,NumberofDaysTable,3)))</f>
        <v> </v>
      </c>
      <c r="BS248" s="0" t="str">
        <f aca="false">IF($A248="N/A"," ",(VLOOKUP($A248,NumberofDaysTable,4)))</f>
        <v> </v>
      </c>
    </row>
    <row r="249" customFormat="false" ht="12.75" hidden="false" customHeight="false" outlineLevel="0" collapsed="false">
      <c r="A249" s="315" t="str">
        <f aca="false">IF(A248="N/A","N/A",IF(EDATE(A248,1)&gt;Inputs!$P$5,"N/A",EDATE(A248,1)))</f>
        <v>N/A</v>
      </c>
      <c r="B249" s="316" t="str">
        <f aca="false">IF(A249="N/A"," ",YEAR(A249))</f>
        <v> </v>
      </c>
      <c r="C249" s="317" t="str">
        <f aca="false">IF($A249="N/A"," ",IF(Dayrun2=10,0,IF(Scaler2=1,(VLOOKUP(A249,ScaledPrice2,4)),(VLOOKUP(A249,ScaledPrice2,2)))))</f>
        <v> </v>
      </c>
      <c r="D249" s="317" t="str">
        <f aca="false">IF(A249="N/A"," ",IF(Dayrun2&gt;=7,0,IF(Scaler2=2,VLOOKUP(A249,ScaledPrice2,2),(VLOOKUP(A249,ScaledPrice2,2))*(2-(VLOOKUP(A249,ScaledPrice2,3))))))</f>
        <v> </v>
      </c>
      <c r="E249" s="317" t="str">
        <f aca="false">IF($A249="N/A"," ",IF(AND(Dayrun2&gt;=4,Dayrun2&lt;=9),0,VLOOKUP($A249,ScaledPrice2,9)))</f>
        <v> </v>
      </c>
      <c r="F249" s="317" t="str">
        <f aca="false">IF(A249="N/A"," ",IF(OR(Dayrun2=2,Dayrun2=3,Dayrun2=5,Dayrun2=6,Dayrun2=8,Dayrun2=9),VLOOKUP(A249,ScaledPrice2,IF(Scaler2=1,6,5)),0))</f>
        <v> </v>
      </c>
      <c r="G249" s="317" t="str">
        <f aca="false">IF(A249="N/A"," ",IF(OR(Dayrun2=2,Dayrun2=3,Dayrun2=5,Dayrun2=6),IF(Scaler2=2,F249,(VLOOKUP(A249,ScaledPrice2,5))*(2-(VLOOKUP(A249,ScaledPrice2,3)))),0))</f>
        <v> </v>
      </c>
      <c r="H249" s="317" t="str">
        <f aca="false">IF($A249="N/A"," ",IF(OR(Dayrun2=2,Dayrun2=3,Dayrun2=10),VLOOKUP($A249,ScaledPrice2,9),0))</f>
        <v> </v>
      </c>
      <c r="I249" s="317" t="str">
        <f aca="false">IF(A249="N/A"," ",IF(OR(Dayrun2=3,Dayrun2=6,Dayrun2=9),(VLOOKUP(A249,ScaledPrice2,IF(Scaler2=2,7,8))),0))</f>
        <v> </v>
      </c>
      <c r="J249" s="317" t="str">
        <f aca="false">IF(A249="N/A"," ",IF(OR(Dayrun2=3,Dayrun2=6),IF(Scaler2=2,I249,(VLOOKUP(A249,ScaledPrice2,7))*(2-(VLOOKUP(A249,ScaledPrice2,3)))),0))</f>
        <v> </v>
      </c>
      <c r="K249" s="317" t="str">
        <f aca="false">IF($A249="N/A"," ",IF(OR(Dayrun2=3,Dayrun2=10),VLOOKUP($A249,ScaledPrice2,9),0))</f>
        <v> </v>
      </c>
      <c r="L249" s="318" t="str">
        <f aca="false">IF($A249="N/A"," ",IF(Pricetype2=2,MAX(C249,0),IF(OR(Pricetype2=1,Pricetype2=4),IF(C249=0,0,(EURO(C249,Strikeprice2,0,0,($AH249+IF(Smile=TRUE(),VLOOKUP(MAX(-5,Strikeprice2-C249),Volsmile,2),0)),($A249-DateToday)+15,IF(Pricetype2=1,1,0),0))),C249)))</f>
        <v> </v>
      </c>
      <c r="M249" s="318" t="str">
        <f aca="false">IF($A249="N/A"," ",IF(Pricetype2=2,MAX(D249,0),IF(OR(Pricetype2=1,Pricetype2=4),IF(D249=0,0,(EURO(D249,Strikeprice2,0,0,($AH249+IF(Smile=TRUE(),VLOOKUP(MAX(-5,Strikeprice2-D249),Volsmile,2),0)),($A249-DateToday)+15,IF(Pricetype2=1,1,0),0))),D249)))</f>
        <v> </v>
      </c>
      <c r="N249" s="318" t="str">
        <f aca="false">IF($A249="N/A"," ",IF(Pricetype2=2,MAX(E249,0),IF(OR(Pricetype2=1,Pricetype2=4),IF(E249=0,0,(EURO(E249,Strikeprice2,0,0,($AK249+IF(Smile=TRUE(),VLOOKUP(MAX(-5,Strikeprice2-E249),Volsmile,2),0)),($A249-DateToday)+15,IF(Pricetype2=1,1,0),0))),E249)))</f>
        <v> </v>
      </c>
      <c r="O249" s="318" t="str">
        <f aca="false">IF($A249="N/A"," ",IF(Pricetype2=2,MAX(F249,0),IF(OR(Pricetype2=1,Pricetype2=4),IF(F249=0,0,(EURO(F249,Strikeprice2,0,0,($AK249+IF(Smile=TRUE(),VLOOKUP(MAX(-5,Strikeprice2-F249),Volsmile,2),0)),($A249-DateToday)+15,IF(Pricetype2=1,1,0),0))),F249)))</f>
        <v> </v>
      </c>
      <c r="P249" s="318" t="str">
        <f aca="false">IF($A249="N/A"," ",IF(Pricetype2=2,MAX(G249,0),IF(OR(Pricetype2=1,Pricetype2=4),IF(G249=0,0,(EURO(G249,Strikeprice2,0,0,($AK249+IF(Smile=TRUE(),VLOOKUP(MAX(-5,Strikeprice2-G249),Volsmile,2),0)),($A249-DateToday)+15,IF(Pricetype2=1,1,0),0))),G249)))</f>
        <v> </v>
      </c>
      <c r="Q249" s="318" t="str">
        <f aca="false">IF($A249="N/A"," ",IF(Pricetype2=2,MAX(H249,0),IF(OR(Pricetype2=1,Pricetype2=4),IF(H249=0,0,(EURO(H249,Strikeprice2,0,0,($AK249+IF(Smile=TRUE(),VLOOKUP(MAX(-5,Strikeprice2-H249),Volsmile,2),0)),($A249-DateToday)+15,IF(Pricetype2=1,1,0),0))),H249)))</f>
        <v> </v>
      </c>
      <c r="R249" s="318" t="str">
        <f aca="false">IF($A249="N/A"," ",IF(Pricetype2=2,MAX(I249,0),IF(OR(Pricetype2=1,Pricetype2=4),IF(I249=0,0,(EURO(I249,Strikeprice2,0,0,($AK249+IF(Smile=TRUE(),VLOOKUP(MAX(-5,Strikeprice2-I249),Volsmile,2),0)),($A249-DateToday)+15,IF(Pricetype2=1,1,0),0))),I249)))</f>
        <v> </v>
      </c>
      <c r="S249" s="318" t="str">
        <f aca="false">IF($A249="N/A"," ",IF(Pricetype2=2,MAX(J249,0),IF(OR(Pricetype2=1,Pricetype2=4),IF(J249=0,0,(EURO(J249,Strikeprice2,0,0,($AK249+IF(Smile=TRUE(),VLOOKUP(MAX(-5,Strikeprice2-J249),Volsmile,2),0)),($A249-DateToday)+15,IF(Pricetype2=1,1,0),0))),J249)))</f>
        <v> </v>
      </c>
      <c r="T249" s="318" t="str">
        <f aca="false">IF($A249="N/A"," ",IF(Pricetype2=2,MAX(K249,0),IF(OR(Pricetype2=1,Pricetype2=4),IF(K249=0,0,(EURO(K249,Strikeprice2,0,0,($AK249+IF(Smile=TRUE(),VLOOKUP(MAX(-5,Strikeprice2-K249),Volsmile,2),0)),($A249-DateToday)+15,IF(Pricetype2=1,1,0),0))),K249)))</f>
        <v> </v>
      </c>
      <c r="U249" s="319" t="str">
        <f aca="false">IF($A249="N/A"," ",Volume2*$AM249)</f>
        <v> </v>
      </c>
      <c r="V249" s="320" t="str">
        <f aca="false">IF($A249="N/A"," ",$U249*(8*($BQ249))*L249)</f>
        <v> </v>
      </c>
      <c r="W249" s="320" t="str">
        <f aca="false">IF($A249="N/A"," ",$U249*(8*($BQ249))*M249)</f>
        <v> </v>
      </c>
      <c r="X249" s="320" t="str">
        <f aca="false">IF($A249="N/A"," ",$U249*(8*($BQ249))*N249)</f>
        <v> </v>
      </c>
      <c r="Y249" s="320" t="str">
        <f aca="false">IF($A249="N/A"," ",$U249*(8*($BR249))*O249)</f>
        <v> </v>
      </c>
      <c r="Z249" s="320" t="str">
        <f aca="false">IF($A249="N/A"," ",$U249*(8*($BR249))*P249)</f>
        <v> </v>
      </c>
      <c r="AA249" s="320" t="str">
        <f aca="false">IF($A249="N/A"," ",$U249*(8*($BR249))*Q249)</f>
        <v> </v>
      </c>
      <c r="AB249" s="320" t="str">
        <f aca="false">IF($A249="N/A"," ",$U249*(8*($BS249))*R249)</f>
        <v> </v>
      </c>
      <c r="AC249" s="320" t="str">
        <f aca="false">IF($A249="N/A"," ",$U249*(8*($BS249))*S249)</f>
        <v> </v>
      </c>
      <c r="AD249" s="320" t="str">
        <f aca="false">IF($A249="N/A"," ",$U249*(8*($BS249))*T249)</f>
        <v> </v>
      </c>
      <c r="AE249" s="320" t="str">
        <f aca="false">IF($A249="N/A"," ",SUM(V249:AD249))</f>
        <v> </v>
      </c>
      <c r="AF249" s="321" t="str">
        <f aca="false">IF(A249="N/A"," ",(VLOOKUP(A249,PowerVolTable,(IF(VolBMO2=2,7,IF(VolBMO2=1,6,8))),FALSE())))</f>
        <v> </v>
      </c>
      <c r="AG249" s="321" t="str">
        <f aca="false">IF(A249="N/A"," ",(VLOOKUP(A249,IntraPowerVol,(IF(VolBMO2=2,3,IF(VolBMO2=1,2,4))),FALSE())*VLOOKUP(MONTH($A249),Volscale,2)))</f>
        <v> </v>
      </c>
      <c r="AH249" s="321" t="str">
        <f aca="false">IF($A249="N/A"," ",IF(VolType2=1,AG249,AF249))</f>
        <v> </v>
      </c>
      <c r="AI249" s="321" t="str">
        <f aca="false">IF($A249="N/A"," ",(VLOOKUP($A249,OffPwrVolTable,(IF(VolBMO2=2,7,IF(VolBMO2=1,6,8))),FALSE())))</f>
        <v> </v>
      </c>
      <c r="AJ249" s="321" t="str">
        <f aca="false">IF($A249="N/A"," ",(VLOOKUP($A249,OffPwrVolTable,(IF(VolBMO2=2,3,IF(VolBMO2=1,2,4))),FALSE())*VLOOKUP(MONTH($A249),Volscale,2)))</f>
        <v> </v>
      </c>
      <c r="AK249" s="321" t="str">
        <f aca="false">IF($A249="N/A"," ",IF(VolType2=1,AJ249,AI249))</f>
        <v> </v>
      </c>
      <c r="AL249" s="321" t="str">
        <f aca="false">IF($A249="N/A"," ",IF(PV=1,0,'Pricing Inputs2'!R282))</f>
        <v> </v>
      </c>
      <c r="AM249" s="323" t="str">
        <f aca="false">IF($A249="N/A"," ",(1+AL249/2)^(-2*((EOMONTH(A249,0)+20)-DateToday)/365.25))</f>
        <v> </v>
      </c>
      <c r="BQ249" s="0" t="str">
        <f aca="false">IF($A249="N/A"," ",(VLOOKUP($A249,NumberofDaysTable,2)))</f>
        <v> </v>
      </c>
      <c r="BR249" s="0" t="str">
        <f aca="false">IF($A249="N/A"," ",(VLOOKUP($A249,NumberofDaysTable,3)))</f>
        <v> </v>
      </c>
      <c r="BS249" s="0" t="str">
        <f aca="false">IF($A249="N/A"," ",(VLOOKUP($A249,NumberofDaysTable,4)))</f>
        <v> </v>
      </c>
    </row>
    <row r="250" customFormat="false" ht="12.75" hidden="false" customHeight="false" outlineLevel="0" collapsed="false">
      <c r="A250" s="315" t="str">
        <f aca="false">IF(A249="N/A","N/A",IF(EDATE(A249,1)&gt;Inputs!$P$5,"N/A",EDATE(A249,1)))</f>
        <v>N/A</v>
      </c>
      <c r="B250" s="316" t="str">
        <f aca="false">IF(A250="N/A"," ",YEAR(A250))</f>
        <v> </v>
      </c>
      <c r="C250" s="317" t="str">
        <f aca="false">IF($A250="N/A"," ",IF(Dayrun2=10,0,IF(Scaler2=1,(VLOOKUP(A250,ScaledPrice2,4)),(VLOOKUP(A250,ScaledPrice2,2)))))</f>
        <v> </v>
      </c>
      <c r="D250" s="317" t="str">
        <f aca="false">IF(A250="N/A"," ",IF(Dayrun2&gt;=7,0,IF(Scaler2=2,VLOOKUP(A250,ScaledPrice2,2),(VLOOKUP(A250,ScaledPrice2,2))*(2-(VLOOKUP(A250,ScaledPrice2,3))))))</f>
        <v> </v>
      </c>
      <c r="E250" s="317" t="str">
        <f aca="false">IF($A250="N/A"," ",IF(AND(Dayrun2&gt;=4,Dayrun2&lt;=9),0,VLOOKUP($A250,ScaledPrice2,9)))</f>
        <v> </v>
      </c>
      <c r="F250" s="317" t="str">
        <f aca="false">IF(A250="N/A"," ",IF(OR(Dayrun2=2,Dayrun2=3,Dayrun2=5,Dayrun2=6,Dayrun2=8,Dayrun2=9),VLOOKUP(A250,ScaledPrice2,IF(Scaler2=1,6,5)),0))</f>
        <v> </v>
      </c>
      <c r="G250" s="317" t="str">
        <f aca="false">IF(A250="N/A"," ",IF(OR(Dayrun2=2,Dayrun2=3,Dayrun2=5,Dayrun2=6),IF(Scaler2=2,F250,(VLOOKUP(A250,ScaledPrice2,5))*(2-(VLOOKUP(A250,ScaledPrice2,3)))),0))</f>
        <v> </v>
      </c>
      <c r="H250" s="317" t="str">
        <f aca="false">IF($A250="N/A"," ",IF(OR(Dayrun2=2,Dayrun2=3,Dayrun2=10),VLOOKUP($A250,ScaledPrice2,9),0))</f>
        <v> </v>
      </c>
      <c r="I250" s="317" t="str">
        <f aca="false">IF(A250="N/A"," ",IF(OR(Dayrun2=3,Dayrun2=6,Dayrun2=9),(VLOOKUP(A250,ScaledPrice2,IF(Scaler2=2,7,8))),0))</f>
        <v> </v>
      </c>
      <c r="J250" s="317" t="str">
        <f aca="false">IF(A250="N/A"," ",IF(OR(Dayrun2=3,Dayrun2=6),IF(Scaler2=2,I250,(VLOOKUP(A250,ScaledPrice2,7))*(2-(VLOOKUP(A250,ScaledPrice2,3)))),0))</f>
        <v> </v>
      </c>
      <c r="K250" s="317" t="str">
        <f aca="false">IF($A250="N/A"," ",IF(OR(Dayrun2=3,Dayrun2=10),VLOOKUP($A250,ScaledPrice2,9),0))</f>
        <v> </v>
      </c>
      <c r="L250" s="318" t="str">
        <f aca="false">IF($A250="N/A"," ",IF(Pricetype2=2,MAX(C250,0),IF(OR(Pricetype2=1,Pricetype2=4),IF(C250=0,0,(EURO(C250,Strikeprice2,0,0,($AH250+IF(Smile=TRUE(),VLOOKUP(MAX(-5,Strikeprice2-C250),Volsmile,2),0)),($A250-DateToday)+15,IF(Pricetype2=1,1,0),0))),C250)))</f>
        <v> </v>
      </c>
      <c r="M250" s="318" t="str">
        <f aca="false">IF($A250="N/A"," ",IF(Pricetype2=2,MAX(D250,0),IF(OR(Pricetype2=1,Pricetype2=4),IF(D250=0,0,(EURO(D250,Strikeprice2,0,0,($AH250+IF(Smile=TRUE(),VLOOKUP(MAX(-5,Strikeprice2-D250),Volsmile,2),0)),($A250-DateToday)+15,IF(Pricetype2=1,1,0),0))),D250)))</f>
        <v> </v>
      </c>
      <c r="N250" s="318" t="str">
        <f aca="false">IF($A250="N/A"," ",IF(Pricetype2=2,MAX(E250,0),IF(OR(Pricetype2=1,Pricetype2=4),IF(E250=0,0,(EURO(E250,Strikeprice2,0,0,($AK250+IF(Smile=TRUE(),VLOOKUP(MAX(-5,Strikeprice2-E250),Volsmile,2),0)),($A250-DateToday)+15,IF(Pricetype2=1,1,0),0))),E250)))</f>
        <v> </v>
      </c>
      <c r="O250" s="318" t="str">
        <f aca="false">IF($A250="N/A"," ",IF(Pricetype2=2,MAX(F250,0),IF(OR(Pricetype2=1,Pricetype2=4),IF(F250=0,0,(EURO(F250,Strikeprice2,0,0,($AK250+IF(Smile=TRUE(),VLOOKUP(MAX(-5,Strikeprice2-F250),Volsmile,2),0)),($A250-DateToday)+15,IF(Pricetype2=1,1,0),0))),F250)))</f>
        <v> </v>
      </c>
      <c r="P250" s="318" t="str">
        <f aca="false">IF($A250="N/A"," ",IF(Pricetype2=2,MAX(G250,0),IF(OR(Pricetype2=1,Pricetype2=4),IF(G250=0,0,(EURO(G250,Strikeprice2,0,0,($AK250+IF(Smile=TRUE(),VLOOKUP(MAX(-5,Strikeprice2-G250),Volsmile,2),0)),($A250-DateToday)+15,IF(Pricetype2=1,1,0),0))),G250)))</f>
        <v> </v>
      </c>
      <c r="Q250" s="318" t="str">
        <f aca="false">IF($A250="N/A"," ",IF(Pricetype2=2,MAX(H250,0),IF(OR(Pricetype2=1,Pricetype2=4),IF(H250=0,0,(EURO(H250,Strikeprice2,0,0,($AK250+IF(Smile=TRUE(),VLOOKUP(MAX(-5,Strikeprice2-H250),Volsmile,2),0)),($A250-DateToday)+15,IF(Pricetype2=1,1,0),0))),H250)))</f>
        <v> </v>
      </c>
      <c r="R250" s="318" t="str">
        <f aca="false">IF($A250="N/A"," ",IF(Pricetype2=2,MAX(I250,0),IF(OR(Pricetype2=1,Pricetype2=4),IF(I250=0,0,(EURO(I250,Strikeprice2,0,0,($AK250+IF(Smile=TRUE(),VLOOKUP(MAX(-5,Strikeprice2-I250),Volsmile,2),0)),($A250-DateToday)+15,IF(Pricetype2=1,1,0),0))),I250)))</f>
        <v> </v>
      </c>
      <c r="S250" s="318" t="str">
        <f aca="false">IF($A250="N/A"," ",IF(Pricetype2=2,MAX(J250,0),IF(OR(Pricetype2=1,Pricetype2=4),IF(J250=0,0,(EURO(J250,Strikeprice2,0,0,($AK250+IF(Smile=TRUE(),VLOOKUP(MAX(-5,Strikeprice2-J250),Volsmile,2),0)),($A250-DateToday)+15,IF(Pricetype2=1,1,0),0))),J250)))</f>
        <v> </v>
      </c>
      <c r="T250" s="318" t="str">
        <f aca="false">IF($A250="N/A"," ",IF(Pricetype2=2,MAX(K250,0),IF(OR(Pricetype2=1,Pricetype2=4),IF(K250=0,0,(EURO(K250,Strikeprice2,0,0,($AK250+IF(Smile=TRUE(),VLOOKUP(MAX(-5,Strikeprice2-K250),Volsmile,2),0)),($A250-DateToday)+15,IF(Pricetype2=1,1,0),0))),K250)))</f>
        <v> </v>
      </c>
      <c r="U250" s="319" t="str">
        <f aca="false">IF($A250="N/A"," ",Volume2*$AM250)</f>
        <v> </v>
      </c>
      <c r="V250" s="320" t="str">
        <f aca="false">IF($A250="N/A"," ",$U250*(8*($BQ250))*L250)</f>
        <v> </v>
      </c>
      <c r="W250" s="320" t="str">
        <f aca="false">IF($A250="N/A"," ",$U250*(8*($BQ250))*M250)</f>
        <v> </v>
      </c>
      <c r="X250" s="320" t="str">
        <f aca="false">IF($A250="N/A"," ",$U250*(8*($BQ250))*N250)</f>
        <v> </v>
      </c>
      <c r="Y250" s="320" t="str">
        <f aca="false">IF($A250="N/A"," ",$U250*(8*($BR250))*O250)</f>
        <v> </v>
      </c>
      <c r="Z250" s="320" t="str">
        <f aca="false">IF($A250="N/A"," ",$U250*(8*($BR250))*P250)</f>
        <v> </v>
      </c>
      <c r="AA250" s="320" t="str">
        <f aca="false">IF($A250="N/A"," ",$U250*(8*($BR250))*Q250)</f>
        <v> </v>
      </c>
      <c r="AB250" s="320" t="str">
        <f aca="false">IF($A250="N/A"," ",$U250*(8*($BS250))*R250)</f>
        <v> </v>
      </c>
      <c r="AC250" s="320" t="str">
        <f aca="false">IF($A250="N/A"," ",$U250*(8*($BS250))*S250)</f>
        <v> </v>
      </c>
      <c r="AD250" s="320" t="str">
        <f aca="false">IF($A250="N/A"," ",$U250*(8*($BS250))*T250)</f>
        <v> </v>
      </c>
      <c r="AE250" s="320" t="str">
        <f aca="false">IF($A250="N/A"," ",SUM(V250:AD250))</f>
        <v> </v>
      </c>
      <c r="AF250" s="321" t="str">
        <f aca="false">IF(A250="N/A"," ",(VLOOKUP(A250,PowerVolTable,(IF(VolBMO2=2,7,IF(VolBMO2=1,6,8))),FALSE())))</f>
        <v> </v>
      </c>
      <c r="AG250" s="321" t="str">
        <f aca="false">IF(A250="N/A"," ",(VLOOKUP(A250,IntraPowerVol,(IF(VolBMO2=2,3,IF(VolBMO2=1,2,4))),FALSE())*VLOOKUP(MONTH($A250),Volscale,2)))</f>
        <v> </v>
      </c>
      <c r="AH250" s="321" t="str">
        <f aca="false">IF($A250="N/A"," ",IF(VolType2=1,AG250,AF250))</f>
        <v> </v>
      </c>
      <c r="AI250" s="321" t="str">
        <f aca="false">IF($A250="N/A"," ",(VLOOKUP($A250,OffPwrVolTable,(IF(VolBMO2=2,7,IF(VolBMO2=1,6,8))),FALSE())))</f>
        <v> </v>
      </c>
      <c r="AJ250" s="321" t="str">
        <f aca="false">IF($A250="N/A"," ",(VLOOKUP($A250,OffPwrVolTable,(IF(VolBMO2=2,3,IF(VolBMO2=1,2,4))),FALSE())*VLOOKUP(MONTH($A250),Volscale,2)))</f>
        <v> </v>
      </c>
      <c r="AK250" s="321" t="str">
        <f aca="false">IF($A250="N/A"," ",IF(VolType2=1,AJ250,AI250))</f>
        <v> </v>
      </c>
      <c r="AL250" s="321" t="str">
        <f aca="false">IF($A250="N/A"," ",IF(PV=1,0,'Pricing Inputs2'!R283))</f>
        <v> </v>
      </c>
      <c r="AM250" s="323" t="str">
        <f aca="false">IF($A250="N/A"," ",(1+AL250/2)^(-2*((EOMONTH(A250,0)+20)-DateToday)/365.25))</f>
        <v> </v>
      </c>
      <c r="BQ250" s="0" t="str">
        <f aca="false">IF($A250="N/A"," ",(VLOOKUP($A250,NumberofDaysTable,2)))</f>
        <v> </v>
      </c>
      <c r="BR250" s="0" t="str">
        <f aca="false">IF($A250="N/A"," ",(VLOOKUP($A250,NumberofDaysTable,3)))</f>
        <v> </v>
      </c>
      <c r="BS250" s="0" t="str">
        <f aca="false">IF($A250="N/A"," ",(VLOOKUP($A250,NumberofDaysTable,4)))</f>
        <v> </v>
      </c>
    </row>
    <row r="251" customFormat="false" ht="12.75" hidden="false" customHeight="false" outlineLevel="0" collapsed="false">
      <c r="A251" s="315" t="str">
        <f aca="false">IF(A250="N/A","N/A",IF(EDATE(A250,1)&gt;Inputs!$P$5,"N/A",EDATE(A250,1)))</f>
        <v>N/A</v>
      </c>
      <c r="B251" s="316" t="str">
        <f aca="false">IF(A251="N/A"," ",YEAR(A251))</f>
        <v> </v>
      </c>
      <c r="C251" s="317" t="str">
        <f aca="false">IF($A251="N/A"," ",IF(Dayrun2=10,0,IF(Scaler2=1,(VLOOKUP(A251,ScaledPrice2,4)),(VLOOKUP(A251,ScaledPrice2,2)))))</f>
        <v> </v>
      </c>
      <c r="D251" s="317" t="str">
        <f aca="false">IF(A251="N/A"," ",IF(Dayrun2&gt;=7,0,IF(Scaler2=2,VLOOKUP(A251,ScaledPrice2,2),(VLOOKUP(A251,ScaledPrice2,2))*(2-(VLOOKUP(A251,ScaledPrice2,3))))))</f>
        <v> </v>
      </c>
      <c r="E251" s="317" t="str">
        <f aca="false">IF($A251="N/A"," ",IF(AND(Dayrun2&gt;=4,Dayrun2&lt;=9),0,VLOOKUP($A251,ScaledPrice2,9)))</f>
        <v> </v>
      </c>
      <c r="F251" s="317" t="str">
        <f aca="false">IF(A251="N/A"," ",IF(OR(Dayrun2=2,Dayrun2=3,Dayrun2=5,Dayrun2=6,Dayrun2=8,Dayrun2=9),VLOOKUP(A251,ScaledPrice2,IF(Scaler2=1,6,5)),0))</f>
        <v> </v>
      </c>
      <c r="G251" s="317" t="str">
        <f aca="false">IF(A251="N/A"," ",IF(OR(Dayrun2=2,Dayrun2=3,Dayrun2=5,Dayrun2=6),IF(Scaler2=2,F251,(VLOOKUP(A251,ScaledPrice2,5))*(2-(VLOOKUP(A251,ScaledPrice2,3)))),0))</f>
        <v> </v>
      </c>
      <c r="H251" s="317" t="str">
        <f aca="false">IF($A251="N/A"," ",IF(OR(Dayrun2=2,Dayrun2=3,Dayrun2=10),VLOOKUP($A251,ScaledPrice2,9),0))</f>
        <v> </v>
      </c>
      <c r="I251" s="317" t="str">
        <f aca="false">IF(A251="N/A"," ",IF(OR(Dayrun2=3,Dayrun2=6,Dayrun2=9),(VLOOKUP(A251,ScaledPrice2,IF(Scaler2=2,7,8))),0))</f>
        <v> </v>
      </c>
      <c r="J251" s="317" t="str">
        <f aca="false">IF(A251="N/A"," ",IF(OR(Dayrun2=3,Dayrun2=6),IF(Scaler2=2,I251,(VLOOKUP(A251,ScaledPrice2,7))*(2-(VLOOKUP(A251,ScaledPrice2,3)))),0))</f>
        <v> </v>
      </c>
      <c r="K251" s="317" t="str">
        <f aca="false">IF($A251="N/A"," ",IF(OR(Dayrun2=3,Dayrun2=10),VLOOKUP($A251,ScaledPrice2,9),0))</f>
        <v> </v>
      </c>
      <c r="L251" s="318" t="str">
        <f aca="false">IF($A251="N/A"," ",IF(Pricetype2=2,MAX(C251,0),IF(OR(Pricetype2=1,Pricetype2=4),IF(C251=0,0,(EURO(C251,Strikeprice2,0,0,($AH251+IF(Smile=TRUE(),VLOOKUP(MAX(-5,Strikeprice2-C251),Volsmile,2),0)),($A251-DateToday)+15,IF(Pricetype2=1,1,0),0))),C251)))</f>
        <v> </v>
      </c>
      <c r="M251" s="318" t="str">
        <f aca="false">IF($A251="N/A"," ",IF(Pricetype2=2,MAX(D251,0),IF(OR(Pricetype2=1,Pricetype2=4),IF(D251=0,0,(EURO(D251,Strikeprice2,0,0,($AH251+IF(Smile=TRUE(),VLOOKUP(MAX(-5,Strikeprice2-D251),Volsmile,2),0)),($A251-DateToday)+15,IF(Pricetype2=1,1,0),0))),D251)))</f>
        <v> </v>
      </c>
      <c r="N251" s="318" t="str">
        <f aca="false">IF($A251="N/A"," ",IF(Pricetype2=2,MAX(E251,0),IF(OR(Pricetype2=1,Pricetype2=4),IF(E251=0,0,(EURO(E251,Strikeprice2,0,0,($AK251+IF(Smile=TRUE(),VLOOKUP(MAX(-5,Strikeprice2-E251),Volsmile,2),0)),($A251-DateToday)+15,IF(Pricetype2=1,1,0),0))),E251)))</f>
        <v> </v>
      </c>
      <c r="O251" s="318" t="str">
        <f aca="false">IF($A251="N/A"," ",IF(Pricetype2=2,MAX(F251,0),IF(OR(Pricetype2=1,Pricetype2=4),IF(F251=0,0,(EURO(F251,Strikeprice2,0,0,($AK251+IF(Smile=TRUE(),VLOOKUP(MAX(-5,Strikeprice2-F251),Volsmile,2),0)),($A251-DateToday)+15,IF(Pricetype2=1,1,0),0))),F251)))</f>
        <v> </v>
      </c>
      <c r="P251" s="318" t="str">
        <f aca="false">IF($A251="N/A"," ",IF(Pricetype2=2,MAX(G251,0),IF(OR(Pricetype2=1,Pricetype2=4),IF(G251=0,0,(EURO(G251,Strikeprice2,0,0,($AK251+IF(Smile=TRUE(),VLOOKUP(MAX(-5,Strikeprice2-G251),Volsmile,2),0)),($A251-DateToday)+15,IF(Pricetype2=1,1,0),0))),G251)))</f>
        <v> </v>
      </c>
      <c r="Q251" s="318" t="str">
        <f aca="false">IF($A251="N/A"," ",IF(Pricetype2=2,MAX(H251,0),IF(OR(Pricetype2=1,Pricetype2=4),IF(H251=0,0,(EURO(H251,Strikeprice2,0,0,($AK251+IF(Smile=TRUE(),VLOOKUP(MAX(-5,Strikeprice2-H251),Volsmile,2),0)),($A251-DateToday)+15,IF(Pricetype2=1,1,0),0))),H251)))</f>
        <v> </v>
      </c>
      <c r="R251" s="318" t="str">
        <f aca="false">IF($A251="N/A"," ",IF(Pricetype2=2,MAX(I251,0),IF(OR(Pricetype2=1,Pricetype2=4),IF(I251=0,0,(EURO(I251,Strikeprice2,0,0,($AK251+IF(Smile=TRUE(),VLOOKUP(MAX(-5,Strikeprice2-I251),Volsmile,2),0)),($A251-DateToday)+15,IF(Pricetype2=1,1,0),0))),I251)))</f>
        <v> </v>
      </c>
      <c r="S251" s="318" t="str">
        <f aca="false">IF($A251="N/A"," ",IF(Pricetype2=2,MAX(J251,0),IF(OR(Pricetype2=1,Pricetype2=4),IF(J251=0,0,(EURO(J251,Strikeprice2,0,0,($AK251+IF(Smile=TRUE(),VLOOKUP(MAX(-5,Strikeprice2-J251),Volsmile,2),0)),($A251-DateToday)+15,IF(Pricetype2=1,1,0),0))),J251)))</f>
        <v> </v>
      </c>
      <c r="T251" s="318" t="str">
        <f aca="false">IF($A251="N/A"," ",IF(Pricetype2=2,MAX(K251,0),IF(OR(Pricetype2=1,Pricetype2=4),IF(K251=0,0,(EURO(K251,Strikeprice2,0,0,($AK251+IF(Smile=TRUE(),VLOOKUP(MAX(-5,Strikeprice2-K251),Volsmile,2),0)),($A251-DateToday)+15,IF(Pricetype2=1,1,0),0))),K251)))</f>
        <v> </v>
      </c>
      <c r="U251" s="319" t="str">
        <f aca="false">IF($A251="N/A"," ",Volume2*$AM251)</f>
        <v> </v>
      </c>
      <c r="V251" s="320" t="str">
        <f aca="false">IF($A251="N/A"," ",$U251*(8*($BQ251))*L251)</f>
        <v> </v>
      </c>
      <c r="W251" s="320" t="str">
        <f aca="false">IF($A251="N/A"," ",$U251*(8*($BQ251))*M251)</f>
        <v> </v>
      </c>
      <c r="X251" s="320" t="str">
        <f aca="false">IF($A251="N/A"," ",$U251*(8*($BQ251))*N251)</f>
        <v> </v>
      </c>
      <c r="Y251" s="320" t="str">
        <f aca="false">IF($A251="N/A"," ",$U251*(8*($BR251))*O251)</f>
        <v> </v>
      </c>
      <c r="Z251" s="320" t="str">
        <f aca="false">IF($A251="N/A"," ",$U251*(8*($BR251))*P251)</f>
        <v> </v>
      </c>
      <c r="AA251" s="320" t="str">
        <f aca="false">IF($A251="N/A"," ",$U251*(8*($BR251))*Q251)</f>
        <v> </v>
      </c>
      <c r="AB251" s="320" t="str">
        <f aca="false">IF($A251="N/A"," ",$U251*(8*($BS251))*R251)</f>
        <v> </v>
      </c>
      <c r="AC251" s="320" t="str">
        <f aca="false">IF($A251="N/A"," ",$U251*(8*($BS251))*S251)</f>
        <v> </v>
      </c>
      <c r="AD251" s="320" t="str">
        <f aca="false">IF($A251="N/A"," ",$U251*(8*($BS251))*T251)</f>
        <v> </v>
      </c>
      <c r="AE251" s="320" t="str">
        <f aca="false">IF($A251="N/A"," ",SUM(V251:AD251))</f>
        <v> </v>
      </c>
      <c r="AF251" s="321" t="str">
        <f aca="false">IF(A251="N/A"," ",(VLOOKUP(A251,PowerVolTable,(IF(VolBMO2=2,7,IF(VolBMO2=1,6,8))),FALSE())))</f>
        <v> </v>
      </c>
      <c r="AG251" s="321" t="str">
        <f aca="false">IF(A251="N/A"," ",(VLOOKUP(A251,IntraPowerVol,(IF(VolBMO2=2,3,IF(VolBMO2=1,2,4))),FALSE())*VLOOKUP(MONTH($A251),Volscale,2)))</f>
        <v> </v>
      </c>
      <c r="AH251" s="321" t="str">
        <f aca="false">IF($A251="N/A"," ",IF(VolType2=1,AG251,AF251))</f>
        <v> </v>
      </c>
      <c r="AI251" s="321" t="str">
        <f aca="false">IF($A251="N/A"," ",(VLOOKUP($A251,OffPwrVolTable,(IF(VolBMO2=2,7,IF(VolBMO2=1,6,8))),FALSE())))</f>
        <v> </v>
      </c>
      <c r="AJ251" s="321" t="str">
        <f aca="false">IF($A251="N/A"," ",(VLOOKUP($A251,OffPwrVolTable,(IF(VolBMO2=2,3,IF(VolBMO2=1,2,4))),FALSE())*VLOOKUP(MONTH($A251),Volscale,2)))</f>
        <v> </v>
      </c>
      <c r="AK251" s="321" t="str">
        <f aca="false">IF($A251="N/A"," ",IF(VolType2=1,AJ251,AI251))</f>
        <v> </v>
      </c>
      <c r="AL251" s="321" t="str">
        <f aca="false">IF($A251="N/A"," ",IF(PV=1,0,'Pricing Inputs2'!R284))</f>
        <v> </v>
      </c>
      <c r="AM251" s="323" t="str">
        <f aca="false">IF($A251="N/A"," ",(1+AL251/2)^(-2*((EOMONTH(A251,0)+20)-DateToday)/365.25))</f>
        <v> </v>
      </c>
      <c r="BQ251" s="0" t="str">
        <f aca="false">IF($A251="N/A"," ",(VLOOKUP($A251,NumberofDaysTable,2)))</f>
        <v> </v>
      </c>
      <c r="BR251" s="0" t="str">
        <f aca="false">IF($A251="N/A"," ",(VLOOKUP($A251,NumberofDaysTable,3)))</f>
        <v> </v>
      </c>
      <c r="BS251" s="0" t="str">
        <f aca="false">IF($A251="N/A"," ",(VLOOKUP($A251,NumberofDaysTable,4)))</f>
        <v> </v>
      </c>
    </row>
    <row r="252" customFormat="false" ht="12.75" hidden="false" customHeight="false" outlineLevel="0" collapsed="false">
      <c r="A252" s="315" t="str">
        <f aca="false">IF(A251="N/A","N/A",IF(EDATE(A251,1)&gt;Inputs!$P$5,"N/A",EDATE(A251,1)))</f>
        <v>N/A</v>
      </c>
      <c r="B252" s="316" t="str">
        <f aca="false">IF(A252="N/A"," ",YEAR(A252))</f>
        <v> </v>
      </c>
      <c r="C252" s="317" t="str">
        <f aca="false">IF($A252="N/A"," ",IF(Dayrun2=10,0,IF(Scaler2=1,(VLOOKUP(A252,ScaledPrice2,4)),(VLOOKUP(A252,ScaledPrice2,2)))))</f>
        <v> </v>
      </c>
      <c r="D252" s="317" t="str">
        <f aca="false">IF(A252="N/A"," ",IF(Dayrun2&gt;=7,0,IF(Scaler2=2,VLOOKUP(A252,ScaledPrice2,2),(VLOOKUP(A252,ScaledPrice2,2))*(2-(VLOOKUP(A252,ScaledPrice2,3))))))</f>
        <v> </v>
      </c>
      <c r="E252" s="317" t="str">
        <f aca="false">IF($A252="N/A"," ",IF(AND(Dayrun2&gt;=4,Dayrun2&lt;=9),0,VLOOKUP($A252,ScaledPrice2,9)))</f>
        <v> </v>
      </c>
      <c r="F252" s="317" t="str">
        <f aca="false">IF(A252="N/A"," ",IF(OR(Dayrun2=2,Dayrun2=3,Dayrun2=5,Dayrun2=6,Dayrun2=8,Dayrun2=9),VLOOKUP(A252,ScaledPrice2,IF(Scaler2=1,6,5)),0))</f>
        <v> </v>
      </c>
      <c r="G252" s="317" t="str">
        <f aca="false">IF(A252="N/A"," ",IF(OR(Dayrun2=2,Dayrun2=3,Dayrun2=5,Dayrun2=6),IF(Scaler2=2,F252,(VLOOKUP(A252,ScaledPrice2,5))*(2-(VLOOKUP(A252,ScaledPrice2,3)))),0))</f>
        <v> </v>
      </c>
      <c r="H252" s="317" t="str">
        <f aca="false">IF($A252="N/A"," ",IF(OR(Dayrun2=2,Dayrun2=3,Dayrun2=10),VLOOKUP($A252,ScaledPrice2,9),0))</f>
        <v> </v>
      </c>
      <c r="I252" s="317" t="str">
        <f aca="false">IF(A252="N/A"," ",IF(OR(Dayrun2=3,Dayrun2=6,Dayrun2=9),(VLOOKUP(A252,ScaledPrice2,IF(Scaler2=2,7,8))),0))</f>
        <v> </v>
      </c>
      <c r="J252" s="317" t="str">
        <f aca="false">IF(A252="N/A"," ",IF(OR(Dayrun2=3,Dayrun2=6),IF(Scaler2=2,I252,(VLOOKUP(A252,ScaledPrice2,7))*(2-(VLOOKUP(A252,ScaledPrice2,3)))),0))</f>
        <v> </v>
      </c>
      <c r="K252" s="317" t="str">
        <f aca="false">IF($A252="N/A"," ",IF(OR(Dayrun2=3,Dayrun2=10),VLOOKUP($A252,ScaledPrice2,9),0))</f>
        <v> </v>
      </c>
      <c r="L252" s="318" t="str">
        <f aca="false">IF($A252="N/A"," ",IF(Pricetype2=2,MAX(C252,0),IF(OR(Pricetype2=1,Pricetype2=4),IF(C252=0,0,(EURO(C252,Strikeprice2,0,0,($AH252+IF(Smile=TRUE(),VLOOKUP(MAX(-5,Strikeprice2-C252),Volsmile,2),0)),($A252-DateToday)+15,IF(Pricetype2=1,1,0),0))),C252)))</f>
        <v> </v>
      </c>
      <c r="M252" s="318" t="str">
        <f aca="false">IF($A252="N/A"," ",IF(Pricetype2=2,MAX(D252,0),IF(OR(Pricetype2=1,Pricetype2=4),IF(D252=0,0,(EURO(D252,Strikeprice2,0,0,($AH252+IF(Smile=TRUE(),VLOOKUP(MAX(-5,Strikeprice2-D252),Volsmile,2),0)),($A252-DateToday)+15,IF(Pricetype2=1,1,0),0))),D252)))</f>
        <v> </v>
      </c>
      <c r="N252" s="318" t="str">
        <f aca="false">IF($A252="N/A"," ",IF(Pricetype2=2,MAX(E252,0),IF(OR(Pricetype2=1,Pricetype2=4),IF(E252=0,0,(EURO(E252,Strikeprice2,0,0,($AK252+IF(Smile=TRUE(),VLOOKUP(MAX(-5,Strikeprice2-E252),Volsmile,2),0)),($A252-DateToday)+15,IF(Pricetype2=1,1,0),0))),E252)))</f>
        <v> </v>
      </c>
      <c r="O252" s="318" t="str">
        <f aca="false">IF($A252="N/A"," ",IF(Pricetype2=2,MAX(F252,0),IF(OR(Pricetype2=1,Pricetype2=4),IF(F252=0,0,(EURO(F252,Strikeprice2,0,0,($AK252+IF(Smile=TRUE(),VLOOKUP(MAX(-5,Strikeprice2-F252),Volsmile,2),0)),($A252-DateToday)+15,IF(Pricetype2=1,1,0),0))),F252)))</f>
        <v> </v>
      </c>
      <c r="P252" s="318" t="str">
        <f aca="false">IF($A252="N/A"," ",IF(Pricetype2=2,MAX(G252,0),IF(OR(Pricetype2=1,Pricetype2=4),IF(G252=0,0,(EURO(G252,Strikeprice2,0,0,($AK252+IF(Smile=TRUE(),VLOOKUP(MAX(-5,Strikeprice2-G252),Volsmile,2),0)),($A252-DateToday)+15,IF(Pricetype2=1,1,0),0))),G252)))</f>
        <v> </v>
      </c>
      <c r="Q252" s="318" t="str">
        <f aca="false">IF($A252="N/A"," ",IF(Pricetype2=2,MAX(H252,0),IF(OR(Pricetype2=1,Pricetype2=4),IF(H252=0,0,(EURO(H252,Strikeprice2,0,0,($AK252+IF(Smile=TRUE(),VLOOKUP(MAX(-5,Strikeprice2-H252),Volsmile,2),0)),($A252-DateToday)+15,IF(Pricetype2=1,1,0),0))),H252)))</f>
        <v> </v>
      </c>
      <c r="R252" s="318" t="str">
        <f aca="false">IF($A252="N/A"," ",IF(Pricetype2=2,MAX(I252,0),IF(OR(Pricetype2=1,Pricetype2=4),IF(I252=0,0,(EURO(I252,Strikeprice2,0,0,($AK252+IF(Smile=TRUE(),VLOOKUP(MAX(-5,Strikeprice2-I252),Volsmile,2),0)),($A252-DateToday)+15,IF(Pricetype2=1,1,0),0))),I252)))</f>
        <v> </v>
      </c>
      <c r="S252" s="318" t="str">
        <f aca="false">IF($A252="N/A"," ",IF(Pricetype2=2,MAX(J252,0),IF(OR(Pricetype2=1,Pricetype2=4),IF(J252=0,0,(EURO(J252,Strikeprice2,0,0,($AK252+IF(Smile=TRUE(),VLOOKUP(MAX(-5,Strikeprice2-J252),Volsmile,2),0)),($A252-DateToday)+15,IF(Pricetype2=1,1,0),0))),J252)))</f>
        <v> </v>
      </c>
      <c r="T252" s="318" t="str">
        <f aca="false">IF($A252="N/A"," ",IF(Pricetype2=2,MAX(K252,0),IF(OR(Pricetype2=1,Pricetype2=4),IF(K252=0,0,(EURO(K252,Strikeprice2,0,0,($AK252+IF(Smile=TRUE(),VLOOKUP(MAX(-5,Strikeprice2-K252),Volsmile,2),0)),($A252-DateToday)+15,IF(Pricetype2=1,1,0),0))),K252)))</f>
        <v> </v>
      </c>
      <c r="U252" s="319" t="str">
        <f aca="false">IF($A252="N/A"," ",Volume2*$AM252)</f>
        <v> </v>
      </c>
      <c r="V252" s="320" t="str">
        <f aca="false">IF($A252="N/A"," ",$U252*(8*($BQ252))*L252)</f>
        <v> </v>
      </c>
      <c r="W252" s="320" t="str">
        <f aca="false">IF($A252="N/A"," ",$U252*(8*($BQ252))*M252)</f>
        <v> </v>
      </c>
      <c r="X252" s="320" t="str">
        <f aca="false">IF($A252="N/A"," ",$U252*(8*($BQ252))*N252)</f>
        <v> </v>
      </c>
      <c r="Y252" s="320" t="str">
        <f aca="false">IF($A252="N/A"," ",$U252*(8*($BR252))*O252)</f>
        <v> </v>
      </c>
      <c r="Z252" s="320" t="str">
        <f aca="false">IF($A252="N/A"," ",$U252*(8*($BR252))*P252)</f>
        <v> </v>
      </c>
      <c r="AA252" s="320" t="str">
        <f aca="false">IF($A252="N/A"," ",$U252*(8*($BR252))*Q252)</f>
        <v> </v>
      </c>
      <c r="AB252" s="320" t="str">
        <f aca="false">IF($A252="N/A"," ",$U252*(8*($BS252))*R252)</f>
        <v> </v>
      </c>
      <c r="AC252" s="320" t="str">
        <f aca="false">IF($A252="N/A"," ",$U252*(8*($BS252))*S252)</f>
        <v> </v>
      </c>
      <c r="AD252" s="320" t="str">
        <f aca="false">IF($A252="N/A"," ",$U252*(8*($BS252))*T252)</f>
        <v> </v>
      </c>
      <c r="AE252" s="320" t="str">
        <f aca="false">IF($A252="N/A"," ",SUM(V252:AD252))</f>
        <v> </v>
      </c>
      <c r="AF252" s="321" t="str">
        <f aca="false">IF(A252="N/A"," ",(VLOOKUP(A252,PowerVolTable,(IF(VolBMO2=2,7,IF(VolBMO2=1,6,8))),FALSE())))</f>
        <v> </v>
      </c>
      <c r="AG252" s="321" t="str">
        <f aca="false">IF(A252="N/A"," ",(VLOOKUP(A252,IntraPowerVol,(IF(VolBMO2=2,3,IF(VolBMO2=1,2,4))),FALSE())*VLOOKUP(MONTH($A252),Volscale,2)))</f>
        <v> </v>
      </c>
      <c r="AH252" s="321" t="str">
        <f aca="false">IF($A252="N/A"," ",IF(VolType2=1,AG252,AF252))</f>
        <v> </v>
      </c>
      <c r="AI252" s="321" t="str">
        <f aca="false">IF($A252="N/A"," ",(VLOOKUP($A252,OffPwrVolTable,(IF(VolBMO2=2,7,IF(VolBMO2=1,6,8))),FALSE())))</f>
        <v> </v>
      </c>
      <c r="AJ252" s="321" t="str">
        <f aca="false">IF($A252="N/A"," ",(VLOOKUP($A252,OffPwrVolTable,(IF(VolBMO2=2,3,IF(VolBMO2=1,2,4))),FALSE())*VLOOKUP(MONTH($A252),Volscale,2)))</f>
        <v> </v>
      </c>
      <c r="AK252" s="321" t="str">
        <f aca="false">IF($A252="N/A"," ",IF(VolType2=1,AJ252,AI252))</f>
        <v> </v>
      </c>
      <c r="AL252" s="321" t="str">
        <f aca="false">IF($A252="N/A"," ",IF(PV=1,0,'Pricing Inputs2'!R285))</f>
        <v> </v>
      </c>
      <c r="AM252" s="323" t="str">
        <f aca="false">IF($A252="N/A"," ",(1+AL252/2)^(-2*((EOMONTH(A252,0)+20)-DateToday)/365.25))</f>
        <v> </v>
      </c>
      <c r="BQ252" s="0" t="str">
        <f aca="false">IF($A252="N/A"," ",(VLOOKUP($A252,NumberofDaysTable,2)))</f>
        <v> </v>
      </c>
      <c r="BR252" s="0" t="str">
        <f aca="false">IF($A252="N/A"," ",(VLOOKUP($A252,NumberofDaysTable,3)))</f>
        <v> </v>
      </c>
      <c r="BS252" s="0" t="str">
        <f aca="false">IF($A252="N/A"," ",(VLOOKUP($A252,NumberofDaysTable,4)))</f>
        <v> </v>
      </c>
    </row>
    <row r="253" customFormat="false" ht="12.75" hidden="false" customHeight="false" outlineLevel="0" collapsed="false">
      <c r="A253" s="315" t="str">
        <f aca="false">IF(A252="N/A","N/A",IF(EDATE(A252,1)&gt;Inputs!$P$5,"N/A",EDATE(A252,1)))</f>
        <v>N/A</v>
      </c>
      <c r="B253" s="316" t="str">
        <f aca="false">IF(A253="N/A"," ",YEAR(A253))</f>
        <v> </v>
      </c>
      <c r="C253" s="317" t="str">
        <f aca="false">IF($A253="N/A"," ",IF(Dayrun2=10,0,IF(Scaler2=1,(VLOOKUP(A253,ScaledPrice2,4)),(VLOOKUP(A253,ScaledPrice2,2)))))</f>
        <v> </v>
      </c>
      <c r="D253" s="317" t="str">
        <f aca="false">IF(A253="N/A"," ",IF(Dayrun2&gt;=7,0,IF(Scaler2=2,VLOOKUP(A253,ScaledPrice2,2),(VLOOKUP(A253,ScaledPrice2,2))*(2-(VLOOKUP(A253,ScaledPrice2,3))))))</f>
        <v> </v>
      </c>
      <c r="E253" s="317" t="str">
        <f aca="false">IF($A253="N/A"," ",IF(AND(Dayrun2&gt;=4,Dayrun2&lt;=9),0,VLOOKUP($A253,ScaledPrice2,9)))</f>
        <v> </v>
      </c>
      <c r="F253" s="317" t="str">
        <f aca="false">IF(A253="N/A"," ",IF(OR(Dayrun2=2,Dayrun2=3,Dayrun2=5,Dayrun2=6,Dayrun2=8,Dayrun2=9),VLOOKUP(A253,ScaledPrice2,IF(Scaler2=1,6,5)),0))</f>
        <v> </v>
      </c>
      <c r="G253" s="317" t="str">
        <f aca="false">IF(A253="N/A"," ",IF(OR(Dayrun2=2,Dayrun2=3,Dayrun2=5,Dayrun2=6),IF(Scaler2=2,F253,(VLOOKUP(A253,ScaledPrice2,5))*(2-(VLOOKUP(A253,ScaledPrice2,3)))),0))</f>
        <v> </v>
      </c>
      <c r="H253" s="317" t="str">
        <f aca="false">IF($A253="N/A"," ",IF(OR(Dayrun2=2,Dayrun2=3,Dayrun2=10),VLOOKUP($A253,ScaledPrice2,9),0))</f>
        <v> </v>
      </c>
      <c r="I253" s="317" t="str">
        <f aca="false">IF(A253="N/A"," ",IF(OR(Dayrun2=3,Dayrun2=6,Dayrun2=9),(VLOOKUP(A253,ScaledPrice2,IF(Scaler2=2,7,8))),0))</f>
        <v> </v>
      </c>
      <c r="J253" s="317" t="str">
        <f aca="false">IF(A253="N/A"," ",IF(OR(Dayrun2=3,Dayrun2=6),IF(Scaler2=2,I253,(VLOOKUP(A253,ScaledPrice2,7))*(2-(VLOOKUP(A253,ScaledPrice2,3)))),0))</f>
        <v> </v>
      </c>
      <c r="K253" s="317" t="str">
        <f aca="false">IF($A253="N/A"," ",IF(OR(Dayrun2=3,Dayrun2=10),VLOOKUP($A253,ScaledPrice2,9),0))</f>
        <v> </v>
      </c>
      <c r="L253" s="318" t="str">
        <f aca="false">IF($A253="N/A"," ",IF(Pricetype2=2,MAX(C253,0),IF(OR(Pricetype2=1,Pricetype2=4),IF(C253=0,0,(EURO(C253,Strikeprice2,0,0,($AH253+IF(Smile=TRUE(),VLOOKUP(MAX(-5,Strikeprice2-C253),Volsmile,2),0)),($A253-DateToday)+15,IF(Pricetype2=1,1,0),0))),C253)))</f>
        <v> </v>
      </c>
      <c r="M253" s="318" t="str">
        <f aca="false">IF($A253="N/A"," ",IF(Pricetype2=2,MAX(D253,0),IF(OR(Pricetype2=1,Pricetype2=4),IF(D253=0,0,(EURO(D253,Strikeprice2,0,0,($AH253+IF(Smile=TRUE(),VLOOKUP(MAX(-5,Strikeprice2-D253),Volsmile,2),0)),($A253-DateToday)+15,IF(Pricetype2=1,1,0),0))),D253)))</f>
        <v> </v>
      </c>
      <c r="N253" s="318" t="str">
        <f aca="false">IF($A253="N/A"," ",IF(Pricetype2=2,MAX(E253,0),IF(OR(Pricetype2=1,Pricetype2=4),IF(E253=0,0,(EURO(E253,Strikeprice2,0,0,($AK253+IF(Smile=TRUE(),VLOOKUP(MAX(-5,Strikeprice2-E253),Volsmile,2),0)),($A253-DateToday)+15,IF(Pricetype2=1,1,0),0))),E253)))</f>
        <v> </v>
      </c>
      <c r="O253" s="318" t="str">
        <f aca="false">IF($A253="N/A"," ",IF(Pricetype2=2,MAX(F253,0),IF(OR(Pricetype2=1,Pricetype2=4),IF(F253=0,0,(EURO(F253,Strikeprice2,0,0,($AK253+IF(Smile=TRUE(),VLOOKUP(MAX(-5,Strikeprice2-F253),Volsmile,2),0)),($A253-DateToday)+15,IF(Pricetype2=1,1,0),0))),F253)))</f>
        <v> </v>
      </c>
      <c r="P253" s="318" t="str">
        <f aca="false">IF($A253="N/A"," ",IF(Pricetype2=2,MAX(G253,0),IF(OR(Pricetype2=1,Pricetype2=4),IF(G253=0,0,(EURO(G253,Strikeprice2,0,0,($AK253+IF(Smile=TRUE(),VLOOKUP(MAX(-5,Strikeprice2-G253),Volsmile,2),0)),($A253-DateToday)+15,IF(Pricetype2=1,1,0),0))),G253)))</f>
        <v> </v>
      </c>
      <c r="Q253" s="318" t="str">
        <f aca="false">IF($A253="N/A"," ",IF(Pricetype2=2,MAX(H253,0),IF(OR(Pricetype2=1,Pricetype2=4),IF(H253=0,0,(EURO(H253,Strikeprice2,0,0,($AK253+IF(Smile=TRUE(),VLOOKUP(MAX(-5,Strikeprice2-H253),Volsmile,2),0)),($A253-DateToday)+15,IF(Pricetype2=1,1,0),0))),H253)))</f>
        <v> </v>
      </c>
      <c r="R253" s="318" t="str">
        <f aca="false">IF($A253="N/A"," ",IF(Pricetype2=2,MAX(I253,0),IF(OR(Pricetype2=1,Pricetype2=4),IF(I253=0,0,(EURO(I253,Strikeprice2,0,0,($AK253+IF(Smile=TRUE(),VLOOKUP(MAX(-5,Strikeprice2-I253),Volsmile,2),0)),($A253-DateToday)+15,IF(Pricetype2=1,1,0),0))),I253)))</f>
        <v> </v>
      </c>
      <c r="S253" s="318" t="str">
        <f aca="false">IF($A253="N/A"," ",IF(Pricetype2=2,MAX(J253,0),IF(OR(Pricetype2=1,Pricetype2=4),IF(J253=0,0,(EURO(J253,Strikeprice2,0,0,($AK253+IF(Smile=TRUE(),VLOOKUP(MAX(-5,Strikeprice2-J253),Volsmile,2),0)),($A253-DateToday)+15,IF(Pricetype2=1,1,0),0))),J253)))</f>
        <v> </v>
      </c>
      <c r="T253" s="318" t="str">
        <f aca="false">IF($A253="N/A"," ",IF(Pricetype2=2,MAX(K253,0),IF(OR(Pricetype2=1,Pricetype2=4),IF(K253=0,0,(EURO(K253,Strikeprice2,0,0,($AK253+IF(Smile=TRUE(),VLOOKUP(MAX(-5,Strikeprice2-K253),Volsmile,2),0)),($A253-DateToday)+15,IF(Pricetype2=1,1,0),0))),K253)))</f>
        <v> </v>
      </c>
      <c r="U253" s="319" t="str">
        <f aca="false">IF($A253="N/A"," ",Volume2*$AM253)</f>
        <v> </v>
      </c>
      <c r="V253" s="320" t="str">
        <f aca="false">IF($A253="N/A"," ",$U253*(8*($BQ253))*L253)</f>
        <v> </v>
      </c>
      <c r="W253" s="320" t="str">
        <f aca="false">IF($A253="N/A"," ",$U253*(8*($BQ253))*M253)</f>
        <v> </v>
      </c>
      <c r="X253" s="320" t="str">
        <f aca="false">IF($A253="N/A"," ",$U253*(8*($BQ253))*N253)</f>
        <v> </v>
      </c>
      <c r="Y253" s="320" t="str">
        <f aca="false">IF($A253="N/A"," ",$U253*(8*($BR253))*O253)</f>
        <v> </v>
      </c>
      <c r="Z253" s="320" t="str">
        <f aca="false">IF($A253="N/A"," ",$U253*(8*($BR253))*P253)</f>
        <v> </v>
      </c>
      <c r="AA253" s="320" t="str">
        <f aca="false">IF($A253="N/A"," ",$U253*(8*($BR253))*Q253)</f>
        <v> </v>
      </c>
      <c r="AB253" s="320" t="str">
        <f aca="false">IF($A253="N/A"," ",$U253*(8*($BS253))*R253)</f>
        <v> </v>
      </c>
      <c r="AC253" s="320" t="str">
        <f aca="false">IF($A253="N/A"," ",$U253*(8*($BS253))*S253)</f>
        <v> </v>
      </c>
      <c r="AD253" s="320" t="str">
        <f aca="false">IF($A253="N/A"," ",$U253*(8*($BS253))*T253)</f>
        <v> </v>
      </c>
      <c r="AE253" s="320" t="str">
        <f aca="false">IF($A253="N/A"," ",SUM(V253:AD253))</f>
        <v> </v>
      </c>
      <c r="AF253" s="321" t="str">
        <f aca="false">IF(A253="N/A"," ",(VLOOKUP(A253,PowerVolTable,(IF(VolBMO2=2,7,IF(VolBMO2=1,6,8))),FALSE())))</f>
        <v> </v>
      </c>
      <c r="AG253" s="321" t="str">
        <f aca="false">IF(A253="N/A"," ",(VLOOKUP(A253,IntraPowerVol,(IF(VolBMO2=2,3,IF(VolBMO2=1,2,4))),FALSE())*VLOOKUP(MONTH($A253),Volscale,2)))</f>
        <v> </v>
      </c>
      <c r="AH253" s="321" t="str">
        <f aca="false">IF($A253="N/A"," ",IF(VolType2=1,AG253,AF253))</f>
        <v> </v>
      </c>
      <c r="AI253" s="321" t="str">
        <f aca="false">IF($A253="N/A"," ",(VLOOKUP($A253,OffPwrVolTable,(IF(VolBMO2=2,7,IF(VolBMO2=1,6,8))),FALSE())))</f>
        <v> </v>
      </c>
      <c r="AJ253" s="321" t="str">
        <f aca="false">IF($A253="N/A"," ",(VLOOKUP($A253,OffPwrVolTable,(IF(VolBMO2=2,3,IF(VolBMO2=1,2,4))),FALSE())*VLOOKUP(MONTH($A253),Volscale,2)))</f>
        <v> </v>
      </c>
      <c r="AK253" s="321" t="str">
        <f aca="false">IF($A253="N/A"," ",IF(VolType2=1,AJ253,AI253))</f>
        <v> </v>
      </c>
      <c r="AL253" s="321" t="str">
        <f aca="false">IF($A253="N/A"," ",IF(PV=1,0,'Pricing Inputs2'!R286))</f>
        <v> </v>
      </c>
      <c r="AM253" s="323" t="str">
        <f aca="false">IF($A253="N/A"," ",(1+AL253/2)^(-2*((EOMONTH(A253,0)+20)-DateToday)/365.25))</f>
        <v> </v>
      </c>
      <c r="BQ253" s="0" t="str">
        <f aca="false">IF($A253="N/A"," ",(VLOOKUP($A253,NumberofDaysTable,2)))</f>
        <v> </v>
      </c>
      <c r="BR253" s="0" t="str">
        <f aca="false">IF($A253="N/A"," ",(VLOOKUP($A253,NumberofDaysTable,3)))</f>
        <v> </v>
      </c>
      <c r="BS253" s="0" t="str">
        <f aca="false">IF($A253="N/A"," ",(VLOOKUP($A253,NumberofDaysTable,4)))</f>
        <v> </v>
      </c>
    </row>
    <row r="254" customFormat="false" ht="12.75" hidden="false" customHeight="false" outlineLevel="0" collapsed="false">
      <c r="A254" s="315" t="str">
        <f aca="false">IF(A253="N/A","N/A",IF(EDATE(A253,1)&gt;Inputs!$P$5,"N/A",EDATE(A253,1)))</f>
        <v>N/A</v>
      </c>
      <c r="B254" s="316" t="str">
        <f aca="false">IF(A254="N/A"," ",YEAR(A254))</f>
        <v> </v>
      </c>
      <c r="C254" s="317" t="str">
        <f aca="false">IF($A254="N/A"," ",IF(Dayrun2=10,0,IF(Scaler2=1,(VLOOKUP(A254,ScaledPrice2,4)),(VLOOKUP(A254,ScaledPrice2,2)))))</f>
        <v> </v>
      </c>
      <c r="D254" s="317" t="str">
        <f aca="false">IF(A254="N/A"," ",IF(Dayrun2&gt;=7,0,IF(Scaler2=2,VLOOKUP(A254,ScaledPrice2,2),(VLOOKUP(A254,ScaledPrice2,2))*(2-(VLOOKUP(A254,ScaledPrice2,3))))))</f>
        <v> </v>
      </c>
      <c r="E254" s="317" t="str">
        <f aca="false">IF($A254="N/A"," ",IF(AND(Dayrun2&gt;=4,Dayrun2&lt;=9),0,VLOOKUP($A254,ScaledPrice2,9)))</f>
        <v> </v>
      </c>
      <c r="F254" s="317" t="str">
        <f aca="false">IF(A254="N/A"," ",IF(OR(Dayrun2=2,Dayrun2=3,Dayrun2=5,Dayrun2=6,Dayrun2=8,Dayrun2=9),VLOOKUP(A254,ScaledPrice2,IF(Scaler2=1,6,5)),0))</f>
        <v> </v>
      </c>
      <c r="G254" s="317" t="str">
        <f aca="false">IF(A254="N/A"," ",IF(OR(Dayrun2=2,Dayrun2=3,Dayrun2=5,Dayrun2=6),IF(Scaler2=2,F254,(VLOOKUP(A254,ScaledPrice2,5))*(2-(VLOOKUP(A254,ScaledPrice2,3)))),0))</f>
        <v> </v>
      </c>
      <c r="H254" s="317" t="str">
        <f aca="false">IF($A254="N/A"," ",IF(OR(Dayrun2=2,Dayrun2=3,Dayrun2=10),VLOOKUP($A254,ScaledPrice2,9),0))</f>
        <v> </v>
      </c>
      <c r="I254" s="317" t="str">
        <f aca="false">IF(A254="N/A"," ",IF(OR(Dayrun2=3,Dayrun2=6,Dayrun2=9),(VLOOKUP(A254,ScaledPrice2,IF(Scaler2=2,7,8))),0))</f>
        <v> </v>
      </c>
      <c r="J254" s="317" t="str">
        <f aca="false">IF(A254="N/A"," ",IF(OR(Dayrun2=3,Dayrun2=6),IF(Scaler2=2,I254,(VLOOKUP(A254,ScaledPrice2,7))*(2-(VLOOKUP(A254,ScaledPrice2,3)))),0))</f>
        <v> </v>
      </c>
      <c r="K254" s="317" t="str">
        <f aca="false">IF($A254="N/A"," ",IF(OR(Dayrun2=3,Dayrun2=10),VLOOKUP($A254,ScaledPrice2,9),0))</f>
        <v> </v>
      </c>
      <c r="L254" s="318" t="str">
        <f aca="false">IF($A254="N/A"," ",IF(Pricetype2=2,MAX(C254,0),IF(OR(Pricetype2=1,Pricetype2=4),IF(C254=0,0,(EURO(C254,Strikeprice2,0,0,($AH254+IF(Smile=TRUE(),VLOOKUP(MAX(-5,Strikeprice2-C254),Volsmile,2),0)),($A254-DateToday)+15,IF(Pricetype2=1,1,0),0))),C254)))</f>
        <v> </v>
      </c>
      <c r="M254" s="318" t="str">
        <f aca="false">IF($A254="N/A"," ",IF(Pricetype2=2,MAX(D254,0),IF(OR(Pricetype2=1,Pricetype2=4),IF(D254=0,0,(EURO(D254,Strikeprice2,0,0,($AH254+IF(Smile=TRUE(),VLOOKUP(MAX(-5,Strikeprice2-D254),Volsmile,2),0)),($A254-DateToday)+15,IF(Pricetype2=1,1,0),0))),D254)))</f>
        <v> </v>
      </c>
      <c r="N254" s="318" t="str">
        <f aca="false">IF($A254="N/A"," ",IF(Pricetype2=2,MAX(E254,0),IF(OR(Pricetype2=1,Pricetype2=4),IF(E254=0,0,(EURO(E254,Strikeprice2,0,0,($AK254+IF(Smile=TRUE(),VLOOKUP(MAX(-5,Strikeprice2-E254),Volsmile,2),0)),($A254-DateToday)+15,IF(Pricetype2=1,1,0),0))),E254)))</f>
        <v> </v>
      </c>
      <c r="O254" s="318" t="str">
        <f aca="false">IF($A254="N/A"," ",IF(Pricetype2=2,MAX(F254,0),IF(OR(Pricetype2=1,Pricetype2=4),IF(F254=0,0,(EURO(F254,Strikeprice2,0,0,($AK254+IF(Smile=TRUE(),VLOOKUP(MAX(-5,Strikeprice2-F254),Volsmile,2),0)),($A254-DateToday)+15,IF(Pricetype2=1,1,0),0))),F254)))</f>
        <v> </v>
      </c>
      <c r="P254" s="318" t="str">
        <f aca="false">IF($A254="N/A"," ",IF(Pricetype2=2,MAX(G254,0),IF(OR(Pricetype2=1,Pricetype2=4),IF(G254=0,0,(EURO(G254,Strikeprice2,0,0,($AK254+IF(Smile=TRUE(),VLOOKUP(MAX(-5,Strikeprice2-G254),Volsmile,2),0)),($A254-DateToday)+15,IF(Pricetype2=1,1,0),0))),G254)))</f>
        <v> </v>
      </c>
      <c r="Q254" s="318" t="str">
        <f aca="false">IF($A254="N/A"," ",IF(Pricetype2=2,MAX(H254,0),IF(OR(Pricetype2=1,Pricetype2=4),IF(H254=0,0,(EURO(H254,Strikeprice2,0,0,($AK254+IF(Smile=TRUE(),VLOOKUP(MAX(-5,Strikeprice2-H254),Volsmile,2),0)),($A254-DateToday)+15,IF(Pricetype2=1,1,0),0))),H254)))</f>
        <v> </v>
      </c>
      <c r="R254" s="318" t="str">
        <f aca="false">IF($A254="N/A"," ",IF(Pricetype2=2,MAX(I254,0),IF(OR(Pricetype2=1,Pricetype2=4),IF(I254=0,0,(EURO(I254,Strikeprice2,0,0,($AK254+IF(Smile=TRUE(),VLOOKUP(MAX(-5,Strikeprice2-I254),Volsmile,2),0)),($A254-DateToday)+15,IF(Pricetype2=1,1,0),0))),I254)))</f>
        <v> </v>
      </c>
      <c r="S254" s="318" t="str">
        <f aca="false">IF($A254="N/A"," ",IF(Pricetype2=2,MAX(J254,0),IF(OR(Pricetype2=1,Pricetype2=4),IF(J254=0,0,(EURO(J254,Strikeprice2,0,0,($AK254+IF(Smile=TRUE(),VLOOKUP(MAX(-5,Strikeprice2-J254),Volsmile,2),0)),($A254-DateToday)+15,IF(Pricetype2=1,1,0),0))),J254)))</f>
        <v> </v>
      </c>
      <c r="T254" s="318" t="str">
        <f aca="false">IF($A254="N/A"," ",IF(Pricetype2=2,MAX(K254,0),IF(OR(Pricetype2=1,Pricetype2=4),IF(K254=0,0,(EURO(K254,Strikeprice2,0,0,($AK254+IF(Smile=TRUE(),VLOOKUP(MAX(-5,Strikeprice2-K254),Volsmile,2),0)),($A254-DateToday)+15,IF(Pricetype2=1,1,0),0))),K254)))</f>
        <v> </v>
      </c>
      <c r="U254" s="319" t="str">
        <f aca="false">IF($A254="N/A"," ",Volume2*$AM254)</f>
        <v> </v>
      </c>
      <c r="V254" s="320" t="str">
        <f aca="false">IF($A254="N/A"," ",$U254*(8*($BQ254))*L254)</f>
        <v> </v>
      </c>
      <c r="W254" s="320" t="str">
        <f aca="false">IF($A254="N/A"," ",$U254*(8*($BQ254))*M254)</f>
        <v> </v>
      </c>
      <c r="X254" s="320" t="str">
        <f aca="false">IF($A254="N/A"," ",$U254*(8*($BQ254))*N254)</f>
        <v> </v>
      </c>
      <c r="Y254" s="320" t="str">
        <f aca="false">IF($A254="N/A"," ",$U254*(8*($BR254))*O254)</f>
        <v> </v>
      </c>
      <c r="Z254" s="320" t="str">
        <f aca="false">IF($A254="N/A"," ",$U254*(8*($BR254))*P254)</f>
        <v> </v>
      </c>
      <c r="AA254" s="320" t="str">
        <f aca="false">IF($A254="N/A"," ",$U254*(8*($BR254))*Q254)</f>
        <v> </v>
      </c>
      <c r="AB254" s="320" t="str">
        <f aca="false">IF($A254="N/A"," ",$U254*(8*($BS254))*R254)</f>
        <v> </v>
      </c>
      <c r="AC254" s="320" t="str">
        <f aca="false">IF($A254="N/A"," ",$U254*(8*($BS254))*S254)</f>
        <v> </v>
      </c>
      <c r="AD254" s="320" t="str">
        <f aca="false">IF($A254="N/A"," ",$U254*(8*($BS254))*T254)</f>
        <v> </v>
      </c>
      <c r="AE254" s="320" t="str">
        <f aca="false">IF($A254="N/A"," ",SUM(V254:AD254))</f>
        <v> </v>
      </c>
      <c r="AF254" s="321" t="str">
        <f aca="false">IF(A254="N/A"," ",(VLOOKUP(A254,PowerVolTable,(IF(VolBMO2=2,7,IF(VolBMO2=1,6,8))),FALSE())))</f>
        <v> </v>
      </c>
      <c r="AG254" s="321" t="str">
        <f aca="false">IF(A254="N/A"," ",(VLOOKUP(A254,IntraPowerVol,(IF(VolBMO2=2,3,IF(VolBMO2=1,2,4))),FALSE())*VLOOKUP(MONTH($A254),Volscale,2)))</f>
        <v> </v>
      </c>
      <c r="AH254" s="321" t="str">
        <f aca="false">IF($A254="N/A"," ",IF(VolType2=1,AG254,AF254))</f>
        <v> </v>
      </c>
      <c r="AI254" s="321" t="str">
        <f aca="false">IF($A254="N/A"," ",(VLOOKUP($A254,OffPwrVolTable,(IF(VolBMO2=2,7,IF(VolBMO2=1,6,8))),FALSE())))</f>
        <v> </v>
      </c>
      <c r="AJ254" s="321" t="str">
        <f aca="false">IF($A254="N/A"," ",(VLOOKUP($A254,OffPwrVolTable,(IF(VolBMO2=2,3,IF(VolBMO2=1,2,4))),FALSE())*VLOOKUP(MONTH($A254),Volscale,2)))</f>
        <v> </v>
      </c>
      <c r="AK254" s="321" t="str">
        <f aca="false">IF($A254="N/A"," ",IF(VolType2=1,AJ254,AI254))</f>
        <v> </v>
      </c>
      <c r="AL254" s="321" t="str">
        <f aca="false">IF($A254="N/A"," ",IF(PV=1,0,'Pricing Inputs2'!R287))</f>
        <v> </v>
      </c>
      <c r="AM254" s="323" t="str">
        <f aca="false">IF($A254="N/A"," ",(1+AL254/2)^(-2*((EOMONTH(A254,0)+20)-DateToday)/365.25))</f>
        <v> </v>
      </c>
      <c r="BQ254" s="0" t="str">
        <f aca="false">IF($A254="N/A"," ",(VLOOKUP($A254,NumberofDaysTable,2)))</f>
        <v> </v>
      </c>
      <c r="BR254" s="0" t="str">
        <f aca="false">IF($A254="N/A"," ",(VLOOKUP($A254,NumberofDaysTable,3)))</f>
        <v> </v>
      </c>
      <c r="BS254" s="0" t="str">
        <f aca="false">IF($A254="N/A"," ",(VLOOKUP($A254,NumberofDaysTable,4)))</f>
        <v> </v>
      </c>
    </row>
    <row r="255" customFormat="false" ht="12.75" hidden="false" customHeight="false" outlineLevel="0" collapsed="false">
      <c r="A255" s="315" t="str">
        <f aca="false">IF(A254="N/A","N/A",IF(EDATE(A254,1)&gt;Inputs!$P$5,"N/A",EDATE(A254,1)))</f>
        <v>N/A</v>
      </c>
      <c r="B255" s="316" t="str">
        <f aca="false">IF(A255="N/A"," ",YEAR(A255))</f>
        <v> </v>
      </c>
      <c r="C255" s="317" t="str">
        <f aca="false">IF($A255="N/A"," ",IF(Dayrun2=10,0,IF(Scaler2=1,(VLOOKUP(A255,ScaledPrice2,4)),(VLOOKUP(A255,ScaledPrice2,2)))))</f>
        <v> </v>
      </c>
      <c r="D255" s="317" t="str">
        <f aca="false">IF(A255="N/A"," ",IF(Dayrun2&gt;=7,0,IF(Scaler2=2,VLOOKUP(A255,ScaledPrice2,2),(VLOOKUP(A255,ScaledPrice2,2))*(2-(VLOOKUP(A255,ScaledPrice2,3))))))</f>
        <v> </v>
      </c>
      <c r="E255" s="317" t="str">
        <f aca="false">IF($A255="N/A"," ",IF(AND(Dayrun2&gt;=4,Dayrun2&lt;=9),0,VLOOKUP($A255,ScaledPrice2,9)))</f>
        <v> </v>
      </c>
      <c r="F255" s="317" t="str">
        <f aca="false">IF(A255="N/A"," ",IF(OR(Dayrun2=2,Dayrun2=3,Dayrun2=5,Dayrun2=6,Dayrun2=8,Dayrun2=9),VLOOKUP(A255,ScaledPrice2,IF(Scaler2=1,6,5)),0))</f>
        <v> </v>
      </c>
      <c r="G255" s="317" t="str">
        <f aca="false">IF(A255="N/A"," ",IF(OR(Dayrun2=2,Dayrun2=3,Dayrun2=5,Dayrun2=6),IF(Scaler2=2,F255,(VLOOKUP(A255,ScaledPrice2,5))*(2-(VLOOKUP(A255,ScaledPrice2,3)))),0))</f>
        <v> </v>
      </c>
      <c r="H255" s="317" t="str">
        <f aca="false">IF($A255="N/A"," ",IF(OR(Dayrun2=2,Dayrun2=3,Dayrun2=10),VLOOKUP($A255,ScaledPrice2,9),0))</f>
        <v> </v>
      </c>
      <c r="I255" s="317" t="str">
        <f aca="false">IF(A255="N/A"," ",IF(OR(Dayrun2=3,Dayrun2=6,Dayrun2=9),(VLOOKUP(A255,ScaledPrice2,IF(Scaler2=2,7,8))),0))</f>
        <v> </v>
      </c>
      <c r="J255" s="317" t="str">
        <f aca="false">IF(A255="N/A"," ",IF(OR(Dayrun2=3,Dayrun2=6),IF(Scaler2=2,I255,(VLOOKUP(A255,ScaledPrice2,7))*(2-(VLOOKUP(A255,ScaledPrice2,3)))),0))</f>
        <v> </v>
      </c>
      <c r="K255" s="317" t="str">
        <f aca="false">IF($A255="N/A"," ",IF(OR(Dayrun2=3,Dayrun2=10),VLOOKUP($A255,ScaledPrice2,9),0))</f>
        <v> </v>
      </c>
      <c r="L255" s="318" t="str">
        <f aca="false">IF($A255="N/A"," ",IF(Pricetype2=2,MAX(C255,0),IF(OR(Pricetype2=1,Pricetype2=4),IF(C255=0,0,(EURO(C255,Strikeprice2,0,0,($AH255+IF(Smile=TRUE(),VLOOKUP(MAX(-5,Strikeprice2-C255),Volsmile,2),0)),($A255-DateToday)+15,IF(Pricetype2=1,1,0),0))),C255)))</f>
        <v> </v>
      </c>
      <c r="M255" s="318" t="str">
        <f aca="false">IF($A255="N/A"," ",IF(Pricetype2=2,MAX(D255,0),IF(OR(Pricetype2=1,Pricetype2=4),IF(D255=0,0,(EURO(D255,Strikeprice2,0,0,($AH255+IF(Smile=TRUE(),VLOOKUP(MAX(-5,Strikeprice2-D255),Volsmile,2),0)),($A255-DateToday)+15,IF(Pricetype2=1,1,0),0))),D255)))</f>
        <v> </v>
      </c>
      <c r="N255" s="318" t="str">
        <f aca="false">IF($A255="N/A"," ",IF(Pricetype2=2,MAX(E255,0),IF(OR(Pricetype2=1,Pricetype2=4),IF(E255=0,0,(EURO(E255,Strikeprice2,0,0,($AK255+IF(Smile=TRUE(),VLOOKUP(MAX(-5,Strikeprice2-E255),Volsmile,2),0)),($A255-DateToday)+15,IF(Pricetype2=1,1,0),0))),E255)))</f>
        <v> </v>
      </c>
      <c r="O255" s="318" t="str">
        <f aca="false">IF($A255="N/A"," ",IF(Pricetype2=2,MAX(F255,0),IF(OR(Pricetype2=1,Pricetype2=4),IF(F255=0,0,(EURO(F255,Strikeprice2,0,0,($AK255+IF(Smile=TRUE(),VLOOKUP(MAX(-5,Strikeprice2-F255),Volsmile,2),0)),($A255-DateToday)+15,IF(Pricetype2=1,1,0),0))),F255)))</f>
        <v> </v>
      </c>
      <c r="P255" s="318" t="str">
        <f aca="false">IF($A255="N/A"," ",IF(Pricetype2=2,MAX(G255,0),IF(OR(Pricetype2=1,Pricetype2=4),IF(G255=0,0,(EURO(G255,Strikeprice2,0,0,($AK255+IF(Smile=TRUE(),VLOOKUP(MAX(-5,Strikeprice2-G255),Volsmile,2),0)),($A255-DateToday)+15,IF(Pricetype2=1,1,0),0))),G255)))</f>
        <v> </v>
      </c>
      <c r="Q255" s="318" t="str">
        <f aca="false">IF($A255="N/A"," ",IF(Pricetype2=2,MAX(H255,0),IF(OR(Pricetype2=1,Pricetype2=4),IF(H255=0,0,(EURO(H255,Strikeprice2,0,0,($AK255+IF(Smile=TRUE(),VLOOKUP(MAX(-5,Strikeprice2-H255),Volsmile,2),0)),($A255-DateToday)+15,IF(Pricetype2=1,1,0),0))),H255)))</f>
        <v> </v>
      </c>
      <c r="R255" s="318" t="str">
        <f aca="false">IF($A255="N/A"," ",IF(Pricetype2=2,MAX(I255,0),IF(OR(Pricetype2=1,Pricetype2=4),IF(I255=0,0,(EURO(I255,Strikeprice2,0,0,($AK255+IF(Smile=TRUE(),VLOOKUP(MAX(-5,Strikeprice2-I255),Volsmile,2),0)),($A255-DateToday)+15,IF(Pricetype2=1,1,0),0))),I255)))</f>
        <v> </v>
      </c>
      <c r="S255" s="318" t="str">
        <f aca="false">IF($A255="N/A"," ",IF(Pricetype2=2,MAX(J255,0),IF(OR(Pricetype2=1,Pricetype2=4),IF(J255=0,0,(EURO(J255,Strikeprice2,0,0,($AK255+IF(Smile=TRUE(),VLOOKUP(MAX(-5,Strikeprice2-J255),Volsmile,2),0)),($A255-DateToday)+15,IF(Pricetype2=1,1,0),0))),J255)))</f>
        <v> </v>
      </c>
      <c r="T255" s="318" t="str">
        <f aca="false">IF($A255="N/A"," ",IF(Pricetype2=2,MAX(K255,0),IF(OR(Pricetype2=1,Pricetype2=4),IF(K255=0,0,(EURO(K255,Strikeprice2,0,0,($AK255+IF(Smile=TRUE(),VLOOKUP(MAX(-5,Strikeprice2-K255),Volsmile,2),0)),($A255-DateToday)+15,IF(Pricetype2=1,1,0),0))),K255)))</f>
        <v> </v>
      </c>
      <c r="U255" s="319" t="str">
        <f aca="false">IF($A255="N/A"," ",Volume2*$AM255)</f>
        <v> </v>
      </c>
      <c r="V255" s="320" t="str">
        <f aca="false">IF($A255="N/A"," ",$U255*(8*($BQ255))*L255)</f>
        <v> </v>
      </c>
      <c r="W255" s="320" t="str">
        <f aca="false">IF($A255="N/A"," ",$U255*(8*($BQ255))*M255)</f>
        <v> </v>
      </c>
      <c r="X255" s="320" t="str">
        <f aca="false">IF($A255="N/A"," ",$U255*(8*($BQ255))*N255)</f>
        <v> </v>
      </c>
      <c r="Y255" s="320" t="str">
        <f aca="false">IF($A255="N/A"," ",$U255*(8*($BR255))*O255)</f>
        <v> </v>
      </c>
      <c r="Z255" s="320" t="str">
        <f aca="false">IF($A255="N/A"," ",$U255*(8*($BR255))*P255)</f>
        <v> </v>
      </c>
      <c r="AA255" s="320" t="str">
        <f aca="false">IF($A255="N/A"," ",$U255*(8*($BR255))*Q255)</f>
        <v> </v>
      </c>
      <c r="AB255" s="320" t="str">
        <f aca="false">IF($A255="N/A"," ",$U255*(8*($BS255))*R255)</f>
        <v> </v>
      </c>
      <c r="AC255" s="320" t="str">
        <f aca="false">IF($A255="N/A"," ",$U255*(8*($BS255))*S255)</f>
        <v> </v>
      </c>
      <c r="AD255" s="320" t="str">
        <f aca="false">IF($A255="N/A"," ",$U255*(8*($BS255))*T255)</f>
        <v> </v>
      </c>
      <c r="AE255" s="320" t="str">
        <f aca="false">IF($A255="N/A"," ",SUM(V255:AD255))</f>
        <v> </v>
      </c>
      <c r="AF255" s="321" t="str">
        <f aca="false">IF(A255="N/A"," ",(VLOOKUP(A255,PowerVolTable,(IF(VolBMO2=2,7,IF(VolBMO2=1,6,8))),FALSE())))</f>
        <v> </v>
      </c>
      <c r="AG255" s="321" t="str">
        <f aca="false">IF(A255="N/A"," ",(VLOOKUP(A255,IntraPowerVol,(IF(VolBMO2=2,3,IF(VolBMO2=1,2,4))),FALSE())*VLOOKUP(MONTH($A255),Volscale,2)))</f>
        <v> </v>
      </c>
      <c r="AH255" s="321" t="str">
        <f aca="false">IF($A255="N/A"," ",IF(VolType2=1,AG255,AF255))</f>
        <v> </v>
      </c>
      <c r="AI255" s="321" t="str">
        <f aca="false">IF($A255="N/A"," ",(VLOOKUP($A255,OffPwrVolTable,(IF(VolBMO2=2,7,IF(VolBMO2=1,6,8))),FALSE())))</f>
        <v> </v>
      </c>
      <c r="AJ255" s="321" t="str">
        <f aca="false">IF($A255="N/A"," ",(VLOOKUP($A255,OffPwrVolTable,(IF(VolBMO2=2,3,IF(VolBMO2=1,2,4))),FALSE())*VLOOKUP(MONTH($A255),Volscale,2)))</f>
        <v> </v>
      </c>
      <c r="AK255" s="321" t="str">
        <f aca="false">IF($A255="N/A"," ",IF(VolType2=1,AJ255,AI255))</f>
        <v> </v>
      </c>
      <c r="AL255" s="321" t="str">
        <f aca="false">IF($A255="N/A"," ",IF(PV=1,0,'Pricing Inputs2'!R288))</f>
        <v> </v>
      </c>
      <c r="AM255" s="323" t="str">
        <f aca="false">IF($A255="N/A"," ",(1+AL255/2)^(-2*((EOMONTH(A255,0)+20)-DateToday)/365.25))</f>
        <v> </v>
      </c>
      <c r="BQ255" s="0" t="str">
        <f aca="false">IF($A255="N/A"," ",(VLOOKUP($A255,NumberofDaysTable,2)))</f>
        <v> </v>
      </c>
      <c r="BR255" s="0" t="str">
        <f aca="false">IF($A255="N/A"," ",(VLOOKUP($A255,NumberofDaysTable,3)))</f>
        <v> </v>
      </c>
      <c r="BS255" s="0" t="str">
        <f aca="false">IF($A255="N/A"," ",(VLOOKUP($A255,NumberofDaysTable,4)))</f>
        <v> </v>
      </c>
    </row>
    <row r="256" customFormat="false" ht="12.75" hidden="false" customHeight="false" outlineLevel="0" collapsed="false">
      <c r="A256" s="325"/>
      <c r="B256" s="326"/>
      <c r="J256" s="73"/>
      <c r="K256" s="327"/>
    </row>
    <row r="257" customFormat="false" ht="12.75" hidden="false" customHeight="false" outlineLevel="0" collapsed="false">
      <c r="A257" s="325"/>
      <c r="B257" s="326"/>
      <c r="J257" s="73"/>
      <c r="K257" s="327"/>
    </row>
    <row r="258" customFormat="false" ht="12.75" hidden="false" customHeight="false" outlineLevel="0" collapsed="false">
      <c r="A258" s="325"/>
      <c r="B258" s="326"/>
      <c r="J258" s="73"/>
      <c r="K258" s="327"/>
    </row>
    <row r="259" customFormat="false" ht="12.75" hidden="false" customHeight="false" outlineLevel="0" collapsed="false">
      <c r="A259" s="325"/>
      <c r="B259" s="326"/>
      <c r="J259" s="73"/>
      <c r="K259" s="327"/>
    </row>
    <row r="260" customFormat="false" ht="12.75" hidden="false" customHeight="false" outlineLevel="0" collapsed="false">
      <c r="A260" s="325"/>
      <c r="B260" s="326"/>
      <c r="J260" s="73"/>
      <c r="K260" s="327"/>
    </row>
    <row r="261" customFormat="false" ht="12.75" hidden="false" customHeight="false" outlineLevel="0" collapsed="false">
      <c r="A261" s="325"/>
      <c r="B261" s="326"/>
      <c r="J261" s="73"/>
      <c r="K261" s="327"/>
    </row>
    <row r="262" customFormat="false" ht="12.75" hidden="false" customHeight="false" outlineLevel="0" collapsed="false">
      <c r="A262" s="325"/>
      <c r="B262" s="326"/>
      <c r="J262" s="73"/>
      <c r="K262" s="327"/>
    </row>
    <row r="263" customFormat="false" ht="12.75" hidden="false" customHeight="false" outlineLevel="0" collapsed="false">
      <c r="A263" s="325"/>
      <c r="B263" s="326"/>
      <c r="J263" s="73"/>
      <c r="K263" s="327"/>
    </row>
    <row r="264" customFormat="false" ht="12.75" hidden="false" customHeight="false" outlineLevel="0" collapsed="false">
      <c r="A264" s="325"/>
      <c r="B264" s="326"/>
      <c r="J264" s="73"/>
      <c r="K264" s="327"/>
    </row>
    <row r="265" customFormat="false" ht="12.75" hidden="false" customHeight="false" outlineLevel="0" collapsed="false">
      <c r="A265" s="325"/>
      <c r="B265" s="326"/>
      <c r="J265" s="73"/>
      <c r="K265" s="327"/>
    </row>
    <row r="266" customFormat="false" ht="12.75" hidden="false" customHeight="false" outlineLevel="0" collapsed="false">
      <c r="A266" s="325"/>
      <c r="B266" s="326"/>
      <c r="J266" s="73"/>
      <c r="K266" s="327"/>
    </row>
    <row r="267" customFormat="false" ht="12.75" hidden="false" customHeight="false" outlineLevel="0" collapsed="false">
      <c r="A267" s="325"/>
      <c r="B267" s="326"/>
      <c r="J267" s="73"/>
      <c r="K267" s="327"/>
    </row>
    <row r="268" customFormat="false" ht="12.75" hidden="false" customHeight="false" outlineLevel="0" collapsed="false">
      <c r="A268" s="325"/>
      <c r="B268" s="326"/>
      <c r="J268" s="73"/>
      <c r="K268" s="327"/>
    </row>
    <row r="269" customFormat="false" ht="12.75" hidden="false" customHeight="false" outlineLevel="0" collapsed="false">
      <c r="A269" s="325"/>
      <c r="B269" s="326"/>
      <c r="J269" s="73"/>
      <c r="K269" s="327"/>
    </row>
    <row r="270" customFormat="false" ht="12.75" hidden="false" customHeight="false" outlineLevel="0" collapsed="false">
      <c r="A270" s="325"/>
      <c r="B270" s="326"/>
      <c r="J270" s="73"/>
      <c r="K270" s="327"/>
    </row>
    <row r="271" customFormat="false" ht="12.75" hidden="false" customHeight="false" outlineLevel="0" collapsed="false">
      <c r="A271" s="325"/>
      <c r="B271" s="326"/>
      <c r="J271" s="73"/>
      <c r="K271" s="327"/>
    </row>
    <row r="272" customFormat="false" ht="12.75" hidden="false" customHeight="false" outlineLevel="0" collapsed="false">
      <c r="A272" s="325"/>
      <c r="B272" s="326"/>
      <c r="J272" s="73"/>
      <c r="K272" s="327"/>
    </row>
    <row r="273" customFormat="false" ht="12.75" hidden="false" customHeight="false" outlineLevel="0" collapsed="false">
      <c r="A273" s="325"/>
      <c r="B273" s="326"/>
      <c r="J273" s="73"/>
      <c r="K273" s="327"/>
    </row>
    <row r="274" customFormat="false" ht="12.75" hidden="false" customHeight="false" outlineLevel="0" collapsed="false">
      <c r="A274" s="325"/>
      <c r="B274" s="326"/>
      <c r="J274" s="73"/>
      <c r="K274" s="327"/>
    </row>
    <row r="275" customFormat="false" ht="12.75" hidden="false" customHeight="false" outlineLevel="0" collapsed="false">
      <c r="A275" s="325"/>
      <c r="B275" s="326"/>
      <c r="J275" s="73"/>
      <c r="K275" s="327"/>
    </row>
    <row r="276" customFormat="false" ht="12.75" hidden="false" customHeight="false" outlineLevel="0" collapsed="false">
      <c r="A276" s="325"/>
      <c r="B276" s="326"/>
      <c r="J276" s="73"/>
      <c r="K276" s="327"/>
    </row>
    <row r="277" customFormat="false" ht="12.75" hidden="false" customHeight="false" outlineLevel="0" collapsed="false">
      <c r="A277" s="325"/>
      <c r="B277" s="326"/>
      <c r="J277" s="73"/>
      <c r="K277" s="327"/>
    </row>
    <row r="278" customFormat="false" ht="12.75" hidden="false" customHeight="false" outlineLevel="0" collapsed="false">
      <c r="A278" s="325"/>
      <c r="B278" s="326"/>
      <c r="J278" s="73"/>
      <c r="K278" s="327"/>
    </row>
    <row r="279" customFormat="false" ht="12.75" hidden="false" customHeight="false" outlineLevel="0" collapsed="false">
      <c r="A279" s="325"/>
      <c r="B279" s="326"/>
      <c r="J279" s="73"/>
      <c r="K279" s="327"/>
    </row>
    <row r="280" customFormat="false" ht="12.75" hidden="false" customHeight="false" outlineLevel="0" collapsed="false">
      <c r="A280" s="325"/>
      <c r="B280" s="326"/>
      <c r="J280" s="73"/>
      <c r="K280" s="327"/>
    </row>
    <row r="281" customFormat="false" ht="12.75" hidden="false" customHeight="false" outlineLevel="0" collapsed="false">
      <c r="A281" s="325"/>
      <c r="B281" s="326"/>
      <c r="J281" s="73"/>
      <c r="K281" s="327"/>
    </row>
    <row r="282" customFormat="false" ht="12.75" hidden="false" customHeight="false" outlineLevel="0" collapsed="false">
      <c r="A282" s="325"/>
      <c r="B282" s="326"/>
      <c r="J282" s="73"/>
      <c r="K282" s="327"/>
    </row>
    <row r="283" customFormat="false" ht="12.75" hidden="false" customHeight="false" outlineLevel="0" collapsed="false">
      <c r="A283" s="325"/>
      <c r="B283" s="326"/>
      <c r="J283" s="73"/>
      <c r="K283" s="327"/>
    </row>
    <row r="284" customFormat="false" ht="12.75" hidden="false" customHeight="false" outlineLevel="0" collapsed="false">
      <c r="A284" s="325"/>
      <c r="B284" s="326"/>
      <c r="J284" s="73"/>
      <c r="K284" s="327"/>
    </row>
    <row r="285" customFormat="false" ht="12.75" hidden="false" customHeight="false" outlineLevel="0" collapsed="false">
      <c r="A285" s="325"/>
      <c r="B285" s="326"/>
      <c r="J285" s="73"/>
      <c r="K285" s="327"/>
    </row>
    <row r="286" customFormat="false" ht="12.75" hidden="false" customHeight="false" outlineLevel="0" collapsed="false">
      <c r="A286" s="325"/>
      <c r="B286" s="326"/>
      <c r="J286" s="73"/>
      <c r="K286" s="327"/>
    </row>
    <row r="287" customFormat="false" ht="12.75" hidden="false" customHeight="false" outlineLevel="0" collapsed="false">
      <c r="A287" s="325"/>
      <c r="B287" s="326"/>
      <c r="J287" s="73"/>
      <c r="K287" s="327"/>
    </row>
    <row r="288" customFormat="false" ht="12.75" hidden="false" customHeight="false" outlineLevel="0" collapsed="false">
      <c r="A288" s="325"/>
      <c r="B288" s="326"/>
      <c r="J288" s="73"/>
      <c r="K288" s="327"/>
    </row>
    <row r="289" customFormat="false" ht="12.75" hidden="false" customHeight="false" outlineLevel="0" collapsed="false">
      <c r="A289" s="325"/>
      <c r="B289" s="326"/>
      <c r="J289" s="73"/>
      <c r="K289" s="327"/>
    </row>
    <row r="290" customFormat="false" ht="12.75" hidden="false" customHeight="false" outlineLevel="0" collapsed="false">
      <c r="A290" s="325"/>
      <c r="B290" s="326"/>
      <c r="J290" s="73"/>
      <c r="K290" s="327"/>
    </row>
    <row r="291" customFormat="false" ht="12.75" hidden="false" customHeight="false" outlineLevel="0" collapsed="false">
      <c r="A291" s="325"/>
      <c r="B291" s="326"/>
      <c r="J291" s="73"/>
      <c r="K291" s="327"/>
    </row>
    <row r="292" customFormat="false" ht="12.75" hidden="false" customHeight="false" outlineLevel="0" collapsed="false">
      <c r="A292" s="325"/>
      <c r="B292" s="326"/>
      <c r="J292" s="73"/>
      <c r="K292" s="327"/>
    </row>
    <row r="293" customFormat="false" ht="12.75" hidden="false" customHeight="false" outlineLevel="0" collapsed="false">
      <c r="A293" s="325"/>
      <c r="B293" s="326"/>
      <c r="J293" s="73"/>
      <c r="K293" s="327"/>
    </row>
    <row r="294" customFormat="false" ht="12.75" hidden="false" customHeight="false" outlineLevel="0" collapsed="false">
      <c r="A294" s="325"/>
      <c r="B294" s="326"/>
      <c r="J294" s="73"/>
      <c r="K294" s="327"/>
    </row>
    <row r="295" customFormat="false" ht="12.75" hidden="false" customHeight="false" outlineLevel="0" collapsed="false">
      <c r="A295" s="325"/>
      <c r="B295" s="326"/>
      <c r="J295" s="73"/>
      <c r="K295" s="327"/>
    </row>
    <row r="296" customFormat="false" ht="12.75" hidden="false" customHeight="false" outlineLevel="0" collapsed="false">
      <c r="A296" s="325"/>
      <c r="B296" s="326"/>
      <c r="J296" s="73"/>
      <c r="K296" s="327"/>
    </row>
    <row r="297" customFormat="false" ht="12.75" hidden="false" customHeight="false" outlineLevel="0" collapsed="false">
      <c r="A297" s="325"/>
      <c r="B297" s="326"/>
      <c r="J297" s="73"/>
      <c r="K297" s="327"/>
    </row>
    <row r="298" customFormat="false" ht="12.75" hidden="false" customHeight="false" outlineLevel="0" collapsed="false">
      <c r="A298" s="325"/>
      <c r="B298" s="326"/>
      <c r="J298" s="73"/>
      <c r="K298" s="327"/>
    </row>
    <row r="299" customFormat="false" ht="12.75" hidden="false" customHeight="false" outlineLevel="0" collapsed="false">
      <c r="A299" s="325"/>
      <c r="B299" s="326"/>
      <c r="J299" s="73"/>
      <c r="K299" s="327"/>
    </row>
    <row r="300" customFormat="false" ht="12.75" hidden="false" customHeight="false" outlineLevel="0" collapsed="false">
      <c r="A300" s="325"/>
      <c r="B300" s="326"/>
      <c r="J300" s="73"/>
      <c r="K300" s="327"/>
    </row>
    <row r="301" customFormat="false" ht="12.75" hidden="false" customHeight="false" outlineLevel="0" collapsed="false">
      <c r="A301" s="325"/>
      <c r="B301" s="326"/>
      <c r="J301" s="73"/>
      <c r="K301" s="327"/>
    </row>
    <row r="302" customFormat="false" ht="12.75" hidden="false" customHeight="false" outlineLevel="0" collapsed="false">
      <c r="A302" s="325"/>
      <c r="B302" s="326"/>
      <c r="J302" s="73"/>
      <c r="K302" s="327"/>
    </row>
    <row r="303" customFormat="false" ht="12.75" hidden="false" customHeight="false" outlineLevel="0" collapsed="false">
      <c r="A303" s="325"/>
      <c r="B303" s="326"/>
      <c r="J303" s="73"/>
      <c r="K303" s="327"/>
    </row>
    <row r="304" customFormat="false" ht="12.75" hidden="false" customHeight="false" outlineLevel="0" collapsed="false">
      <c r="A304" s="325"/>
      <c r="B304" s="326"/>
      <c r="J304" s="73"/>
      <c r="K304" s="327"/>
    </row>
    <row r="305" customFormat="false" ht="12.75" hidden="false" customHeight="false" outlineLevel="0" collapsed="false">
      <c r="A305" s="325"/>
      <c r="B305" s="326"/>
      <c r="J305" s="73"/>
      <c r="K305" s="327"/>
    </row>
    <row r="306" customFormat="false" ht="12.75" hidden="false" customHeight="false" outlineLevel="0" collapsed="false">
      <c r="A306" s="325"/>
      <c r="B306" s="326"/>
      <c r="J306" s="73"/>
      <c r="K306" s="327"/>
    </row>
    <row r="307" customFormat="false" ht="12.75" hidden="false" customHeight="false" outlineLevel="0" collapsed="false">
      <c r="A307" s="325"/>
      <c r="B307" s="326"/>
      <c r="J307" s="73"/>
      <c r="K307" s="327"/>
    </row>
    <row r="308" customFormat="false" ht="12.75" hidden="false" customHeight="false" outlineLevel="0" collapsed="false">
      <c r="A308" s="325"/>
      <c r="B308" s="326"/>
      <c r="J308" s="73"/>
      <c r="K308" s="327"/>
    </row>
    <row r="309" customFormat="false" ht="12.75" hidden="false" customHeight="false" outlineLevel="0" collapsed="false">
      <c r="A309" s="325"/>
      <c r="B309" s="326"/>
      <c r="J309" s="73"/>
      <c r="K309" s="327"/>
    </row>
    <row r="310" customFormat="false" ht="12.75" hidden="false" customHeight="false" outlineLevel="0" collapsed="false">
      <c r="A310" s="325"/>
      <c r="B310" s="326"/>
      <c r="J310" s="73"/>
      <c r="K310" s="327"/>
    </row>
    <row r="311" customFormat="false" ht="12.75" hidden="false" customHeight="false" outlineLevel="0" collapsed="false">
      <c r="A311" s="325"/>
      <c r="B311" s="326"/>
      <c r="J311" s="73"/>
      <c r="K311" s="327"/>
    </row>
    <row r="312" customFormat="false" ht="12.75" hidden="false" customHeight="false" outlineLevel="0" collapsed="false">
      <c r="A312" s="325"/>
      <c r="B312" s="326"/>
      <c r="J312" s="73"/>
      <c r="K312" s="327"/>
    </row>
    <row r="313" customFormat="false" ht="12.75" hidden="false" customHeight="false" outlineLevel="0" collapsed="false">
      <c r="A313" s="325"/>
      <c r="B313" s="326"/>
      <c r="J313" s="73"/>
      <c r="K313" s="327"/>
    </row>
    <row r="314" customFormat="false" ht="12.75" hidden="false" customHeight="false" outlineLevel="0" collapsed="false">
      <c r="A314" s="325"/>
      <c r="B314" s="326"/>
      <c r="J314" s="73"/>
      <c r="K314" s="327"/>
    </row>
    <row r="315" customFormat="false" ht="12.75" hidden="false" customHeight="false" outlineLevel="0" collapsed="false">
      <c r="A315" s="325"/>
      <c r="B315" s="326"/>
      <c r="J315" s="73"/>
      <c r="K315" s="327"/>
    </row>
    <row r="316" customFormat="false" ht="12.75" hidden="false" customHeight="false" outlineLevel="0" collapsed="false">
      <c r="A316" s="325"/>
      <c r="B316" s="326"/>
      <c r="J316" s="73"/>
      <c r="K316" s="327"/>
    </row>
    <row r="317" customFormat="false" ht="12.75" hidden="false" customHeight="false" outlineLevel="0" collapsed="false">
      <c r="A317" s="325"/>
      <c r="B317" s="326"/>
      <c r="J317" s="73"/>
      <c r="K317" s="327"/>
    </row>
    <row r="318" customFormat="false" ht="12.75" hidden="false" customHeight="false" outlineLevel="0" collapsed="false">
      <c r="A318" s="325"/>
      <c r="B318" s="326"/>
      <c r="J318" s="73"/>
      <c r="K318" s="327"/>
    </row>
    <row r="319" customFormat="false" ht="12.75" hidden="false" customHeight="false" outlineLevel="0" collapsed="false">
      <c r="A319" s="325"/>
      <c r="B319" s="326"/>
      <c r="J319" s="73"/>
      <c r="K319" s="327"/>
    </row>
    <row r="320" customFormat="false" ht="12.75" hidden="false" customHeight="false" outlineLevel="0" collapsed="false">
      <c r="A320" s="325"/>
      <c r="B320" s="326"/>
      <c r="J320" s="73"/>
      <c r="K320" s="327"/>
    </row>
    <row r="321" customFormat="false" ht="12.75" hidden="false" customHeight="false" outlineLevel="0" collapsed="false">
      <c r="A321" s="325"/>
      <c r="B321" s="326"/>
      <c r="J321" s="73"/>
      <c r="K321" s="327"/>
    </row>
    <row r="322" customFormat="false" ht="12.75" hidden="false" customHeight="false" outlineLevel="0" collapsed="false">
      <c r="A322" s="325"/>
      <c r="B322" s="326"/>
      <c r="J322" s="73"/>
      <c r="K322" s="327"/>
    </row>
    <row r="323" customFormat="false" ht="12.75" hidden="false" customHeight="false" outlineLevel="0" collapsed="false">
      <c r="A323" s="325"/>
      <c r="B323" s="326"/>
      <c r="J323" s="73"/>
      <c r="K323" s="327"/>
    </row>
    <row r="324" customFormat="false" ht="12.75" hidden="false" customHeight="false" outlineLevel="0" collapsed="false">
      <c r="A324" s="325"/>
      <c r="B324" s="326"/>
      <c r="J324" s="73"/>
      <c r="K324" s="327"/>
    </row>
    <row r="325" customFormat="false" ht="12.75" hidden="false" customHeight="false" outlineLevel="0" collapsed="false">
      <c r="A325" s="325"/>
      <c r="B325" s="326"/>
      <c r="J325" s="73"/>
      <c r="K325" s="327"/>
    </row>
    <row r="326" customFormat="false" ht="12.75" hidden="false" customHeight="false" outlineLevel="0" collapsed="false">
      <c r="A326" s="325"/>
      <c r="B326" s="326"/>
      <c r="J326" s="73"/>
      <c r="K326" s="327"/>
    </row>
    <row r="327" customFormat="false" ht="12.75" hidden="false" customHeight="false" outlineLevel="0" collapsed="false">
      <c r="A327" s="325"/>
      <c r="B327" s="326"/>
      <c r="J327" s="73"/>
      <c r="K327" s="327"/>
    </row>
    <row r="328" customFormat="false" ht="12.75" hidden="false" customHeight="false" outlineLevel="0" collapsed="false">
      <c r="A328" s="325"/>
      <c r="B328" s="326"/>
      <c r="J328" s="73"/>
      <c r="K328" s="327"/>
    </row>
    <row r="329" customFormat="false" ht="12.75" hidden="false" customHeight="false" outlineLevel="0" collapsed="false">
      <c r="A329" s="325"/>
      <c r="B329" s="326"/>
      <c r="J329" s="73"/>
      <c r="K329" s="327"/>
    </row>
    <row r="330" customFormat="false" ht="12.75" hidden="false" customHeight="false" outlineLevel="0" collapsed="false">
      <c r="A330" s="325"/>
      <c r="B330" s="326"/>
      <c r="J330" s="73"/>
      <c r="K330" s="327"/>
    </row>
    <row r="331" customFormat="false" ht="12.75" hidden="false" customHeight="false" outlineLevel="0" collapsed="false">
      <c r="A331" s="325"/>
      <c r="B331" s="326"/>
      <c r="J331" s="73"/>
      <c r="K331" s="327"/>
    </row>
    <row r="332" customFormat="false" ht="12.75" hidden="false" customHeight="false" outlineLevel="0" collapsed="false">
      <c r="A332" s="325"/>
      <c r="B332" s="326"/>
      <c r="J332" s="73"/>
      <c r="K332" s="327"/>
    </row>
    <row r="333" customFormat="false" ht="12.75" hidden="false" customHeight="false" outlineLevel="0" collapsed="false">
      <c r="A333" s="325"/>
      <c r="B333" s="326"/>
      <c r="J333" s="73"/>
      <c r="K333" s="327"/>
    </row>
    <row r="334" customFormat="false" ht="12.75" hidden="false" customHeight="false" outlineLevel="0" collapsed="false">
      <c r="A334" s="325"/>
      <c r="B334" s="326"/>
      <c r="J334" s="73"/>
      <c r="K334" s="327"/>
    </row>
    <row r="335" customFormat="false" ht="12.75" hidden="false" customHeight="false" outlineLevel="0" collapsed="false">
      <c r="A335" s="325"/>
      <c r="B335" s="326"/>
      <c r="J335" s="73"/>
      <c r="K335" s="327"/>
    </row>
    <row r="336" customFormat="false" ht="12.75" hidden="false" customHeight="false" outlineLevel="0" collapsed="false">
      <c r="A336" s="325"/>
      <c r="B336" s="326"/>
      <c r="J336" s="73"/>
      <c r="K336" s="327"/>
    </row>
    <row r="337" customFormat="false" ht="12.75" hidden="false" customHeight="false" outlineLevel="0" collapsed="false">
      <c r="A337" s="325"/>
      <c r="B337" s="326"/>
      <c r="J337" s="73"/>
      <c r="K337" s="327"/>
    </row>
    <row r="338" customFormat="false" ht="12.75" hidden="false" customHeight="false" outlineLevel="0" collapsed="false">
      <c r="A338" s="325"/>
      <c r="B338" s="326"/>
      <c r="J338" s="73"/>
      <c r="K338" s="327"/>
    </row>
    <row r="339" customFormat="false" ht="12.75" hidden="false" customHeight="false" outlineLevel="0" collapsed="false">
      <c r="A339" s="325"/>
      <c r="B339" s="326"/>
      <c r="J339" s="73"/>
      <c r="K339" s="327"/>
    </row>
    <row r="340" customFormat="false" ht="12.75" hidden="false" customHeight="false" outlineLevel="0" collapsed="false">
      <c r="A340" s="325"/>
      <c r="B340" s="326"/>
      <c r="J340" s="73"/>
      <c r="K340" s="327"/>
    </row>
    <row r="341" customFormat="false" ht="12.75" hidden="false" customHeight="false" outlineLevel="0" collapsed="false">
      <c r="A341" s="325"/>
      <c r="B341" s="326"/>
      <c r="J341" s="73"/>
      <c r="K341" s="327"/>
    </row>
    <row r="342" customFormat="false" ht="12.75" hidden="false" customHeight="false" outlineLevel="0" collapsed="false">
      <c r="A342" s="325"/>
      <c r="B342" s="326"/>
      <c r="J342" s="73"/>
      <c r="K342" s="327"/>
    </row>
    <row r="343" customFormat="false" ht="12.75" hidden="false" customHeight="false" outlineLevel="0" collapsed="false">
      <c r="A343" s="325"/>
      <c r="B343" s="326"/>
      <c r="J343" s="73"/>
      <c r="K343" s="327"/>
    </row>
    <row r="344" customFormat="false" ht="12.75" hidden="false" customHeight="false" outlineLevel="0" collapsed="false">
      <c r="A344" s="325"/>
      <c r="B344" s="326"/>
      <c r="J344" s="73"/>
      <c r="K344" s="327"/>
    </row>
    <row r="345" customFormat="false" ht="12.75" hidden="false" customHeight="false" outlineLevel="0" collapsed="false">
      <c r="A345" s="325"/>
      <c r="B345" s="326"/>
      <c r="J345" s="73"/>
      <c r="K345" s="327"/>
    </row>
    <row r="346" customFormat="false" ht="12.75" hidden="false" customHeight="false" outlineLevel="0" collapsed="false">
      <c r="A346" s="325"/>
      <c r="B346" s="326"/>
      <c r="J346" s="73"/>
      <c r="K346" s="327"/>
    </row>
    <row r="347" customFormat="false" ht="12.75" hidden="false" customHeight="false" outlineLevel="0" collapsed="false">
      <c r="A347" s="325"/>
      <c r="B347" s="326"/>
      <c r="J347" s="73"/>
      <c r="K347" s="327"/>
    </row>
    <row r="348" customFormat="false" ht="12.75" hidden="false" customHeight="false" outlineLevel="0" collapsed="false">
      <c r="A348" s="325"/>
      <c r="B348" s="326"/>
      <c r="J348" s="73"/>
      <c r="K348" s="327"/>
    </row>
    <row r="349" customFormat="false" ht="12.75" hidden="false" customHeight="false" outlineLevel="0" collapsed="false">
      <c r="A349" s="325"/>
      <c r="B349" s="326"/>
      <c r="J349" s="73"/>
      <c r="K349" s="327"/>
    </row>
    <row r="350" customFormat="false" ht="12.75" hidden="false" customHeight="false" outlineLevel="0" collapsed="false">
      <c r="A350" s="325"/>
      <c r="B350" s="326"/>
      <c r="J350" s="73"/>
      <c r="K350" s="327"/>
    </row>
    <row r="351" customFormat="false" ht="12.75" hidden="false" customHeight="false" outlineLevel="0" collapsed="false">
      <c r="A351" s="325"/>
      <c r="B351" s="326"/>
      <c r="J351" s="73"/>
      <c r="K351" s="327"/>
    </row>
    <row r="352" customFormat="false" ht="12.75" hidden="false" customHeight="false" outlineLevel="0" collapsed="false">
      <c r="A352" s="325"/>
      <c r="B352" s="326"/>
      <c r="J352" s="73"/>
      <c r="K352" s="327"/>
    </row>
    <row r="353" customFormat="false" ht="12.75" hidden="false" customHeight="false" outlineLevel="0" collapsed="false">
      <c r="A353" s="325"/>
      <c r="B353" s="326"/>
      <c r="J353" s="73"/>
      <c r="K353" s="327"/>
    </row>
    <row r="354" customFormat="false" ht="12.75" hidden="false" customHeight="false" outlineLevel="0" collapsed="false">
      <c r="A354" s="325"/>
      <c r="B354" s="326"/>
      <c r="J354" s="73"/>
      <c r="K354" s="327"/>
    </row>
    <row r="355" customFormat="false" ht="12.75" hidden="false" customHeight="false" outlineLevel="0" collapsed="false">
      <c r="A355" s="325"/>
      <c r="B355" s="326"/>
      <c r="J355" s="73"/>
      <c r="K355" s="327"/>
    </row>
    <row r="356" customFormat="false" ht="12.75" hidden="false" customHeight="false" outlineLevel="0" collapsed="false">
      <c r="A356" s="325"/>
      <c r="B356" s="326"/>
      <c r="J356" s="73"/>
      <c r="K356" s="327"/>
    </row>
    <row r="357" customFormat="false" ht="12.75" hidden="false" customHeight="false" outlineLevel="0" collapsed="false">
      <c r="A357" s="325"/>
      <c r="B357" s="326"/>
      <c r="J357" s="73"/>
      <c r="K357" s="327"/>
    </row>
    <row r="358" customFormat="false" ht="12.75" hidden="false" customHeight="false" outlineLevel="0" collapsed="false">
      <c r="A358" s="325"/>
      <c r="B358" s="326"/>
      <c r="J358" s="73"/>
      <c r="K358" s="327"/>
    </row>
    <row r="359" customFormat="false" ht="12.75" hidden="false" customHeight="false" outlineLevel="0" collapsed="false">
      <c r="A359" s="325"/>
      <c r="B359" s="326"/>
      <c r="J359" s="73"/>
      <c r="K359" s="327"/>
    </row>
    <row r="360" customFormat="false" ht="12.75" hidden="false" customHeight="false" outlineLevel="0" collapsed="false">
      <c r="A360" s="325"/>
      <c r="B360" s="326"/>
      <c r="J360" s="73"/>
      <c r="K360" s="327"/>
    </row>
    <row r="361" customFormat="false" ht="12.75" hidden="false" customHeight="false" outlineLevel="0" collapsed="false">
      <c r="A361" s="325"/>
      <c r="B361" s="326"/>
      <c r="J361" s="73"/>
      <c r="K361" s="327"/>
    </row>
    <row r="362" customFormat="false" ht="12.75" hidden="false" customHeight="false" outlineLevel="0" collapsed="false">
      <c r="A362" s="325"/>
      <c r="B362" s="326"/>
      <c r="J362" s="73"/>
      <c r="K362" s="327"/>
    </row>
    <row r="363" customFormat="false" ht="12.75" hidden="false" customHeight="false" outlineLevel="0" collapsed="false">
      <c r="A363" s="325"/>
      <c r="B363" s="326"/>
      <c r="J363" s="73"/>
      <c r="K363" s="327"/>
    </row>
    <row r="364" customFormat="false" ht="12.75" hidden="false" customHeight="false" outlineLevel="0" collapsed="false">
      <c r="A364" s="325"/>
      <c r="B364" s="326"/>
      <c r="J364" s="73"/>
      <c r="K364" s="327"/>
    </row>
    <row r="365" customFormat="false" ht="12.75" hidden="false" customHeight="false" outlineLevel="0" collapsed="false">
      <c r="A365" s="325"/>
      <c r="B365" s="326"/>
      <c r="J365" s="73"/>
      <c r="K365" s="327"/>
    </row>
    <row r="366" customFormat="false" ht="12.75" hidden="false" customHeight="false" outlineLevel="0" collapsed="false">
      <c r="A366" s="325"/>
      <c r="B366" s="326"/>
      <c r="J366" s="73"/>
      <c r="K366" s="327"/>
    </row>
    <row r="367" customFormat="false" ht="12.75" hidden="false" customHeight="false" outlineLevel="0" collapsed="false">
      <c r="A367" s="325"/>
      <c r="B367" s="326"/>
      <c r="J367" s="73"/>
      <c r="K367" s="327"/>
    </row>
    <row r="368" customFormat="false" ht="12.75" hidden="false" customHeight="false" outlineLevel="0" collapsed="false">
      <c r="A368" s="325"/>
      <c r="B368" s="326"/>
      <c r="J368" s="73"/>
      <c r="K368" s="327"/>
    </row>
    <row r="369" customFormat="false" ht="12.75" hidden="false" customHeight="false" outlineLevel="0" collapsed="false">
      <c r="A369" s="325"/>
      <c r="B369" s="326"/>
      <c r="J369" s="73"/>
      <c r="K369" s="327"/>
    </row>
    <row r="370" customFormat="false" ht="12.75" hidden="false" customHeight="false" outlineLevel="0" collapsed="false">
      <c r="A370" s="325"/>
      <c r="B370" s="326"/>
      <c r="J370" s="73"/>
      <c r="K370" s="327"/>
    </row>
    <row r="371" customFormat="false" ht="12.75" hidden="false" customHeight="false" outlineLevel="0" collapsed="false">
      <c r="A371" s="325"/>
      <c r="B371" s="326"/>
      <c r="J371" s="73"/>
      <c r="K371" s="327"/>
    </row>
    <row r="372" customFormat="false" ht="12.75" hidden="false" customHeight="false" outlineLevel="0" collapsed="false">
      <c r="A372" s="325"/>
      <c r="B372" s="326"/>
      <c r="J372" s="73"/>
      <c r="K372" s="327"/>
    </row>
    <row r="373" customFormat="false" ht="12.75" hidden="false" customHeight="false" outlineLevel="0" collapsed="false">
      <c r="A373" s="325"/>
      <c r="B373" s="326"/>
      <c r="J373" s="73"/>
      <c r="K373" s="327"/>
    </row>
    <row r="374" customFormat="false" ht="12.75" hidden="false" customHeight="false" outlineLevel="0" collapsed="false">
      <c r="A374" s="325"/>
      <c r="B374" s="326"/>
      <c r="J374" s="73"/>
      <c r="K374" s="327"/>
    </row>
    <row r="375" customFormat="false" ht="12.75" hidden="false" customHeight="false" outlineLevel="0" collapsed="false">
      <c r="A375" s="325"/>
      <c r="B375" s="326"/>
      <c r="J375" s="73"/>
      <c r="K375" s="327"/>
    </row>
    <row r="376" customFormat="false" ht="12.75" hidden="false" customHeight="false" outlineLevel="0" collapsed="false">
      <c r="A376" s="325"/>
      <c r="B376" s="326"/>
      <c r="J376" s="73"/>
      <c r="K376" s="327"/>
    </row>
    <row r="377" customFormat="false" ht="12.75" hidden="false" customHeight="false" outlineLevel="0" collapsed="false">
      <c r="A377" s="325"/>
      <c r="B377" s="326"/>
      <c r="J377" s="73"/>
      <c r="K377" s="327"/>
    </row>
    <row r="378" customFormat="false" ht="12.75" hidden="false" customHeight="false" outlineLevel="0" collapsed="false">
      <c r="A378" s="325"/>
      <c r="B378" s="326"/>
      <c r="J378" s="73"/>
      <c r="K378" s="327"/>
    </row>
    <row r="379" customFormat="false" ht="12.75" hidden="false" customHeight="false" outlineLevel="0" collapsed="false">
      <c r="A379" s="325"/>
      <c r="B379" s="326"/>
      <c r="J379" s="73"/>
      <c r="K379" s="327"/>
    </row>
    <row r="380" customFormat="false" ht="12.75" hidden="false" customHeight="false" outlineLevel="0" collapsed="false">
      <c r="A380" s="325"/>
      <c r="B380" s="326"/>
      <c r="J380" s="73"/>
      <c r="K380" s="327"/>
    </row>
    <row r="381" customFormat="false" ht="12.75" hidden="false" customHeight="false" outlineLevel="0" collapsed="false">
      <c r="A381" s="325"/>
      <c r="B381" s="326"/>
      <c r="J381" s="73"/>
      <c r="K381" s="327"/>
    </row>
    <row r="382" customFormat="false" ht="12.75" hidden="false" customHeight="false" outlineLevel="0" collapsed="false">
      <c r="A382" s="325"/>
      <c r="B382" s="326"/>
      <c r="J382" s="73"/>
      <c r="K382" s="327"/>
    </row>
    <row r="383" customFormat="false" ht="12.75" hidden="false" customHeight="false" outlineLevel="0" collapsed="false">
      <c r="A383" s="325"/>
      <c r="B383" s="326"/>
      <c r="J383" s="73"/>
      <c r="K383" s="327"/>
    </row>
    <row r="384" customFormat="false" ht="12.75" hidden="false" customHeight="false" outlineLevel="0" collapsed="false">
      <c r="A384" s="325"/>
      <c r="B384" s="326"/>
      <c r="J384" s="73"/>
      <c r="K384" s="327"/>
    </row>
    <row r="385" customFormat="false" ht="12.75" hidden="false" customHeight="false" outlineLevel="0" collapsed="false">
      <c r="A385" s="325"/>
      <c r="B385" s="326"/>
      <c r="J385" s="73"/>
      <c r="K385" s="327"/>
    </row>
    <row r="386" customFormat="false" ht="12.75" hidden="false" customHeight="false" outlineLevel="0" collapsed="false">
      <c r="A386" s="325"/>
      <c r="B386" s="326"/>
      <c r="J386" s="73"/>
      <c r="K386" s="327"/>
    </row>
    <row r="387" customFormat="false" ht="12.75" hidden="false" customHeight="false" outlineLevel="0" collapsed="false">
      <c r="A387" s="325"/>
      <c r="B387" s="326"/>
      <c r="J387" s="73"/>
      <c r="K387" s="327"/>
    </row>
    <row r="388" customFormat="false" ht="12.75" hidden="false" customHeight="false" outlineLevel="0" collapsed="false">
      <c r="A388" s="325"/>
      <c r="B388" s="326"/>
      <c r="J388" s="73"/>
      <c r="K388" s="327"/>
    </row>
    <row r="389" customFormat="false" ht="12.75" hidden="false" customHeight="false" outlineLevel="0" collapsed="false">
      <c r="A389" s="325"/>
      <c r="B389" s="326"/>
      <c r="J389" s="73"/>
      <c r="K389" s="327"/>
    </row>
    <row r="390" customFormat="false" ht="12.75" hidden="false" customHeight="false" outlineLevel="0" collapsed="false">
      <c r="A390" s="325"/>
      <c r="B390" s="326"/>
      <c r="J390" s="73"/>
      <c r="K390" s="327"/>
    </row>
    <row r="391" customFormat="false" ht="12.75" hidden="false" customHeight="false" outlineLevel="0" collapsed="false">
      <c r="A391" s="325"/>
      <c r="B391" s="326"/>
      <c r="J391" s="73"/>
      <c r="K391" s="327"/>
    </row>
    <row r="392" customFormat="false" ht="12.75" hidden="false" customHeight="false" outlineLevel="0" collapsed="false">
      <c r="A392" s="325"/>
      <c r="B392" s="326"/>
      <c r="J392" s="73"/>
      <c r="K392" s="327"/>
    </row>
    <row r="393" customFormat="false" ht="12.75" hidden="false" customHeight="false" outlineLevel="0" collapsed="false">
      <c r="A393" s="325"/>
      <c r="B393" s="326"/>
      <c r="J393" s="73"/>
      <c r="K393" s="327"/>
    </row>
    <row r="394" customFormat="false" ht="12.75" hidden="false" customHeight="false" outlineLevel="0" collapsed="false">
      <c r="A394" s="325"/>
      <c r="B394" s="326"/>
      <c r="J394" s="73"/>
      <c r="K394" s="327"/>
    </row>
    <row r="395" customFormat="false" ht="12.75" hidden="false" customHeight="false" outlineLevel="0" collapsed="false">
      <c r="A395" s="325"/>
      <c r="B395" s="326"/>
      <c r="J395" s="73"/>
      <c r="K395" s="327"/>
    </row>
    <row r="396" customFormat="false" ht="12.75" hidden="false" customHeight="false" outlineLevel="0" collapsed="false">
      <c r="A396" s="325"/>
      <c r="B396" s="326"/>
      <c r="J396" s="73"/>
      <c r="K396" s="327"/>
    </row>
    <row r="397" customFormat="false" ht="12.75" hidden="false" customHeight="false" outlineLevel="0" collapsed="false">
      <c r="A397" s="325"/>
      <c r="B397" s="326"/>
      <c r="J397" s="73"/>
      <c r="K397" s="327"/>
    </row>
    <row r="398" customFormat="false" ht="12.75" hidden="false" customHeight="false" outlineLevel="0" collapsed="false">
      <c r="A398" s="325"/>
      <c r="B398" s="326"/>
      <c r="J398" s="73"/>
      <c r="K398" s="327"/>
    </row>
    <row r="399" customFormat="false" ht="12.75" hidden="false" customHeight="false" outlineLevel="0" collapsed="false">
      <c r="A399" s="325"/>
      <c r="B399" s="326"/>
      <c r="J399" s="73"/>
      <c r="K399" s="327"/>
    </row>
    <row r="400" customFormat="false" ht="12.75" hidden="false" customHeight="false" outlineLevel="0" collapsed="false">
      <c r="A400" s="325"/>
      <c r="B400" s="326"/>
      <c r="J400" s="73"/>
      <c r="K400" s="327"/>
    </row>
    <row r="401" customFormat="false" ht="12.75" hidden="false" customHeight="false" outlineLevel="0" collapsed="false">
      <c r="A401" s="325"/>
      <c r="B401" s="326"/>
      <c r="J401" s="73"/>
      <c r="K401" s="327"/>
    </row>
    <row r="402" customFormat="false" ht="12.75" hidden="false" customHeight="false" outlineLevel="0" collapsed="false">
      <c r="A402" s="325"/>
      <c r="B402" s="326"/>
      <c r="J402" s="73"/>
      <c r="K402" s="327"/>
    </row>
    <row r="403" customFormat="false" ht="12.75" hidden="false" customHeight="false" outlineLevel="0" collapsed="false">
      <c r="A403" s="325"/>
      <c r="B403" s="326"/>
      <c r="J403" s="73"/>
      <c r="K403" s="327"/>
    </row>
    <row r="404" customFormat="false" ht="12.75" hidden="false" customHeight="false" outlineLevel="0" collapsed="false">
      <c r="A404" s="325"/>
      <c r="B404" s="326"/>
      <c r="J404" s="73"/>
      <c r="K404" s="327"/>
    </row>
    <row r="405" customFormat="false" ht="12.75" hidden="false" customHeight="false" outlineLevel="0" collapsed="false">
      <c r="A405" s="325"/>
      <c r="B405" s="326"/>
      <c r="J405" s="73"/>
      <c r="K405" s="327"/>
    </row>
    <row r="406" customFormat="false" ht="12.75" hidden="false" customHeight="false" outlineLevel="0" collapsed="false">
      <c r="A406" s="325"/>
      <c r="B406" s="326"/>
      <c r="J406" s="73"/>
      <c r="K406" s="327"/>
    </row>
    <row r="407" customFormat="false" ht="12.75" hidden="false" customHeight="false" outlineLevel="0" collapsed="false">
      <c r="A407" s="325"/>
      <c r="B407" s="326"/>
      <c r="J407" s="73"/>
      <c r="K407" s="327"/>
    </row>
    <row r="408" customFormat="false" ht="12.75" hidden="false" customHeight="false" outlineLevel="0" collapsed="false">
      <c r="A408" s="325"/>
      <c r="B408" s="326"/>
      <c r="J408" s="73"/>
      <c r="K408" s="327"/>
    </row>
    <row r="409" customFormat="false" ht="12.75" hidden="false" customHeight="false" outlineLevel="0" collapsed="false">
      <c r="A409" s="325"/>
      <c r="B409" s="326"/>
      <c r="J409" s="73"/>
      <c r="K409" s="327"/>
    </row>
    <row r="410" customFormat="false" ht="12.75" hidden="false" customHeight="false" outlineLevel="0" collapsed="false">
      <c r="A410" s="325"/>
      <c r="B410" s="326"/>
      <c r="J410" s="73"/>
      <c r="K410" s="327"/>
    </row>
    <row r="411" customFormat="false" ht="12.75" hidden="false" customHeight="false" outlineLevel="0" collapsed="false">
      <c r="A411" s="325"/>
      <c r="B411" s="326"/>
      <c r="J411" s="73"/>
      <c r="K411" s="327"/>
    </row>
    <row r="412" customFormat="false" ht="12.75" hidden="false" customHeight="false" outlineLevel="0" collapsed="false">
      <c r="A412" s="325"/>
      <c r="B412" s="326"/>
      <c r="J412" s="73"/>
      <c r="K412" s="327"/>
    </row>
    <row r="413" customFormat="false" ht="12.75" hidden="false" customHeight="false" outlineLevel="0" collapsed="false">
      <c r="A413" s="325"/>
      <c r="B413" s="326"/>
      <c r="J413" s="73"/>
      <c r="K413" s="327"/>
    </row>
    <row r="414" customFormat="false" ht="12.75" hidden="false" customHeight="false" outlineLevel="0" collapsed="false">
      <c r="A414" s="325"/>
      <c r="B414" s="326"/>
      <c r="J414" s="73"/>
      <c r="K414" s="327"/>
    </row>
    <row r="415" customFormat="false" ht="12.75" hidden="false" customHeight="false" outlineLevel="0" collapsed="false">
      <c r="A415" s="325"/>
      <c r="B415" s="326"/>
      <c r="J415" s="73"/>
      <c r="K415" s="327"/>
    </row>
    <row r="416" customFormat="false" ht="12.75" hidden="false" customHeight="false" outlineLevel="0" collapsed="false">
      <c r="A416" s="325"/>
      <c r="B416" s="326"/>
      <c r="J416" s="73"/>
      <c r="K416" s="327"/>
    </row>
    <row r="417" customFormat="false" ht="12.75" hidden="false" customHeight="false" outlineLevel="0" collapsed="false">
      <c r="A417" s="325"/>
      <c r="B417" s="326"/>
      <c r="J417" s="73"/>
      <c r="K417" s="327"/>
    </row>
    <row r="418" customFormat="false" ht="12.75" hidden="false" customHeight="false" outlineLevel="0" collapsed="false">
      <c r="A418" s="325"/>
      <c r="B418" s="326"/>
      <c r="J418" s="73"/>
      <c r="K418" s="327"/>
    </row>
    <row r="419" customFormat="false" ht="12.75" hidden="false" customHeight="false" outlineLevel="0" collapsed="false">
      <c r="A419" s="325"/>
      <c r="B419" s="326"/>
      <c r="J419" s="73"/>
      <c r="K419" s="327"/>
    </row>
    <row r="420" customFormat="false" ht="12.75" hidden="false" customHeight="false" outlineLevel="0" collapsed="false">
      <c r="A420" s="325"/>
      <c r="B420" s="326"/>
      <c r="J420" s="73"/>
      <c r="K420" s="327"/>
    </row>
    <row r="421" customFormat="false" ht="12.75" hidden="false" customHeight="false" outlineLevel="0" collapsed="false">
      <c r="A421" s="325"/>
      <c r="B421" s="326"/>
      <c r="J421" s="73"/>
      <c r="K421" s="327"/>
    </row>
    <row r="422" customFormat="false" ht="12.75" hidden="false" customHeight="false" outlineLevel="0" collapsed="false">
      <c r="A422" s="325"/>
      <c r="B422" s="326"/>
      <c r="J422" s="73"/>
      <c r="K422" s="327"/>
    </row>
    <row r="423" customFormat="false" ht="12.75" hidden="false" customHeight="false" outlineLevel="0" collapsed="false">
      <c r="A423" s="325"/>
      <c r="B423" s="326"/>
      <c r="J423" s="73"/>
      <c r="K423" s="327"/>
    </row>
    <row r="424" customFormat="false" ht="12.75" hidden="false" customHeight="false" outlineLevel="0" collapsed="false">
      <c r="A424" s="325"/>
      <c r="B424" s="326"/>
      <c r="J424" s="73"/>
      <c r="K424" s="327"/>
    </row>
    <row r="425" customFormat="false" ht="12.75" hidden="false" customHeight="false" outlineLevel="0" collapsed="false">
      <c r="A425" s="325"/>
      <c r="B425" s="326"/>
      <c r="J425" s="73"/>
      <c r="K425" s="327"/>
    </row>
    <row r="426" customFormat="false" ht="12.75" hidden="false" customHeight="false" outlineLevel="0" collapsed="false">
      <c r="A426" s="325"/>
      <c r="B426" s="326"/>
      <c r="J426" s="73"/>
      <c r="K426" s="327"/>
    </row>
    <row r="427" customFormat="false" ht="12.75" hidden="false" customHeight="false" outlineLevel="0" collapsed="false">
      <c r="A427" s="325"/>
      <c r="B427" s="326"/>
      <c r="J427" s="73"/>
      <c r="K427" s="327"/>
    </row>
    <row r="428" customFormat="false" ht="12.75" hidden="false" customHeight="false" outlineLevel="0" collapsed="false">
      <c r="A428" s="325"/>
      <c r="B428" s="326"/>
      <c r="J428" s="73"/>
      <c r="K428" s="327"/>
    </row>
    <row r="429" customFormat="false" ht="12.75" hidden="false" customHeight="false" outlineLevel="0" collapsed="false">
      <c r="A429" s="325"/>
      <c r="B429" s="326"/>
      <c r="J429" s="73"/>
      <c r="K429" s="327"/>
    </row>
    <row r="430" customFormat="false" ht="12.75" hidden="false" customHeight="false" outlineLevel="0" collapsed="false">
      <c r="A430" s="325"/>
      <c r="B430" s="326"/>
      <c r="J430" s="73"/>
      <c r="K430" s="327"/>
    </row>
    <row r="431" customFormat="false" ht="12.75" hidden="false" customHeight="false" outlineLevel="0" collapsed="false">
      <c r="A431" s="325"/>
      <c r="B431" s="326"/>
      <c r="J431" s="73"/>
      <c r="K431" s="327"/>
    </row>
    <row r="432" customFormat="false" ht="12.75" hidden="false" customHeight="false" outlineLevel="0" collapsed="false">
      <c r="A432" s="325"/>
      <c r="B432" s="326"/>
      <c r="J432" s="73"/>
      <c r="K432" s="327"/>
    </row>
    <row r="433" customFormat="false" ht="12.75" hidden="false" customHeight="false" outlineLevel="0" collapsed="false">
      <c r="A433" s="325"/>
      <c r="B433" s="326"/>
      <c r="J433" s="73"/>
      <c r="K433" s="327"/>
    </row>
    <row r="434" customFormat="false" ht="12.75" hidden="false" customHeight="false" outlineLevel="0" collapsed="false">
      <c r="A434" s="325"/>
      <c r="B434" s="326"/>
      <c r="J434" s="73"/>
      <c r="K434" s="327"/>
    </row>
    <row r="435" customFormat="false" ht="12.75" hidden="false" customHeight="false" outlineLevel="0" collapsed="false">
      <c r="A435" s="325"/>
      <c r="B435" s="326"/>
      <c r="J435" s="73"/>
      <c r="K435" s="327"/>
    </row>
    <row r="436" customFormat="false" ht="12.75" hidden="false" customHeight="false" outlineLevel="0" collapsed="false">
      <c r="A436" s="325"/>
      <c r="B436" s="326"/>
      <c r="J436" s="73"/>
      <c r="K436" s="327"/>
    </row>
    <row r="437" customFormat="false" ht="12.75" hidden="false" customHeight="false" outlineLevel="0" collapsed="false">
      <c r="A437" s="325"/>
      <c r="B437" s="326"/>
      <c r="J437" s="73"/>
      <c r="K437" s="327"/>
    </row>
    <row r="438" customFormat="false" ht="12.75" hidden="false" customHeight="false" outlineLevel="0" collapsed="false">
      <c r="A438" s="325"/>
      <c r="B438" s="326"/>
      <c r="J438" s="73"/>
      <c r="K438" s="327"/>
    </row>
    <row r="439" customFormat="false" ht="12.75" hidden="false" customHeight="false" outlineLevel="0" collapsed="false">
      <c r="A439" s="325"/>
      <c r="B439" s="326"/>
      <c r="J439" s="73"/>
      <c r="K439" s="327"/>
    </row>
    <row r="440" customFormat="false" ht="12.75" hidden="false" customHeight="false" outlineLevel="0" collapsed="false">
      <c r="A440" s="325"/>
      <c r="B440" s="326"/>
      <c r="J440" s="73"/>
      <c r="K440" s="327"/>
    </row>
    <row r="441" customFormat="false" ht="12.75" hidden="false" customHeight="false" outlineLevel="0" collapsed="false">
      <c r="A441" s="325"/>
      <c r="B441" s="326"/>
      <c r="J441" s="73"/>
      <c r="K441" s="327"/>
    </row>
    <row r="442" customFormat="false" ht="12.75" hidden="false" customHeight="false" outlineLevel="0" collapsed="false">
      <c r="A442" s="325"/>
      <c r="B442" s="326"/>
      <c r="J442" s="73"/>
      <c r="K442" s="327"/>
    </row>
    <row r="443" customFormat="false" ht="12.75" hidden="false" customHeight="false" outlineLevel="0" collapsed="false">
      <c r="A443" s="325"/>
      <c r="B443" s="326"/>
      <c r="J443" s="73"/>
      <c r="K443" s="327"/>
    </row>
    <row r="444" customFormat="false" ht="12.75" hidden="false" customHeight="false" outlineLevel="0" collapsed="false">
      <c r="A444" s="325"/>
      <c r="B444" s="326"/>
      <c r="J444" s="73"/>
      <c r="K444" s="327"/>
    </row>
    <row r="445" customFormat="false" ht="12.75" hidden="false" customHeight="false" outlineLevel="0" collapsed="false">
      <c r="A445" s="325"/>
      <c r="B445" s="326"/>
      <c r="J445" s="73"/>
      <c r="K445" s="327"/>
    </row>
    <row r="446" customFormat="false" ht="12.75" hidden="false" customHeight="false" outlineLevel="0" collapsed="false">
      <c r="A446" s="325"/>
      <c r="B446" s="326"/>
      <c r="J446" s="73"/>
      <c r="K446" s="327"/>
    </row>
    <row r="447" customFormat="false" ht="12.75" hidden="false" customHeight="false" outlineLevel="0" collapsed="false">
      <c r="A447" s="325"/>
      <c r="B447" s="326"/>
      <c r="J447" s="73"/>
      <c r="K447" s="327"/>
    </row>
    <row r="448" customFormat="false" ht="12.75" hidden="false" customHeight="false" outlineLevel="0" collapsed="false">
      <c r="A448" s="325"/>
      <c r="B448" s="326"/>
      <c r="J448" s="73"/>
      <c r="K448" s="327"/>
    </row>
    <row r="449" customFormat="false" ht="12.75" hidden="false" customHeight="false" outlineLevel="0" collapsed="false">
      <c r="A449" s="325"/>
      <c r="B449" s="326"/>
      <c r="J449" s="73"/>
      <c r="K449" s="327"/>
    </row>
    <row r="450" customFormat="false" ht="12.75" hidden="false" customHeight="false" outlineLevel="0" collapsed="false">
      <c r="A450" s="325"/>
      <c r="B450" s="326"/>
      <c r="J450" s="73"/>
      <c r="K450" s="327"/>
    </row>
    <row r="451" customFormat="false" ht="12.75" hidden="false" customHeight="false" outlineLevel="0" collapsed="false">
      <c r="A451" s="325"/>
      <c r="B451" s="326"/>
      <c r="J451" s="73"/>
      <c r="K451" s="327"/>
    </row>
    <row r="452" customFormat="false" ht="12.75" hidden="false" customHeight="false" outlineLevel="0" collapsed="false">
      <c r="A452" s="325"/>
      <c r="B452" s="326"/>
      <c r="J452" s="73"/>
      <c r="K452" s="327"/>
    </row>
    <row r="453" customFormat="false" ht="12.75" hidden="false" customHeight="false" outlineLevel="0" collapsed="false">
      <c r="A453" s="325"/>
      <c r="B453" s="326"/>
      <c r="J453" s="73"/>
      <c r="K453" s="327"/>
    </row>
    <row r="454" customFormat="false" ht="12.75" hidden="false" customHeight="false" outlineLevel="0" collapsed="false">
      <c r="A454" s="325"/>
      <c r="B454" s="326"/>
      <c r="J454" s="73"/>
      <c r="K454" s="327"/>
    </row>
    <row r="455" customFormat="false" ht="12.75" hidden="false" customHeight="false" outlineLevel="0" collapsed="false">
      <c r="A455" s="325"/>
      <c r="B455" s="326"/>
      <c r="J455" s="73"/>
      <c r="K455" s="327"/>
    </row>
    <row r="456" customFormat="false" ht="12.75" hidden="false" customHeight="false" outlineLevel="0" collapsed="false">
      <c r="A456" s="325"/>
      <c r="B456" s="326"/>
      <c r="J456" s="73"/>
      <c r="K456" s="327"/>
    </row>
    <row r="457" customFormat="false" ht="12.75" hidden="false" customHeight="false" outlineLevel="0" collapsed="false">
      <c r="A457" s="325"/>
      <c r="B457" s="326"/>
      <c r="J457" s="73"/>
      <c r="K457" s="327"/>
    </row>
    <row r="458" customFormat="false" ht="12.75" hidden="false" customHeight="false" outlineLevel="0" collapsed="false">
      <c r="A458" s="325"/>
      <c r="B458" s="326"/>
      <c r="J458" s="73"/>
      <c r="K458" s="327"/>
    </row>
    <row r="459" customFormat="false" ht="12.75" hidden="false" customHeight="false" outlineLevel="0" collapsed="false">
      <c r="A459" s="325"/>
      <c r="B459" s="326"/>
      <c r="J459" s="73"/>
      <c r="K459" s="327"/>
    </row>
    <row r="460" customFormat="false" ht="12.75" hidden="false" customHeight="false" outlineLevel="0" collapsed="false">
      <c r="A460" s="325"/>
      <c r="B460" s="326"/>
      <c r="J460" s="73"/>
      <c r="K460" s="327"/>
    </row>
    <row r="461" customFormat="false" ht="12.75" hidden="false" customHeight="false" outlineLevel="0" collapsed="false">
      <c r="A461" s="325"/>
      <c r="B461" s="326"/>
      <c r="J461" s="73"/>
      <c r="K461" s="327"/>
    </row>
    <row r="462" customFormat="false" ht="12.75" hidden="false" customHeight="false" outlineLevel="0" collapsed="false">
      <c r="A462" s="325"/>
      <c r="B462" s="326"/>
      <c r="J462" s="73"/>
      <c r="K462" s="327"/>
    </row>
    <row r="463" customFormat="false" ht="12.75" hidden="false" customHeight="false" outlineLevel="0" collapsed="false">
      <c r="A463" s="325"/>
      <c r="B463" s="326"/>
      <c r="J463" s="73"/>
      <c r="K463" s="327"/>
    </row>
    <row r="464" customFormat="false" ht="12.75" hidden="false" customHeight="false" outlineLevel="0" collapsed="false">
      <c r="A464" s="325"/>
      <c r="B464" s="326"/>
      <c r="J464" s="73"/>
      <c r="K464" s="327"/>
    </row>
    <row r="465" customFormat="false" ht="12.75" hidden="false" customHeight="false" outlineLevel="0" collapsed="false">
      <c r="A465" s="325"/>
      <c r="B465" s="326"/>
      <c r="J465" s="73"/>
      <c r="K465" s="327"/>
    </row>
    <row r="466" customFormat="false" ht="12.75" hidden="false" customHeight="false" outlineLevel="0" collapsed="false">
      <c r="A466" s="325"/>
      <c r="B466" s="326"/>
      <c r="J466" s="73"/>
      <c r="K466" s="327"/>
    </row>
    <row r="467" customFormat="false" ht="12.75" hidden="false" customHeight="false" outlineLevel="0" collapsed="false">
      <c r="A467" s="325"/>
      <c r="B467" s="326"/>
      <c r="J467" s="73"/>
      <c r="K467" s="327"/>
    </row>
    <row r="468" customFormat="false" ht="12.75" hidden="false" customHeight="false" outlineLevel="0" collapsed="false">
      <c r="A468" s="325"/>
      <c r="B468" s="326"/>
      <c r="J468" s="73"/>
      <c r="K468" s="327"/>
    </row>
    <row r="469" customFormat="false" ht="12.75" hidden="false" customHeight="false" outlineLevel="0" collapsed="false">
      <c r="A469" s="325"/>
      <c r="B469" s="326"/>
      <c r="J469" s="73"/>
      <c r="K469" s="327"/>
    </row>
    <row r="470" customFormat="false" ht="12.75" hidden="false" customHeight="false" outlineLevel="0" collapsed="false">
      <c r="A470" s="325"/>
      <c r="B470" s="326"/>
      <c r="J470" s="73"/>
      <c r="K470" s="327"/>
    </row>
    <row r="471" customFormat="false" ht="12.75" hidden="false" customHeight="false" outlineLevel="0" collapsed="false">
      <c r="A471" s="325"/>
      <c r="B471" s="326"/>
      <c r="J471" s="73"/>
      <c r="K471" s="327"/>
    </row>
    <row r="472" customFormat="false" ht="12.75" hidden="false" customHeight="false" outlineLevel="0" collapsed="false">
      <c r="A472" s="325"/>
      <c r="B472" s="326"/>
      <c r="J472" s="73"/>
      <c r="K472" s="327"/>
    </row>
    <row r="473" customFormat="false" ht="12.75" hidden="false" customHeight="false" outlineLevel="0" collapsed="false">
      <c r="A473" s="325"/>
      <c r="B473" s="326"/>
      <c r="J473" s="73"/>
      <c r="K473" s="327"/>
    </row>
    <row r="474" customFormat="false" ht="12.75" hidden="false" customHeight="false" outlineLevel="0" collapsed="false">
      <c r="A474" s="325"/>
      <c r="B474" s="326"/>
      <c r="J474" s="73"/>
      <c r="K474" s="327"/>
    </row>
    <row r="475" customFormat="false" ht="12.75" hidden="false" customHeight="false" outlineLevel="0" collapsed="false">
      <c r="A475" s="325"/>
      <c r="B475" s="326"/>
      <c r="J475" s="73"/>
      <c r="K475" s="327"/>
    </row>
    <row r="476" customFormat="false" ht="12.75" hidden="false" customHeight="false" outlineLevel="0" collapsed="false">
      <c r="A476" s="325"/>
      <c r="B476" s="326"/>
      <c r="J476" s="73"/>
      <c r="K476" s="327"/>
    </row>
    <row r="477" customFormat="false" ht="12.75" hidden="false" customHeight="false" outlineLevel="0" collapsed="false">
      <c r="A477" s="325"/>
      <c r="B477" s="326"/>
      <c r="J477" s="73"/>
      <c r="K477" s="327"/>
    </row>
    <row r="478" customFormat="false" ht="12.75" hidden="false" customHeight="false" outlineLevel="0" collapsed="false">
      <c r="A478" s="325"/>
      <c r="B478" s="326"/>
      <c r="J478" s="73"/>
      <c r="K478" s="327"/>
    </row>
    <row r="479" customFormat="false" ht="12.75" hidden="false" customHeight="false" outlineLevel="0" collapsed="false">
      <c r="A479" s="325"/>
      <c r="B479" s="326"/>
      <c r="J479" s="73"/>
      <c r="K479" s="327"/>
    </row>
    <row r="480" customFormat="false" ht="12.75" hidden="false" customHeight="false" outlineLevel="0" collapsed="false">
      <c r="A480" s="325"/>
      <c r="B480" s="326"/>
      <c r="J480" s="73"/>
      <c r="K480" s="327"/>
    </row>
    <row r="481" customFormat="false" ht="12.75" hidden="false" customHeight="false" outlineLevel="0" collapsed="false">
      <c r="A481" s="325"/>
      <c r="B481" s="326"/>
      <c r="J481" s="73"/>
      <c r="K481" s="327"/>
    </row>
    <row r="482" customFormat="false" ht="12.75" hidden="false" customHeight="false" outlineLevel="0" collapsed="false">
      <c r="A482" s="325"/>
      <c r="B482" s="326"/>
      <c r="J482" s="73"/>
      <c r="K482" s="327"/>
    </row>
    <row r="483" customFormat="false" ht="12.75" hidden="false" customHeight="false" outlineLevel="0" collapsed="false">
      <c r="A483" s="325"/>
      <c r="B483" s="326"/>
      <c r="J483" s="73"/>
      <c r="K483" s="327"/>
    </row>
    <row r="484" customFormat="false" ht="12.75" hidden="false" customHeight="false" outlineLevel="0" collapsed="false">
      <c r="A484" s="325"/>
      <c r="B484" s="326"/>
      <c r="J484" s="73"/>
      <c r="K484" s="327"/>
    </row>
    <row r="485" customFormat="false" ht="12.75" hidden="false" customHeight="false" outlineLevel="0" collapsed="false">
      <c r="A485" s="325"/>
      <c r="B485" s="326"/>
      <c r="J485" s="73"/>
      <c r="K485" s="327"/>
    </row>
    <row r="486" customFormat="false" ht="12.75" hidden="false" customHeight="false" outlineLevel="0" collapsed="false">
      <c r="A486" s="325"/>
      <c r="B486" s="326"/>
      <c r="J486" s="73"/>
      <c r="K486" s="327"/>
    </row>
    <row r="487" customFormat="false" ht="12.75" hidden="false" customHeight="false" outlineLevel="0" collapsed="false">
      <c r="A487" s="325"/>
      <c r="B487" s="326"/>
      <c r="J487" s="73"/>
      <c r="K487" s="327"/>
    </row>
    <row r="488" customFormat="false" ht="12.75" hidden="false" customHeight="false" outlineLevel="0" collapsed="false">
      <c r="A488" s="325"/>
      <c r="B488" s="326"/>
      <c r="J488" s="73"/>
      <c r="K488" s="327"/>
    </row>
    <row r="489" customFormat="false" ht="12.75" hidden="false" customHeight="false" outlineLevel="0" collapsed="false">
      <c r="A489" s="325"/>
      <c r="B489" s="326"/>
      <c r="J489" s="73"/>
      <c r="K489" s="327"/>
    </row>
    <row r="490" customFormat="false" ht="12.75" hidden="false" customHeight="false" outlineLevel="0" collapsed="false">
      <c r="A490" s="325"/>
      <c r="B490" s="326"/>
      <c r="J490" s="73"/>
      <c r="K490" s="327"/>
    </row>
    <row r="491" customFormat="false" ht="12.75" hidden="false" customHeight="false" outlineLevel="0" collapsed="false">
      <c r="A491" s="325"/>
      <c r="B491" s="326"/>
      <c r="J491" s="73"/>
      <c r="K491" s="327"/>
    </row>
    <row r="492" customFormat="false" ht="12.75" hidden="false" customHeight="false" outlineLevel="0" collapsed="false">
      <c r="A492" s="325"/>
      <c r="B492" s="326"/>
      <c r="J492" s="73"/>
      <c r="K492" s="327"/>
    </row>
    <row r="493" customFormat="false" ht="12.75" hidden="false" customHeight="false" outlineLevel="0" collapsed="false">
      <c r="A493" s="325"/>
      <c r="B493" s="326"/>
      <c r="J493" s="73"/>
      <c r="K493" s="327"/>
    </row>
    <row r="494" customFormat="false" ht="12.75" hidden="false" customHeight="false" outlineLevel="0" collapsed="false">
      <c r="A494" s="325"/>
      <c r="B494" s="326"/>
      <c r="J494" s="73"/>
      <c r="K494" s="327"/>
    </row>
    <row r="495" customFormat="false" ht="12.75" hidden="false" customHeight="false" outlineLevel="0" collapsed="false">
      <c r="A495" s="325"/>
      <c r="B495" s="326"/>
      <c r="J495" s="73"/>
      <c r="K495" s="327"/>
    </row>
    <row r="496" customFormat="false" ht="12.75" hidden="false" customHeight="false" outlineLevel="0" collapsed="false">
      <c r="A496" s="325"/>
      <c r="B496" s="326"/>
      <c r="J496" s="73"/>
      <c r="K496" s="327"/>
    </row>
    <row r="497" customFormat="false" ht="12.75" hidden="false" customHeight="false" outlineLevel="0" collapsed="false">
      <c r="A497" s="325"/>
      <c r="B497" s="326"/>
      <c r="J497" s="73"/>
      <c r="K497" s="327"/>
    </row>
    <row r="498" customFormat="false" ht="12.75" hidden="false" customHeight="false" outlineLevel="0" collapsed="false">
      <c r="A498" s="325"/>
      <c r="B498" s="326"/>
      <c r="J498" s="73"/>
      <c r="K498" s="327"/>
    </row>
    <row r="499" customFormat="false" ht="12.75" hidden="false" customHeight="false" outlineLevel="0" collapsed="false">
      <c r="A499" s="325"/>
      <c r="B499" s="326"/>
      <c r="J499" s="73"/>
      <c r="K499" s="327"/>
    </row>
    <row r="500" customFormat="false" ht="12.75" hidden="false" customHeight="false" outlineLevel="0" collapsed="false">
      <c r="A500" s="325"/>
      <c r="B500" s="326"/>
      <c r="J500" s="73"/>
      <c r="K500" s="327"/>
    </row>
    <row r="501" customFormat="false" ht="12.75" hidden="false" customHeight="false" outlineLevel="0" collapsed="false">
      <c r="A501" s="325"/>
      <c r="B501" s="326"/>
      <c r="J501" s="73"/>
      <c r="K501" s="327"/>
    </row>
    <row r="502" customFormat="false" ht="12.75" hidden="false" customHeight="false" outlineLevel="0" collapsed="false">
      <c r="A502" s="325"/>
      <c r="B502" s="326"/>
      <c r="J502" s="73"/>
      <c r="K502" s="327"/>
    </row>
    <row r="503" customFormat="false" ht="12.75" hidden="false" customHeight="false" outlineLevel="0" collapsed="false">
      <c r="A503" s="325"/>
      <c r="B503" s="326"/>
      <c r="J503" s="73"/>
      <c r="K503" s="327"/>
    </row>
    <row r="504" customFormat="false" ht="12.75" hidden="false" customHeight="false" outlineLevel="0" collapsed="false">
      <c r="A504" s="325"/>
      <c r="B504" s="326"/>
      <c r="J504" s="73"/>
      <c r="K504" s="327"/>
    </row>
    <row r="505" customFormat="false" ht="12.75" hidden="false" customHeight="false" outlineLevel="0" collapsed="false">
      <c r="A505" s="325"/>
      <c r="B505" s="326"/>
      <c r="J505" s="73"/>
      <c r="K505" s="327"/>
    </row>
    <row r="506" customFormat="false" ht="12.75" hidden="false" customHeight="false" outlineLevel="0" collapsed="false">
      <c r="A506" s="325"/>
      <c r="B506" s="326"/>
      <c r="J506" s="73"/>
      <c r="K506" s="327"/>
    </row>
    <row r="507" customFormat="false" ht="12.75" hidden="false" customHeight="false" outlineLevel="0" collapsed="false">
      <c r="A507" s="325"/>
      <c r="B507" s="326"/>
      <c r="J507" s="73"/>
      <c r="K507" s="327"/>
    </row>
    <row r="508" customFormat="false" ht="12.75" hidden="false" customHeight="false" outlineLevel="0" collapsed="false">
      <c r="A508" s="325"/>
      <c r="B508" s="326"/>
      <c r="J508" s="73"/>
      <c r="K508" s="327"/>
    </row>
    <row r="509" customFormat="false" ht="12.75" hidden="false" customHeight="false" outlineLevel="0" collapsed="false">
      <c r="A509" s="325"/>
      <c r="B509" s="326"/>
      <c r="J509" s="73"/>
      <c r="K509" s="327"/>
    </row>
    <row r="510" customFormat="false" ht="12.75" hidden="false" customHeight="false" outlineLevel="0" collapsed="false">
      <c r="A510" s="325"/>
      <c r="B510" s="326"/>
      <c r="J510" s="73"/>
      <c r="K510" s="327"/>
    </row>
    <row r="511" customFormat="false" ht="12.75" hidden="false" customHeight="false" outlineLevel="0" collapsed="false">
      <c r="A511" s="325"/>
      <c r="B511" s="326"/>
      <c r="J511" s="73"/>
      <c r="K511" s="327"/>
    </row>
    <row r="512" customFormat="false" ht="12.75" hidden="false" customHeight="false" outlineLevel="0" collapsed="false">
      <c r="A512" s="325"/>
      <c r="B512" s="326"/>
      <c r="J512" s="73"/>
      <c r="K512" s="327"/>
    </row>
    <row r="513" customFormat="false" ht="12.75" hidden="false" customHeight="false" outlineLevel="0" collapsed="false">
      <c r="A513" s="325"/>
      <c r="B513" s="326"/>
      <c r="J513" s="73"/>
      <c r="K513" s="327"/>
    </row>
    <row r="514" customFormat="false" ht="12.75" hidden="false" customHeight="false" outlineLevel="0" collapsed="false">
      <c r="A514" s="325"/>
      <c r="B514" s="326"/>
      <c r="J514" s="73"/>
      <c r="K514" s="327"/>
    </row>
    <row r="515" customFormat="false" ht="12.75" hidden="false" customHeight="false" outlineLevel="0" collapsed="false">
      <c r="A515" s="325"/>
      <c r="B515" s="326"/>
      <c r="J515" s="73"/>
      <c r="K515" s="327"/>
    </row>
    <row r="516" customFormat="false" ht="12.75" hidden="false" customHeight="false" outlineLevel="0" collapsed="false">
      <c r="A516" s="325"/>
      <c r="B516" s="326"/>
      <c r="J516" s="73"/>
      <c r="K516" s="327"/>
    </row>
    <row r="517" customFormat="false" ht="12.75" hidden="false" customHeight="false" outlineLevel="0" collapsed="false">
      <c r="A517" s="325"/>
      <c r="B517" s="326"/>
      <c r="J517" s="73"/>
      <c r="K517" s="327"/>
    </row>
    <row r="518" customFormat="false" ht="12.75" hidden="false" customHeight="false" outlineLevel="0" collapsed="false">
      <c r="A518" s="325"/>
      <c r="B518" s="326"/>
      <c r="J518" s="73"/>
      <c r="K518" s="327"/>
    </row>
    <row r="519" customFormat="false" ht="12.75" hidden="false" customHeight="false" outlineLevel="0" collapsed="false">
      <c r="A519" s="325"/>
      <c r="B519" s="326"/>
      <c r="J519" s="73"/>
      <c r="K519" s="327"/>
    </row>
    <row r="520" customFormat="false" ht="12.75" hidden="false" customHeight="false" outlineLevel="0" collapsed="false">
      <c r="A520" s="325"/>
      <c r="B520" s="326"/>
      <c r="J520" s="73"/>
      <c r="K520" s="327"/>
    </row>
    <row r="521" customFormat="false" ht="12.75" hidden="false" customHeight="false" outlineLevel="0" collapsed="false">
      <c r="A521" s="325"/>
      <c r="B521" s="326"/>
      <c r="J521" s="73"/>
      <c r="K521" s="327"/>
    </row>
    <row r="522" customFormat="false" ht="12.75" hidden="false" customHeight="false" outlineLevel="0" collapsed="false">
      <c r="A522" s="325"/>
      <c r="B522" s="326"/>
      <c r="J522" s="73"/>
      <c r="K522" s="327"/>
    </row>
    <row r="523" customFormat="false" ht="12.75" hidden="false" customHeight="false" outlineLevel="0" collapsed="false">
      <c r="A523" s="325"/>
      <c r="B523" s="326"/>
      <c r="J523" s="73"/>
      <c r="K523" s="327"/>
    </row>
    <row r="524" customFormat="false" ht="12.75" hidden="false" customHeight="false" outlineLevel="0" collapsed="false">
      <c r="A524" s="325"/>
      <c r="B524" s="326"/>
      <c r="J524" s="73"/>
      <c r="K524" s="327"/>
    </row>
    <row r="525" customFormat="false" ht="12.75" hidden="false" customHeight="false" outlineLevel="0" collapsed="false">
      <c r="A525" s="325"/>
      <c r="B525" s="326"/>
      <c r="J525" s="73"/>
      <c r="K525" s="327"/>
    </row>
    <row r="526" customFormat="false" ht="12.75" hidden="false" customHeight="false" outlineLevel="0" collapsed="false">
      <c r="A526" s="325"/>
      <c r="B526" s="326"/>
      <c r="J526" s="73"/>
      <c r="K526" s="327"/>
    </row>
    <row r="527" customFormat="false" ht="12.75" hidden="false" customHeight="false" outlineLevel="0" collapsed="false">
      <c r="A527" s="325"/>
      <c r="B527" s="326"/>
      <c r="J527" s="73"/>
      <c r="K527" s="327"/>
    </row>
    <row r="528" customFormat="false" ht="12.75" hidden="false" customHeight="false" outlineLevel="0" collapsed="false">
      <c r="A528" s="325"/>
      <c r="B528" s="326"/>
      <c r="J528" s="73"/>
      <c r="K528" s="327"/>
    </row>
    <row r="529" customFormat="false" ht="12.75" hidden="false" customHeight="false" outlineLevel="0" collapsed="false">
      <c r="A529" s="325"/>
      <c r="B529" s="326"/>
      <c r="J529" s="73"/>
      <c r="K529" s="327"/>
    </row>
    <row r="530" customFormat="false" ht="12.75" hidden="false" customHeight="false" outlineLevel="0" collapsed="false">
      <c r="A530" s="325"/>
      <c r="B530" s="326"/>
      <c r="J530" s="73"/>
      <c r="K530" s="327"/>
    </row>
    <row r="531" customFormat="false" ht="12.75" hidden="false" customHeight="false" outlineLevel="0" collapsed="false">
      <c r="A531" s="325"/>
      <c r="B531" s="326"/>
      <c r="J531" s="73"/>
      <c r="K531" s="327"/>
    </row>
    <row r="532" customFormat="false" ht="12.75" hidden="false" customHeight="false" outlineLevel="0" collapsed="false">
      <c r="A532" s="325"/>
      <c r="B532" s="326"/>
      <c r="J532" s="73"/>
      <c r="K532" s="327"/>
    </row>
    <row r="533" customFormat="false" ht="12.75" hidden="false" customHeight="false" outlineLevel="0" collapsed="false">
      <c r="A533" s="325"/>
      <c r="B533" s="326"/>
      <c r="J533" s="73"/>
      <c r="K533" s="327"/>
    </row>
    <row r="534" customFormat="false" ht="12.75" hidden="false" customHeight="false" outlineLevel="0" collapsed="false">
      <c r="A534" s="325"/>
      <c r="B534" s="326"/>
      <c r="J534" s="73"/>
      <c r="K534" s="327"/>
    </row>
    <row r="535" customFormat="false" ht="12.75" hidden="false" customHeight="false" outlineLevel="0" collapsed="false">
      <c r="A535" s="325"/>
      <c r="B535" s="326"/>
      <c r="J535" s="73"/>
      <c r="K535" s="327"/>
    </row>
    <row r="536" customFormat="false" ht="12.75" hidden="false" customHeight="false" outlineLevel="0" collapsed="false">
      <c r="A536" s="325"/>
      <c r="B536" s="326"/>
      <c r="J536" s="73"/>
      <c r="K536" s="327"/>
    </row>
    <row r="537" customFormat="false" ht="12.75" hidden="false" customHeight="false" outlineLevel="0" collapsed="false">
      <c r="A537" s="325"/>
      <c r="B537" s="326"/>
      <c r="J537" s="73"/>
      <c r="K537" s="327"/>
    </row>
    <row r="538" customFormat="false" ht="12.75" hidden="false" customHeight="false" outlineLevel="0" collapsed="false">
      <c r="A538" s="325"/>
      <c r="B538" s="326"/>
      <c r="J538" s="73"/>
      <c r="K538" s="327"/>
    </row>
    <row r="539" customFormat="false" ht="12.75" hidden="false" customHeight="false" outlineLevel="0" collapsed="false">
      <c r="A539" s="325"/>
      <c r="B539" s="326"/>
      <c r="J539" s="73"/>
      <c r="K539" s="327"/>
    </row>
    <row r="540" customFormat="false" ht="12.75" hidden="false" customHeight="false" outlineLevel="0" collapsed="false">
      <c r="A540" s="325"/>
      <c r="B540" s="326"/>
      <c r="J540" s="73"/>
      <c r="K540" s="327"/>
    </row>
    <row r="541" customFormat="false" ht="12.75" hidden="false" customHeight="false" outlineLevel="0" collapsed="false">
      <c r="A541" s="325"/>
      <c r="B541" s="326"/>
      <c r="J541" s="73"/>
      <c r="K541" s="327"/>
    </row>
    <row r="542" customFormat="false" ht="12.75" hidden="false" customHeight="false" outlineLevel="0" collapsed="false">
      <c r="A542" s="325"/>
      <c r="B542" s="326"/>
      <c r="J542" s="73"/>
      <c r="K542" s="327"/>
    </row>
    <row r="543" customFormat="false" ht="12.75" hidden="false" customHeight="false" outlineLevel="0" collapsed="false">
      <c r="A543" s="325"/>
      <c r="B543" s="326"/>
      <c r="J543" s="73"/>
      <c r="K543" s="327"/>
    </row>
    <row r="544" customFormat="false" ht="12.75" hidden="false" customHeight="false" outlineLevel="0" collapsed="false">
      <c r="A544" s="325"/>
      <c r="B544" s="326"/>
      <c r="J544" s="73"/>
      <c r="K544" s="327"/>
    </row>
    <row r="545" customFormat="false" ht="12.75" hidden="false" customHeight="false" outlineLevel="0" collapsed="false">
      <c r="A545" s="325"/>
      <c r="B545" s="326"/>
      <c r="J545" s="73"/>
      <c r="K545" s="327"/>
    </row>
    <row r="546" customFormat="false" ht="12.75" hidden="false" customHeight="false" outlineLevel="0" collapsed="false">
      <c r="A546" s="325"/>
      <c r="B546" s="326"/>
      <c r="J546" s="73"/>
      <c r="K546" s="327"/>
    </row>
    <row r="547" customFormat="false" ht="12.75" hidden="false" customHeight="false" outlineLevel="0" collapsed="false">
      <c r="A547" s="325"/>
      <c r="B547" s="326"/>
      <c r="J547" s="73"/>
      <c r="K547" s="327"/>
    </row>
    <row r="548" customFormat="false" ht="12.75" hidden="false" customHeight="false" outlineLevel="0" collapsed="false">
      <c r="A548" s="325"/>
      <c r="B548" s="326"/>
      <c r="J548" s="73"/>
      <c r="K548" s="327"/>
    </row>
    <row r="549" customFormat="false" ht="12.75" hidden="false" customHeight="false" outlineLevel="0" collapsed="false">
      <c r="A549" s="325"/>
      <c r="B549" s="326"/>
      <c r="J549" s="73"/>
      <c r="K549" s="327"/>
    </row>
    <row r="550" customFormat="false" ht="12.75" hidden="false" customHeight="false" outlineLevel="0" collapsed="false">
      <c r="A550" s="325"/>
      <c r="B550" s="326"/>
      <c r="J550" s="73"/>
      <c r="K550" s="327"/>
    </row>
    <row r="551" customFormat="false" ht="12.75" hidden="false" customHeight="false" outlineLevel="0" collapsed="false">
      <c r="A551" s="325"/>
      <c r="B551" s="326"/>
      <c r="J551" s="73"/>
      <c r="K551" s="327"/>
    </row>
    <row r="552" customFormat="false" ht="12.75" hidden="false" customHeight="false" outlineLevel="0" collapsed="false">
      <c r="A552" s="325"/>
      <c r="B552" s="326"/>
      <c r="J552" s="73"/>
      <c r="K552" s="327"/>
    </row>
    <row r="553" customFormat="false" ht="12.75" hidden="false" customHeight="false" outlineLevel="0" collapsed="false">
      <c r="A553" s="325"/>
      <c r="B553" s="326"/>
      <c r="J553" s="73"/>
      <c r="K553" s="327"/>
    </row>
    <row r="554" customFormat="false" ht="12.75" hidden="false" customHeight="false" outlineLevel="0" collapsed="false">
      <c r="A554" s="325"/>
      <c r="B554" s="326"/>
      <c r="J554" s="73"/>
      <c r="K554" s="327"/>
    </row>
    <row r="555" customFormat="false" ht="12.75" hidden="false" customHeight="false" outlineLevel="0" collapsed="false">
      <c r="A555" s="325"/>
      <c r="B555" s="326"/>
      <c r="J555" s="73"/>
      <c r="K555" s="327"/>
    </row>
    <row r="556" customFormat="false" ht="12.75" hidden="false" customHeight="false" outlineLevel="0" collapsed="false">
      <c r="A556" s="325"/>
      <c r="B556" s="326"/>
      <c r="J556" s="73"/>
      <c r="K556" s="327"/>
    </row>
    <row r="557" customFormat="false" ht="12.75" hidden="false" customHeight="false" outlineLevel="0" collapsed="false">
      <c r="A557" s="325"/>
      <c r="B557" s="326"/>
      <c r="J557" s="73"/>
      <c r="K557" s="327"/>
    </row>
    <row r="558" customFormat="false" ht="12.75" hidden="false" customHeight="false" outlineLevel="0" collapsed="false">
      <c r="A558" s="325"/>
      <c r="B558" s="326"/>
      <c r="J558" s="73"/>
      <c r="K558" s="327"/>
    </row>
    <row r="559" customFormat="false" ht="12.75" hidden="false" customHeight="false" outlineLevel="0" collapsed="false">
      <c r="A559" s="325"/>
      <c r="B559" s="326"/>
      <c r="J559" s="73"/>
      <c r="K559" s="327"/>
    </row>
    <row r="560" customFormat="false" ht="12.75" hidden="false" customHeight="false" outlineLevel="0" collapsed="false">
      <c r="A560" s="325"/>
      <c r="B560" s="326"/>
      <c r="J560" s="73"/>
      <c r="K560" s="327"/>
    </row>
    <row r="561" customFormat="false" ht="12.75" hidden="false" customHeight="false" outlineLevel="0" collapsed="false">
      <c r="A561" s="325"/>
      <c r="B561" s="326"/>
      <c r="J561" s="73"/>
      <c r="K561" s="327"/>
    </row>
    <row r="562" customFormat="false" ht="12.75" hidden="false" customHeight="false" outlineLevel="0" collapsed="false">
      <c r="A562" s="325"/>
      <c r="B562" s="326"/>
      <c r="J562" s="73"/>
      <c r="K562" s="327"/>
    </row>
    <row r="563" customFormat="false" ht="12.75" hidden="false" customHeight="false" outlineLevel="0" collapsed="false">
      <c r="A563" s="325"/>
      <c r="B563" s="326"/>
      <c r="J563" s="73"/>
      <c r="K563" s="327"/>
    </row>
    <row r="564" customFormat="false" ht="12.75" hidden="false" customHeight="false" outlineLevel="0" collapsed="false">
      <c r="A564" s="325"/>
      <c r="B564" s="326"/>
      <c r="J564" s="73"/>
      <c r="K564" s="327"/>
    </row>
    <row r="565" customFormat="false" ht="12.75" hidden="false" customHeight="false" outlineLevel="0" collapsed="false">
      <c r="A565" s="325"/>
      <c r="B565" s="326"/>
      <c r="J565" s="73"/>
      <c r="K565" s="327"/>
    </row>
    <row r="566" customFormat="false" ht="12.75" hidden="false" customHeight="false" outlineLevel="0" collapsed="false">
      <c r="A566" s="325"/>
      <c r="B566" s="326"/>
      <c r="J566" s="73"/>
      <c r="K566" s="327"/>
    </row>
    <row r="567" customFormat="false" ht="12.75" hidden="false" customHeight="false" outlineLevel="0" collapsed="false">
      <c r="A567" s="325"/>
      <c r="B567" s="326"/>
      <c r="J567" s="73"/>
      <c r="K567" s="327"/>
    </row>
    <row r="568" customFormat="false" ht="12.75" hidden="false" customHeight="false" outlineLevel="0" collapsed="false">
      <c r="A568" s="325"/>
      <c r="B568" s="326"/>
      <c r="J568" s="73"/>
      <c r="K568" s="327"/>
    </row>
    <row r="569" customFormat="false" ht="12.75" hidden="false" customHeight="false" outlineLevel="0" collapsed="false">
      <c r="A569" s="325"/>
      <c r="B569" s="326"/>
      <c r="J569" s="73"/>
      <c r="K569" s="327"/>
    </row>
    <row r="570" customFormat="false" ht="12.75" hidden="false" customHeight="false" outlineLevel="0" collapsed="false">
      <c r="A570" s="325"/>
      <c r="B570" s="326"/>
      <c r="J570" s="73"/>
      <c r="K570" s="327"/>
    </row>
    <row r="571" customFormat="false" ht="12.75" hidden="false" customHeight="false" outlineLevel="0" collapsed="false">
      <c r="A571" s="325"/>
      <c r="B571" s="326"/>
      <c r="J571" s="73"/>
      <c r="K571" s="327"/>
    </row>
    <row r="572" customFormat="false" ht="12.75" hidden="false" customHeight="false" outlineLevel="0" collapsed="false">
      <c r="A572" s="325"/>
      <c r="B572" s="326"/>
      <c r="J572" s="73"/>
      <c r="K572" s="327"/>
    </row>
    <row r="573" customFormat="false" ht="12.75" hidden="false" customHeight="false" outlineLevel="0" collapsed="false">
      <c r="A573" s="325"/>
      <c r="B573" s="326"/>
      <c r="J573" s="73"/>
      <c r="K573" s="327"/>
    </row>
    <row r="574" customFormat="false" ht="12.75" hidden="false" customHeight="false" outlineLevel="0" collapsed="false">
      <c r="A574" s="325"/>
      <c r="B574" s="326"/>
      <c r="J574" s="73"/>
      <c r="K574" s="327"/>
    </row>
    <row r="575" customFormat="false" ht="12.75" hidden="false" customHeight="false" outlineLevel="0" collapsed="false">
      <c r="A575" s="325"/>
      <c r="B575" s="326"/>
      <c r="J575" s="73"/>
      <c r="K575" s="327"/>
    </row>
    <row r="576" customFormat="false" ht="12.75" hidden="false" customHeight="false" outlineLevel="0" collapsed="false">
      <c r="A576" s="325"/>
      <c r="B576" s="326"/>
      <c r="J576" s="73"/>
      <c r="K576" s="327"/>
    </row>
    <row r="577" customFormat="false" ht="12.75" hidden="false" customHeight="false" outlineLevel="0" collapsed="false">
      <c r="A577" s="325"/>
      <c r="B577" s="326"/>
      <c r="J577" s="73"/>
      <c r="K577" s="327"/>
    </row>
    <row r="578" customFormat="false" ht="12.75" hidden="false" customHeight="false" outlineLevel="0" collapsed="false">
      <c r="A578" s="325"/>
      <c r="B578" s="326"/>
      <c r="J578" s="73"/>
      <c r="K578" s="327"/>
    </row>
    <row r="579" customFormat="false" ht="12.75" hidden="false" customHeight="false" outlineLevel="0" collapsed="false">
      <c r="A579" s="325"/>
      <c r="B579" s="326"/>
      <c r="J579" s="73"/>
      <c r="K579" s="327"/>
    </row>
    <row r="580" customFormat="false" ht="12.75" hidden="false" customHeight="false" outlineLevel="0" collapsed="false">
      <c r="A580" s="325"/>
      <c r="B580" s="326"/>
      <c r="J580" s="73"/>
      <c r="K580" s="327"/>
    </row>
    <row r="581" customFormat="false" ht="12.75" hidden="false" customHeight="false" outlineLevel="0" collapsed="false">
      <c r="A581" s="325"/>
      <c r="B581" s="326"/>
      <c r="J581" s="73"/>
      <c r="K581" s="327"/>
    </row>
    <row r="582" customFormat="false" ht="12.75" hidden="false" customHeight="false" outlineLevel="0" collapsed="false">
      <c r="A582" s="325"/>
      <c r="B582" s="326"/>
      <c r="J582" s="73"/>
      <c r="K582" s="327"/>
    </row>
    <row r="583" customFormat="false" ht="12.75" hidden="false" customHeight="false" outlineLevel="0" collapsed="false">
      <c r="A583" s="325"/>
      <c r="B583" s="326"/>
      <c r="J583" s="73"/>
      <c r="K583" s="327"/>
    </row>
    <row r="584" customFormat="false" ht="12.75" hidden="false" customHeight="false" outlineLevel="0" collapsed="false">
      <c r="A584" s="325"/>
      <c r="B584" s="326"/>
      <c r="J584" s="73"/>
      <c r="K584" s="327"/>
    </row>
    <row r="585" customFormat="false" ht="12.75" hidden="false" customHeight="false" outlineLevel="0" collapsed="false">
      <c r="A585" s="325"/>
      <c r="B585" s="326"/>
      <c r="J585" s="73"/>
      <c r="K585" s="327"/>
    </row>
    <row r="586" customFormat="false" ht="12.75" hidden="false" customHeight="false" outlineLevel="0" collapsed="false">
      <c r="A586" s="325"/>
      <c r="B586" s="326"/>
      <c r="J586" s="73"/>
      <c r="K586" s="327"/>
    </row>
    <row r="587" customFormat="false" ht="12.75" hidden="false" customHeight="false" outlineLevel="0" collapsed="false">
      <c r="A587" s="325"/>
      <c r="B587" s="326"/>
      <c r="J587" s="73"/>
      <c r="K587" s="327"/>
    </row>
    <row r="588" customFormat="false" ht="12.75" hidden="false" customHeight="false" outlineLevel="0" collapsed="false">
      <c r="A588" s="325"/>
      <c r="B588" s="326"/>
      <c r="J588" s="73"/>
      <c r="K588" s="327"/>
    </row>
    <row r="589" customFormat="false" ht="12.75" hidden="false" customHeight="false" outlineLevel="0" collapsed="false">
      <c r="A589" s="325"/>
      <c r="B589" s="326"/>
      <c r="J589" s="73"/>
      <c r="K589" s="327"/>
    </row>
    <row r="590" customFormat="false" ht="12.75" hidden="false" customHeight="false" outlineLevel="0" collapsed="false">
      <c r="A590" s="325"/>
      <c r="B590" s="326"/>
      <c r="J590" s="73"/>
      <c r="K590" s="327"/>
    </row>
    <row r="591" customFormat="false" ht="12.75" hidden="false" customHeight="false" outlineLevel="0" collapsed="false">
      <c r="A591" s="325"/>
      <c r="B591" s="326"/>
      <c r="J591" s="73"/>
      <c r="K591" s="327"/>
    </row>
    <row r="592" customFormat="false" ht="12.75" hidden="false" customHeight="false" outlineLevel="0" collapsed="false">
      <c r="A592" s="325"/>
      <c r="B592" s="326"/>
      <c r="J592" s="73"/>
      <c r="K592" s="327"/>
    </row>
    <row r="593" customFormat="false" ht="12.75" hidden="false" customHeight="false" outlineLevel="0" collapsed="false">
      <c r="A593" s="325"/>
      <c r="B593" s="326"/>
      <c r="J593" s="73"/>
      <c r="K593" s="327"/>
    </row>
    <row r="594" customFormat="false" ht="12.75" hidden="false" customHeight="false" outlineLevel="0" collapsed="false">
      <c r="A594" s="325"/>
      <c r="B594" s="326"/>
      <c r="J594" s="73"/>
      <c r="K594" s="327"/>
    </row>
    <row r="595" customFormat="false" ht="12.75" hidden="false" customHeight="false" outlineLevel="0" collapsed="false">
      <c r="A595" s="325"/>
      <c r="B595" s="326"/>
      <c r="J595" s="73"/>
      <c r="K595" s="327"/>
    </row>
    <row r="596" customFormat="false" ht="12.75" hidden="false" customHeight="false" outlineLevel="0" collapsed="false">
      <c r="A596" s="325"/>
      <c r="B596" s="326"/>
      <c r="J596" s="73"/>
      <c r="K596" s="327"/>
    </row>
    <row r="597" customFormat="false" ht="12.75" hidden="false" customHeight="false" outlineLevel="0" collapsed="false">
      <c r="A597" s="325"/>
      <c r="B597" s="326"/>
      <c r="J597" s="73"/>
      <c r="K597" s="327"/>
    </row>
    <row r="598" customFormat="false" ht="12.75" hidden="false" customHeight="false" outlineLevel="0" collapsed="false">
      <c r="A598" s="325"/>
      <c r="B598" s="326"/>
      <c r="J598" s="73"/>
      <c r="K598" s="327"/>
    </row>
    <row r="599" customFormat="false" ht="12.75" hidden="false" customHeight="false" outlineLevel="0" collapsed="false">
      <c r="A599" s="325"/>
      <c r="B599" s="326"/>
      <c r="J599" s="73"/>
      <c r="K599" s="327"/>
    </row>
    <row r="600" customFormat="false" ht="12.75" hidden="false" customHeight="false" outlineLevel="0" collapsed="false">
      <c r="A600" s="325"/>
      <c r="B600" s="326"/>
      <c r="J600" s="73"/>
      <c r="K600" s="327"/>
    </row>
    <row r="601" customFormat="false" ht="12.75" hidden="false" customHeight="false" outlineLevel="0" collapsed="false">
      <c r="A601" s="325"/>
      <c r="B601" s="326"/>
      <c r="J601" s="73"/>
      <c r="K601" s="327"/>
    </row>
    <row r="602" customFormat="false" ht="12.75" hidden="false" customHeight="false" outlineLevel="0" collapsed="false">
      <c r="A602" s="325"/>
      <c r="B602" s="326"/>
      <c r="J602" s="73"/>
      <c r="K602" s="327"/>
    </row>
    <row r="603" customFormat="false" ht="12.75" hidden="false" customHeight="false" outlineLevel="0" collapsed="false">
      <c r="A603" s="325"/>
      <c r="B603" s="326"/>
      <c r="J603" s="73"/>
      <c r="K603" s="327"/>
    </row>
    <row r="604" customFormat="false" ht="12.75" hidden="false" customHeight="false" outlineLevel="0" collapsed="false">
      <c r="A604" s="325"/>
      <c r="B604" s="326"/>
      <c r="J604" s="73"/>
      <c r="K604" s="327"/>
    </row>
    <row r="605" customFormat="false" ht="12.75" hidden="false" customHeight="false" outlineLevel="0" collapsed="false">
      <c r="A605" s="325"/>
      <c r="B605" s="326"/>
      <c r="J605" s="73"/>
      <c r="K605" s="327"/>
    </row>
    <row r="606" customFormat="false" ht="12.75" hidden="false" customHeight="false" outlineLevel="0" collapsed="false">
      <c r="A606" s="325"/>
      <c r="B606" s="326"/>
      <c r="J606" s="73"/>
      <c r="K606" s="327"/>
    </row>
    <row r="607" customFormat="false" ht="12.75" hidden="false" customHeight="false" outlineLevel="0" collapsed="false">
      <c r="A607" s="325"/>
      <c r="B607" s="326"/>
      <c r="J607" s="73"/>
      <c r="K607" s="327"/>
    </row>
    <row r="608" customFormat="false" ht="12.75" hidden="false" customHeight="false" outlineLevel="0" collapsed="false">
      <c r="A608" s="325"/>
      <c r="B608" s="326"/>
      <c r="J608" s="73"/>
      <c r="K608" s="327"/>
    </row>
    <row r="609" customFormat="false" ht="12.75" hidden="false" customHeight="false" outlineLevel="0" collapsed="false">
      <c r="A609" s="325"/>
      <c r="B609" s="326"/>
      <c r="J609" s="73"/>
      <c r="K609" s="327"/>
    </row>
    <row r="610" customFormat="false" ht="12.75" hidden="false" customHeight="false" outlineLevel="0" collapsed="false">
      <c r="A610" s="325"/>
      <c r="B610" s="326"/>
      <c r="J610" s="73"/>
      <c r="K610" s="327"/>
    </row>
    <row r="611" customFormat="false" ht="12.75" hidden="false" customHeight="false" outlineLevel="0" collapsed="false">
      <c r="A611" s="325"/>
      <c r="B611" s="326"/>
      <c r="J611" s="73"/>
      <c r="K611" s="327"/>
    </row>
    <row r="612" customFormat="false" ht="12.75" hidden="false" customHeight="false" outlineLevel="0" collapsed="false">
      <c r="A612" s="325"/>
      <c r="B612" s="326"/>
      <c r="J612" s="73"/>
      <c r="K612" s="327"/>
    </row>
    <row r="613" customFormat="false" ht="12.75" hidden="false" customHeight="false" outlineLevel="0" collapsed="false">
      <c r="A613" s="325"/>
      <c r="B613" s="326"/>
      <c r="J613" s="73"/>
      <c r="K613" s="327"/>
    </row>
    <row r="614" customFormat="false" ht="12.75" hidden="false" customHeight="false" outlineLevel="0" collapsed="false">
      <c r="A614" s="325"/>
      <c r="B614" s="326"/>
      <c r="J614" s="73"/>
      <c r="K614" s="327"/>
    </row>
    <row r="615" customFormat="false" ht="12.75" hidden="false" customHeight="false" outlineLevel="0" collapsed="false">
      <c r="A615" s="325"/>
      <c r="B615" s="326"/>
      <c r="J615" s="73"/>
      <c r="K615" s="327"/>
    </row>
    <row r="616" customFormat="false" ht="12.75" hidden="false" customHeight="false" outlineLevel="0" collapsed="false">
      <c r="A616" s="325"/>
      <c r="B616" s="326"/>
      <c r="J616" s="73"/>
      <c r="K616" s="327"/>
    </row>
    <row r="617" customFormat="false" ht="12.75" hidden="false" customHeight="false" outlineLevel="0" collapsed="false">
      <c r="A617" s="325"/>
      <c r="B617" s="326"/>
      <c r="J617" s="73"/>
      <c r="K617" s="327"/>
    </row>
    <row r="618" customFormat="false" ht="12.75" hidden="false" customHeight="false" outlineLevel="0" collapsed="false">
      <c r="A618" s="325"/>
      <c r="B618" s="326"/>
      <c r="J618" s="73"/>
      <c r="K618" s="327"/>
    </row>
    <row r="619" customFormat="false" ht="12.75" hidden="false" customHeight="false" outlineLevel="0" collapsed="false">
      <c r="A619" s="325"/>
      <c r="B619" s="326"/>
      <c r="J619" s="73"/>
      <c r="K619" s="327"/>
    </row>
    <row r="620" customFormat="false" ht="12.75" hidden="false" customHeight="false" outlineLevel="0" collapsed="false">
      <c r="A620" s="325"/>
      <c r="B620" s="326"/>
      <c r="J620" s="73"/>
      <c r="K620" s="327"/>
    </row>
    <row r="621" customFormat="false" ht="12.75" hidden="false" customHeight="false" outlineLevel="0" collapsed="false">
      <c r="A621" s="325"/>
      <c r="B621" s="326"/>
      <c r="J621" s="73"/>
      <c r="K621" s="327"/>
    </row>
    <row r="622" customFormat="false" ht="12.75" hidden="false" customHeight="false" outlineLevel="0" collapsed="false">
      <c r="A622" s="325"/>
      <c r="B622" s="326"/>
      <c r="J622" s="73"/>
      <c r="K622" s="327"/>
    </row>
    <row r="623" customFormat="false" ht="12.75" hidden="false" customHeight="false" outlineLevel="0" collapsed="false">
      <c r="A623" s="325"/>
      <c r="B623" s="326"/>
      <c r="J623" s="73"/>
      <c r="K623" s="327"/>
    </row>
    <row r="624" customFormat="false" ht="12.75" hidden="false" customHeight="false" outlineLevel="0" collapsed="false">
      <c r="A624" s="325"/>
      <c r="B624" s="326"/>
      <c r="J624" s="73"/>
      <c r="K624" s="327"/>
    </row>
    <row r="625" customFormat="false" ht="12.75" hidden="false" customHeight="false" outlineLevel="0" collapsed="false">
      <c r="A625" s="325"/>
      <c r="B625" s="326"/>
      <c r="J625" s="73"/>
      <c r="K625" s="327"/>
    </row>
    <row r="626" customFormat="false" ht="12.75" hidden="false" customHeight="false" outlineLevel="0" collapsed="false">
      <c r="A626" s="325"/>
      <c r="B626" s="326"/>
      <c r="J626" s="73"/>
      <c r="K626" s="327"/>
    </row>
    <row r="627" customFormat="false" ht="12.75" hidden="false" customHeight="false" outlineLevel="0" collapsed="false">
      <c r="A627" s="325"/>
      <c r="B627" s="326"/>
      <c r="J627" s="73"/>
      <c r="K627" s="327"/>
    </row>
    <row r="628" customFormat="false" ht="12.75" hidden="false" customHeight="false" outlineLevel="0" collapsed="false">
      <c r="A628" s="325"/>
      <c r="B628" s="326"/>
      <c r="J628" s="73"/>
      <c r="K628" s="327"/>
    </row>
    <row r="629" customFormat="false" ht="12.75" hidden="false" customHeight="false" outlineLevel="0" collapsed="false">
      <c r="A629" s="325"/>
      <c r="B629" s="326"/>
      <c r="J629" s="73"/>
      <c r="K629" s="327"/>
    </row>
    <row r="630" customFormat="false" ht="12.75" hidden="false" customHeight="false" outlineLevel="0" collapsed="false">
      <c r="A630" s="325"/>
      <c r="B630" s="326"/>
      <c r="J630" s="73"/>
      <c r="K630" s="327"/>
    </row>
    <row r="631" customFormat="false" ht="12.75" hidden="false" customHeight="false" outlineLevel="0" collapsed="false">
      <c r="A631" s="325"/>
      <c r="B631" s="326"/>
      <c r="J631" s="73"/>
      <c r="K631" s="327"/>
    </row>
    <row r="632" customFormat="false" ht="12.75" hidden="false" customHeight="false" outlineLevel="0" collapsed="false">
      <c r="A632" s="325"/>
      <c r="B632" s="326"/>
      <c r="J632" s="73"/>
      <c r="K632" s="327"/>
    </row>
    <row r="633" customFormat="false" ht="12.75" hidden="false" customHeight="false" outlineLevel="0" collapsed="false">
      <c r="A633" s="325"/>
      <c r="B633" s="326"/>
      <c r="J633" s="73"/>
      <c r="K633" s="327"/>
    </row>
    <row r="634" customFormat="false" ht="12.75" hidden="false" customHeight="false" outlineLevel="0" collapsed="false">
      <c r="A634" s="325"/>
      <c r="B634" s="326"/>
      <c r="J634" s="73"/>
      <c r="K634" s="327"/>
    </row>
    <row r="635" customFormat="false" ht="12.75" hidden="false" customHeight="false" outlineLevel="0" collapsed="false">
      <c r="A635" s="325"/>
      <c r="B635" s="326"/>
      <c r="J635" s="73"/>
      <c r="K635" s="327"/>
    </row>
    <row r="636" customFormat="false" ht="12.75" hidden="false" customHeight="false" outlineLevel="0" collapsed="false">
      <c r="A636" s="325"/>
      <c r="B636" s="326"/>
      <c r="J636" s="73"/>
      <c r="K636" s="327"/>
    </row>
    <row r="637" customFormat="false" ht="12.75" hidden="false" customHeight="false" outlineLevel="0" collapsed="false">
      <c r="A637" s="325"/>
      <c r="B637" s="326"/>
      <c r="J637" s="73"/>
      <c r="K637" s="327"/>
    </row>
    <row r="638" customFormat="false" ht="12.75" hidden="false" customHeight="false" outlineLevel="0" collapsed="false">
      <c r="A638" s="325"/>
      <c r="B638" s="326"/>
      <c r="J638" s="73"/>
      <c r="K638" s="327"/>
    </row>
    <row r="639" customFormat="false" ht="12.75" hidden="false" customHeight="false" outlineLevel="0" collapsed="false">
      <c r="A639" s="325"/>
      <c r="B639" s="326"/>
      <c r="J639" s="73"/>
      <c r="K639" s="327"/>
    </row>
    <row r="640" customFormat="false" ht="12.75" hidden="false" customHeight="false" outlineLevel="0" collapsed="false">
      <c r="A640" s="325"/>
      <c r="B640" s="326"/>
      <c r="J640" s="73"/>
      <c r="K640" s="327"/>
    </row>
    <row r="641" customFormat="false" ht="12.75" hidden="false" customHeight="false" outlineLevel="0" collapsed="false">
      <c r="A641" s="325"/>
      <c r="B641" s="326"/>
      <c r="J641" s="73"/>
      <c r="K641" s="327"/>
    </row>
    <row r="642" customFormat="false" ht="12.75" hidden="false" customHeight="false" outlineLevel="0" collapsed="false">
      <c r="A642" s="325"/>
      <c r="B642" s="326"/>
      <c r="J642" s="73"/>
      <c r="K642" s="327"/>
    </row>
    <row r="643" customFormat="false" ht="12.75" hidden="false" customHeight="false" outlineLevel="0" collapsed="false">
      <c r="A643" s="325"/>
      <c r="B643" s="326"/>
      <c r="J643" s="73"/>
      <c r="K643" s="327"/>
    </row>
    <row r="644" customFormat="false" ht="12.75" hidden="false" customHeight="false" outlineLevel="0" collapsed="false">
      <c r="A644" s="325"/>
      <c r="B644" s="326"/>
      <c r="J644" s="73"/>
      <c r="K644" s="327"/>
    </row>
    <row r="645" customFormat="false" ht="12.75" hidden="false" customHeight="false" outlineLevel="0" collapsed="false">
      <c r="A645" s="325"/>
      <c r="B645" s="326"/>
      <c r="J645" s="73"/>
      <c r="K645" s="327"/>
    </row>
    <row r="646" customFormat="false" ht="12.75" hidden="false" customHeight="false" outlineLevel="0" collapsed="false">
      <c r="A646" s="325"/>
      <c r="B646" s="326"/>
      <c r="J646" s="73"/>
      <c r="K646" s="327"/>
    </row>
    <row r="647" customFormat="false" ht="12.75" hidden="false" customHeight="false" outlineLevel="0" collapsed="false">
      <c r="A647" s="325"/>
      <c r="B647" s="326"/>
      <c r="J647" s="73"/>
      <c r="K647" s="327"/>
    </row>
    <row r="648" customFormat="false" ht="12.75" hidden="false" customHeight="false" outlineLevel="0" collapsed="false">
      <c r="A648" s="325"/>
      <c r="B648" s="326"/>
      <c r="J648" s="73"/>
      <c r="K648" s="327"/>
    </row>
    <row r="649" customFormat="false" ht="12.75" hidden="false" customHeight="false" outlineLevel="0" collapsed="false">
      <c r="A649" s="325"/>
      <c r="B649" s="326"/>
      <c r="J649" s="73"/>
      <c r="K649" s="327"/>
    </row>
    <row r="650" customFormat="false" ht="12.75" hidden="false" customHeight="false" outlineLevel="0" collapsed="false">
      <c r="A650" s="325"/>
      <c r="B650" s="326"/>
      <c r="J650" s="73"/>
      <c r="K650" s="327"/>
    </row>
    <row r="651" customFormat="false" ht="12.75" hidden="false" customHeight="false" outlineLevel="0" collapsed="false">
      <c r="A651" s="325"/>
      <c r="B651" s="326"/>
      <c r="J651" s="73"/>
      <c r="K651" s="327"/>
    </row>
    <row r="652" customFormat="false" ht="12.75" hidden="false" customHeight="false" outlineLevel="0" collapsed="false">
      <c r="A652" s="325"/>
      <c r="B652" s="326"/>
      <c r="J652" s="73"/>
      <c r="K652" s="327"/>
    </row>
    <row r="653" customFormat="false" ht="12.75" hidden="false" customHeight="false" outlineLevel="0" collapsed="false">
      <c r="A653" s="325"/>
      <c r="B653" s="326"/>
      <c r="J653" s="73"/>
      <c r="K653" s="327"/>
    </row>
    <row r="654" customFormat="false" ht="12.75" hidden="false" customHeight="false" outlineLevel="0" collapsed="false">
      <c r="A654" s="325"/>
      <c r="B654" s="326"/>
      <c r="J654" s="73"/>
      <c r="K654" s="327"/>
    </row>
    <row r="655" customFormat="false" ht="12.75" hidden="false" customHeight="false" outlineLevel="0" collapsed="false">
      <c r="A655" s="325"/>
      <c r="B655" s="326"/>
      <c r="J655" s="73"/>
      <c r="K655" s="327"/>
    </row>
    <row r="656" customFormat="false" ht="12.75" hidden="false" customHeight="false" outlineLevel="0" collapsed="false">
      <c r="A656" s="325"/>
      <c r="B656" s="326"/>
      <c r="J656" s="73"/>
      <c r="K656" s="327"/>
    </row>
    <row r="657" customFormat="false" ht="12.75" hidden="false" customHeight="false" outlineLevel="0" collapsed="false">
      <c r="A657" s="325"/>
      <c r="B657" s="326"/>
      <c r="J657" s="73"/>
      <c r="K657" s="327"/>
    </row>
    <row r="658" customFormat="false" ht="12.75" hidden="false" customHeight="false" outlineLevel="0" collapsed="false">
      <c r="A658" s="325"/>
      <c r="B658" s="326"/>
      <c r="J658" s="73"/>
      <c r="K658" s="327"/>
    </row>
    <row r="659" customFormat="false" ht="12.75" hidden="false" customHeight="false" outlineLevel="0" collapsed="false">
      <c r="A659" s="325"/>
      <c r="B659" s="326"/>
      <c r="J659" s="73"/>
      <c r="K659" s="327"/>
    </row>
    <row r="660" customFormat="false" ht="12.75" hidden="false" customHeight="false" outlineLevel="0" collapsed="false">
      <c r="A660" s="325"/>
      <c r="B660" s="326"/>
      <c r="J660" s="73"/>
      <c r="K660" s="327"/>
    </row>
    <row r="661" customFormat="false" ht="12.75" hidden="false" customHeight="false" outlineLevel="0" collapsed="false">
      <c r="A661" s="325"/>
      <c r="B661" s="326"/>
      <c r="J661" s="73"/>
      <c r="K661" s="327"/>
    </row>
    <row r="662" customFormat="false" ht="12.75" hidden="false" customHeight="false" outlineLevel="0" collapsed="false">
      <c r="A662" s="325"/>
      <c r="B662" s="326"/>
      <c r="J662" s="73"/>
      <c r="K662" s="327"/>
    </row>
    <row r="663" customFormat="false" ht="12.75" hidden="false" customHeight="false" outlineLevel="0" collapsed="false">
      <c r="A663" s="325"/>
      <c r="B663" s="326"/>
      <c r="J663" s="73"/>
      <c r="K663" s="327"/>
    </row>
    <row r="664" customFormat="false" ht="12.75" hidden="false" customHeight="false" outlineLevel="0" collapsed="false">
      <c r="A664" s="325"/>
      <c r="B664" s="326"/>
      <c r="J664" s="73"/>
      <c r="K664" s="327"/>
    </row>
    <row r="665" customFormat="false" ht="12.75" hidden="false" customHeight="false" outlineLevel="0" collapsed="false">
      <c r="A665" s="325"/>
      <c r="B665" s="326"/>
      <c r="J665" s="73"/>
      <c r="K665" s="327"/>
    </row>
    <row r="666" customFormat="false" ht="12.75" hidden="false" customHeight="false" outlineLevel="0" collapsed="false">
      <c r="A666" s="325"/>
      <c r="B666" s="326"/>
      <c r="J666" s="73"/>
      <c r="K666" s="327"/>
    </row>
    <row r="667" customFormat="false" ht="12.75" hidden="false" customHeight="false" outlineLevel="0" collapsed="false">
      <c r="A667" s="325"/>
      <c r="B667" s="326"/>
      <c r="J667" s="73"/>
      <c r="K667" s="327"/>
    </row>
    <row r="668" customFormat="false" ht="12.75" hidden="false" customHeight="false" outlineLevel="0" collapsed="false">
      <c r="A668" s="325"/>
      <c r="B668" s="326"/>
      <c r="J668" s="73"/>
      <c r="K668" s="327"/>
    </row>
    <row r="669" customFormat="false" ht="12.75" hidden="false" customHeight="false" outlineLevel="0" collapsed="false">
      <c r="A669" s="325"/>
      <c r="B669" s="326"/>
      <c r="J669" s="73"/>
      <c r="K669" s="327"/>
    </row>
    <row r="670" customFormat="false" ht="12.75" hidden="false" customHeight="false" outlineLevel="0" collapsed="false">
      <c r="A670" s="325"/>
      <c r="B670" s="326"/>
      <c r="J670" s="73"/>
      <c r="K670" s="327"/>
    </row>
    <row r="671" customFormat="false" ht="12.75" hidden="false" customHeight="false" outlineLevel="0" collapsed="false">
      <c r="A671" s="325"/>
      <c r="B671" s="326"/>
      <c r="J671" s="73"/>
      <c r="K671" s="327"/>
    </row>
    <row r="672" customFormat="false" ht="12.75" hidden="false" customHeight="false" outlineLevel="0" collapsed="false">
      <c r="A672" s="325"/>
      <c r="B672" s="326"/>
      <c r="J672" s="73"/>
      <c r="K672" s="327"/>
    </row>
    <row r="673" customFormat="false" ht="12.75" hidden="false" customHeight="false" outlineLevel="0" collapsed="false">
      <c r="A673" s="325"/>
      <c r="B673" s="326"/>
      <c r="J673" s="73"/>
      <c r="K673" s="327"/>
    </row>
    <row r="674" customFormat="false" ht="12.75" hidden="false" customHeight="false" outlineLevel="0" collapsed="false">
      <c r="A674" s="325"/>
      <c r="B674" s="326"/>
      <c r="J674" s="73"/>
      <c r="K674" s="327"/>
    </row>
    <row r="675" customFormat="false" ht="12.75" hidden="false" customHeight="false" outlineLevel="0" collapsed="false">
      <c r="A675" s="325"/>
      <c r="B675" s="326"/>
      <c r="J675" s="73"/>
      <c r="K675" s="327"/>
    </row>
    <row r="676" customFormat="false" ht="12.75" hidden="false" customHeight="false" outlineLevel="0" collapsed="false">
      <c r="A676" s="325"/>
      <c r="B676" s="326"/>
      <c r="J676" s="73"/>
      <c r="K676" s="327"/>
    </row>
    <row r="677" customFormat="false" ht="12.75" hidden="false" customHeight="false" outlineLevel="0" collapsed="false">
      <c r="A677" s="325"/>
      <c r="B677" s="326"/>
      <c r="J677" s="73"/>
      <c r="K677" s="327"/>
    </row>
    <row r="678" customFormat="false" ht="12.75" hidden="false" customHeight="false" outlineLevel="0" collapsed="false">
      <c r="A678" s="325"/>
      <c r="B678" s="326"/>
      <c r="J678" s="73"/>
      <c r="K678" s="327"/>
    </row>
    <row r="679" customFormat="false" ht="12.75" hidden="false" customHeight="false" outlineLevel="0" collapsed="false">
      <c r="A679" s="325"/>
      <c r="B679" s="326"/>
      <c r="J679" s="73"/>
      <c r="K679" s="327"/>
    </row>
    <row r="680" customFormat="false" ht="12.75" hidden="false" customHeight="false" outlineLevel="0" collapsed="false">
      <c r="A680" s="325"/>
      <c r="B680" s="326"/>
      <c r="J680" s="73"/>
      <c r="K680" s="327"/>
    </row>
    <row r="681" customFormat="false" ht="12.75" hidden="false" customHeight="false" outlineLevel="0" collapsed="false">
      <c r="A681" s="325"/>
      <c r="B681" s="326"/>
      <c r="J681" s="73"/>
      <c r="K681" s="327"/>
    </row>
    <row r="682" customFormat="false" ht="12.75" hidden="false" customHeight="false" outlineLevel="0" collapsed="false">
      <c r="A682" s="325"/>
      <c r="B682" s="326"/>
      <c r="J682" s="73"/>
      <c r="K682" s="327"/>
    </row>
    <row r="683" customFormat="false" ht="12.75" hidden="false" customHeight="false" outlineLevel="0" collapsed="false">
      <c r="A683" s="325"/>
      <c r="B683" s="326"/>
      <c r="J683" s="73"/>
      <c r="K683" s="327"/>
    </row>
    <row r="684" customFormat="false" ht="12.75" hidden="false" customHeight="false" outlineLevel="0" collapsed="false">
      <c r="A684" s="325"/>
      <c r="B684" s="326"/>
      <c r="J684" s="73"/>
      <c r="K684" s="327"/>
    </row>
    <row r="685" customFormat="false" ht="12.75" hidden="false" customHeight="false" outlineLevel="0" collapsed="false">
      <c r="A685" s="325"/>
      <c r="B685" s="326"/>
      <c r="J685" s="73"/>
      <c r="K685" s="327"/>
    </row>
    <row r="686" customFormat="false" ht="12.75" hidden="false" customHeight="false" outlineLevel="0" collapsed="false">
      <c r="A686" s="325"/>
      <c r="B686" s="326"/>
      <c r="J686" s="73"/>
      <c r="K686" s="327"/>
    </row>
    <row r="687" customFormat="false" ht="12.75" hidden="false" customHeight="false" outlineLevel="0" collapsed="false">
      <c r="A687" s="325"/>
      <c r="B687" s="326"/>
      <c r="J687" s="73"/>
      <c r="K687" s="327"/>
    </row>
    <row r="688" customFormat="false" ht="12.75" hidden="false" customHeight="false" outlineLevel="0" collapsed="false">
      <c r="A688" s="325"/>
      <c r="B688" s="326"/>
      <c r="J688" s="73"/>
      <c r="K688" s="327"/>
    </row>
    <row r="689" customFormat="false" ht="12.75" hidden="false" customHeight="false" outlineLevel="0" collapsed="false">
      <c r="A689" s="325"/>
      <c r="B689" s="326"/>
      <c r="J689" s="73"/>
      <c r="K689" s="327"/>
    </row>
    <row r="690" customFormat="false" ht="12.75" hidden="false" customHeight="false" outlineLevel="0" collapsed="false">
      <c r="A690" s="325"/>
      <c r="B690" s="326"/>
      <c r="J690" s="73"/>
      <c r="K690" s="327"/>
    </row>
    <row r="691" customFormat="false" ht="12.75" hidden="false" customHeight="false" outlineLevel="0" collapsed="false">
      <c r="A691" s="325"/>
      <c r="B691" s="326"/>
      <c r="J691" s="73"/>
      <c r="K691" s="327"/>
    </row>
    <row r="692" customFormat="false" ht="12.75" hidden="false" customHeight="false" outlineLevel="0" collapsed="false">
      <c r="A692" s="325"/>
      <c r="B692" s="326"/>
      <c r="J692" s="73"/>
      <c r="K692" s="327"/>
    </row>
    <row r="693" customFormat="false" ht="12.75" hidden="false" customHeight="false" outlineLevel="0" collapsed="false">
      <c r="A693" s="325"/>
      <c r="B693" s="326"/>
      <c r="J693" s="73"/>
      <c r="K693" s="327"/>
    </row>
    <row r="694" customFormat="false" ht="12.75" hidden="false" customHeight="false" outlineLevel="0" collapsed="false">
      <c r="A694" s="325"/>
      <c r="B694" s="326"/>
      <c r="J694" s="73"/>
      <c r="K694" s="327"/>
    </row>
    <row r="695" customFormat="false" ht="12.75" hidden="false" customHeight="false" outlineLevel="0" collapsed="false">
      <c r="A695" s="325"/>
      <c r="B695" s="326"/>
      <c r="J695" s="73"/>
      <c r="K695" s="327"/>
    </row>
    <row r="696" customFormat="false" ht="12.75" hidden="false" customHeight="false" outlineLevel="0" collapsed="false">
      <c r="A696" s="325"/>
      <c r="B696" s="326"/>
      <c r="J696" s="73"/>
      <c r="K696" s="327"/>
    </row>
    <row r="697" customFormat="false" ht="12.75" hidden="false" customHeight="false" outlineLevel="0" collapsed="false">
      <c r="A697" s="325"/>
      <c r="B697" s="326"/>
      <c r="J697" s="73"/>
      <c r="K697" s="327"/>
    </row>
    <row r="698" customFormat="false" ht="12.75" hidden="false" customHeight="false" outlineLevel="0" collapsed="false">
      <c r="A698" s="325"/>
      <c r="B698" s="326"/>
      <c r="J698" s="73"/>
      <c r="K698" s="327"/>
    </row>
    <row r="699" customFormat="false" ht="12.75" hidden="false" customHeight="false" outlineLevel="0" collapsed="false">
      <c r="A699" s="325"/>
      <c r="B699" s="326"/>
      <c r="J699" s="73"/>
      <c r="K699" s="327"/>
    </row>
    <row r="700" customFormat="false" ht="12.75" hidden="false" customHeight="false" outlineLevel="0" collapsed="false">
      <c r="A700" s="325"/>
      <c r="B700" s="326"/>
      <c r="J700" s="73"/>
      <c r="K700" s="327"/>
    </row>
    <row r="701" customFormat="false" ht="12.75" hidden="false" customHeight="false" outlineLevel="0" collapsed="false">
      <c r="A701" s="325"/>
      <c r="B701" s="326"/>
      <c r="J701" s="73"/>
      <c r="K701" s="327"/>
    </row>
    <row r="702" customFormat="false" ht="12.75" hidden="false" customHeight="false" outlineLevel="0" collapsed="false">
      <c r="A702" s="325"/>
      <c r="B702" s="326"/>
      <c r="J702" s="73"/>
      <c r="K702" s="327"/>
    </row>
    <row r="703" customFormat="false" ht="12.75" hidden="false" customHeight="false" outlineLevel="0" collapsed="false">
      <c r="A703" s="325"/>
      <c r="B703" s="326"/>
      <c r="J703" s="73"/>
      <c r="K703" s="327"/>
    </row>
    <row r="704" customFormat="false" ht="12.75" hidden="false" customHeight="false" outlineLevel="0" collapsed="false">
      <c r="A704" s="325"/>
      <c r="B704" s="326"/>
      <c r="J704" s="73"/>
      <c r="K704" s="327"/>
    </row>
    <row r="705" customFormat="false" ht="12.75" hidden="false" customHeight="false" outlineLevel="0" collapsed="false">
      <c r="A705" s="325"/>
      <c r="B705" s="326"/>
      <c r="J705" s="73"/>
      <c r="K705" s="327"/>
    </row>
    <row r="706" customFormat="false" ht="12.75" hidden="false" customHeight="false" outlineLevel="0" collapsed="false">
      <c r="A706" s="325"/>
      <c r="B706" s="326"/>
      <c r="J706" s="73"/>
      <c r="K706" s="327"/>
    </row>
    <row r="707" customFormat="false" ht="12.75" hidden="false" customHeight="false" outlineLevel="0" collapsed="false">
      <c r="A707" s="325"/>
      <c r="B707" s="326"/>
      <c r="J707" s="73"/>
      <c r="K707" s="327"/>
    </row>
    <row r="708" customFormat="false" ht="12.75" hidden="false" customHeight="false" outlineLevel="0" collapsed="false">
      <c r="A708" s="325"/>
      <c r="B708" s="326"/>
      <c r="J708" s="73"/>
      <c r="K708" s="327"/>
    </row>
    <row r="709" customFormat="false" ht="12.75" hidden="false" customHeight="false" outlineLevel="0" collapsed="false">
      <c r="A709" s="325"/>
      <c r="B709" s="326"/>
      <c r="J709" s="73"/>
      <c r="K709" s="327"/>
    </row>
    <row r="710" customFormat="false" ht="12.75" hidden="false" customHeight="false" outlineLevel="0" collapsed="false">
      <c r="A710" s="325"/>
      <c r="B710" s="326"/>
      <c r="J710" s="73"/>
      <c r="K710" s="327"/>
    </row>
    <row r="711" customFormat="false" ht="12.75" hidden="false" customHeight="false" outlineLevel="0" collapsed="false">
      <c r="A711" s="325"/>
      <c r="B711" s="326"/>
      <c r="J711" s="73"/>
      <c r="K711" s="327"/>
    </row>
    <row r="712" customFormat="false" ht="12.75" hidden="false" customHeight="false" outlineLevel="0" collapsed="false">
      <c r="A712" s="325"/>
      <c r="B712" s="326"/>
      <c r="J712" s="73"/>
      <c r="K712" s="327"/>
    </row>
    <row r="713" customFormat="false" ht="12.75" hidden="false" customHeight="false" outlineLevel="0" collapsed="false">
      <c r="A713" s="325"/>
      <c r="B713" s="326"/>
      <c r="J713" s="73"/>
      <c r="K713" s="327"/>
    </row>
    <row r="714" customFormat="false" ht="12.75" hidden="false" customHeight="false" outlineLevel="0" collapsed="false">
      <c r="A714" s="325"/>
      <c r="B714" s="326"/>
      <c r="J714" s="73"/>
      <c r="K714" s="327"/>
    </row>
    <row r="715" customFormat="false" ht="12.75" hidden="false" customHeight="false" outlineLevel="0" collapsed="false">
      <c r="A715" s="325"/>
      <c r="B715" s="326"/>
      <c r="J715" s="73"/>
      <c r="K715" s="327"/>
    </row>
    <row r="716" customFormat="false" ht="12.75" hidden="false" customHeight="false" outlineLevel="0" collapsed="false">
      <c r="A716" s="325"/>
      <c r="B716" s="326"/>
      <c r="J716" s="73"/>
      <c r="K716" s="327"/>
    </row>
    <row r="717" customFormat="false" ht="12.75" hidden="false" customHeight="false" outlineLevel="0" collapsed="false">
      <c r="A717" s="325"/>
      <c r="B717" s="326"/>
      <c r="J717" s="73"/>
      <c r="K717" s="327"/>
    </row>
    <row r="718" customFormat="false" ht="12.75" hidden="false" customHeight="false" outlineLevel="0" collapsed="false">
      <c r="A718" s="325"/>
      <c r="B718" s="326"/>
      <c r="J718" s="73"/>
      <c r="K718" s="327"/>
    </row>
    <row r="719" customFormat="false" ht="12.75" hidden="false" customHeight="false" outlineLevel="0" collapsed="false">
      <c r="A719" s="325"/>
      <c r="B719" s="326"/>
      <c r="J719" s="73"/>
      <c r="K719" s="327"/>
    </row>
    <row r="720" customFormat="false" ht="12.75" hidden="false" customHeight="false" outlineLevel="0" collapsed="false">
      <c r="A720" s="325"/>
      <c r="B720" s="326"/>
      <c r="J720" s="73"/>
      <c r="K720" s="327"/>
    </row>
    <row r="721" customFormat="false" ht="12.75" hidden="false" customHeight="false" outlineLevel="0" collapsed="false">
      <c r="A721" s="325"/>
      <c r="B721" s="326"/>
      <c r="J721" s="73"/>
      <c r="K721" s="327"/>
    </row>
    <row r="722" customFormat="false" ht="12.75" hidden="false" customHeight="false" outlineLevel="0" collapsed="false">
      <c r="A722" s="325"/>
      <c r="B722" s="326"/>
      <c r="J722" s="73"/>
      <c r="K722" s="327"/>
    </row>
    <row r="723" customFormat="false" ht="12.75" hidden="false" customHeight="false" outlineLevel="0" collapsed="false">
      <c r="A723" s="325"/>
      <c r="B723" s="326"/>
      <c r="J723" s="73"/>
      <c r="K723" s="327"/>
    </row>
    <row r="724" customFormat="false" ht="12.75" hidden="false" customHeight="false" outlineLevel="0" collapsed="false">
      <c r="A724" s="325"/>
      <c r="B724" s="326"/>
      <c r="J724" s="73"/>
      <c r="K724" s="327"/>
    </row>
    <row r="725" customFormat="false" ht="12.75" hidden="false" customHeight="false" outlineLevel="0" collapsed="false">
      <c r="A725" s="325"/>
      <c r="B725" s="326"/>
      <c r="J725" s="73"/>
      <c r="K725" s="327"/>
    </row>
    <row r="726" customFormat="false" ht="12.75" hidden="false" customHeight="false" outlineLevel="0" collapsed="false">
      <c r="A726" s="325"/>
      <c r="B726" s="326"/>
      <c r="J726" s="73"/>
      <c r="K726" s="327"/>
    </row>
    <row r="727" customFormat="false" ht="12.75" hidden="false" customHeight="false" outlineLevel="0" collapsed="false">
      <c r="A727" s="325"/>
      <c r="B727" s="326"/>
      <c r="J727" s="73"/>
      <c r="K727" s="327"/>
    </row>
    <row r="728" customFormat="false" ht="12.75" hidden="false" customHeight="false" outlineLevel="0" collapsed="false">
      <c r="A728" s="325"/>
      <c r="B728" s="326"/>
      <c r="J728" s="73"/>
      <c r="K728" s="327"/>
    </row>
    <row r="729" customFormat="false" ht="12.75" hidden="false" customHeight="false" outlineLevel="0" collapsed="false">
      <c r="A729" s="325"/>
      <c r="B729" s="326"/>
      <c r="J729" s="73"/>
      <c r="K729" s="327"/>
    </row>
    <row r="730" customFormat="false" ht="12.75" hidden="false" customHeight="false" outlineLevel="0" collapsed="false">
      <c r="A730" s="325"/>
      <c r="B730" s="326"/>
      <c r="J730" s="73"/>
      <c r="K730" s="327"/>
    </row>
    <row r="731" customFormat="false" ht="12.75" hidden="false" customHeight="false" outlineLevel="0" collapsed="false">
      <c r="A731" s="325"/>
      <c r="B731" s="326"/>
      <c r="J731" s="73"/>
      <c r="K731" s="327"/>
    </row>
    <row r="732" customFormat="false" ht="12.75" hidden="false" customHeight="false" outlineLevel="0" collapsed="false">
      <c r="A732" s="325"/>
      <c r="B732" s="326"/>
      <c r="J732" s="73"/>
      <c r="K732" s="327"/>
    </row>
    <row r="733" customFormat="false" ht="12.75" hidden="false" customHeight="false" outlineLevel="0" collapsed="false">
      <c r="A733" s="325"/>
      <c r="B733" s="326"/>
      <c r="J733" s="73"/>
      <c r="K733" s="327"/>
    </row>
    <row r="734" customFormat="false" ht="12.75" hidden="false" customHeight="false" outlineLevel="0" collapsed="false">
      <c r="A734" s="325"/>
      <c r="B734" s="326"/>
      <c r="J734" s="73"/>
      <c r="K734" s="327"/>
    </row>
    <row r="735" customFormat="false" ht="12.75" hidden="false" customHeight="false" outlineLevel="0" collapsed="false">
      <c r="A735" s="325"/>
      <c r="B735" s="326"/>
      <c r="J735" s="73"/>
      <c r="K735" s="327"/>
    </row>
    <row r="736" customFormat="false" ht="12.75" hidden="false" customHeight="false" outlineLevel="0" collapsed="false">
      <c r="A736" s="325"/>
      <c r="B736" s="326"/>
      <c r="J736" s="73"/>
      <c r="K736" s="327"/>
    </row>
    <row r="737" customFormat="false" ht="12.75" hidden="false" customHeight="false" outlineLevel="0" collapsed="false">
      <c r="A737" s="325"/>
      <c r="B737" s="326"/>
      <c r="J737" s="73"/>
      <c r="K737" s="327"/>
    </row>
    <row r="738" customFormat="false" ht="12.75" hidden="false" customHeight="false" outlineLevel="0" collapsed="false">
      <c r="A738" s="325"/>
      <c r="B738" s="326"/>
      <c r="J738" s="73"/>
      <c r="K738" s="327"/>
    </row>
    <row r="739" customFormat="false" ht="12.75" hidden="false" customHeight="false" outlineLevel="0" collapsed="false">
      <c r="A739" s="325"/>
      <c r="B739" s="326"/>
      <c r="J739" s="73"/>
      <c r="K739" s="327"/>
    </row>
    <row r="740" customFormat="false" ht="12.75" hidden="false" customHeight="false" outlineLevel="0" collapsed="false">
      <c r="A740" s="325"/>
      <c r="B740" s="326"/>
      <c r="J740" s="73"/>
      <c r="K740" s="327"/>
    </row>
    <row r="741" customFormat="false" ht="12.75" hidden="false" customHeight="false" outlineLevel="0" collapsed="false">
      <c r="A741" s="325"/>
      <c r="B741" s="326"/>
      <c r="J741" s="73"/>
      <c r="K741" s="327"/>
    </row>
    <row r="742" customFormat="false" ht="12.75" hidden="false" customHeight="false" outlineLevel="0" collapsed="false">
      <c r="A742" s="325"/>
      <c r="B742" s="326"/>
      <c r="J742" s="73"/>
      <c r="K742" s="327"/>
    </row>
    <row r="743" customFormat="false" ht="12.75" hidden="false" customHeight="false" outlineLevel="0" collapsed="false">
      <c r="A743" s="325"/>
      <c r="B743" s="326"/>
      <c r="J743" s="73"/>
      <c r="K743" s="327"/>
    </row>
    <row r="744" customFormat="false" ht="12.75" hidden="false" customHeight="false" outlineLevel="0" collapsed="false">
      <c r="A744" s="325"/>
      <c r="B744" s="326"/>
      <c r="J744" s="73"/>
      <c r="K744" s="327"/>
    </row>
    <row r="745" customFormat="false" ht="12.75" hidden="false" customHeight="false" outlineLevel="0" collapsed="false">
      <c r="A745" s="325"/>
      <c r="B745" s="326"/>
      <c r="J745" s="73"/>
      <c r="K745" s="327"/>
    </row>
    <row r="746" customFormat="false" ht="12.75" hidden="false" customHeight="false" outlineLevel="0" collapsed="false">
      <c r="A746" s="325"/>
      <c r="B746" s="326"/>
      <c r="J746" s="73"/>
      <c r="K746" s="327"/>
    </row>
    <row r="747" customFormat="false" ht="12.75" hidden="false" customHeight="false" outlineLevel="0" collapsed="false">
      <c r="A747" s="325"/>
      <c r="B747" s="326"/>
      <c r="J747" s="73"/>
      <c r="K747" s="327"/>
    </row>
    <row r="748" customFormat="false" ht="12.75" hidden="false" customHeight="false" outlineLevel="0" collapsed="false">
      <c r="A748" s="325"/>
      <c r="B748" s="326"/>
      <c r="J748" s="73"/>
      <c r="K748" s="327"/>
    </row>
    <row r="749" customFormat="false" ht="12.75" hidden="false" customHeight="false" outlineLevel="0" collapsed="false">
      <c r="A749" s="325"/>
      <c r="B749" s="326"/>
      <c r="J749" s="73"/>
      <c r="K749" s="327"/>
    </row>
    <row r="750" customFormat="false" ht="12.75" hidden="false" customHeight="false" outlineLevel="0" collapsed="false">
      <c r="A750" s="325"/>
      <c r="B750" s="326"/>
      <c r="J750" s="73"/>
      <c r="K750" s="327"/>
    </row>
    <row r="751" customFormat="false" ht="12.75" hidden="false" customHeight="false" outlineLevel="0" collapsed="false">
      <c r="A751" s="325"/>
      <c r="B751" s="326"/>
      <c r="J751" s="73"/>
      <c r="K751" s="327"/>
    </row>
    <row r="752" customFormat="false" ht="12.75" hidden="false" customHeight="false" outlineLevel="0" collapsed="false">
      <c r="A752" s="325"/>
      <c r="B752" s="326"/>
      <c r="J752" s="73"/>
      <c r="K752" s="327"/>
    </row>
    <row r="753" customFormat="false" ht="12.75" hidden="false" customHeight="false" outlineLevel="0" collapsed="false">
      <c r="A753" s="325"/>
      <c r="B753" s="326"/>
      <c r="J753" s="73"/>
      <c r="K753" s="327"/>
    </row>
    <row r="754" customFormat="false" ht="12.75" hidden="false" customHeight="false" outlineLevel="0" collapsed="false">
      <c r="A754" s="325"/>
      <c r="B754" s="326"/>
      <c r="J754" s="73"/>
      <c r="K754" s="327"/>
    </row>
    <row r="755" customFormat="false" ht="12.75" hidden="false" customHeight="false" outlineLevel="0" collapsed="false">
      <c r="A755" s="325"/>
      <c r="B755" s="326"/>
      <c r="J755" s="73"/>
      <c r="K755" s="327"/>
    </row>
    <row r="756" customFormat="false" ht="12.75" hidden="false" customHeight="false" outlineLevel="0" collapsed="false">
      <c r="A756" s="325"/>
      <c r="B756" s="326"/>
      <c r="J756" s="73"/>
      <c r="K756" s="327"/>
    </row>
    <row r="757" customFormat="false" ht="12.75" hidden="false" customHeight="false" outlineLevel="0" collapsed="false">
      <c r="A757" s="325"/>
      <c r="B757" s="326"/>
      <c r="J757" s="73"/>
      <c r="K757" s="327"/>
    </row>
    <row r="758" customFormat="false" ht="12.75" hidden="false" customHeight="false" outlineLevel="0" collapsed="false">
      <c r="A758" s="325"/>
      <c r="B758" s="326"/>
      <c r="J758" s="73"/>
      <c r="K758" s="327"/>
    </row>
    <row r="759" customFormat="false" ht="12.75" hidden="false" customHeight="false" outlineLevel="0" collapsed="false">
      <c r="A759" s="325"/>
      <c r="B759" s="326"/>
      <c r="J759" s="73"/>
      <c r="K759" s="327"/>
    </row>
    <row r="760" customFormat="false" ht="12.75" hidden="false" customHeight="false" outlineLevel="0" collapsed="false">
      <c r="A760" s="325"/>
      <c r="B760" s="326"/>
      <c r="J760" s="73"/>
      <c r="K760" s="327"/>
    </row>
    <row r="761" customFormat="false" ht="12.75" hidden="false" customHeight="false" outlineLevel="0" collapsed="false">
      <c r="A761" s="325"/>
      <c r="B761" s="326"/>
      <c r="J761" s="73"/>
      <c r="K761" s="327"/>
    </row>
    <row r="762" customFormat="false" ht="12.75" hidden="false" customHeight="false" outlineLevel="0" collapsed="false">
      <c r="A762" s="325"/>
      <c r="B762" s="326"/>
      <c r="J762" s="73"/>
      <c r="K762" s="327"/>
    </row>
    <row r="763" customFormat="false" ht="12.75" hidden="false" customHeight="false" outlineLevel="0" collapsed="false">
      <c r="A763" s="325"/>
      <c r="B763" s="326"/>
      <c r="J763" s="73"/>
      <c r="K763" s="327"/>
    </row>
    <row r="764" customFormat="false" ht="12.75" hidden="false" customHeight="false" outlineLevel="0" collapsed="false">
      <c r="A764" s="325"/>
      <c r="B764" s="326"/>
      <c r="J764" s="73"/>
      <c r="K764" s="327"/>
    </row>
    <row r="765" customFormat="false" ht="12.75" hidden="false" customHeight="false" outlineLevel="0" collapsed="false">
      <c r="A765" s="325"/>
      <c r="B765" s="326"/>
      <c r="J765" s="73"/>
      <c r="K765" s="327"/>
    </row>
    <row r="766" customFormat="false" ht="12.75" hidden="false" customHeight="false" outlineLevel="0" collapsed="false">
      <c r="A766" s="325"/>
      <c r="B766" s="326"/>
      <c r="J766" s="73"/>
      <c r="K766" s="327"/>
    </row>
    <row r="767" customFormat="false" ht="12.75" hidden="false" customHeight="false" outlineLevel="0" collapsed="false">
      <c r="A767" s="325"/>
      <c r="B767" s="326"/>
      <c r="J767" s="73"/>
      <c r="K767" s="327"/>
    </row>
    <row r="768" customFormat="false" ht="12.75" hidden="false" customHeight="false" outlineLevel="0" collapsed="false">
      <c r="A768" s="325"/>
      <c r="B768" s="326"/>
      <c r="J768" s="73"/>
      <c r="K768" s="327"/>
    </row>
    <row r="769" customFormat="false" ht="12.75" hidden="false" customHeight="false" outlineLevel="0" collapsed="false">
      <c r="A769" s="325"/>
      <c r="B769" s="326"/>
      <c r="J769" s="73"/>
      <c r="K769" s="327"/>
    </row>
    <row r="770" customFormat="false" ht="12.75" hidden="false" customHeight="false" outlineLevel="0" collapsed="false">
      <c r="A770" s="325"/>
      <c r="B770" s="326"/>
      <c r="J770" s="73"/>
      <c r="K770" s="327"/>
    </row>
    <row r="771" customFormat="false" ht="12.75" hidden="false" customHeight="false" outlineLevel="0" collapsed="false">
      <c r="A771" s="325"/>
      <c r="B771" s="326"/>
      <c r="J771" s="73"/>
      <c r="K771" s="327"/>
    </row>
    <row r="772" customFormat="false" ht="12.75" hidden="false" customHeight="false" outlineLevel="0" collapsed="false">
      <c r="A772" s="325"/>
      <c r="B772" s="326"/>
      <c r="J772" s="73"/>
      <c r="K772" s="327"/>
    </row>
    <row r="773" customFormat="false" ht="12.75" hidden="false" customHeight="false" outlineLevel="0" collapsed="false">
      <c r="A773" s="325"/>
      <c r="B773" s="326"/>
      <c r="J773" s="73"/>
      <c r="K773" s="327"/>
    </row>
    <row r="774" customFormat="false" ht="12.75" hidden="false" customHeight="false" outlineLevel="0" collapsed="false">
      <c r="A774" s="325"/>
      <c r="B774" s="326"/>
      <c r="J774" s="73"/>
      <c r="K774" s="327"/>
    </row>
    <row r="775" customFormat="false" ht="12.75" hidden="false" customHeight="false" outlineLevel="0" collapsed="false">
      <c r="A775" s="325"/>
      <c r="B775" s="326"/>
      <c r="J775" s="73"/>
      <c r="K775" s="327"/>
    </row>
    <row r="776" customFormat="false" ht="12.75" hidden="false" customHeight="false" outlineLevel="0" collapsed="false">
      <c r="A776" s="325"/>
      <c r="B776" s="326"/>
      <c r="J776" s="73"/>
      <c r="K776" s="327"/>
    </row>
    <row r="777" customFormat="false" ht="12.75" hidden="false" customHeight="false" outlineLevel="0" collapsed="false">
      <c r="A777" s="325"/>
      <c r="B777" s="326"/>
      <c r="J777" s="73"/>
      <c r="K777" s="327"/>
    </row>
    <row r="778" customFormat="false" ht="12.75" hidden="false" customHeight="false" outlineLevel="0" collapsed="false">
      <c r="A778" s="325"/>
      <c r="B778" s="326"/>
      <c r="J778" s="73"/>
      <c r="K778" s="327"/>
    </row>
    <row r="779" customFormat="false" ht="12.75" hidden="false" customHeight="false" outlineLevel="0" collapsed="false">
      <c r="A779" s="325"/>
      <c r="B779" s="326"/>
      <c r="J779" s="73"/>
      <c r="K779" s="327"/>
    </row>
    <row r="780" customFormat="false" ht="12.75" hidden="false" customHeight="false" outlineLevel="0" collapsed="false">
      <c r="A780" s="325"/>
      <c r="B780" s="326"/>
      <c r="J780" s="73"/>
      <c r="K780" s="327"/>
    </row>
    <row r="781" customFormat="false" ht="12.75" hidden="false" customHeight="false" outlineLevel="0" collapsed="false">
      <c r="A781" s="325"/>
      <c r="B781" s="326"/>
      <c r="J781" s="73"/>
      <c r="K781" s="327"/>
    </row>
    <row r="782" customFormat="false" ht="12.75" hidden="false" customHeight="false" outlineLevel="0" collapsed="false">
      <c r="A782" s="325"/>
      <c r="B782" s="326"/>
      <c r="J782" s="73"/>
      <c r="K782" s="327"/>
    </row>
    <row r="783" customFormat="false" ht="12.75" hidden="false" customHeight="false" outlineLevel="0" collapsed="false">
      <c r="A783" s="325"/>
      <c r="B783" s="326"/>
      <c r="J783" s="73"/>
      <c r="K783" s="327"/>
    </row>
    <row r="784" customFormat="false" ht="12.75" hidden="false" customHeight="false" outlineLevel="0" collapsed="false">
      <c r="A784" s="325"/>
      <c r="B784" s="326"/>
      <c r="J784" s="73"/>
      <c r="K784" s="327"/>
    </row>
    <row r="785" customFormat="false" ht="12.75" hidden="false" customHeight="false" outlineLevel="0" collapsed="false">
      <c r="A785" s="325"/>
      <c r="B785" s="326"/>
      <c r="J785" s="73"/>
      <c r="K785" s="327"/>
    </row>
    <row r="786" customFormat="false" ht="12.75" hidden="false" customHeight="false" outlineLevel="0" collapsed="false">
      <c r="A786" s="325"/>
      <c r="B786" s="326"/>
      <c r="J786" s="73"/>
      <c r="K786" s="327"/>
    </row>
    <row r="787" customFormat="false" ht="12.75" hidden="false" customHeight="false" outlineLevel="0" collapsed="false">
      <c r="A787" s="325"/>
      <c r="B787" s="326"/>
      <c r="J787" s="73"/>
      <c r="K787" s="327"/>
    </row>
    <row r="788" customFormat="false" ht="12.75" hidden="false" customHeight="false" outlineLevel="0" collapsed="false">
      <c r="A788" s="325"/>
      <c r="B788" s="326"/>
      <c r="J788" s="73"/>
      <c r="K788" s="327"/>
    </row>
    <row r="789" customFormat="false" ht="12.75" hidden="false" customHeight="false" outlineLevel="0" collapsed="false">
      <c r="A789" s="325"/>
      <c r="B789" s="326"/>
      <c r="J789" s="73"/>
      <c r="K789" s="327"/>
    </row>
    <row r="790" customFormat="false" ht="12.75" hidden="false" customHeight="false" outlineLevel="0" collapsed="false">
      <c r="A790" s="325"/>
      <c r="B790" s="326"/>
      <c r="J790" s="73"/>
      <c r="K790" s="327"/>
    </row>
    <row r="791" customFormat="false" ht="12.75" hidden="false" customHeight="false" outlineLevel="0" collapsed="false">
      <c r="A791" s="325"/>
      <c r="B791" s="326"/>
      <c r="J791" s="73"/>
      <c r="K791" s="327"/>
    </row>
    <row r="792" customFormat="false" ht="12.75" hidden="false" customHeight="false" outlineLevel="0" collapsed="false">
      <c r="A792" s="325"/>
      <c r="B792" s="326"/>
      <c r="J792" s="73"/>
      <c r="K792" s="327"/>
    </row>
    <row r="793" customFormat="false" ht="12.75" hidden="false" customHeight="false" outlineLevel="0" collapsed="false">
      <c r="A793" s="325"/>
      <c r="B793" s="326"/>
      <c r="J793" s="73"/>
      <c r="K793" s="327"/>
    </row>
    <row r="794" customFormat="false" ht="12.75" hidden="false" customHeight="false" outlineLevel="0" collapsed="false">
      <c r="A794" s="325"/>
      <c r="B794" s="326"/>
      <c r="J794" s="73"/>
      <c r="K794" s="327"/>
    </row>
    <row r="795" customFormat="false" ht="12.75" hidden="false" customHeight="false" outlineLevel="0" collapsed="false">
      <c r="A795" s="325"/>
      <c r="B795" s="326"/>
      <c r="J795" s="73"/>
      <c r="K795" s="327"/>
    </row>
    <row r="796" customFormat="false" ht="12.75" hidden="false" customHeight="false" outlineLevel="0" collapsed="false">
      <c r="A796" s="325"/>
      <c r="B796" s="326"/>
      <c r="J796" s="73"/>
      <c r="K796" s="327"/>
    </row>
    <row r="797" customFormat="false" ht="12.75" hidden="false" customHeight="false" outlineLevel="0" collapsed="false">
      <c r="A797" s="325"/>
      <c r="B797" s="326"/>
      <c r="J797" s="73"/>
      <c r="K797" s="327"/>
    </row>
    <row r="798" customFormat="false" ht="12.75" hidden="false" customHeight="false" outlineLevel="0" collapsed="false">
      <c r="A798" s="325"/>
      <c r="B798" s="326"/>
      <c r="J798" s="73"/>
      <c r="K798" s="327"/>
    </row>
    <row r="799" customFormat="false" ht="12.75" hidden="false" customHeight="false" outlineLevel="0" collapsed="false">
      <c r="A799" s="325"/>
      <c r="B799" s="326"/>
      <c r="J799" s="73"/>
      <c r="K799" s="327"/>
    </row>
    <row r="800" customFormat="false" ht="12.75" hidden="false" customHeight="false" outlineLevel="0" collapsed="false">
      <c r="A800" s="325"/>
      <c r="B800" s="326"/>
      <c r="J800" s="73"/>
      <c r="K800" s="327"/>
    </row>
    <row r="801" customFormat="false" ht="12.75" hidden="false" customHeight="false" outlineLevel="0" collapsed="false">
      <c r="A801" s="325"/>
      <c r="B801" s="326"/>
      <c r="J801" s="73"/>
      <c r="K801" s="327"/>
    </row>
    <row r="802" customFormat="false" ht="12.75" hidden="false" customHeight="false" outlineLevel="0" collapsed="false">
      <c r="A802" s="325"/>
      <c r="B802" s="326"/>
      <c r="J802" s="73"/>
      <c r="K802" s="327"/>
    </row>
    <row r="803" customFormat="false" ht="12.75" hidden="false" customHeight="false" outlineLevel="0" collapsed="false">
      <c r="A803" s="325"/>
      <c r="B803" s="326"/>
      <c r="J803" s="73"/>
      <c r="K803" s="327"/>
    </row>
    <row r="804" customFormat="false" ht="12.75" hidden="false" customHeight="false" outlineLevel="0" collapsed="false">
      <c r="A804" s="325"/>
      <c r="B804" s="326"/>
      <c r="J804" s="73"/>
      <c r="K804" s="327"/>
    </row>
    <row r="805" customFormat="false" ht="12.75" hidden="false" customHeight="false" outlineLevel="0" collapsed="false">
      <c r="A805" s="325"/>
      <c r="B805" s="326"/>
      <c r="J805" s="73"/>
      <c r="K805" s="327"/>
    </row>
    <row r="806" customFormat="false" ht="12.75" hidden="false" customHeight="false" outlineLevel="0" collapsed="false">
      <c r="A806" s="325"/>
      <c r="B806" s="326"/>
      <c r="J806" s="73"/>
      <c r="K806" s="327"/>
    </row>
    <row r="807" customFormat="false" ht="12.75" hidden="false" customHeight="false" outlineLevel="0" collapsed="false">
      <c r="A807" s="325"/>
      <c r="B807" s="326"/>
      <c r="J807" s="73"/>
      <c r="K807" s="327"/>
    </row>
    <row r="808" customFormat="false" ht="12.75" hidden="false" customHeight="false" outlineLevel="0" collapsed="false">
      <c r="A808" s="325"/>
      <c r="B808" s="326"/>
      <c r="J808" s="73"/>
      <c r="K808" s="327"/>
    </row>
    <row r="809" customFormat="false" ht="12.75" hidden="false" customHeight="false" outlineLevel="0" collapsed="false">
      <c r="A809" s="325"/>
      <c r="B809" s="326"/>
      <c r="J809" s="73"/>
      <c r="K809" s="327"/>
    </row>
    <row r="810" customFormat="false" ht="12.75" hidden="false" customHeight="false" outlineLevel="0" collapsed="false">
      <c r="A810" s="325"/>
      <c r="B810" s="326"/>
      <c r="J810" s="73"/>
      <c r="K810" s="327"/>
    </row>
    <row r="811" customFormat="false" ht="12.75" hidden="false" customHeight="false" outlineLevel="0" collapsed="false">
      <c r="A811" s="325"/>
      <c r="B811" s="326"/>
      <c r="J811" s="73"/>
      <c r="K811" s="327"/>
    </row>
    <row r="812" customFormat="false" ht="12.75" hidden="false" customHeight="false" outlineLevel="0" collapsed="false">
      <c r="A812" s="325"/>
      <c r="B812" s="326"/>
      <c r="J812" s="73"/>
      <c r="K812" s="327"/>
    </row>
    <row r="813" customFormat="false" ht="12.75" hidden="false" customHeight="false" outlineLevel="0" collapsed="false">
      <c r="A813" s="325"/>
      <c r="B813" s="326"/>
      <c r="J813" s="73"/>
      <c r="K813" s="327"/>
    </row>
    <row r="814" customFormat="false" ht="12.75" hidden="false" customHeight="false" outlineLevel="0" collapsed="false">
      <c r="A814" s="325"/>
      <c r="B814" s="326"/>
      <c r="J814" s="73"/>
      <c r="K814" s="327"/>
    </row>
    <row r="815" customFormat="false" ht="12.75" hidden="false" customHeight="false" outlineLevel="0" collapsed="false">
      <c r="A815" s="325"/>
      <c r="B815" s="326"/>
      <c r="J815" s="73"/>
      <c r="K815" s="327"/>
    </row>
    <row r="816" customFormat="false" ht="12.75" hidden="false" customHeight="false" outlineLevel="0" collapsed="false">
      <c r="A816" s="325"/>
      <c r="B816" s="326"/>
      <c r="J816" s="73"/>
      <c r="K816" s="327"/>
    </row>
    <row r="817" customFormat="false" ht="12.75" hidden="false" customHeight="false" outlineLevel="0" collapsed="false">
      <c r="A817" s="325"/>
      <c r="B817" s="326"/>
      <c r="J817" s="73"/>
      <c r="K817" s="327"/>
    </row>
    <row r="818" customFormat="false" ht="12.75" hidden="false" customHeight="false" outlineLevel="0" collapsed="false">
      <c r="A818" s="325"/>
      <c r="B818" s="326"/>
      <c r="J818" s="73"/>
      <c r="K818" s="327"/>
    </row>
    <row r="819" customFormat="false" ht="12.75" hidden="false" customHeight="false" outlineLevel="0" collapsed="false">
      <c r="A819" s="325"/>
      <c r="B819" s="326"/>
      <c r="J819" s="73"/>
      <c r="K819" s="327"/>
    </row>
    <row r="820" customFormat="false" ht="12.75" hidden="false" customHeight="false" outlineLevel="0" collapsed="false">
      <c r="A820" s="325"/>
      <c r="B820" s="326"/>
      <c r="J820" s="73"/>
      <c r="K820" s="327"/>
    </row>
    <row r="821" customFormat="false" ht="12.75" hidden="false" customHeight="false" outlineLevel="0" collapsed="false">
      <c r="A821" s="325"/>
      <c r="B821" s="326"/>
      <c r="J821" s="73"/>
      <c r="K821" s="327"/>
    </row>
    <row r="822" customFormat="false" ht="12.75" hidden="false" customHeight="false" outlineLevel="0" collapsed="false">
      <c r="A822" s="325"/>
      <c r="B822" s="326"/>
      <c r="J822" s="73"/>
      <c r="K822" s="327"/>
    </row>
    <row r="823" customFormat="false" ht="12.75" hidden="false" customHeight="false" outlineLevel="0" collapsed="false">
      <c r="A823" s="325"/>
      <c r="B823" s="326"/>
      <c r="J823" s="73"/>
      <c r="K823" s="327"/>
    </row>
    <row r="824" customFormat="false" ht="12.75" hidden="false" customHeight="false" outlineLevel="0" collapsed="false">
      <c r="A824" s="325"/>
      <c r="B824" s="326"/>
      <c r="J824" s="73"/>
      <c r="K824" s="327"/>
    </row>
    <row r="825" customFormat="false" ht="12.75" hidden="false" customHeight="false" outlineLevel="0" collapsed="false">
      <c r="A825" s="325"/>
      <c r="B825" s="326"/>
      <c r="J825" s="73"/>
      <c r="K825" s="327"/>
    </row>
    <row r="826" customFormat="false" ht="12.75" hidden="false" customHeight="false" outlineLevel="0" collapsed="false">
      <c r="A826" s="325"/>
      <c r="B826" s="326"/>
      <c r="J826" s="73"/>
      <c r="K826" s="327"/>
    </row>
    <row r="827" customFormat="false" ht="12.75" hidden="false" customHeight="false" outlineLevel="0" collapsed="false">
      <c r="A827" s="325"/>
      <c r="B827" s="326"/>
      <c r="J827" s="73"/>
      <c r="K827" s="327"/>
    </row>
    <row r="828" customFormat="false" ht="12.75" hidden="false" customHeight="false" outlineLevel="0" collapsed="false">
      <c r="A828" s="325"/>
      <c r="B828" s="326"/>
      <c r="J828" s="73"/>
      <c r="K828" s="327"/>
    </row>
    <row r="829" customFormat="false" ht="12.75" hidden="false" customHeight="false" outlineLevel="0" collapsed="false">
      <c r="A829" s="325"/>
      <c r="B829" s="326"/>
      <c r="J829" s="73"/>
      <c r="K829" s="327"/>
    </row>
    <row r="830" customFormat="false" ht="12.75" hidden="false" customHeight="false" outlineLevel="0" collapsed="false">
      <c r="A830" s="325"/>
      <c r="B830" s="326"/>
      <c r="J830" s="73"/>
      <c r="K830" s="327"/>
    </row>
    <row r="831" customFormat="false" ht="12.75" hidden="false" customHeight="false" outlineLevel="0" collapsed="false">
      <c r="A831" s="325"/>
      <c r="B831" s="326"/>
      <c r="J831" s="73"/>
      <c r="K831" s="327"/>
    </row>
    <row r="832" customFormat="false" ht="12.75" hidden="false" customHeight="false" outlineLevel="0" collapsed="false">
      <c r="A832" s="325"/>
      <c r="B832" s="326"/>
      <c r="J832" s="73"/>
      <c r="K832" s="327"/>
    </row>
    <row r="833" customFormat="false" ht="12.75" hidden="false" customHeight="false" outlineLevel="0" collapsed="false">
      <c r="A833" s="325"/>
      <c r="B833" s="326"/>
      <c r="J833" s="73"/>
      <c r="K833" s="327"/>
    </row>
    <row r="834" customFormat="false" ht="12.75" hidden="false" customHeight="false" outlineLevel="0" collapsed="false">
      <c r="A834" s="325"/>
      <c r="B834" s="326"/>
      <c r="J834" s="73"/>
      <c r="K834" s="327"/>
    </row>
    <row r="835" customFormat="false" ht="12.75" hidden="false" customHeight="false" outlineLevel="0" collapsed="false">
      <c r="A835" s="325"/>
      <c r="B835" s="326"/>
      <c r="J835" s="73"/>
      <c r="K835" s="327"/>
    </row>
    <row r="836" customFormat="false" ht="12.75" hidden="false" customHeight="false" outlineLevel="0" collapsed="false">
      <c r="A836" s="325"/>
      <c r="B836" s="326"/>
      <c r="J836" s="73"/>
      <c r="K836" s="327"/>
    </row>
    <row r="837" customFormat="false" ht="12.75" hidden="false" customHeight="false" outlineLevel="0" collapsed="false">
      <c r="A837" s="325"/>
      <c r="B837" s="326"/>
      <c r="J837" s="73"/>
      <c r="K837" s="327"/>
    </row>
    <row r="838" customFormat="false" ht="12.75" hidden="false" customHeight="false" outlineLevel="0" collapsed="false">
      <c r="A838" s="325"/>
      <c r="B838" s="326"/>
      <c r="J838" s="73"/>
      <c r="K838" s="327"/>
    </row>
    <row r="839" customFormat="false" ht="12.75" hidden="false" customHeight="false" outlineLevel="0" collapsed="false">
      <c r="A839" s="325"/>
      <c r="B839" s="326"/>
      <c r="J839" s="73"/>
      <c r="K839" s="327"/>
    </row>
    <row r="840" customFormat="false" ht="12.75" hidden="false" customHeight="false" outlineLevel="0" collapsed="false">
      <c r="A840" s="325"/>
      <c r="B840" s="326"/>
      <c r="J840" s="73"/>
      <c r="K840" s="327"/>
    </row>
    <row r="841" customFormat="false" ht="12.75" hidden="false" customHeight="false" outlineLevel="0" collapsed="false">
      <c r="A841" s="325"/>
      <c r="B841" s="326"/>
      <c r="J841" s="73"/>
      <c r="K841" s="327"/>
    </row>
    <row r="842" customFormat="false" ht="12.75" hidden="false" customHeight="false" outlineLevel="0" collapsed="false">
      <c r="A842" s="325"/>
      <c r="B842" s="326"/>
      <c r="J842" s="73"/>
      <c r="K842" s="327"/>
    </row>
    <row r="843" customFormat="false" ht="12.75" hidden="false" customHeight="false" outlineLevel="0" collapsed="false">
      <c r="A843" s="325"/>
      <c r="B843" s="326"/>
      <c r="J843" s="73"/>
      <c r="K843" s="327"/>
    </row>
    <row r="844" customFormat="false" ht="12.75" hidden="false" customHeight="false" outlineLevel="0" collapsed="false">
      <c r="A844" s="325"/>
      <c r="B844" s="326"/>
      <c r="J844" s="73"/>
      <c r="K844" s="327"/>
    </row>
    <row r="845" customFormat="false" ht="12.75" hidden="false" customHeight="false" outlineLevel="0" collapsed="false">
      <c r="A845" s="325"/>
      <c r="B845" s="326"/>
      <c r="J845" s="73"/>
      <c r="K845" s="327"/>
    </row>
    <row r="846" customFormat="false" ht="12.75" hidden="false" customHeight="false" outlineLevel="0" collapsed="false">
      <c r="A846" s="325"/>
      <c r="B846" s="326"/>
      <c r="J846" s="73"/>
      <c r="K846" s="327"/>
    </row>
    <row r="847" customFormat="false" ht="12.75" hidden="false" customHeight="false" outlineLevel="0" collapsed="false">
      <c r="A847" s="325"/>
      <c r="B847" s="326"/>
      <c r="J847" s="73"/>
      <c r="K847" s="327"/>
    </row>
    <row r="848" customFormat="false" ht="12.75" hidden="false" customHeight="false" outlineLevel="0" collapsed="false">
      <c r="A848" s="325"/>
      <c r="B848" s="326"/>
      <c r="J848" s="73"/>
      <c r="K848" s="327"/>
    </row>
    <row r="849" customFormat="false" ht="12.75" hidden="false" customHeight="false" outlineLevel="0" collapsed="false">
      <c r="A849" s="325"/>
      <c r="B849" s="326"/>
      <c r="J849" s="73"/>
      <c r="K849" s="327"/>
    </row>
    <row r="850" customFormat="false" ht="12.75" hidden="false" customHeight="false" outlineLevel="0" collapsed="false">
      <c r="A850" s="325"/>
      <c r="B850" s="326"/>
      <c r="J850" s="73"/>
      <c r="K850" s="327"/>
    </row>
    <row r="851" customFormat="false" ht="12.75" hidden="false" customHeight="false" outlineLevel="0" collapsed="false">
      <c r="A851" s="325"/>
      <c r="B851" s="326"/>
      <c r="J851" s="73"/>
      <c r="K851" s="327"/>
    </row>
    <row r="852" customFormat="false" ht="12.75" hidden="false" customHeight="false" outlineLevel="0" collapsed="false">
      <c r="A852" s="325"/>
      <c r="B852" s="326"/>
      <c r="J852" s="73"/>
      <c r="K852" s="327"/>
    </row>
    <row r="853" customFormat="false" ht="12.75" hidden="false" customHeight="false" outlineLevel="0" collapsed="false">
      <c r="A853" s="325"/>
      <c r="B853" s="326"/>
      <c r="J853" s="73"/>
      <c r="K853" s="327"/>
    </row>
    <row r="854" customFormat="false" ht="12.75" hidden="false" customHeight="false" outlineLevel="0" collapsed="false">
      <c r="A854" s="325"/>
      <c r="B854" s="326"/>
      <c r="J854" s="73"/>
      <c r="K854" s="327"/>
    </row>
    <row r="855" customFormat="false" ht="12.75" hidden="false" customHeight="false" outlineLevel="0" collapsed="false">
      <c r="A855" s="325"/>
      <c r="B855" s="326"/>
      <c r="J855" s="73"/>
      <c r="K855" s="327"/>
    </row>
    <row r="856" customFormat="false" ht="12.75" hidden="false" customHeight="false" outlineLevel="0" collapsed="false">
      <c r="A856" s="325"/>
      <c r="B856" s="326"/>
      <c r="J856" s="73"/>
      <c r="K856" s="327"/>
    </row>
    <row r="857" customFormat="false" ht="12.75" hidden="false" customHeight="false" outlineLevel="0" collapsed="false">
      <c r="A857" s="325"/>
      <c r="B857" s="326"/>
      <c r="J857" s="73"/>
      <c r="K857" s="327"/>
    </row>
    <row r="858" customFormat="false" ht="12.75" hidden="false" customHeight="false" outlineLevel="0" collapsed="false">
      <c r="A858" s="325"/>
      <c r="B858" s="326"/>
      <c r="J858" s="73"/>
      <c r="K858" s="327"/>
    </row>
    <row r="859" customFormat="false" ht="12.75" hidden="false" customHeight="false" outlineLevel="0" collapsed="false">
      <c r="A859" s="325"/>
      <c r="B859" s="326"/>
      <c r="J859" s="73"/>
      <c r="K859" s="327"/>
    </row>
    <row r="860" customFormat="false" ht="12.75" hidden="false" customHeight="false" outlineLevel="0" collapsed="false">
      <c r="A860" s="325"/>
      <c r="B860" s="326"/>
      <c r="J860" s="73"/>
      <c r="K860" s="327"/>
    </row>
    <row r="861" customFormat="false" ht="12.75" hidden="false" customHeight="false" outlineLevel="0" collapsed="false">
      <c r="A861" s="325"/>
      <c r="B861" s="326"/>
      <c r="J861" s="73"/>
      <c r="K861" s="327"/>
    </row>
    <row r="862" customFormat="false" ht="12.75" hidden="false" customHeight="false" outlineLevel="0" collapsed="false">
      <c r="A862" s="325"/>
      <c r="B862" s="326"/>
      <c r="J862" s="73"/>
      <c r="K862" s="327"/>
    </row>
    <row r="863" customFormat="false" ht="12.75" hidden="false" customHeight="false" outlineLevel="0" collapsed="false">
      <c r="A863" s="325"/>
      <c r="B863" s="326"/>
      <c r="J863" s="73"/>
      <c r="K863" s="327"/>
    </row>
    <row r="864" customFormat="false" ht="12.75" hidden="false" customHeight="false" outlineLevel="0" collapsed="false">
      <c r="A864" s="325"/>
      <c r="B864" s="326"/>
      <c r="J864" s="73"/>
      <c r="K864" s="327"/>
    </row>
    <row r="865" customFormat="false" ht="12.75" hidden="false" customHeight="false" outlineLevel="0" collapsed="false">
      <c r="A865" s="325"/>
      <c r="B865" s="326"/>
      <c r="J865" s="73"/>
      <c r="K865" s="327"/>
    </row>
    <row r="866" customFormat="false" ht="12.75" hidden="false" customHeight="false" outlineLevel="0" collapsed="false">
      <c r="A866" s="325"/>
      <c r="B866" s="326"/>
      <c r="J866" s="73"/>
      <c r="K866" s="327"/>
    </row>
    <row r="867" customFormat="false" ht="12.75" hidden="false" customHeight="false" outlineLevel="0" collapsed="false">
      <c r="A867" s="325"/>
      <c r="B867" s="326"/>
      <c r="J867" s="73"/>
      <c r="K867" s="327"/>
    </row>
    <row r="868" customFormat="false" ht="12.75" hidden="false" customHeight="false" outlineLevel="0" collapsed="false">
      <c r="A868" s="325"/>
      <c r="B868" s="326"/>
      <c r="J868" s="73"/>
      <c r="K868" s="327"/>
    </row>
    <row r="869" customFormat="false" ht="12.75" hidden="false" customHeight="false" outlineLevel="0" collapsed="false">
      <c r="A869" s="325"/>
      <c r="B869" s="326"/>
      <c r="J869" s="73"/>
      <c r="K869" s="327"/>
    </row>
    <row r="870" customFormat="false" ht="12.75" hidden="false" customHeight="false" outlineLevel="0" collapsed="false">
      <c r="A870" s="325"/>
      <c r="B870" s="326"/>
      <c r="J870" s="73"/>
      <c r="K870" s="327"/>
    </row>
    <row r="871" customFormat="false" ht="12.75" hidden="false" customHeight="false" outlineLevel="0" collapsed="false">
      <c r="A871" s="325"/>
      <c r="B871" s="326"/>
      <c r="J871" s="73"/>
      <c r="K871" s="327"/>
    </row>
    <row r="872" customFormat="false" ht="12.75" hidden="false" customHeight="false" outlineLevel="0" collapsed="false">
      <c r="A872" s="325"/>
      <c r="B872" s="326"/>
      <c r="J872" s="73"/>
      <c r="K872" s="327"/>
    </row>
    <row r="873" customFormat="false" ht="12.75" hidden="false" customHeight="false" outlineLevel="0" collapsed="false">
      <c r="A873" s="325"/>
      <c r="B873" s="326"/>
      <c r="J873" s="73"/>
      <c r="K873" s="327"/>
    </row>
    <row r="874" customFormat="false" ht="12.75" hidden="false" customHeight="false" outlineLevel="0" collapsed="false">
      <c r="A874" s="325"/>
      <c r="B874" s="326"/>
      <c r="J874" s="73"/>
      <c r="K874" s="327"/>
    </row>
    <row r="875" customFormat="false" ht="12.75" hidden="false" customHeight="false" outlineLevel="0" collapsed="false">
      <c r="A875" s="325"/>
      <c r="B875" s="326"/>
      <c r="J875" s="73"/>
      <c r="K875" s="327"/>
    </row>
    <row r="876" customFormat="false" ht="12.75" hidden="false" customHeight="false" outlineLevel="0" collapsed="false">
      <c r="A876" s="325"/>
      <c r="B876" s="326"/>
      <c r="J876" s="73"/>
      <c r="K876" s="327"/>
    </row>
    <row r="877" customFormat="false" ht="12.75" hidden="false" customHeight="false" outlineLevel="0" collapsed="false">
      <c r="A877" s="325"/>
      <c r="B877" s="326"/>
      <c r="J877" s="73"/>
      <c r="K877" s="327"/>
    </row>
    <row r="878" customFormat="false" ht="12.75" hidden="false" customHeight="false" outlineLevel="0" collapsed="false">
      <c r="A878" s="325"/>
      <c r="B878" s="326"/>
      <c r="J878" s="73"/>
      <c r="K878" s="327"/>
    </row>
    <row r="879" customFormat="false" ht="12.75" hidden="false" customHeight="false" outlineLevel="0" collapsed="false">
      <c r="A879" s="325"/>
      <c r="B879" s="326"/>
      <c r="J879" s="73"/>
      <c r="K879" s="327"/>
    </row>
    <row r="880" customFormat="false" ht="12.75" hidden="false" customHeight="false" outlineLevel="0" collapsed="false">
      <c r="A880" s="325"/>
      <c r="B880" s="326"/>
      <c r="J880" s="73"/>
      <c r="K880" s="327"/>
    </row>
    <row r="881" customFormat="false" ht="12.75" hidden="false" customHeight="false" outlineLevel="0" collapsed="false">
      <c r="A881" s="325"/>
      <c r="B881" s="326"/>
      <c r="J881" s="73"/>
      <c r="K881" s="327"/>
    </row>
    <row r="882" customFormat="false" ht="12.75" hidden="false" customHeight="false" outlineLevel="0" collapsed="false">
      <c r="A882" s="325"/>
      <c r="B882" s="326"/>
      <c r="J882" s="73"/>
      <c r="K882" s="327"/>
    </row>
    <row r="883" customFormat="false" ht="12.75" hidden="false" customHeight="false" outlineLevel="0" collapsed="false">
      <c r="A883" s="325"/>
      <c r="B883" s="326"/>
      <c r="J883" s="73"/>
      <c r="K883" s="327"/>
    </row>
    <row r="884" customFormat="false" ht="12.75" hidden="false" customHeight="false" outlineLevel="0" collapsed="false">
      <c r="A884" s="325"/>
      <c r="B884" s="326"/>
      <c r="J884" s="73"/>
      <c r="K884" s="327"/>
    </row>
    <row r="885" customFormat="false" ht="12.75" hidden="false" customHeight="false" outlineLevel="0" collapsed="false">
      <c r="A885" s="325"/>
      <c r="B885" s="326"/>
      <c r="J885" s="73"/>
      <c r="K885" s="327"/>
    </row>
    <row r="886" customFormat="false" ht="12.75" hidden="false" customHeight="false" outlineLevel="0" collapsed="false">
      <c r="A886" s="325"/>
      <c r="B886" s="326"/>
      <c r="J886" s="73"/>
      <c r="K886" s="327"/>
    </row>
    <row r="887" customFormat="false" ht="12.75" hidden="false" customHeight="false" outlineLevel="0" collapsed="false">
      <c r="A887" s="325"/>
      <c r="B887" s="326"/>
      <c r="J887" s="73"/>
      <c r="K887" s="327"/>
    </row>
    <row r="888" customFormat="false" ht="12.75" hidden="false" customHeight="false" outlineLevel="0" collapsed="false">
      <c r="A888" s="325"/>
      <c r="B888" s="326"/>
      <c r="J888" s="73"/>
      <c r="K888" s="327"/>
    </row>
    <row r="889" customFormat="false" ht="12.75" hidden="false" customHeight="false" outlineLevel="0" collapsed="false">
      <c r="A889" s="325"/>
      <c r="B889" s="326"/>
      <c r="J889" s="73"/>
      <c r="K889" s="327"/>
    </row>
    <row r="890" customFormat="false" ht="12.75" hidden="false" customHeight="false" outlineLevel="0" collapsed="false">
      <c r="A890" s="325"/>
      <c r="B890" s="326"/>
      <c r="J890" s="73"/>
      <c r="K890" s="327"/>
    </row>
    <row r="891" customFormat="false" ht="12.75" hidden="false" customHeight="false" outlineLevel="0" collapsed="false">
      <c r="A891" s="325"/>
      <c r="B891" s="326"/>
      <c r="J891" s="73"/>
      <c r="K891" s="327"/>
    </row>
    <row r="892" customFormat="false" ht="12.75" hidden="false" customHeight="false" outlineLevel="0" collapsed="false">
      <c r="A892" s="325"/>
      <c r="B892" s="326"/>
      <c r="J892" s="73"/>
      <c r="K892" s="327"/>
    </row>
    <row r="893" customFormat="false" ht="12.75" hidden="false" customHeight="false" outlineLevel="0" collapsed="false">
      <c r="A893" s="325"/>
      <c r="B893" s="326"/>
      <c r="J893" s="73"/>
      <c r="K893" s="327"/>
    </row>
    <row r="894" customFormat="false" ht="12.75" hidden="false" customHeight="false" outlineLevel="0" collapsed="false">
      <c r="A894" s="325"/>
      <c r="B894" s="326"/>
      <c r="J894" s="73"/>
      <c r="K894" s="327"/>
    </row>
    <row r="895" customFormat="false" ht="12.75" hidden="false" customHeight="false" outlineLevel="0" collapsed="false">
      <c r="A895" s="325"/>
      <c r="B895" s="326"/>
      <c r="J895" s="73"/>
      <c r="K895" s="327"/>
    </row>
    <row r="896" customFormat="false" ht="12.75" hidden="false" customHeight="false" outlineLevel="0" collapsed="false">
      <c r="A896" s="325"/>
      <c r="B896" s="326"/>
      <c r="J896" s="73"/>
      <c r="K896" s="327"/>
    </row>
    <row r="897" customFormat="false" ht="12.75" hidden="false" customHeight="false" outlineLevel="0" collapsed="false">
      <c r="A897" s="325"/>
      <c r="B897" s="326"/>
      <c r="J897" s="73"/>
      <c r="K897" s="327"/>
    </row>
    <row r="898" customFormat="false" ht="12.75" hidden="false" customHeight="false" outlineLevel="0" collapsed="false">
      <c r="A898" s="325"/>
      <c r="B898" s="326"/>
      <c r="J898" s="73"/>
      <c r="K898" s="327"/>
    </row>
    <row r="899" customFormat="false" ht="12.75" hidden="false" customHeight="false" outlineLevel="0" collapsed="false">
      <c r="A899" s="325"/>
      <c r="B899" s="326"/>
      <c r="J899" s="73"/>
      <c r="K899" s="327"/>
    </row>
    <row r="900" customFormat="false" ht="12.75" hidden="false" customHeight="false" outlineLevel="0" collapsed="false">
      <c r="A900" s="325"/>
      <c r="B900" s="326"/>
      <c r="J900" s="73"/>
      <c r="K900" s="327"/>
    </row>
    <row r="901" customFormat="false" ht="12.75" hidden="false" customHeight="false" outlineLevel="0" collapsed="false">
      <c r="A901" s="325"/>
      <c r="B901" s="326"/>
      <c r="J901" s="73"/>
      <c r="K901" s="327"/>
    </row>
    <row r="902" customFormat="false" ht="12.75" hidden="false" customHeight="false" outlineLevel="0" collapsed="false">
      <c r="A902" s="325"/>
      <c r="B902" s="326"/>
      <c r="J902" s="73"/>
      <c r="K902" s="327"/>
    </row>
    <row r="903" customFormat="false" ht="12.75" hidden="false" customHeight="false" outlineLevel="0" collapsed="false">
      <c r="A903" s="325"/>
      <c r="B903" s="326"/>
      <c r="J903" s="73"/>
      <c r="K903" s="327"/>
    </row>
    <row r="904" customFormat="false" ht="12.75" hidden="false" customHeight="false" outlineLevel="0" collapsed="false">
      <c r="A904" s="325"/>
      <c r="B904" s="326"/>
      <c r="J904" s="73"/>
      <c r="K904" s="327"/>
    </row>
    <row r="905" customFormat="false" ht="12.75" hidden="false" customHeight="false" outlineLevel="0" collapsed="false">
      <c r="A905" s="325"/>
      <c r="B905" s="326"/>
      <c r="J905" s="73"/>
      <c r="K905" s="327"/>
    </row>
    <row r="906" customFormat="false" ht="12.75" hidden="false" customHeight="false" outlineLevel="0" collapsed="false">
      <c r="A906" s="325"/>
      <c r="B906" s="326"/>
      <c r="J906" s="73"/>
      <c r="K906" s="327"/>
    </row>
    <row r="907" customFormat="false" ht="12.75" hidden="false" customHeight="false" outlineLevel="0" collapsed="false">
      <c r="A907" s="325"/>
      <c r="B907" s="326"/>
      <c r="J907" s="73"/>
      <c r="K907" s="327"/>
    </row>
    <row r="908" customFormat="false" ht="12.75" hidden="false" customHeight="false" outlineLevel="0" collapsed="false">
      <c r="A908" s="325"/>
      <c r="B908" s="326"/>
      <c r="J908" s="73"/>
      <c r="K908" s="327"/>
    </row>
    <row r="909" customFormat="false" ht="12.75" hidden="false" customHeight="false" outlineLevel="0" collapsed="false">
      <c r="A909" s="325"/>
      <c r="B909" s="326"/>
      <c r="J909" s="73"/>
      <c r="K909" s="327"/>
    </row>
    <row r="910" customFormat="false" ht="12.75" hidden="false" customHeight="false" outlineLevel="0" collapsed="false">
      <c r="A910" s="325"/>
      <c r="B910" s="326"/>
      <c r="J910" s="73"/>
      <c r="K910" s="327"/>
    </row>
    <row r="911" customFormat="false" ht="12.75" hidden="false" customHeight="false" outlineLevel="0" collapsed="false">
      <c r="A911" s="325"/>
      <c r="B911" s="326"/>
      <c r="J911" s="73"/>
      <c r="K911" s="327"/>
    </row>
    <row r="912" customFormat="false" ht="12.75" hidden="false" customHeight="false" outlineLevel="0" collapsed="false">
      <c r="A912" s="325"/>
      <c r="B912" s="326"/>
      <c r="J912" s="73"/>
      <c r="K912" s="327"/>
    </row>
    <row r="913" customFormat="false" ht="12.75" hidden="false" customHeight="false" outlineLevel="0" collapsed="false">
      <c r="A913" s="325"/>
      <c r="B913" s="326"/>
      <c r="J913" s="73"/>
      <c r="K913" s="327"/>
    </row>
    <row r="914" customFormat="false" ht="12.75" hidden="false" customHeight="false" outlineLevel="0" collapsed="false">
      <c r="A914" s="325"/>
      <c r="B914" s="326"/>
      <c r="J914" s="73"/>
      <c r="K914" s="327"/>
    </row>
    <row r="915" customFormat="false" ht="12.75" hidden="false" customHeight="false" outlineLevel="0" collapsed="false">
      <c r="A915" s="325"/>
      <c r="B915" s="326"/>
      <c r="J915" s="73"/>
      <c r="K915" s="327"/>
    </row>
    <row r="916" customFormat="false" ht="12.75" hidden="false" customHeight="false" outlineLevel="0" collapsed="false">
      <c r="A916" s="325"/>
      <c r="B916" s="326"/>
      <c r="J916" s="73"/>
      <c r="K916" s="327"/>
    </row>
    <row r="917" customFormat="false" ht="12.75" hidden="false" customHeight="false" outlineLevel="0" collapsed="false">
      <c r="A917" s="325"/>
      <c r="B917" s="326"/>
      <c r="J917" s="73"/>
      <c r="K917" s="327"/>
    </row>
    <row r="918" customFormat="false" ht="12.75" hidden="false" customHeight="false" outlineLevel="0" collapsed="false">
      <c r="A918" s="325"/>
      <c r="B918" s="326"/>
      <c r="J918" s="73"/>
      <c r="K918" s="327"/>
    </row>
    <row r="919" customFormat="false" ht="12.75" hidden="false" customHeight="false" outlineLevel="0" collapsed="false">
      <c r="A919" s="325"/>
      <c r="B919" s="326"/>
      <c r="J919" s="73"/>
      <c r="K919" s="327"/>
    </row>
    <row r="920" customFormat="false" ht="12.75" hidden="false" customHeight="false" outlineLevel="0" collapsed="false">
      <c r="A920" s="325"/>
      <c r="B920" s="326"/>
      <c r="J920" s="73"/>
      <c r="K920" s="327"/>
    </row>
    <row r="921" customFormat="false" ht="12.75" hidden="false" customHeight="false" outlineLevel="0" collapsed="false">
      <c r="A921" s="325"/>
      <c r="B921" s="326"/>
      <c r="J921" s="73"/>
      <c r="K921" s="327"/>
    </row>
    <row r="922" customFormat="false" ht="12.75" hidden="false" customHeight="false" outlineLevel="0" collapsed="false">
      <c r="A922" s="325"/>
      <c r="B922" s="326"/>
      <c r="J922" s="73"/>
      <c r="K922" s="327"/>
    </row>
    <row r="923" customFormat="false" ht="12.75" hidden="false" customHeight="false" outlineLevel="0" collapsed="false">
      <c r="A923" s="325"/>
      <c r="B923" s="326"/>
      <c r="J923" s="73"/>
      <c r="K923" s="327"/>
    </row>
    <row r="924" customFormat="false" ht="12.75" hidden="false" customHeight="false" outlineLevel="0" collapsed="false">
      <c r="A924" s="325"/>
      <c r="B924" s="326"/>
      <c r="J924" s="73"/>
      <c r="K924" s="327"/>
    </row>
    <row r="925" customFormat="false" ht="12.75" hidden="false" customHeight="false" outlineLevel="0" collapsed="false">
      <c r="A925" s="325"/>
      <c r="B925" s="326"/>
      <c r="J925" s="73"/>
      <c r="K925" s="327"/>
    </row>
    <row r="926" customFormat="false" ht="12.75" hidden="false" customHeight="false" outlineLevel="0" collapsed="false">
      <c r="A926" s="325"/>
      <c r="B926" s="326"/>
      <c r="J926" s="73"/>
      <c r="K926" s="327"/>
    </row>
    <row r="927" customFormat="false" ht="12.75" hidden="false" customHeight="false" outlineLevel="0" collapsed="false">
      <c r="A927" s="325"/>
      <c r="B927" s="326"/>
      <c r="J927" s="73"/>
      <c r="K927" s="327"/>
    </row>
    <row r="928" customFormat="false" ht="12.75" hidden="false" customHeight="false" outlineLevel="0" collapsed="false">
      <c r="A928" s="325"/>
      <c r="B928" s="326"/>
      <c r="J928" s="73"/>
      <c r="K928" s="327"/>
    </row>
    <row r="929" customFormat="false" ht="12.75" hidden="false" customHeight="false" outlineLevel="0" collapsed="false">
      <c r="A929" s="325"/>
      <c r="B929" s="326"/>
      <c r="J929" s="73"/>
      <c r="K929" s="327"/>
    </row>
    <row r="930" customFormat="false" ht="12.75" hidden="false" customHeight="false" outlineLevel="0" collapsed="false">
      <c r="A930" s="325"/>
      <c r="B930" s="326"/>
      <c r="J930" s="73"/>
      <c r="K930" s="327"/>
    </row>
    <row r="931" customFormat="false" ht="12.75" hidden="false" customHeight="false" outlineLevel="0" collapsed="false">
      <c r="A931" s="325"/>
      <c r="B931" s="326"/>
      <c r="J931" s="73"/>
      <c r="K931" s="327"/>
    </row>
    <row r="932" customFormat="false" ht="12.75" hidden="false" customHeight="false" outlineLevel="0" collapsed="false">
      <c r="A932" s="325"/>
      <c r="B932" s="326"/>
      <c r="J932" s="73"/>
      <c r="K932" s="327"/>
    </row>
    <row r="933" customFormat="false" ht="12.75" hidden="false" customHeight="false" outlineLevel="0" collapsed="false">
      <c r="A933" s="325"/>
      <c r="B933" s="326"/>
      <c r="J933" s="73"/>
      <c r="K933" s="327"/>
    </row>
    <row r="934" customFormat="false" ht="12.75" hidden="false" customHeight="false" outlineLevel="0" collapsed="false">
      <c r="A934" s="325"/>
      <c r="B934" s="326"/>
      <c r="J934" s="73"/>
      <c r="K934" s="327"/>
    </row>
    <row r="935" customFormat="false" ht="12.75" hidden="false" customHeight="false" outlineLevel="0" collapsed="false">
      <c r="A935" s="325"/>
      <c r="B935" s="326"/>
      <c r="J935" s="73"/>
      <c r="K935" s="327"/>
    </row>
    <row r="936" customFormat="false" ht="12.75" hidden="false" customHeight="false" outlineLevel="0" collapsed="false">
      <c r="A936" s="325"/>
      <c r="B936" s="326"/>
      <c r="J936" s="73"/>
      <c r="K936" s="327"/>
    </row>
    <row r="937" customFormat="false" ht="12.75" hidden="false" customHeight="false" outlineLevel="0" collapsed="false">
      <c r="A937" s="325"/>
      <c r="B937" s="326"/>
      <c r="J937" s="73"/>
      <c r="K937" s="327"/>
    </row>
    <row r="938" customFormat="false" ht="12.75" hidden="false" customHeight="false" outlineLevel="0" collapsed="false">
      <c r="A938" s="325"/>
      <c r="B938" s="326"/>
      <c r="J938" s="73"/>
      <c r="K938" s="327"/>
    </row>
    <row r="939" customFormat="false" ht="12.75" hidden="false" customHeight="false" outlineLevel="0" collapsed="false">
      <c r="A939" s="325"/>
      <c r="B939" s="326"/>
      <c r="J939" s="73"/>
      <c r="K939" s="327"/>
    </row>
    <row r="940" customFormat="false" ht="12.75" hidden="false" customHeight="false" outlineLevel="0" collapsed="false">
      <c r="A940" s="325"/>
      <c r="B940" s="326"/>
      <c r="J940" s="73"/>
      <c r="K940" s="327"/>
    </row>
    <row r="941" customFormat="false" ht="12.75" hidden="false" customHeight="false" outlineLevel="0" collapsed="false">
      <c r="A941" s="325"/>
      <c r="B941" s="326"/>
      <c r="J941" s="73"/>
      <c r="K941" s="327"/>
    </row>
    <row r="942" customFormat="false" ht="12.75" hidden="false" customHeight="false" outlineLevel="0" collapsed="false">
      <c r="A942" s="325"/>
      <c r="B942" s="326"/>
      <c r="J942" s="73"/>
      <c r="K942" s="327"/>
    </row>
    <row r="943" customFormat="false" ht="12.75" hidden="false" customHeight="false" outlineLevel="0" collapsed="false">
      <c r="A943" s="325"/>
      <c r="B943" s="326"/>
      <c r="J943" s="73"/>
      <c r="K943" s="327"/>
    </row>
    <row r="944" customFormat="false" ht="12.75" hidden="false" customHeight="false" outlineLevel="0" collapsed="false">
      <c r="A944" s="325"/>
      <c r="B944" s="326"/>
      <c r="J944" s="73"/>
      <c r="K944" s="327"/>
    </row>
    <row r="945" customFormat="false" ht="12.75" hidden="false" customHeight="false" outlineLevel="0" collapsed="false">
      <c r="A945" s="325"/>
      <c r="B945" s="326"/>
      <c r="J945" s="73"/>
      <c r="K945" s="327"/>
    </row>
    <row r="946" customFormat="false" ht="12.75" hidden="false" customHeight="false" outlineLevel="0" collapsed="false">
      <c r="A946" s="325"/>
      <c r="B946" s="326"/>
      <c r="J946" s="73"/>
      <c r="K946" s="327"/>
    </row>
    <row r="947" customFormat="false" ht="12.75" hidden="false" customHeight="false" outlineLevel="0" collapsed="false">
      <c r="A947" s="325"/>
      <c r="B947" s="326"/>
      <c r="J947" s="73"/>
      <c r="K947" s="327"/>
    </row>
    <row r="948" customFormat="false" ht="12.75" hidden="false" customHeight="false" outlineLevel="0" collapsed="false">
      <c r="A948" s="325"/>
      <c r="B948" s="326"/>
      <c r="J948" s="73"/>
      <c r="K948" s="327"/>
    </row>
    <row r="949" customFormat="false" ht="12.75" hidden="false" customHeight="false" outlineLevel="0" collapsed="false">
      <c r="A949" s="325"/>
      <c r="B949" s="326"/>
      <c r="J949" s="73"/>
      <c r="K949" s="327"/>
    </row>
    <row r="950" customFormat="false" ht="12.75" hidden="false" customHeight="false" outlineLevel="0" collapsed="false">
      <c r="A950" s="325"/>
      <c r="B950" s="326"/>
      <c r="J950" s="73"/>
      <c r="K950" s="327"/>
    </row>
    <row r="951" customFormat="false" ht="12.75" hidden="false" customHeight="false" outlineLevel="0" collapsed="false">
      <c r="A951" s="325"/>
      <c r="B951" s="326"/>
      <c r="J951" s="73"/>
      <c r="K951" s="327"/>
    </row>
    <row r="952" customFormat="false" ht="12.75" hidden="false" customHeight="false" outlineLevel="0" collapsed="false">
      <c r="A952" s="325"/>
      <c r="B952" s="326"/>
      <c r="J952" s="73"/>
      <c r="K952" s="327"/>
    </row>
    <row r="953" customFormat="false" ht="12.75" hidden="false" customHeight="false" outlineLevel="0" collapsed="false">
      <c r="A953" s="325"/>
      <c r="B953" s="326"/>
      <c r="J953" s="73"/>
      <c r="K953" s="327"/>
    </row>
    <row r="954" customFormat="false" ht="12.75" hidden="false" customHeight="false" outlineLevel="0" collapsed="false">
      <c r="A954" s="325"/>
      <c r="B954" s="326"/>
      <c r="J954" s="73"/>
      <c r="K954" s="327"/>
    </row>
    <row r="955" customFormat="false" ht="12.75" hidden="false" customHeight="false" outlineLevel="0" collapsed="false">
      <c r="A955" s="325"/>
      <c r="B955" s="326"/>
      <c r="J955" s="73"/>
      <c r="K955" s="327"/>
    </row>
    <row r="956" customFormat="false" ht="12.75" hidden="false" customHeight="false" outlineLevel="0" collapsed="false">
      <c r="A956" s="325"/>
      <c r="B956" s="326"/>
      <c r="J956" s="73"/>
      <c r="K956" s="327"/>
    </row>
    <row r="957" customFormat="false" ht="12.75" hidden="false" customHeight="false" outlineLevel="0" collapsed="false">
      <c r="A957" s="325"/>
      <c r="B957" s="326"/>
      <c r="J957" s="73"/>
      <c r="K957" s="327"/>
    </row>
    <row r="958" customFormat="false" ht="12.75" hidden="false" customHeight="false" outlineLevel="0" collapsed="false">
      <c r="A958" s="325"/>
      <c r="B958" s="326"/>
      <c r="J958" s="73"/>
      <c r="K958" s="327"/>
    </row>
    <row r="959" customFormat="false" ht="12.75" hidden="false" customHeight="false" outlineLevel="0" collapsed="false">
      <c r="A959" s="325"/>
      <c r="B959" s="326"/>
      <c r="J959" s="73"/>
      <c r="K959" s="327"/>
    </row>
    <row r="960" customFormat="false" ht="12.75" hidden="false" customHeight="false" outlineLevel="0" collapsed="false">
      <c r="A960" s="325"/>
      <c r="B960" s="326"/>
      <c r="J960" s="73"/>
      <c r="K960" s="327"/>
    </row>
    <row r="961" customFormat="false" ht="12.75" hidden="false" customHeight="false" outlineLevel="0" collapsed="false">
      <c r="A961" s="325"/>
      <c r="B961" s="326"/>
      <c r="J961" s="73"/>
      <c r="K961" s="327"/>
    </row>
    <row r="962" customFormat="false" ht="12.75" hidden="false" customHeight="false" outlineLevel="0" collapsed="false">
      <c r="A962" s="325"/>
      <c r="B962" s="326"/>
      <c r="J962" s="73"/>
      <c r="K962" s="327"/>
    </row>
    <row r="963" customFormat="false" ht="12.75" hidden="false" customHeight="false" outlineLevel="0" collapsed="false">
      <c r="A963" s="325"/>
      <c r="B963" s="326"/>
      <c r="J963" s="73"/>
      <c r="K963" s="327"/>
    </row>
    <row r="964" customFormat="false" ht="12.75" hidden="false" customHeight="false" outlineLevel="0" collapsed="false">
      <c r="A964" s="325"/>
      <c r="B964" s="326"/>
      <c r="J964" s="73"/>
      <c r="K964" s="327"/>
    </row>
    <row r="965" customFormat="false" ht="12.75" hidden="false" customHeight="false" outlineLevel="0" collapsed="false">
      <c r="A965" s="325"/>
      <c r="B965" s="326"/>
      <c r="J965" s="73"/>
      <c r="K965" s="327"/>
    </row>
    <row r="966" customFormat="false" ht="12.75" hidden="false" customHeight="false" outlineLevel="0" collapsed="false">
      <c r="A966" s="325"/>
      <c r="B966" s="326"/>
      <c r="J966" s="73"/>
      <c r="K966" s="327"/>
    </row>
    <row r="967" customFormat="false" ht="12.75" hidden="false" customHeight="false" outlineLevel="0" collapsed="false">
      <c r="A967" s="325"/>
      <c r="B967" s="326"/>
      <c r="J967" s="73"/>
      <c r="K967" s="327"/>
    </row>
    <row r="968" customFormat="false" ht="12.75" hidden="false" customHeight="false" outlineLevel="0" collapsed="false">
      <c r="A968" s="325"/>
      <c r="B968" s="326"/>
      <c r="J968" s="73"/>
      <c r="K968" s="327"/>
    </row>
    <row r="969" customFormat="false" ht="12.75" hidden="false" customHeight="false" outlineLevel="0" collapsed="false">
      <c r="A969" s="325"/>
      <c r="B969" s="326"/>
      <c r="J969" s="73"/>
      <c r="K969" s="327"/>
    </row>
    <row r="970" customFormat="false" ht="12.75" hidden="false" customHeight="false" outlineLevel="0" collapsed="false">
      <c r="A970" s="325"/>
      <c r="B970" s="326"/>
      <c r="J970" s="73"/>
      <c r="K970" s="327"/>
    </row>
    <row r="971" customFormat="false" ht="12.75" hidden="false" customHeight="false" outlineLevel="0" collapsed="false">
      <c r="A971" s="325"/>
      <c r="B971" s="326"/>
      <c r="J971" s="73"/>
      <c r="K971" s="327"/>
    </row>
    <row r="972" customFormat="false" ht="12.75" hidden="false" customHeight="false" outlineLevel="0" collapsed="false">
      <c r="A972" s="325"/>
      <c r="B972" s="326"/>
      <c r="J972" s="73"/>
      <c r="K972" s="327"/>
    </row>
    <row r="973" customFormat="false" ht="12.75" hidden="false" customHeight="false" outlineLevel="0" collapsed="false">
      <c r="A973" s="325"/>
      <c r="B973" s="326"/>
      <c r="J973" s="73"/>
      <c r="K973" s="327"/>
    </row>
    <row r="974" customFormat="false" ht="12.75" hidden="false" customHeight="false" outlineLevel="0" collapsed="false">
      <c r="A974" s="325"/>
      <c r="B974" s="326"/>
      <c r="J974" s="73"/>
      <c r="K974" s="327"/>
    </row>
    <row r="975" customFormat="false" ht="12.75" hidden="false" customHeight="false" outlineLevel="0" collapsed="false">
      <c r="A975" s="325"/>
      <c r="B975" s="326"/>
      <c r="J975" s="73"/>
      <c r="K975" s="327"/>
    </row>
    <row r="976" customFormat="false" ht="12.75" hidden="false" customHeight="false" outlineLevel="0" collapsed="false">
      <c r="A976" s="325"/>
      <c r="B976" s="326"/>
      <c r="J976" s="73"/>
      <c r="K976" s="327"/>
    </row>
    <row r="977" customFormat="false" ht="12.75" hidden="false" customHeight="false" outlineLevel="0" collapsed="false">
      <c r="A977" s="325"/>
      <c r="B977" s="326"/>
      <c r="J977" s="73"/>
      <c r="K977" s="327"/>
    </row>
    <row r="978" customFormat="false" ht="12.75" hidden="false" customHeight="false" outlineLevel="0" collapsed="false">
      <c r="A978" s="325"/>
      <c r="B978" s="326"/>
      <c r="J978" s="73"/>
      <c r="K978" s="327"/>
    </row>
    <row r="979" customFormat="false" ht="12.75" hidden="false" customHeight="false" outlineLevel="0" collapsed="false">
      <c r="A979" s="325"/>
      <c r="B979" s="326"/>
      <c r="J979" s="73"/>
      <c r="K979" s="327"/>
    </row>
    <row r="980" customFormat="false" ht="12.75" hidden="false" customHeight="false" outlineLevel="0" collapsed="false">
      <c r="A980" s="325"/>
      <c r="B980" s="326"/>
      <c r="J980" s="73"/>
      <c r="K980" s="327"/>
    </row>
    <row r="981" customFormat="false" ht="12.75" hidden="false" customHeight="false" outlineLevel="0" collapsed="false">
      <c r="A981" s="325"/>
      <c r="B981" s="326"/>
      <c r="J981" s="73"/>
      <c r="K981" s="327"/>
    </row>
    <row r="982" customFormat="false" ht="12.75" hidden="false" customHeight="false" outlineLevel="0" collapsed="false">
      <c r="A982" s="325"/>
      <c r="B982" s="326"/>
      <c r="J982" s="73"/>
      <c r="K982" s="327"/>
    </row>
    <row r="983" customFormat="false" ht="12.75" hidden="false" customHeight="false" outlineLevel="0" collapsed="false">
      <c r="A983" s="325"/>
      <c r="B983" s="326"/>
      <c r="J983" s="73"/>
      <c r="K983" s="327"/>
    </row>
    <row r="984" customFormat="false" ht="12.75" hidden="false" customHeight="false" outlineLevel="0" collapsed="false">
      <c r="A984" s="325"/>
      <c r="B984" s="326"/>
      <c r="J984" s="73"/>
      <c r="K984" s="327"/>
    </row>
    <row r="985" customFormat="false" ht="12.75" hidden="false" customHeight="false" outlineLevel="0" collapsed="false">
      <c r="A985" s="325"/>
      <c r="B985" s="326"/>
      <c r="J985" s="73"/>
      <c r="K985" s="327"/>
    </row>
    <row r="986" customFormat="false" ht="12.75" hidden="false" customHeight="false" outlineLevel="0" collapsed="false">
      <c r="A986" s="325"/>
      <c r="B986" s="326"/>
      <c r="J986" s="73"/>
      <c r="K986" s="327"/>
    </row>
    <row r="987" customFormat="false" ht="12.75" hidden="false" customHeight="false" outlineLevel="0" collapsed="false">
      <c r="A987" s="325"/>
      <c r="B987" s="326"/>
      <c r="J987" s="73"/>
      <c r="K987" s="327"/>
    </row>
    <row r="988" customFormat="false" ht="12.75" hidden="false" customHeight="false" outlineLevel="0" collapsed="false">
      <c r="A988" s="325"/>
      <c r="B988" s="326"/>
      <c r="J988" s="73"/>
      <c r="K988" s="327"/>
    </row>
    <row r="989" customFormat="false" ht="12.75" hidden="false" customHeight="false" outlineLevel="0" collapsed="false">
      <c r="A989" s="325"/>
      <c r="B989" s="326"/>
      <c r="J989" s="73"/>
      <c r="K989" s="327"/>
    </row>
    <row r="990" customFormat="false" ht="12.75" hidden="false" customHeight="false" outlineLevel="0" collapsed="false">
      <c r="A990" s="325"/>
      <c r="B990" s="326"/>
      <c r="J990" s="73"/>
      <c r="K990" s="327"/>
    </row>
    <row r="991" customFormat="false" ht="12.75" hidden="false" customHeight="false" outlineLevel="0" collapsed="false">
      <c r="A991" s="325"/>
      <c r="B991" s="326"/>
      <c r="J991" s="73"/>
      <c r="K991" s="327"/>
    </row>
    <row r="992" customFormat="false" ht="12.75" hidden="false" customHeight="false" outlineLevel="0" collapsed="false">
      <c r="A992" s="325"/>
      <c r="B992" s="326"/>
      <c r="J992" s="73"/>
      <c r="K992" s="327"/>
    </row>
    <row r="993" customFormat="false" ht="12.75" hidden="false" customHeight="false" outlineLevel="0" collapsed="false">
      <c r="A993" s="325"/>
      <c r="B993" s="326"/>
      <c r="J993" s="73"/>
      <c r="K993" s="327"/>
    </row>
    <row r="994" customFormat="false" ht="12.75" hidden="false" customHeight="false" outlineLevel="0" collapsed="false">
      <c r="A994" s="325"/>
      <c r="B994" s="326"/>
      <c r="J994" s="73"/>
      <c r="K994" s="327"/>
    </row>
    <row r="995" customFormat="false" ht="12.75" hidden="false" customHeight="false" outlineLevel="0" collapsed="false">
      <c r="A995" s="325"/>
      <c r="B995" s="326"/>
      <c r="J995" s="73"/>
      <c r="K995" s="327"/>
    </row>
    <row r="996" customFormat="false" ht="12.75" hidden="false" customHeight="false" outlineLevel="0" collapsed="false">
      <c r="A996" s="325"/>
      <c r="B996" s="326"/>
      <c r="J996" s="73"/>
      <c r="K996" s="327"/>
    </row>
    <row r="997" customFormat="false" ht="12.75" hidden="false" customHeight="false" outlineLevel="0" collapsed="false">
      <c r="A997" s="325"/>
      <c r="B997" s="326"/>
      <c r="J997" s="73"/>
      <c r="K997" s="327"/>
    </row>
    <row r="998" customFormat="false" ht="12.75" hidden="false" customHeight="false" outlineLevel="0" collapsed="false">
      <c r="A998" s="325"/>
      <c r="B998" s="326"/>
      <c r="J998" s="73"/>
      <c r="K998" s="327"/>
    </row>
    <row r="999" customFormat="false" ht="12.75" hidden="false" customHeight="false" outlineLevel="0" collapsed="false">
      <c r="A999" s="325"/>
      <c r="B999" s="326"/>
      <c r="J999" s="73"/>
      <c r="K999" s="327"/>
    </row>
    <row r="1000" customFormat="false" ht="12.75" hidden="false" customHeight="false" outlineLevel="0" collapsed="false">
      <c r="A1000" s="325"/>
      <c r="B1000" s="326"/>
      <c r="J1000" s="73"/>
      <c r="K1000" s="327"/>
    </row>
    <row r="1001" customFormat="false" ht="12.75" hidden="false" customHeight="false" outlineLevel="0" collapsed="false">
      <c r="A1001" s="325"/>
      <c r="B1001" s="326"/>
      <c r="J1001" s="73"/>
      <c r="K1001" s="327"/>
    </row>
    <row r="1002" customFormat="false" ht="12.75" hidden="false" customHeight="false" outlineLevel="0" collapsed="false">
      <c r="A1002" s="325"/>
      <c r="B1002" s="326"/>
      <c r="J1002" s="73"/>
      <c r="K1002" s="327"/>
    </row>
    <row r="1003" customFormat="false" ht="12.75" hidden="false" customHeight="false" outlineLevel="0" collapsed="false">
      <c r="A1003" s="325"/>
      <c r="B1003" s="326"/>
      <c r="J1003" s="73"/>
      <c r="K1003" s="327"/>
    </row>
    <row r="1004" customFormat="false" ht="12.75" hidden="false" customHeight="false" outlineLevel="0" collapsed="false">
      <c r="A1004" s="325"/>
      <c r="B1004" s="326"/>
      <c r="J1004" s="73"/>
      <c r="K1004" s="327"/>
    </row>
    <row r="1005" customFormat="false" ht="12.75" hidden="false" customHeight="false" outlineLevel="0" collapsed="false">
      <c r="A1005" s="325"/>
      <c r="B1005" s="326"/>
      <c r="J1005" s="73"/>
      <c r="K1005" s="327"/>
    </row>
    <row r="1006" customFormat="false" ht="12.75" hidden="false" customHeight="false" outlineLevel="0" collapsed="false">
      <c r="A1006" s="325"/>
      <c r="B1006" s="326"/>
      <c r="J1006" s="73"/>
      <c r="K1006" s="327"/>
    </row>
    <row r="1007" customFormat="false" ht="12.75" hidden="false" customHeight="false" outlineLevel="0" collapsed="false">
      <c r="A1007" s="325"/>
      <c r="B1007" s="326"/>
      <c r="J1007" s="73"/>
      <c r="K1007" s="327"/>
    </row>
    <row r="1008" customFormat="false" ht="12.75" hidden="false" customHeight="false" outlineLevel="0" collapsed="false">
      <c r="A1008" s="325"/>
      <c r="B1008" s="326"/>
      <c r="J1008" s="73"/>
      <c r="K1008" s="327"/>
    </row>
    <row r="1009" customFormat="false" ht="12.75" hidden="false" customHeight="false" outlineLevel="0" collapsed="false">
      <c r="A1009" s="325"/>
      <c r="B1009" s="326"/>
      <c r="J1009" s="73"/>
      <c r="K1009" s="327"/>
    </row>
    <row r="1010" customFormat="false" ht="12.75" hidden="false" customHeight="false" outlineLevel="0" collapsed="false">
      <c r="A1010" s="325"/>
      <c r="B1010" s="326"/>
      <c r="J1010" s="73"/>
      <c r="K1010" s="327"/>
    </row>
    <row r="1011" customFormat="false" ht="12.75" hidden="false" customHeight="false" outlineLevel="0" collapsed="false">
      <c r="A1011" s="325"/>
      <c r="B1011" s="326"/>
      <c r="J1011" s="73"/>
      <c r="K1011" s="327"/>
    </row>
    <row r="1012" customFormat="false" ht="12.75" hidden="false" customHeight="false" outlineLevel="0" collapsed="false">
      <c r="A1012" s="325"/>
      <c r="B1012" s="326"/>
      <c r="J1012" s="73"/>
      <c r="K1012" s="327"/>
    </row>
    <row r="1013" customFormat="false" ht="12.75" hidden="false" customHeight="false" outlineLevel="0" collapsed="false">
      <c r="A1013" s="325"/>
      <c r="B1013" s="326"/>
      <c r="J1013" s="73"/>
      <c r="K1013" s="327"/>
    </row>
    <row r="1014" customFormat="false" ht="12.75" hidden="false" customHeight="false" outlineLevel="0" collapsed="false">
      <c r="A1014" s="325"/>
      <c r="B1014" s="326"/>
      <c r="J1014" s="73"/>
      <c r="K1014" s="327"/>
    </row>
    <row r="1015" customFormat="false" ht="12.75" hidden="false" customHeight="false" outlineLevel="0" collapsed="false">
      <c r="A1015" s="325"/>
      <c r="B1015" s="326"/>
      <c r="J1015" s="73"/>
      <c r="K1015" s="327"/>
    </row>
    <row r="1016" customFormat="false" ht="12.75" hidden="false" customHeight="false" outlineLevel="0" collapsed="false">
      <c r="A1016" s="325"/>
      <c r="B1016" s="326"/>
      <c r="J1016" s="73"/>
      <c r="K1016" s="327"/>
    </row>
    <row r="1017" customFormat="false" ht="12.75" hidden="false" customHeight="false" outlineLevel="0" collapsed="false">
      <c r="A1017" s="325"/>
      <c r="B1017" s="326"/>
      <c r="J1017" s="73"/>
      <c r="K1017" s="327"/>
    </row>
    <row r="1018" customFormat="false" ht="12.75" hidden="false" customHeight="false" outlineLevel="0" collapsed="false">
      <c r="A1018" s="325"/>
      <c r="B1018" s="326"/>
      <c r="J1018" s="73"/>
      <c r="K1018" s="327"/>
    </row>
    <row r="1019" customFormat="false" ht="12.75" hidden="false" customHeight="false" outlineLevel="0" collapsed="false">
      <c r="A1019" s="325"/>
      <c r="B1019" s="326"/>
      <c r="J1019" s="73"/>
      <c r="K1019" s="327"/>
    </row>
    <row r="1020" customFormat="false" ht="12.75" hidden="false" customHeight="false" outlineLevel="0" collapsed="false">
      <c r="A1020" s="325"/>
      <c r="B1020" s="326"/>
      <c r="J1020" s="73"/>
      <c r="K1020" s="327"/>
    </row>
    <row r="1021" customFormat="false" ht="12.75" hidden="false" customHeight="false" outlineLevel="0" collapsed="false">
      <c r="A1021" s="325"/>
      <c r="B1021" s="326"/>
      <c r="J1021" s="73"/>
      <c r="K1021" s="327"/>
    </row>
    <row r="1022" customFormat="false" ht="12.75" hidden="false" customHeight="false" outlineLevel="0" collapsed="false">
      <c r="A1022" s="325"/>
      <c r="B1022" s="326"/>
      <c r="J1022" s="73"/>
      <c r="K1022" s="327"/>
    </row>
    <row r="1023" customFormat="false" ht="12.75" hidden="false" customHeight="false" outlineLevel="0" collapsed="false">
      <c r="A1023" s="325"/>
      <c r="B1023" s="326"/>
      <c r="J1023" s="73"/>
      <c r="K1023" s="327"/>
    </row>
    <row r="1024" customFormat="false" ht="12.75" hidden="false" customHeight="false" outlineLevel="0" collapsed="false">
      <c r="A1024" s="325"/>
      <c r="B1024" s="326"/>
      <c r="J1024" s="73"/>
      <c r="K1024" s="327"/>
    </row>
    <row r="1025" customFormat="false" ht="12.75" hidden="false" customHeight="false" outlineLevel="0" collapsed="false">
      <c r="A1025" s="325"/>
      <c r="B1025" s="326"/>
      <c r="J1025" s="73"/>
      <c r="K1025" s="327"/>
    </row>
    <row r="1026" customFormat="false" ht="12.75" hidden="false" customHeight="false" outlineLevel="0" collapsed="false">
      <c r="A1026" s="325"/>
      <c r="B1026" s="326"/>
      <c r="J1026" s="73"/>
      <c r="K1026" s="327"/>
    </row>
    <row r="1027" customFormat="false" ht="12.75" hidden="false" customHeight="false" outlineLevel="0" collapsed="false">
      <c r="A1027" s="325"/>
      <c r="B1027" s="326"/>
      <c r="J1027" s="73"/>
      <c r="K1027" s="327"/>
    </row>
    <row r="1028" customFormat="false" ht="12.75" hidden="false" customHeight="false" outlineLevel="0" collapsed="false">
      <c r="A1028" s="325"/>
      <c r="B1028" s="326"/>
      <c r="J1028" s="73"/>
      <c r="K1028" s="327"/>
    </row>
    <row r="1029" customFormat="false" ht="12.75" hidden="false" customHeight="false" outlineLevel="0" collapsed="false">
      <c r="A1029" s="325"/>
      <c r="B1029" s="326"/>
      <c r="J1029" s="73"/>
      <c r="K1029" s="327"/>
    </row>
    <row r="1030" customFormat="false" ht="12.75" hidden="false" customHeight="false" outlineLevel="0" collapsed="false">
      <c r="A1030" s="325"/>
      <c r="B1030" s="326"/>
      <c r="J1030" s="73"/>
      <c r="K1030" s="327"/>
    </row>
    <row r="1031" customFormat="false" ht="12.75" hidden="false" customHeight="false" outlineLevel="0" collapsed="false">
      <c r="A1031" s="325"/>
      <c r="B1031" s="326"/>
      <c r="J1031" s="73"/>
      <c r="K1031" s="327"/>
    </row>
    <row r="1032" customFormat="false" ht="12.75" hidden="false" customHeight="false" outlineLevel="0" collapsed="false">
      <c r="A1032" s="325"/>
      <c r="B1032" s="326"/>
      <c r="J1032" s="73"/>
      <c r="K1032" s="327"/>
    </row>
    <row r="1033" customFormat="false" ht="12.75" hidden="false" customHeight="false" outlineLevel="0" collapsed="false">
      <c r="A1033" s="325"/>
      <c r="B1033" s="326"/>
      <c r="J1033" s="73"/>
      <c r="K1033" s="327"/>
    </row>
    <row r="1034" customFormat="false" ht="12.75" hidden="false" customHeight="false" outlineLevel="0" collapsed="false">
      <c r="A1034" s="325"/>
      <c r="B1034" s="326"/>
      <c r="J1034" s="73"/>
      <c r="K1034" s="327"/>
    </row>
    <row r="1035" customFormat="false" ht="12.75" hidden="false" customHeight="false" outlineLevel="0" collapsed="false">
      <c r="A1035" s="325"/>
      <c r="B1035" s="326"/>
      <c r="J1035" s="73"/>
      <c r="K1035" s="327"/>
    </row>
    <row r="1036" customFormat="false" ht="12.75" hidden="false" customHeight="false" outlineLevel="0" collapsed="false">
      <c r="A1036" s="325"/>
      <c r="B1036" s="326"/>
      <c r="J1036" s="73"/>
      <c r="K1036" s="327"/>
    </row>
    <row r="1037" customFormat="false" ht="12.75" hidden="false" customHeight="false" outlineLevel="0" collapsed="false">
      <c r="A1037" s="325"/>
      <c r="B1037" s="326"/>
      <c r="J1037" s="73"/>
      <c r="K1037" s="327"/>
    </row>
    <row r="1038" customFormat="false" ht="12.75" hidden="false" customHeight="false" outlineLevel="0" collapsed="false">
      <c r="A1038" s="325"/>
      <c r="B1038" s="326"/>
      <c r="J1038" s="73"/>
      <c r="K1038" s="327"/>
    </row>
    <row r="1039" customFormat="false" ht="12.75" hidden="false" customHeight="false" outlineLevel="0" collapsed="false">
      <c r="A1039" s="325"/>
      <c r="B1039" s="326"/>
      <c r="J1039" s="73"/>
      <c r="K1039" s="327"/>
    </row>
    <row r="1040" customFormat="false" ht="12.75" hidden="false" customHeight="false" outlineLevel="0" collapsed="false">
      <c r="A1040" s="325"/>
      <c r="B1040" s="326"/>
      <c r="J1040" s="73"/>
      <c r="K1040" s="327"/>
    </row>
    <row r="1041" customFormat="false" ht="12.75" hidden="false" customHeight="false" outlineLevel="0" collapsed="false">
      <c r="A1041" s="325"/>
      <c r="B1041" s="326"/>
      <c r="J1041" s="73"/>
      <c r="K1041" s="327"/>
    </row>
    <row r="1042" customFormat="false" ht="12.75" hidden="false" customHeight="false" outlineLevel="0" collapsed="false">
      <c r="A1042" s="325"/>
      <c r="B1042" s="326"/>
      <c r="J1042" s="73"/>
      <c r="K1042" s="327"/>
    </row>
    <row r="1043" customFormat="false" ht="12.75" hidden="false" customHeight="false" outlineLevel="0" collapsed="false">
      <c r="A1043" s="325"/>
      <c r="B1043" s="326"/>
      <c r="J1043" s="73"/>
      <c r="K1043" s="327"/>
    </row>
    <row r="1044" customFormat="false" ht="12.75" hidden="false" customHeight="false" outlineLevel="0" collapsed="false">
      <c r="A1044" s="325"/>
      <c r="B1044" s="326"/>
      <c r="J1044" s="73"/>
      <c r="K1044" s="327"/>
    </row>
    <row r="1045" customFormat="false" ht="12.75" hidden="false" customHeight="false" outlineLevel="0" collapsed="false">
      <c r="A1045" s="325"/>
      <c r="B1045" s="326"/>
      <c r="J1045" s="73"/>
      <c r="K1045" s="327"/>
    </row>
    <row r="1046" customFormat="false" ht="12.75" hidden="false" customHeight="false" outlineLevel="0" collapsed="false">
      <c r="A1046" s="325"/>
      <c r="B1046" s="326"/>
      <c r="J1046" s="73"/>
      <c r="K1046" s="327"/>
    </row>
    <row r="1047" customFormat="false" ht="12.75" hidden="false" customHeight="false" outlineLevel="0" collapsed="false">
      <c r="A1047" s="325"/>
      <c r="B1047" s="326"/>
      <c r="J1047" s="73"/>
      <c r="K1047" s="327"/>
    </row>
    <row r="1048" customFormat="false" ht="12.75" hidden="false" customHeight="false" outlineLevel="0" collapsed="false">
      <c r="A1048" s="325"/>
      <c r="B1048" s="326"/>
      <c r="J1048" s="73"/>
      <c r="K1048" s="327"/>
    </row>
    <row r="1049" customFormat="false" ht="12.75" hidden="false" customHeight="false" outlineLevel="0" collapsed="false">
      <c r="A1049" s="325"/>
      <c r="B1049" s="326"/>
      <c r="J1049" s="73"/>
      <c r="K1049" s="327"/>
    </row>
    <row r="1050" customFormat="false" ht="12.75" hidden="false" customHeight="false" outlineLevel="0" collapsed="false">
      <c r="A1050" s="325"/>
      <c r="B1050" s="326"/>
      <c r="J1050" s="73"/>
      <c r="K1050" s="327"/>
    </row>
    <row r="1051" customFormat="false" ht="12.75" hidden="false" customHeight="false" outlineLevel="0" collapsed="false">
      <c r="A1051" s="325"/>
      <c r="B1051" s="326"/>
      <c r="J1051" s="73"/>
      <c r="K1051" s="327"/>
    </row>
    <row r="1052" customFormat="false" ht="12.75" hidden="false" customHeight="false" outlineLevel="0" collapsed="false">
      <c r="A1052" s="325"/>
      <c r="B1052" s="326"/>
      <c r="J1052" s="73"/>
      <c r="K1052" s="327"/>
    </row>
    <row r="1053" customFormat="false" ht="12.75" hidden="false" customHeight="false" outlineLevel="0" collapsed="false">
      <c r="A1053" s="325"/>
      <c r="B1053" s="326"/>
      <c r="J1053" s="73"/>
      <c r="K1053" s="327"/>
    </row>
    <row r="1054" customFormat="false" ht="12.75" hidden="false" customHeight="false" outlineLevel="0" collapsed="false">
      <c r="A1054" s="325"/>
      <c r="B1054" s="326"/>
      <c r="J1054" s="73"/>
      <c r="K1054" s="327"/>
    </row>
    <row r="1055" customFormat="false" ht="12.75" hidden="false" customHeight="false" outlineLevel="0" collapsed="false">
      <c r="A1055" s="325"/>
      <c r="B1055" s="326"/>
      <c r="J1055" s="73"/>
      <c r="K1055" s="327"/>
    </row>
    <row r="1056" customFormat="false" ht="12.75" hidden="false" customHeight="false" outlineLevel="0" collapsed="false">
      <c r="A1056" s="325"/>
      <c r="B1056" s="326"/>
      <c r="J1056" s="73"/>
      <c r="K1056" s="327"/>
    </row>
    <row r="1057" customFormat="false" ht="12.75" hidden="false" customHeight="false" outlineLevel="0" collapsed="false">
      <c r="A1057" s="325"/>
      <c r="B1057" s="326"/>
      <c r="J1057" s="73"/>
      <c r="K1057" s="327"/>
    </row>
    <row r="1058" customFormat="false" ht="12.75" hidden="false" customHeight="false" outlineLevel="0" collapsed="false">
      <c r="A1058" s="325"/>
      <c r="B1058" s="326"/>
      <c r="J1058" s="73"/>
      <c r="K1058" s="327"/>
    </row>
    <row r="1059" customFormat="false" ht="12.75" hidden="false" customHeight="false" outlineLevel="0" collapsed="false">
      <c r="A1059" s="325"/>
      <c r="B1059" s="326"/>
      <c r="J1059" s="73"/>
      <c r="K1059" s="327"/>
    </row>
    <row r="1060" customFormat="false" ht="12.75" hidden="false" customHeight="false" outlineLevel="0" collapsed="false">
      <c r="A1060" s="325"/>
      <c r="B1060" s="326"/>
      <c r="J1060" s="73"/>
      <c r="K1060" s="327"/>
    </row>
    <row r="1061" customFormat="false" ht="12.75" hidden="false" customHeight="false" outlineLevel="0" collapsed="false">
      <c r="A1061" s="325"/>
      <c r="B1061" s="326"/>
      <c r="J1061" s="73"/>
      <c r="K1061" s="327"/>
    </row>
    <row r="1062" customFormat="false" ht="12.75" hidden="false" customHeight="false" outlineLevel="0" collapsed="false">
      <c r="A1062" s="325"/>
      <c r="B1062" s="326"/>
      <c r="J1062" s="73"/>
      <c r="K1062" s="327"/>
    </row>
    <row r="1063" customFormat="false" ht="12.75" hidden="false" customHeight="false" outlineLevel="0" collapsed="false">
      <c r="A1063" s="325"/>
      <c r="B1063" s="326"/>
      <c r="J1063" s="73"/>
      <c r="K1063" s="327"/>
    </row>
    <row r="1064" customFormat="false" ht="12.75" hidden="false" customHeight="false" outlineLevel="0" collapsed="false">
      <c r="A1064" s="325"/>
      <c r="B1064" s="326"/>
      <c r="J1064" s="73"/>
      <c r="K1064" s="327"/>
    </row>
    <row r="1065" customFormat="false" ht="12.75" hidden="false" customHeight="false" outlineLevel="0" collapsed="false">
      <c r="A1065" s="325"/>
      <c r="B1065" s="326"/>
      <c r="J1065" s="73"/>
      <c r="K1065" s="327"/>
    </row>
    <row r="1066" customFormat="false" ht="12.75" hidden="false" customHeight="false" outlineLevel="0" collapsed="false">
      <c r="A1066" s="325"/>
      <c r="B1066" s="326"/>
      <c r="J1066" s="73"/>
      <c r="K1066" s="327"/>
    </row>
    <row r="1067" customFormat="false" ht="12.75" hidden="false" customHeight="false" outlineLevel="0" collapsed="false">
      <c r="A1067" s="325"/>
      <c r="B1067" s="326"/>
      <c r="J1067" s="73"/>
      <c r="K1067" s="327"/>
    </row>
    <row r="1068" customFormat="false" ht="12.75" hidden="false" customHeight="false" outlineLevel="0" collapsed="false">
      <c r="A1068" s="325"/>
      <c r="B1068" s="326"/>
      <c r="J1068" s="73"/>
      <c r="K1068" s="327"/>
    </row>
    <row r="1069" customFormat="false" ht="12.75" hidden="false" customHeight="false" outlineLevel="0" collapsed="false">
      <c r="A1069" s="325"/>
      <c r="B1069" s="326"/>
      <c r="J1069" s="73"/>
      <c r="K1069" s="327"/>
    </row>
    <row r="1070" customFormat="false" ht="12.75" hidden="false" customHeight="false" outlineLevel="0" collapsed="false">
      <c r="A1070" s="325"/>
      <c r="B1070" s="326"/>
      <c r="J1070" s="73"/>
      <c r="K1070" s="327"/>
    </row>
    <row r="1071" customFormat="false" ht="12.75" hidden="false" customHeight="false" outlineLevel="0" collapsed="false">
      <c r="A1071" s="325"/>
      <c r="B1071" s="326"/>
      <c r="J1071" s="73"/>
      <c r="K1071" s="327"/>
    </row>
    <row r="1072" customFormat="false" ht="12.75" hidden="false" customHeight="false" outlineLevel="0" collapsed="false">
      <c r="A1072" s="325"/>
      <c r="B1072" s="326"/>
      <c r="J1072" s="73"/>
      <c r="K1072" s="327"/>
    </row>
    <row r="1073" customFormat="false" ht="12.75" hidden="false" customHeight="false" outlineLevel="0" collapsed="false">
      <c r="A1073" s="325"/>
      <c r="B1073" s="326"/>
      <c r="J1073" s="73"/>
      <c r="K1073" s="327"/>
    </row>
    <row r="1074" customFormat="false" ht="12.75" hidden="false" customHeight="false" outlineLevel="0" collapsed="false">
      <c r="A1074" s="325"/>
      <c r="B1074" s="326"/>
      <c r="J1074" s="73"/>
      <c r="K1074" s="327"/>
    </row>
    <row r="1075" customFormat="false" ht="12.75" hidden="false" customHeight="false" outlineLevel="0" collapsed="false">
      <c r="A1075" s="325"/>
      <c r="B1075" s="326"/>
      <c r="J1075" s="73"/>
      <c r="K1075" s="327"/>
    </row>
    <row r="1076" customFormat="false" ht="12.75" hidden="false" customHeight="false" outlineLevel="0" collapsed="false">
      <c r="A1076" s="325"/>
      <c r="B1076" s="326"/>
      <c r="J1076" s="73"/>
      <c r="K1076" s="327"/>
    </row>
    <row r="1077" customFormat="false" ht="12.75" hidden="false" customHeight="false" outlineLevel="0" collapsed="false">
      <c r="A1077" s="325"/>
      <c r="B1077" s="326"/>
      <c r="J1077" s="73"/>
      <c r="K1077" s="327"/>
    </row>
    <row r="1078" customFormat="false" ht="12.75" hidden="false" customHeight="false" outlineLevel="0" collapsed="false">
      <c r="A1078" s="325"/>
      <c r="B1078" s="326"/>
      <c r="J1078" s="73"/>
      <c r="K1078" s="327"/>
    </row>
    <row r="1079" customFormat="false" ht="12.75" hidden="false" customHeight="false" outlineLevel="0" collapsed="false">
      <c r="A1079" s="325"/>
      <c r="B1079" s="326"/>
      <c r="J1079" s="73"/>
      <c r="K1079" s="327"/>
    </row>
    <row r="1080" customFormat="false" ht="12.75" hidden="false" customHeight="false" outlineLevel="0" collapsed="false">
      <c r="A1080" s="325"/>
      <c r="B1080" s="326"/>
      <c r="J1080" s="73"/>
      <c r="K1080" s="327"/>
    </row>
    <row r="1081" customFormat="false" ht="12.75" hidden="false" customHeight="false" outlineLevel="0" collapsed="false">
      <c r="A1081" s="325"/>
      <c r="B1081" s="326"/>
      <c r="J1081" s="73"/>
      <c r="K1081" s="327"/>
    </row>
    <row r="1082" customFormat="false" ht="12.75" hidden="false" customHeight="false" outlineLevel="0" collapsed="false">
      <c r="A1082" s="325"/>
      <c r="B1082" s="326"/>
      <c r="J1082" s="73"/>
      <c r="K1082" s="327"/>
    </row>
    <row r="1083" customFormat="false" ht="12.75" hidden="false" customHeight="false" outlineLevel="0" collapsed="false">
      <c r="A1083" s="325"/>
      <c r="B1083" s="326"/>
      <c r="J1083" s="73"/>
      <c r="K1083" s="327"/>
    </row>
    <row r="1084" customFormat="false" ht="12.75" hidden="false" customHeight="false" outlineLevel="0" collapsed="false">
      <c r="A1084" s="325"/>
      <c r="B1084" s="326"/>
      <c r="J1084" s="73"/>
      <c r="K1084" s="327"/>
    </row>
    <row r="1085" customFormat="false" ht="12.75" hidden="false" customHeight="false" outlineLevel="0" collapsed="false">
      <c r="A1085" s="325"/>
      <c r="B1085" s="326"/>
      <c r="J1085" s="73"/>
      <c r="K1085" s="327"/>
    </row>
    <row r="1086" customFormat="false" ht="12.75" hidden="false" customHeight="false" outlineLevel="0" collapsed="false">
      <c r="A1086" s="325"/>
      <c r="B1086" s="326"/>
      <c r="J1086" s="73"/>
      <c r="K1086" s="327"/>
    </row>
    <row r="1087" customFormat="false" ht="12.75" hidden="false" customHeight="false" outlineLevel="0" collapsed="false">
      <c r="A1087" s="325"/>
      <c r="B1087" s="326"/>
      <c r="J1087" s="73"/>
      <c r="K1087" s="327"/>
    </row>
    <row r="1088" customFormat="false" ht="12.75" hidden="false" customHeight="false" outlineLevel="0" collapsed="false">
      <c r="A1088" s="325"/>
      <c r="B1088" s="326"/>
      <c r="J1088" s="73"/>
      <c r="K1088" s="327"/>
    </row>
    <row r="1089" customFormat="false" ht="12.75" hidden="false" customHeight="false" outlineLevel="0" collapsed="false">
      <c r="A1089" s="325"/>
      <c r="B1089" s="326"/>
      <c r="J1089" s="73"/>
      <c r="K1089" s="327"/>
    </row>
    <row r="1090" customFormat="false" ht="12.75" hidden="false" customHeight="false" outlineLevel="0" collapsed="false">
      <c r="A1090" s="325"/>
      <c r="B1090" s="326"/>
      <c r="J1090" s="73"/>
      <c r="K1090" s="327"/>
    </row>
    <row r="1091" customFormat="false" ht="12.75" hidden="false" customHeight="false" outlineLevel="0" collapsed="false">
      <c r="A1091" s="325"/>
      <c r="B1091" s="326"/>
      <c r="J1091" s="73"/>
      <c r="K1091" s="327"/>
    </row>
    <row r="1092" customFormat="false" ht="12.75" hidden="false" customHeight="false" outlineLevel="0" collapsed="false">
      <c r="A1092" s="325"/>
      <c r="B1092" s="326"/>
      <c r="J1092" s="73"/>
      <c r="K1092" s="327"/>
    </row>
    <row r="1093" customFormat="false" ht="12.75" hidden="false" customHeight="false" outlineLevel="0" collapsed="false">
      <c r="A1093" s="325"/>
      <c r="B1093" s="326"/>
      <c r="J1093" s="73"/>
      <c r="K1093" s="327"/>
    </row>
    <row r="1094" customFormat="false" ht="12.75" hidden="false" customHeight="false" outlineLevel="0" collapsed="false">
      <c r="A1094" s="325"/>
      <c r="B1094" s="326"/>
      <c r="J1094" s="73"/>
      <c r="K1094" s="327"/>
    </row>
    <row r="1095" customFormat="false" ht="12.75" hidden="false" customHeight="false" outlineLevel="0" collapsed="false">
      <c r="A1095" s="325"/>
      <c r="B1095" s="326"/>
      <c r="J1095" s="73"/>
      <c r="K1095" s="327"/>
    </row>
    <row r="1096" customFormat="false" ht="12.75" hidden="false" customHeight="false" outlineLevel="0" collapsed="false">
      <c r="A1096" s="325"/>
      <c r="B1096" s="326"/>
      <c r="J1096" s="73"/>
      <c r="K1096" s="327"/>
    </row>
    <row r="1097" customFormat="false" ht="12.75" hidden="false" customHeight="false" outlineLevel="0" collapsed="false">
      <c r="A1097" s="325"/>
      <c r="B1097" s="326"/>
      <c r="J1097" s="73"/>
      <c r="K1097" s="327"/>
    </row>
    <row r="1098" customFormat="false" ht="12.75" hidden="false" customHeight="false" outlineLevel="0" collapsed="false">
      <c r="A1098" s="325"/>
      <c r="B1098" s="326"/>
      <c r="J1098" s="73"/>
      <c r="K1098" s="327"/>
    </row>
    <row r="1099" customFormat="false" ht="12.75" hidden="false" customHeight="false" outlineLevel="0" collapsed="false">
      <c r="A1099" s="325"/>
      <c r="B1099" s="326"/>
      <c r="J1099" s="73"/>
      <c r="K1099" s="327"/>
    </row>
    <row r="1100" customFormat="false" ht="12.75" hidden="false" customHeight="false" outlineLevel="0" collapsed="false">
      <c r="A1100" s="325"/>
      <c r="B1100" s="326"/>
      <c r="J1100" s="73"/>
      <c r="K1100" s="327"/>
    </row>
    <row r="1101" customFormat="false" ht="12.75" hidden="false" customHeight="false" outlineLevel="0" collapsed="false">
      <c r="A1101" s="325"/>
      <c r="B1101" s="326"/>
      <c r="J1101" s="73"/>
      <c r="K1101" s="327"/>
    </row>
    <row r="1102" customFormat="false" ht="12.75" hidden="false" customHeight="false" outlineLevel="0" collapsed="false">
      <c r="A1102" s="325"/>
      <c r="B1102" s="326"/>
      <c r="J1102" s="73"/>
      <c r="K1102" s="327"/>
    </row>
    <row r="1103" customFormat="false" ht="12.75" hidden="false" customHeight="false" outlineLevel="0" collapsed="false">
      <c r="A1103" s="325"/>
      <c r="B1103" s="326"/>
      <c r="J1103" s="73"/>
      <c r="K1103" s="327"/>
    </row>
    <row r="1104" customFormat="false" ht="12.75" hidden="false" customHeight="false" outlineLevel="0" collapsed="false">
      <c r="A1104" s="325"/>
      <c r="B1104" s="326"/>
      <c r="J1104" s="73"/>
      <c r="K1104" s="327"/>
    </row>
    <row r="1105" customFormat="false" ht="12.75" hidden="false" customHeight="false" outlineLevel="0" collapsed="false">
      <c r="A1105" s="325"/>
      <c r="B1105" s="326"/>
      <c r="J1105" s="73"/>
      <c r="K1105" s="327"/>
    </row>
    <row r="1106" customFormat="false" ht="12.75" hidden="false" customHeight="false" outlineLevel="0" collapsed="false">
      <c r="A1106" s="325"/>
      <c r="B1106" s="326"/>
      <c r="J1106" s="73"/>
      <c r="K1106" s="327"/>
    </row>
    <row r="1107" customFormat="false" ht="12.75" hidden="false" customHeight="false" outlineLevel="0" collapsed="false">
      <c r="A1107" s="325"/>
      <c r="B1107" s="326"/>
      <c r="J1107" s="73"/>
      <c r="K1107" s="327"/>
    </row>
    <row r="1108" customFormat="false" ht="12.75" hidden="false" customHeight="false" outlineLevel="0" collapsed="false">
      <c r="A1108" s="325"/>
      <c r="B1108" s="326"/>
      <c r="J1108" s="73"/>
      <c r="K1108" s="327"/>
    </row>
    <row r="1109" customFormat="false" ht="12.75" hidden="false" customHeight="false" outlineLevel="0" collapsed="false">
      <c r="A1109" s="325"/>
      <c r="B1109" s="326"/>
      <c r="J1109" s="73"/>
      <c r="K1109" s="327"/>
    </row>
    <row r="1110" customFormat="false" ht="12.75" hidden="false" customHeight="false" outlineLevel="0" collapsed="false">
      <c r="A1110" s="325"/>
      <c r="B1110" s="326"/>
      <c r="J1110" s="73"/>
      <c r="K1110" s="327"/>
    </row>
    <row r="1111" customFormat="false" ht="12.75" hidden="false" customHeight="false" outlineLevel="0" collapsed="false">
      <c r="A1111" s="325"/>
      <c r="B1111" s="326"/>
      <c r="J1111" s="73"/>
      <c r="K1111" s="327"/>
    </row>
    <row r="1112" customFormat="false" ht="12.75" hidden="false" customHeight="false" outlineLevel="0" collapsed="false">
      <c r="A1112" s="325"/>
      <c r="B1112" s="326"/>
      <c r="J1112" s="73"/>
      <c r="K1112" s="327"/>
    </row>
    <row r="1113" customFormat="false" ht="12.75" hidden="false" customHeight="false" outlineLevel="0" collapsed="false">
      <c r="A1113" s="325"/>
      <c r="B1113" s="326"/>
      <c r="J1113" s="73"/>
      <c r="K1113" s="327"/>
    </row>
    <row r="1114" customFormat="false" ht="12.75" hidden="false" customHeight="false" outlineLevel="0" collapsed="false">
      <c r="A1114" s="325"/>
      <c r="B1114" s="326"/>
      <c r="J1114" s="73"/>
      <c r="K1114" s="327"/>
    </row>
    <row r="1115" customFormat="false" ht="12.75" hidden="false" customHeight="false" outlineLevel="0" collapsed="false">
      <c r="A1115" s="325"/>
      <c r="B1115" s="326"/>
      <c r="J1115" s="73"/>
      <c r="K1115" s="327"/>
    </row>
    <row r="1116" customFormat="false" ht="12.75" hidden="false" customHeight="false" outlineLevel="0" collapsed="false">
      <c r="A1116" s="325"/>
      <c r="B1116" s="326"/>
      <c r="J1116" s="73"/>
      <c r="K1116" s="327"/>
    </row>
    <row r="1117" customFormat="false" ht="12.75" hidden="false" customHeight="false" outlineLevel="0" collapsed="false">
      <c r="A1117" s="325"/>
      <c r="B1117" s="326"/>
      <c r="J1117" s="73"/>
      <c r="K1117" s="327"/>
    </row>
    <row r="1118" customFormat="false" ht="12.75" hidden="false" customHeight="false" outlineLevel="0" collapsed="false">
      <c r="A1118" s="325"/>
      <c r="B1118" s="326"/>
      <c r="J1118" s="73"/>
      <c r="K1118" s="327"/>
    </row>
    <row r="1119" customFormat="false" ht="12.75" hidden="false" customHeight="false" outlineLevel="0" collapsed="false">
      <c r="A1119" s="325"/>
      <c r="B1119" s="326"/>
      <c r="J1119" s="73"/>
      <c r="K1119" s="327"/>
    </row>
    <row r="1120" customFormat="false" ht="12.75" hidden="false" customHeight="false" outlineLevel="0" collapsed="false">
      <c r="A1120" s="325"/>
      <c r="B1120" s="326"/>
      <c r="J1120" s="73"/>
      <c r="K1120" s="327"/>
    </row>
    <row r="1121" customFormat="false" ht="12.75" hidden="false" customHeight="false" outlineLevel="0" collapsed="false">
      <c r="A1121" s="325"/>
      <c r="B1121" s="326"/>
      <c r="J1121" s="73"/>
      <c r="K1121" s="327"/>
    </row>
    <row r="1122" customFormat="false" ht="12.75" hidden="false" customHeight="false" outlineLevel="0" collapsed="false">
      <c r="A1122" s="325"/>
      <c r="B1122" s="326"/>
      <c r="J1122" s="73"/>
      <c r="K1122" s="327"/>
    </row>
    <row r="1123" customFormat="false" ht="12.75" hidden="false" customHeight="false" outlineLevel="0" collapsed="false">
      <c r="A1123" s="325"/>
      <c r="B1123" s="326"/>
      <c r="J1123" s="73"/>
      <c r="K1123" s="327"/>
    </row>
    <row r="1124" customFormat="false" ht="12.75" hidden="false" customHeight="false" outlineLevel="0" collapsed="false">
      <c r="A1124" s="325"/>
      <c r="B1124" s="326"/>
      <c r="J1124" s="73"/>
      <c r="K1124" s="327"/>
    </row>
    <row r="1125" customFormat="false" ht="12.75" hidden="false" customHeight="false" outlineLevel="0" collapsed="false">
      <c r="A1125" s="325"/>
      <c r="B1125" s="326"/>
      <c r="J1125" s="73"/>
      <c r="K1125" s="327"/>
    </row>
    <row r="1126" customFormat="false" ht="12.75" hidden="false" customHeight="false" outlineLevel="0" collapsed="false">
      <c r="A1126" s="325"/>
      <c r="B1126" s="326"/>
      <c r="J1126" s="73"/>
      <c r="K1126" s="327"/>
    </row>
    <row r="1127" customFormat="false" ht="12.75" hidden="false" customHeight="false" outlineLevel="0" collapsed="false">
      <c r="A1127" s="325"/>
      <c r="B1127" s="326"/>
      <c r="J1127" s="73"/>
      <c r="K1127" s="327"/>
    </row>
    <row r="1128" customFormat="false" ht="12.75" hidden="false" customHeight="false" outlineLevel="0" collapsed="false">
      <c r="A1128" s="325"/>
      <c r="B1128" s="326"/>
      <c r="J1128" s="73"/>
      <c r="K1128" s="327"/>
    </row>
    <row r="1129" customFormat="false" ht="12.75" hidden="false" customHeight="false" outlineLevel="0" collapsed="false">
      <c r="A1129" s="325"/>
      <c r="B1129" s="326"/>
      <c r="J1129" s="73"/>
      <c r="K1129" s="327"/>
    </row>
    <row r="1130" customFormat="false" ht="12.75" hidden="false" customHeight="false" outlineLevel="0" collapsed="false">
      <c r="A1130" s="325"/>
      <c r="B1130" s="326"/>
      <c r="J1130" s="73"/>
      <c r="K1130" s="327"/>
    </row>
    <row r="1131" customFormat="false" ht="12.75" hidden="false" customHeight="false" outlineLevel="0" collapsed="false">
      <c r="A1131" s="325"/>
      <c r="B1131" s="326"/>
      <c r="J1131" s="73"/>
      <c r="K1131" s="327"/>
    </row>
    <row r="1132" customFormat="false" ht="12.75" hidden="false" customHeight="false" outlineLevel="0" collapsed="false">
      <c r="A1132" s="325"/>
      <c r="B1132" s="326"/>
      <c r="J1132" s="73"/>
      <c r="K1132" s="327"/>
    </row>
    <row r="1133" customFormat="false" ht="12.75" hidden="false" customHeight="false" outlineLevel="0" collapsed="false">
      <c r="A1133" s="325"/>
      <c r="B1133" s="326"/>
      <c r="J1133" s="73"/>
      <c r="K1133" s="327"/>
    </row>
    <row r="1134" customFormat="false" ht="12.75" hidden="false" customHeight="false" outlineLevel="0" collapsed="false">
      <c r="A1134" s="325"/>
      <c r="B1134" s="326"/>
      <c r="J1134" s="73"/>
      <c r="K1134" s="327"/>
    </row>
    <row r="1135" customFormat="false" ht="12.75" hidden="false" customHeight="false" outlineLevel="0" collapsed="false">
      <c r="A1135" s="325"/>
      <c r="B1135" s="326"/>
      <c r="J1135" s="73"/>
      <c r="K1135" s="327"/>
    </row>
    <row r="1136" customFormat="false" ht="12.75" hidden="false" customHeight="false" outlineLevel="0" collapsed="false">
      <c r="A1136" s="325"/>
      <c r="B1136" s="326"/>
      <c r="J1136" s="73"/>
      <c r="K1136" s="327"/>
    </row>
    <row r="1137" customFormat="false" ht="12.75" hidden="false" customHeight="false" outlineLevel="0" collapsed="false">
      <c r="A1137" s="325"/>
      <c r="B1137" s="326"/>
      <c r="J1137" s="73"/>
      <c r="K1137" s="327"/>
    </row>
    <row r="1138" customFormat="false" ht="12.75" hidden="false" customHeight="false" outlineLevel="0" collapsed="false">
      <c r="A1138" s="325"/>
      <c r="B1138" s="326"/>
      <c r="J1138" s="73"/>
      <c r="K1138" s="327"/>
    </row>
    <row r="1139" customFormat="false" ht="12.75" hidden="false" customHeight="false" outlineLevel="0" collapsed="false">
      <c r="A1139" s="325"/>
      <c r="B1139" s="326"/>
      <c r="J1139" s="73"/>
      <c r="K1139" s="327"/>
    </row>
    <row r="1140" customFormat="false" ht="12.75" hidden="false" customHeight="false" outlineLevel="0" collapsed="false">
      <c r="A1140" s="325"/>
      <c r="B1140" s="326"/>
      <c r="J1140" s="73"/>
      <c r="K1140" s="327"/>
    </row>
    <row r="1141" customFormat="false" ht="12.75" hidden="false" customHeight="false" outlineLevel="0" collapsed="false">
      <c r="A1141" s="325"/>
      <c r="B1141" s="326"/>
      <c r="J1141" s="73"/>
      <c r="K1141" s="327"/>
    </row>
    <row r="1142" customFormat="false" ht="12.75" hidden="false" customHeight="false" outlineLevel="0" collapsed="false">
      <c r="A1142" s="325"/>
      <c r="B1142" s="326"/>
      <c r="J1142" s="73"/>
      <c r="K1142" s="327"/>
    </row>
    <row r="1143" customFormat="false" ht="12.75" hidden="false" customHeight="false" outlineLevel="0" collapsed="false">
      <c r="A1143" s="325"/>
      <c r="B1143" s="326"/>
      <c r="J1143" s="73"/>
      <c r="K1143" s="327"/>
    </row>
    <row r="1144" customFormat="false" ht="12.75" hidden="false" customHeight="false" outlineLevel="0" collapsed="false">
      <c r="A1144" s="325"/>
      <c r="B1144" s="326"/>
      <c r="J1144" s="73"/>
      <c r="K1144" s="327"/>
    </row>
    <row r="1145" customFormat="false" ht="12.75" hidden="false" customHeight="false" outlineLevel="0" collapsed="false">
      <c r="A1145" s="325"/>
      <c r="B1145" s="326"/>
      <c r="J1145" s="73"/>
      <c r="K1145" s="327"/>
    </row>
    <row r="1146" customFormat="false" ht="12.75" hidden="false" customHeight="false" outlineLevel="0" collapsed="false">
      <c r="A1146" s="325"/>
      <c r="B1146" s="326"/>
      <c r="J1146" s="73"/>
      <c r="K1146" s="327"/>
    </row>
    <row r="1147" customFormat="false" ht="12.75" hidden="false" customHeight="false" outlineLevel="0" collapsed="false">
      <c r="A1147" s="325"/>
      <c r="B1147" s="326"/>
      <c r="J1147" s="73"/>
      <c r="K1147" s="327"/>
    </row>
    <row r="1148" customFormat="false" ht="12.75" hidden="false" customHeight="false" outlineLevel="0" collapsed="false">
      <c r="A1148" s="325"/>
      <c r="B1148" s="326"/>
      <c r="J1148" s="73"/>
      <c r="K1148" s="327"/>
    </row>
    <row r="1149" customFormat="false" ht="12.75" hidden="false" customHeight="false" outlineLevel="0" collapsed="false">
      <c r="A1149" s="325"/>
      <c r="B1149" s="326"/>
      <c r="J1149" s="73"/>
      <c r="K1149" s="327"/>
    </row>
    <row r="1150" customFormat="false" ht="12.75" hidden="false" customHeight="false" outlineLevel="0" collapsed="false">
      <c r="A1150" s="325"/>
      <c r="B1150" s="326"/>
      <c r="J1150" s="73"/>
      <c r="K1150" s="327"/>
    </row>
    <row r="1151" customFormat="false" ht="12.75" hidden="false" customHeight="false" outlineLevel="0" collapsed="false">
      <c r="A1151" s="325"/>
      <c r="B1151" s="326"/>
      <c r="J1151" s="73"/>
      <c r="K1151" s="327"/>
    </row>
    <row r="1152" customFormat="false" ht="12.75" hidden="false" customHeight="false" outlineLevel="0" collapsed="false">
      <c r="A1152" s="325"/>
      <c r="B1152" s="326"/>
      <c r="J1152" s="73"/>
      <c r="K1152" s="327"/>
    </row>
    <row r="1153" customFormat="false" ht="12.75" hidden="false" customHeight="false" outlineLevel="0" collapsed="false">
      <c r="A1153" s="325"/>
      <c r="B1153" s="326"/>
      <c r="J1153" s="73"/>
      <c r="K1153" s="327"/>
    </row>
    <row r="1154" customFormat="false" ht="12.75" hidden="false" customHeight="false" outlineLevel="0" collapsed="false">
      <c r="A1154" s="325"/>
      <c r="B1154" s="326"/>
      <c r="J1154" s="73"/>
      <c r="K1154" s="327"/>
    </row>
    <row r="1155" customFormat="false" ht="12.75" hidden="false" customHeight="false" outlineLevel="0" collapsed="false">
      <c r="A1155" s="325"/>
      <c r="B1155" s="326"/>
      <c r="J1155" s="73"/>
      <c r="K1155" s="327"/>
    </row>
    <row r="1156" customFormat="false" ht="12.75" hidden="false" customHeight="false" outlineLevel="0" collapsed="false">
      <c r="A1156" s="325"/>
      <c r="B1156" s="326"/>
      <c r="J1156" s="73"/>
      <c r="K1156" s="327"/>
    </row>
    <row r="1157" customFormat="false" ht="12.75" hidden="false" customHeight="false" outlineLevel="0" collapsed="false">
      <c r="A1157" s="325"/>
      <c r="B1157" s="326"/>
      <c r="J1157" s="73"/>
      <c r="K1157" s="327"/>
    </row>
    <row r="1158" customFormat="false" ht="12.75" hidden="false" customHeight="false" outlineLevel="0" collapsed="false">
      <c r="A1158" s="325"/>
      <c r="B1158" s="326"/>
      <c r="J1158" s="73"/>
      <c r="K1158" s="327"/>
    </row>
    <row r="1159" customFormat="false" ht="12.75" hidden="false" customHeight="false" outlineLevel="0" collapsed="false">
      <c r="A1159" s="325"/>
      <c r="B1159" s="326"/>
      <c r="J1159" s="73"/>
      <c r="K1159" s="327"/>
    </row>
    <row r="1160" customFormat="false" ht="12.75" hidden="false" customHeight="false" outlineLevel="0" collapsed="false">
      <c r="A1160" s="325"/>
      <c r="B1160" s="326"/>
      <c r="J1160" s="73"/>
      <c r="K1160" s="327"/>
    </row>
    <row r="1161" customFormat="false" ht="12.75" hidden="false" customHeight="false" outlineLevel="0" collapsed="false">
      <c r="A1161" s="325"/>
      <c r="B1161" s="326"/>
      <c r="J1161" s="73"/>
      <c r="K1161" s="327"/>
    </row>
    <row r="1162" customFormat="false" ht="12.75" hidden="false" customHeight="false" outlineLevel="0" collapsed="false">
      <c r="A1162" s="325"/>
      <c r="B1162" s="326"/>
      <c r="J1162" s="73"/>
      <c r="K1162" s="327"/>
    </row>
    <row r="1163" customFormat="false" ht="12.75" hidden="false" customHeight="false" outlineLevel="0" collapsed="false">
      <c r="A1163" s="325"/>
      <c r="B1163" s="326"/>
      <c r="J1163" s="73"/>
      <c r="K1163" s="327"/>
    </row>
    <row r="1164" customFormat="false" ht="12.75" hidden="false" customHeight="false" outlineLevel="0" collapsed="false">
      <c r="A1164" s="325"/>
      <c r="B1164" s="326"/>
      <c r="J1164" s="73"/>
      <c r="K1164" s="327"/>
    </row>
    <row r="1165" customFormat="false" ht="12.75" hidden="false" customHeight="false" outlineLevel="0" collapsed="false">
      <c r="A1165" s="325"/>
      <c r="B1165" s="326"/>
      <c r="J1165" s="73"/>
      <c r="K1165" s="327"/>
    </row>
    <row r="1166" customFormat="false" ht="12.75" hidden="false" customHeight="false" outlineLevel="0" collapsed="false">
      <c r="A1166" s="325"/>
      <c r="B1166" s="326"/>
      <c r="J1166" s="73"/>
      <c r="K1166" s="327"/>
    </row>
    <row r="1167" customFormat="false" ht="12.75" hidden="false" customHeight="false" outlineLevel="0" collapsed="false">
      <c r="A1167" s="325"/>
      <c r="B1167" s="326"/>
      <c r="J1167" s="73"/>
      <c r="K1167" s="327"/>
    </row>
    <row r="1168" customFormat="false" ht="12.75" hidden="false" customHeight="false" outlineLevel="0" collapsed="false">
      <c r="A1168" s="325"/>
      <c r="B1168" s="326"/>
      <c r="J1168" s="73"/>
      <c r="K1168" s="327"/>
    </row>
    <row r="1169" customFormat="false" ht="12.75" hidden="false" customHeight="false" outlineLevel="0" collapsed="false">
      <c r="A1169" s="325"/>
      <c r="B1169" s="326"/>
      <c r="J1169" s="73"/>
      <c r="K1169" s="327"/>
    </row>
    <row r="1170" customFormat="false" ht="12.75" hidden="false" customHeight="false" outlineLevel="0" collapsed="false">
      <c r="A1170" s="325"/>
      <c r="B1170" s="326"/>
      <c r="J1170" s="73"/>
      <c r="K1170" s="327"/>
    </row>
    <row r="1171" customFormat="false" ht="12.75" hidden="false" customHeight="false" outlineLevel="0" collapsed="false">
      <c r="A1171" s="325"/>
      <c r="B1171" s="326"/>
      <c r="J1171" s="73"/>
      <c r="K1171" s="327"/>
    </row>
    <row r="1172" customFormat="false" ht="12.75" hidden="false" customHeight="false" outlineLevel="0" collapsed="false">
      <c r="A1172" s="325"/>
      <c r="B1172" s="326"/>
      <c r="J1172" s="73"/>
      <c r="K1172" s="327"/>
    </row>
    <row r="1173" customFormat="false" ht="12.75" hidden="false" customHeight="false" outlineLevel="0" collapsed="false">
      <c r="A1173" s="325"/>
      <c r="B1173" s="326"/>
      <c r="J1173" s="73"/>
      <c r="K1173" s="327"/>
    </row>
    <row r="1174" customFormat="false" ht="12.75" hidden="false" customHeight="false" outlineLevel="0" collapsed="false">
      <c r="A1174" s="325"/>
      <c r="B1174" s="326"/>
      <c r="J1174" s="73"/>
      <c r="K1174" s="327"/>
    </row>
    <row r="1175" customFormat="false" ht="12.75" hidden="false" customHeight="false" outlineLevel="0" collapsed="false">
      <c r="A1175" s="325"/>
      <c r="B1175" s="326"/>
      <c r="J1175" s="73"/>
      <c r="K1175" s="327"/>
    </row>
    <row r="1176" customFormat="false" ht="12.75" hidden="false" customHeight="false" outlineLevel="0" collapsed="false">
      <c r="A1176" s="325"/>
      <c r="B1176" s="326"/>
      <c r="J1176" s="73"/>
      <c r="K1176" s="327"/>
    </row>
    <row r="1177" customFormat="false" ht="12.75" hidden="false" customHeight="false" outlineLevel="0" collapsed="false">
      <c r="A1177" s="325"/>
      <c r="B1177" s="326"/>
      <c r="J1177" s="73"/>
      <c r="K1177" s="327"/>
    </row>
    <row r="1178" customFormat="false" ht="12.75" hidden="false" customHeight="false" outlineLevel="0" collapsed="false">
      <c r="A1178" s="325"/>
      <c r="B1178" s="326"/>
      <c r="J1178" s="73"/>
      <c r="K1178" s="327"/>
    </row>
    <row r="1179" customFormat="false" ht="12.75" hidden="false" customHeight="false" outlineLevel="0" collapsed="false">
      <c r="A1179" s="325"/>
      <c r="B1179" s="326"/>
      <c r="J1179" s="73"/>
      <c r="K1179" s="327"/>
    </row>
    <row r="1180" customFormat="false" ht="12.75" hidden="false" customHeight="false" outlineLevel="0" collapsed="false">
      <c r="A1180" s="325"/>
      <c r="B1180" s="326"/>
      <c r="J1180" s="73"/>
      <c r="K1180" s="327"/>
    </row>
    <row r="1181" customFormat="false" ht="12.75" hidden="false" customHeight="false" outlineLevel="0" collapsed="false">
      <c r="A1181" s="325"/>
      <c r="B1181" s="326"/>
      <c r="J1181" s="73"/>
      <c r="K1181" s="327"/>
    </row>
    <row r="1182" customFormat="false" ht="12.75" hidden="false" customHeight="false" outlineLevel="0" collapsed="false">
      <c r="A1182" s="325"/>
      <c r="B1182" s="326"/>
      <c r="J1182" s="73"/>
      <c r="K1182" s="327"/>
    </row>
    <row r="1183" customFormat="false" ht="12.75" hidden="false" customHeight="false" outlineLevel="0" collapsed="false">
      <c r="A1183" s="325"/>
      <c r="B1183" s="326"/>
      <c r="J1183" s="73"/>
      <c r="K1183" s="327"/>
    </row>
    <row r="1184" customFormat="false" ht="12.75" hidden="false" customHeight="false" outlineLevel="0" collapsed="false">
      <c r="A1184" s="325"/>
      <c r="B1184" s="326"/>
      <c r="J1184" s="73"/>
      <c r="K1184" s="327"/>
    </row>
    <row r="1185" customFormat="false" ht="12.75" hidden="false" customHeight="false" outlineLevel="0" collapsed="false">
      <c r="A1185" s="325"/>
      <c r="B1185" s="326"/>
      <c r="J1185" s="73"/>
      <c r="K1185" s="327"/>
    </row>
    <row r="1186" customFormat="false" ht="12.75" hidden="false" customHeight="false" outlineLevel="0" collapsed="false">
      <c r="A1186" s="325"/>
      <c r="B1186" s="326"/>
      <c r="J1186" s="73"/>
      <c r="K1186" s="327"/>
    </row>
    <row r="1187" customFormat="false" ht="12.75" hidden="false" customHeight="false" outlineLevel="0" collapsed="false">
      <c r="A1187" s="325"/>
      <c r="B1187" s="326"/>
      <c r="J1187" s="73"/>
      <c r="K1187" s="327"/>
    </row>
    <row r="1188" customFormat="false" ht="12.75" hidden="false" customHeight="false" outlineLevel="0" collapsed="false">
      <c r="A1188" s="325"/>
      <c r="B1188" s="326"/>
      <c r="J1188" s="73"/>
      <c r="K1188" s="327"/>
    </row>
    <row r="1189" customFormat="false" ht="12.75" hidden="false" customHeight="false" outlineLevel="0" collapsed="false">
      <c r="A1189" s="325"/>
      <c r="B1189" s="326"/>
      <c r="J1189" s="73"/>
      <c r="K1189" s="327"/>
    </row>
    <row r="1190" customFormat="false" ht="12.75" hidden="false" customHeight="false" outlineLevel="0" collapsed="false">
      <c r="A1190" s="325"/>
      <c r="B1190" s="326"/>
      <c r="J1190" s="73"/>
      <c r="K1190" s="327"/>
    </row>
    <row r="1191" customFormat="false" ht="12.75" hidden="false" customHeight="false" outlineLevel="0" collapsed="false">
      <c r="A1191" s="325"/>
      <c r="B1191" s="326"/>
      <c r="J1191" s="73"/>
      <c r="K1191" s="327"/>
    </row>
    <row r="1192" customFormat="false" ht="12.75" hidden="false" customHeight="false" outlineLevel="0" collapsed="false">
      <c r="A1192" s="325"/>
      <c r="B1192" s="326"/>
      <c r="J1192" s="73"/>
      <c r="K1192" s="327"/>
    </row>
    <row r="1193" customFormat="false" ht="12.75" hidden="false" customHeight="false" outlineLevel="0" collapsed="false">
      <c r="A1193" s="325"/>
      <c r="B1193" s="326"/>
      <c r="J1193" s="73"/>
      <c r="K1193" s="327"/>
    </row>
    <row r="1194" customFormat="false" ht="12.75" hidden="false" customHeight="false" outlineLevel="0" collapsed="false">
      <c r="A1194" s="325"/>
      <c r="B1194" s="326"/>
      <c r="J1194" s="73"/>
      <c r="K1194" s="327"/>
    </row>
    <row r="1195" customFormat="false" ht="12.75" hidden="false" customHeight="false" outlineLevel="0" collapsed="false">
      <c r="A1195" s="325"/>
      <c r="B1195" s="326"/>
      <c r="J1195" s="73"/>
      <c r="K1195" s="327"/>
    </row>
    <row r="1196" customFormat="false" ht="12.75" hidden="false" customHeight="false" outlineLevel="0" collapsed="false">
      <c r="A1196" s="325"/>
      <c r="B1196" s="326"/>
      <c r="J1196" s="73"/>
      <c r="K1196" s="327"/>
    </row>
    <row r="1197" customFormat="false" ht="12.75" hidden="false" customHeight="false" outlineLevel="0" collapsed="false">
      <c r="A1197" s="325"/>
      <c r="B1197" s="326"/>
      <c r="J1197" s="73"/>
      <c r="K1197" s="327"/>
    </row>
    <row r="1198" customFormat="false" ht="12.75" hidden="false" customHeight="false" outlineLevel="0" collapsed="false">
      <c r="A1198" s="325"/>
      <c r="B1198" s="326"/>
      <c r="J1198" s="73"/>
      <c r="K1198" s="327"/>
    </row>
    <row r="1199" customFormat="false" ht="12.75" hidden="false" customHeight="false" outlineLevel="0" collapsed="false">
      <c r="A1199" s="325"/>
      <c r="B1199" s="326"/>
      <c r="J1199" s="73"/>
      <c r="K1199" s="327"/>
    </row>
    <row r="1200" customFormat="false" ht="12.75" hidden="false" customHeight="false" outlineLevel="0" collapsed="false">
      <c r="A1200" s="325"/>
      <c r="B1200" s="326"/>
      <c r="J1200" s="73"/>
      <c r="K1200" s="327"/>
    </row>
    <row r="1201" customFormat="false" ht="12.75" hidden="false" customHeight="false" outlineLevel="0" collapsed="false">
      <c r="A1201" s="325"/>
      <c r="B1201" s="326"/>
      <c r="J1201" s="73"/>
      <c r="K1201" s="327"/>
    </row>
    <row r="1202" customFormat="false" ht="12.75" hidden="false" customHeight="false" outlineLevel="0" collapsed="false">
      <c r="A1202" s="325"/>
      <c r="B1202" s="326"/>
      <c r="J1202" s="73"/>
      <c r="K1202" s="327"/>
    </row>
    <row r="1203" customFormat="false" ht="12.75" hidden="false" customHeight="false" outlineLevel="0" collapsed="false">
      <c r="A1203" s="325"/>
      <c r="B1203" s="326"/>
      <c r="J1203" s="73"/>
      <c r="K1203" s="327"/>
    </row>
    <row r="1204" customFormat="false" ht="12.75" hidden="false" customHeight="false" outlineLevel="0" collapsed="false">
      <c r="A1204" s="325"/>
      <c r="B1204" s="326"/>
      <c r="J1204" s="73"/>
      <c r="K1204" s="327"/>
    </row>
    <row r="1205" customFormat="false" ht="12.75" hidden="false" customHeight="false" outlineLevel="0" collapsed="false">
      <c r="A1205" s="325"/>
      <c r="B1205" s="326"/>
      <c r="J1205" s="73"/>
      <c r="K1205" s="327"/>
    </row>
    <row r="1206" customFormat="false" ht="12.75" hidden="false" customHeight="false" outlineLevel="0" collapsed="false">
      <c r="A1206" s="325"/>
      <c r="B1206" s="326"/>
      <c r="J1206" s="73"/>
      <c r="K1206" s="327"/>
    </row>
    <row r="1207" customFormat="false" ht="12.75" hidden="false" customHeight="false" outlineLevel="0" collapsed="false">
      <c r="A1207" s="325"/>
      <c r="B1207" s="326"/>
      <c r="J1207" s="73"/>
      <c r="K1207" s="327"/>
    </row>
    <row r="1208" customFormat="false" ht="12.75" hidden="false" customHeight="false" outlineLevel="0" collapsed="false">
      <c r="A1208" s="325"/>
      <c r="B1208" s="326"/>
      <c r="J1208" s="73"/>
      <c r="K1208" s="327"/>
    </row>
    <row r="1209" customFormat="false" ht="12.75" hidden="false" customHeight="false" outlineLevel="0" collapsed="false">
      <c r="A1209" s="325"/>
      <c r="B1209" s="326"/>
      <c r="J1209" s="73"/>
      <c r="K1209" s="327"/>
    </row>
    <row r="1210" customFormat="false" ht="12.75" hidden="false" customHeight="false" outlineLevel="0" collapsed="false">
      <c r="A1210" s="325"/>
      <c r="B1210" s="326"/>
      <c r="J1210" s="73"/>
      <c r="K1210" s="327"/>
    </row>
    <row r="1211" customFormat="false" ht="12.75" hidden="false" customHeight="false" outlineLevel="0" collapsed="false">
      <c r="A1211" s="325"/>
      <c r="B1211" s="326"/>
      <c r="J1211" s="73"/>
      <c r="K1211" s="327"/>
    </row>
    <row r="1212" customFormat="false" ht="12.75" hidden="false" customHeight="false" outlineLevel="0" collapsed="false">
      <c r="A1212" s="325"/>
      <c r="B1212" s="326"/>
      <c r="J1212" s="73"/>
      <c r="K1212" s="327"/>
    </row>
    <row r="1213" customFormat="false" ht="12.75" hidden="false" customHeight="false" outlineLevel="0" collapsed="false">
      <c r="A1213" s="325"/>
      <c r="B1213" s="326"/>
      <c r="J1213" s="73"/>
      <c r="K1213" s="327"/>
    </row>
    <row r="1214" customFormat="false" ht="12.75" hidden="false" customHeight="false" outlineLevel="0" collapsed="false">
      <c r="A1214" s="325"/>
      <c r="B1214" s="326"/>
      <c r="J1214" s="73"/>
      <c r="K1214" s="327"/>
    </row>
    <row r="1215" customFormat="false" ht="12.75" hidden="false" customHeight="false" outlineLevel="0" collapsed="false">
      <c r="A1215" s="325"/>
      <c r="B1215" s="326"/>
      <c r="J1215" s="73"/>
      <c r="K1215" s="327"/>
    </row>
    <row r="1216" customFormat="false" ht="12.75" hidden="false" customHeight="false" outlineLevel="0" collapsed="false">
      <c r="A1216" s="325"/>
      <c r="B1216" s="326"/>
      <c r="J1216" s="73"/>
      <c r="K1216" s="327"/>
    </row>
    <row r="1217" customFormat="false" ht="12.75" hidden="false" customHeight="false" outlineLevel="0" collapsed="false">
      <c r="A1217" s="325"/>
      <c r="B1217" s="326"/>
      <c r="J1217" s="73"/>
      <c r="K1217" s="327"/>
    </row>
    <row r="1218" customFormat="false" ht="12.75" hidden="false" customHeight="false" outlineLevel="0" collapsed="false">
      <c r="A1218" s="325"/>
      <c r="B1218" s="326"/>
      <c r="J1218" s="73"/>
      <c r="K1218" s="327"/>
    </row>
    <row r="1219" customFormat="false" ht="12.75" hidden="false" customHeight="false" outlineLevel="0" collapsed="false">
      <c r="A1219" s="325"/>
      <c r="B1219" s="326"/>
      <c r="J1219" s="73"/>
      <c r="K1219" s="327"/>
    </row>
    <row r="1220" customFormat="false" ht="12.75" hidden="false" customHeight="false" outlineLevel="0" collapsed="false">
      <c r="A1220" s="325"/>
      <c r="B1220" s="326"/>
      <c r="J1220" s="73"/>
      <c r="K1220" s="327"/>
    </row>
    <row r="1221" customFormat="false" ht="12.75" hidden="false" customHeight="false" outlineLevel="0" collapsed="false">
      <c r="A1221" s="325"/>
      <c r="B1221" s="326"/>
      <c r="J1221" s="73"/>
      <c r="K1221" s="327"/>
    </row>
    <row r="1222" customFormat="false" ht="12.75" hidden="false" customHeight="false" outlineLevel="0" collapsed="false">
      <c r="A1222" s="325"/>
      <c r="B1222" s="326"/>
      <c r="J1222" s="73"/>
      <c r="K1222" s="327"/>
    </row>
    <row r="1223" customFormat="false" ht="12.75" hidden="false" customHeight="false" outlineLevel="0" collapsed="false">
      <c r="A1223" s="325"/>
      <c r="B1223" s="326"/>
      <c r="J1223" s="73"/>
      <c r="K1223" s="327"/>
    </row>
    <row r="1224" customFormat="false" ht="12.75" hidden="false" customHeight="false" outlineLevel="0" collapsed="false">
      <c r="A1224" s="325"/>
      <c r="B1224" s="326"/>
      <c r="J1224" s="73"/>
      <c r="K1224" s="327"/>
    </row>
    <row r="1225" customFormat="false" ht="12.75" hidden="false" customHeight="false" outlineLevel="0" collapsed="false">
      <c r="A1225" s="325"/>
      <c r="B1225" s="326"/>
      <c r="J1225" s="73"/>
      <c r="K1225" s="327"/>
    </row>
    <row r="1226" customFormat="false" ht="12.75" hidden="false" customHeight="false" outlineLevel="0" collapsed="false">
      <c r="A1226" s="325"/>
      <c r="B1226" s="326"/>
      <c r="J1226" s="73"/>
      <c r="K1226" s="327"/>
    </row>
    <row r="1227" customFormat="false" ht="12.75" hidden="false" customHeight="false" outlineLevel="0" collapsed="false">
      <c r="A1227" s="325"/>
      <c r="B1227" s="326"/>
      <c r="J1227" s="73"/>
      <c r="K1227" s="327"/>
    </row>
    <row r="1228" customFormat="false" ht="12.75" hidden="false" customHeight="false" outlineLevel="0" collapsed="false">
      <c r="A1228" s="325"/>
      <c r="B1228" s="326"/>
      <c r="J1228" s="73"/>
      <c r="K1228" s="327"/>
    </row>
    <row r="1229" customFormat="false" ht="12.75" hidden="false" customHeight="false" outlineLevel="0" collapsed="false">
      <c r="A1229" s="325"/>
      <c r="B1229" s="326"/>
      <c r="J1229" s="73"/>
      <c r="K1229" s="327"/>
    </row>
    <row r="1230" customFormat="false" ht="12.75" hidden="false" customHeight="false" outlineLevel="0" collapsed="false">
      <c r="A1230" s="325"/>
      <c r="B1230" s="326"/>
      <c r="J1230" s="73"/>
      <c r="K1230" s="327"/>
    </row>
    <row r="1231" customFormat="false" ht="12.75" hidden="false" customHeight="false" outlineLevel="0" collapsed="false">
      <c r="A1231" s="325"/>
      <c r="B1231" s="326"/>
      <c r="J1231" s="73"/>
      <c r="K1231" s="327"/>
    </row>
    <row r="1232" customFormat="false" ht="12.75" hidden="false" customHeight="false" outlineLevel="0" collapsed="false">
      <c r="A1232" s="325"/>
      <c r="B1232" s="326"/>
      <c r="J1232" s="73"/>
      <c r="K1232" s="327"/>
    </row>
    <row r="1233" customFormat="false" ht="12.75" hidden="false" customHeight="false" outlineLevel="0" collapsed="false">
      <c r="A1233" s="325"/>
      <c r="B1233" s="326"/>
      <c r="J1233" s="73"/>
      <c r="K1233" s="327"/>
    </row>
    <row r="1234" customFormat="false" ht="12.75" hidden="false" customHeight="false" outlineLevel="0" collapsed="false">
      <c r="A1234" s="325"/>
      <c r="B1234" s="326"/>
      <c r="J1234" s="73"/>
      <c r="K1234" s="327"/>
    </row>
    <row r="1235" customFormat="false" ht="12.75" hidden="false" customHeight="false" outlineLevel="0" collapsed="false">
      <c r="A1235" s="325"/>
      <c r="B1235" s="326"/>
      <c r="J1235" s="73"/>
      <c r="K1235" s="327"/>
    </row>
    <row r="1236" customFormat="false" ht="12.75" hidden="false" customHeight="false" outlineLevel="0" collapsed="false">
      <c r="A1236" s="325"/>
      <c r="B1236" s="326"/>
      <c r="J1236" s="73"/>
      <c r="K1236" s="327"/>
    </row>
    <row r="1237" customFormat="false" ht="12.75" hidden="false" customHeight="false" outlineLevel="0" collapsed="false">
      <c r="A1237" s="325"/>
      <c r="B1237" s="326"/>
      <c r="J1237" s="73"/>
      <c r="K1237" s="327"/>
    </row>
    <row r="1238" customFormat="false" ht="12.75" hidden="false" customHeight="false" outlineLevel="0" collapsed="false">
      <c r="A1238" s="325"/>
      <c r="B1238" s="326"/>
      <c r="J1238" s="73"/>
      <c r="K1238" s="327"/>
    </row>
    <row r="1239" customFormat="false" ht="12.75" hidden="false" customHeight="false" outlineLevel="0" collapsed="false">
      <c r="A1239" s="325"/>
      <c r="B1239" s="326"/>
      <c r="J1239" s="73"/>
      <c r="K1239" s="327"/>
    </row>
    <row r="1240" customFormat="false" ht="12.75" hidden="false" customHeight="false" outlineLevel="0" collapsed="false">
      <c r="A1240" s="325"/>
      <c r="B1240" s="326"/>
      <c r="J1240" s="73"/>
      <c r="K1240" s="327"/>
    </row>
    <row r="1241" customFormat="false" ht="12.75" hidden="false" customHeight="false" outlineLevel="0" collapsed="false">
      <c r="A1241" s="325"/>
      <c r="B1241" s="326"/>
      <c r="J1241" s="73"/>
      <c r="K1241" s="327"/>
    </row>
    <row r="1242" customFormat="false" ht="12.75" hidden="false" customHeight="false" outlineLevel="0" collapsed="false">
      <c r="A1242" s="325"/>
      <c r="B1242" s="326"/>
      <c r="J1242" s="73"/>
      <c r="K1242" s="327"/>
    </row>
    <row r="1243" customFormat="false" ht="12.75" hidden="false" customHeight="false" outlineLevel="0" collapsed="false">
      <c r="A1243" s="325"/>
      <c r="B1243" s="326"/>
      <c r="J1243" s="73"/>
      <c r="K1243" s="327"/>
    </row>
    <row r="1244" customFormat="false" ht="12.75" hidden="false" customHeight="false" outlineLevel="0" collapsed="false">
      <c r="A1244" s="325"/>
      <c r="B1244" s="326"/>
      <c r="J1244" s="73"/>
      <c r="K1244" s="327"/>
    </row>
    <row r="1245" customFormat="false" ht="12.75" hidden="false" customHeight="false" outlineLevel="0" collapsed="false">
      <c r="A1245" s="325"/>
      <c r="B1245" s="326"/>
      <c r="J1245" s="73"/>
      <c r="K1245" s="327"/>
    </row>
    <row r="1246" customFormat="false" ht="12.75" hidden="false" customHeight="false" outlineLevel="0" collapsed="false">
      <c r="A1246" s="325"/>
      <c r="B1246" s="326"/>
      <c r="J1246" s="73"/>
      <c r="K1246" s="327"/>
    </row>
    <row r="1247" customFormat="false" ht="12.75" hidden="false" customHeight="false" outlineLevel="0" collapsed="false">
      <c r="A1247" s="325"/>
      <c r="B1247" s="326"/>
      <c r="J1247" s="73"/>
      <c r="K1247" s="327"/>
    </row>
    <row r="1248" customFormat="false" ht="12.75" hidden="false" customHeight="false" outlineLevel="0" collapsed="false">
      <c r="A1248" s="325"/>
      <c r="B1248" s="326"/>
      <c r="J1248" s="73"/>
      <c r="K1248" s="327"/>
    </row>
    <row r="1249" customFormat="false" ht="12.75" hidden="false" customHeight="false" outlineLevel="0" collapsed="false">
      <c r="A1249" s="325"/>
      <c r="B1249" s="326"/>
      <c r="J1249" s="73"/>
      <c r="K1249" s="327"/>
    </row>
    <row r="1250" customFormat="false" ht="12.75" hidden="false" customHeight="false" outlineLevel="0" collapsed="false">
      <c r="A1250" s="325"/>
      <c r="B1250" s="326"/>
      <c r="J1250" s="73"/>
      <c r="K1250" s="327"/>
    </row>
    <row r="1251" customFormat="false" ht="12.75" hidden="false" customHeight="false" outlineLevel="0" collapsed="false">
      <c r="A1251" s="325"/>
      <c r="B1251" s="326"/>
      <c r="J1251" s="73"/>
      <c r="K1251" s="327"/>
    </row>
    <row r="1252" customFormat="false" ht="12.75" hidden="false" customHeight="false" outlineLevel="0" collapsed="false">
      <c r="A1252" s="325"/>
      <c r="B1252" s="326"/>
      <c r="J1252" s="73"/>
      <c r="K1252" s="327"/>
    </row>
    <row r="1253" customFormat="false" ht="12.75" hidden="false" customHeight="false" outlineLevel="0" collapsed="false">
      <c r="A1253" s="325"/>
      <c r="B1253" s="326"/>
      <c r="J1253" s="73"/>
      <c r="K1253" s="327"/>
    </row>
    <row r="1254" customFormat="false" ht="12.75" hidden="false" customHeight="false" outlineLevel="0" collapsed="false">
      <c r="A1254" s="325"/>
      <c r="B1254" s="326"/>
      <c r="J1254" s="73"/>
      <c r="K1254" s="327"/>
    </row>
    <row r="1255" customFormat="false" ht="12.75" hidden="false" customHeight="false" outlineLevel="0" collapsed="false">
      <c r="A1255" s="325"/>
      <c r="B1255" s="326"/>
      <c r="J1255" s="73"/>
      <c r="K1255" s="327"/>
    </row>
  </sheetData>
  <mergeCells count="5">
    <mergeCell ref="A1:B1"/>
    <mergeCell ref="C1:K1"/>
    <mergeCell ref="L1:T1"/>
    <mergeCell ref="U1:AE1"/>
    <mergeCell ref="AF1:AM1"/>
  </mergeCells>
  <printOptions headings="false" gridLines="false" gridLinesSet="true" horizontalCentered="false" verticalCentered="false"/>
  <pageMargins left="0.25" right="0.25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1446"/>
  <sheetViews>
    <sheetView showFormulas="false" showGridLines="true" showRowColHeaders="true" showZeros="true" rightToLeft="false" tabSelected="false" showOutlineSymbols="true" defaultGridColor="true" view="normal" topLeftCell="AL3036" colorId="64" zoomScale="75" zoomScaleNormal="75" zoomScalePageLayoutView="100" workbookViewId="0">
      <selection pane="topLeft" activeCell="B37" activeCellId="0" sqref="B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  <col collapsed="false" customWidth="true" hidden="false" outlineLevel="0" max="2" min="2" style="0" width="9.56"/>
    <col collapsed="false" customWidth="true" hidden="false" outlineLevel="0" max="4" min="4" style="0" width="10.13"/>
    <col collapsed="false" customWidth="true" hidden="false" outlineLevel="0" max="11" min="11" style="0" width="9.85"/>
    <col collapsed="false" customWidth="true" hidden="false" outlineLevel="0" max="33" min="33" style="0" width="5.41"/>
    <col collapsed="false" customWidth="true" hidden="false" outlineLevel="0" max="34" min="34" style="0" width="4.28"/>
    <col collapsed="false" customWidth="true" hidden="false" outlineLevel="0" max="35" min="35" style="0" width="5.85"/>
    <col collapsed="false" customWidth="true" hidden="false" outlineLevel="0" max="36" min="36" style="0" width="3.7"/>
    <col collapsed="false" customWidth="true" hidden="false" outlineLevel="0" max="37" min="37" style="0" width="4.85"/>
    <col collapsed="false" customWidth="true" hidden="false" outlineLevel="0" max="38" min="38" style="0" width="7.56"/>
    <col collapsed="false" customWidth="true" hidden="false" outlineLevel="0" max="39" min="39" style="328" width="10.13"/>
    <col collapsed="false" customWidth="true" hidden="false" outlineLevel="0" max="40" min="40" style="0" width="2.56"/>
    <col collapsed="false" customWidth="true" hidden="false" outlineLevel="0" max="41" min="41" style="0" width="17.7"/>
    <col collapsed="false" customWidth="true" hidden="false" outlineLevel="0" max="42" min="42" style="0" width="3.28"/>
    <col collapsed="false" customWidth="true" hidden="false" outlineLevel="0" max="43" min="43" style="329" width="9.14"/>
    <col collapsed="false" customWidth="true" hidden="false" outlineLevel="0" max="44" min="44" style="0" width="1.85"/>
    <col collapsed="false" customWidth="true" hidden="false" outlineLevel="0" max="45" min="45" style="0" width="21.28"/>
    <col collapsed="false" customWidth="true" hidden="false" outlineLevel="0" max="46" min="46" style="0" width="3.99"/>
    <col collapsed="false" customWidth="true" hidden="false" outlineLevel="0" max="47" min="47" style="328" width="7.42"/>
    <col collapsed="false" customWidth="true" hidden="false" outlineLevel="0" max="48" min="48" style="0" width="3.56"/>
    <col collapsed="false" customWidth="true" hidden="false" outlineLevel="0" max="49" min="49" style="0" width="14.7"/>
    <col collapsed="false" customWidth="true" hidden="false" outlineLevel="0" max="50" min="50" style="0" width="3.14"/>
    <col collapsed="false" customWidth="true" hidden="false" outlineLevel="0" max="51" min="51" style="62" width="10.56"/>
    <col collapsed="false" customWidth="true" hidden="false" outlineLevel="0" max="52" min="52" style="0" width="3.56"/>
    <col collapsed="false" customWidth="true" hidden="false" outlineLevel="0" max="53" min="53" style="0" width="21.42"/>
    <col collapsed="false" customWidth="true" hidden="false" outlineLevel="0" max="54" min="54" style="0" width="2.7"/>
    <col collapsed="false" customWidth="true" hidden="false" outlineLevel="0" max="55" min="55" style="328" width="9.28"/>
    <col collapsed="false" customWidth="true" hidden="false" outlineLevel="0" max="56" min="56" style="0" width="2.84"/>
    <col collapsed="false" customWidth="true" hidden="false" outlineLevel="0" max="57" min="57" style="0" width="21.42"/>
    <col collapsed="false" customWidth="true" hidden="false" outlineLevel="0" max="58" min="58" style="0" width="2.99"/>
    <col collapsed="false" customWidth="true" hidden="false" outlineLevel="0" max="59" min="59" style="0" width="4.99"/>
    <col collapsed="false" customWidth="true" hidden="false" outlineLevel="0" max="60" min="60" style="0" width="1.99"/>
    <col collapsed="false" customWidth="true" hidden="false" outlineLevel="0" max="61" min="61" style="0" width="18.41"/>
  </cols>
  <sheetData>
    <row r="1" customFormat="false" ht="12.75" hidden="false" customHeight="false" outlineLevel="0" collapsed="false">
      <c r="A1" s="330" t="s">
        <v>1302</v>
      </c>
      <c r="G1" s="331" t="s">
        <v>1303</v>
      </c>
      <c r="H1" s="331" t="s">
        <v>1304</v>
      </c>
      <c r="AI1" s="161" t="s">
        <v>1278</v>
      </c>
    </row>
    <row r="2" customFormat="false" ht="12.75" hidden="false" customHeight="false" outlineLevel="0" collapsed="false">
      <c r="A2" s="332"/>
      <c r="B2" s="333" t="s">
        <v>66</v>
      </c>
      <c r="C2" s="333" t="s">
        <v>67</v>
      </c>
      <c r="D2" s="332"/>
      <c r="E2" s="332"/>
      <c r="G2" s="334" t="s">
        <v>1305</v>
      </c>
      <c r="H2" s="335" t="n">
        <f aca="false">IF(N13=2,AVERAGE(B14:M29),AVERAGE(B13:M28))</f>
        <v>1.00001500065403</v>
      </c>
      <c r="I2" s="332"/>
      <c r="J2" s="332"/>
      <c r="K2" s="332"/>
      <c r="L2" s="332"/>
      <c r="M2" s="332"/>
      <c r="N2" s="332"/>
      <c r="O2" s="311"/>
      <c r="P2" s="311"/>
      <c r="AG2" s="311" t="s">
        <v>1287</v>
      </c>
      <c r="AH2" s="311" t="s">
        <v>1280</v>
      </c>
      <c r="AI2" s="312" t="s">
        <v>1281</v>
      </c>
      <c r="AJ2" s="311" t="s">
        <v>1306</v>
      </c>
      <c r="AK2" s="311" t="s">
        <v>1283</v>
      </c>
      <c r="AL2" s="311"/>
      <c r="AM2" s="336"/>
      <c r="AO2" s="240"/>
      <c r="AP2" s="240"/>
      <c r="AQ2" s="337"/>
    </row>
    <row r="3" customFormat="false" ht="12.75" hidden="false" customHeight="false" outlineLevel="0" collapsed="false">
      <c r="A3" s="333" t="s">
        <v>47</v>
      </c>
      <c r="B3" s="338" t="n">
        <f aca="false">IF(N13=2,A14,A13)</f>
        <v>700</v>
      </c>
      <c r="C3" s="338" t="n">
        <f aca="false">IF(N29=1,A29,A28)</f>
        <v>2200</v>
      </c>
      <c r="D3" s="332"/>
      <c r="E3" s="332"/>
      <c r="G3" s="334" t="s">
        <v>1307</v>
      </c>
      <c r="H3" s="335" t="n">
        <f aca="false">AVERAGE(B7:M30)</f>
        <v>1.00000856196963</v>
      </c>
      <c r="I3" s="332"/>
      <c r="J3" s="332"/>
      <c r="K3" s="332"/>
      <c r="L3" s="332"/>
      <c r="M3" s="332"/>
      <c r="N3" s="332"/>
      <c r="O3" s="311"/>
      <c r="P3" s="311"/>
      <c r="AG3" s="311" t="s">
        <v>1300</v>
      </c>
      <c r="AH3" s="311" t="s">
        <v>1300</v>
      </c>
      <c r="AI3" s="312" t="s">
        <v>1301</v>
      </c>
      <c r="AJ3" s="311"/>
      <c r="AK3" s="311"/>
      <c r="AL3" s="311"/>
      <c r="AM3" s="336"/>
      <c r="AN3" s="341"/>
      <c r="AO3" s="412"/>
      <c r="AP3" s="341"/>
      <c r="AQ3" s="413"/>
      <c r="AR3" s="345"/>
      <c r="AS3" s="414"/>
      <c r="AT3" s="414"/>
      <c r="AU3" s="406"/>
      <c r="AV3" s="345"/>
      <c r="AW3" s="345"/>
      <c r="AX3" s="345"/>
      <c r="AY3" s="406"/>
      <c r="AZ3" s="345"/>
      <c r="BA3" s="345"/>
      <c r="BB3" s="345"/>
      <c r="BC3" s="406"/>
      <c r="BD3" s="345"/>
      <c r="BE3" s="345"/>
      <c r="BF3" s="345"/>
      <c r="BG3" s="406"/>
      <c r="BH3" s="345"/>
      <c r="BI3" s="345"/>
      <c r="BJ3" s="415"/>
      <c r="BK3" s="62"/>
    </row>
    <row r="4" customFormat="false" ht="12.75" hidden="false" customHeight="false" outlineLevel="0" collapsed="false">
      <c r="A4" s="348"/>
      <c r="B4" s="349" t="s">
        <v>1316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50"/>
      <c r="O4" s="351" t="s">
        <v>1317</v>
      </c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F4" s="352" t="n">
        <v>36557</v>
      </c>
      <c r="AG4" s="311" t="n">
        <v>21</v>
      </c>
      <c r="AH4" s="311" t="n">
        <v>4</v>
      </c>
      <c r="AI4" s="311" t="n">
        <v>4</v>
      </c>
      <c r="AJ4" s="311" t="n">
        <v>0</v>
      </c>
      <c r="AK4" s="311" t="n">
        <v>29</v>
      </c>
      <c r="AL4" s="311"/>
      <c r="AM4" s="336"/>
      <c r="AN4" s="355"/>
      <c r="AO4" s="243"/>
      <c r="AP4" s="355"/>
      <c r="AQ4" s="416"/>
      <c r="AR4" s="345"/>
      <c r="AS4" s="106"/>
      <c r="AT4" s="106"/>
      <c r="AU4" s="406"/>
      <c r="AV4" s="345"/>
      <c r="AW4" s="362"/>
      <c r="AX4" s="362"/>
      <c r="AY4" s="362"/>
      <c r="AZ4" s="345"/>
      <c r="BA4" s="362"/>
      <c r="BB4" s="362"/>
      <c r="BC4" s="406"/>
      <c r="BD4" s="345"/>
      <c r="BE4" s="362"/>
      <c r="BF4" s="362"/>
      <c r="BG4" s="62"/>
      <c r="BH4" s="345"/>
      <c r="BI4" s="345"/>
      <c r="BJ4" s="415"/>
      <c r="BK4" s="62"/>
    </row>
    <row r="5" customFormat="false" ht="12.75" hidden="false" customHeight="false" outlineLevel="0" collapsed="false">
      <c r="A5" s="365"/>
      <c r="B5" s="366" t="n">
        <v>1</v>
      </c>
      <c r="C5" s="366" t="n">
        <v>2</v>
      </c>
      <c r="D5" s="366" t="n">
        <v>3</v>
      </c>
      <c r="E5" s="366" t="n">
        <v>4</v>
      </c>
      <c r="F5" s="366" t="n">
        <v>5</v>
      </c>
      <c r="G5" s="366" t="n">
        <v>6</v>
      </c>
      <c r="H5" s="366" t="n">
        <v>7</v>
      </c>
      <c r="I5" s="366" t="n">
        <v>8</v>
      </c>
      <c r="J5" s="366" t="n">
        <v>9</v>
      </c>
      <c r="K5" s="366" t="n">
        <v>10</v>
      </c>
      <c r="L5" s="366" t="n">
        <v>11</v>
      </c>
      <c r="M5" s="366" t="n">
        <v>12</v>
      </c>
      <c r="N5" s="365"/>
      <c r="O5" s="367" t="n">
        <v>1</v>
      </c>
      <c r="P5" s="366" t="n">
        <v>2</v>
      </c>
      <c r="Q5" s="366" t="n">
        <v>3</v>
      </c>
      <c r="R5" s="366" t="n">
        <v>4</v>
      </c>
      <c r="S5" s="366" t="n">
        <v>5</v>
      </c>
      <c r="T5" s="366" t="n">
        <v>6</v>
      </c>
      <c r="U5" s="366" t="n">
        <v>7</v>
      </c>
      <c r="V5" s="366" t="n">
        <v>8</v>
      </c>
      <c r="W5" s="366" t="n">
        <v>9</v>
      </c>
      <c r="X5" s="366" t="n">
        <v>10</v>
      </c>
      <c r="Y5" s="366" t="n">
        <v>11</v>
      </c>
      <c r="Z5" s="368" t="n">
        <v>12</v>
      </c>
      <c r="AF5" s="352" t="n">
        <v>36586</v>
      </c>
      <c r="AG5" s="311" t="n">
        <v>23</v>
      </c>
      <c r="AH5" s="311" t="n">
        <v>4</v>
      </c>
      <c r="AI5" s="311" t="n">
        <v>4</v>
      </c>
      <c r="AJ5" s="311" t="n">
        <v>0</v>
      </c>
      <c r="AK5" s="311" t="n">
        <v>31</v>
      </c>
      <c r="AL5" s="311"/>
      <c r="AM5" s="336"/>
      <c r="AN5" s="355"/>
      <c r="AO5" s="243"/>
      <c r="AP5" s="355"/>
      <c r="AQ5" s="413"/>
      <c r="AR5" s="345"/>
      <c r="AS5" s="106"/>
      <c r="AT5" s="106"/>
      <c r="AU5" s="406"/>
      <c r="AV5" s="345"/>
      <c r="AW5" s="362"/>
      <c r="AX5" s="362"/>
      <c r="AY5" s="362"/>
      <c r="AZ5" s="345"/>
      <c r="BA5" s="362"/>
      <c r="BB5" s="362"/>
      <c r="BC5" s="406"/>
      <c r="BD5" s="345"/>
      <c r="BE5" s="362"/>
      <c r="BF5" s="362"/>
      <c r="BG5" s="62"/>
      <c r="BH5" s="345"/>
      <c r="BI5" s="345"/>
      <c r="BJ5" s="415"/>
      <c r="BK5" s="62"/>
    </row>
    <row r="6" customFormat="false" ht="12.75" hidden="false" customHeight="false" outlineLevel="0" collapsed="false">
      <c r="A6" s="333" t="s">
        <v>95</v>
      </c>
      <c r="B6" s="370" t="s">
        <v>1329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 t="s">
        <v>96</v>
      </c>
      <c r="O6" s="371"/>
      <c r="P6" s="372"/>
      <c r="Q6" s="116"/>
      <c r="R6" s="116"/>
      <c r="S6" s="116"/>
      <c r="T6" s="116"/>
      <c r="U6" s="116"/>
      <c r="V6" s="116"/>
      <c r="W6" s="116"/>
      <c r="X6" s="116"/>
      <c r="Y6" s="116"/>
      <c r="Z6" s="295"/>
      <c r="AF6" s="352" t="n">
        <v>36617</v>
      </c>
      <c r="AG6" s="311" t="n">
        <v>20</v>
      </c>
      <c r="AH6" s="311" t="n">
        <v>5</v>
      </c>
      <c r="AI6" s="311" t="n">
        <v>5</v>
      </c>
      <c r="AJ6" s="311" t="n">
        <v>0</v>
      </c>
      <c r="AK6" s="311" t="n">
        <v>30</v>
      </c>
      <c r="AL6" s="311"/>
      <c r="AM6" s="336"/>
      <c r="AN6" s="355"/>
      <c r="AO6" s="243"/>
      <c r="AP6" s="355"/>
      <c r="AQ6" s="413"/>
      <c r="AR6" s="345"/>
      <c r="AS6" s="106"/>
      <c r="AT6" s="106"/>
      <c r="AU6" s="406"/>
      <c r="AV6" s="345"/>
      <c r="AW6" s="362"/>
      <c r="AX6" s="362"/>
      <c r="AY6" s="362"/>
      <c r="AZ6" s="345"/>
      <c r="BA6" s="362"/>
      <c r="BB6" s="362"/>
      <c r="BC6" s="406"/>
      <c r="BD6" s="345"/>
      <c r="BE6" s="362"/>
      <c r="BF6" s="362"/>
      <c r="BG6" s="62"/>
      <c r="BH6" s="62"/>
      <c r="BI6" s="62"/>
      <c r="BJ6" s="62"/>
      <c r="BK6" s="62"/>
    </row>
    <row r="7" customFormat="false" ht="12.75" hidden="false" customHeight="false" outlineLevel="0" collapsed="false">
      <c r="A7" s="332" t="n">
        <v>100</v>
      </c>
      <c r="B7" s="373" t="n">
        <f aca="false">'Power Curves'!AT21</f>
        <v>0.95</v>
      </c>
      <c r="C7" s="373" t="n">
        <f aca="false">'Power Curves'!AU21</f>
        <v>0.95</v>
      </c>
      <c r="D7" s="373" t="n">
        <f aca="false">'Power Curves'!AV21</f>
        <v>0.970407745105669</v>
      </c>
      <c r="E7" s="373" t="n">
        <f aca="false">'Power Curves'!AW21</f>
        <v>0.995812581084143</v>
      </c>
      <c r="F7" s="373" t="n">
        <f aca="false">'Power Curves'!AX21</f>
        <v>0.934833865798727</v>
      </c>
      <c r="G7" s="373" t="n">
        <f aca="false">'Power Curves'!AY21</f>
        <v>1.02</v>
      </c>
      <c r="H7" s="373" t="n">
        <f aca="false">'Power Curves'!AZ21</f>
        <v>1.10934059893359</v>
      </c>
      <c r="I7" s="373" t="n">
        <f aca="false">'Power Curves'!BA21</f>
        <v>1.10934059893359</v>
      </c>
      <c r="J7" s="373" t="n">
        <f aca="false">'Power Curves'!BB21</f>
        <v>1.02</v>
      </c>
      <c r="K7" s="373" t="n">
        <f aca="false">'Power Curves'!BC21</f>
        <v>0.995812581084143</v>
      </c>
      <c r="L7" s="373" t="n">
        <f aca="false">'Power Curves'!BD21</f>
        <v>0.976</v>
      </c>
      <c r="M7" s="373" t="n">
        <f aca="false">'Power Curves'!BE21</f>
        <v>0.976</v>
      </c>
      <c r="N7" s="374" t="n">
        <f aca="false">VALUE('Power Curves'!BF21)</f>
        <v>2</v>
      </c>
      <c r="O7" s="371" t="n">
        <f aca="false">IF(AND($N7=1,$N14=1),AVERAGE(B7:B14),0)</f>
        <v>0</v>
      </c>
      <c r="P7" s="372" t="n">
        <f aca="false">IF(AND($N7=1,$N14=1),AVERAGE(C7:C14),0)</f>
        <v>0</v>
      </c>
      <c r="Q7" s="372" t="n">
        <f aca="false">IF(AND($N7=1,$N14=1),AVERAGE(D7:D14),0)</f>
        <v>0</v>
      </c>
      <c r="R7" s="372" t="n">
        <f aca="false">IF(AND($N7=1,$N14=1),AVERAGE(E7:E14),0)</f>
        <v>0</v>
      </c>
      <c r="S7" s="372" t="n">
        <f aca="false">IF(AND($N7=1,$N14=1),AVERAGE(F7:F14),0)</f>
        <v>0</v>
      </c>
      <c r="T7" s="372" t="n">
        <f aca="false">IF(AND($N7=1,$N14=1),AVERAGE(G7:G14),0)</f>
        <v>0</v>
      </c>
      <c r="U7" s="372" t="n">
        <f aca="false">IF(AND($N7=1,$N14=1),AVERAGE(H7:H14),0)</f>
        <v>0</v>
      </c>
      <c r="V7" s="372" t="n">
        <f aca="false">IF(AND($N7=1,$N14=1),AVERAGE(I7:I14),0)</f>
        <v>0</v>
      </c>
      <c r="W7" s="372" t="n">
        <f aca="false">IF(AND($N7=1,$N14=1),AVERAGE(J7:J14),0)</f>
        <v>0</v>
      </c>
      <c r="X7" s="372" t="n">
        <f aca="false">IF(AND($N7=1,$N14=1),AVERAGE(K7:K14),0)</f>
        <v>0</v>
      </c>
      <c r="Y7" s="372" t="n">
        <f aca="false">IF(AND($N7=1,$N14=1),AVERAGE(L7:L14),0)</f>
        <v>0</v>
      </c>
      <c r="Z7" s="375" t="n">
        <f aca="false">IF(AND($N7=1,$N14=1),AVERAGE(M7:M14),0)</f>
        <v>0</v>
      </c>
      <c r="AF7" s="352" t="n">
        <v>36647</v>
      </c>
      <c r="AG7" s="311" t="n">
        <v>22</v>
      </c>
      <c r="AH7" s="311" t="n">
        <v>4</v>
      </c>
      <c r="AI7" s="311" t="n">
        <v>5</v>
      </c>
      <c r="AJ7" s="311" t="n">
        <v>1</v>
      </c>
      <c r="AK7" s="311" t="n">
        <v>31</v>
      </c>
      <c r="AL7" s="311"/>
      <c r="AM7" s="336"/>
      <c r="AN7" s="355"/>
      <c r="AO7" s="243"/>
      <c r="AP7" s="355"/>
      <c r="AQ7" s="413"/>
      <c r="AR7" s="345"/>
      <c r="AS7" s="106"/>
      <c r="AT7" s="106"/>
      <c r="AU7" s="406"/>
      <c r="AV7" s="62"/>
      <c r="AW7" s="62"/>
      <c r="AX7" s="62"/>
      <c r="AZ7" s="119"/>
      <c r="BA7" s="119"/>
      <c r="BB7" s="119"/>
      <c r="BC7" s="406"/>
      <c r="BD7" s="119"/>
      <c r="BE7" s="119"/>
      <c r="BF7" s="119"/>
      <c r="BG7" s="62"/>
      <c r="BH7" s="62"/>
      <c r="BI7" s="62"/>
      <c r="BJ7" s="415" t="s">
        <v>1336</v>
      </c>
      <c r="BK7" s="62"/>
    </row>
    <row r="8" customFormat="false" ht="12.75" hidden="false" customHeight="false" outlineLevel="0" collapsed="false">
      <c r="A8" s="332" t="n">
        <v>200</v>
      </c>
      <c r="B8" s="373" t="n">
        <f aca="false">'Power Curves'!AT22</f>
        <v>0.9</v>
      </c>
      <c r="C8" s="373" t="n">
        <f aca="false">'Power Curves'!AU22</f>
        <v>0.9</v>
      </c>
      <c r="D8" s="373" t="n">
        <f aca="false">'Power Curves'!AV22</f>
        <v>0.934329009710238</v>
      </c>
      <c r="E8" s="373" t="n">
        <f aca="false">'Power Curves'!AW22</f>
        <v>0.867490109934275</v>
      </c>
      <c r="F8" s="373" t="n">
        <f aca="false">'Power Curves'!AX22</f>
        <v>0.93</v>
      </c>
      <c r="G8" s="373" t="n">
        <f aca="false">'Power Curves'!AY22</f>
        <v>0.95</v>
      </c>
      <c r="H8" s="373" t="n">
        <f aca="false">'Power Curves'!AZ22</f>
        <v>0.940393910647401</v>
      </c>
      <c r="I8" s="373" t="n">
        <f aca="false">'Power Curves'!BA22</f>
        <v>0.940393910647401</v>
      </c>
      <c r="J8" s="373" t="n">
        <f aca="false">'Power Curves'!BB22</f>
        <v>0.95</v>
      </c>
      <c r="K8" s="373" t="n">
        <f aca="false">'Power Curves'!BC22</f>
        <v>0.867490109934275</v>
      </c>
      <c r="L8" s="373" t="n">
        <f aca="false">'Power Curves'!BD22</f>
        <v>0.9</v>
      </c>
      <c r="M8" s="373" t="n">
        <f aca="false">'Power Curves'!BE22</f>
        <v>0.9</v>
      </c>
      <c r="N8" s="374" t="n">
        <f aca="false">VALUE('Power Curves'!BF22)</f>
        <v>2</v>
      </c>
      <c r="O8" s="371" t="n">
        <f aca="false">IF(AND($N8=1,$N15=1),AVERAGE(B8:B15),0)</f>
        <v>0</v>
      </c>
      <c r="P8" s="372" t="n">
        <f aca="false">IF(AND($N8=1,$N15=1),AVERAGE(C8:C15),0)</f>
        <v>0</v>
      </c>
      <c r="Q8" s="372" t="n">
        <f aca="false">IF(AND($N8=1,$N15=1),AVERAGE(D8:D15),0)</f>
        <v>0</v>
      </c>
      <c r="R8" s="372" t="n">
        <f aca="false">IF(AND($N8=1,$N15=1),AVERAGE(E8:E15),0)</f>
        <v>0</v>
      </c>
      <c r="S8" s="372" t="n">
        <f aca="false">IF(AND($N8=1,$N15=1),AVERAGE(F8:F15),0)</f>
        <v>0</v>
      </c>
      <c r="T8" s="372" t="n">
        <f aca="false">IF(AND($N8=1,$N15=1),AVERAGE(G8:G15),0)</f>
        <v>0</v>
      </c>
      <c r="U8" s="372" t="n">
        <f aca="false">IF(AND($N8=1,$N15=1),AVERAGE(H8:H15),0)</f>
        <v>0</v>
      </c>
      <c r="V8" s="372" t="n">
        <f aca="false">IF(AND($N8=1,$N15=1),AVERAGE(I8:I15),0)</f>
        <v>0</v>
      </c>
      <c r="W8" s="372" t="n">
        <f aca="false">IF(AND($N8=1,$N15=1),AVERAGE(J8:J15),0)</f>
        <v>0</v>
      </c>
      <c r="X8" s="372" t="n">
        <f aca="false">IF(AND($N8=1,$N15=1),AVERAGE(K8:K15),0)</f>
        <v>0</v>
      </c>
      <c r="Y8" s="372" t="n">
        <f aca="false">IF(AND($N8=1,$N15=1),AVERAGE(L8:L15),0)</f>
        <v>0</v>
      </c>
      <c r="Z8" s="375" t="n">
        <f aca="false">IF(AND($N8=1,$N15=1),AVERAGE(M8:M15),0)</f>
        <v>0</v>
      </c>
      <c r="AF8" s="352" t="n">
        <v>36678</v>
      </c>
      <c r="AG8" s="311" t="n">
        <v>22</v>
      </c>
      <c r="AH8" s="311" t="n">
        <v>4</v>
      </c>
      <c r="AI8" s="311" t="n">
        <v>4</v>
      </c>
      <c r="AJ8" s="311" t="n">
        <v>0</v>
      </c>
      <c r="AK8" s="311" t="n">
        <v>30</v>
      </c>
      <c r="AL8" s="311"/>
      <c r="AM8" s="336"/>
      <c r="AN8" s="62"/>
      <c r="AO8" s="341"/>
      <c r="AP8" s="341"/>
      <c r="AQ8" s="413"/>
      <c r="AR8" s="345"/>
      <c r="AS8" s="106"/>
      <c r="AT8" s="106"/>
      <c r="AU8" s="406"/>
      <c r="AV8" s="345"/>
      <c r="AW8" s="345"/>
      <c r="AX8" s="345"/>
      <c r="AY8" s="345"/>
      <c r="AZ8" s="119"/>
      <c r="BA8" s="62"/>
      <c r="BB8" s="62"/>
      <c r="BC8" s="406"/>
      <c r="BD8" s="345"/>
      <c r="BE8" s="345"/>
      <c r="BF8" s="345"/>
      <c r="BG8" s="62"/>
      <c r="BH8" s="62"/>
      <c r="BI8" s="62"/>
      <c r="BJ8" s="62"/>
      <c r="BK8" s="62"/>
    </row>
    <row r="9" customFormat="false" ht="12.75" hidden="false" customHeight="false" outlineLevel="0" collapsed="false">
      <c r="A9" s="332" t="n">
        <v>300</v>
      </c>
      <c r="B9" s="373" t="n">
        <f aca="false">'Power Curves'!AT23</f>
        <v>0.9</v>
      </c>
      <c r="C9" s="373" t="n">
        <f aca="false">'Power Curves'!AU23</f>
        <v>0.9</v>
      </c>
      <c r="D9" s="373" t="n">
        <f aca="false">'Power Curves'!AV23</f>
        <v>0.931716331023903</v>
      </c>
      <c r="E9" s="373" t="n">
        <f aca="false">'Power Curves'!AW23</f>
        <v>0.829968217715179</v>
      </c>
      <c r="F9" s="373" t="n">
        <f aca="false">'Power Curves'!AX23</f>
        <v>0.93</v>
      </c>
      <c r="G9" s="373" t="n">
        <f aca="false">'Power Curves'!AY23</f>
        <v>0.9</v>
      </c>
      <c r="H9" s="373" t="n">
        <f aca="false">'Power Curves'!AZ23</f>
        <v>0.833717786208317</v>
      </c>
      <c r="I9" s="373" t="n">
        <f aca="false">'Power Curves'!BA23</f>
        <v>0.833717786208317</v>
      </c>
      <c r="J9" s="373" t="n">
        <f aca="false">'Power Curves'!BB23</f>
        <v>0.9</v>
      </c>
      <c r="K9" s="373" t="n">
        <f aca="false">'Power Curves'!BC23</f>
        <v>0.829968217715179</v>
      </c>
      <c r="L9" s="373" t="n">
        <f aca="false">'Power Curves'!BD23</f>
        <v>0.9</v>
      </c>
      <c r="M9" s="373" t="n">
        <f aca="false">'Power Curves'!BE23</f>
        <v>0.9</v>
      </c>
      <c r="N9" s="374" t="n">
        <f aca="false">VALUE('Power Curves'!BF23)</f>
        <v>2</v>
      </c>
      <c r="O9" s="371" t="n">
        <f aca="false">IF(AND($N9=1,$N16=1),AVERAGE(B9:B16),0)</f>
        <v>0</v>
      </c>
      <c r="P9" s="372" t="n">
        <f aca="false">IF(AND($N9=1,$N16=1),AVERAGE(C9:C16),0)</f>
        <v>0</v>
      </c>
      <c r="Q9" s="372" t="n">
        <f aca="false">IF(AND($N9=1,$N16=1),AVERAGE(D9:D16),0)</f>
        <v>0</v>
      </c>
      <c r="R9" s="372" t="n">
        <f aca="false">IF(AND($N9=1,$N16=1),AVERAGE(E9:E16),0)</f>
        <v>0</v>
      </c>
      <c r="S9" s="372" t="n">
        <f aca="false">IF(AND($N9=1,$N16=1),AVERAGE(F9:F16),0)</f>
        <v>0</v>
      </c>
      <c r="T9" s="372" t="n">
        <f aca="false">IF(AND($N9=1,$N16=1),AVERAGE(G9:G16),0)</f>
        <v>0</v>
      </c>
      <c r="U9" s="372" t="n">
        <f aca="false">IF(AND($N9=1,$N16=1),AVERAGE(H9:H16),0)</f>
        <v>0</v>
      </c>
      <c r="V9" s="372" t="n">
        <f aca="false">IF(AND($N9=1,$N16=1),AVERAGE(I9:I16),0)</f>
        <v>0</v>
      </c>
      <c r="W9" s="372" t="n">
        <f aca="false">IF(AND($N9=1,$N16=1),AVERAGE(J9:J16),0)</f>
        <v>0</v>
      </c>
      <c r="X9" s="372" t="n">
        <f aca="false">IF(AND($N9=1,$N16=1),AVERAGE(K9:K16),0)</f>
        <v>0</v>
      </c>
      <c r="Y9" s="372" t="n">
        <f aca="false">IF(AND($N9=1,$N16=1),AVERAGE(L9:L16),0)</f>
        <v>0</v>
      </c>
      <c r="Z9" s="375" t="n">
        <f aca="false">IF(AND($N9=1,$N16=1),AVERAGE(M9:M16),0)</f>
        <v>0</v>
      </c>
      <c r="AF9" s="352" t="n">
        <v>36708</v>
      </c>
      <c r="AG9" s="311" t="n">
        <v>20</v>
      </c>
      <c r="AH9" s="311" t="n">
        <v>5</v>
      </c>
      <c r="AI9" s="311" t="n">
        <v>6</v>
      </c>
      <c r="AJ9" s="311" t="n">
        <v>1</v>
      </c>
      <c r="AK9" s="311" t="n">
        <v>31</v>
      </c>
      <c r="AL9" s="311"/>
      <c r="AM9" s="336"/>
      <c r="AN9" s="341"/>
      <c r="AO9" s="412"/>
      <c r="AP9" s="341"/>
      <c r="AQ9" s="417"/>
      <c r="AR9" s="345"/>
      <c r="AS9" s="106"/>
      <c r="AT9" s="106"/>
      <c r="AU9" s="406"/>
      <c r="AV9" s="345"/>
      <c r="AW9" s="362"/>
      <c r="AX9" s="362"/>
      <c r="AY9" s="362"/>
      <c r="AZ9" s="119"/>
      <c r="BA9" s="62"/>
      <c r="BB9" s="62"/>
      <c r="BC9" s="406"/>
      <c r="BD9" s="345"/>
      <c r="BE9" s="362"/>
      <c r="BF9" s="362"/>
      <c r="BG9" s="62"/>
      <c r="BH9" s="62"/>
      <c r="BI9" s="62"/>
      <c r="BJ9" s="62"/>
      <c r="BK9" s="62"/>
    </row>
    <row r="10" customFormat="false" ht="12.75" hidden="false" customHeight="false" outlineLevel="0" collapsed="false">
      <c r="A10" s="332" t="n">
        <v>400</v>
      </c>
      <c r="B10" s="373" t="n">
        <f aca="false">'Power Curves'!AT24</f>
        <v>0.9</v>
      </c>
      <c r="C10" s="373" t="n">
        <f aca="false">'Power Curves'!AU24</f>
        <v>0.9</v>
      </c>
      <c r="D10" s="373" t="n">
        <f aca="false">'Power Curves'!AV24</f>
        <v>0.931716331023903</v>
      </c>
      <c r="E10" s="373" t="n">
        <f aca="false">'Power Curves'!AW24</f>
        <v>0.829968217715179</v>
      </c>
      <c r="F10" s="373" t="n">
        <f aca="false">'Power Curves'!AX24</f>
        <v>0.936</v>
      </c>
      <c r="G10" s="373" t="n">
        <f aca="false">'Power Curves'!AY24</f>
        <v>0.85</v>
      </c>
      <c r="H10" s="373" t="n">
        <f aca="false">'Power Curves'!AZ24</f>
        <v>0.795557301903125</v>
      </c>
      <c r="I10" s="373" t="n">
        <f aca="false">'Power Curves'!BA24</f>
        <v>0.795557301903125</v>
      </c>
      <c r="J10" s="373" t="n">
        <f aca="false">'Power Curves'!BB24</f>
        <v>0.85</v>
      </c>
      <c r="K10" s="373" t="n">
        <f aca="false">'Power Curves'!BC24</f>
        <v>0.829968217715179</v>
      </c>
      <c r="L10" s="373" t="n">
        <f aca="false">'Power Curves'!BD24</f>
        <v>0.9</v>
      </c>
      <c r="M10" s="373" t="n">
        <f aca="false">'Power Curves'!BE24</f>
        <v>0.9</v>
      </c>
      <c r="N10" s="374" t="n">
        <f aca="false">VALUE('Power Curves'!BF24)</f>
        <v>2</v>
      </c>
      <c r="O10" s="371" t="n">
        <f aca="false">IF(AND($N10=1,$N17=1),AVERAGE(B10:B17),0)</f>
        <v>0</v>
      </c>
      <c r="P10" s="372" t="n">
        <f aca="false">IF(AND($N10=1,$N17=1),AVERAGE(C10:C17),0)</f>
        <v>0</v>
      </c>
      <c r="Q10" s="372" t="n">
        <f aca="false">IF(AND($N10=1,$N17=1),AVERAGE(D10:D17),0)</f>
        <v>0</v>
      </c>
      <c r="R10" s="372" t="n">
        <f aca="false">IF(AND($N10=1,$N17=1),AVERAGE(E10:E17),0)</f>
        <v>0</v>
      </c>
      <c r="S10" s="372" t="n">
        <f aca="false">IF(AND($N10=1,$N17=1),AVERAGE(F10:F17),0)</f>
        <v>0</v>
      </c>
      <c r="T10" s="372" t="n">
        <f aca="false">IF(AND($N10=1,$N17=1),AVERAGE(G10:G17),0)</f>
        <v>0</v>
      </c>
      <c r="U10" s="372" t="n">
        <f aca="false">IF(AND($N10=1,$N17=1),AVERAGE(H10:H17),0)</f>
        <v>0</v>
      </c>
      <c r="V10" s="372" t="n">
        <f aca="false">IF(AND($N10=1,$N17=1),AVERAGE(I10:I17),0)</f>
        <v>0</v>
      </c>
      <c r="W10" s="372" t="n">
        <f aca="false">IF(AND($N10=1,$N17=1),AVERAGE(J10:J17),0)</f>
        <v>0</v>
      </c>
      <c r="X10" s="372" t="n">
        <f aca="false">IF(AND($N10=1,$N17=1),AVERAGE(K10:K17),0)</f>
        <v>0</v>
      </c>
      <c r="Y10" s="372" t="n">
        <f aca="false">IF(AND($N10=1,$N17=1),AVERAGE(L10:L17),0)</f>
        <v>0</v>
      </c>
      <c r="Z10" s="375" t="n">
        <f aca="false">IF(AND($N10=1,$N17=1),AVERAGE(M10:M17),0)</f>
        <v>0</v>
      </c>
      <c r="AF10" s="352" t="n">
        <v>36739</v>
      </c>
      <c r="AG10" s="311" t="n">
        <v>23</v>
      </c>
      <c r="AH10" s="311" t="n">
        <v>4</v>
      </c>
      <c r="AI10" s="311" t="n">
        <v>4</v>
      </c>
      <c r="AJ10" s="311" t="n">
        <v>0</v>
      </c>
      <c r="AK10" s="311" t="n">
        <v>31</v>
      </c>
      <c r="AL10" s="311"/>
      <c r="AM10" s="336"/>
      <c r="AN10" s="355"/>
      <c r="AO10" s="243"/>
      <c r="AP10" s="341"/>
      <c r="AQ10" s="417"/>
      <c r="AR10" s="345"/>
      <c r="AS10" s="106"/>
      <c r="AT10" s="106"/>
      <c r="AU10" s="406"/>
      <c r="AV10" s="345"/>
      <c r="AW10" s="362"/>
      <c r="AX10" s="362"/>
      <c r="AY10" s="362"/>
      <c r="AZ10" s="345"/>
      <c r="BA10" s="345"/>
      <c r="BB10" s="345"/>
      <c r="BC10" s="406"/>
      <c r="BD10" s="345"/>
      <c r="BE10" s="362"/>
      <c r="BF10" s="362"/>
      <c r="BG10" s="62"/>
      <c r="BH10" s="62"/>
      <c r="BI10" s="243"/>
      <c r="BJ10" s="418" t="s">
        <v>1343</v>
      </c>
      <c r="BK10" s="62"/>
    </row>
    <row r="11" customFormat="false" ht="12.75" hidden="false" customHeight="false" outlineLevel="0" collapsed="false">
      <c r="A11" s="332" t="n">
        <v>500</v>
      </c>
      <c r="B11" s="373" t="n">
        <f aca="false">'Power Curves'!AT25</f>
        <v>1</v>
      </c>
      <c r="C11" s="373" t="n">
        <f aca="false">'Power Curves'!AU25</f>
        <v>1</v>
      </c>
      <c r="D11" s="373" t="n">
        <f aca="false">'Power Curves'!AV25</f>
        <v>0.961008684423147</v>
      </c>
      <c r="E11" s="373" t="n">
        <f aca="false">'Power Curves'!AW25</f>
        <v>0.904126416732948</v>
      </c>
      <c r="F11" s="373" t="n">
        <f aca="false">'Power Curves'!AX25</f>
        <v>0.96</v>
      </c>
      <c r="G11" s="373" t="n">
        <f aca="false">'Power Curves'!AY25</f>
        <v>0.895</v>
      </c>
      <c r="H11" s="373" t="n">
        <f aca="false">'Power Curves'!AZ25</f>
        <v>0.813654783608707</v>
      </c>
      <c r="I11" s="373" t="n">
        <f aca="false">'Power Curves'!BA25</f>
        <v>0.813654783608707</v>
      </c>
      <c r="J11" s="373" t="n">
        <f aca="false">'Power Curves'!BB25</f>
        <v>0.895</v>
      </c>
      <c r="K11" s="373" t="n">
        <f aca="false">'Power Curves'!BC25</f>
        <v>0.904126416732948</v>
      </c>
      <c r="L11" s="373" t="n">
        <f aca="false">'Power Curves'!BD25</f>
        <v>0.95</v>
      </c>
      <c r="M11" s="373" t="n">
        <f aca="false">'Power Curves'!BE25</f>
        <v>0.95</v>
      </c>
      <c r="N11" s="374" t="n">
        <f aca="false">VALUE('Power Curves'!BF25)</f>
        <v>2</v>
      </c>
      <c r="O11" s="371" t="n">
        <f aca="false">IF(AND($N11=1,$N18=1),AVERAGE(B11:B18),0)</f>
        <v>0</v>
      </c>
      <c r="P11" s="372" t="n">
        <f aca="false">IF(AND($N11=1,$N18=1),AVERAGE(C11:C18),0)</f>
        <v>0</v>
      </c>
      <c r="Q11" s="372" t="n">
        <f aca="false">IF(AND($N11=1,$N18=1),AVERAGE(D11:D18),0)</f>
        <v>0</v>
      </c>
      <c r="R11" s="372" t="n">
        <f aca="false">IF(AND($N11=1,$N18=1),AVERAGE(E11:E18),0)</f>
        <v>0</v>
      </c>
      <c r="S11" s="372" t="n">
        <f aca="false">IF(AND($N11=1,$N18=1),AVERAGE(F11:F18),0)</f>
        <v>0</v>
      </c>
      <c r="T11" s="372" t="n">
        <f aca="false">IF(AND($N11=1,$N18=1),AVERAGE(G11:G18),0)</f>
        <v>0</v>
      </c>
      <c r="U11" s="372" t="n">
        <f aca="false">IF(AND($N11=1,$N18=1),AVERAGE(H11:H18),0)</f>
        <v>0</v>
      </c>
      <c r="V11" s="372" t="n">
        <f aca="false">IF(AND($N11=1,$N18=1),AVERAGE(I11:I18),0)</f>
        <v>0</v>
      </c>
      <c r="W11" s="372" t="n">
        <f aca="false">IF(AND($N11=1,$N18=1),AVERAGE(J11:J18),0)</f>
        <v>0</v>
      </c>
      <c r="X11" s="372" t="n">
        <f aca="false">IF(AND($N11=1,$N18=1),AVERAGE(K11:K18),0)</f>
        <v>0</v>
      </c>
      <c r="Y11" s="372" t="n">
        <f aca="false">IF(AND($N11=1,$N18=1),AVERAGE(L11:L18),0)</f>
        <v>0</v>
      </c>
      <c r="Z11" s="375" t="n">
        <f aca="false">IF(AND($N11=1,$N18=1),AVERAGE(M11:M18),0)</f>
        <v>0</v>
      </c>
      <c r="AF11" s="352" t="n">
        <v>36770</v>
      </c>
      <c r="AG11" s="311" t="n">
        <v>20</v>
      </c>
      <c r="AH11" s="311" t="n">
        <v>5</v>
      </c>
      <c r="AI11" s="311" t="n">
        <v>5</v>
      </c>
      <c r="AJ11" s="311" t="n">
        <v>1</v>
      </c>
      <c r="AK11" s="311" t="n">
        <v>30</v>
      </c>
      <c r="AL11" s="311"/>
      <c r="AM11" s="336"/>
      <c r="AN11" s="355"/>
      <c r="AO11" s="243"/>
      <c r="AP11" s="341"/>
      <c r="AQ11" s="417"/>
      <c r="AR11" s="345"/>
      <c r="AS11" s="106"/>
      <c r="AT11" s="106"/>
      <c r="AU11" s="406"/>
      <c r="AV11" s="345"/>
      <c r="AW11" s="362"/>
      <c r="AX11" s="362"/>
      <c r="AY11" s="362"/>
      <c r="AZ11" s="345"/>
      <c r="BA11" s="362"/>
      <c r="BB11" s="362"/>
      <c r="BC11" s="406"/>
      <c r="BD11" s="345"/>
      <c r="BE11" s="362"/>
      <c r="BF11" s="362"/>
      <c r="BG11" s="119"/>
      <c r="BH11" s="62"/>
      <c r="BI11" s="62"/>
      <c r="BJ11" s="62"/>
      <c r="BK11" s="62"/>
    </row>
    <row r="12" customFormat="false" ht="12.75" hidden="false" customHeight="false" outlineLevel="0" collapsed="false">
      <c r="A12" s="332" t="n">
        <v>600</v>
      </c>
      <c r="B12" s="373" t="n">
        <f aca="false">'Power Curves'!AT26</f>
        <v>1.35</v>
      </c>
      <c r="C12" s="373" t="n">
        <f aca="false">'Power Curves'!AU26</f>
        <v>1.35</v>
      </c>
      <c r="D12" s="373" t="n">
        <f aca="false">'Power Curves'!AV26</f>
        <v>1.06600068971274</v>
      </c>
      <c r="E12" s="373" t="n">
        <f aca="false">'Power Curves'!AW26</f>
        <v>1.15346940651923</v>
      </c>
      <c r="F12" s="373" t="n">
        <f aca="false">'Power Curves'!AX26</f>
        <v>1.2</v>
      </c>
      <c r="G12" s="373" t="n">
        <f aca="false">'Power Curves'!AY26</f>
        <v>0.92</v>
      </c>
      <c r="H12" s="373" t="n">
        <f aca="false">'Power Curves'!AZ26</f>
        <v>1.021367977662</v>
      </c>
      <c r="I12" s="373" t="n">
        <f aca="false">'Power Curves'!BA26</f>
        <v>1.021367977662</v>
      </c>
      <c r="J12" s="373" t="n">
        <f aca="false">'Power Curves'!BB26</f>
        <v>0.92</v>
      </c>
      <c r="K12" s="373" t="n">
        <f aca="false">'Power Curves'!BC26</f>
        <v>1.15346940651923</v>
      </c>
      <c r="L12" s="373" t="n">
        <f aca="false">'Power Curves'!BD26</f>
        <v>1.2</v>
      </c>
      <c r="M12" s="373" t="n">
        <f aca="false">'Power Curves'!BE26</f>
        <v>1.15</v>
      </c>
      <c r="N12" s="374" t="n">
        <f aca="false">VALUE('Power Curves'!BF26)</f>
        <v>2</v>
      </c>
      <c r="O12" s="371" t="n">
        <f aca="false">IF(AND($N12=1,$N19=1),AVERAGE(B12:B19),0)</f>
        <v>0</v>
      </c>
      <c r="P12" s="372" t="n">
        <f aca="false">IF(AND($N12=1,$N19=1),AVERAGE(C12:C19),0)</f>
        <v>0</v>
      </c>
      <c r="Q12" s="372" t="n">
        <f aca="false">IF(AND($N12=1,$N19=1),AVERAGE(D12:D19),0)</f>
        <v>0</v>
      </c>
      <c r="R12" s="372" t="n">
        <f aca="false">IF(AND($N12=1,$N19=1),AVERAGE(E12:E19),0)</f>
        <v>0</v>
      </c>
      <c r="S12" s="372" t="n">
        <f aca="false">IF(AND($N12=1,$N19=1),AVERAGE(F12:F19),0)</f>
        <v>0</v>
      </c>
      <c r="T12" s="372" t="n">
        <f aca="false">IF(AND($N12=1,$N19=1),AVERAGE(G12:G19),0)</f>
        <v>0</v>
      </c>
      <c r="U12" s="372" t="n">
        <f aca="false">IF(AND($N12=1,$N19=1),AVERAGE(H12:H19),0)</f>
        <v>0</v>
      </c>
      <c r="V12" s="372" t="n">
        <f aca="false">IF(AND($N12=1,$N19=1),AVERAGE(I12:I19),0)</f>
        <v>0</v>
      </c>
      <c r="W12" s="372" t="n">
        <f aca="false">IF(AND($N12=1,$N19=1),AVERAGE(J12:J19),0)</f>
        <v>0</v>
      </c>
      <c r="X12" s="372" t="n">
        <f aca="false">IF(AND($N12=1,$N19=1),AVERAGE(K12:K19),0)</f>
        <v>0</v>
      </c>
      <c r="Y12" s="372" t="n">
        <f aca="false">IF(AND($N12=1,$N19=1),AVERAGE(L12:L19),0)</f>
        <v>0</v>
      </c>
      <c r="Z12" s="375" t="n">
        <f aca="false">IF(AND($N12=1,$N19=1),AVERAGE(M12:M19),0)</f>
        <v>0</v>
      </c>
      <c r="AF12" s="352" t="n">
        <v>36800</v>
      </c>
      <c r="AG12" s="311" t="n">
        <v>22</v>
      </c>
      <c r="AH12" s="311" t="n">
        <v>4</v>
      </c>
      <c r="AI12" s="311" t="n">
        <v>5</v>
      </c>
      <c r="AJ12" s="311" t="n">
        <v>0</v>
      </c>
      <c r="AK12" s="311" t="n">
        <v>31</v>
      </c>
      <c r="AL12" s="311"/>
      <c r="AM12" s="336"/>
      <c r="AN12" s="355"/>
      <c r="AO12" s="243"/>
      <c r="AP12" s="62"/>
      <c r="AQ12" s="417"/>
      <c r="AR12" s="345"/>
      <c r="AS12" s="106"/>
      <c r="AT12" s="106"/>
      <c r="AU12" s="406"/>
      <c r="AV12" s="62"/>
      <c r="AW12" s="62"/>
      <c r="AX12" s="62"/>
      <c r="AZ12" s="345"/>
      <c r="BA12" s="362"/>
      <c r="BB12" s="362"/>
      <c r="BC12" s="406"/>
      <c r="BD12" s="362"/>
      <c r="BE12" s="362"/>
      <c r="BF12" s="362"/>
      <c r="BG12" s="119"/>
      <c r="BH12" s="62"/>
      <c r="BI12" s="62"/>
      <c r="BJ12" s="62"/>
      <c r="BK12" s="62"/>
    </row>
    <row r="13" customFormat="false" ht="12.75" hidden="false" customHeight="false" outlineLevel="0" collapsed="false">
      <c r="A13" s="332" t="n">
        <v>700</v>
      </c>
      <c r="B13" s="373" t="n">
        <f aca="false">'Power Curves'!AT27</f>
        <v>1.35</v>
      </c>
      <c r="C13" s="373" t="n">
        <f aca="false">'Power Curves'!AU27</f>
        <v>1.35</v>
      </c>
      <c r="D13" s="373" t="n">
        <f aca="false">'Power Curves'!AV27</f>
        <v>1.1561</v>
      </c>
      <c r="E13" s="373" t="n">
        <f aca="false">'Power Curves'!AW27</f>
        <v>1.22</v>
      </c>
      <c r="F13" s="373" t="n">
        <f aca="false">'Power Curves'!AX27</f>
        <v>0.85</v>
      </c>
      <c r="G13" s="373" t="n">
        <f aca="false">'Power Curves'!AY27</f>
        <v>0.47</v>
      </c>
      <c r="H13" s="373" t="n">
        <f aca="false">'Power Curves'!AZ27</f>
        <v>0.37</v>
      </c>
      <c r="I13" s="373" t="n">
        <f aca="false">'Power Curves'!BA27</f>
        <v>0.37</v>
      </c>
      <c r="J13" s="373" t="n">
        <f aca="false">'Power Curves'!BB27</f>
        <v>0.45</v>
      </c>
      <c r="K13" s="373" t="n">
        <f aca="false">'Power Curves'!BC27</f>
        <v>1.22</v>
      </c>
      <c r="L13" s="373" t="n">
        <f aca="false">'Power Curves'!BD27</f>
        <v>0.8</v>
      </c>
      <c r="M13" s="373" t="n">
        <f aca="false">'Power Curves'!BE27</f>
        <v>1</v>
      </c>
      <c r="N13" s="374" t="n">
        <f aca="false">VALUE('Power Curves'!BF27)</f>
        <v>1</v>
      </c>
      <c r="O13" s="371" t="n">
        <f aca="false">IF(AND($N13=1,$N20=1),AVERAGE(B13:B20),0)</f>
        <v>1.02007383501259</v>
      </c>
      <c r="P13" s="372" t="n">
        <f aca="false">IF(AND($N13=1,$N20=1),AVERAGE(C13:C20),0)</f>
        <v>1.02007383501259</v>
      </c>
      <c r="Q13" s="372" t="n">
        <f aca="false">IF(AND($N13=1,$N20=1),AVERAGE(D13:D20),0)</f>
        <v>1.0173448699422</v>
      </c>
      <c r="R13" s="372" t="n">
        <f aca="false">IF(AND($N13=1,$N20=1),AVERAGE(E13:E20),0)</f>
        <v>1.005</v>
      </c>
      <c r="S13" s="372" t="n">
        <f aca="false">IF(AND($N13=1,$N20=1),AVERAGE(F13:F20),0)</f>
        <v>0.9509375</v>
      </c>
      <c r="T13" s="372" t="n">
        <f aca="false">IF(AND($N13=1,$N20=1),AVERAGE(G13:G20),0)</f>
        <v>0.735</v>
      </c>
      <c r="U13" s="372" t="n">
        <f aca="false">IF(AND($N13=1,$N20=1),AVERAGE(H13:H20),0)</f>
        <v>0.685</v>
      </c>
      <c r="V13" s="372" t="n">
        <f aca="false">IF(AND($N13=1,$N20=1),AVERAGE(I13:I20),0)</f>
        <v>0.685</v>
      </c>
      <c r="W13" s="372" t="n">
        <f aca="false">IF(AND($N13=1,$N20=1),AVERAGE(J13:J20),0)</f>
        <v>0.706343865313653</v>
      </c>
      <c r="X13" s="372" t="n">
        <f aca="false">IF(AND($N13=1,$N20=1),AVERAGE(K13:K20),0)</f>
        <v>1.005</v>
      </c>
      <c r="Y13" s="372" t="n">
        <f aca="false">IF(AND($N13=1,$N20=1),AVERAGE(L13:L20),0)</f>
        <v>0.917568493150685</v>
      </c>
      <c r="Z13" s="375" t="n">
        <f aca="false">IF(AND($N13=1,$N20=1),AVERAGE(M13:M20),0)</f>
        <v>0.978755993150685</v>
      </c>
      <c r="AF13" s="352" t="n">
        <v>36831</v>
      </c>
      <c r="AG13" s="311" t="n">
        <v>21</v>
      </c>
      <c r="AH13" s="311" t="n">
        <v>4</v>
      </c>
      <c r="AI13" s="311" t="n">
        <v>5</v>
      </c>
      <c r="AJ13" s="311" t="n">
        <v>1</v>
      </c>
      <c r="AK13" s="311" t="n">
        <v>30</v>
      </c>
      <c r="AL13" s="311"/>
      <c r="AM13" s="336"/>
      <c r="AN13" s="355"/>
      <c r="AO13" s="243"/>
      <c r="AP13" s="341"/>
      <c r="AQ13" s="417"/>
      <c r="AR13" s="62"/>
      <c r="AS13" s="62"/>
      <c r="AT13" s="62"/>
      <c r="AU13" s="406"/>
      <c r="AV13" s="345"/>
      <c r="AW13" s="345"/>
      <c r="AX13" s="345"/>
      <c r="AY13" s="345"/>
      <c r="AZ13" s="345"/>
      <c r="BA13" s="362"/>
      <c r="BB13" s="362"/>
      <c r="BC13" s="406"/>
      <c r="BD13" s="345"/>
      <c r="BE13" s="345"/>
      <c r="BF13" s="345"/>
      <c r="BG13" s="119"/>
      <c r="BH13" s="62"/>
      <c r="BI13" s="62"/>
      <c r="BJ13" s="62"/>
      <c r="BK13" s="62"/>
    </row>
    <row r="14" customFormat="false" ht="12.75" hidden="false" customHeight="false" outlineLevel="0" collapsed="false">
      <c r="A14" s="332" t="n">
        <v>800</v>
      </c>
      <c r="B14" s="373" t="n">
        <f aca="false">'Power Curves'!AT28</f>
        <v>1.3485</v>
      </c>
      <c r="C14" s="373" t="n">
        <f aca="false">'Power Curves'!AU28</f>
        <v>1.3485</v>
      </c>
      <c r="D14" s="373" t="n">
        <f aca="false">'Power Curves'!AV28</f>
        <v>1.2485549132948</v>
      </c>
      <c r="E14" s="373" t="n">
        <f aca="false">'Power Curves'!AW28</f>
        <v>1.22</v>
      </c>
      <c r="F14" s="373" t="n">
        <f aca="false">'Power Curves'!AX28</f>
        <v>0.9175</v>
      </c>
      <c r="G14" s="373" t="n">
        <f aca="false">'Power Curves'!AY28</f>
        <v>0.47</v>
      </c>
      <c r="H14" s="373" t="n">
        <f aca="false">'Power Curves'!AZ28</f>
        <v>0.37</v>
      </c>
      <c r="I14" s="373" t="n">
        <f aca="false">'Power Curves'!BA28</f>
        <v>0.37</v>
      </c>
      <c r="J14" s="373" t="n">
        <f aca="false">'Power Curves'!BB28</f>
        <v>0.531365313653137</v>
      </c>
      <c r="K14" s="373" t="n">
        <f aca="false">'Power Curves'!BC28</f>
        <v>1.22</v>
      </c>
      <c r="L14" s="373" t="n">
        <f aca="false">'Power Curves'!BD28</f>
        <v>1.15</v>
      </c>
      <c r="M14" s="373" t="n">
        <f aca="false">'Power Curves'!BE28</f>
        <v>1.2545</v>
      </c>
      <c r="N14" s="374" t="n">
        <f aca="false">VALUE('Power Curves'!BF28)</f>
        <v>1</v>
      </c>
      <c r="O14" s="371" t="n">
        <f aca="false">IF(AND($N14=1,$N21=1),AVERAGE(B14:B21),0)</f>
        <v>0.938823835012595</v>
      </c>
      <c r="P14" s="372" t="n">
        <f aca="false">IF(AND($N14=1,$N21=1),AVERAGE(C14:C21),0)</f>
        <v>0.938823835012595</v>
      </c>
      <c r="Q14" s="372" t="n">
        <f aca="false">IF(AND($N14=1,$N21=1),AVERAGE(D14:D21),0)</f>
        <v>0.976878612716763</v>
      </c>
      <c r="R14" s="372" t="n">
        <f aca="false">IF(AND($N14=1,$N21=1),AVERAGE(E14:E21),0)</f>
        <v>0.9625</v>
      </c>
      <c r="S14" s="372" t="n">
        <f aca="false">IF(AND($N14=1,$N21=1),AVERAGE(F14:F21),0)</f>
        <v>0.9759375</v>
      </c>
      <c r="T14" s="372" t="n">
        <f aca="false">IF(AND($N14=1,$N21=1),AVERAGE(G14:G21),0)</f>
        <v>0.8675</v>
      </c>
      <c r="U14" s="372" t="n">
        <f aca="false">IF(AND($N14=1,$N21=1),AVERAGE(H14:H21),0)</f>
        <v>0.8425</v>
      </c>
      <c r="V14" s="372" t="n">
        <f aca="false">IF(AND($N14=1,$N21=1),AVERAGE(I14:I21),0)</f>
        <v>0.8425</v>
      </c>
      <c r="W14" s="372" t="n">
        <f aca="false">IF(AND($N14=1,$N21=1),AVERAGE(J14:J21),0)</f>
        <v>0.822593865313653</v>
      </c>
      <c r="X14" s="372" t="n">
        <f aca="false">IF(AND($N14=1,$N21=1),AVERAGE(K14:K21),0)</f>
        <v>0.9625</v>
      </c>
      <c r="Y14" s="372" t="n">
        <f aca="false">IF(AND($N14=1,$N21=1),AVERAGE(L14:L21),0)</f>
        <v>0.905068493150685</v>
      </c>
      <c r="Z14" s="375" t="n">
        <f aca="false">IF(AND($N14=1,$N21=1),AVERAGE(M14:M21),0)</f>
        <v>0.945005993150685</v>
      </c>
      <c r="AF14" s="352" t="n">
        <v>36861</v>
      </c>
      <c r="AG14" s="311" t="n">
        <v>20</v>
      </c>
      <c r="AH14" s="311" t="n">
        <v>5</v>
      </c>
      <c r="AI14" s="311" t="n">
        <v>6</v>
      </c>
      <c r="AJ14" s="311" t="n">
        <v>1</v>
      </c>
      <c r="AK14" s="311" t="n">
        <v>31</v>
      </c>
      <c r="AL14" s="311"/>
      <c r="AM14" s="336"/>
      <c r="AN14" s="62"/>
      <c r="AO14" s="62"/>
      <c r="AP14" s="355"/>
      <c r="AQ14" s="417"/>
      <c r="AR14" s="345"/>
      <c r="AS14" s="414"/>
      <c r="AT14" s="414"/>
      <c r="AU14" s="406"/>
      <c r="AV14" s="345"/>
      <c r="AW14" s="362"/>
      <c r="AX14" s="362"/>
      <c r="AY14" s="362"/>
      <c r="AZ14" s="62"/>
      <c r="BA14" s="62"/>
      <c r="BB14" s="62"/>
      <c r="BC14" s="406"/>
      <c r="BD14" s="345"/>
      <c r="BE14" s="362"/>
      <c r="BF14" s="362"/>
      <c r="BG14" s="62"/>
      <c r="BH14" s="62"/>
      <c r="BI14" s="62"/>
      <c r="BJ14" s="62"/>
      <c r="BK14" s="62"/>
    </row>
    <row r="15" customFormat="false" ht="12.75" hidden="false" customHeight="false" outlineLevel="0" collapsed="false">
      <c r="A15" s="332" t="n">
        <v>900</v>
      </c>
      <c r="B15" s="373" t="n">
        <f aca="false">'Power Curves'!AT29</f>
        <v>1.35</v>
      </c>
      <c r="C15" s="373" t="n">
        <f aca="false">'Power Curves'!AU29</f>
        <v>1.35</v>
      </c>
      <c r="D15" s="373" t="n">
        <f aca="false">'Power Curves'!AV29</f>
        <v>1.2485549132948</v>
      </c>
      <c r="E15" s="373" t="n">
        <f aca="false">'Power Curves'!AW29</f>
        <v>1.15</v>
      </c>
      <c r="F15" s="373" t="n">
        <f aca="false">'Power Curves'!AX29</f>
        <v>0.95</v>
      </c>
      <c r="G15" s="373" t="n">
        <f aca="false">'Power Curves'!AY29</f>
        <v>0.47</v>
      </c>
      <c r="H15" s="373" t="n">
        <f aca="false">'Power Curves'!AZ29</f>
        <v>0.37</v>
      </c>
      <c r="I15" s="373" t="n">
        <f aca="false">'Power Curves'!BA29</f>
        <v>0.37</v>
      </c>
      <c r="J15" s="373" t="n">
        <f aca="false">'Power Curves'!BB29</f>
        <v>0.560885608856089</v>
      </c>
      <c r="K15" s="373" t="n">
        <f aca="false">'Power Curves'!BC29</f>
        <v>1.15</v>
      </c>
      <c r="L15" s="373" t="n">
        <f aca="false">'Power Curves'!BD29</f>
        <v>1.15</v>
      </c>
      <c r="M15" s="373" t="n">
        <f aca="false">'Power Curves'!BE29</f>
        <v>1.26</v>
      </c>
      <c r="N15" s="374" t="n">
        <f aca="false">VALUE('Power Curves'!BF29)</f>
        <v>1</v>
      </c>
      <c r="O15" s="371" t="n">
        <f aca="false">IF(AND($N15=1,$N22=1),AVERAGE(B15:B22),0)</f>
        <v>0.870261335012595</v>
      </c>
      <c r="P15" s="372" t="n">
        <f aca="false">IF(AND($N15=1,$N22=1),AVERAGE(C15:C22),0)</f>
        <v>0.870261335012595</v>
      </c>
      <c r="Q15" s="372" t="n">
        <f aca="false">IF(AND($N15=1,$N22=1),AVERAGE(D15:D22),0)</f>
        <v>0.92485549132948</v>
      </c>
      <c r="R15" s="372" t="n">
        <f aca="false">IF(AND($N15=1,$N22=1),AVERAGE(E15:E22),0)</f>
        <v>0.92</v>
      </c>
      <c r="S15" s="372" t="n">
        <f aca="false">IF(AND($N15=1,$N22=1),AVERAGE(F15:F22),0)</f>
        <v>0.99875</v>
      </c>
      <c r="T15" s="372" t="n">
        <f aca="false">IF(AND($N15=1,$N22=1),AVERAGE(G15:G22),0)</f>
        <v>1</v>
      </c>
      <c r="U15" s="372" t="n">
        <f aca="false">IF(AND($N15=1,$N22=1),AVERAGE(H15:H22),0)</f>
        <v>1</v>
      </c>
      <c r="V15" s="372" t="n">
        <f aca="false">IF(AND($N15=1,$N22=1),AVERAGE(I15:I22),0)</f>
        <v>1</v>
      </c>
      <c r="W15" s="372" t="n">
        <f aca="false">IF(AND($N15=1,$N22=1),AVERAGE(J15:J22),0)</f>
        <v>0.934923201107011</v>
      </c>
      <c r="X15" s="372" t="n">
        <f aca="false">IF(AND($N15=1,$N22=1),AVERAGE(K15:K22),0)</f>
        <v>0.92</v>
      </c>
      <c r="Y15" s="372" t="n">
        <f aca="false">IF(AND($N15=1,$N22=1),AVERAGE(L15:L22),0)</f>
        <v>0.848818493150685</v>
      </c>
      <c r="Z15" s="375" t="n">
        <f aca="false">IF(AND($N15=1,$N22=1),AVERAGE(M15:M22),0)</f>
        <v>0.880693493150685</v>
      </c>
      <c r="AF15" s="352" t="n">
        <v>36892</v>
      </c>
      <c r="AG15" s="311" t="n">
        <v>22</v>
      </c>
      <c r="AH15" s="311" t="n">
        <v>4</v>
      </c>
      <c r="AI15" s="311" t="n">
        <v>5</v>
      </c>
      <c r="AJ15" s="311" t="n">
        <v>1</v>
      </c>
      <c r="AK15" s="311" t="n">
        <v>31</v>
      </c>
      <c r="AL15" s="311"/>
      <c r="AM15" s="336"/>
      <c r="AN15" s="341"/>
      <c r="AO15" s="412"/>
      <c r="AP15" s="355"/>
      <c r="AQ15" s="417"/>
      <c r="AR15" s="345"/>
      <c r="AS15" s="106"/>
      <c r="AT15" s="106"/>
      <c r="AU15" s="406"/>
      <c r="AV15" s="345"/>
      <c r="AW15" s="362"/>
      <c r="AX15" s="362"/>
      <c r="AY15" s="362"/>
      <c r="AZ15" s="62"/>
      <c r="BA15" s="62"/>
      <c r="BB15" s="62"/>
      <c r="BC15" s="406"/>
      <c r="BD15" s="345"/>
      <c r="BE15" s="362"/>
      <c r="BF15" s="362"/>
      <c r="BG15" s="62"/>
      <c r="BH15" s="62"/>
      <c r="BI15" s="62"/>
      <c r="BJ15" s="62"/>
      <c r="BK15" s="62"/>
    </row>
    <row r="16" customFormat="false" ht="12.75" hidden="false" customHeight="false" outlineLevel="0" collapsed="false">
      <c r="A16" s="332" t="n">
        <v>1000</v>
      </c>
      <c r="B16" s="373" t="n">
        <f aca="false">'Power Curves'!AT30</f>
        <v>1.1</v>
      </c>
      <c r="C16" s="373" t="n">
        <f aca="false">'Power Curves'!AU30</f>
        <v>1.1</v>
      </c>
      <c r="D16" s="373" t="n">
        <f aca="false">'Power Curves'!AV30</f>
        <v>1.10982658959538</v>
      </c>
      <c r="E16" s="373" t="n">
        <f aca="false">'Power Curves'!AW30</f>
        <v>1</v>
      </c>
      <c r="F16" s="373" t="n">
        <f aca="false">'Power Curves'!AX30</f>
        <v>0.97</v>
      </c>
      <c r="G16" s="373" t="n">
        <f aca="false">'Power Curves'!AY30</f>
        <v>0.47</v>
      </c>
      <c r="H16" s="373" t="n">
        <f aca="false">'Power Curves'!AZ30</f>
        <v>0.37</v>
      </c>
      <c r="I16" s="373" t="n">
        <f aca="false">'Power Curves'!BA30</f>
        <v>0.37</v>
      </c>
      <c r="J16" s="373" t="n">
        <f aca="false">'Power Curves'!BB30</f>
        <v>0.6</v>
      </c>
      <c r="K16" s="373" t="n">
        <f aca="false">'Power Curves'!BC30</f>
        <v>1</v>
      </c>
      <c r="L16" s="373" t="n">
        <f aca="false">'Power Curves'!BD30</f>
        <v>1.15</v>
      </c>
      <c r="M16" s="373" t="n">
        <f aca="false">'Power Curves'!BE30</f>
        <v>1.205</v>
      </c>
      <c r="N16" s="374" t="n">
        <f aca="false">VALUE('Power Curves'!BF30)</f>
        <v>1</v>
      </c>
      <c r="O16" s="371" t="n">
        <f aca="false">IF(AND($N16=1,$N23=1),AVERAGE(B16:B23),0)</f>
        <v>0.826511335012594</v>
      </c>
      <c r="P16" s="372" t="n">
        <f aca="false">IF(AND($N16=1,$N23=1),AVERAGE(C16:C23),0)</f>
        <v>0.826511335012594</v>
      </c>
      <c r="Q16" s="372" t="n">
        <f aca="false">IF(AND($N16=1,$N23=1),AVERAGE(D16:D23),0)</f>
        <v>0.895953757225434</v>
      </c>
      <c r="R16" s="372" t="n">
        <f aca="false">IF(AND($N16=1,$N23=1),AVERAGE(E16:E23),0)</f>
        <v>0.9075</v>
      </c>
      <c r="S16" s="372" t="n">
        <f aca="false">IF(AND($N16=1,$N23=1),AVERAGE(F16:F23),0)</f>
        <v>1.0175</v>
      </c>
      <c r="T16" s="372" t="n">
        <f aca="false">IF(AND($N16=1,$N23=1),AVERAGE(G16:G23),0)</f>
        <v>1.1325</v>
      </c>
      <c r="U16" s="372" t="n">
        <f aca="false">IF(AND($N16=1,$N23=1),AVERAGE(H16:H23),0)</f>
        <v>1.1575</v>
      </c>
      <c r="V16" s="372" t="n">
        <f aca="false">IF(AND($N16=1,$N23=1),AVERAGE(I16:I23),0)</f>
        <v>1.1575</v>
      </c>
      <c r="W16" s="372" t="n">
        <f aca="false">IF(AND($N16=1,$N23=1),AVERAGE(J16:J23),0)</f>
        <v>1.0585625</v>
      </c>
      <c r="X16" s="372" t="n">
        <f aca="false">IF(AND($N16=1,$N23=1),AVERAGE(K16:K23),0)</f>
        <v>0.9075</v>
      </c>
      <c r="Y16" s="372" t="n">
        <f aca="false">IF(AND($N16=1,$N23=1),AVERAGE(L16:L23),0)</f>
        <v>0.830068493150685</v>
      </c>
      <c r="Z16" s="375" t="n">
        <f aca="false">IF(AND($N16=1,$N23=1),AVERAGE(M16:M23),0)</f>
        <v>0.863193493150685</v>
      </c>
      <c r="AF16" s="352" t="n">
        <v>36923</v>
      </c>
      <c r="AG16" s="311" t="n">
        <v>20</v>
      </c>
      <c r="AH16" s="311" t="n">
        <v>4</v>
      </c>
      <c r="AI16" s="311" t="n">
        <v>4</v>
      </c>
      <c r="AJ16" s="311" t="n">
        <v>0</v>
      </c>
      <c r="AK16" s="311" t="n">
        <v>28</v>
      </c>
      <c r="AL16" s="311"/>
      <c r="AM16" s="336"/>
      <c r="AN16" s="355"/>
      <c r="AO16" s="243"/>
      <c r="AP16" s="355"/>
      <c r="AQ16" s="417"/>
      <c r="AR16" s="345"/>
      <c r="AS16" s="106"/>
      <c r="AT16" s="106"/>
      <c r="AU16" s="406"/>
      <c r="AV16" s="345"/>
      <c r="AW16" s="362"/>
      <c r="AX16" s="362"/>
      <c r="AY16" s="362"/>
      <c r="AZ16" s="62"/>
      <c r="BA16" s="62"/>
      <c r="BB16" s="62"/>
      <c r="BC16" s="406"/>
      <c r="BD16" s="345"/>
      <c r="BE16" s="362"/>
      <c r="BF16" s="362"/>
      <c r="BG16" s="62"/>
      <c r="BH16" s="62"/>
      <c r="BI16" s="62"/>
      <c r="BJ16" s="62"/>
      <c r="BK16" s="62"/>
    </row>
    <row r="17" customFormat="false" ht="12.75" hidden="false" customHeight="false" outlineLevel="0" collapsed="false">
      <c r="A17" s="332" t="n">
        <v>1100</v>
      </c>
      <c r="B17" s="373" t="n">
        <f aca="false">'Power Curves'!AT31</f>
        <v>0.886649874055416</v>
      </c>
      <c r="C17" s="373" t="n">
        <f aca="false">'Power Curves'!AU31</f>
        <v>0.886649874055416</v>
      </c>
      <c r="D17" s="373" t="n">
        <f aca="false">'Power Curves'!AV31</f>
        <v>0.878612716763006</v>
      </c>
      <c r="E17" s="373" t="n">
        <f aca="false">'Power Curves'!AW31</f>
        <v>0.9</v>
      </c>
      <c r="F17" s="373" t="n">
        <f aca="false">'Power Curves'!AX31</f>
        <v>0.975</v>
      </c>
      <c r="G17" s="373" t="n">
        <f aca="false">'Power Curves'!AY31</f>
        <v>0.47</v>
      </c>
      <c r="H17" s="373" t="n">
        <f aca="false">'Power Curves'!AZ31</f>
        <v>0.37</v>
      </c>
      <c r="I17" s="373" t="n">
        <f aca="false">'Power Curves'!BA31</f>
        <v>0.37</v>
      </c>
      <c r="J17" s="373" t="n">
        <f aca="false">'Power Curves'!BB31</f>
        <v>0.6635</v>
      </c>
      <c r="K17" s="373" t="n">
        <f aca="false">'Power Curves'!BC31</f>
        <v>0.9</v>
      </c>
      <c r="L17" s="373" t="n">
        <f aca="false">'Power Curves'!BD31</f>
        <v>0.920547945205479</v>
      </c>
      <c r="M17" s="373" t="n">
        <f aca="false">'Power Curves'!BE31</f>
        <v>0.920547945205479</v>
      </c>
      <c r="N17" s="374" t="n">
        <f aca="false">VALUE('Power Curves'!BF31)</f>
        <v>1</v>
      </c>
      <c r="O17" s="371" t="n">
        <f aca="false">IF(AND($N17=1,$N24=1),AVERAGE(B17:B24),0)</f>
        <v>0.851511335012595</v>
      </c>
      <c r="P17" s="372" t="n">
        <f aca="false">IF(AND($N17=1,$N24=1),AVERAGE(C17:C24),0)</f>
        <v>0.851511335012595</v>
      </c>
      <c r="Q17" s="372" t="n">
        <f aca="false">IF(AND($N17=1,$N24=1),AVERAGE(D17:D24),0)</f>
        <v>0.907514450867052</v>
      </c>
      <c r="R17" s="372" t="n">
        <f aca="false">IF(AND($N17=1,$N24=1),AVERAGE(E17:E24),0)</f>
        <v>0.9325</v>
      </c>
      <c r="S17" s="372" t="n">
        <f aca="false">IF(AND($N17=1,$N24=1),AVERAGE(F17:F24),0)</f>
        <v>1.03625</v>
      </c>
      <c r="T17" s="372" t="n">
        <f aca="false">IF(AND($N17=1,$N24=1),AVERAGE(G17:G24),0)</f>
        <v>1.265</v>
      </c>
      <c r="U17" s="372" t="n">
        <f aca="false">IF(AND($N17=1,$N24=1),AVERAGE(H17:H24),0)</f>
        <v>1.315</v>
      </c>
      <c r="V17" s="372" t="n">
        <f aca="false">IF(AND($N17=1,$N24=1),AVERAGE(I17:I24),0)</f>
        <v>1.315</v>
      </c>
      <c r="W17" s="372" t="n">
        <f aca="false">IF(AND($N17=1,$N24=1),AVERAGE(J17:J24),0)</f>
        <v>1.1710625</v>
      </c>
      <c r="X17" s="372" t="n">
        <f aca="false">IF(AND($N17=1,$N24=1),AVERAGE(K17:K24),0)</f>
        <v>0.9325</v>
      </c>
      <c r="Y17" s="372" t="n">
        <f aca="false">IF(AND($N17=1,$N24=1),AVERAGE(L17:L24),0)</f>
        <v>0.843193493150685</v>
      </c>
      <c r="Z17" s="375" t="n">
        <f aca="false">IF(AND($N17=1,$N24=1),AVERAGE(M17:M24),0)</f>
        <v>0.881318493150685</v>
      </c>
      <c r="AF17" s="352" t="n">
        <v>36951</v>
      </c>
      <c r="AG17" s="311" t="n">
        <v>22</v>
      </c>
      <c r="AH17" s="311" t="n">
        <v>5</v>
      </c>
      <c r="AI17" s="311" t="n">
        <v>4</v>
      </c>
      <c r="AJ17" s="311" t="n">
        <v>0</v>
      </c>
      <c r="AK17" s="311" t="n">
        <v>31</v>
      </c>
      <c r="AL17" s="311"/>
      <c r="AM17" s="336"/>
      <c r="AN17" s="355"/>
      <c r="AO17" s="243"/>
      <c r="AP17" s="62"/>
      <c r="AQ17" s="417"/>
      <c r="AR17" s="345"/>
      <c r="AS17" s="106"/>
      <c r="AT17" s="106"/>
      <c r="AU17" s="406"/>
      <c r="AV17" s="62"/>
      <c r="AW17" s="62"/>
      <c r="AX17" s="62"/>
      <c r="AZ17" s="62"/>
      <c r="BA17" s="62"/>
      <c r="BB17" s="62"/>
      <c r="BC17" s="406"/>
      <c r="BD17" s="362"/>
      <c r="BE17" s="362"/>
      <c r="BF17" s="362"/>
      <c r="BG17" s="62"/>
      <c r="BH17" s="62"/>
      <c r="BI17" s="62"/>
      <c r="BJ17" s="62"/>
      <c r="BK17" s="62"/>
    </row>
    <row r="18" customFormat="false" ht="12.75" hidden="false" customHeight="false" outlineLevel="0" collapsed="false">
      <c r="A18" s="332" t="n">
        <v>1200</v>
      </c>
      <c r="B18" s="373" t="n">
        <f aca="false">'Power Curves'!AT32</f>
        <v>0.72544080604534</v>
      </c>
      <c r="C18" s="373" t="n">
        <f aca="false">'Power Curves'!AU32</f>
        <v>0.72544080604534</v>
      </c>
      <c r="D18" s="373" t="n">
        <f aca="false">'Power Curves'!AV32</f>
        <v>0.832369942196532</v>
      </c>
      <c r="E18" s="373" t="n">
        <f aca="false">'Power Curves'!AW32</f>
        <v>0.85</v>
      </c>
      <c r="F18" s="373" t="n">
        <f aca="false">'Power Curves'!AX32</f>
        <v>0.98</v>
      </c>
      <c r="G18" s="373" t="n">
        <f aca="false">'Power Curves'!AY32</f>
        <v>0.47</v>
      </c>
      <c r="H18" s="373" t="n">
        <f aca="false">'Power Curves'!AZ32</f>
        <v>0.37</v>
      </c>
      <c r="I18" s="373" t="n">
        <f aca="false">'Power Curves'!BA32</f>
        <v>0.37</v>
      </c>
      <c r="J18" s="373" t="n">
        <f aca="false">'Power Curves'!BB32</f>
        <v>0.76</v>
      </c>
      <c r="K18" s="373" t="n">
        <f aca="false">'Power Curves'!BC32</f>
        <v>0.85</v>
      </c>
      <c r="L18" s="373" t="n">
        <f aca="false">'Power Curves'!BD32</f>
        <v>0.77</v>
      </c>
      <c r="M18" s="373" t="n">
        <f aca="false">'Power Curves'!BE32</f>
        <v>0.74</v>
      </c>
      <c r="N18" s="374" t="n">
        <f aca="false">VALUE('Power Curves'!BF32)</f>
        <v>1</v>
      </c>
      <c r="O18" s="371" t="n">
        <f aca="false">IF(AND($N18=1,$N25=1),AVERAGE(B18:B25),0)</f>
        <v>0.903180100755668</v>
      </c>
      <c r="P18" s="372" t="n">
        <f aca="false">IF(AND($N18=1,$N25=1),AVERAGE(C18:C25),0)</f>
        <v>0.903180100755668</v>
      </c>
      <c r="Q18" s="372" t="n">
        <f aca="false">IF(AND($N18=1,$N25=1),AVERAGE(D18:D25),0)</f>
        <v>0.947976878612717</v>
      </c>
      <c r="R18" s="372" t="n">
        <f aca="false">IF(AND($N18=1,$N25=1),AVERAGE(E18:E25),0)</f>
        <v>0.96375</v>
      </c>
      <c r="S18" s="372" t="n">
        <f aca="false">IF(AND($N18=1,$N25=1),AVERAGE(F18:F25),0)</f>
        <v>1.058125</v>
      </c>
      <c r="T18" s="372" t="n">
        <f aca="false">IF(AND($N18=1,$N25=1),AVERAGE(G18:G25),0)</f>
        <v>1.3975</v>
      </c>
      <c r="U18" s="372" t="n">
        <f aca="false">IF(AND($N18=1,$N25=1),AVERAGE(H18:H25),0)</f>
        <v>1.4725</v>
      </c>
      <c r="V18" s="372" t="n">
        <f aca="false">IF(AND($N18=1,$N25=1),AVERAGE(I18:I25),0)</f>
        <v>1.4725</v>
      </c>
      <c r="W18" s="372" t="n">
        <f aca="false">IF(AND($N18=1,$N25=1),AVERAGE(J18:J25),0)</f>
        <v>1.269375</v>
      </c>
      <c r="X18" s="372" t="n">
        <f aca="false">IF(AND($N18=1,$N25=1),AVERAGE(K18:K25),0)</f>
        <v>0.96375</v>
      </c>
      <c r="Y18" s="372" t="n">
        <f aca="false">IF(AND($N18=1,$N25=1),AVERAGE(L18:L25),0)</f>
        <v>0.920625</v>
      </c>
      <c r="Z18" s="375" t="n">
        <f aca="false">IF(AND($N18=1,$N25=1),AVERAGE(M18:M25),0)</f>
        <v>0.935</v>
      </c>
      <c r="AF18" s="352" t="n">
        <v>36982</v>
      </c>
      <c r="AG18" s="311" t="n">
        <v>21</v>
      </c>
      <c r="AH18" s="311" t="n">
        <v>4</v>
      </c>
      <c r="AI18" s="311" t="n">
        <v>5</v>
      </c>
      <c r="AJ18" s="311" t="n">
        <v>0</v>
      </c>
      <c r="AK18" s="311" t="n">
        <v>30</v>
      </c>
      <c r="AL18" s="311"/>
      <c r="AM18" s="336"/>
      <c r="AN18" s="355"/>
      <c r="AO18" s="243"/>
      <c r="AP18" s="62"/>
      <c r="AQ18" s="417"/>
      <c r="AR18" s="345"/>
      <c r="AS18" s="106"/>
      <c r="AT18" s="106"/>
      <c r="AU18" s="406"/>
      <c r="AV18" s="345"/>
      <c r="AW18" s="345"/>
      <c r="AX18" s="345"/>
      <c r="AY18" s="345"/>
      <c r="AZ18" s="62"/>
      <c r="BA18" s="62"/>
      <c r="BB18" s="62"/>
      <c r="BC18" s="406"/>
      <c r="BD18" s="345"/>
      <c r="BE18" s="345"/>
      <c r="BF18" s="345"/>
      <c r="BG18" s="62"/>
      <c r="BH18" s="62"/>
      <c r="BI18" s="62"/>
      <c r="BJ18" s="62"/>
      <c r="BK18" s="62"/>
    </row>
    <row r="19" customFormat="false" ht="12.75" hidden="false" customHeight="false" outlineLevel="0" collapsed="false">
      <c r="A19" s="332" t="n">
        <v>1300</v>
      </c>
      <c r="B19" s="373" t="n">
        <f aca="false">'Power Curves'!AT33</f>
        <v>0.7</v>
      </c>
      <c r="C19" s="373" t="n">
        <f aca="false">'Power Curves'!AU33</f>
        <v>0.7</v>
      </c>
      <c r="D19" s="373" t="n">
        <f aca="false">'Power Curves'!AV33</f>
        <v>0.832369942196532</v>
      </c>
      <c r="E19" s="373" t="n">
        <f aca="false">'Power Curves'!AW33</f>
        <v>0.85</v>
      </c>
      <c r="F19" s="373" t="n">
        <f aca="false">'Power Curves'!AX33</f>
        <v>0.975</v>
      </c>
      <c r="G19" s="373" t="n">
        <f aca="false">'Power Curves'!AY33</f>
        <v>1.53</v>
      </c>
      <c r="H19" s="373" t="n">
        <f aca="false">'Power Curves'!AZ33</f>
        <v>1.63</v>
      </c>
      <c r="I19" s="373" t="n">
        <f aca="false">'Power Curves'!BA33</f>
        <v>1.63</v>
      </c>
      <c r="J19" s="373" t="n">
        <f aca="false">'Power Curves'!BB33</f>
        <v>0.935</v>
      </c>
      <c r="K19" s="373" t="n">
        <f aca="false">'Power Curves'!BC33</f>
        <v>0.85</v>
      </c>
      <c r="L19" s="373" t="n">
        <f aca="false">'Power Curves'!BD33</f>
        <v>0.7</v>
      </c>
      <c r="M19" s="373" t="n">
        <f aca="false">'Power Curves'!BE33</f>
        <v>0.73</v>
      </c>
      <c r="N19" s="374" t="n">
        <f aca="false">VALUE('Power Curves'!BF33)</f>
        <v>1</v>
      </c>
      <c r="O19" s="371" t="n">
        <f aca="false">IF(AND($N19=1,$N26=1),AVERAGE(B19:B26),0)</f>
        <v>0.95625</v>
      </c>
      <c r="P19" s="372" t="n">
        <f aca="false">IF(AND($N19=1,$N26=1),AVERAGE(C19:C26),0)</f>
        <v>0.95625</v>
      </c>
      <c r="Q19" s="372" t="n">
        <f aca="false">IF(AND($N19=1,$N26=1),AVERAGE(D19:D26),0)</f>
        <v>0.971098265895954</v>
      </c>
      <c r="R19" s="372" t="n">
        <f aca="false">IF(AND($N19=1,$N26=1),AVERAGE(E19:E26),0)</f>
        <v>0.98875</v>
      </c>
      <c r="S19" s="372" t="n">
        <f aca="false">IF(AND($N19=1,$N26=1),AVERAGE(F19:F26),0)</f>
        <v>1.075625</v>
      </c>
      <c r="T19" s="372" t="n">
        <f aca="false">IF(AND($N19=1,$N26=1),AVERAGE(G19:G26),0)</f>
        <v>1.53</v>
      </c>
      <c r="U19" s="372" t="n">
        <f aca="false">IF(AND($N19=1,$N26=1),AVERAGE(H19:H26),0)</f>
        <v>1.63</v>
      </c>
      <c r="V19" s="372" t="n">
        <f aca="false">IF(AND($N19=1,$N26=1),AVERAGE(I19:I26),0)</f>
        <v>1.63</v>
      </c>
      <c r="W19" s="372" t="n">
        <f aca="false">IF(AND($N19=1,$N26=1),AVERAGE(J19:J26),0)</f>
        <v>1.343125</v>
      </c>
      <c r="X19" s="372" t="n">
        <f aca="false">IF(AND($N19=1,$N26=1),AVERAGE(K19:K26),0)</f>
        <v>0.98875</v>
      </c>
      <c r="Y19" s="372" t="n">
        <f aca="false">IF(AND($N19=1,$N26=1),AVERAGE(L19:L26),0)</f>
        <v>1.016875</v>
      </c>
      <c r="Z19" s="375" t="n">
        <f aca="false">IF(AND($N19=1,$N26=1),AVERAGE(M19:M26),0)</f>
        <v>0.99375</v>
      </c>
      <c r="AF19" s="352" t="n">
        <v>37012</v>
      </c>
      <c r="AG19" s="311" t="n">
        <v>22</v>
      </c>
      <c r="AH19" s="311" t="n">
        <v>4</v>
      </c>
      <c r="AI19" s="311" t="n">
        <v>5</v>
      </c>
      <c r="AJ19" s="311" t="n">
        <v>1</v>
      </c>
      <c r="AK19" s="311" t="n">
        <v>31</v>
      </c>
      <c r="AL19" s="311"/>
      <c r="AM19" s="336"/>
      <c r="AN19" s="355"/>
      <c r="AO19" s="243"/>
      <c r="AP19" s="62"/>
      <c r="AQ19" s="417"/>
      <c r="AR19" s="345"/>
      <c r="AS19" s="106"/>
      <c r="AT19" s="106"/>
      <c r="AU19" s="406"/>
      <c r="AV19" s="345"/>
      <c r="AW19" s="362"/>
      <c r="AX19" s="362"/>
      <c r="AY19" s="362"/>
      <c r="AZ19" s="62"/>
      <c r="BA19" s="62"/>
      <c r="BB19" s="62"/>
      <c r="BC19" s="406"/>
      <c r="BD19" s="345"/>
      <c r="BE19" s="362"/>
      <c r="BF19" s="362"/>
      <c r="BG19" s="62"/>
      <c r="BH19" s="62"/>
      <c r="BI19" s="62"/>
      <c r="BJ19" s="62"/>
      <c r="BK19" s="62"/>
    </row>
    <row r="20" customFormat="false" ht="12.75" hidden="false" customHeight="false" outlineLevel="0" collapsed="false">
      <c r="A20" s="332" t="n">
        <v>1400</v>
      </c>
      <c r="B20" s="373" t="n">
        <f aca="false">'Power Curves'!AT34</f>
        <v>0.7</v>
      </c>
      <c r="C20" s="373" t="n">
        <f aca="false">'Power Curves'!AU34</f>
        <v>0.7</v>
      </c>
      <c r="D20" s="373" t="n">
        <f aca="false">'Power Curves'!AV34</f>
        <v>0.832369942196532</v>
      </c>
      <c r="E20" s="373" t="n">
        <f aca="false">'Power Curves'!AW34</f>
        <v>0.85</v>
      </c>
      <c r="F20" s="373" t="n">
        <f aca="false">'Power Curves'!AX34</f>
        <v>0.99</v>
      </c>
      <c r="G20" s="373" t="n">
        <f aca="false">'Power Curves'!AY34</f>
        <v>1.53</v>
      </c>
      <c r="H20" s="373" t="n">
        <f aca="false">'Power Curves'!AZ34</f>
        <v>1.63</v>
      </c>
      <c r="I20" s="373" t="n">
        <f aca="false">'Power Curves'!BA34</f>
        <v>1.63</v>
      </c>
      <c r="J20" s="373" t="n">
        <f aca="false">'Power Curves'!BB34</f>
        <v>1.15</v>
      </c>
      <c r="K20" s="373" t="n">
        <f aca="false">'Power Curves'!BC34</f>
        <v>0.85</v>
      </c>
      <c r="L20" s="373" t="n">
        <f aca="false">'Power Curves'!BD34</f>
        <v>0.7</v>
      </c>
      <c r="M20" s="373" t="n">
        <f aca="false">'Power Curves'!BE34</f>
        <v>0.72</v>
      </c>
      <c r="N20" s="374" t="n">
        <f aca="false">VALUE('Power Curves'!BF34)</f>
        <v>1</v>
      </c>
      <c r="O20" s="371" t="n">
        <f aca="false">IF(AND($N20=1,$N27=1),AVERAGE(B20:B27),0)</f>
        <v>0.96875</v>
      </c>
      <c r="P20" s="372" t="n">
        <f aca="false">IF(AND($N20=1,$N27=1),AVERAGE(C20:C27),0)</f>
        <v>0.96875</v>
      </c>
      <c r="Q20" s="372" t="n">
        <f aca="false">IF(AND($N20=1,$N27=1),AVERAGE(D20:D27),0)</f>
        <v>0.982658959537572</v>
      </c>
      <c r="R20" s="372" t="n">
        <f aca="false">IF(AND($N20=1,$N27=1),AVERAGE(E20:E27),0)</f>
        <v>0.995</v>
      </c>
      <c r="S20" s="372" t="n">
        <f aca="false">IF(AND($N20=1,$N27=1),AVERAGE(F20:F27),0)</f>
        <v>1.0666026645768</v>
      </c>
      <c r="T20" s="372" t="n">
        <f aca="false">IF(AND($N20=1,$N27=1),AVERAGE(G20:G27),0)</f>
        <v>1.3975</v>
      </c>
      <c r="U20" s="372" t="n">
        <f aca="false">IF(AND($N20=1,$N27=1),AVERAGE(H20:H27),0)</f>
        <v>1.4725</v>
      </c>
      <c r="V20" s="372" t="n">
        <f aca="false">IF(AND($N20=1,$N27=1),AVERAGE(I20:I27),0)</f>
        <v>1.4725</v>
      </c>
      <c r="W20" s="372" t="n">
        <f aca="false">IF(AND($N20=1,$N27=1),AVERAGE(J20:J27),0)</f>
        <v>1.35125</v>
      </c>
      <c r="X20" s="372" t="n">
        <f aca="false">IF(AND($N20=1,$N27=1),AVERAGE(K20:K27),0)</f>
        <v>0.995</v>
      </c>
      <c r="Y20" s="372" t="n">
        <f aca="false">IF(AND($N20=1,$N27=1),AVERAGE(L20:L27),0)</f>
        <v>1.08</v>
      </c>
      <c r="Z20" s="375" t="n">
        <f aca="false">IF(AND($N20=1,$N27=1),AVERAGE(M20:M27),0)</f>
        <v>1.02125</v>
      </c>
      <c r="AF20" s="352" t="n">
        <v>37043</v>
      </c>
      <c r="AG20" s="311" t="n">
        <v>21</v>
      </c>
      <c r="AH20" s="311" t="n">
        <v>5</v>
      </c>
      <c r="AI20" s="311" t="n">
        <v>4</v>
      </c>
      <c r="AJ20" s="311" t="n">
        <v>0</v>
      </c>
      <c r="AK20" s="311" t="n">
        <v>30</v>
      </c>
      <c r="AL20" s="311"/>
      <c r="AM20" s="336"/>
      <c r="AN20" s="62"/>
      <c r="AO20" s="62"/>
      <c r="AP20" s="62"/>
      <c r="AQ20" s="417"/>
      <c r="AR20" s="345"/>
      <c r="AS20" s="106"/>
      <c r="AT20" s="106"/>
      <c r="AU20" s="406"/>
      <c r="AV20" s="345"/>
      <c r="AW20" s="362"/>
      <c r="AX20" s="362"/>
      <c r="AY20" s="362"/>
      <c r="AZ20" s="62"/>
      <c r="BA20" s="62"/>
      <c r="BB20" s="62"/>
      <c r="BC20" s="406"/>
      <c r="BD20" s="345"/>
      <c r="BE20" s="362"/>
      <c r="BF20" s="362"/>
      <c r="BG20" s="62"/>
      <c r="BH20" s="62"/>
      <c r="BI20" s="62"/>
      <c r="BJ20" s="62"/>
      <c r="BK20" s="62"/>
    </row>
    <row r="21" customFormat="false" ht="12.75" hidden="false" customHeight="false" outlineLevel="0" collapsed="false">
      <c r="A21" s="332" t="n">
        <v>1500</v>
      </c>
      <c r="B21" s="373" t="n">
        <f aca="false">'Power Curves'!AT35</f>
        <v>0.7</v>
      </c>
      <c r="C21" s="373" t="n">
        <f aca="false">'Power Curves'!AU35</f>
        <v>0.7</v>
      </c>
      <c r="D21" s="373" t="n">
        <f aca="false">'Power Curves'!AV35</f>
        <v>0.832369942196532</v>
      </c>
      <c r="E21" s="373" t="n">
        <f aca="false">'Power Curves'!AW35</f>
        <v>0.88</v>
      </c>
      <c r="F21" s="373" t="n">
        <f aca="false">'Power Curves'!AX35</f>
        <v>1.05</v>
      </c>
      <c r="G21" s="373" t="n">
        <f aca="false">'Power Curves'!AY35</f>
        <v>1.53</v>
      </c>
      <c r="H21" s="373" t="n">
        <f aca="false">'Power Curves'!AZ35</f>
        <v>1.63</v>
      </c>
      <c r="I21" s="373" t="n">
        <f aca="false">'Power Curves'!BA35</f>
        <v>1.63</v>
      </c>
      <c r="J21" s="373" t="n">
        <f aca="false">'Power Curves'!BB35</f>
        <v>1.38</v>
      </c>
      <c r="K21" s="373" t="n">
        <f aca="false">'Power Curves'!BC35</f>
        <v>0.88</v>
      </c>
      <c r="L21" s="373" t="n">
        <f aca="false">'Power Curves'!BD35</f>
        <v>0.7</v>
      </c>
      <c r="M21" s="373" t="n">
        <f aca="false">'Power Curves'!BE35</f>
        <v>0.73</v>
      </c>
      <c r="N21" s="374" t="n">
        <f aca="false">VALUE('Power Curves'!BF35)</f>
        <v>1</v>
      </c>
      <c r="O21" s="371" t="n">
        <f aca="false">IF(AND($N21=1,$N28=1),AVERAGE(B21:B28),0)</f>
        <v>0.98</v>
      </c>
      <c r="P21" s="372" t="n">
        <f aca="false">IF(AND($N21=1,$N28=1),AVERAGE(C21:C28),0)</f>
        <v>0.98</v>
      </c>
      <c r="Q21" s="372" t="n">
        <f aca="false">IF(AND($N21=1,$N28=1),AVERAGE(D21:D28),0)</f>
        <v>0.982658959537572</v>
      </c>
      <c r="R21" s="372" t="n">
        <f aca="false">IF(AND($N21=1,$N28=1),AVERAGE(E21:E28),0)</f>
        <v>0.995</v>
      </c>
      <c r="S21" s="372" t="n">
        <f aca="false">IF(AND($N21=1,$N28=1),AVERAGE(F21:F28),0)</f>
        <v>1.0491026645768</v>
      </c>
      <c r="T21" s="372" t="n">
        <f aca="false">IF(AND($N21=1,$N28=1),AVERAGE(G21:G28),0)</f>
        <v>1.265</v>
      </c>
      <c r="U21" s="372" t="n">
        <f aca="false">IF(AND($N21=1,$N28=1),AVERAGE(H21:H28),0)</f>
        <v>1.315</v>
      </c>
      <c r="V21" s="372" t="n">
        <f aca="false">IF(AND($N21=1,$N28=1),AVERAGE(I21:I28),0)</f>
        <v>1.315</v>
      </c>
      <c r="W21" s="372" t="n">
        <f aca="false">IF(AND($N21=1,$N28=1),AVERAGE(J21:J28),0)</f>
        <v>1.29375</v>
      </c>
      <c r="X21" s="372" t="n">
        <f aca="false">IF(AND($N21=1,$N28=1),AVERAGE(K21:K28),0)</f>
        <v>0.995</v>
      </c>
      <c r="Y21" s="372" t="n">
        <f aca="false">IF(AND($N21=1,$N28=1),AVERAGE(L21:L28),0)</f>
        <v>1.0825</v>
      </c>
      <c r="Z21" s="375" t="n">
        <f aca="false">IF(AND($N21=1,$N28=1),AVERAGE(M21:M28),0)</f>
        <v>1.02125</v>
      </c>
      <c r="AF21" s="352" t="n">
        <v>37073</v>
      </c>
      <c r="AG21" s="311" t="n">
        <v>21</v>
      </c>
      <c r="AH21" s="311" t="n">
        <v>4</v>
      </c>
      <c r="AI21" s="311" t="n">
        <v>6</v>
      </c>
      <c r="AJ21" s="311" t="n">
        <v>1</v>
      </c>
      <c r="AK21" s="311" t="n">
        <v>31</v>
      </c>
      <c r="AL21" s="311"/>
      <c r="AM21" s="336"/>
      <c r="AN21" s="341"/>
      <c r="AO21" s="412"/>
      <c r="AP21" s="62"/>
      <c r="AQ21" s="417"/>
      <c r="AR21" s="345"/>
      <c r="AS21" s="106"/>
      <c r="AT21" s="106"/>
      <c r="AU21" s="406"/>
      <c r="AV21" s="345"/>
      <c r="AW21" s="362"/>
      <c r="AX21" s="362"/>
      <c r="AY21" s="362"/>
      <c r="AZ21" s="62"/>
      <c r="BA21" s="62"/>
      <c r="BB21" s="62"/>
      <c r="BC21" s="406"/>
      <c r="BD21" s="345"/>
      <c r="BE21" s="362"/>
      <c r="BF21" s="362"/>
      <c r="BG21" s="62"/>
      <c r="BH21" s="62"/>
      <c r="BI21" s="62"/>
      <c r="BJ21" s="62"/>
      <c r="BK21" s="62"/>
    </row>
    <row r="22" customFormat="false" ht="12.75" hidden="false" customHeight="false" outlineLevel="0" collapsed="false">
      <c r="A22" s="332" t="n">
        <v>1600</v>
      </c>
      <c r="B22" s="373" t="n">
        <f aca="false">'Power Curves'!AT36</f>
        <v>0.8</v>
      </c>
      <c r="C22" s="373" t="n">
        <f aca="false">'Power Curves'!AU36</f>
        <v>0.8</v>
      </c>
      <c r="D22" s="373" t="n">
        <f aca="false">'Power Curves'!AV36</f>
        <v>0.832369942196532</v>
      </c>
      <c r="E22" s="373" t="n">
        <f aca="false">'Power Curves'!AW36</f>
        <v>0.88</v>
      </c>
      <c r="F22" s="373" t="n">
        <f aca="false">'Power Curves'!AX36</f>
        <v>1.1</v>
      </c>
      <c r="G22" s="373" t="n">
        <f aca="false">'Power Curves'!AY36</f>
        <v>1.53</v>
      </c>
      <c r="H22" s="373" t="n">
        <f aca="false">'Power Curves'!AZ36</f>
        <v>1.63</v>
      </c>
      <c r="I22" s="373" t="n">
        <f aca="false">'Power Curves'!BA36</f>
        <v>1.63</v>
      </c>
      <c r="J22" s="373" t="n">
        <f aca="false">'Power Curves'!BB36</f>
        <v>1.43</v>
      </c>
      <c r="K22" s="373" t="n">
        <f aca="false">'Power Curves'!BC36</f>
        <v>0.88</v>
      </c>
      <c r="L22" s="373" t="n">
        <f aca="false">'Power Curves'!BD36</f>
        <v>0.7</v>
      </c>
      <c r="M22" s="373" t="n">
        <f aca="false">'Power Curves'!BE36</f>
        <v>0.74</v>
      </c>
      <c r="N22" s="374" t="n">
        <f aca="false">VALUE('Power Curves'!BF36)</f>
        <v>1</v>
      </c>
      <c r="O22" s="371" t="n">
        <f aca="false">IF(AND($N22=1,$N29=1),AVERAGE(B22:B29),0)</f>
        <v>0</v>
      </c>
      <c r="P22" s="372" t="n">
        <f aca="false">IF(AND($N22=1,$N29=1),AVERAGE(C22:C29),0)</f>
        <v>0</v>
      </c>
      <c r="Q22" s="372" t="n">
        <f aca="false">IF(AND($N22=1,$N29=1),AVERAGE(D22:D29),0)</f>
        <v>0</v>
      </c>
      <c r="R22" s="372" t="n">
        <f aca="false">IF(AND($N22=1,$N29=1),AVERAGE(E22:E29),0)</f>
        <v>0</v>
      </c>
      <c r="S22" s="372" t="n">
        <f aca="false">IF(AND($N22=1,$N29=1),AVERAGE(F22:F29),0)</f>
        <v>0</v>
      </c>
      <c r="T22" s="372" t="n">
        <f aca="false">IF(AND($N22=1,$N29=1),AVERAGE(G22:G29),0)</f>
        <v>0</v>
      </c>
      <c r="U22" s="372" t="n">
        <f aca="false">IF(AND($N22=1,$N29=1),AVERAGE(H22:H29),0)</f>
        <v>0</v>
      </c>
      <c r="V22" s="372" t="n">
        <f aca="false">IF(AND($N22=1,$N29=1),AVERAGE(I22:I29),0)</f>
        <v>0</v>
      </c>
      <c r="W22" s="372" t="n">
        <f aca="false">IF(AND($N22=1,$N29=1),AVERAGE(J22:J29),0)</f>
        <v>0</v>
      </c>
      <c r="X22" s="372" t="n">
        <f aca="false">IF(AND($N22=1,$N29=1),AVERAGE(K22:K29),0)</f>
        <v>0</v>
      </c>
      <c r="Y22" s="372" t="n">
        <f aca="false">IF(AND($N22=1,$N29=1),AVERAGE(L22:L29),0)</f>
        <v>0</v>
      </c>
      <c r="Z22" s="375" t="n">
        <f aca="false">IF(AND($N22=1,$N29=1),AVERAGE(M22:M29),0)</f>
        <v>0</v>
      </c>
      <c r="AF22" s="352" t="n">
        <v>37104</v>
      </c>
      <c r="AG22" s="311" t="n">
        <v>23</v>
      </c>
      <c r="AH22" s="311" t="n">
        <v>4</v>
      </c>
      <c r="AI22" s="311" t="n">
        <v>4</v>
      </c>
      <c r="AJ22" s="311" t="n">
        <v>0</v>
      </c>
      <c r="AK22" s="311" t="n">
        <v>31</v>
      </c>
      <c r="AL22" s="311"/>
      <c r="AM22" s="336"/>
      <c r="AN22" s="355"/>
      <c r="AO22" s="243"/>
      <c r="AP22" s="62"/>
      <c r="AQ22" s="417"/>
      <c r="AR22" s="345"/>
      <c r="AS22" s="106"/>
      <c r="AT22" s="106"/>
      <c r="AU22" s="406"/>
      <c r="AV22" s="62"/>
      <c r="AW22" s="62"/>
      <c r="AX22" s="62"/>
      <c r="AZ22" s="62"/>
      <c r="BA22" s="62"/>
      <c r="BB22" s="62"/>
      <c r="BC22" s="406"/>
      <c r="BD22" s="62"/>
      <c r="BE22" s="62"/>
      <c r="BF22" s="62"/>
      <c r="BG22" s="62"/>
      <c r="BH22" s="62"/>
      <c r="BI22" s="62"/>
      <c r="BJ22" s="62"/>
      <c r="BK22" s="62"/>
    </row>
    <row r="23" customFormat="false" ht="12.75" hidden="false" customHeight="false" outlineLevel="0" collapsed="false">
      <c r="A23" s="332" t="n">
        <v>1700</v>
      </c>
      <c r="B23" s="373" t="n">
        <f aca="false">'Power Curves'!AT37</f>
        <v>1</v>
      </c>
      <c r="C23" s="373" t="n">
        <f aca="false">'Power Curves'!AU37</f>
        <v>1</v>
      </c>
      <c r="D23" s="373" t="n">
        <f aca="false">'Power Curves'!AV37</f>
        <v>1.01734104046243</v>
      </c>
      <c r="E23" s="373" t="n">
        <f aca="false">'Power Curves'!AW37</f>
        <v>1.05</v>
      </c>
      <c r="F23" s="373" t="n">
        <f aca="false">'Power Curves'!AX37</f>
        <v>1.1</v>
      </c>
      <c r="G23" s="373" t="n">
        <f aca="false">'Power Curves'!AY37</f>
        <v>1.53</v>
      </c>
      <c r="H23" s="373" t="n">
        <f aca="false">'Power Curves'!AZ37</f>
        <v>1.63</v>
      </c>
      <c r="I23" s="373" t="n">
        <f aca="false">'Power Curves'!BA37</f>
        <v>1.63</v>
      </c>
      <c r="J23" s="373" t="n">
        <f aca="false">'Power Curves'!BB37</f>
        <v>1.55</v>
      </c>
      <c r="K23" s="373" t="n">
        <f aca="false">'Power Curves'!BC37</f>
        <v>1.05</v>
      </c>
      <c r="L23" s="373" t="n">
        <f aca="false">'Power Curves'!BD37</f>
        <v>1</v>
      </c>
      <c r="M23" s="373" t="n">
        <f aca="false">'Power Curves'!BE37</f>
        <v>1.12</v>
      </c>
      <c r="N23" s="374" t="n">
        <f aca="false">VALUE('Power Curves'!BF37)</f>
        <v>1</v>
      </c>
      <c r="O23" s="371" t="n">
        <f aca="false">IF(AND($N23=1,$N30=1),AVERAGE(B23:B30),0)</f>
        <v>0</v>
      </c>
      <c r="P23" s="372" t="n">
        <f aca="false">IF(AND($N23=1,$N30=1),AVERAGE(C23:C30),0)</f>
        <v>0</v>
      </c>
      <c r="Q23" s="372" t="n">
        <f aca="false">IF(AND($N23=1,$N30=1),AVERAGE(D23:D30),0)</f>
        <v>0</v>
      </c>
      <c r="R23" s="372" t="n">
        <f aca="false">IF(AND($N23=1,$N30=1),AVERAGE(E23:E30),0)</f>
        <v>0</v>
      </c>
      <c r="S23" s="372" t="n">
        <f aca="false">IF(AND($N23=1,$N30=1),AVERAGE(F23:F30),0)</f>
        <v>0</v>
      </c>
      <c r="T23" s="372" t="n">
        <f aca="false">IF(AND($N23=1,$N30=1),AVERAGE(G23:G30),0)</f>
        <v>0</v>
      </c>
      <c r="U23" s="372" t="n">
        <f aca="false">IF(AND($N23=1,$N30=1),AVERAGE(H23:H30),0)</f>
        <v>0</v>
      </c>
      <c r="V23" s="372" t="n">
        <f aca="false">IF(AND($N23=1,$N30=1),AVERAGE(I23:I30),0)</f>
        <v>0</v>
      </c>
      <c r="W23" s="372" t="n">
        <f aca="false">IF(AND($N23=1,$N30=1),AVERAGE(J23:J30),0)</f>
        <v>0</v>
      </c>
      <c r="X23" s="372" t="n">
        <f aca="false">IF(AND($N23=1,$N30=1),AVERAGE(K23:K30),0)</f>
        <v>0</v>
      </c>
      <c r="Y23" s="372" t="n">
        <f aca="false">IF(AND($N23=1,$N30=1),AVERAGE(L23:L30),0)</f>
        <v>0</v>
      </c>
      <c r="Z23" s="375" t="n">
        <f aca="false">IF(AND($N23=1,$N30=1),AVERAGE(M23:M30),0)</f>
        <v>0</v>
      </c>
      <c r="AF23" s="352" t="n">
        <v>37135</v>
      </c>
      <c r="AG23" s="311" t="n">
        <v>19</v>
      </c>
      <c r="AH23" s="311" t="n">
        <v>5</v>
      </c>
      <c r="AI23" s="311" t="n">
        <v>6</v>
      </c>
      <c r="AJ23" s="311" t="n">
        <v>1</v>
      </c>
      <c r="AK23" s="311" t="n">
        <v>30</v>
      </c>
      <c r="AL23" s="311"/>
      <c r="AM23" s="336"/>
      <c r="AN23" s="355"/>
      <c r="AO23" s="243"/>
      <c r="AP23" s="62"/>
      <c r="AQ23" s="417"/>
      <c r="AR23" s="345"/>
      <c r="AS23" s="106"/>
      <c r="AT23" s="106"/>
      <c r="AU23" s="406"/>
      <c r="AV23" s="62"/>
      <c r="AW23" s="62"/>
      <c r="AX23" s="62"/>
      <c r="AZ23" s="62"/>
      <c r="BA23" s="62"/>
      <c r="BB23" s="62"/>
      <c r="BC23" s="406"/>
      <c r="BD23" s="62"/>
      <c r="BE23" s="62"/>
      <c r="BF23" s="62"/>
      <c r="BG23" s="62"/>
      <c r="BH23" s="62"/>
      <c r="BI23" s="62"/>
      <c r="BJ23" s="62"/>
      <c r="BK23" s="62"/>
    </row>
    <row r="24" customFormat="false" ht="12.75" hidden="false" customHeight="false" outlineLevel="0" collapsed="false">
      <c r="A24" s="332" t="n">
        <v>1800</v>
      </c>
      <c r="B24" s="373" t="n">
        <f aca="false">'Power Curves'!AT38</f>
        <v>1.3</v>
      </c>
      <c r="C24" s="373" t="n">
        <f aca="false">'Power Curves'!AU38</f>
        <v>1.3</v>
      </c>
      <c r="D24" s="373" t="n">
        <f aca="false">'Power Curves'!AV38</f>
        <v>1.20231213872832</v>
      </c>
      <c r="E24" s="373" t="n">
        <f aca="false">'Power Curves'!AW38</f>
        <v>1.2</v>
      </c>
      <c r="F24" s="373" t="n">
        <f aca="false">'Power Curves'!AX38</f>
        <v>1.12</v>
      </c>
      <c r="G24" s="373" t="n">
        <f aca="false">'Power Curves'!AY38</f>
        <v>1.53</v>
      </c>
      <c r="H24" s="373" t="n">
        <f aca="false">'Power Curves'!AZ38</f>
        <v>1.63</v>
      </c>
      <c r="I24" s="373" t="n">
        <f aca="false">'Power Curves'!BA38</f>
        <v>1.63</v>
      </c>
      <c r="J24" s="373" t="n">
        <f aca="false">'Power Curves'!BB38</f>
        <v>1.5</v>
      </c>
      <c r="K24" s="373" t="n">
        <f aca="false">'Power Curves'!BC38</f>
        <v>1.2</v>
      </c>
      <c r="L24" s="373" t="n">
        <f aca="false">'Power Curves'!BD38</f>
        <v>1.255</v>
      </c>
      <c r="M24" s="373" t="n">
        <f aca="false">'Power Curves'!BE38</f>
        <v>1.35</v>
      </c>
      <c r="N24" s="374" t="n">
        <f aca="false">VALUE('Power Curves'!BF38)</f>
        <v>1</v>
      </c>
      <c r="O24" s="371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Z24" s="375"/>
      <c r="AF24" s="352" t="n">
        <v>37165</v>
      </c>
      <c r="AG24" s="311" t="n">
        <v>23</v>
      </c>
      <c r="AH24" s="311" t="n">
        <v>4</v>
      </c>
      <c r="AI24" s="311" t="n">
        <v>4</v>
      </c>
      <c r="AJ24" s="311" t="n">
        <v>0</v>
      </c>
      <c r="AK24" s="311" t="n">
        <v>31</v>
      </c>
      <c r="AL24" s="311"/>
      <c r="AM24" s="336"/>
      <c r="AN24" s="355"/>
      <c r="AO24" s="243"/>
      <c r="AP24" s="62"/>
      <c r="AQ24" s="417"/>
      <c r="AR24" s="62"/>
      <c r="AS24" s="62"/>
      <c r="AT24" s="62"/>
      <c r="AU24" s="406"/>
      <c r="AV24" s="62"/>
      <c r="AW24" s="62"/>
      <c r="AX24" s="62"/>
      <c r="AZ24" s="62"/>
      <c r="BA24" s="62"/>
      <c r="BB24" s="62"/>
      <c r="BC24" s="406"/>
      <c r="BD24" s="62"/>
      <c r="BE24" s="62"/>
      <c r="BF24" s="62"/>
      <c r="BG24" s="62"/>
      <c r="BH24" s="62"/>
      <c r="BI24" s="62"/>
      <c r="BJ24" s="62"/>
      <c r="BK24" s="62"/>
    </row>
    <row r="25" customFormat="false" ht="12.75" hidden="false" customHeight="false" outlineLevel="0" collapsed="false">
      <c r="A25" s="332" t="n">
        <v>1900</v>
      </c>
      <c r="B25" s="373" t="n">
        <f aca="false">'Power Curves'!AT39</f>
        <v>1.3</v>
      </c>
      <c r="C25" s="373" t="n">
        <f aca="false">'Power Curves'!AU39</f>
        <v>1.3</v>
      </c>
      <c r="D25" s="373" t="n">
        <f aca="false">'Power Curves'!AV39</f>
        <v>1.20231213872832</v>
      </c>
      <c r="E25" s="373" t="n">
        <f aca="false">'Power Curves'!AW39</f>
        <v>1.15</v>
      </c>
      <c r="F25" s="373" t="n">
        <f aca="false">'Power Curves'!AX39</f>
        <v>1.15</v>
      </c>
      <c r="G25" s="373" t="n">
        <f aca="false">'Power Curves'!AY39</f>
        <v>1.53</v>
      </c>
      <c r="H25" s="373" t="n">
        <f aca="false">'Power Curves'!AZ39</f>
        <v>1.63</v>
      </c>
      <c r="I25" s="373" t="n">
        <f aca="false">'Power Curves'!BA39</f>
        <v>1.63</v>
      </c>
      <c r="J25" s="373" t="n">
        <f aca="false">'Power Curves'!BB39</f>
        <v>1.45</v>
      </c>
      <c r="K25" s="373" t="n">
        <f aca="false">'Power Curves'!BC39</f>
        <v>1.15</v>
      </c>
      <c r="L25" s="373" t="n">
        <f aca="false">'Power Curves'!BD39</f>
        <v>1.54</v>
      </c>
      <c r="M25" s="373" t="n">
        <f aca="false">'Power Curves'!BE39</f>
        <v>1.35</v>
      </c>
      <c r="N25" s="374" t="n">
        <f aca="false">VALUE('Power Curves'!BF39)</f>
        <v>1</v>
      </c>
      <c r="O25" s="371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5"/>
      <c r="AF25" s="352" t="n">
        <v>37196</v>
      </c>
      <c r="AG25" s="311" t="n">
        <v>21</v>
      </c>
      <c r="AH25" s="311" t="n">
        <v>4</v>
      </c>
      <c r="AI25" s="311" t="n">
        <v>5</v>
      </c>
      <c r="AJ25" s="311" t="n">
        <v>1</v>
      </c>
      <c r="AK25" s="311" t="n">
        <v>30</v>
      </c>
      <c r="AL25" s="311"/>
      <c r="AM25" s="336"/>
      <c r="AN25" s="355"/>
      <c r="AO25" s="243"/>
      <c r="AP25" s="62"/>
      <c r="AQ25" s="417"/>
      <c r="AR25" s="345"/>
      <c r="AS25" s="414"/>
      <c r="AT25" s="414"/>
      <c r="AU25" s="406"/>
      <c r="AV25" s="62"/>
      <c r="AW25" s="62"/>
      <c r="AX25" s="62"/>
      <c r="AZ25" s="62"/>
      <c r="BA25" s="62"/>
      <c r="BB25" s="62"/>
      <c r="BC25" s="406"/>
      <c r="BD25" s="62"/>
      <c r="BE25" s="62"/>
      <c r="BF25" s="62"/>
      <c r="BG25" s="62"/>
      <c r="BH25" s="62"/>
      <c r="BI25" s="62"/>
      <c r="BJ25" s="62"/>
      <c r="BK25" s="62"/>
    </row>
    <row r="26" customFormat="false" ht="12.75" hidden="false" customHeight="false" outlineLevel="0" collapsed="false">
      <c r="A26" s="332" t="n">
        <v>2000</v>
      </c>
      <c r="B26" s="373" t="n">
        <f aca="false">'Power Curves'!AT40</f>
        <v>1.15</v>
      </c>
      <c r="C26" s="373" t="n">
        <f aca="false">'Power Curves'!AU40</f>
        <v>1.15</v>
      </c>
      <c r="D26" s="373" t="n">
        <f aca="false">'Power Curves'!AV40</f>
        <v>1.01734104046243</v>
      </c>
      <c r="E26" s="373" t="n">
        <f aca="false">'Power Curves'!AW40</f>
        <v>1.05</v>
      </c>
      <c r="F26" s="373" t="n">
        <f aca="false">'Power Curves'!AX40</f>
        <v>1.12</v>
      </c>
      <c r="G26" s="373" t="n">
        <f aca="false">'Power Curves'!AY40</f>
        <v>1.53</v>
      </c>
      <c r="H26" s="373" t="n">
        <f aca="false">'Power Curves'!AZ40</f>
        <v>1.63</v>
      </c>
      <c r="I26" s="373" t="n">
        <f aca="false">'Power Curves'!BA40</f>
        <v>1.63</v>
      </c>
      <c r="J26" s="373" t="n">
        <f aca="false">'Power Curves'!BB40</f>
        <v>1.35</v>
      </c>
      <c r="K26" s="373" t="n">
        <f aca="false">'Power Curves'!BC40</f>
        <v>1.05</v>
      </c>
      <c r="L26" s="373" t="n">
        <f aca="false">'Power Curves'!BD40</f>
        <v>1.54</v>
      </c>
      <c r="M26" s="373" t="n">
        <f aca="false">'Power Curves'!BE40</f>
        <v>1.21</v>
      </c>
      <c r="N26" s="374" t="n">
        <f aca="false">VALUE('Power Curves'!BF40)</f>
        <v>1</v>
      </c>
      <c r="O26" s="371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Z26" s="375"/>
      <c r="AF26" s="352" t="n">
        <v>37226</v>
      </c>
      <c r="AG26" s="311" t="n">
        <v>20</v>
      </c>
      <c r="AH26" s="311" t="n">
        <v>5</v>
      </c>
      <c r="AI26" s="311" t="n">
        <v>6</v>
      </c>
      <c r="AJ26" s="311" t="n">
        <v>1</v>
      </c>
      <c r="AK26" s="311" t="n">
        <v>31</v>
      </c>
      <c r="AL26" s="311"/>
      <c r="AM26" s="336"/>
      <c r="AN26" s="62"/>
      <c r="AO26" s="62"/>
      <c r="AP26" s="62"/>
      <c r="AQ26" s="417"/>
      <c r="AR26" s="345"/>
      <c r="AS26" s="106"/>
      <c r="AT26" s="106"/>
      <c r="AU26" s="406"/>
      <c r="AV26" s="62"/>
      <c r="AW26" s="62"/>
      <c r="AX26" s="62"/>
      <c r="AZ26" s="62"/>
      <c r="BA26" s="62"/>
      <c r="BB26" s="62"/>
      <c r="BC26" s="406"/>
      <c r="BD26" s="62"/>
      <c r="BE26" s="62"/>
      <c r="BF26" s="62"/>
      <c r="BG26" s="62"/>
      <c r="BH26" s="62"/>
      <c r="BI26" s="62"/>
      <c r="BJ26" s="62"/>
      <c r="BK26" s="62"/>
    </row>
    <row r="27" customFormat="false" ht="12.75" hidden="false" customHeight="false" outlineLevel="0" collapsed="false">
      <c r="A27" s="332" t="n">
        <v>2100</v>
      </c>
      <c r="B27" s="373" t="n">
        <f aca="false">'Power Curves'!AT41</f>
        <v>0.8</v>
      </c>
      <c r="C27" s="373" t="n">
        <f aca="false">'Power Curves'!AU41</f>
        <v>0.8</v>
      </c>
      <c r="D27" s="373" t="n">
        <f aca="false">'Power Curves'!AV41</f>
        <v>0.92485549132948</v>
      </c>
      <c r="E27" s="373" t="n">
        <f aca="false">'Power Curves'!AW41</f>
        <v>0.9</v>
      </c>
      <c r="F27" s="373" t="n">
        <f aca="false">'Power Curves'!AX41</f>
        <v>0.90282131661442</v>
      </c>
      <c r="G27" s="373" t="n">
        <f aca="false">'Power Curves'!AY41</f>
        <v>0.47</v>
      </c>
      <c r="H27" s="373" t="n">
        <f aca="false">'Power Curves'!AZ41</f>
        <v>0.37</v>
      </c>
      <c r="I27" s="373" t="n">
        <f aca="false">'Power Curves'!BA41</f>
        <v>0.37</v>
      </c>
      <c r="J27" s="373" t="n">
        <f aca="false">'Power Curves'!BB41</f>
        <v>1</v>
      </c>
      <c r="K27" s="373" t="n">
        <f aca="false">'Power Curves'!BC41</f>
        <v>0.9</v>
      </c>
      <c r="L27" s="373" t="n">
        <f aca="false">'Power Curves'!BD41</f>
        <v>1.205</v>
      </c>
      <c r="M27" s="373" t="n">
        <f aca="false">'Power Curves'!BE41</f>
        <v>0.95</v>
      </c>
      <c r="N27" s="374" t="n">
        <f aca="false">VALUE('Power Curves'!BF41)</f>
        <v>1</v>
      </c>
      <c r="O27" s="371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Z27" s="375"/>
      <c r="AF27" s="352" t="n">
        <v>37257</v>
      </c>
      <c r="AG27" s="311" t="n">
        <v>22</v>
      </c>
      <c r="AH27" s="311" t="n">
        <v>4</v>
      </c>
      <c r="AI27" s="311" t="n">
        <v>5</v>
      </c>
      <c r="AJ27" s="311" t="n">
        <v>1</v>
      </c>
      <c r="AK27" s="311" t="n">
        <v>31</v>
      </c>
      <c r="AL27" s="311"/>
      <c r="AM27" s="336"/>
      <c r="AN27" s="62"/>
      <c r="AO27" s="62"/>
      <c r="AP27" s="62"/>
      <c r="AQ27" s="417"/>
      <c r="AR27" s="345"/>
      <c r="AS27" s="106"/>
      <c r="AT27" s="106"/>
      <c r="AU27" s="406"/>
      <c r="AV27" s="62"/>
      <c r="AW27" s="62"/>
      <c r="AX27" s="62"/>
      <c r="AZ27" s="62"/>
      <c r="BA27" s="62"/>
      <c r="BB27" s="62"/>
      <c r="BC27" s="406"/>
      <c r="BD27" s="62"/>
      <c r="BE27" s="62"/>
      <c r="BF27" s="62"/>
      <c r="BG27" s="62"/>
      <c r="BH27" s="62"/>
      <c r="BI27" s="62"/>
      <c r="BJ27" s="62"/>
      <c r="BK27" s="62"/>
    </row>
    <row r="28" customFormat="false" ht="12.75" hidden="false" customHeight="false" outlineLevel="0" collapsed="false">
      <c r="A28" s="332" t="n">
        <v>2200</v>
      </c>
      <c r="B28" s="373" t="n">
        <f aca="false">'Power Curves'!AT42</f>
        <v>0.79</v>
      </c>
      <c r="C28" s="373" t="n">
        <f aca="false">'Power Curves'!AU42</f>
        <v>0.79</v>
      </c>
      <c r="D28" s="373" t="n">
        <f aca="false">'Power Curves'!AV42</f>
        <v>0.832369942196532</v>
      </c>
      <c r="E28" s="373" t="n">
        <f aca="false">'Power Curves'!AW42</f>
        <v>0.85</v>
      </c>
      <c r="F28" s="373" t="n">
        <f aca="false">'Power Curves'!AX42</f>
        <v>0.85</v>
      </c>
      <c r="G28" s="373" t="n">
        <f aca="false">'Power Curves'!AY42</f>
        <v>0.47</v>
      </c>
      <c r="H28" s="373" t="n">
        <f aca="false">'Power Curves'!AZ42</f>
        <v>0.37</v>
      </c>
      <c r="I28" s="373" t="n">
        <f aca="false">'Power Curves'!BA42</f>
        <v>0.37</v>
      </c>
      <c r="J28" s="373" t="n">
        <f aca="false">'Power Curves'!BB42</f>
        <v>0.69</v>
      </c>
      <c r="K28" s="373" t="n">
        <f aca="false">'Power Curves'!BC42</f>
        <v>0.85</v>
      </c>
      <c r="L28" s="373" t="n">
        <f aca="false">'Power Curves'!BD42</f>
        <v>0.72</v>
      </c>
      <c r="M28" s="373" t="n">
        <f aca="false">'Power Curves'!BE42</f>
        <v>0.72</v>
      </c>
      <c r="N28" s="374" t="n">
        <f aca="false">VALUE('Power Curves'!BF42)</f>
        <v>1</v>
      </c>
      <c r="O28" s="371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Z28" s="375"/>
      <c r="AF28" s="352" t="n">
        <v>37288</v>
      </c>
      <c r="AG28" s="311" t="n">
        <v>20</v>
      </c>
      <c r="AH28" s="311" t="n">
        <v>4</v>
      </c>
      <c r="AI28" s="311" t="n">
        <v>4</v>
      </c>
      <c r="AJ28" s="311" t="n">
        <v>0</v>
      </c>
      <c r="AK28" s="311" t="n">
        <v>28</v>
      </c>
      <c r="AL28" s="311"/>
      <c r="AM28" s="336"/>
      <c r="AN28" s="62"/>
      <c r="AO28" s="62"/>
      <c r="AP28" s="62"/>
      <c r="AQ28" s="417"/>
      <c r="AR28" s="345"/>
      <c r="AS28" s="106"/>
      <c r="AT28" s="106"/>
      <c r="AU28" s="406"/>
      <c r="AV28" s="62"/>
      <c r="AW28" s="62"/>
      <c r="AX28" s="62"/>
      <c r="AZ28" s="62"/>
      <c r="BA28" s="62"/>
      <c r="BB28" s="62"/>
      <c r="BC28" s="406"/>
      <c r="BD28" s="62"/>
      <c r="BE28" s="62"/>
      <c r="BF28" s="62"/>
      <c r="BG28" s="62"/>
      <c r="BH28" s="62"/>
      <c r="BI28" s="62"/>
      <c r="BJ28" s="62"/>
      <c r="BK28" s="62"/>
    </row>
    <row r="29" customFormat="false" ht="12.75" hidden="false" customHeight="false" outlineLevel="0" collapsed="false">
      <c r="A29" s="332" t="n">
        <v>2300</v>
      </c>
      <c r="B29" s="373" t="n">
        <f aca="false">'Power Curves'!AT43</f>
        <v>1.05</v>
      </c>
      <c r="C29" s="373" t="n">
        <f aca="false">'Power Curves'!AU43</f>
        <v>1.05</v>
      </c>
      <c r="D29" s="373" t="n">
        <f aca="false">'Power Curves'!AV43</f>
        <v>1.13942581548393</v>
      </c>
      <c r="E29" s="373" t="n">
        <f aca="false">'Power Curves'!AW43</f>
        <v>1.26515386305201</v>
      </c>
      <c r="F29" s="373" t="n">
        <f aca="false">'Power Curves'!AX43</f>
        <v>1.15</v>
      </c>
      <c r="G29" s="373" t="n">
        <f aca="false">'Power Curves'!AY43</f>
        <v>1.25</v>
      </c>
      <c r="H29" s="373" t="n">
        <f aca="false">'Power Curves'!AZ43</f>
        <v>1.29465582024753</v>
      </c>
      <c r="I29" s="373" t="n">
        <f aca="false">'Power Curves'!BA43</f>
        <v>1.29465582024753</v>
      </c>
      <c r="J29" s="373" t="n">
        <f aca="false">'Power Curves'!BB43</f>
        <v>1.25</v>
      </c>
      <c r="K29" s="373" t="n">
        <f aca="false">'Power Curves'!BC43</f>
        <v>1.26515386305201</v>
      </c>
      <c r="L29" s="373" t="n">
        <f aca="false">'Power Curves'!BD43</f>
        <v>1.11998824052749</v>
      </c>
      <c r="M29" s="373" t="n">
        <f aca="false">'Power Curves'!BE43</f>
        <v>1.11998824052749</v>
      </c>
      <c r="N29" s="374" t="n">
        <f aca="false">VALUE('Power Curves'!BF43)</f>
        <v>2</v>
      </c>
      <c r="O29" s="371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Z29" s="375"/>
      <c r="AF29" s="352" t="n">
        <v>37316</v>
      </c>
      <c r="AG29" s="311" t="n">
        <v>21</v>
      </c>
      <c r="AH29" s="311" t="n">
        <v>5</v>
      </c>
      <c r="AI29" s="311" t="n">
        <v>5</v>
      </c>
      <c r="AJ29" s="311" t="n">
        <v>0</v>
      </c>
      <c r="AK29" s="311" t="n">
        <v>31</v>
      </c>
      <c r="AL29" s="311"/>
      <c r="AM29" s="336"/>
      <c r="AN29" s="62"/>
      <c r="AO29" s="62"/>
      <c r="AP29" s="62"/>
      <c r="AQ29" s="417"/>
      <c r="AR29" s="345"/>
      <c r="AS29" s="106"/>
      <c r="AT29" s="106"/>
      <c r="AU29" s="406"/>
      <c r="AV29" s="62"/>
      <c r="AW29" s="62"/>
      <c r="AX29" s="62"/>
      <c r="AZ29" s="62"/>
      <c r="BA29" s="62"/>
      <c r="BB29" s="62"/>
      <c r="BC29" s="406"/>
      <c r="BD29" s="62"/>
      <c r="BE29" s="62"/>
      <c r="BF29" s="62"/>
      <c r="BG29" s="62"/>
      <c r="BH29" s="62"/>
      <c r="BI29" s="62"/>
      <c r="BJ29" s="62"/>
      <c r="BK29" s="62"/>
    </row>
    <row r="30" customFormat="false" ht="12.75" hidden="false" customHeight="false" outlineLevel="0" collapsed="false">
      <c r="A30" s="332" t="n">
        <v>2400</v>
      </c>
      <c r="B30" s="373" t="n">
        <f aca="false">'Power Curves'!AT44</f>
        <v>0.95</v>
      </c>
      <c r="C30" s="373" t="n">
        <f aca="false">'Power Curves'!AU44</f>
        <v>0.95</v>
      </c>
      <c r="D30" s="373" t="n">
        <f aca="false">'Power Curves'!AV44</f>
        <v>1.06539539351647</v>
      </c>
      <c r="E30" s="373" t="n">
        <f aca="false">'Power Curves'!AW44</f>
        <v>1.15401118724704</v>
      </c>
      <c r="F30" s="373" t="n">
        <f aca="false">'Power Curves'!AX44</f>
        <v>0.958807332906934</v>
      </c>
      <c r="G30" s="373" t="n">
        <f aca="false">'Power Curves'!AY44</f>
        <v>1.21505912963884</v>
      </c>
      <c r="H30" s="373" t="n">
        <f aca="false">'Power Curves'!AZ44</f>
        <v>1.19131182078933</v>
      </c>
      <c r="I30" s="373" t="n">
        <f aca="false">'Power Curves'!BA44</f>
        <v>1.19131182078933</v>
      </c>
      <c r="J30" s="373" t="n">
        <f aca="false">'Power Curves'!BB44</f>
        <v>1.21505912963884</v>
      </c>
      <c r="K30" s="373" t="n">
        <f aca="false">'Power Curves'!BC44</f>
        <v>1.15401118724704</v>
      </c>
      <c r="L30" s="373" t="n">
        <f aca="false">'Power Curves'!BD44</f>
        <v>1.05392489132036</v>
      </c>
      <c r="M30" s="373" t="n">
        <f aca="false">'Power Curves'!BE44</f>
        <v>1.10392489132036</v>
      </c>
      <c r="N30" s="374" t="n">
        <f aca="false">VALUE('Power Curves'!BF44)</f>
        <v>2</v>
      </c>
      <c r="O30" s="371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Z30" s="375"/>
      <c r="AF30" s="352" t="n">
        <v>37347</v>
      </c>
      <c r="AG30" s="311" t="n">
        <v>22</v>
      </c>
      <c r="AH30" s="311" t="n">
        <v>4</v>
      </c>
      <c r="AI30" s="311" t="n">
        <v>4</v>
      </c>
      <c r="AJ30" s="311" t="n">
        <v>0</v>
      </c>
      <c r="AK30" s="311" t="n">
        <v>30</v>
      </c>
      <c r="AL30" s="311"/>
      <c r="AM30" s="336"/>
      <c r="AN30" s="62"/>
      <c r="AO30" s="62"/>
      <c r="AP30" s="62"/>
      <c r="AQ30" s="417"/>
      <c r="AR30" s="345"/>
      <c r="AS30" s="106"/>
      <c r="AT30" s="106"/>
      <c r="AU30" s="406"/>
      <c r="AV30" s="62"/>
      <c r="AW30" s="62"/>
      <c r="AX30" s="62"/>
      <c r="AZ30" s="62"/>
      <c r="BA30" s="62"/>
      <c r="BB30" s="62"/>
      <c r="BC30" s="406"/>
      <c r="BD30" s="62"/>
      <c r="BE30" s="62"/>
      <c r="BF30" s="62"/>
      <c r="BG30" s="62"/>
      <c r="BH30" s="62"/>
      <c r="BI30" s="62"/>
      <c r="BJ30" s="62"/>
      <c r="BK30" s="62"/>
    </row>
    <row r="31" customFormat="false" ht="12.75" hidden="false" customHeight="false" outlineLevel="0" collapsed="false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71"/>
      <c r="P31" s="372"/>
      <c r="Q31" s="116"/>
      <c r="R31" s="116"/>
      <c r="S31" s="116"/>
      <c r="T31" s="116"/>
      <c r="U31" s="116"/>
      <c r="V31" s="116"/>
      <c r="W31" s="116"/>
      <c r="X31" s="116"/>
      <c r="Y31" s="116"/>
      <c r="Z31" s="295"/>
      <c r="AF31" s="352" t="n">
        <v>37377</v>
      </c>
      <c r="AG31" s="311" t="n">
        <v>22</v>
      </c>
      <c r="AH31" s="311" t="n">
        <v>4</v>
      </c>
      <c r="AI31" s="311" t="n">
        <v>5</v>
      </c>
      <c r="AJ31" s="311" t="n">
        <v>1</v>
      </c>
      <c r="AK31" s="311" t="n">
        <v>31</v>
      </c>
      <c r="AL31" s="311"/>
      <c r="AM31" s="336"/>
      <c r="AN31" s="62"/>
      <c r="AO31" s="62"/>
      <c r="AP31" s="62"/>
      <c r="AQ31" s="417"/>
      <c r="AR31" s="345"/>
      <c r="AS31" s="106"/>
      <c r="AT31" s="106"/>
      <c r="AU31" s="406"/>
      <c r="AV31" s="62"/>
      <c r="AW31" s="62"/>
      <c r="AX31" s="62"/>
      <c r="AZ31" s="62"/>
      <c r="BA31" s="62"/>
      <c r="BB31" s="62"/>
      <c r="BC31" s="406"/>
      <c r="BD31" s="62"/>
      <c r="BE31" s="62"/>
      <c r="BF31" s="62"/>
      <c r="BG31" s="62"/>
      <c r="BH31" s="62"/>
      <c r="BI31" s="62"/>
      <c r="BJ31" s="62"/>
      <c r="BK31" s="62"/>
    </row>
    <row r="32" customFormat="false" ht="12.75" hidden="false" customHeight="false" outlineLevel="0" collapsed="false">
      <c r="A32" s="381" t="s">
        <v>1290</v>
      </c>
      <c r="B32" s="382" t="n">
        <f aca="false">O32</f>
        <v>1.02007383501259</v>
      </c>
      <c r="C32" s="382" t="n">
        <f aca="false">P32</f>
        <v>1.02007383501259</v>
      </c>
      <c r="D32" s="382" t="n">
        <f aca="false">Q32</f>
        <v>1.0173448699422</v>
      </c>
      <c r="E32" s="382" t="n">
        <f aca="false">R32</f>
        <v>1.005</v>
      </c>
      <c r="F32" s="382" t="n">
        <f aca="false">S32</f>
        <v>1.075625</v>
      </c>
      <c r="G32" s="382" t="n">
        <f aca="false">T32</f>
        <v>1.53</v>
      </c>
      <c r="H32" s="382" t="n">
        <f aca="false">U32</f>
        <v>1.63</v>
      </c>
      <c r="I32" s="382" t="n">
        <f aca="false">V32</f>
        <v>1.63</v>
      </c>
      <c r="J32" s="382" t="n">
        <f aca="false">W32</f>
        <v>1.35125</v>
      </c>
      <c r="K32" s="382" t="n">
        <f aca="false">X32</f>
        <v>1.005</v>
      </c>
      <c r="L32" s="382" t="n">
        <f aca="false">Y32</f>
        <v>1.0825</v>
      </c>
      <c r="M32" s="382" t="n">
        <f aca="false">Z32</f>
        <v>1.02125</v>
      </c>
      <c r="N32" s="311"/>
      <c r="O32" s="383" t="n">
        <f aca="false">MAX(O7:O30)</f>
        <v>1.02007383501259</v>
      </c>
      <c r="P32" s="384" t="n">
        <f aca="false">MAX(P7:P30)</f>
        <v>1.02007383501259</v>
      </c>
      <c r="Q32" s="384" t="n">
        <f aca="false">MAX(Q7:Q30)</f>
        <v>1.0173448699422</v>
      </c>
      <c r="R32" s="384" t="n">
        <f aca="false">MAX(R7:R30)</f>
        <v>1.005</v>
      </c>
      <c r="S32" s="384" t="n">
        <f aca="false">MAX(S7:S30)</f>
        <v>1.075625</v>
      </c>
      <c r="T32" s="384" t="n">
        <f aca="false">MAX(T7:T30)</f>
        <v>1.53</v>
      </c>
      <c r="U32" s="384" t="n">
        <f aca="false">MAX(U7:U30)</f>
        <v>1.63</v>
      </c>
      <c r="V32" s="384" t="n">
        <f aca="false">MAX(V7:V30)</f>
        <v>1.63</v>
      </c>
      <c r="W32" s="384" t="n">
        <f aca="false">MAX(W7:W30)</f>
        <v>1.35125</v>
      </c>
      <c r="X32" s="384" t="n">
        <f aca="false">MAX(X7:X30)</f>
        <v>1.005</v>
      </c>
      <c r="Y32" s="384" t="n">
        <f aca="false">MAX(Y7:Y30)</f>
        <v>1.0825</v>
      </c>
      <c r="Z32" s="385" t="n">
        <f aca="false">MAX(Z7:Z30)</f>
        <v>1.02125</v>
      </c>
      <c r="AF32" s="352" t="n">
        <v>37408</v>
      </c>
      <c r="AG32" s="311" t="n">
        <v>20</v>
      </c>
      <c r="AH32" s="311" t="n">
        <v>5</v>
      </c>
      <c r="AI32" s="311" t="n">
        <v>5</v>
      </c>
      <c r="AJ32" s="311" t="n">
        <v>0</v>
      </c>
      <c r="AK32" s="311" t="n">
        <v>30</v>
      </c>
      <c r="AL32" s="311"/>
      <c r="AM32" s="336"/>
      <c r="AN32" s="62"/>
      <c r="AO32" s="62"/>
      <c r="AP32" s="62"/>
      <c r="AQ32" s="417"/>
      <c r="AR32" s="345"/>
      <c r="AS32" s="106"/>
      <c r="AT32" s="106"/>
      <c r="AU32" s="406"/>
      <c r="AV32" s="62"/>
      <c r="AW32" s="62"/>
      <c r="AX32" s="62"/>
      <c r="AZ32" s="62"/>
      <c r="BA32" s="62"/>
      <c r="BB32" s="62"/>
      <c r="BC32" s="406"/>
      <c r="BD32" s="62"/>
      <c r="BE32" s="62"/>
      <c r="BF32" s="62"/>
      <c r="BG32" s="62"/>
      <c r="BH32" s="62"/>
      <c r="BI32" s="62"/>
      <c r="BJ32" s="62"/>
      <c r="BK32" s="62"/>
    </row>
    <row r="33" customFormat="false" ht="12.75" hidden="false" customHeight="false" outlineLevel="0" collapsed="false">
      <c r="A33" s="386" t="s">
        <v>1363</v>
      </c>
      <c r="B33" s="387"/>
      <c r="C33" s="387"/>
      <c r="D33" s="387"/>
      <c r="E33" s="387"/>
      <c r="F33" s="387"/>
      <c r="G33" s="387"/>
      <c r="H33" s="387"/>
      <c r="I33" s="387"/>
      <c r="J33" s="250"/>
      <c r="AF33" s="352" t="n">
        <v>37438</v>
      </c>
      <c r="AG33" s="311" t="n">
        <v>22</v>
      </c>
      <c r="AH33" s="311" t="n">
        <v>4</v>
      </c>
      <c r="AI33" s="311" t="n">
        <v>5</v>
      </c>
      <c r="AJ33" s="311" t="n">
        <v>1</v>
      </c>
      <c r="AK33" s="311" t="n">
        <v>31</v>
      </c>
      <c r="AL33" s="311"/>
      <c r="AM33" s="336"/>
      <c r="AN33" s="62"/>
      <c r="AO33" s="62"/>
      <c r="AP33" s="62"/>
      <c r="AQ33" s="417"/>
      <c r="AR33" s="345"/>
      <c r="AS33" s="106"/>
      <c r="AT33" s="106"/>
      <c r="AU33" s="406"/>
      <c r="AV33" s="62"/>
      <c r="AW33" s="62"/>
      <c r="AX33" s="62"/>
      <c r="AZ33" s="62"/>
      <c r="BA33" s="62"/>
      <c r="BB33" s="62"/>
      <c r="BC33" s="406"/>
      <c r="BD33" s="62"/>
      <c r="BE33" s="62"/>
      <c r="BF33" s="62"/>
      <c r="BG33" s="62"/>
      <c r="BH33" s="62"/>
      <c r="BI33" s="62"/>
      <c r="BJ33" s="62"/>
      <c r="BK33" s="62"/>
    </row>
    <row r="34" customFormat="false" ht="12.75" hidden="false" customHeight="false" outlineLevel="0" collapsed="false">
      <c r="A34" s="388" t="s">
        <v>1365</v>
      </c>
      <c r="E34" s="389"/>
      <c r="F34" s="189"/>
      <c r="G34" s="161"/>
      <c r="N34" s="390" t="s">
        <v>1366</v>
      </c>
      <c r="O34" s="391"/>
      <c r="P34" s="391"/>
      <c r="Q34" s="391"/>
      <c r="R34" s="391"/>
      <c r="S34" s="392"/>
      <c r="T34" s="392"/>
      <c r="U34" s="393"/>
      <c r="AF34" s="352" t="n">
        <v>37469</v>
      </c>
      <c r="AG34" s="311" t="n">
        <v>22</v>
      </c>
      <c r="AH34" s="311" t="n">
        <v>5</v>
      </c>
      <c r="AI34" s="311" t="n">
        <v>4</v>
      </c>
      <c r="AJ34" s="311" t="n">
        <v>0</v>
      </c>
      <c r="AK34" s="311" t="n">
        <v>31</v>
      </c>
      <c r="AL34" s="311"/>
      <c r="AM34" s="336"/>
      <c r="AN34" s="62"/>
      <c r="AO34" s="62"/>
      <c r="AP34" s="62"/>
      <c r="AQ34" s="417"/>
      <c r="AR34" s="345"/>
      <c r="AS34" s="106"/>
      <c r="AT34" s="106"/>
      <c r="AU34" s="406"/>
      <c r="AV34" s="62"/>
      <c r="AW34" s="62"/>
      <c r="AX34" s="62"/>
      <c r="AZ34" s="62"/>
      <c r="BA34" s="62"/>
      <c r="BB34" s="62"/>
      <c r="BC34" s="406"/>
      <c r="BD34" s="62"/>
      <c r="BE34" s="62"/>
      <c r="BF34" s="62"/>
      <c r="BG34" s="62"/>
      <c r="BH34" s="62"/>
      <c r="BI34" s="62"/>
      <c r="BJ34" s="62"/>
      <c r="BK34" s="62"/>
    </row>
    <row r="35" customFormat="false" ht="12.75" hidden="false" customHeight="false" outlineLevel="0" collapsed="false">
      <c r="B35" s="394" t="s">
        <v>1388</v>
      </c>
      <c r="C35" s="310"/>
      <c r="D35" s="312" t="s">
        <v>1368</v>
      </c>
      <c r="E35" s="394" t="s">
        <v>1369</v>
      </c>
      <c r="F35" s="312" t="s">
        <v>1370</v>
      </c>
      <c r="G35" s="394" t="s">
        <v>1371</v>
      </c>
      <c r="H35" s="312" t="s">
        <v>1372</v>
      </c>
      <c r="I35" s="394" t="s">
        <v>1373</v>
      </c>
      <c r="J35" s="394"/>
      <c r="K35" s="394"/>
      <c r="L35" s="394"/>
      <c r="N35" s="395" t="s">
        <v>1374</v>
      </c>
      <c r="O35" s="395" t="s">
        <v>1375</v>
      </c>
      <c r="P35" s="395" t="s">
        <v>1376</v>
      </c>
      <c r="Q35" s="395" t="s">
        <v>1373</v>
      </c>
      <c r="R35" s="395" t="s">
        <v>1377</v>
      </c>
      <c r="AF35" s="352" t="n">
        <v>37500</v>
      </c>
      <c r="AG35" s="311" t="n">
        <v>20</v>
      </c>
      <c r="AH35" s="311" t="n">
        <v>4</v>
      </c>
      <c r="AI35" s="311" t="n">
        <v>6</v>
      </c>
      <c r="AJ35" s="311" t="n">
        <v>1</v>
      </c>
      <c r="AK35" s="311" t="n">
        <v>30</v>
      </c>
      <c r="AN35" s="62"/>
      <c r="AO35" s="62"/>
      <c r="AP35" s="62"/>
      <c r="AQ35" s="417"/>
      <c r="AR35" s="62"/>
      <c r="AS35" s="62"/>
      <c r="AT35" s="62"/>
      <c r="AU35" s="406"/>
      <c r="AV35" s="62"/>
      <c r="AW35" s="62"/>
      <c r="AX35" s="62"/>
      <c r="AZ35" s="62"/>
      <c r="BA35" s="62"/>
      <c r="BB35" s="62"/>
      <c r="BC35" s="406"/>
      <c r="BD35" s="62"/>
      <c r="BE35" s="62"/>
      <c r="BF35" s="62"/>
      <c r="BG35" s="62"/>
      <c r="BH35" s="62"/>
      <c r="BI35" s="62"/>
      <c r="BJ35" s="62"/>
      <c r="BK35" s="62"/>
    </row>
    <row r="36" customFormat="false" ht="12.75" hidden="false" customHeight="false" outlineLevel="0" collapsed="false">
      <c r="A36" s="331" t="s">
        <v>1288</v>
      </c>
      <c r="B36" s="394" t="s">
        <v>1326</v>
      </c>
      <c r="C36" s="394" t="s">
        <v>1380</v>
      </c>
      <c r="D36" s="312" t="s">
        <v>1381</v>
      </c>
      <c r="E36" s="394" t="s">
        <v>1326</v>
      </c>
      <c r="F36" s="312" t="s">
        <v>1381</v>
      </c>
      <c r="G36" s="394" t="s">
        <v>1326</v>
      </c>
      <c r="H36" s="312" t="s">
        <v>1381</v>
      </c>
      <c r="I36" s="394" t="s">
        <v>1384</v>
      </c>
      <c r="J36" s="394"/>
      <c r="K36" s="394"/>
      <c r="L36" s="394"/>
      <c r="N36" s="395" t="s">
        <v>1381</v>
      </c>
      <c r="O36" s="395" t="s">
        <v>1381</v>
      </c>
      <c r="P36" s="395" t="s">
        <v>1381</v>
      </c>
      <c r="Q36" s="395" t="s">
        <v>1384</v>
      </c>
      <c r="R36" s="395" t="s">
        <v>1299</v>
      </c>
      <c r="AF36" s="352" t="n">
        <v>37530</v>
      </c>
      <c r="AG36" s="311" t="n">
        <v>23</v>
      </c>
      <c r="AH36" s="311" t="n">
        <v>4</v>
      </c>
      <c r="AI36" s="311" t="n">
        <v>4</v>
      </c>
      <c r="AJ36" s="311" t="n">
        <v>0</v>
      </c>
      <c r="AK36" s="311" t="n">
        <v>31</v>
      </c>
      <c r="AN36" s="62"/>
      <c r="AO36" s="62"/>
      <c r="AP36" s="62"/>
      <c r="AQ36" s="417"/>
      <c r="AR36" s="345"/>
      <c r="AS36" s="414"/>
      <c r="AT36" s="414"/>
      <c r="AU36" s="406"/>
      <c r="AV36" s="62"/>
      <c r="AW36" s="62"/>
      <c r="AX36" s="62"/>
      <c r="AZ36" s="62"/>
      <c r="BA36" s="62"/>
      <c r="BB36" s="62"/>
      <c r="BC36" s="406"/>
      <c r="BD36" s="62"/>
      <c r="BE36" s="62"/>
      <c r="BF36" s="62"/>
      <c r="BG36" s="62"/>
      <c r="BH36" s="62"/>
      <c r="BI36" s="62"/>
      <c r="BJ36" s="62"/>
      <c r="BK36" s="62"/>
    </row>
    <row r="37" customFormat="false" ht="12.75" hidden="false" customHeight="false" outlineLevel="0" collapsed="false">
      <c r="A37" s="352" t="n">
        <f aca="false">Option2!A4</f>
        <v>37257</v>
      </c>
      <c r="B37" s="396" t="n">
        <f aca="false">IF(A37="N/A"," ",N37*VLOOKUP(MONTH(A37),Curveadj,3))</f>
        <v>32.4166677565802</v>
      </c>
      <c r="C37" s="397" t="n">
        <f aca="false">IF(A37="N/A"," ",(IF(AND(Scaler2=1,MONTH(A37)&gt;=6,MONTH(A37)&lt;=8,OR($M$37="REGION 2",$M$37="REGION 2A",$M$37="REGION 2B",$M$37="REGION 3",$M$37="REGION 3A",$M$37="REGION 3B",$M$37="REGION 3C",$M$37="REGION 4",$M$37="REGION 4B",$M$37="REGION 4C",$M$37="REGION 5",$M$37="REGION 5A")),((0.059228/(B37/100))-(0.4980013/(SQRT(B37/100)))+2.137988),HLOOKUP(MONTH(A37),ScalarTable,28))))</f>
        <v>1.02007383501259</v>
      </c>
      <c r="D37" s="398" t="n">
        <f aca="false">IF(A37="N/A"," ",C37*B37)</f>
        <v>33.0673945967839</v>
      </c>
      <c r="E37" s="396" t="n">
        <f aca="false">IF(A37="N/A"," ",O37*VLOOKUP(MONTH(A37),Curveadj,3))</f>
        <v>29.320001373291</v>
      </c>
      <c r="F37" s="398" t="n">
        <f aca="false">IF(A37="N/A"," ",E37*C37)</f>
        <v>29.9085662434275</v>
      </c>
      <c r="G37" s="396" t="n">
        <f aca="false">IF(A37="N/A"," ",P37*VLOOKUP(MONTH(A37),Curveadj,3))</f>
        <v>19.820001373291</v>
      </c>
      <c r="H37" s="398" t="n">
        <f aca="false">IF(A37="N/A"," ",G37*C37)</f>
        <v>20.2178648108079</v>
      </c>
      <c r="I37" s="398" t="n">
        <f aca="false">IF(A37="N/A"," ",Q37)</f>
        <v>18.25</v>
      </c>
      <c r="J37" s="398"/>
      <c r="K37" s="399"/>
      <c r="L37" s="399"/>
      <c r="M37" s="400" t="str">
        <f aca="false">PositionRegion</f>
        <v>REGION 4</v>
      </c>
      <c r="N37" s="401" t="n">
        <f aca="false">IF(A37="N/A"," ",VLOOKUP(A37,PeakPowerCurves,(IF(BMO2=2,3,IF(BMO2=1,2,4))),FALSE()))</f>
        <v>32.4166677565802</v>
      </c>
      <c r="O37" s="401" t="n">
        <f aca="false">IF(A37="N/A"," ",VLOOKUP(A37,SatSunPeakPwr,(IF(BMO2=2,3,IF(BMO2=1,2,4))),FALSE()))</f>
        <v>29.320001373291</v>
      </c>
      <c r="P37" s="401" t="n">
        <f aca="false">IF(A37="N/A"," ",VLOOKUP(A37,SatSunPeakPwr,(IF(BMO2=2,7,IF(BMO2=1,6,8))),FALSE()))</f>
        <v>19.820001373291</v>
      </c>
      <c r="Q37" s="402" t="n">
        <f aca="false">IF(A37="N/A"," ",(VLOOKUP(A37,OPPowerPrices,(IF(BMO2=2,7,IF(BMO2=1,6,8))),FALSE())))</f>
        <v>18.25</v>
      </c>
      <c r="R37" s="403" t="e">
        <f aca="false">IF(A37="N/A"," ",(VLOOKUP($A37,IRTable,2)))</f>
        <v>#N/A</v>
      </c>
      <c r="AF37" s="352" t="n">
        <v>37561</v>
      </c>
      <c r="AG37" s="311" t="n">
        <v>20</v>
      </c>
      <c r="AH37" s="311" t="n">
        <v>5</v>
      </c>
      <c r="AI37" s="311" t="n">
        <v>5</v>
      </c>
      <c r="AJ37" s="311" t="n">
        <v>1</v>
      </c>
      <c r="AK37" s="311" t="n">
        <v>30</v>
      </c>
      <c r="AN37" s="62"/>
      <c r="AO37" s="62"/>
      <c r="AP37" s="62"/>
      <c r="AQ37" s="417"/>
      <c r="AR37" s="345"/>
      <c r="AS37" s="106"/>
      <c r="AT37" s="106"/>
      <c r="AU37" s="406"/>
      <c r="AV37" s="62"/>
      <c r="AW37" s="62"/>
      <c r="AX37" s="62"/>
      <c r="AZ37" s="62"/>
      <c r="BA37" s="62"/>
      <c r="BB37" s="62"/>
      <c r="BC37" s="406"/>
      <c r="BD37" s="62"/>
      <c r="BE37" s="62"/>
      <c r="BF37" s="62"/>
      <c r="BG37" s="62"/>
      <c r="BH37" s="62"/>
      <c r="BI37" s="62"/>
      <c r="BJ37" s="62"/>
      <c r="BK37" s="62"/>
    </row>
    <row r="38" customFormat="false" ht="12.75" hidden="false" customHeight="false" outlineLevel="0" collapsed="false">
      <c r="A38" s="352" t="n">
        <f aca="false">Option2!A5</f>
        <v>37288</v>
      </c>
      <c r="B38" s="396" t="n">
        <f aca="false">IF(A38="N/A"," ",N38*VLOOKUP(MONTH(A38),Curveadj,3))</f>
        <v>32.0666654677618</v>
      </c>
      <c r="C38" s="397" t="n">
        <f aca="false">IF(A38="N/A"," ",(IF(AND(Scaler2=1,MONTH(A38)&gt;=6,MONTH(A38)&lt;=8,OR($M$37="REGION 2",$M$37="REGION 2A",$M$37="REGION 2B",$M$37="REGION 3",$M$37="REGION 3A",$M$37="REGION 3B",$M$37="REGION 3C",$M$37="REGION 4",$M$37="REGION 4B",$M$37="REGION 4C",$M$37="REGION 5",$M$37="REGION 5A")),((0.059228/(B38/100))-(0.4980013/(SQRT(B38/100)))+2.137988),HLOOKUP(MONTH(A38),ScalarTable,28))))</f>
        <v>1.02007383501259</v>
      </c>
      <c r="D38" s="398" t="n">
        <f aca="false">IF(A38="N/A"," ",C38*B38)</f>
        <v>32.7103664197657</v>
      </c>
      <c r="E38" s="396" t="n">
        <f aca="false">IF(A38="N/A"," ",O38*VLOOKUP(MONTH(A38),Curveadj,3))</f>
        <v>26.9160012817383</v>
      </c>
      <c r="F38" s="398" t="n">
        <f aca="false">IF(A38="N/A"," ",E38*C38)</f>
        <v>27.4563086506667</v>
      </c>
      <c r="G38" s="396" t="n">
        <f aca="false">IF(A38="N/A"," ",P38*VLOOKUP(MONTH(A38),Curveadj,3))</f>
        <v>18.4165010070801</v>
      </c>
      <c r="H38" s="398" t="n">
        <f aca="false">IF(A38="N/A"," ",G38*C38)</f>
        <v>18.7861908098055</v>
      </c>
      <c r="I38" s="398" t="n">
        <f aca="false">IF(A38="N/A"," ",Q38)</f>
        <v>16.75</v>
      </c>
      <c r="J38" s="398"/>
      <c r="K38" s="399"/>
      <c r="L38" s="399"/>
      <c r="M38" s="404"/>
      <c r="N38" s="401" t="n">
        <f aca="false">IF(A38="N/A"," ",VLOOKUP(A38,PeakPowerCurves,(IF(BMO2=2,3,IF(BMO2=1,2,4))),FALSE()))</f>
        <v>32.0666654677618</v>
      </c>
      <c r="O38" s="401" t="n">
        <f aca="false">IF(A38="N/A"," ",VLOOKUP(A38,SatSunPeakPwr,(IF(BMO2=2,3,IF(BMO2=1,2,4))),FALSE()))</f>
        <v>26.9160012817383</v>
      </c>
      <c r="P38" s="401" t="n">
        <f aca="false">IF(A38="N/A"," ",VLOOKUP(A38,SatSunPeakPwr,(IF(BMO2=2,7,IF(BMO2=1,6,8))),FALSE()))</f>
        <v>18.4165010070801</v>
      </c>
      <c r="Q38" s="402" t="n">
        <f aca="false">IF(A38="N/A"," ",(VLOOKUP(A38,OPPowerPrices,(IF(BMO2=2,7,IF(BMO2=1,6,8))),FALSE())))</f>
        <v>16.75</v>
      </c>
      <c r="R38" s="403" t="e">
        <f aca="false">IF(A38="N/A"," ",(VLOOKUP($A38,IRTable,2)))</f>
        <v>#N/A</v>
      </c>
      <c r="AF38" s="352" t="n">
        <v>37591</v>
      </c>
      <c r="AG38" s="311" t="n">
        <v>21</v>
      </c>
      <c r="AH38" s="311" t="n">
        <v>4</v>
      </c>
      <c r="AI38" s="311" t="n">
        <v>6</v>
      </c>
      <c r="AJ38" s="311" t="n">
        <v>1</v>
      </c>
      <c r="AK38" s="311" t="n">
        <v>31</v>
      </c>
      <c r="AN38" s="62"/>
      <c r="AO38" s="62"/>
      <c r="AP38" s="62"/>
      <c r="AQ38" s="417"/>
      <c r="AR38" s="345"/>
      <c r="AS38" s="106"/>
      <c r="AT38" s="106"/>
      <c r="AU38" s="406"/>
      <c r="AV38" s="62"/>
      <c r="AW38" s="62"/>
      <c r="AX38" s="62"/>
      <c r="AZ38" s="62"/>
      <c r="BA38" s="62"/>
      <c r="BB38" s="62"/>
      <c r="BC38" s="406"/>
      <c r="BD38" s="62"/>
      <c r="BE38" s="62"/>
      <c r="BF38" s="62"/>
      <c r="BG38" s="62"/>
      <c r="BH38" s="62"/>
      <c r="BI38" s="62"/>
      <c r="BJ38" s="62"/>
      <c r="BK38" s="62"/>
    </row>
    <row r="39" customFormat="false" ht="12.75" hidden="false" customHeight="false" outlineLevel="0" collapsed="false">
      <c r="A39" s="352" t="n">
        <f aca="false">Option2!A6</f>
        <v>37316</v>
      </c>
      <c r="B39" s="396" t="n">
        <f aca="false">IF(A39="N/A"," ",N39*VLOOKUP(MONTH(A39),Curveadj,3))</f>
        <v>31.0197670515194</v>
      </c>
      <c r="C39" s="397" t="n">
        <f aca="false">IF(A39="N/A"," ",(IF(AND(Scaler2=1,MONTH(A39)&gt;=6,MONTH(A39)&lt;=8,OR($M$37="REGION 2",$M$37="REGION 2A",$M$37="REGION 2B",$M$37="REGION 3",$M$37="REGION 3A",$M$37="REGION 3B",$M$37="REGION 3C",$M$37="REGION 4",$M$37="REGION 4B",$M$37="REGION 4C",$M$37="REGION 5",$M$37="REGION 5A")),((0.059228/(B39/100))-(0.4980013/(SQRT(B39/100)))+2.137988),HLOOKUP(MONTH(A39),ScalarTable,28))))</f>
        <v>1.0173448699422</v>
      </c>
      <c r="D39" s="398" t="n">
        <f aca="false">IF(A39="N/A"," ",C39*B39)</f>
        <v>31.5578008766652</v>
      </c>
      <c r="E39" s="396" t="n">
        <f aca="false">IF(A39="N/A"," ",O39*VLOOKUP(MONTH(A39),Curveadj,3))</f>
        <v>21.9199990844727</v>
      </c>
      <c r="F39" s="398" t="n">
        <f aca="false">IF(A39="N/A"," ",E39*C39)</f>
        <v>22.3001986177259</v>
      </c>
      <c r="G39" s="396" t="n">
        <f aca="false">IF(A39="N/A"," ",P39*VLOOKUP(MONTH(A39),Curveadj,3))</f>
        <v>16.4200009918213</v>
      </c>
      <c r="H39" s="398" t="n">
        <f aca="false">IF(A39="N/A"," ",G39*C39)</f>
        <v>16.7048037734752</v>
      </c>
      <c r="I39" s="398" t="n">
        <f aca="false">IF(A39="N/A"," ",Q39)</f>
        <v>17.75</v>
      </c>
      <c r="J39" s="398"/>
      <c r="K39" s="399"/>
      <c r="L39" s="399"/>
      <c r="M39" s="404"/>
      <c r="N39" s="401" t="n">
        <f aca="false">IF(A39="N/A"," ",VLOOKUP(A39,PeakPowerCurves,(IF(BMO2=2,3,IF(BMO2=1,2,4))),FALSE()))</f>
        <v>31.0197670515194</v>
      </c>
      <c r="O39" s="401" t="n">
        <f aca="false">IF(A39="N/A"," ",VLOOKUP(A39,SatSunPeakPwr,(IF(BMO2=2,3,IF(BMO2=1,2,4))),FALSE()))</f>
        <v>21.9199990844727</v>
      </c>
      <c r="P39" s="401" t="n">
        <f aca="false">IF(A39="N/A"," ",VLOOKUP(A39,SatSunPeakPwr,(IF(BMO2=2,7,IF(BMO2=1,6,8))),FALSE()))</f>
        <v>16.4200009918213</v>
      </c>
      <c r="Q39" s="402" t="n">
        <f aca="false">IF(A39="N/A"," ",(VLOOKUP(A39,OPPowerPrices,(IF(BMO2=2,7,IF(BMO2=1,6,8))),FALSE())))</f>
        <v>17.75</v>
      </c>
      <c r="R39" s="403" t="e">
        <f aca="false">IF(A39="N/A"," ",(VLOOKUP($A39,IRTable,2)))</f>
        <v>#N/A</v>
      </c>
      <c r="AF39" s="352" t="n">
        <v>37622</v>
      </c>
      <c r="AG39" s="311" t="n">
        <v>22</v>
      </c>
      <c r="AH39" s="311" t="n">
        <v>4</v>
      </c>
      <c r="AI39" s="311" t="n">
        <v>5</v>
      </c>
      <c r="AJ39" s="311" t="n">
        <v>1</v>
      </c>
      <c r="AK39" s="311" t="n">
        <v>31</v>
      </c>
      <c r="AN39" s="62"/>
      <c r="AO39" s="62"/>
      <c r="AP39" s="62"/>
      <c r="AQ39" s="417"/>
      <c r="AR39" s="345"/>
      <c r="AS39" s="106"/>
      <c r="AT39" s="106"/>
      <c r="AU39" s="406"/>
      <c r="AV39" s="62"/>
      <c r="AW39" s="62"/>
      <c r="AX39" s="62"/>
      <c r="AZ39" s="62"/>
      <c r="BA39" s="62"/>
      <c r="BB39" s="62"/>
      <c r="BC39" s="406"/>
      <c r="BD39" s="62"/>
      <c r="BE39" s="62"/>
      <c r="BF39" s="62"/>
      <c r="BG39" s="62"/>
      <c r="BH39" s="62"/>
      <c r="BI39" s="62"/>
      <c r="BJ39" s="62"/>
      <c r="BK39" s="62"/>
    </row>
    <row r="40" customFormat="false" ht="12.75" hidden="false" customHeight="false" outlineLevel="0" collapsed="false">
      <c r="A40" s="352" t="n">
        <f aca="false">Option2!A7</f>
        <v>37347</v>
      </c>
      <c r="B40" s="396" t="n">
        <f aca="false">IF(A40="N/A"," ",N40*VLOOKUP(MONTH(A40),Curveadj,3))</f>
        <v>31.4697678144588</v>
      </c>
      <c r="C40" s="397" t="n">
        <f aca="false">IF(A40="N/A"," ",(IF(AND(Scaler2=1,MONTH(A40)&gt;=6,MONTH(A40)&lt;=8,OR($M$37="REGION 2",$M$37="REGION 2A",$M$37="REGION 2B",$M$37="REGION 3",$M$37="REGION 3A",$M$37="REGION 3B",$M$37="REGION 3C",$M$37="REGION 4",$M$37="REGION 4B",$M$37="REGION 4C",$M$37="REGION 5",$M$37="REGION 5A")),((0.059228/(B40/100))-(0.4980013/(SQRT(B40/100)))+2.137988),HLOOKUP(MONTH(A40),ScalarTable,28))))</f>
        <v>1.005</v>
      </c>
      <c r="D40" s="398" t="n">
        <f aca="false">IF(A40="N/A"," ",C40*B40)</f>
        <v>31.6271166535311</v>
      </c>
      <c r="E40" s="396" t="n">
        <f aca="false">IF(A40="N/A"," ",O40*VLOOKUP(MONTH(A40),Curveadj,3))</f>
        <v>21.9199990844727</v>
      </c>
      <c r="F40" s="398" t="n">
        <f aca="false">IF(A40="N/A"," ",E40*C40)</f>
        <v>22.029599079895</v>
      </c>
      <c r="G40" s="396" t="n">
        <f aca="false">IF(A40="N/A"," ",P40*VLOOKUP(MONTH(A40),Curveadj,3))</f>
        <v>16.4150018310547</v>
      </c>
      <c r="H40" s="398" t="n">
        <f aca="false">IF(A40="N/A"," ",G40*C40)</f>
        <v>16.49707684021</v>
      </c>
      <c r="I40" s="398" t="n">
        <f aca="false">IF(A40="N/A"," ",Q40)</f>
        <v>15.7500009536743</v>
      </c>
      <c r="J40" s="398"/>
      <c r="K40" s="399"/>
      <c r="L40" s="399"/>
      <c r="M40" s="404"/>
      <c r="N40" s="401" t="n">
        <f aca="false">IF(A40="N/A"," ",VLOOKUP(A40,PeakPowerCurves,(IF(BMO2=2,3,IF(BMO2=1,2,4))),FALSE()))</f>
        <v>31.4697678144588</v>
      </c>
      <c r="O40" s="401" t="n">
        <f aca="false">IF(A40="N/A"," ",VLOOKUP(A40,SatSunPeakPwr,(IF(BMO2=2,3,IF(BMO2=1,2,4))),FALSE()))</f>
        <v>21.9199990844727</v>
      </c>
      <c r="P40" s="401" t="n">
        <f aca="false">IF(A40="N/A"," ",VLOOKUP(A40,SatSunPeakPwr,(IF(BMO2=2,7,IF(BMO2=1,6,8))),FALSE()))</f>
        <v>16.4150018310547</v>
      </c>
      <c r="Q40" s="402" t="n">
        <f aca="false">IF(A40="N/A"," ",(VLOOKUP(A40,OPPowerPrices,(IF(BMO2=2,7,IF(BMO2=1,6,8))),FALSE())))</f>
        <v>15.7500009536743</v>
      </c>
      <c r="R40" s="403" t="e">
        <f aca="false">IF(A40="N/A"," ",(VLOOKUP($A40,IRTable,2)))</f>
        <v>#N/A</v>
      </c>
      <c r="AF40" s="352" t="n">
        <v>37653</v>
      </c>
      <c r="AG40" s="311" t="n">
        <v>20</v>
      </c>
      <c r="AH40" s="311" t="n">
        <v>4</v>
      </c>
      <c r="AI40" s="311" t="n">
        <v>4</v>
      </c>
      <c r="AJ40" s="311" t="n">
        <v>0</v>
      </c>
      <c r="AK40" s="311" t="n">
        <v>28</v>
      </c>
      <c r="AN40" s="62"/>
      <c r="AO40" s="62"/>
      <c r="AP40" s="62"/>
      <c r="AQ40" s="417"/>
      <c r="AR40" s="345"/>
      <c r="AS40" s="106"/>
      <c r="AT40" s="106"/>
      <c r="AU40" s="406"/>
      <c r="AV40" s="62"/>
      <c r="AW40" s="62"/>
      <c r="AX40" s="62"/>
      <c r="AZ40" s="62"/>
      <c r="BA40" s="62"/>
      <c r="BB40" s="62"/>
      <c r="BC40" s="406"/>
      <c r="BD40" s="62"/>
      <c r="BE40" s="62"/>
      <c r="BF40" s="62"/>
      <c r="BG40" s="62"/>
      <c r="BH40" s="62"/>
      <c r="BI40" s="62"/>
      <c r="BJ40" s="62"/>
      <c r="BK40" s="62"/>
    </row>
    <row r="41" customFormat="false" ht="12.75" hidden="false" customHeight="false" outlineLevel="0" collapsed="false">
      <c r="A41" s="352" t="n">
        <f aca="false">Option2!A8</f>
        <v>37377</v>
      </c>
      <c r="B41" s="396" t="n">
        <f aca="false">IF(A41="N/A"," ",N41*VLOOKUP(MONTH(A41),Curveadj,3))</f>
        <v>34.625</v>
      </c>
      <c r="C41" s="397" t="n">
        <f aca="false">IF(A41="N/A"," ",(IF(AND(Scaler2=1,MONTH(A41)&gt;=6,MONTH(A41)&lt;=8,OR($M$37="REGION 2",$M$37="REGION 2A",$M$37="REGION 2B",$M$37="REGION 3",$M$37="REGION 3A",$M$37="REGION 3B",$M$37="REGION 3C",$M$37="REGION 4",$M$37="REGION 4B",$M$37="REGION 4C",$M$37="REGION 5",$M$37="REGION 5A")),((0.059228/(B41/100))-(0.4980013/(SQRT(B41/100)))+2.137988),HLOOKUP(MONTH(A41),ScalarTable,28))))</f>
        <v>1.075625</v>
      </c>
      <c r="D41" s="398" t="n">
        <f aca="false">IF(A41="N/A"," ",C41*B41)</f>
        <v>37.243515625</v>
      </c>
      <c r="E41" s="396" t="n">
        <f aca="false">IF(A41="N/A"," ",O41*VLOOKUP(MONTH(A41),Curveadj,3))</f>
        <v>23.9199990844727</v>
      </c>
      <c r="F41" s="398" t="n">
        <f aca="false">IF(A41="N/A"," ",E41*C41)</f>
        <v>25.7289490152359</v>
      </c>
      <c r="G41" s="396" t="n">
        <f aca="false">IF(A41="N/A"," ",P41*VLOOKUP(MONTH(A41),Curveadj,3))</f>
        <v>17.4249982452393</v>
      </c>
      <c r="H41" s="398" t="n">
        <f aca="false">IF(A41="N/A"," ",G41*C41)</f>
        <v>18.7427637375355</v>
      </c>
      <c r="I41" s="398" t="n">
        <f aca="false">IF(A41="N/A"," ",Q41)</f>
        <v>17.75</v>
      </c>
      <c r="J41" s="398"/>
      <c r="K41" s="399"/>
      <c r="L41" s="399"/>
      <c r="M41" s="404"/>
      <c r="N41" s="401" t="n">
        <f aca="false">IF(A41="N/A"," ",VLOOKUP(A41,PeakPowerCurves,(IF(BMO2=2,3,IF(BMO2=1,2,4))),FALSE()))</f>
        <v>34.625</v>
      </c>
      <c r="O41" s="401" t="n">
        <f aca="false">IF(A41="N/A"," ",VLOOKUP(A41,SatSunPeakPwr,(IF(BMO2=2,3,IF(BMO2=1,2,4))),FALSE()))</f>
        <v>23.9199990844727</v>
      </c>
      <c r="P41" s="401" t="n">
        <f aca="false">IF(A41="N/A"," ",VLOOKUP(A41,SatSunPeakPwr,(IF(BMO2=2,7,IF(BMO2=1,6,8))),FALSE()))</f>
        <v>17.4249982452393</v>
      </c>
      <c r="Q41" s="402" t="n">
        <f aca="false">IF(A41="N/A"," ",(VLOOKUP(A41,OPPowerPrices,(IF(BMO2=2,7,IF(BMO2=1,6,8))),FALSE())))</f>
        <v>17.75</v>
      </c>
      <c r="R41" s="403" t="e">
        <f aca="false">IF(A41="N/A"," ",(VLOOKUP($A41,IRTable,2)))</f>
        <v>#N/A</v>
      </c>
      <c r="AF41" s="352" t="n">
        <v>37681</v>
      </c>
      <c r="AG41" s="311" t="n">
        <v>21</v>
      </c>
      <c r="AH41" s="311" t="n">
        <v>5</v>
      </c>
      <c r="AI41" s="311" t="n">
        <v>5</v>
      </c>
      <c r="AJ41" s="311" t="n">
        <v>0</v>
      </c>
      <c r="AK41" s="311" t="n">
        <v>31</v>
      </c>
      <c r="AN41" s="62"/>
      <c r="AO41" s="62"/>
      <c r="AP41" s="62"/>
      <c r="AQ41" s="417"/>
      <c r="AR41" s="345"/>
      <c r="AS41" s="106"/>
      <c r="AT41" s="106"/>
      <c r="AU41" s="406"/>
      <c r="AV41" s="62"/>
      <c r="AW41" s="62"/>
      <c r="AX41" s="62"/>
      <c r="AZ41" s="62"/>
      <c r="BA41" s="62"/>
      <c r="BB41" s="62"/>
      <c r="BC41" s="406"/>
      <c r="BD41" s="62"/>
      <c r="BE41" s="62"/>
      <c r="BF41" s="62"/>
      <c r="BG41" s="62"/>
      <c r="BH41" s="62"/>
      <c r="BI41" s="62"/>
      <c r="BJ41" s="62"/>
      <c r="BK41" s="62"/>
    </row>
    <row r="42" customFormat="false" ht="12.75" hidden="false" customHeight="false" outlineLevel="0" collapsed="false">
      <c r="A42" s="352" t="n">
        <f aca="false">Option2!A9</f>
        <v>37408</v>
      </c>
      <c r="B42" s="396" t="n">
        <f aca="false">IF(A42="N/A"," ",N42*VLOOKUP(MONTH(A42),Curveadj,3))</f>
        <v>44.75</v>
      </c>
      <c r="C42" s="397" t="n">
        <f aca="false">IF(A42="N/A"," ",(IF(AND(Scaler2=1,MONTH(A42)&gt;=6,MONTH(A42)&lt;=8,OR($M$37="REGION 2",$M$37="REGION 2A",$M$37="REGION 2B",$M$37="REGION 3",$M$37="REGION 3A",$M$37="REGION 3B",$M$37="REGION 3C",$M$37="REGION 4",$M$37="REGION 4B",$M$37="REGION 4C",$M$37="REGION 5",$M$37="REGION 5A")),((0.059228/(B42/100))-(0.4980013/(SQRT(B42/100)))+2.137988),HLOOKUP(MONTH(A42),ScalarTable,28))))</f>
        <v>1.53</v>
      </c>
      <c r="D42" s="398" t="n">
        <f aca="false">IF(A42="N/A"," ",C42*B42)</f>
        <v>68.4675</v>
      </c>
      <c r="E42" s="396" t="n">
        <f aca="false">IF(A42="N/A"," ",O42*VLOOKUP(MONTH(A42),Curveadj,3))</f>
        <v>30.9199990844727</v>
      </c>
      <c r="F42" s="398" t="n">
        <f aca="false">IF(A42="N/A"," ",E42*C42)</f>
        <v>47.3075985992432</v>
      </c>
      <c r="G42" s="396" t="n">
        <f aca="false">IF(A42="N/A"," ",P42*VLOOKUP(MONTH(A42),Curveadj,3))</f>
        <v>21.4199990844727</v>
      </c>
      <c r="H42" s="398" t="n">
        <f aca="false">IF(A42="N/A"," ",G42*C42)</f>
        <v>32.7725985992432</v>
      </c>
      <c r="I42" s="398" t="n">
        <f aca="false">IF(A42="N/A"," ",Q42)</f>
        <v>20.75</v>
      </c>
      <c r="J42" s="398"/>
      <c r="K42" s="399"/>
      <c r="L42" s="399"/>
      <c r="M42" s="404"/>
      <c r="N42" s="401" t="n">
        <f aca="false">IF(A42="N/A"," ",VLOOKUP(A42,PeakPowerCurves,(IF(BMO2=2,3,IF(BMO2=1,2,4))),FALSE()))</f>
        <v>44.75</v>
      </c>
      <c r="O42" s="401" t="n">
        <f aca="false">IF(A42="N/A"," ",VLOOKUP(A42,SatSunPeakPwr,(IF(BMO2=2,3,IF(BMO2=1,2,4))),FALSE()))</f>
        <v>30.9199990844727</v>
      </c>
      <c r="P42" s="401" t="n">
        <f aca="false">IF(A42="N/A"," ",VLOOKUP(A42,SatSunPeakPwr,(IF(BMO2=2,7,IF(BMO2=1,6,8))),FALSE()))</f>
        <v>21.4199990844727</v>
      </c>
      <c r="Q42" s="402" t="n">
        <f aca="false">IF(A42="N/A"," ",(VLOOKUP(A42,OPPowerPrices,(IF(BMO2=2,7,IF(BMO2=1,6,8))),FALSE())))</f>
        <v>20.75</v>
      </c>
      <c r="R42" s="403" t="e">
        <f aca="false">IF(A42="N/A"," ",(VLOOKUP($A42,IRTable,2)))</f>
        <v>#N/A</v>
      </c>
      <c r="AF42" s="352" t="n">
        <v>37712</v>
      </c>
      <c r="AG42" s="311" t="n">
        <v>22</v>
      </c>
      <c r="AH42" s="311" t="n">
        <v>4</v>
      </c>
      <c r="AI42" s="311" t="n">
        <v>4</v>
      </c>
      <c r="AJ42" s="311" t="n">
        <v>0</v>
      </c>
      <c r="AK42" s="311" t="n">
        <v>30</v>
      </c>
      <c r="AN42" s="62"/>
      <c r="AO42" s="62"/>
      <c r="AP42" s="62"/>
      <c r="AQ42" s="417"/>
      <c r="AR42" s="345"/>
      <c r="AS42" s="106"/>
      <c r="AT42" s="106"/>
      <c r="AU42" s="406"/>
      <c r="AV42" s="62"/>
      <c r="AW42" s="62"/>
      <c r="AX42" s="62"/>
      <c r="AZ42" s="62"/>
      <c r="BA42" s="62"/>
      <c r="BB42" s="62"/>
      <c r="BC42" s="406"/>
      <c r="BD42" s="62"/>
      <c r="BE42" s="62"/>
      <c r="BF42" s="62"/>
      <c r="BG42" s="62"/>
      <c r="BH42" s="62"/>
      <c r="BI42" s="62"/>
      <c r="BJ42" s="62"/>
      <c r="BK42" s="62"/>
    </row>
    <row r="43" customFormat="false" ht="12.75" hidden="false" customHeight="false" outlineLevel="0" collapsed="false">
      <c r="A43" s="352" t="n">
        <f aca="false">Option2!A10</f>
        <v>37438</v>
      </c>
      <c r="B43" s="396" t="n">
        <f aca="false">IF(A43="N/A"," ",N43*VLOOKUP(MONTH(A43),Curveadj,3))</f>
        <v>62.25</v>
      </c>
      <c r="C43" s="397" t="n">
        <f aca="false">IF(A43="N/A"," ",(IF(AND(Scaler2=1,MONTH(A43)&gt;=6,MONTH(A43)&lt;=8,OR($M$37="REGION 2",$M$37="REGION 2A",$M$37="REGION 2B",$M$37="REGION 3",$M$37="REGION 3A",$M$37="REGION 3B",$M$37="REGION 3C",$M$37="REGION 4",$M$37="REGION 4B",$M$37="REGION 4C",$M$37="REGION 5",$M$37="REGION 5A")),((0.059228/(B43/100))-(0.4980013/(SQRT(B43/100)))+2.137988),HLOOKUP(MONTH(A43),ScalarTable,28))))</f>
        <v>1.63</v>
      </c>
      <c r="D43" s="398" t="n">
        <f aca="false">IF(A43="N/A"," ",C43*B43)</f>
        <v>101.4675</v>
      </c>
      <c r="E43" s="396" t="n">
        <f aca="false">IF(A43="N/A"," ",O43*VLOOKUP(MONTH(A43),Curveadj,3))</f>
        <v>36.9199990844727</v>
      </c>
      <c r="F43" s="398" t="n">
        <f aca="false">IF(A43="N/A"," ",E43*C43)</f>
        <v>60.1795985076904</v>
      </c>
      <c r="G43" s="396" t="n">
        <f aca="false">IF(A43="N/A"," ",P43*VLOOKUP(MONTH(A43),Curveadj,3))</f>
        <v>27.4199990844727</v>
      </c>
      <c r="H43" s="398" t="n">
        <f aca="false">IF(A43="N/A"," ",G43*C43)</f>
        <v>44.6945985076904</v>
      </c>
      <c r="I43" s="398" t="n">
        <f aca="false">IF(A43="N/A"," ",Q43)</f>
        <v>21.25</v>
      </c>
      <c r="J43" s="398"/>
      <c r="K43" s="399"/>
      <c r="L43" s="399"/>
      <c r="M43" s="404"/>
      <c r="N43" s="401" t="n">
        <f aca="false">IF(A43="N/A"," ",VLOOKUP(A43,PeakPowerCurves,(IF(BMO2=2,3,IF(BMO2=1,2,4))),FALSE()))</f>
        <v>62.25</v>
      </c>
      <c r="O43" s="401" t="n">
        <f aca="false">IF(A43="N/A"," ",VLOOKUP(A43,SatSunPeakPwr,(IF(BMO2=2,3,IF(BMO2=1,2,4))),FALSE()))</f>
        <v>36.9199990844727</v>
      </c>
      <c r="P43" s="401" t="n">
        <f aca="false">IF(A43="N/A"," ",VLOOKUP(A43,SatSunPeakPwr,(IF(BMO2=2,7,IF(BMO2=1,6,8))),FALSE()))</f>
        <v>27.4199990844727</v>
      </c>
      <c r="Q43" s="402" t="n">
        <f aca="false">IF(A43="N/A"," ",(VLOOKUP(A43,OPPowerPrices,(IF(BMO2=2,7,IF(BMO2=1,6,8))),FALSE())))</f>
        <v>21.25</v>
      </c>
      <c r="R43" s="403" t="e">
        <f aca="false">IF(A43="N/A"," ",(VLOOKUP($A43,IRTable,2)))</f>
        <v>#N/A</v>
      </c>
      <c r="AF43" s="352" t="n">
        <v>37742</v>
      </c>
      <c r="AG43" s="311" t="n">
        <v>21</v>
      </c>
      <c r="AH43" s="311" t="n">
        <v>5</v>
      </c>
      <c r="AI43" s="311" t="n">
        <v>5</v>
      </c>
      <c r="AJ43" s="311" t="n">
        <v>1</v>
      </c>
      <c r="AK43" s="311" t="n">
        <v>31</v>
      </c>
      <c r="AN43" s="62"/>
      <c r="AO43" s="62"/>
      <c r="AP43" s="62"/>
      <c r="AQ43" s="417"/>
      <c r="AR43" s="345"/>
      <c r="AS43" s="106"/>
      <c r="AT43" s="106"/>
      <c r="AU43" s="406"/>
      <c r="AV43" s="62"/>
      <c r="AW43" s="62"/>
      <c r="AX43" s="62"/>
      <c r="AZ43" s="62"/>
      <c r="BA43" s="62"/>
      <c r="BB43" s="62"/>
      <c r="BC43" s="406"/>
      <c r="BD43" s="62"/>
      <c r="BE43" s="62"/>
      <c r="BF43" s="62"/>
      <c r="BG43" s="62"/>
      <c r="BH43" s="62"/>
      <c r="BI43" s="62"/>
      <c r="BJ43" s="62"/>
      <c r="BK43" s="62"/>
    </row>
    <row r="44" customFormat="false" ht="12.75" hidden="false" customHeight="false" outlineLevel="0" collapsed="false">
      <c r="A44" s="352" t="n">
        <f aca="false">Option2!A11</f>
        <v>37469</v>
      </c>
      <c r="B44" s="396" t="n">
        <f aca="false">IF(A44="N/A"," ",N44*VLOOKUP(MONTH(A44),Curveadj,3))</f>
        <v>62.25</v>
      </c>
      <c r="C44" s="397" t="n">
        <f aca="false">IF(A44="N/A"," ",(IF(AND(Scaler2=1,MONTH(A44)&gt;=6,MONTH(A44)&lt;=8,OR($M$37="REGION 2",$M$37="REGION 2A",$M$37="REGION 2B",$M$37="REGION 3",$M$37="REGION 3A",$M$37="REGION 3B",$M$37="REGION 3C",$M$37="REGION 4",$M$37="REGION 4B",$M$37="REGION 4C",$M$37="REGION 5",$M$37="REGION 5A")),((0.059228/(B44/100))-(0.4980013/(SQRT(B44/100)))+2.137988),HLOOKUP(MONTH(A44),ScalarTable,28))))</f>
        <v>1.63</v>
      </c>
      <c r="D44" s="398" t="n">
        <f aca="false">IF(A44="N/A"," ",C44*B44)</f>
        <v>101.4675</v>
      </c>
      <c r="E44" s="396" t="n">
        <f aca="false">IF(A44="N/A"," ",O44*VLOOKUP(MONTH(A44),Curveadj,3))</f>
        <v>34.9200028991699</v>
      </c>
      <c r="F44" s="398" t="n">
        <f aca="false">IF(A44="N/A"," ",E44*C44)</f>
        <v>56.919604725647</v>
      </c>
      <c r="G44" s="396" t="n">
        <f aca="false">IF(A44="N/A"," ",P44*VLOOKUP(MONTH(A44),Curveadj,3))</f>
        <v>27.4199990844727</v>
      </c>
      <c r="H44" s="398" t="n">
        <f aca="false">IF(A44="N/A"," ",G44*C44)</f>
        <v>44.6945985076904</v>
      </c>
      <c r="I44" s="398" t="n">
        <f aca="false">IF(A44="N/A"," ",Q44)</f>
        <v>22.25</v>
      </c>
      <c r="J44" s="398"/>
      <c r="K44" s="399"/>
      <c r="L44" s="399"/>
      <c r="M44" s="404"/>
      <c r="N44" s="401" t="n">
        <f aca="false">IF(A44="N/A"," ",VLOOKUP(A44,PeakPowerCurves,(IF(BMO2=2,3,IF(BMO2=1,2,4))),FALSE()))</f>
        <v>62.25</v>
      </c>
      <c r="O44" s="401" t="n">
        <f aca="false">IF(A44="N/A"," ",VLOOKUP(A44,SatSunPeakPwr,(IF(BMO2=2,3,IF(BMO2=1,2,4))),FALSE()))</f>
        <v>34.9200028991699</v>
      </c>
      <c r="P44" s="401" t="n">
        <f aca="false">IF(A44="N/A"," ",VLOOKUP(A44,SatSunPeakPwr,(IF(BMO2=2,7,IF(BMO2=1,6,8))),FALSE()))</f>
        <v>27.4199990844727</v>
      </c>
      <c r="Q44" s="402" t="n">
        <f aca="false">IF(A44="N/A"," ",(VLOOKUP(A44,OPPowerPrices,(IF(BMO2=2,7,IF(BMO2=1,6,8))),FALSE())))</f>
        <v>22.25</v>
      </c>
      <c r="R44" s="403" t="e">
        <f aca="false">IF(A44="N/A"," ",(VLOOKUP($A44,IRTable,2)))</f>
        <v>#N/A</v>
      </c>
      <c r="AF44" s="352" t="n">
        <v>37773</v>
      </c>
      <c r="AG44" s="311" t="n">
        <v>21</v>
      </c>
      <c r="AH44" s="311" t="n">
        <v>4</v>
      </c>
      <c r="AI44" s="311" t="n">
        <v>5</v>
      </c>
      <c r="AJ44" s="311" t="n">
        <v>0</v>
      </c>
      <c r="AK44" s="311" t="n">
        <v>30</v>
      </c>
      <c r="AN44" s="62"/>
      <c r="AO44" s="62"/>
      <c r="AP44" s="62"/>
      <c r="AQ44" s="417"/>
      <c r="AR44" s="345"/>
      <c r="AS44" s="106"/>
      <c r="AT44" s="106"/>
      <c r="AU44" s="406"/>
      <c r="AV44" s="62"/>
      <c r="AW44" s="62"/>
      <c r="AX44" s="62"/>
      <c r="AZ44" s="62"/>
      <c r="BA44" s="62"/>
      <c r="BB44" s="62"/>
      <c r="BC44" s="406"/>
      <c r="BD44" s="62"/>
      <c r="BE44" s="62"/>
      <c r="BF44" s="62"/>
      <c r="BG44" s="62"/>
      <c r="BH44" s="62"/>
      <c r="BI44" s="62"/>
      <c r="BJ44" s="62"/>
      <c r="BK44" s="62"/>
    </row>
    <row r="45" customFormat="false" ht="12.75" hidden="false" customHeight="false" outlineLevel="0" collapsed="false">
      <c r="A45" s="352" t="n">
        <f aca="false">Option2!A12</f>
        <v>37500</v>
      </c>
      <c r="B45" s="396" t="n">
        <f aca="false">IF(A45="N/A"," ",N45*VLOOKUP(MONTH(A45),Curveadj,3))</f>
        <v>29.25</v>
      </c>
      <c r="C45" s="397" t="n">
        <f aca="false">IF(A45="N/A"," ",(IF(AND(Scaler2=1,MONTH(A45)&gt;=6,MONTH(A45)&lt;=8,OR($M$37="REGION 2",$M$37="REGION 2A",$M$37="REGION 2B",$M$37="REGION 3",$M$37="REGION 3A",$M$37="REGION 3B",$M$37="REGION 3C",$M$37="REGION 4",$M$37="REGION 4B",$M$37="REGION 4C",$M$37="REGION 5",$M$37="REGION 5A")),((0.059228/(B45/100))-(0.4980013/(SQRT(B45/100)))+2.137988),HLOOKUP(MONTH(A45),ScalarTable,28))))</f>
        <v>1.35125</v>
      </c>
      <c r="D45" s="398" t="n">
        <f aca="false">IF(A45="N/A"," ",C45*B45)</f>
        <v>39.5240625</v>
      </c>
      <c r="E45" s="396" t="n">
        <f aca="false">IF(A45="N/A"," ",O45*VLOOKUP(MONTH(A45),Curveadj,3))</f>
        <v>26.9199990844727</v>
      </c>
      <c r="F45" s="398" t="n">
        <f aca="false">IF(A45="N/A"," ",E45*C45)</f>
        <v>36.3756487628937</v>
      </c>
      <c r="G45" s="396" t="n">
        <f aca="false">IF(A45="N/A"," ",P45*VLOOKUP(MONTH(A45),Curveadj,3))</f>
        <v>21.4199990844727</v>
      </c>
      <c r="H45" s="398" t="n">
        <f aca="false">IF(A45="N/A"," ",G45*C45)</f>
        <v>28.9437737628937</v>
      </c>
      <c r="I45" s="398" t="n">
        <f aca="false">IF(A45="N/A"," ",Q45)</f>
        <v>16.25</v>
      </c>
      <c r="J45" s="398"/>
      <c r="K45" s="399"/>
      <c r="L45" s="399"/>
      <c r="M45" s="404"/>
      <c r="N45" s="401" t="n">
        <f aca="false">IF(A45="N/A"," ",VLOOKUP(A45,PeakPowerCurves,(IF(BMO2=2,3,IF(BMO2=1,2,4))),FALSE()))</f>
        <v>29.25</v>
      </c>
      <c r="O45" s="401" t="n">
        <f aca="false">IF(A45="N/A"," ",VLOOKUP(A45,SatSunPeakPwr,(IF(BMO2=2,3,IF(BMO2=1,2,4))),FALSE()))</f>
        <v>26.9199990844727</v>
      </c>
      <c r="P45" s="401" t="n">
        <f aca="false">IF(A45="N/A"," ",VLOOKUP(A45,SatSunPeakPwr,(IF(BMO2=2,7,IF(BMO2=1,6,8))),FALSE()))</f>
        <v>21.4199990844727</v>
      </c>
      <c r="Q45" s="402" t="n">
        <f aca="false">IF(A45="N/A"," ",(VLOOKUP(A45,OPPowerPrices,(IF(BMO2=2,7,IF(BMO2=1,6,8))),FALSE())))</f>
        <v>16.25</v>
      </c>
      <c r="R45" s="403" t="e">
        <f aca="false">IF(A45="N/A"," ",(VLOOKUP($A45,IRTable,2)))</f>
        <v>#N/A</v>
      </c>
      <c r="AF45" s="352" t="n">
        <v>37803</v>
      </c>
      <c r="AG45" s="311" t="n">
        <v>22</v>
      </c>
      <c r="AH45" s="311" t="n">
        <v>4</v>
      </c>
      <c r="AI45" s="311" t="n">
        <v>5</v>
      </c>
      <c r="AJ45" s="311" t="n">
        <v>1</v>
      </c>
      <c r="AK45" s="311" t="n">
        <v>31</v>
      </c>
      <c r="AN45" s="62"/>
      <c r="AO45" s="62"/>
      <c r="AP45" s="62"/>
      <c r="AQ45" s="417"/>
      <c r="AR45" s="345"/>
      <c r="AS45" s="106"/>
      <c r="AT45" s="106"/>
      <c r="AU45" s="406"/>
      <c r="AV45" s="62"/>
      <c r="AW45" s="62"/>
      <c r="AX45" s="62"/>
      <c r="AZ45" s="62"/>
      <c r="BA45" s="62"/>
      <c r="BB45" s="62"/>
      <c r="BC45" s="406"/>
      <c r="BD45" s="62"/>
      <c r="BE45" s="62"/>
      <c r="BF45" s="62"/>
      <c r="BG45" s="62"/>
      <c r="BH45" s="62"/>
      <c r="BI45" s="62"/>
      <c r="BJ45" s="62"/>
      <c r="BK45" s="62"/>
    </row>
    <row r="46" customFormat="false" ht="12.75" hidden="false" customHeight="false" outlineLevel="0" collapsed="false">
      <c r="A46" s="352" t="n">
        <f aca="false">Option2!A13</f>
        <v>37530</v>
      </c>
      <c r="B46" s="396" t="n">
        <f aca="false">IF(A46="N/A"," ",N46*VLOOKUP(MONTH(A46),Curveadj,3))</f>
        <v>29.5562492907047</v>
      </c>
      <c r="C46" s="397" t="n">
        <f aca="false">IF(A46="N/A"," ",(IF(AND(Scaler2=1,MONTH(A46)&gt;=6,MONTH(A46)&lt;=8,OR($M$37="REGION 2",$M$37="REGION 2A",$M$37="REGION 2B",$M$37="REGION 3",$M$37="REGION 3A",$M$37="REGION 3B",$M$37="REGION 3C",$M$37="REGION 4",$M$37="REGION 4B",$M$37="REGION 4C",$M$37="REGION 5",$M$37="REGION 5A")),((0.059228/(B46/100))-(0.4980013/(SQRT(B46/100)))+2.137988),HLOOKUP(MONTH(A46),ScalarTable,28))))</f>
        <v>1.005</v>
      </c>
      <c r="D46" s="398" t="n">
        <f aca="false">IF(A46="N/A"," ",C46*B46)</f>
        <v>29.7040305371582</v>
      </c>
      <c r="E46" s="396" t="n">
        <f aca="false">IF(A46="N/A"," ",O46*VLOOKUP(MONTH(A46),Curveadj,3))</f>
        <v>21.9159993743897</v>
      </c>
      <c r="F46" s="398" t="n">
        <f aca="false">IF(A46="N/A"," ",E46*C46)</f>
        <v>22.0255793712616</v>
      </c>
      <c r="G46" s="396" t="n">
        <f aca="false">IF(A46="N/A"," ",P46*VLOOKUP(MONTH(A46),Curveadj,3))</f>
        <v>16.4165010070801</v>
      </c>
      <c r="H46" s="398" t="n">
        <f aca="false">IF(A46="N/A"," ",G46*C46)</f>
        <v>16.4985835121155</v>
      </c>
      <c r="I46" s="398" t="n">
        <f aca="false">IF(A46="N/A"," ",Q46)</f>
        <v>15.750002861023</v>
      </c>
      <c r="J46" s="398"/>
      <c r="K46" s="399"/>
      <c r="L46" s="399"/>
      <c r="M46" s="404"/>
      <c r="N46" s="401" t="n">
        <f aca="false">IF(A46="N/A"," ",VLOOKUP(A46,PeakPowerCurves,(IF(BMO2=2,3,IF(BMO2=1,2,4))),FALSE()))</f>
        <v>29.5562492907047</v>
      </c>
      <c r="O46" s="401" t="n">
        <f aca="false">IF(A46="N/A"," ",VLOOKUP(A46,SatSunPeakPwr,(IF(BMO2=2,3,IF(BMO2=1,2,4))),FALSE()))</f>
        <v>21.9159993743897</v>
      </c>
      <c r="P46" s="401" t="n">
        <f aca="false">IF(A46="N/A"," ",VLOOKUP(A46,SatSunPeakPwr,(IF(BMO2=2,7,IF(BMO2=1,6,8))),FALSE()))</f>
        <v>16.4165010070801</v>
      </c>
      <c r="Q46" s="402" t="n">
        <f aca="false">IF(A46="N/A"," ",(VLOOKUP(A46,OPPowerPrices,(IF(BMO2=2,7,IF(BMO2=1,6,8))),FALSE())))</f>
        <v>15.750002861023</v>
      </c>
      <c r="R46" s="403" t="e">
        <f aca="false">IF(A46="N/A"," ",(VLOOKUP($A46,IRTable,2)))</f>
        <v>#N/A</v>
      </c>
      <c r="AF46" s="352" t="n">
        <v>37834</v>
      </c>
      <c r="AG46" s="311" t="n">
        <v>21</v>
      </c>
      <c r="AH46" s="311" t="n">
        <v>5</v>
      </c>
      <c r="AI46" s="311" t="n">
        <v>5</v>
      </c>
      <c r="AJ46" s="311" t="n">
        <v>0</v>
      </c>
      <c r="AK46" s="311" t="n">
        <v>31</v>
      </c>
      <c r="AN46" s="62"/>
      <c r="AO46" s="62"/>
      <c r="AP46" s="62"/>
      <c r="AQ46" s="417"/>
      <c r="AR46" s="62"/>
      <c r="AS46" s="62"/>
      <c r="AT46" s="62"/>
      <c r="AU46" s="406"/>
      <c r="AV46" s="62"/>
      <c r="AW46" s="62"/>
      <c r="AX46" s="62"/>
      <c r="AZ46" s="62"/>
      <c r="BA46" s="62"/>
      <c r="BB46" s="62"/>
      <c r="BC46" s="406"/>
      <c r="BD46" s="62"/>
      <c r="BE46" s="62"/>
      <c r="BF46" s="62"/>
      <c r="BG46" s="62"/>
      <c r="BH46" s="62"/>
      <c r="BI46" s="62"/>
      <c r="BJ46" s="62"/>
      <c r="BK46" s="62"/>
    </row>
    <row r="47" customFormat="false" ht="12.75" hidden="false" customHeight="false" outlineLevel="0" collapsed="false">
      <c r="A47" s="352" t="n">
        <f aca="false">Option2!A14</f>
        <v>37561</v>
      </c>
      <c r="B47" s="396" t="n">
        <f aca="false">IF(A47="N/A"," ",N47*VLOOKUP(MONTH(A47),Curveadj,3))</f>
        <v>29.7562519609928</v>
      </c>
      <c r="C47" s="397" t="n">
        <f aca="false">IF(A47="N/A"," ",(IF(AND(Scaler2=1,MONTH(A47)&gt;=6,MONTH(A47)&lt;=8,OR($M$37="REGION 2",$M$37="REGION 2A",$M$37="REGION 2B",$M$37="REGION 3",$M$37="REGION 3A",$M$37="REGION 3B",$M$37="REGION 3C",$M$37="REGION 4",$M$37="REGION 4B",$M$37="REGION 4C",$M$37="REGION 5",$M$37="REGION 5A")),((0.059228/(B47/100))-(0.4980013/(SQRT(B47/100)))+2.137988),HLOOKUP(MONTH(A47),ScalarTable,28))))</f>
        <v>1.0825</v>
      </c>
      <c r="D47" s="398" t="n">
        <f aca="false">IF(A47="N/A"," ",C47*B47)</f>
        <v>32.2111427477747</v>
      </c>
      <c r="E47" s="396" t="n">
        <f aca="false">IF(A47="N/A"," ",O47*VLOOKUP(MONTH(A47),Curveadj,3))</f>
        <v>23.9199990844727</v>
      </c>
      <c r="F47" s="398" t="n">
        <f aca="false">IF(A47="N/A"," ",E47*C47)</f>
        <v>25.8933990089417</v>
      </c>
      <c r="G47" s="396" t="n">
        <f aca="false">IF(A47="N/A"," ",P47*VLOOKUP(MONTH(A47),Curveadj,3))</f>
        <v>16.4200009918213</v>
      </c>
      <c r="H47" s="398" t="n">
        <f aca="false">IF(A47="N/A"," ",G47*C47)</f>
        <v>17.7746510736465</v>
      </c>
      <c r="I47" s="398" t="n">
        <f aca="false">IF(A47="N/A"," ",Q47)</f>
        <v>16.75</v>
      </c>
      <c r="J47" s="398"/>
      <c r="K47" s="399"/>
      <c r="L47" s="399"/>
      <c r="M47" s="404"/>
      <c r="N47" s="401" t="n">
        <f aca="false">IF(A47="N/A"," ",VLOOKUP(A47,PeakPowerCurves,(IF(BMO2=2,3,IF(BMO2=1,2,4))),FALSE()))</f>
        <v>29.7562519609928</v>
      </c>
      <c r="O47" s="401" t="n">
        <f aca="false">IF(A47="N/A"," ",VLOOKUP(A47,SatSunPeakPwr,(IF(BMO2=2,3,IF(BMO2=1,2,4))),FALSE()))</f>
        <v>23.9199990844727</v>
      </c>
      <c r="P47" s="401" t="n">
        <f aca="false">IF(A47="N/A"," ",VLOOKUP(A47,SatSunPeakPwr,(IF(BMO2=2,7,IF(BMO2=1,6,8))),FALSE()))</f>
        <v>16.4200009918213</v>
      </c>
      <c r="Q47" s="402" t="n">
        <f aca="false">IF(A47="N/A"," ",(VLOOKUP(A47,OPPowerPrices,(IF(BMO2=2,7,IF(BMO2=1,6,8))),FALSE())))</f>
        <v>16.75</v>
      </c>
      <c r="R47" s="403" t="e">
        <f aca="false">IF(A47="N/A"," ",(VLOOKUP($A47,IRTable,2)))</f>
        <v>#N/A</v>
      </c>
      <c r="AF47" s="352" t="n">
        <v>37865</v>
      </c>
      <c r="AG47" s="311" t="n">
        <v>21</v>
      </c>
      <c r="AH47" s="311" t="n">
        <v>4</v>
      </c>
      <c r="AI47" s="311" t="n">
        <v>5</v>
      </c>
      <c r="AJ47" s="311" t="n">
        <v>1</v>
      </c>
      <c r="AK47" s="311" t="n">
        <v>30</v>
      </c>
      <c r="AU47" s="406"/>
    </row>
    <row r="48" customFormat="false" ht="12.75" hidden="false" customHeight="false" outlineLevel="0" collapsed="false">
      <c r="A48" s="352" t="n">
        <f aca="false">Option2!A15</f>
        <v>37591</v>
      </c>
      <c r="B48" s="396" t="n">
        <f aca="false">IF(A48="N/A"," ",N48*VLOOKUP(MONTH(A48),Curveadj,3))</f>
        <v>29.956248909235</v>
      </c>
      <c r="C48" s="397" t="n">
        <f aca="false">IF(A48="N/A"," ",(IF(AND(Scaler2=1,MONTH(A48)&gt;=6,MONTH(A48)&lt;=8,OR($M$37="REGION 2",$M$37="REGION 2A",$M$37="REGION 2B",$M$37="REGION 3",$M$37="REGION 3A",$M$37="REGION 3B",$M$37="REGION 3C",$M$37="REGION 4",$M$37="REGION 4B",$M$37="REGION 4C",$M$37="REGION 5",$M$37="REGION 5A")),((0.059228/(B48/100))-(0.4980013/(SQRT(B48/100)))+2.137988),HLOOKUP(MONTH(A48),ScalarTable,28))))</f>
        <v>1.02125</v>
      </c>
      <c r="D48" s="398" t="n">
        <f aca="false">IF(A48="N/A"," ",C48*B48)</f>
        <v>30.5928191985562</v>
      </c>
      <c r="E48" s="396" t="n">
        <f aca="false">IF(A48="N/A"," ",O48*VLOOKUP(MONTH(A48),Curveadj,3))</f>
        <v>28.9199990844727</v>
      </c>
      <c r="F48" s="398" t="n">
        <f aca="false">IF(A48="N/A"," ",E48*C48)</f>
        <v>29.5345490650177</v>
      </c>
      <c r="G48" s="396" t="n">
        <f aca="false">IF(A48="N/A"," ",P48*VLOOKUP(MONTH(A48),Curveadj,3))</f>
        <v>23.4199990844727</v>
      </c>
      <c r="H48" s="398" t="n">
        <f aca="false">IF(A48="N/A"," ",G48*C48)</f>
        <v>23.9176740650177</v>
      </c>
      <c r="I48" s="398" t="n">
        <f aca="false">IF(A48="N/A"," ",Q48)</f>
        <v>19</v>
      </c>
      <c r="J48" s="398"/>
      <c r="K48" s="399"/>
      <c r="L48" s="399"/>
      <c r="M48" s="404"/>
      <c r="N48" s="401" t="n">
        <f aca="false">IF(A48="N/A"," ",VLOOKUP(A48,PeakPowerCurves,(IF(BMO2=2,3,IF(BMO2=1,2,4))),FALSE()))</f>
        <v>29.956248909235</v>
      </c>
      <c r="O48" s="401" t="n">
        <f aca="false">IF(A48="N/A"," ",VLOOKUP(A48,SatSunPeakPwr,(IF(BMO2=2,3,IF(BMO2=1,2,4))),FALSE()))</f>
        <v>28.9199990844727</v>
      </c>
      <c r="P48" s="401" t="n">
        <f aca="false">IF(A48="N/A"," ",VLOOKUP(A48,SatSunPeakPwr,(IF(BMO2=2,7,IF(BMO2=1,6,8))),FALSE()))</f>
        <v>23.4199990844727</v>
      </c>
      <c r="Q48" s="402" t="n">
        <f aca="false">IF(A48="N/A"," ",(VLOOKUP(A48,OPPowerPrices,(IF(BMO2=2,7,IF(BMO2=1,6,8))),FALSE())))</f>
        <v>19</v>
      </c>
      <c r="R48" s="403" t="e">
        <f aca="false">IF(A48="N/A"," ",(VLOOKUP($A48,IRTable,2)))</f>
        <v>#N/A</v>
      </c>
      <c r="AF48" s="352" t="n">
        <v>37895</v>
      </c>
      <c r="AG48" s="311" t="n">
        <v>23</v>
      </c>
      <c r="AH48" s="311" t="n">
        <v>4</v>
      </c>
      <c r="AI48" s="311" t="n">
        <v>4</v>
      </c>
      <c r="AJ48" s="311" t="n">
        <v>0</v>
      </c>
      <c r="AK48" s="311" t="n">
        <v>31</v>
      </c>
      <c r="AU48" s="406"/>
    </row>
    <row r="49" customFormat="false" ht="12.75" hidden="false" customHeight="false" outlineLevel="0" collapsed="false">
      <c r="A49" s="352" t="n">
        <f aca="false">Option2!A16</f>
        <v>37622</v>
      </c>
      <c r="B49" s="396" t="n">
        <f aca="false">IF(A49="N/A"," ",IF(ISERROR(N49),B37*Pwresc,N49)*VLOOKUP(MONTH(A49),Curveadj,3))</f>
        <v>33.2857153756278</v>
      </c>
      <c r="C49" s="397" t="n">
        <f aca="false">IF(A49="N/A"," ",(IF(AND(Scaler2=1,MONTH(A49)&gt;=6,MONTH(A49)&lt;=8,OR($M$37="REGION 2",$M$37="REGION 2A",$M$37="REGION 2B",$M$37="REGION 3",$M$37="REGION 3A",$M$37="REGION 3B",$M$37="REGION 3C",$M$37="REGION 4",$M$37="REGION 4B",$M$37="REGION 4C",$M$37="REGION 5",$M$37="REGION 5A")),((0.059228/(B49/100))-(0.4980013/(SQRT(B49/100)))+2.137988),HLOOKUP(MONTH(A49),ScalarTable,28))))</f>
        <v>1.02007383501259</v>
      </c>
      <c r="D49" s="398" t="n">
        <f aca="false">IF(A49="N/A"," ",C49*B49)</f>
        <v>33.9538873343543</v>
      </c>
      <c r="E49" s="396" t="n">
        <f aca="false">IF(A49="N/A"," ",IF(ISERROR(O49),E37*Pwresc,O49)*VLOOKUP(MONTH(A49),Curveadj,3))</f>
        <v>35.2699966430664</v>
      </c>
      <c r="F49" s="398" t="n">
        <f aca="false">IF(A49="N/A"," ",E49*C49)</f>
        <v>35.9780007365741</v>
      </c>
      <c r="G49" s="396" t="n">
        <f aca="false">IF(A49="N/A"," ",IF(ISERROR(P49),G37*Pwresc,P49)*VLOOKUP(MONTH(A49),Curveadj,3))</f>
        <v>24.7699966430664</v>
      </c>
      <c r="H49" s="398" t="n">
        <f aca="false">IF(A49="N/A"," ",G49*C49)</f>
        <v>25.2672254689418</v>
      </c>
      <c r="I49" s="398" t="n">
        <f aca="false">IF(A49="N/A"," ",IF(ISERROR(Q49),I37*Pwresc,Q49))</f>
        <v>20.8899993896484</v>
      </c>
      <c r="J49" s="398"/>
      <c r="K49" s="399"/>
      <c r="L49" s="399"/>
      <c r="M49" s="404"/>
      <c r="N49" s="401" t="n">
        <f aca="false">IF(A49="N/A"," ",VLOOKUP(A49,PeakPowerCurves,(IF(BMO2=2,3,IF(BMO2=1,2,4))),FALSE()))</f>
        <v>33.2857153756278</v>
      </c>
      <c r="O49" s="401" t="n">
        <f aca="false">IF(A49="N/A"," ",VLOOKUP(A49,SatSunPeakPwr,(IF(BMO2=2,3,IF(BMO2=1,2,4))),FALSE()))</f>
        <v>35.2699966430664</v>
      </c>
      <c r="P49" s="401" t="n">
        <f aca="false">IF(A49="N/A"," ",VLOOKUP(A49,SatSunPeakPwr,(IF(BMO2=2,7,IF(BMO2=1,6,8))),FALSE()))</f>
        <v>24.7699966430664</v>
      </c>
      <c r="Q49" s="402" t="n">
        <f aca="false">IF(A49="N/A"," ",(VLOOKUP(A49,OPPowerPrices,(IF(BMO2=2,7,IF(BMO2=1,6,8))),FALSE())))</f>
        <v>20.8899993896484</v>
      </c>
      <c r="R49" s="403" t="e">
        <f aca="false">IF(A49="N/A"," ",(VLOOKUP($A49,IRTable,2)))</f>
        <v>#N/A</v>
      </c>
      <c r="AF49" s="352" t="n">
        <v>37926</v>
      </c>
      <c r="AG49" s="311" t="n">
        <v>19</v>
      </c>
      <c r="AH49" s="311" t="n">
        <v>5</v>
      </c>
      <c r="AI49" s="311" t="n">
        <v>6</v>
      </c>
      <c r="AJ49" s="311" t="n">
        <v>1</v>
      </c>
      <c r="AK49" s="311" t="n">
        <v>30</v>
      </c>
      <c r="AU49" s="406"/>
    </row>
    <row r="50" customFormat="false" ht="12.75" hidden="false" customHeight="false" outlineLevel="0" collapsed="false">
      <c r="A50" s="352" t="n">
        <f aca="false">Option2!A17</f>
        <v>37653</v>
      </c>
      <c r="B50" s="396" t="n">
        <f aca="false">IF(A50="N/A"," ",IF(ISERROR(N50),B38*Pwresc,N50)*VLOOKUP(MONTH(A50),Curveadj,3))</f>
        <v>32.6857130868094</v>
      </c>
      <c r="C50" s="397" t="n">
        <f aca="false">IF(A50="N/A"," ",(IF(AND(Scaler2=1,MONTH(A50)&gt;=6,MONTH(A50)&lt;=8,OR($M$37="REGION 2",$M$37="REGION 2A",$M$37="REGION 2B",$M$37="REGION 3",$M$37="REGION 3A",$M$37="REGION 3B",$M$37="REGION 3C",$M$37="REGION 4",$M$37="REGION 4B",$M$37="REGION 4C",$M$37="REGION 5",$M$37="REGION 5A")),((0.059228/(B50/100))-(0.4980013/(SQRT(B50/100)))+2.137988),HLOOKUP(MONTH(A50),ScalarTable,28))))</f>
        <v>1.02007383501259</v>
      </c>
      <c r="D50" s="398" t="n">
        <f aca="false">IF(A50="N/A"," ",C50*B50)</f>
        <v>33.341840698583</v>
      </c>
      <c r="E50" s="396" t="n">
        <f aca="false">IF(A50="N/A"," ",IF(ISERROR(O50),E38*Pwresc,O50)*VLOOKUP(MONTH(A50),Curveadj,3))</f>
        <v>30.765998840332</v>
      </c>
      <c r="F50" s="398" t="n">
        <f aca="false">IF(A50="N/A"," ",E50*C50)</f>
        <v>31.3835904250505</v>
      </c>
      <c r="G50" s="396" t="n">
        <f aca="false">IF(A50="N/A"," ",IF(ISERROR(P50),G38*Pwresc,P50)*VLOOKUP(MONTH(A50),Curveadj,3))</f>
        <v>22.2664985656738</v>
      </c>
      <c r="H50" s="398" t="n">
        <f aca="false">IF(A50="N/A"," ",G50*C50)</f>
        <v>22.7134725841893</v>
      </c>
      <c r="I50" s="398" t="n">
        <f aca="false">IF(A50="N/A"," ",IF(ISERROR(Q50),I38*Pwresc,Q50))</f>
        <v>19.3899993896484</v>
      </c>
      <c r="J50" s="398"/>
      <c r="K50" s="399"/>
      <c r="L50" s="399"/>
      <c r="M50" s="404"/>
      <c r="N50" s="401" t="n">
        <f aca="false">IF(A50="N/A"," ",VLOOKUP(A50,PeakPowerCurves,(IF(BMO2=2,3,IF(BMO2=1,2,4))),FALSE()))</f>
        <v>32.6857130868094</v>
      </c>
      <c r="O50" s="401" t="n">
        <f aca="false">IF(A50="N/A"," ",VLOOKUP(A50,SatSunPeakPwr,(IF(BMO2=2,3,IF(BMO2=1,2,4))),FALSE()))</f>
        <v>30.765998840332</v>
      </c>
      <c r="P50" s="401" t="n">
        <f aca="false">IF(A50="N/A"," ",VLOOKUP(A50,SatSunPeakPwr,(IF(BMO2=2,7,IF(BMO2=1,6,8))),FALSE()))</f>
        <v>22.2664985656738</v>
      </c>
      <c r="Q50" s="402" t="n">
        <f aca="false">IF(A50="N/A"," ",(VLOOKUP(A50,OPPowerPrices,(IF(BMO2=2,7,IF(BMO2=1,6,8))),FALSE())))</f>
        <v>19.3899993896484</v>
      </c>
      <c r="R50" s="403" t="e">
        <f aca="false">IF(A50="N/A"," ",(VLOOKUP($A50,IRTable,2)))</f>
        <v>#N/A</v>
      </c>
      <c r="AF50" s="352" t="n">
        <v>37956</v>
      </c>
      <c r="AG50" s="311" t="n">
        <v>22</v>
      </c>
      <c r="AH50" s="311" t="n">
        <v>4</v>
      </c>
      <c r="AI50" s="311" t="n">
        <v>5</v>
      </c>
      <c r="AJ50" s="311" t="n">
        <v>1</v>
      </c>
      <c r="AK50" s="311" t="n">
        <v>31</v>
      </c>
      <c r="AU50" s="406"/>
    </row>
    <row r="51" customFormat="false" ht="12.75" hidden="false" customHeight="false" outlineLevel="0" collapsed="false">
      <c r="A51" s="352" t="n">
        <f aca="false">Option2!A18</f>
        <v>37681</v>
      </c>
      <c r="B51" s="396" t="n">
        <f aca="false">IF(A51="N/A"," ",IF(ISERROR(N51),B39*Pwresc,N51)*VLOOKUP(MONTH(A51),Curveadj,3))</f>
        <v>31.6476779316747</v>
      </c>
      <c r="C51" s="397" t="n">
        <f aca="false">IF(A51="N/A"," ",(IF(AND(Scaler2=1,MONTH(A51)&gt;=6,MONTH(A51)&lt;=8,OR($M$37="REGION 2",$M$37="REGION 2A",$M$37="REGION 2B",$M$37="REGION 3",$M$37="REGION 3A",$M$37="REGION 3B",$M$37="REGION 3C",$M$37="REGION 4",$M$37="REGION 4B",$M$37="REGION 4C",$M$37="REGION 5",$M$37="REGION 5A")),((0.059228/(B51/100))-(0.4980013/(SQRT(B51/100)))+2.137988),HLOOKUP(MONTH(A51),ScalarTable,28))))</f>
        <v>1.0173448699422</v>
      </c>
      <c r="D51" s="398" t="n">
        <f aca="false">IF(A51="N/A"," ",C51*B51)</f>
        <v>32.1966027893721</v>
      </c>
      <c r="E51" s="396" t="n">
        <f aca="false">IF(A51="N/A"," ",IF(ISERROR(O51),E39*Pwresc,O51)*VLOOKUP(MONTH(A51),Curveadj,3))</f>
        <v>25.0199966430664</v>
      </c>
      <c r="F51" s="398" t="n">
        <f aca="false">IF(A51="N/A"," ",E51*C51)</f>
        <v>25.4539652307946</v>
      </c>
      <c r="G51" s="396" t="n">
        <f aca="false">IF(A51="N/A"," ",IF(ISERROR(P51),G39*Pwresc,P51)*VLOOKUP(MONTH(A51),Curveadj,3))</f>
        <v>19.5199966430664</v>
      </c>
      <c r="H51" s="398" t="n">
        <f aca="false">IF(A51="N/A"," ",G51*C51)</f>
        <v>19.8585684461125</v>
      </c>
      <c r="I51" s="398" t="n">
        <f aca="false">IF(A51="N/A"," ",IF(ISERROR(Q51),I39*Pwresc,Q51))</f>
        <v>20.3899993896484</v>
      </c>
      <c r="J51" s="398"/>
      <c r="K51" s="399"/>
      <c r="L51" s="399"/>
      <c r="M51" s="404"/>
      <c r="N51" s="401" t="n">
        <f aca="false">IF(A51="N/A"," ",VLOOKUP(A51,PeakPowerCurves,(IF(BMO2=2,3,IF(BMO2=1,2,4))),FALSE()))</f>
        <v>31.6476779316747</v>
      </c>
      <c r="O51" s="401" t="n">
        <f aca="false">IF(A51="N/A"," ",VLOOKUP(A51,SatSunPeakPwr,(IF(BMO2=2,3,IF(BMO2=1,2,4))),FALSE()))</f>
        <v>25.0199966430664</v>
      </c>
      <c r="P51" s="401" t="n">
        <f aca="false">IF(A51="N/A"," ",VLOOKUP(A51,SatSunPeakPwr,(IF(BMO2=2,7,IF(BMO2=1,6,8))),FALSE()))</f>
        <v>19.5199966430664</v>
      </c>
      <c r="Q51" s="402" t="n">
        <f aca="false">IF(A51="N/A"," ",(VLOOKUP(A51,OPPowerPrices,(IF(BMO2=2,7,IF(BMO2=1,6,8))),FALSE())))</f>
        <v>20.3899993896484</v>
      </c>
      <c r="R51" s="403" t="e">
        <f aca="false">IF(A51="N/A"," ",(VLOOKUP($A51,IRTable,2)))</f>
        <v>#N/A</v>
      </c>
      <c r="AF51" s="352" t="n">
        <v>37987</v>
      </c>
      <c r="AG51" s="311" t="n">
        <v>21</v>
      </c>
      <c r="AH51" s="311" t="n">
        <v>5</v>
      </c>
      <c r="AI51" s="311" t="n">
        <v>5</v>
      </c>
      <c r="AJ51" s="311" t="n">
        <v>1</v>
      </c>
      <c r="AK51" s="311" t="n">
        <v>31</v>
      </c>
      <c r="AU51" s="406"/>
    </row>
    <row r="52" customFormat="false" ht="12.75" hidden="false" customHeight="false" outlineLevel="0" collapsed="false">
      <c r="A52" s="352" t="n">
        <f aca="false">Option2!A19</f>
        <v>37712</v>
      </c>
      <c r="B52" s="396" t="n">
        <f aca="false">IF(A52="N/A"," ",IF(ISERROR(N52),B40*Pwresc,N52)*VLOOKUP(MONTH(A52),Curveadj,3))</f>
        <v>31.8476710652196</v>
      </c>
      <c r="C52" s="397" t="n">
        <f aca="false">IF(A52="N/A"," ",(IF(AND(Scaler2=1,MONTH(A52)&gt;=6,MONTH(A52)&lt;=8,OR($M$37="REGION 2",$M$37="REGION 2A",$M$37="REGION 2B",$M$37="REGION 3",$M$37="REGION 3A",$M$37="REGION 3B",$M$37="REGION 3C",$M$37="REGION 4",$M$37="REGION 4B",$M$37="REGION 4C",$M$37="REGION 5",$M$37="REGION 5A")),((0.059228/(B52/100))-(0.4980013/(SQRT(B52/100)))+2.137988),HLOOKUP(MONTH(A52),ScalarTable,28))))</f>
        <v>1.005</v>
      </c>
      <c r="D52" s="398" t="n">
        <f aca="false">IF(A52="N/A"," ",C52*B52)</f>
        <v>32.0069094205457</v>
      </c>
      <c r="E52" s="396" t="n">
        <f aca="false">IF(A52="N/A"," ",IF(ISERROR(O52),E40*Pwresc,O52)*VLOOKUP(MONTH(A52),Curveadj,3))</f>
        <v>21.5199966430664</v>
      </c>
      <c r="F52" s="398" t="n">
        <f aca="false">IF(A52="N/A"," ",E52*C52)</f>
        <v>21.6275966262817</v>
      </c>
      <c r="G52" s="396" t="n">
        <f aca="false">IF(A52="N/A"," ",IF(ISERROR(P52),G40*Pwresc,P52)*VLOOKUP(MONTH(A52),Curveadj,3))</f>
        <v>16.0149993896484</v>
      </c>
      <c r="H52" s="398" t="n">
        <f aca="false">IF(A52="N/A"," ",G52*C52)</f>
        <v>16.0950743865967</v>
      </c>
      <c r="I52" s="398" t="n">
        <f aca="false">IF(A52="N/A"," ",IF(ISERROR(Q52),I40*Pwresc,Q52))</f>
        <v>17.3899993896484</v>
      </c>
      <c r="J52" s="398"/>
      <c r="K52" s="399"/>
      <c r="L52" s="399"/>
      <c r="M52" s="404"/>
      <c r="N52" s="401" t="n">
        <f aca="false">IF(A52="N/A"," ",VLOOKUP(A52,PeakPowerCurves,(IF(BMO2=2,3,IF(BMO2=1,2,4))),FALSE()))</f>
        <v>31.8476710652196</v>
      </c>
      <c r="O52" s="401" t="n">
        <f aca="false">IF(A52="N/A"," ",VLOOKUP(A52,SatSunPeakPwr,(IF(BMO2=2,3,IF(BMO2=1,2,4))),FALSE()))</f>
        <v>21.5199966430664</v>
      </c>
      <c r="P52" s="401" t="n">
        <f aca="false">IF(A52="N/A"," ",VLOOKUP(A52,SatSunPeakPwr,(IF(BMO2=2,7,IF(BMO2=1,6,8))),FALSE()))</f>
        <v>16.0149993896484</v>
      </c>
      <c r="Q52" s="402" t="n">
        <f aca="false">IF(A52="N/A"," ",(VLOOKUP(A52,OPPowerPrices,(IF(BMO2=2,7,IF(BMO2=1,6,8))),FALSE())))</f>
        <v>17.3899993896484</v>
      </c>
      <c r="R52" s="403" t="e">
        <f aca="false">IF(A52="N/A"," ",(VLOOKUP($A52,IRTable,2)))</f>
        <v>#N/A</v>
      </c>
      <c r="AF52" s="352" t="n">
        <v>38018</v>
      </c>
      <c r="AG52" s="311" t="n">
        <v>20</v>
      </c>
      <c r="AH52" s="311" t="n">
        <v>4</v>
      </c>
      <c r="AI52" s="311" t="n">
        <v>5</v>
      </c>
      <c r="AJ52" s="311" t="n">
        <v>0</v>
      </c>
      <c r="AK52" s="311" t="n">
        <v>29</v>
      </c>
      <c r="AU52" s="406"/>
    </row>
    <row r="53" customFormat="false" ht="12.75" hidden="false" customHeight="false" outlineLevel="0" collapsed="false">
      <c r="A53" s="352" t="n">
        <f aca="false">Option2!A20</f>
        <v>37742</v>
      </c>
      <c r="B53" s="396" t="n">
        <f aca="false">IF(A53="N/A"," ",IF(ISERROR(N53),B41*Pwresc,N53)*VLOOKUP(MONTH(A53),Curveadj,3))</f>
        <v>35.125</v>
      </c>
      <c r="C53" s="397" t="n">
        <f aca="false">IF(A53="N/A"," ",(IF(AND(Scaler2=1,MONTH(A53)&gt;=6,MONTH(A53)&lt;=8,OR($M$37="REGION 2",$M$37="REGION 2A",$M$37="REGION 2B",$M$37="REGION 3",$M$37="REGION 3A",$M$37="REGION 3B",$M$37="REGION 3C",$M$37="REGION 4",$M$37="REGION 4B",$M$37="REGION 4C",$M$37="REGION 5",$M$37="REGION 5A")),((0.059228/(B53/100))-(0.4980013/(SQRT(B53/100)))+2.137988),HLOOKUP(MONTH(A53),ScalarTable,28))))</f>
        <v>1.075625</v>
      </c>
      <c r="D53" s="398" t="n">
        <f aca="false">IF(A53="N/A"," ",C53*B53)</f>
        <v>37.781328125</v>
      </c>
      <c r="E53" s="396" t="n">
        <f aca="false">IF(A53="N/A"," ",IF(ISERROR(O53),E41*Pwresc,O53)*VLOOKUP(MONTH(A53),Curveadj,3))</f>
        <v>21.8399982452393</v>
      </c>
      <c r="F53" s="398" t="n">
        <f aca="false">IF(A53="N/A"," ",E53*C53)</f>
        <v>23.4916481125355</v>
      </c>
      <c r="G53" s="396" t="n">
        <f aca="false">IF(A53="N/A"," ",IF(ISERROR(P53),G41*Pwresc,P53)*VLOOKUP(MONTH(A53),Curveadj,3))</f>
        <v>15.3450012207031</v>
      </c>
      <c r="H53" s="398" t="n">
        <f aca="false">IF(A53="N/A"," ",G53*C53)</f>
        <v>16.5054669380188</v>
      </c>
      <c r="I53" s="398" t="n">
        <f aca="false">IF(A53="N/A"," ",IF(ISERROR(Q53),I41*Pwresc,Q53))</f>
        <v>17.9300003051758</v>
      </c>
      <c r="J53" s="398"/>
      <c r="K53" s="399"/>
      <c r="L53" s="399"/>
      <c r="M53" s="404"/>
      <c r="N53" s="401" t="n">
        <f aca="false">IF(A53="N/A"," ",VLOOKUP(A53,PeakPowerCurves,(IF(BMO2=2,3,IF(BMO2=1,2,4))),FALSE()))</f>
        <v>35.125</v>
      </c>
      <c r="O53" s="401" t="n">
        <f aca="false">IF(A53="N/A"," ",VLOOKUP(A53,SatSunPeakPwr,(IF(BMO2=2,3,IF(BMO2=1,2,4))),FALSE()))</f>
        <v>21.8399982452393</v>
      </c>
      <c r="P53" s="401" t="n">
        <f aca="false">IF(A53="N/A"," ",VLOOKUP(A53,SatSunPeakPwr,(IF(BMO2=2,7,IF(BMO2=1,6,8))),FALSE()))</f>
        <v>15.3450012207031</v>
      </c>
      <c r="Q53" s="402" t="n">
        <f aca="false">IF(A53="N/A"," ",(VLOOKUP(A53,OPPowerPrices,(IF(BMO2=2,7,IF(BMO2=1,6,8))),FALSE())))</f>
        <v>17.9300003051758</v>
      </c>
      <c r="R53" s="403" t="e">
        <f aca="false">IF(A53="N/A"," ",(VLOOKUP($A53,IRTable,2)))</f>
        <v>#N/A</v>
      </c>
      <c r="AF53" s="352" t="n">
        <v>38047</v>
      </c>
      <c r="AG53" s="311" t="n">
        <v>23</v>
      </c>
      <c r="AH53" s="311" t="n">
        <v>4</v>
      </c>
      <c r="AI53" s="311" t="n">
        <v>4</v>
      </c>
      <c r="AJ53" s="311" t="n">
        <v>0</v>
      </c>
      <c r="AK53" s="311" t="n">
        <v>31</v>
      </c>
      <c r="AU53" s="406"/>
    </row>
    <row r="54" customFormat="false" ht="12.75" hidden="false" customHeight="false" outlineLevel="0" collapsed="false">
      <c r="A54" s="352" t="n">
        <f aca="false">Option2!A21</f>
        <v>37773</v>
      </c>
      <c r="B54" s="396" t="n">
        <f aca="false">IF(A54="N/A"," ",IF(ISERROR(N54),B42*Pwresc,N54)*VLOOKUP(MONTH(A54),Curveadj,3))</f>
        <v>43.5</v>
      </c>
      <c r="C54" s="397" t="n">
        <f aca="false">IF(A54="N/A"," ",(IF(AND(Scaler2=1,MONTH(A54)&gt;=6,MONTH(A54)&lt;=8,OR($M$37="REGION 2",$M$37="REGION 2A",$M$37="REGION 2B",$M$37="REGION 3",$M$37="REGION 3A",$M$37="REGION 3B",$M$37="REGION 3C",$M$37="REGION 4",$M$37="REGION 4B",$M$37="REGION 4C",$M$37="REGION 5",$M$37="REGION 5A")),((0.059228/(B54/100))-(0.4980013/(SQRT(B54/100)))+2.137988),HLOOKUP(MONTH(A54),ScalarTable,28))))</f>
        <v>1.53</v>
      </c>
      <c r="D54" s="398" t="n">
        <f aca="false">IF(A54="N/A"," ",C54*B54)</f>
        <v>66.555</v>
      </c>
      <c r="E54" s="396" t="n">
        <f aca="false">IF(A54="N/A"," ",IF(ISERROR(O54),E42*Pwresc,O54)*VLOOKUP(MONTH(A54),Curveadj,3))</f>
        <v>28.8399982452393</v>
      </c>
      <c r="F54" s="398" t="n">
        <f aca="false">IF(A54="N/A"," ",E54*C54)</f>
        <v>44.1251973152161</v>
      </c>
      <c r="G54" s="396" t="n">
        <f aca="false">IF(A54="N/A"," ",IF(ISERROR(P54),G42*Pwresc,P54)*VLOOKUP(MONTH(A54),Curveadj,3))</f>
        <v>19.3399982452393</v>
      </c>
      <c r="H54" s="398" t="n">
        <f aca="false">IF(A54="N/A"," ",G54*C54)</f>
        <v>29.5901973152161</v>
      </c>
      <c r="I54" s="398" t="n">
        <f aca="false">IF(A54="N/A"," ",IF(ISERROR(Q54),I42*Pwresc,Q54))</f>
        <v>20.1800003051758</v>
      </c>
      <c r="J54" s="398"/>
      <c r="K54" s="399"/>
      <c r="L54" s="399"/>
      <c r="M54" s="404"/>
      <c r="N54" s="401" t="n">
        <f aca="false">IF(A54="N/A"," ",VLOOKUP(A54,PeakPowerCurves,(IF(BMO2=2,3,IF(BMO2=1,2,4))),FALSE()))</f>
        <v>43.5</v>
      </c>
      <c r="O54" s="401" t="n">
        <f aca="false">IF(A54="N/A"," ",VLOOKUP(A54,SatSunPeakPwr,(IF(BMO2=2,3,IF(BMO2=1,2,4))),FALSE()))</f>
        <v>28.8399982452393</v>
      </c>
      <c r="P54" s="401" t="n">
        <f aca="false">IF(A54="N/A"," ",VLOOKUP(A54,SatSunPeakPwr,(IF(BMO2=2,7,IF(BMO2=1,6,8))),FALSE()))</f>
        <v>19.3399982452393</v>
      </c>
      <c r="Q54" s="402" t="n">
        <f aca="false">IF(A54="N/A"," ",(VLOOKUP(A54,OPPowerPrices,(IF(BMO2=2,7,IF(BMO2=1,6,8))),FALSE())))</f>
        <v>20.1800003051758</v>
      </c>
      <c r="R54" s="403" t="e">
        <f aca="false">IF(A54="N/A"," ",(VLOOKUP($A54,IRTable,2)))</f>
        <v>#N/A</v>
      </c>
      <c r="AF54" s="352" t="n">
        <v>38078</v>
      </c>
      <c r="AG54" s="311" t="n">
        <v>22</v>
      </c>
      <c r="AH54" s="311" t="n">
        <v>4</v>
      </c>
      <c r="AI54" s="311" t="n">
        <v>4</v>
      </c>
      <c r="AJ54" s="311" t="n">
        <v>0</v>
      </c>
      <c r="AK54" s="311" t="n">
        <v>30</v>
      </c>
      <c r="AU54" s="406"/>
    </row>
    <row r="55" customFormat="false" ht="12.75" hidden="false" customHeight="false" outlineLevel="0" collapsed="false">
      <c r="A55" s="352" t="n">
        <f aca="false">Option2!A22</f>
        <v>37803</v>
      </c>
      <c r="B55" s="396" t="n">
        <f aca="false">IF(A55="N/A"," ",IF(ISERROR(N55),B43*Pwresc,N55)*VLOOKUP(MONTH(A55),Curveadj,3))</f>
        <v>54.5</v>
      </c>
      <c r="C55" s="397" t="n">
        <f aca="false">IF(A55="N/A"," ",(IF(AND(Scaler2=1,MONTH(A55)&gt;=6,MONTH(A55)&lt;=8,OR($M$37="REGION 2",$M$37="REGION 2A",$M$37="REGION 2B",$M$37="REGION 3",$M$37="REGION 3A",$M$37="REGION 3B",$M$37="REGION 3C",$M$37="REGION 4",$M$37="REGION 4B",$M$37="REGION 4C",$M$37="REGION 5",$M$37="REGION 5A")),((0.059228/(B55/100))-(0.4980013/(SQRT(B55/100)))+2.137988),HLOOKUP(MONTH(A55),ScalarTable,28))))</f>
        <v>1.63</v>
      </c>
      <c r="D55" s="398" t="n">
        <f aca="false">IF(A55="N/A"," ",C55*B55)</f>
        <v>88.835</v>
      </c>
      <c r="E55" s="396" t="n">
        <f aca="false">IF(A55="N/A"," ",IF(ISERROR(O55),E43*Pwresc,O55)*VLOOKUP(MONTH(A55),Curveadj,3))</f>
        <v>34.8400039672852</v>
      </c>
      <c r="F55" s="398" t="n">
        <f aca="false">IF(A55="N/A"," ",E55*C55)</f>
        <v>56.7892064666748</v>
      </c>
      <c r="G55" s="396" t="n">
        <f aca="false">IF(A55="N/A"," ",IF(ISERROR(P55),G43*Pwresc,P55)*VLOOKUP(MONTH(A55),Curveadj,3))</f>
        <v>25.3399982452393</v>
      </c>
      <c r="H55" s="398" t="n">
        <f aca="false">IF(A55="N/A"," ",G55*C55)</f>
        <v>41.30419713974</v>
      </c>
      <c r="I55" s="398" t="n">
        <f aca="false">IF(A55="N/A"," ",IF(ISERROR(Q55),I43*Pwresc,Q55))</f>
        <v>20.6800003051758</v>
      </c>
      <c r="J55" s="398"/>
      <c r="K55" s="399"/>
      <c r="L55" s="399"/>
      <c r="M55" s="404"/>
      <c r="N55" s="401" t="n">
        <f aca="false">IF(A55="N/A"," ",VLOOKUP(A55,PeakPowerCurves,(IF(BMO2=2,3,IF(BMO2=1,2,4))),FALSE()))</f>
        <v>54.5</v>
      </c>
      <c r="O55" s="401" t="n">
        <f aca="false">IF(A55="N/A"," ",VLOOKUP(A55,SatSunPeakPwr,(IF(BMO2=2,3,IF(BMO2=1,2,4))),FALSE()))</f>
        <v>34.8400039672852</v>
      </c>
      <c r="P55" s="401" t="n">
        <f aca="false">IF(A55="N/A"," ",VLOOKUP(A55,SatSunPeakPwr,(IF(BMO2=2,7,IF(BMO2=1,6,8))),FALSE()))</f>
        <v>25.3399982452393</v>
      </c>
      <c r="Q55" s="402" t="n">
        <f aca="false">IF(A55="N/A"," ",(VLOOKUP(A55,OPPowerPrices,(IF(BMO2=2,7,IF(BMO2=1,6,8))),FALSE())))</f>
        <v>20.6800003051758</v>
      </c>
      <c r="R55" s="403" t="e">
        <f aca="false">IF(A55="N/A"," ",(VLOOKUP($A55,IRTable,2)))</f>
        <v>#N/A</v>
      </c>
      <c r="AF55" s="352" t="n">
        <v>38108</v>
      </c>
      <c r="AG55" s="311" t="n">
        <v>20</v>
      </c>
      <c r="AH55" s="311" t="n">
        <v>5</v>
      </c>
      <c r="AI55" s="311" t="n">
        <v>6</v>
      </c>
      <c r="AJ55" s="311" t="n">
        <v>1</v>
      </c>
      <c r="AK55" s="311" t="n">
        <v>31</v>
      </c>
      <c r="AU55" s="406"/>
    </row>
    <row r="56" customFormat="false" ht="12.75" hidden="false" customHeight="false" outlineLevel="0" collapsed="false">
      <c r="A56" s="352" t="n">
        <f aca="false">Option2!A23</f>
        <v>37834</v>
      </c>
      <c r="B56" s="396" t="n">
        <f aca="false">IF(A56="N/A"," ",IF(ISERROR(N56),B44*Pwresc,N56)*VLOOKUP(MONTH(A56),Curveadj,3))</f>
        <v>54.5</v>
      </c>
      <c r="C56" s="397" t="n">
        <f aca="false">IF(A56="N/A"," ",(IF(AND(Scaler2=1,MONTH(A56)&gt;=6,MONTH(A56)&lt;=8,OR($M$37="REGION 2",$M$37="REGION 2A",$M$37="REGION 2B",$M$37="REGION 3",$M$37="REGION 3A",$M$37="REGION 3B",$M$37="REGION 3C",$M$37="REGION 4",$M$37="REGION 4B",$M$37="REGION 4C",$M$37="REGION 5",$M$37="REGION 5A")),((0.059228/(B56/100))-(0.4980013/(SQRT(B56/100)))+2.137988),HLOOKUP(MONTH(A56),ScalarTable,28))))</f>
        <v>1.63</v>
      </c>
      <c r="D56" s="398" t="n">
        <f aca="false">IF(A56="N/A"," ",C56*B56)</f>
        <v>88.835</v>
      </c>
      <c r="E56" s="396" t="n">
        <f aca="false">IF(A56="N/A"," ",IF(ISERROR(O56),E44*Pwresc,O56)*VLOOKUP(MONTH(A56),Curveadj,3))</f>
        <v>32.8400077819824</v>
      </c>
      <c r="F56" s="398" t="n">
        <f aca="false">IF(A56="N/A"," ",E56*C56)</f>
        <v>53.5292126846314</v>
      </c>
      <c r="G56" s="396" t="n">
        <f aca="false">IF(A56="N/A"," ",IF(ISERROR(P56),G44*Pwresc,P56)*VLOOKUP(MONTH(A56),Curveadj,3))</f>
        <v>25.3399982452393</v>
      </c>
      <c r="H56" s="398" t="n">
        <f aca="false">IF(A56="N/A"," ",G56*C56)</f>
        <v>41.30419713974</v>
      </c>
      <c r="I56" s="398" t="n">
        <f aca="false">IF(A56="N/A"," ",IF(ISERROR(Q56),I44*Pwresc,Q56))</f>
        <v>21.6800003051758</v>
      </c>
      <c r="J56" s="398"/>
      <c r="K56" s="399"/>
      <c r="L56" s="399"/>
      <c r="M56" s="404"/>
      <c r="N56" s="401" t="n">
        <f aca="false">IF(A56="N/A"," ",VLOOKUP(A56,PeakPowerCurves,(IF(BMO2=2,3,IF(BMO2=1,2,4))),FALSE()))</f>
        <v>54.5</v>
      </c>
      <c r="O56" s="401" t="n">
        <f aca="false">IF(A56="N/A"," ",VLOOKUP(A56,SatSunPeakPwr,(IF(BMO2=2,3,IF(BMO2=1,2,4))),FALSE()))</f>
        <v>32.8400077819824</v>
      </c>
      <c r="P56" s="401" t="n">
        <f aca="false">IF(A56="N/A"," ",VLOOKUP(A56,SatSunPeakPwr,(IF(BMO2=2,7,IF(BMO2=1,6,8))),FALSE()))</f>
        <v>25.3399982452393</v>
      </c>
      <c r="Q56" s="402" t="n">
        <f aca="false">IF(A56="N/A"," ",(VLOOKUP(A56,OPPowerPrices,(IF(BMO2=2,7,IF(BMO2=1,6,8))),FALSE())))</f>
        <v>21.6800003051758</v>
      </c>
      <c r="R56" s="403" t="e">
        <f aca="false">IF(A56="N/A"," ",(VLOOKUP($A56,IRTable,2)))</f>
        <v>#N/A</v>
      </c>
      <c r="AF56" s="352" t="n">
        <v>38139</v>
      </c>
      <c r="AG56" s="311" t="n">
        <v>22</v>
      </c>
      <c r="AH56" s="311" t="n">
        <v>4</v>
      </c>
      <c r="AI56" s="311" t="n">
        <v>4</v>
      </c>
      <c r="AJ56" s="311" t="n">
        <v>0</v>
      </c>
      <c r="AK56" s="311" t="n">
        <v>30</v>
      </c>
      <c r="AU56" s="406"/>
    </row>
    <row r="57" customFormat="false" ht="12.75" hidden="false" customHeight="false" outlineLevel="0" collapsed="false">
      <c r="A57" s="352" t="n">
        <f aca="false">Option2!A24</f>
        <v>37865</v>
      </c>
      <c r="B57" s="396" t="n">
        <f aca="false">IF(A57="N/A"," ",IF(ISERROR(N57),B45*Pwresc,N57)*VLOOKUP(MONTH(A57),Curveadj,3))</f>
        <v>30</v>
      </c>
      <c r="C57" s="397" t="n">
        <f aca="false">IF(A57="N/A"," ",(IF(AND(Scaler2=1,MONTH(A57)&gt;=6,MONTH(A57)&lt;=8,OR($M$37="REGION 2",$M$37="REGION 2A",$M$37="REGION 2B",$M$37="REGION 3",$M$37="REGION 3A",$M$37="REGION 3B",$M$37="REGION 3C",$M$37="REGION 4",$M$37="REGION 4B",$M$37="REGION 4C",$M$37="REGION 5",$M$37="REGION 5A")),((0.059228/(B57/100))-(0.4980013/(SQRT(B57/100)))+2.137988),HLOOKUP(MONTH(A57),ScalarTable,28))))</f>
        <v>1.35125</v>
      </c>
      <c r="D57" s="398" t="n">
        <f aca="false">IF(A57="N/A"," ",C57*B57)</f>
        <v>40.5375</v>
      </c>
      <c r="E57" s="396" t="n">
        <f aca="false">IF(A57="N/A"," ",IF(ISERROR(O57),E45*Pwresc,O57)*VLOOKUP(MONTH(A57),Curveadj,3))</f>
        <v>24.8399982452393</v>
      </c>
      <c r="F57" s="398" t="n">
        <f aca="false">IF(A57="N/A"," ",E57*C57)</f>
        <v>33.5650476288796</v>
      </c>
      <c r="G57" s="396" t="n">
        <f aca="false">IF(A57="N/A"," ",IF(ISERROR(P57),G45*Pwresc,P57)*VLOOKUP(MONTH(A57),Curveadj,3))</f>
        <v>19.3399982452393</v>
      </c>
      <c r="H57" s="398" t="n">
        <f aca="false">IF(A57="N/A"," ",G57*C57)</f>
        <v>26.1331726288796</v>
      </c>
      <c r="I57" s="398" t="n">
        <f aca="false">IF(A57="N/A"," ",IF(ISERROR(Q57),I45*Pwresc,Q57))</f>
        <v>15.6800003051758</v>
      </c>
      <c r="J57" s="398"/>
      <c r="K57" s="399"/>
      <c r="L57" s="399"/>
      <c r="M57" s="404"/>
      <c r="N57" s="401" t="n">
        <f aca="false">IF(A57="N/A"," ",VLOOKUP(A57,PeakPowerCurves,(IF(BMO2=2,3,IF(BMO2=1,2,4))),FALSE()))</f>
        <v>30</v>
      </c>
      <c r="O57" s="401" t="n">
        <f aca="false">IF(A57="N/A"," ",VLOOKUP(A57,SatSunPeakPwr,(IF(BMO2=2,3,IF(BMO2=1,2,4))),FALSE()))</f>
        <v>24.8399982452393</v>
      </c>
      <c r="P57" s="401" t="n">
        <f aca="false">IF(A57="N/A"," ",VLOOKUP(A57,SatSunPeakPwr,(IF(BMO2=2,7,IF(BMO2=1,6,8))),FALSE()))</f>
        <v>19.3399982452393</v>
      </c>
      <c r="Q57" s="402" t="n">
        <f aca="false">IF(A57="N/A"," ",(VLOOKUP(A57,OPPowerPrices,(IF(BMO2=2,7,IF(BMO2=1,6,8))),FALSE())))</f>
        <v>15.6800003051758</v>
      </c>
      <c r="R57" s="403" t="e">
        <f aca="false">IF(A57="N/A"," ",(VLOOKUP($A57,IRTable,2)))</f>
        <v>#N/A</v>
      </c>
      <c r="AF57" s="352" t="n">
        <v>38169</v>
      </c>
      <c r="AG57" s="311" t="n">
        <v>21</v>
      </c>
      <c r="AH57" s="311" t="n">
        <v>5</v>
      </c>
      <c r="AI57" s="311" t="n">
        <v>5</v>
      </c>
      <c r="AJ57" s="311" t="n">
        <v>1</v>
      </c>
      <c r="AK57" s="311" t="n">
        <v>31</v>
      </c>
      <c r="AU57" s="406"/>
    </row>
    <row r="58" customFormat="false" ht="12.75" hidden="false" customHeight="false" outlineLevel="0" collapsed="false">
      <c r="A58" s="352" t="n">
        <f aca="false">Option2!A25</f>
        <v>37895</v>
      </c>
      <c r="B58" s="396" t="n">
        <f aca="false">IF(A58="N/A"," ",IF(ISERROR(N58),B46*Pwresc,N58)*VLOOKUP(MONTH(A58),Curveadj,3))</f>
        <v>30.4015640020371</v>
      </c>
      <c r="C58" s="397" t="n">
        <f aca="false">IF(A58="N/A"," ",(IF(AND(Scaler2=1,MONTH(A58)&gt;=6,MONTH(A58)&lt;=8,OR($M$37="REGION 2",$M$37="REGION 2A",$M$37="REGION 2B",$M$37="REGION 3",$M$37="REGION 3A",$M$37="REGION 3B",$M$37="REGION 3C",$M$37="REGION 4",$M$37="REGION 4B",$M$37="REGION 4C",$M$37="REGION 5",$M$37="REGION 5A")),((0.059228/(B58/100))-(0.4980013/(SQRT(B58/100)))+2.137988),HLOOKUP(MONTH(A58),ScalarTable,28))))</f>
        <v>1.005</v>
      </c>
      <c r="D58" s="398" t="n">
        <f aca="false">IF(A58="N/A"," ",C58*B58)</f>
        <v>30.5535718220472</v>
      </c>
      <c r="E58" s="396" t="n">
        <f aca="false">IF(A58="N/A"," ",IF(ISERROR(O58),E46*Pwresc,O58)*VLOOKUP(MONTH(A58),Curveadj,3))</f>
        <v>19.8359985351563</v>
      </c>
      <c r="F58" s="398" t="n">
        <f aca="false">IF(A58="N/A"," ",E58*C58)</f>
        <v>19.935178527832</v>
      </c>
      <c r="G58" s="396" t="n">
        <f aca="false">IF(A58="N/A"," ",IF(ISERROR(P58),G46*Pwresc,P58)*VLOOKUP(MONTH(A58),Curveadj,3))</f>
        <v>14.3365020751953</v>
      </c>
      <c r="H58" s="398" t="n">
        <f aca="false">IF(A58="N/A"," ",G58*C58)</f>
        <v>14.4081845855713</v>
      </c>
      <c r="I58" s="398" t="n">
        <f aca="false">IF(A58="N/A"," ",IF(ISERROR(Q58),I46*Pwresc,Q58))</f>
        <v>15.1800022125244</v>
      </c>
      <c r="J58" s="398"/>
      <c r="K58" s="399"/>
      <c r="L58" s="399"/>
      <c r="M58" s="404"/>
      <c r="N58" s="401" t="n">
        <f aca="false">IF(A58="N/A"," ",VLOOKUP(A58,PeakPowerCurves,(IF(BMO2=2,3,IF(BMO2=1,2,4))),FALSE()))</f>
        <v>30.4015640020371</v>
      </c>
      <c r="O58" s="401" t="n">
        <f aca="false">IF(A58="N/A"," ",VLOOKUP(A58,SatSunPeakPwr,(IF(BMO2=2,3,IF(BMO2=1,2,4))),FALSE()))</f>
        <v>19.8359985351563</v>
      </c>
      <c r="P58" s="401" t="n">
        <f aca="false">IF(A58="N/A"," ",VLOOKUP(A58,SatSunPeakPwr,(IF(BMO2=2,7,IF(BMO2=1,6,8))),FALSE()))</f>
        <v>14.3365020751953</v>
      </c>
      <c r="Q58" s="402" t="n">
        <f aca="false">IF(A58="N/A"," ",(VLOOKUP(A58,OPPowerPrices,(IF(BMO2=2,7,IF(BMO2=1,6,8))),FALSE())))</f>
        <v>15.1800022125244</v>
      </c>
      <c r="R58" s="403" t="e">
        <f aca="false">IF(A58="N/A"," ",(VLOOKUP($A58,IRTable,2)))</f>
        <v>#N/A</v>
      </c>
      <c r="AF58" s="352" t="n">
        <v>38200</v>
      </c>
      <c r="AG58" s="311" t="n">
        <v>22</v>
      </c>
      <c r="AH58" s="311" t="n">
        <v>4</v>
      </c>
      <c r="AI58" s="311" t="n">
        <v>5</v>
      </c>
      <c r="AJ58" s="311" t="n">
        <v>0</v>
      </c>
      <c r="AK58" s="311" t="n">
        <v>31</v>
      </c>
      <c r="AU58" s="406"/>
    </row>
    <row r="59" customFormat="false" ht="12.75" hidden="false" customHeight="false" outlineLevel="0" collapsed="false">
      <c r="A59" s="352" t="n">
        <f aca="false">Option2!A26</f>
        <v>37926</v>
      </c>
      <c r="B59" s="396" t="n">
        <f aca="false">IF(A59="N/A"," ",IF(ISERROR(N59),B47*Pwresc,N59)*VLOOKUP(MONTH(A59),Curveadj,3))</f>
        <v>30.5015624761581</v>
      </c>
      <c r="C59" s="397" t="n">
        <f aca="false">IF(A59="N/A"," ",(IF(AND(Scaler2=1,MONTH(A59)&gt;=6,MONTH(A59)&lt;=8,OR($M$37="REGION 2",$M$37="REGION 2A",$M$37="REGION 2B",$M$37="REGION 3",$M$37="REGION 3A",$M$37="REGION 3B",$M$37="REGION 3C",$M$37="REGION 4",$M$37="REGION 4B",$M$37="REGION 4C",$M$37="REGION 5",$M$37="REGION 5A")),((0.059228/(B59/100))-(0.4980013/(SQRT(B59/100)))+2.137988),HLOOKUP(MONTH(A59),ScalarTable,28))))</f>
        <v>1.0825</v>
      </c>
      <c r="D59" s="398" t="n">
        <f aca="false">IF(A59="N/A"," ",C59*B59)</f>
        <v>33.0179413804412</v>
      </c>
      <c r="E59" s="396" t="n">
        <f aca="false">IF(A59="N/A"," ",IF(ISERROR(O59),E47*Pwresc,O59)*VLOOKUP(MONTH(A59),Curveadj,3))</f>
        <v>21.8399982452393</v>
      </c>
      <c r="F59" s="398" t="n">
        <f aca="false">IF(A59="N/A"," ",E59*C59)</f>
        <v>23.6417981004715</v>
      </c>
      <c r="G59" s="396" t="n">
        <f aca="false">IF(A59="N/A"," ",IF(ISERROR(P59),G47*Pwresc,P59)*VLOOKUP(MONTH(A59),Curveadj,3))</f>
        <v>14.3400020599365</v>
      </c>
      <c r="H59" s="398" t="n">
        <f aca="false">IF(A59="N/A"," ",G59*C59)</f>
        <v>15.5230522298813</v>
      </c>
      <c r="I59" s="398" t="n">
        <f aca="false">IF(A59="N/A"," ",IF(ISERROR(Q59),I47*Pwresc,Q59))</f>
        <v>16.1800003051758</v>
      </c>
      <c r="J59" s="398"/>
      <c r="K59" s="399"/>
      <c r="L59" s="399"/>
      <c r="M59" s="404"/>
      <c r="N59" s="401" t="n">
        <f aca="false">IF(A59="N/A"," ",VLOOKUP(A59,PeakPowerCurves,(IF(BMO2=2,3,IF(BMO2=1,2,4))),FALSE()))</f>
        <v>30.5015624761581</v>
      </c>
      <c r="O59" s="401" t="n">
        <f aca="false">IF(A59="N/A"," ",VLOOKUP(A59,SatSunPeakPwr,(IF(BMO2=2,3,IF(BMO2=1,2,4))),FALSE()))</f>
        <v>21.8399982452393</v>
      </c>
      <c r="P59" s="401" t="n">
        <f aca="false">IF(A59="N/A"," ",VLOOKUP(A59,SatSunPeakPwr,(IF(BMO2=2,7,IF(BMO2=1,6,8))),FALSE()))</f>
        <v>14.3400020599365</v>
      </c>
      <c r="Q59" s="402" t="n">
        <f aca="false">IF(A59="N/A"," ",(VLOOKUP(A59,OPPowerPrices,(IF(BMO2=2,7,IF(BMO2=1,6,8))),FALSE())))</f>
        <v>16.1800003051758</v>
      </c>
      <c r="R59" s="403" t="e">
        <f aca="false">IF(A59="N/A"," ",(VLOOKUP($A59,IRTable,2)))</f>
        <v>#N/A</v>
      </c>
      <c r="AF59" s="352" t="n">
        <v>38231</v>
      </c>
      <c r="AG59" s="311" t="n">
        <v>21</v>
      </c>
      <c r="AH59" s="311" t="n">
        <v>4</v>
      </c>
      <c r="AI59" s="311" t="n">
        <v>5</v>
      </c>
      <c r="AJ59" s="311" t="n">
        <v>1</v>
      </c>
      <c r="AK59" s="311" t="n">
        <v>30</v>
      </c>
      <c r="AU59" s="406"/>
    </row>
    <row r="60" customFormat="false" ht="12.75" hidden="false" customHeight="false" outlineLevel="0" collapsed="false">
      <c r="A60" s="352" t="n">
        <f aca="false">Option2!A27</f>
        <v>37956</v>
      </c>
      <c r="B60" s="396" t="n">
        <f aca="false">IF(A60="N/A"," ",IF(ISERROR(N60),B48*Pwresc,N60)*VLOOKUP(MONTH(A60),Curveadj,3))</f>
        <v>30.6015609502792</v>
      </c>
      <c r="C60" s="397" t="n">
        <f aca="false">IF(A60="N/A"," ",(IF(AND(Scaler2=1,MONTH(A60)&gt;=6,MONTH(A60)&lt;=8,OR($M$37="REGION 2",$M$37="REGION 2A",$M$37="REGION 2B",$M$37="REGION 3",$M$37="REGION 3A",$M$37="REGION 3B",$M$37="REGION 3C",$M$37="REGION 4",$M$37="REGION 4B",$M$37="REGION 4C",$M$37="REGION 5",$M$37="REGION 5A")),((0.059228/(B60/100))-(0.4980013/(SQRT(B60/100)))+2.137988),HLOOKUP(MONTH(A60),ScalarTable,28))))</f>
        <v>1.02125</v>
      </c>
      <c r="D60" s="398" t="n">
        <f aca="false">IF(A60="N/A"," ",C60*B60)</f>
        <v>31.2518441204727</v>
      </c>
      <c r="E60" s="396" t="n">
        <f aca="false">IF(A60="N/A"," ",IF(ISERROR(O60),E48*Pwresc,O60)*VLOOKUP(MONTH(A60),Curveadj,3))</f>
        <v>26.8399982452393</v>
      </c>
      <c r="F60" s="398" t="n">
        <f aca="false">IF(A60="N/A"," ",E60*C60)</f>
        <v>27.4103482079506</v>
      </c>
      <c r="G60" s="396" t="n">
        <f aca="false">IF(A60="N/A"," ",IF(ISERROR(P60),G48*Pwresc,P60)*VLOOKUP(MONTH(A60),Curveadj,3))</f>
        <v>21.3399982452393</v>
      </c>
      <c r="H60" s="398" t="n">
        <f aca="false">IF(A60="N/A"," ",G60*C60)</f>
        <v>21.7934732079506</v>
      </c>
      <c r="I60" s="398" t="n">
        <f aca="false">IF(A60="N/A"," ",IF(ISERROR(Q60),I48*Pwresc,Q60))</f>
        <v>18.4300003051758</v>
      </c>
      <c r="J60" s="398"/>
      <c r="K60" s="399"/>
      <c r="L60" s="399"/>
      <c r="M60" s="404"/>
      <c r="N60" s="401" t="n">
        <f aca="false">IF(A60="N/A"," ",VLOOKUP(A60,PeakPowerCurves,(IF(BMO2=2,3,IF(BMO2=1,2,4))),FALSE()))</f>
        <v>30.6015609502792</v>
      </c>
      <c r="O60" s="401" t="n">
        <f aca="false">IF(A60="N/A"," ",VLOOKUP(A60,SatSunPeakPwr,(IF(BMO2=2,3,IF(BMO2=1,2,4))),FALSE()))</f>
        <v>26.8399982452393</v>
      </c>
      <c r="P60" s="401" t="n">
        <f aca="false">IF(A60="N/A"," ",VLOOKUP(A60,SatSunPeakPwr,(IF(BMO2=2,7,IF(BMO2=1,6,8))),FALSE()))</f>
        <v>21.3399982452393</v>
      </c>
      <c r="Q60" s="402" t="n">
        <f aca="false">IF(A60="N/A"," ",(VLOOKUP(A60,OPPowerPrices,(IF(BMO2=2,7,IF(BMO2=1,6,8))),FALSE())))</f>
        <v>18.4300003051758</v>
      </c>
      <c r="R60" s="403" t="e">
        <f aca="false">IF(A60="N/A"," ",(VLOOKUP($A60,IRTable,2)))</f>
        <v>#N/A</v>
      </c>
      <c r="AF60" s="352" t="n">
        <v>38261</v>
      </c>
      <c r="AG60" s="311" t="n">
        <v>21</v>
      </c>
      <c r="AH60" s="311" t="n">
        <v>5</v>
      </c>
      <c r="AI60" s="311" t="n">
        <v>5</v>
      </c>
      <c r="AJ60" s="311" t="n">
        <v>0</v>
      </c>
      <c r="AK60" s="311" t="n">
        <v>31</v>
      </c>
      <c r="AU60" s="406"/>
    </row>
    <row r="61" customFormat="false" ht="12.75" hidden="false" customHeight="false" outlineLevel="0" collapsed="false">
      <c r="A61" s="352" t="n">
        <f aca="false">Option2!A28</f>
        <v>37987</v>
      </c>
      <c r="B61" s="396" t="n">
        <f aca="false">IF(A61="N/A"," ",IF(ISERROR(N61),B49*Pwresc,N61)*VLOOKUP(MONTH(A61),Curveadj,3))</f>
        <v>34.3357146126883</v>
      </c>
      <c r="C61" s="397" t="n">
        <f aca="false">IF(A61="N/A"," ",(IF(AND(Scaler2=1,MONTH(A61)&gt;=6,MONTH(A61)&lt;=8,OR($M$37="REGION 2",$M$37="REGION 2A",$M$37="REGION 2B",$M$37="REGION 3",$M$37="REGION 3A",$M$37="REGION 3B",$M$37="REGION 3C",$M$37="REGION 4",$M$37="REGION 4B",$M$37="REGION 4C",$M$37="REGION 5",$M$37="REGION 5A")),((0.059228/(B61/100))-(0.4980013/(SQRT(B61/100)))+2.137988),HLOOKUP(MONTH(A61),ScalarTable,28))))</f>
        <v>1.02007383501259</v>
      </c>
      <c r="D61" s="398" t="n">
        <f aca="false">IF(A61="N/A"," ",C61*B61)</f>
        <v>35.024964082863</v>
      </c>
      <c r="E61" s="396" t="n">
        <f aca="false">IF(A61="N/A"," ",IF(ISERROR(O61),E49*Pwresc,O61)*VLOOKUP(MONTH(A61),Curveadj,3))</f>
        <v>35.5</v>
      </c>
      <c r="F61" s="398" t="n">
        <f aca="false">IF(A61="N/A"," ",E61*C61)</f>
        <v>36.2126211429471</v>
      </c>
      <c r="G61" s="396" t="n">
        <f aca="false">IF(A61="N/A"," ",IF(ISERROR(P61),G49*Pwresc,P61)*VLOOKUP(MONTH(A61),Curveadj,3))</f>
        <v>25</v>
      </c>
      <c r="H61" s="398" t="n">
        <f aca="false">IF(A61="N/A"," ",G61*C61)</f>
        <v>25.5018458753149</v>
      </c>
      <c r="I61" s="398" t="n">
        <f aca="false">IF(A61="N/A"," ",IF(ISERROR(Q61),I49*Pwresc,Q61))</f>
        <v>20.75</v>
      </c>
      <c r="J61" s="398"/>
      <c r="K61" s="399"/>
      <c r="L61" s="399"/>
      <c r="M61" s="404"/>
      <c r="N61" s="401" t="n">
        <f aca="false">IF(A61="N/A"," ",VLOOKUP(A61,PeakPowerCurves,(IF(BMO2=2,3,IF(BMO2=1,2,4))),FALSE()))</f>
        <v>34.3357146126883</v>
      </c>
      <c r="O61" s="401" t="n">
        <f aca="false">IF(A61="N/A"," ",VLOOKUP(A61,SatSunPeakPwr,(IF(BMO2=2,3,IF(BMO2=1,2,4))),FALSE()))</f>
        <v>35.5</v>
      </c>
      <c r="P61" s="401" t="n">
        <f aca="false">IF(A61="N/A"," ",VLOOKUP(A61,SatSunPeakPwr,(IF(BMO2=2,7,IF(BMO2=1,6,8))),FALSE()))</f>
        <v>25</v>
      </c>
      <c r="Q61" s="402" t="n">
        <f aca="false">IF(A61="N/A"," ",(VLOOKUP(A61,OPPowerPrices,(IF(BMO2=2,7,IF(BMO2=1,6,8))),FALSE())))</f>
        <v>20.75</v>
      </c>
      <c r="R61" s="403" t="e">
        <f aca="false">IF(A61="N/A"," ",(VLOOKUP($A61,IRTable,2)))</f>
        <v>#N/A</v>
      </c>
      <c r="AF61" s="352" t="n">
        <v>38292</v>
      </c>
      <c r="AG61" s="311" t="n">
        <v>21</v>
      </c>
      <c r="AH61" s="311" t="n">
        <v>4</v>
      </c>
      <c r="AI61" s="311" t="n">
        <v>5</v>
      </c>
      <c r="AJ61" s="311" t="n">
        <v>1</v>
      </c>
      <c r="AK61" s="311" t="n">
        <v>30</v>
      </c>
      <c r="AU61" s="406"/>
    </row>
    <row r="62" customFormat="false" ht="12.75" hidden="false" customHeight="false" outlineLevel="0" collapsed="false">
      <c r="A62" s="352" t="n">
        <f aca="false">Option2!A29</f>
        <v>38018</v>
      </c>
      <c r="B62" s="396" t="n">
        <f aca="false">IF(A62="N/A"," ",IF(ISERROR(N62),B50*Pwresc,N62)*VLOOKUP(MONTH(A62),Curveadj,3))</f>
        <v>33.7357085091727</v>
      </c>
      <c r="C62" s="397" t="n">
        <f aca="false">IF(A62="N/A"," ",(IF(AND(Scaler2=1,MONTH(A62)&gt;=6,MONTH(A62)&lt;=8,OR($M$37="REGION 2",$M$37="REGION 2A",$M$37="REGION 2B",$M$37="REGION 3",$M$37="REGION 3A",$M$37="REGION 3B",$M$37="REGION 3C",$M$37="REGION 4",$M$37="REGION 4B",$M$37="REGION 4C",$M$37="REGION 5",$M$37="REGION 5A")),((0.059228/(B62/100))-(0.4980013/(SQRT(B62/100)))+2.137988),HLOOKUP(MONTH(A62),ScalarTable,28))))</f>
        <v>1.02007383501259</v>
      </c>
      <c r="D62" s="398" t="n">
        <f aca="false">IF(A62="N/A"," ",C62*B62)</f>
        <v>34.4129135558188</v>
      </c>
      <c r="E62" s="396" t="n">
        <f aca="false">IF(A62="N/A"," ",IF(ISERROR(O62),E50*Pwresc,O62)*VLOOKUP(MONTH(A62),Curveadj,3))</f>
        <v>31.2460021972656</v>
      </c>
      <c r="F62" s="398" t="n">
        <f aca="false">IF(A62="N/A"," ",E62*C62)</f>
        <v>31.8732292901767</v>
      </c>
      <c r="G62" s="396" t="n">
        <f aca="false">IF(A62="N/A"," ",IF(ISERROR(P62),G50*Pwresc,P62)*VLOOKUP(MONTH(A62),Curveadj,3))</f>
        <v>22.7465019226074</v>
      </c>
      <c r="H62" s="398" t="n">
        <f aca="false">IF(A62="N/A"," ",G62*C62)</f>
        <v>23.2031114493155</v>
      </c>
      <c r="I62" s="398" t="n">
        <f aca="false">IF(A62="N/A"," ",IF(ISERROR(Q62),I50*Pwresc,Q62))</f>
        <v>20</v>
      </c>
      <c r="J62" s="398"/>
      <c r="K62" s="399"/>
      <c r="L62" s="399"/>
      <c r="M62" s="404"/>
      <c r="N62" s="401" t="n">
        <f aca="false">IF(A62="N/A"," ",VLOOKUP(A62,PeakPowerCurves,(IF(BMO2=2,3,IF(BMO2=1,2,4))),FALSE()))</f>
        <v>33.7357085091727</v>
      </c>
      <c r="O62" s="401" t="n">
        <f aca="false">IF(A62="N/A"," ",VLOOKUP(A62,SatSunPeakPwr,(IF(BMO2=2,3,IF(BMO2=1,2,4))),FALSE()))</f>
        <v>31.2460021972656</v>
      </c>
      <c r="P62" s="401" t="n">
        <f aca="false">IF(A62="N/A"," ",VLOOKUP(A62,SatSunPeakPwr,(IF(BMO2=2,7,IF(BMO2=1,6,8))),FALSE()))</f>
        <v>22.7465019226074</v>
      </c>
      <c r="Q62" s="402" t="n">
        <f aca="false">IF(A62="N/A"," ",(VLOOKUP(A62,OPPowerPrices,(IF(BMO2=2,7,IF(BMO2=1,6,8))),FALSE())))</f>
        <v>20</v>
      </c>
      <c r="R62" s="403" t="e">
        <f aca="false">IF(A62="N/A"," ",(VLOOKUP($A62,IRTable,2)))</f>
        <v>#N/A</v>
      </c>
      <c r="AF62" s="352" t="n">
        <v>38322</v>
      </c>
      <c r="AG62" s="311" t="n">
        <v>23</v>
      </c>
      <c r="AH62" s="311" t="n">
        <v>3</v>
      </c>
      <c r="AI62" s="311" t="n">
        <v>5</v>
      </c>
      <c r="AJ62" s="311" t="n">
        <v>1</v>
      </c>
      <c r="AK62" s="311" t="n">
        <v>31</v>
      </c>
      <c r="AU62" s="406"/>
    </row>
    <row r="63" customFormat="false" ht="12.75" hidden="false" customHeight="false" outlineLevel="0" collapsed="false">
      <c r="A63" s="352" t="n">
        <f aca="false">Option2!A30</f>
        <v>38047</v>
      </c>
      <c r="B63" s="396" t="n">
        <f aca="false">IF(A63="N/A"," ",IF(ISERROR(N63),B51*Pwresc,N63)*VLOOKUP(MONTH(A63),Curveadj,3))</f>
        <v>32.4476771687352</v>
      </c>
      <c r="C63" s="397" t="n">
        <f aca="false">IF(A63="N/A"," ",(IF(AND(Scaler2=1,MONTH(A63)&gt;=6,MONTH(A63)&lt;=8,OR($M$37="REGION 2",$M$37="REGION 2A",$M$37="REGION 2B",$M$37="REGION 3",$M$37="REGION 3A",$M$37="REGION 3B",$M$37="REGION 3C",$M$37="REGION 4",$M$37="REGION 4B",$M$37="REGION 4C",$M$37="REGION 5",$M$37="REGION 5A")),((0.059228/(B63/100))-(0.4980013/(SQRT(B63/100)))+2.137988),HLOOKUP(MONTH(A63),ScalarTable,28))))</f>
        <v>1.0173448699422</v>
      </c>
      <c r="D63" s="398" t="n">
        <f aca="false">IF(A63="N/A"," ",C63*B63)</f>
        <v>33.0104779091533</v>
      </c>
      <c r="E63" s="396" t="n">
        <f aca="false">IF(A63="N/A"," ",IF(ISERROR(O63),E51*Pwresc,O63)*VLOOKUP(MONTH(A63),Curveadj,3))</f>
        <v>25.5</v>
      </c>
      <c r="F63" s="398" t="n">
        <f aca="false">IF(A63="N/A"," ",E63*C63)</f>
        <v>25.942294183526</v>
      </c>
      <c r="G63" s="396" t="n">
        <f aca="false">IF(A63="N/A"," ",IF(ISERROR(P63),G51*Pwresc,P63)*VLOOKUP(MONTH(A63),Curveadj,3))</f>
        <v>20</v>
      </c>
      <c r="H63" s="398" t="n">
        <f aca="false">IF(A63="N/A"," ",G63*C63)</f>
        <v>20.3468973988439</v>
      </c>
      <c r="I63" s="398" t="n">
        <f aca="false">IF(A63="N/A"," ",IF(ISERROR(Q63),I51*Pwresc,Q63))</f>
        <v>21</v>
      </c>
      <c r="J63" s="398"/>
      <c r="K63" s="399"/>
      <c r="L63" s="399"/>
      <c r="M63" s="404"/>
      <c r="N63" s="401" t="n">
        <f aca="false">IF(A63="N/A"," ",VLOOKUP(A63,PeakPowerCurves,(IF(BMO2=2,3,IF(BMO2=1,2,4))),FALSE()))</f>
        <v>32.4476771687352</v>
      </c>
      <c r="O63" s="401" t="n">
        <f aca="false">IF(A63="N/A"," ",VLOOKUP(A63,SatSunPeakPwr,(IF(BMO2=2,3,IF(BMO2=1,2,4))),FALSE()))</f>
        <v>25.5</v>
      </c>
      <c r="P63" s="401" t="n">
        <f aca="false">IF(A63="N/A"," ",VLOOKUP(A63,SatSunPeakPwr,(IF(BMO2=2,7,IF(BMO2=1,6,8))),FALSE()))</f>
        <v>20</v>
      </c>
      <c r="Q63" s="402" t="n">
        <f aca="false">IF(A63="N/A"," ",(VLOOKUP(A63,OPPowerPrices,(IF(BMO2=2,7,IF(BMO2=1,6,8))),FALSE())))</f>
        <v>21</v>
      </c>
      <c r="R63" s="403" t="e">
        <f aca="false">IF(A63="N/A"," ",(VLOOKUP($A63,IRTable,2)))</f>
        <v>#N/A</v>
      </c>
      <c r="AF63" s="352" t="n">
        <v>38353</v>
      </c>
      <c r="AG63" s="311" t="n">
        <v>21</v>
      </c>
      <c r="AH63" s="311" t="n">
        <v>4</v>
      </c>
      <c r="AI63" s="311" t="n">
        <v>6</v>
      </c>
      <c r="AJ63" s="311" t="n">
        <v>1</v>
      </c>
      <c r="AK63" s="311" t="n">
        <v>31</v>
      </c>
      <c r="AU63" s="406"/>
    </row>
    <row r="64" customFormat="false" ht="12.75" hidden="false" customHeight="false" outlineLevel="0" collapsed="false">
      <c r="A64" s="352" t="n">
        <f aca="false">Option2!A31</f>
        <v>38078</v>
      </c>
      <c r="B64" s="396" t="n">
        <f aca="false">IF(A64="N/A"," ",IF(ISERROR(N64),B52*Pwresc,N64)*VLOOKUP(MONTH(A64),Curveadj,3))</f>
        <v>32.6476779316747</v>
      </c>
      <c r="C64" s="397" t="n">
        <f aca="false">IF(A64="N/A"," ",(IF(AND(Scaler2=1,MONTH(A64)&gt;=6,MONTH(A64)&lt;=8,OR($M$37="REGION 2",$M$37="REGION 2A",$M$37="REGION 2B",$M$37="REGION 3",$M$37="REGION 3A",$M$37="REGION 3B",$M$37="REGION 3C",$M$37="REGION 4",$M$37="REGION 4B",$M$37="REGION 4C",$M$37="REGION 5",$M$37="REGION 5A")),((0.059228/(B64/100))-(0.4980013/(SQRT(B64/100)))+2.137988),HLOOKUP(MONTH(A64),ScalarTable,28))))</f>
        <v>1.005</v>
      </c>
      <c r="D64" s="398" t="n">
        <f aca="false">IF(A64="N/A"," ",C64*B64)</f>
        <v>32.8109163213331</v>
      </c>
      <c r="E64" s="396" t="n">
        <f aca="false">IF(A64="N/A"," ",IF(ISERROR(O64),E52*Pwresc,O64)*VLOOKUP(MONTH(A64),Curveadj,3))</f>
        <v>22</v>
      </c>
      <c r="F64" s="398" t="n">
        <f aca="false">IF(A64="N/A"," ",E64*C64)</f>
        <v>22.11</v>
      </c>
      <c r="G64" s="396" t="n">
        <f aca="false">IF(A64="N/A"," ",IF(ISERROR(P64),G52*Pwresc,P64)*VLOOKUP(MONTH(A64),Curveadj,3))</f>
        <v>16.4950008392334</v>
      </c>
      <c r="H64" s="398" t="n">
        <f aca="false">IF(A64="N/A"," ",G64*C64)</f>
        <v>16.5774758434296</v>
      </c>
      <c r="I64" s="398" t="n">
        <f aca="false">IF(A64="N/A"," ",IF(ISERROR(Q64),I52*Pwresc,Q64))</f>
        <v>18</v>
      </c>
      <c r="J64" s="398"/>
      <c r="K64" s="399"/>
      <c r="L64" s="399"/>
      <c r="M64" s="404"/>
      <c r="N64" s="401" t="n">
        <f aca="false">IF(A64="N/A"," ",VLOOKUP(A64,PeakPowerCurves,(IF(BMO2=2,3,IF(BMO2=1,2,4))),FALSE()))</f>
        <v>32.6476779316747</v>
      </c>
      <c r="O64" s="401" t="n">
        <f aca="false">IF(A64="N/A"," ",VLOOKUP(A64,SatSunPeakPwr,(IF(BMO2=2,3,IF(BMO2=1,2,4))),FALSE()))</f>
        <v>22</v>
      </c>
      <c r="P64" s="401" t="n">
        <f aca="false">IF(A64="N/A"," ",VLOOKUP(A64,SatSunPeakPwr,(IF(BMO2=2,7,IF(BMO2=1,6,8))),FALSE()))</f>
        <v>16.4950008392334</v>
      </c>
      <c r="Q64" s="402" t="n">
        <f aca="false">IF(A64="N/A"," ",(VLOOKUP(A64,OPPowerPrices,(IF(BMO2=2,7,IF(BMO2=1,6,8))),FALSE())))</f>
        <v>18</v>
      </c>
      <c r="R64" s="403" t="e">
        <f aca="false">IF(A64="N/A"," ",(VLOOKUP($A64,IRTable,2)))</f>
        <v>#N/A</v>
      </c>
      <c r="AF64" s="352" t="n">
        <v>38384</v>
      </c>
      <c r="AG64" s="311" t="n">
        <v>20</v>
      </c>
      <c r="AH64" s="311" t="n">
        <v>4</v>
      </c>
      <c r="AI64" s="311" t="n">
        <v>4</v>
      </c>
      <c r="AJ64" s="311" t="n">
        <v>0</v>
      </c>
      <c r="AK64" s="311" t="n">
        <v>28</v>
      </c>
      <c r="AU64" s="406"/>
    </row>
    <row r="65" customFormat="false" ht="12.75" hidden="false" customHeight="false" outlineLevel="0" collapsed="false">
      <c r="A65" s="352" t="n">
        <f aca="false">Option2!A32</f>
        <v>38108</v>
      </c>
      <c r="B65" s="396" t="n">
        <f aca="false">IF(A65="N/A"," ",IF(ISERROR(N65),B53*Pwresc,N65)*VLOOKUP(MONTH(A65),Curveadj,3))</f>
        <v>35.4250030517578</v>
      </c>
      <c r="C65" s="397" t="n">
        <f aca="false">IF(A65="N/A"," ",(IF(AND(Scaler2=1,MONTH(A65)&gt;=6,MONTH(A65)&lt;=8,OR($M$37="REGION 2",$M$37="REGION 2A",$M$37="REGION 2B",$M$37="REGION 3",$M$37="REGION 3A",$M$37="REGION 3B",$M$37="REGION 3C",$M$37="REGION 4",$M$37="REGION 4B",$M$37="REGION 4C",$M$37="REGION 5",$M$37="REGION 5A")),((0.059228/(B65/100))-(0.4980013/(SQRT(B65/100)))+2.137988),HLOOKUP(MONTH(A65),ScalarTable,28))))</f>
        <v>1.075625</v>
      </c>
      <c r="D65" s="398" t="n">
        <f aca="false">IF(A65="N/A"," ",C65*B65)</f>
        <v>38.104018907547</v>
      </c>
      <c r="E65" s="396" t="n">
        <f aca="false">IF(A65="N/A"," ",IF(ISERROR(O65),E53*Pwresc,O65)*VLOOKUP(MONTH(A65),Curveadj,3))</f>
        <v>22.2900009155273</v>
      </c>
      <c r="F65" s="398" t="n">
        <f aca="false">IF(A65="N/A"," ",E65*C65)</f>
        <v>23.9756822347641</v>
      </c>
      <c r="G65" s="396" t="n">
        <f aca="false">IF(A65="N/A"," ",IF(ISERROR(P65),G53*Pwresc,P65)*VLOOKUP(MONTH(A65),Curveadj,3))</f>
        <v>15.7950000762939</v>
      </c>
      <c r="H65" s="398" t="n">
        <f aca="false">IF(A65="N/A"," ",G65*C65)</f>
        <v>16.9894969570637</v>
      </c>
      <c r="I65" s="398" t="n">
        <f aca="false">IF(A65="N/A"," ",IF(ISERROR(Q65),I53*Pwresc,Q65))</f>
        <v>18.5400009155273</v>
      </c>
      <c r="J65" s="398"/>
      <c r="K65" s="399"/>
      <c r="L65" s="399"/>
      <c r="M65" s="404"/>
      <c r="N65" s="401" t="n">
        <f aca="false">IF(A65="N/A"," ",VLOOKUP(A65,PeakPowerCurves,(IF(BMO2=2,3,IF(BMO2=1,2,4))),FALSE()))</f>
        <v>35.4250030517578</v>
      </c>
      <c r="O65" s="401" t="n">
        <f aca="false">IF(A65="N/A"," ",VLOOKUP(A65,SatSunPeakPwr,(IF(BMO2=2,3,IF(BMO2=1,2,4))),FALSE()))</f>
        <v>22.2900009155273</v>
      </c>
      <c r="P65" s="401" t="n">
        <f aca="false">IF(A65="N/A"," ",VLOOKUP(A65,SatSunPeakPwr,(IF(BMO2=2,7,IF(BMO2=1,6,8))),FALSE()))</f>
        <v>15.7950000762939</v>
      </c>
      <c r="Q65" s="402" t="n">
        <f aca="false">IF(A65="N/A"," ",(VLOOKUP(A65,OPPowerPrices,(IF(BMO2=2,7,IF(BMO2=1,6,8))),FALSE())))</f>
        <v>18.5400009155273</v>
      </c>
      <c r="R65" s="403" t="e">
        <f aca="false">IF(A65="N/A"," ",(VLOOKUP($A65,IRTable,2)))</f>
        <v>#N/A</v>
      </c>
      <c r="AF65" s="352" t="n">
        <v>38412</v>
      </c>
      <c r="AG65" s="311" t="n">
        <v>23</v>
      </c>
      <c r="AH65" s="311" t="n">
        <v>4</v>
      </c>
      <c r="AI65" s="311" t="n">
        <v>4</v>
      </c>
      <c r="AJ65" s="311" t="n">
        <v>0</v>
      </c>
      <c r="AK65" s="311" t="n">
        <v>31</v>
      </c>
      <c r="AU65" s="406"/>
    </row>
    <row r="66" customFormat="false" ht="12.75" hidden="false" customHeight="false" outlineLevel="0" collapsed="false">
      <c r="A66" s="352" t="n">
        <f aca="false">Option2!A33</f>
        <v>38139</v>
      </c>
      <c r="B66" s="396" t="n">
        <f aca="false">IF(A66="N/A"," ",IF(ISERROR(N66),B54*Pwresc,N66)*VLOOKUP(MONTH(A66),Curveadj,3))</f>
        <v>42.6250038146973</v>
      </c>
      <c r="C66" s="397" t="n">
        <f aca="false">IF(A66="N/A"," ",(IF(AND(Scaler2=1,MONTH(A66)&gt;=6,MONTH(A66)&lt;=8,OR($M$37="REGION 2",$M$37="REGION 2A",$M$37="REGION 2B",$M$37="REGION 3",$M$37="REGION 3A",$M$37="REGION 3B",$M$37="REGION 3C",$M$37="REGION 4",$M$37="REGION 4B",$M$37="REGION 4C",$M$37="REGION 5",$M$37="REGION 5A")),((0.059228/(B66/100))-(0.4980013/(SQRT(B66/100)))+2.137988),HLOOKUP(MONTH(A66),ScalarTable,28))))</f>
        <v>1.53</v>
      </c>
      <c r="D66" s="398" t="n">
        <f aca="false">IF(A66="N/A"," ",C66*B66)</f>
        <v>65.2162558364868</v>
      </c>
      <c r="E66" s="396" t="n">
        <f aca="false">IF(A66="N/A"," ",IF(ISERROR(O66),E54*Pwresc,O66)*VLOOKUP(MONTH(A66),Curveadj,3))</f>
        <v>29.2900009155273</v>
      </c>
      <c r="F66" s="398" t="n">
        <f aca="false">IF(A66="N/A"," ",E66*C66)</f>
        <v>44.8137014007568</v>
      </c>
      <c r="G66" s="396" t="n">
        <f aca="false">IF(A66="N/A"," ",IF(ISERROR(P66),G54*Pwresc,P66)*VLOOKUP(MONTH(A66),Curveadj,3))</f>
        <v>19.7900009155273</v>
      </c>
      <c r="H66" s="398" t="n">
        <f aca="false">IF(A66="N/A"," ",G66*C66)</f>
        <v>30.2787014007568</v>
      </c>
      <c r="I66" s="398" t="n">
        <f aca="false">IF(A66="N/A"," ",IF(ISERROR(Q66),I54*Pwresc,Q66))</f>
        <v>21.5400009155273</v>
      </c>
      <c r="J66" s="398"/>
      <c r="K66" s="399"/>
      <c r="L66" s="399"/>
      <c r="M66" s="404"/>
      <c r="N66" s="401" t="n">
        <f aca="false">IF(A66="N/A"," ",VLOOKUP(A66,PeakPowerCurves,(IF(BMO2=2,3,IF(BMO2=1,2,4))),FALSE()))</f>
        <v>42.6250038146973</v>
      </c>
      <c r="O66" s="401" t="n">
        <f aca="false">IF(A66="N/A"," ",VLOOKUP(A66,SatSunPeakPwr,(IF(BMO2=2,3,IF(BMO2=1,2,4))),FALSE()))</f>
        <v>29.2900009155273</v>
      </c>
      <c r="P66" s="401" t="n">
        <f aca="false">IF(A66="N/A"," ",VLOOKUP(A66,SatSunPeakPwr,(IF(BMO2=2,7,IF(BMO2=1,6,8))),FALSE()))</f>
        <v>19.7900009155273</v>
      </c>
      <c r="Q66" s="402" t="n">
        <f aca="false">IF(A66="N/A"," ",(VLOOKUP(A66,OPPowerPrices,(IF(BMO2=2,7,IF(BMO2=1,6,8))),FALSE())))</f>
        <v>21.5400009155273</v>
      </c>
      <c r="R66" s="403" t="e">
        <f aca="false">IF(A66="N/A"," ",(VLOOKUP($A66,IRTable,2)))</f>
        <v>#N/A</v>
      </c>
      <c r="AF66" s="352" t="n">
        <v>38443</v>
      </c>
      <c r="AG66" s="311" t="n">
        <v>21</v>
      </c>
      <c r="AH66" s="311" t="n">
        <v>5</v>
      </c>
      <c r="AI66" s="311" t="n">
        <v>4</v>
      </c>
      <c r="AJ66" s="311" t="n">
        <v>0</v>
      </c>
      <c r="AK66" s="311" t="n">
        <v>30</v>
      </c>
      <c r="AU66" s="406"/>
    </row>
    <row r="67" customFormat="false" ht="12.75" hidden="false" customHeight="false" outlineLevel="0" collapsed="false">
      <c r="A67" s="352" t="n">
        <f aca="false">Option2!A34</f>
        <v>38169</v>
      </c>
      <c r="B67" s="396" t="n">
        <f aca="false">IF(A67="N/A"," ",IF(ISERROR(N67),B55*Pwresc,N67)*VLOOKUP(MONTH(A67),Curveadj,3))</f>
        <v>52.5</v>
      </c>
      <c r="C67" s="397" t="n">
        <f aca="false">IF(A67="N/A"," ",(IF(AND(Scaler2=1,MONTH(A67)&gt;=6,MONTH(A67)&lt;=8,OR($M$37="REGION 2",$M$37="REGION 2A",$M$37="REGION 2B",$M$37="REGION 3",$M$37="REGION 3A",$M$37="REGION 3B",$M$37="REGION 3C",$M$37="REGION 4",$M$37="REGION 4B",$M$37="REGION 4C",$M$37="REGION 5",$M$37="REGION 5A")),((0.059228/(B67/100))-(0.4980013/(SQRT(B67/100)))+2.137988),HLOOKUP(MONTH(A67),ScalarTable,28))))</f>
        <v>1.63</v>
      </c>
      <c r="D67" s="398" t="n">
        <f aca="false">IF(A67="N/A"," ",C67*B67)</f>
        <v>85.575</v>
      </c>
      <c r="E67" s="396" t="n">
        <f aca="false">IF(A67="N/A"," ",IF(ISERROR(O67),E55*Pwresc,O67)*VLOOKUP(MONTH(A67),Curveadj,3))</f>
        <v>35.2900009155273</v>
      </c>
      <c r="F67" s="398" t="n">
        <f aca="false">IF(A67="N/A"," ",E67*C67)</f>
        <v>57.5227014923096</v>
      </c>
      <c r="G67" s="396" t="n">
        <f aca="false">IF(A67="N/A"," ",IF(ISERROR(P67),G55*Pwresc,P67)*VLOOKUP(MONTH(A67),Curveadj,3))</f>
        <v>25.7900009155273</v>
      </c>
      <c r="H67" s="398" t="n">
        <f aca="false">IF(A67="N/A"," ",G67*C67)</f>
        <v>42.0377014923096</v>
      </c>
      <c r="I67" s="398" t="n">
        <f aca="false">IF(A67="N/A"," ",IF(ISERROR(Q67),I55*Pwresc,Q67))</f>
        <v>22.0400009155273</v>
      </c>
      <c r="J67" s="398"/>
      <c r="K67" s="399"/>
      <c r="L67" s="399"/>
      <c r="M67" s="404"/>
      <c r="N67" s="401" t="n">
        <f aca="false">IF(A67="N/A"," ",VLOOKUP(A67,PeakPowerCurves,(IF(BMO2=2,3,IF(BMO2=1,2,4))),FALSE()))</f>
        <v>52.5</v>
      </c>
      <c r="O67" s="401" t="n">
        <f aca="false">IF(A67="N/A"," ",VLOOKUP(A67,SatSunPeakPwr,(IF(BMO2=2,3,IF(BMO2=1,2,4))),FALSE()))</f>
        <v>35.2900009155273</v>
      </c>
      <c r="P67" s="401" t="n">
        <f aca="false">IF(A67="N/A"," ",VLOOKUP(A67,SatSunPeakPwr,(IF(BMO2=2,7,IF(BMO2=1,6,8))),FALSE()))</f>
        <v>25.7900009155273</v>
      </c>
      <c r="Q67" s="402" t="n">
        <f aca="false">IF(A67="N/A"," ",(VLOOKUP(A67,OPPowerPrices,(IF(BMO2=2,7,IF(BMO2=1,6,8))),FALSE())))</f>
        <v>22.0400009155273</v>
      </c>
      <c r="R67" s="403" t="e">
        <f aca="false">IF(A67="N/A"," ",(VLOOKUP($A67,IRTable,2)))</f>
        <v>#N/A</v>
      </c>
      <c r="AF67" s="352" t="n">
        <v>38473</v>
      </c>
      <c r="AG67" s="311" t="n">
        <v>21</v>
      </c>
      <c r="AH67" s="311" t="n">
        <v>4</v>
      </c>
      <c r="AI67" s="311" t="n">
        <v>6</v>
      </c>
      <c r="AJ67" s="311" t="n">
        <v>1</v>
      </c>
      <c r="AK67" s="311" t="n">
        <v>31</v>
      </c>
      <c r="AU67" s="406"/>
    </row>
    <row r="68" customFormat="false" ht="12.75" hidden="false" customHeight="false" outlineLevel="0" collapsed="false">
      <c r="A68" s="352" t="n">
        <f aca="false">Option2!A35</f>
        <v>38200</v>
      </c>
      <c r="B68" s="396" t="n">
        <f aca="false">IF(A68="N/A"," ",IF(ISERROR(N68),B56*Pwresc,N68)*VLOOKUP(MONTH(A68),Curveadj,3))</f>
        <v>52.5</v>
      </c>
      <c r="C68" s="397" t="n">
        <f aca="false">IF(A68="N/A"," ",(IF(AND(Scaler2=1,MONTH(A68)&gt;=6,MONTH(A68)&lt;=8,OR($M$37="REGION 2",$M$37="REGION 2A",$M$37="REGION 2B",$M$37="REGION 3",$M$37="REGION 3A",$M$37="REGION 3B",$M$37="REGION 3C",$M$37="REGION 4",$M$37="REGION 4B",$M$37="REGION 4C",$M$37="REGION 5",$M$37="REGION 5A")),((0.059228/(B68/100))-(0.4980013/(SQRT(B68/100)))+2.137988),HLOOKUP(MONTH(A68),ScalarTable,28))))</f>
        <v>1.63</v>
      </c>
      <c r="D68" s="398" t="n">
        <f aca="false">IF(A68="N/A"," ",C68*B68)</f>
        <v>85.575</v>
      </c>
      <c r="E68" s="396" t="n">
        <f aca="false">IF(A68="N/A"," ",IF(ISERROR(O68),E56*Pwresc,O68)*VLOOKUP(MONTH(A68),Curveadj,3))</f>
        <v>33.2900047302246</v>
      </c>
      <c r="F68" s="398" t="n">
        <f aca="false">IF(A68="N/A"," ",E68*C68)</f>
        <v>54.2627077102661</v>
      </c>
      <c r="G68" s="396" t="n">
        <f aca="false">IF(A68="N/A"," ",IF(ISERROR(P68),G56*Pwresc,P68)*VLOOKUP(MONTH(A68),Curveadj,3))</f>
        <v>25.7900009155273</v>
      </c>
      <c r="H68" s="398" t="n">
        <f aca="false">IF(A68="N/A"," ",G68*C68)</f>
        <v>42.0377014923096</v>
      </c>
      <c r="I68" s="398" t="n">
        <f aca="false">IF(A68="N/A"," ",IF(ISERROR(Q68),I56*Pwresc,Q68))</f>
        <v>23.0400009155273</v>
      </c>
      <c r="J68" s="398"/>
      <c r="K68" s="399"/>
      <c r="L68" s="399"/>
      <c r="M68" s="404"/>
      <c r="N68" s="401" t="n">
        <f aca="false">IF(A68="N/A"," ",VLOOKUP(A68,PeakPowerCurves,(IF(BMO2=2,3,IF(BMO2=1,2,4))),FALSE()))</f>
        <v>52.5</v>
      </c>
      <c r="O68" s="401" t="n">
        <f aca="false">IF(A68="N/A"," ",VLOOKUP(A68,SatSunPeakPwr,(IF(BMO2=2,3,IF(BMO2=1,2,4))),FALSE()))</f>
        <v>33.2900047302246</v>
      </c>
      <c r="P68" s="401" t="n">
        <f aca="false">IF(A68="N/A"," ",VLOOKUP(A68,SatSunPeakPwr,(IF(BMO2=2,7,IF(BMO2=1,6,8))),FALSE()))</f>
        <v>25.7900009155273</v>
      </c>
      <c r="Q68" s="402" t="n">
        <f aca="false">IF(A68="N/A"," ",(VLOOKUP(A68,OPPowerPrices,(IF(BMO2=2,7,IF(BMO2=1,6,8))),FALSE())))</f>
        <v>23.0400009155273</v>
      </c>
      <c r="R68" s="403" t="e">
        <f aca="false">IF(A68="N/A"," ",(VLOOKUP($A68,IRTable,2)))</f>
        <v>#N/A</v>
      </c>
      <c r="AF68" s="352" t="n">
        <v>38504</v>
      </c>
      <c r="AG68" s="311" t="n">
        <v>22</v>
      </c>
      <c r="AH68" s="311" t="n">
        <v>4</v>
      </c>
      <c r="AI68" s="311" t="n">
        <v>4</v>
      </c>
      <c r="AJ68" s="311" t="n">
        <v>0</v>
      </c>
      <c r="AK68" s="311" t="n">
        <v>30</v>
      </c>
      <c r="AU68" s="406"/>
    </row>
    <row r="69" customFormat="false" ht="12.75" hidden="false" customHeight="false" outlineLevel="0" collapsed="false">
      <c r="A69" s="352" t="n">
        <f aca="false">Option2!A36</f>
        <v>38231</v>
      </c>
      <c r="B69" s="396" t="n">
        <f aca="false">IF(A69="N/A"," ",IF(ISERROR(N69),B57*Pwresc,N69)*VLOOKUP(MONTH(A69),Curveadj,3))</f>
        <v>30.3000011444092</v>
      </c>
      <c r="C69" s="397" t="n">
        <f aca="false">IF(A69="N/A"," ",(IF(AND(Scaler2=1,MONTH(A69)&gt;=6,MONTH(A69)&lt;=8,OR($M$37="REGION 2",$M$37="REGION 2A",$M$37="REGION 2B",$M$37="REGION 3",$M$37="REGION 3A",$M$37="REGION 3B",$M$37="REGION 3C",$M$37="REGION 4",$M$37="REGION 4B",$M$37="REGION 4C",$M$37="REGION 5",$M$37="REGION 5A")),((0.059228/(B69/100))-(0.4980013/(SQRT(B69/100)))+2.137988),HLOOKUP(MONTH(A69),ScalarTable,28))))</f>
        <v>1.35125</v>
      </c>
      <c r="D69" s="398" t="n">
        <f aca="false">IF(A69="N/A"," ",C69*B69)</f>
        <v>40.9428765463829</v>
      </c>
      <c r="E69" s="396" t="n">
        <f aca="false">IF(A69="N/A"," ",IF(ISERROR(O69),E57*Pwresc,O69)*VLOOKUP(MONTH(A69),Curveadj,3))</f>
        <v>25.2900009155273</v>
      </c>
      <c r="F69" s="398" t="n">
        <f aca="false">IF(A69="N/A"," ",E69*C69)</f>
        <v>34.1731137371063</v>
      </c>
      <c r="G69" s="396" t="n">
        <f aca="false">IF(A69="N/A"," ",IF(ISERROR(P69),G57*Pwresc,P69)*VLOOKUP(MONTH(A69),Curveadj,3))</f>
        <v>19.7900009155273</v>
      </c>
      <c r="H69" s="398" t="n">
        <f aca="false">IF(A69="N/A"," ",G69*C69)</f>
        <v>26.7412387371063</v>
      </c>
      <c r="I69" s="398" t="n">
        <f aca="false">IF(A69="N/A"," ",IF(ISERROR(Q69),I57*Pwresc,Q69))</f>
        <v>17.0400009155273</v>
      </c>
      <c r="J69" s="398"/>
      <c r="K69" s="399"/>
      <c r="L69" s="399"/>
      <c r="M69" s="404"/>
      <c r="N69" s="401" t="n">
        <f aca="false">IF(A69="N/A"," ",VLOOKUP(A69,PeakPowerCurves,(IF(BMO2=2,3,IF(BMO2=1,2,4))),FALSE()))</f>
        <v>30.3000011444092</v>
      </c>
      <c r="O69" s="401" t="n">
        <f aca="false">IF(A69="N/A"," ",VLOOKUP(A69,SatSunPeakPwr,(IF(BMO2=2,3,IF(BMO2=1,2,4))),FALSE()))</f>
        <v>25.2900009155273</v>
      </c>
      <c r="P69" s="401" t="n">
        <f aca="false">IF(A69="N/A"," ",VLOOKUP(A69,SatSunPeakPwr,(IF(BMO2=2,7,IF(BMO2=1,6,8))),FALSE()))</f>
        <v>19.7900009155273</v>
      </c>
      <c r="Q69" s="402" t="n">
        <f aca="false">IF(A69="N/A"," ",(VLOOKUP(A69,OPPowerPrices,(IF(BMO2=2,7,IF(BMO2=1,6,8))),FALSE())))</f>
        <v>17.0400009155273</v>
      </c>
      <c r="R69" s="403" t="e">
        <f aca="false">IF(A69="N/A"," ",(VLOOKUP($A69,IRTable,2)))</f>
        <v>#N/A</v>
      </c>
      <c r="AF69" s="352" t="n">
        <v>38534</v>
      </c>
      <c r="AG69" s="311" t="n">
        <v>20</v>
      </c>
      <c r="AH69" s="311" t="n">
        <v>5</v>
      </c>
      <c r="AI69" s="311" t="n">
        <v>6</v>
      </c>
      <c r="AJ69" s="311" t="n">
        <v>1</v>
      </c>
      <c r="AK69" s="311" t="n">
        <v>31</v>
      </c>
      <c r="AU69" s="406"/>
    </row>
    <row r="70" customFormat="false" ht="12.75" hidden="false" customHeight="false" outlineLevel="0" collapsed="false">
      <c r="A70" s="352" t="n">
        <f aca="false">Option2!A37</f>
        <v>38261</v>
      </c>
      <c r="B70" s="396" t="n">
        <f aca="false">IF(A70="N/A"," ",IF(ISERROR(N70),B58*Pwresc,N70)*VLOOKUP(MONTH(A70),Curveadj,3))</f>
        <v>30.9515632390976</v>
      </c>
      <c r="C70" s="397" t="n">
        <f aca="false">IF(A70="N/A"," ",(IF(AND(Scaler2=1,MONTH(A70)&gt;=6,MONTH(A70)&lt;=8,OR($M$37="REGION 2",$M$37="REGION 2A",$M$37="REGION 2B",$M$37="REGION 3",$M$37="REGION 3A",$M$37="REGION 3B",$M$37="REGION 3C",$M$37="REGION 4",$M$37="REGION 4B",$M$37="REGION 4C",$M$37="REGION 5",$M$37="REGION 5A")),((0.059228/(B70/100))-(0.4980013/(SQRT(B70/100)))+2.137988),HLOOKUP(MONTH(A70),ScalarTable,28))))</f>
        <v>1.005</v>
      </c>
      <c r="D70" s="398" t="n">
        <f aca="false">IF(A70="N/A"," ",C70*B70)</f>
        <v>31.1063210552931</v>
      </c>
      <c r="E70" s="396" t="n">
        <f aca="false">IF(A70="N/A"," ",IF(ISERROR(O70),E58*Pwresc,O70)*VLOOKUP(MONTH(A70),Curveadj,3))</f>
        <v>20.2860012054443</v>
      </c>
      <c r="F70" s="398" t="n">
        <f aca="false">IF(A70="N/A"," ",E70*C70)</f>
        <v>20.3874312114716</v>
      </c>
      <c r="G70" s="396" t="n">
        <f aca="false">IF(A70="N/A"," ",IF(ISERROR(P70),G58*Pwresc,P70)*VLOOKUP(MONTH(A70),Curveadj,3))</f>
        <v>14.7865009307861</v>
      </c>
      <c r="H70" s="398" t="n">
        <f aca="false">IF(A70="N/A"," ",G70*C70)</f>
        <v>14.8604334354401</v>
      </c>
      <c r="I70" s="398" t="n">
        <f aca="false">IF(A70="N/A"," ",IF(ISERROR(Q70),I58*Pwresc,Q70))</f>
        <v>16.540002822876</v>
      </c>
      <c r="J70" s="398"/>
      <c r="K70" s="399"/>
      <c r="L70" s="399"/>
      <c r="M70" s="404"/>
      <c r="N70" s="401" t="n">
        <f aca="false">IF(A70="N/A"," ",VLOOKUP(A70,PeakPowerCurves,(IF(BMO2=2,3,IF(BMO2=1,2,4))),FALSE()))</f>
        <v>30.9515632390976</v>
      </c>
      <c r="O70" s="401" t="n">
        <f aca="false">IF(A70="N/A"," ",VLOOKUP(A70,SatSunPeakPwr,(IF(BMO2=2,3,IF(BMO2=1,2,4))),FALSE()))</f>
        <v>20.2860012054443</v>
      </c>
      <c r="P70" s="401" t="n">
        <f aca="false">IF(A70="N/A"," ",VLOOKUP(A70,SatSunPeakPwr,(IF(BMO2=2,7,IF(BMO2=1,6,8))),FALSE()))</f>
        <v>14.7865009307861</v>
      </c>
      <c r="Q70" s="402" t="n">
        <f aca="false">IF(A70="N/A"," ",(VLOOKUP(A70,OPPowerPrices,(IF(BMO2=2,7,IF(BMO2=1,6,8))),FALSE())))</f>
        <v>16.540002822876</v>
      </c>
      <c r="R70" s="403" t="e">
        <f aca="false">IF(A70="N/A"," ",(VLOOKUP($A70,IRTable,2)))</f>
        <v>#N/A</v>
      </c>
      <c r="AF70" s="352" t="n">
        <v>38565</v>
      </c>
      <c r="AG70" s="311" t="n">
        <v>23</v>
      </c>
      <c r="AH70" s="311" t="n">
        <v>4</v>
      </c>
      <c r="AI70" s="311" t="n">
        <v>4</v>
      </c>
      <c r="AJ70" s="311" t="n">
        <v>0</v>
      </c>
      <c r="AK70" s="311" t="n">
        <v>31</v>
      </c>
      <c r="AU70" s="406"/>
    </row>
    <row r="71" customFormat="false" ht="12.75" hidden="false" customHeight="false" outlineLevel="0" collapsed="false">
      <c r="A71" s="352" t="n">
        <f aca="false">Option2!A38</f>
        <v>38292</v>
      </c>
      <c r="B71" s="396" t="n">
        <f aca="false">IF(A71="N/A"," ",IF(ISERROR(N71),B59*Pwresc,N71)*VLOOKUP(MONTH(A71),Curveadj,3))</f>
        <v>31.0515617132187</v>
      </c>
      <c r="C71" s="397" t="n">
        <f aca="false">IF(A71="N/A"," ",(IF(AND(Scaler2=1,MONTH(A71)&gt;=6,MONTH(A71)&lt;=8,OR($M$37="REGION 2",$M$37="REGION 2A",$M$37="REGION 2B",$M$37="REGION 3",$M$37="REGION 3A",$M$37="REGION 3B",$M$37="REGION 3C",$M$37="REGION 4",$M$37="REGION 4B",$M$37="REGION 4C",$M$37="REGION 5",$M$37="REGION 5A")),((0.059228/(B71/100))-(0.4980013/(SQRT(B71/100)))+2.137988),HLOOKUP(MONTH(A71),ScalarTable,28))))</f>
        <v>1.0825</v>
      </c>
      <c r="D71" s="398" t="n">
        <f aca="false">IF(A71="N/A"," ",C71*B71)</f>
        <v>33.6133155545592</v>
      </c>
      <c r="E71" s="396" t="n">
        <f aca="false">IF(A71="N/A"," ",IF(ISERROR(O71),E59*Pwresc,O71)*VLOOKUP(MONTH(A71),Curveadj,3))</f>
        <v>22.2900009155273</v>
      </c>
      <c r="F71" s="398" t="n">
        <f aca="false">IF(A71="N/A"," ",E71*C71)</f>
        <v>24.1289259910584</v>
      </c>
      <c r="G71" s="396" t="n">
        <f aca="false">IF(A71="N/A"," ",IF(ISERROR(P71),G59*Pwresc,P71)*VLOOKUP(MONTH(A71),Curveadj,3))</f>
        <v>14.7900009155273</v>
      </c>
      <c r="H71" s="398" t="n">
        <f aca="false">IF(A71="N/A"," ",G71*C71)</f>
        <v>16.0101759910584</v>
      </c>
      <c r="I71" s="398" t="n">
        <f aca="false">IF(A71="N/A"," ",IF(ISERROR(Q71),I59*Pwresc,Q71))</f>
        <v>17.5400009155273</v>
      </c>
      <c r="J71" s="398"/>
      <c r="K71" s="399"/>
      <c r="L71" s="399"/>
      <c r="M71" s="404"/>
      <c r="N71" s="401" t="n">
        <f aca="false">IF(A71="N/A"," ",VLOOKUP(A71,PeakPowerCurves,(IF(BMO2=2,3,IF(BMO2=1,2,4))),FALSE()))</f>
        <v>31.0515617132187</v>
      </c>
      <c r="O71" s="401" t="n">
        <f aca="false">IF(A71="N/A"," ",VLOOKUP(A71,SatSunPeakPwr,(IF(BMO2=2,3,IF(BMO2=1,2,4))),FALSE()))</f>
        <v>22.2900009155273</v>
      </c>
      <c r="P71" s="401" t="n">
        <f aca="false">IF(A71="N/A"," ",VLOOKUP(A71,SatSunPeakPwr,(IF(BMO2=2,7,IF(BMO2=1,6,8))),FALSE()))</f>
        <v>14.7900009155273</v>
      </c>
      <c r="Q71" s="402" t="n">
        <f aca="false">IF(A71="N/A"," ",(VLOOKUP(A71,OPPowerPrices,(IF(BMO2=2,7,IF(BMO2=1,6,8))),FALSE())))</f>
        <v>17.5400009155273</v>
      </c>
      <c r="R71" s="403" t="e">
        <f aca="false">IF(A71="N/A"," ",(VLOOKUP($A71,IRTable,2)))</f>
        <v>#N/A</v>
      </c>
      <c r="AF71" s="352" t="n">
        <v>38596</v>
      </c>
      <c r="AG71" s="311" t="n">
        <v>21</v>
      </c>
      <c r="AH71" s="311" t="n">
        <v>4</v>
      </c>
      <c r="AI71" s="311" t="n">
        <v>5</v>
      </c>
      <c r="AJ71" s="311" t="n">
        <v>1</v>
      </c>
      <c r="AK71" s="311" t="n">
        <v>30</v>
      </c>
      <c r="AU71" s="406"/>
    </row>
    <row r="72" customFormat="false" ht="12.75" hidden="false" customHeight="false" outlineLevel="0" collapsed="false">
      <c r="A72" s="352" t="n">
        <f aca="false">Option2!A39</f>
        <v>38322</v>
      </c>
      <c r="B72" s="396" t="n">
        <f aca="false">IF(A72="N/A"," ",IF(ISERROR(N72),B60*Pwresc,N72)*VLOOKUP(MONTH(A72),Curveadj,3))</f>
        <v>31.1515601873398</v>
      </c>
      <c r="C72" s="397" t="n">
        <f aca="false">IF(A72="N/A"," ",(IF(AND(Scaler2=1,MONTH(A72)&gt;=6,MONTH(A72)&lt;=8,OR($M$37="REGION 2",$M$37="REGION 2A",$M$37="REGION 2B",$M$37="REGION 3",$M$37="REGION 3A",$M$37="REGION 3B",$M$37="REGION 3C",$M$37="REGION 4",$M$37="REGION 4B",$M$37="REGION 4C",$M$37="REGION 5",$M$37="REGION 5A")),((0.059228/(B72/100))-(0.4980013/(SQRT(B72/100)))+2.137988),HLOOKUP(MONTH(A72),ScalarTable,28))))</f>
        <v>1.02125</v>
      </c>
      <c r="D72" s="398" t="n">
        <f aca="false">IF(A72="N/A"," ",C72*B72)</f>
        <v>31.8135308413208</v>
      </c>
      <c r="E72" s="396" t="n">
        <f aca="false">IF(A72="N/A"," ",IF(ISERROR(O72),E60*Pwresc,O72)*VLOOKUP(MONTH(A72),Curveadj,3))</f>
        <v>27.2900009155273</v>
      </c>
      <c r="F72" s="398" t="n">
        <f aca="false">IF(A72="N/A"," ",E72*C72)</f>
        <v>27.8699134349823</v>
      </c>
      <c r="G72" s="396" t="n">
        <f aca="false">IF(A72="N/A"," ",IF(ISERROR(P72),G60*Pwresc,P72)*VLOOKUP(MONTH(A72),Curveadj,3))</f>
        <v>21.7900009155273</v>
      </c>
      <c r="H72" s="398" t="n">
        <f aca="false">IF(A72="N/A"," ",G72*C72)</f>
        <v>22.2530384349823</v>
      </c>
      <c r="I72" s="398" t="n">
        <f aca="false">IF(A72="N/A"," ",IF(ISERROR(Q72),I60*Pwresc,Q72))</f>
        <v>19.7900009155273</v>
      </c>
      <c r="J72" s="398"/>
      <c r="K72" s="399"/>
      <c r="L72" s="399"/>
      <c r="M72" s="404"/>
      <c r="N72" s="401" t="n">
        <f aca="false">IF(A72="N/A"," ",VLOOKUP(A72,PeakPowerCurves,(IF(BMO2=2,3,IF(BMO2=1,2,4))),FALSE()))</f>
        <v>31.1515601873398</v>
      </c>
      <c r="O72" s="401" t="n">
        <f aca="false">IF(A72="N/A"," ",VLOOKUP(A72,SatSunPeakPwr,(IF(BMO2=2,3,IF(BMO2=1,2,4))),FALSE()))</f>
        <v>27.2900009155273</v>
      </c>
      <c r="P72" s="401" t="n">
        <f aca="false">IF(A72="N/A"," ",VLOOKUP(A72,SatSunPeakPwr,(IF(BMO2=2,7,IF(BMO2=1,6,8))),FALSE()))</f>
        <v>21.7900009155273</v>
      </c>
      <c r="Q72" s="402" t="n">
        <f aca="false">IF(A72="N/A"," ",(VLOOKUP(A72,OPPowerPrices,(IF(BMO2=2,7,IF(BMO2=1,6,8))),FALSE())))</f>
        <v>19.7900009155273</v>
      </c>
      <c r="R72" s="403" t="e">
        <f aca="false">IF(A72="N/A"," ",(VLOOKUP($A72,IRTable,2)))</f>
        <v>#N/A</v>
      </c>
      <c r="AF72" s="352" t="n">
        <v>38626</v>
      </c>
      <c r="AG72" s="311" t="n">
        <v>21</v>
      </c>
      <c r="AH72" s="311" t="n">
        <v>5</v>
      </c>
      <c r="AI72" s="311" t="n">
        <v>5</v>
      </c>
      <c r="AJ72" s="311" t="n">
        <v>0</v>
      </c>
      <c r="AK72" s="311" t="n">
        <v>31</v>
      </c>
      <c r="AU72" s="406"/>
    </row>
    <row r="73" customFormat="false" ht="12.75" hidden="false" customHeight="false" outlineLevel="0" collapsed="false">
      <c r="A73" s="352" t="n">
        <f aca="false">Option2!A40</f>
        <v>38353</v>
      </c>
      <c r="B73" s="396" t="n">
        <f aca="false">IF(A73="N/A"," ",IF(ISERROR(N73),B61*Pwresc,N73)*VLOOKUP(MONTH(A73),Curveadj,3))</f>
        <v>35.1757147652762</v>
      </c>
      <c r="C73" s="397" t="n">
        <f aca="false">IF(A73="N/A"," ",(IF(AND(Scaler2=1,MONTH(A73)&gt;=6,MONTH(A73)&lt;=8,OR($M$37="REGION 2",$M$37="REGION 2A",$M$37="REGION 2B",$M$37="REGION 3",$M$37="REGION 3A",$M$37="REGION 3B",$M$37="REGION 3C",$M$37="REGION 4",$M$37="REGION 4B",$M$37="REGION 4C",$M$37="REGION 5",$M$37="REGION 5A")),((0.059228/(B73/100))-(0.4980013/(SQRT(B73/100)))+2.137988),HLOOKUP(MONTH(A73),ScalarTable,28))))</f>
        <v>1.02007383501259</v>
      </c>
      <c r="D73" s="398" t="n">
        <f aca="false">IF(A73="N/A"," ",C73*B73)</f>
        <v>35.8818262599245</v>
      </c>
      <c r="E73" s="396" t="n">
        <f aca="false">IF(A73="N/A"," ",IF(ISERROR(O73),E61*Pwresc,O73)*VLOOKUP(MONTH(A73),Curveadj,3))</f>
        <v>35.75</v>
      </c>
      <c r="F73" s="398" t="n">
        <f aca="false">IF(A73="N/A"," ",E73*C73)</f>
        <v>36.4676396017003</v>
      </c>
      <c r="G73" s="396" t="n">
        <f aca="false">IF(A73="N/A"," ",IF(ISERROR(P73),G61*Pwresc,P73)*VLOOKUP(MONTH(A73),Curveadj,3))</f>
        <v>25.25</v>
      </c>
      <c r="H73" s="398" t="n">
        <f aca="false">IF(A73="N/A"," ",G73*C73)</f>
        <v>25.756864334068</v>
      </c>
      <c r="I73" s="398" t="n">
        <f aca="false">IF(A73="N/A"," ",IF(ISERROR(Q73),I61*Pwresc,Q73))</f>
        <v>22</v>
      </c>
      <c r="J73" s="398"/>
      <c r="K73" s="399"/>
      <c r="L73" s="399"/>
      <c r="M73" s="404"/>
      <c r="N73" s="401" t="n">
        <f aca="false">IF(A73="N/A"," ",VLOOKUP(A73,PeakPowerCurves,(IF(BMO2=2,3,IF(BMO2=1,2,4))),FALSE()))</f>
        <v>35.1757147652762</v>
      </c>
      <c r="O73" s="401" t="n">
        <f aca="false">IF(A73="N/A"," ",VLOOKUP(A73,SatSunPeakPwr,(IF(BMO2=2,3,IF(BMO2=1,2,4))),FALSE()))</f>
        <v>35.75</v>
      </c>
      <c r="P73" s="401" t="n">
        <f aca="false">IF(A73="N/A"," ",VLOOKUP(A73,SatSunPeakPwr,(IF(BMO2=2,7,IF(BMO2=1,6,8))),FALSE()))</f>
        <v>25.25</v>
      </c>
      <c r="Q73" s="402" t="n">
        <f aca="false">IF(A73="N/A"," ",(VLOOKUP(A73,OPPowerPrices,(IF(BMO2=2,7,IF(BMO2=1,6,8))),FALSE())))</f>
        <v>22</v>
      </c>
      <c r="R73" s="403" t="e">
        <f aca="false">IF(A73="N/A"," ",(VLOOKUP($A73,IRTable,2)))</f>
        <v>#N/A</v>
      </c>
      <c r="AF73" s="352" t="n">
        <v>38657</v>
      </c>
      <c r="AG73" s="311" t="n">
        <v>21</v>
      </c>
      <c r="AH73" s="311" t="n">
        <v>4</v>
      </c>
      <c r="AI73" s="311" t="n">
        <v>5</v>
      </c>
      <c r="AJ73" s="311" t="n">
        <v>1</v>
      </c>
      <c r="AK73" s="311" t="n">
        <v>30</v>
      </c>
      <c r="AU73" s="406"/>
    </row>
    <row r="74" customFormat="false" ht="12.75" hidden="false" customHeight="false" outlineLevel="0" collapsed="false">
      <c r="A74" s="352" t="n">
        <f aca="false">Option2!A41</f>
        <v>38384</v>
      </c>
      <c r="B74" s="396" t="n">
        <f aca="false">IF(A74="N/A"," ",IF(ISERROR(N74),B62*Pwresc,N74)*VLOOKUP(MONTH(A74),Curveadj,3))</f>
        <v>34.5757124764579</v>
      </c>
      <c r="C74" s="397" t="n">
        <f aca="false">IF(A74="N/A"," ",(IF(AND(Scaler2=1,MONTH(A74)&gt;=6,MONTH(A74)&lt;=8,OR($M$37="REGION 2",$M$37="REGION 2A",$M$37="REGION 2B",$M$37="REGION 3",$M$37="REGION 3A",$M$37="REGION 3B",$M$37="REGION 3C",$M$37="REGION 4",$M$37="REGION 4B",$M$37="REGION 4C",$M$37="REGION 5",$M$37="REGION 5A")),((0.059228/(B74/100))-(0.4980013/(SQRT(B74/100)))+2.137988),HLOOKUP(MONTH(A74),ScalarTable,28))))</f>
        <v>1.02007383501259</v>
      </c>
      <c r="D74" s="398" t="n">
        <f aca="false">IF(A74="N/A"," ",C74*B74)</f>
        <v>35.2697796241532</v>
      </c>
      <c r="E74" s="396" t="n">
        <f aca="false">IF(A74="N/A"," ",IF(ISERROR(O74),E62*Pwresc,O74)*VLOOKUP(MONTH(A74),Curveadj,3))</f>
        <v>31.2460021972656</v>
      </c>
      <c r="F74" s="398" t="n">
        <f aca="false">IF(A74="N/A"," ",E74*C74)</f>
        <v>31.8732292901767</v>
      </c>
      <c r="G74" s="396" t="n">
        <f aca="false">IF(A74="N/A"," ",IF(ISERROR(P74),G62*Pwresc,P74)*VLOOKUP(MONTH(A74),Curveadj,3))</f>
        <v>22.7465019226074</v>
      </c>
      <c r="H74" s="398" t="n">
        <f aca="false">IF(A74="N/A"," ",G74*C74)</f>
        <v>23.2031114493155</v>
      </c>
      <c r="I74" s="398" t="n">
        <f aca="false">IF(A74="N/A"," ",IF(ISERROR(Q74),I62*Pwresc,Q74))</f>
        <v>20.5</v>
      </c>
      <c r="J74" s="398"/>
      <c r="K74" s="399"/>
      <c r="L74" s="399"/>
      <c r="M74" s="404"/>
      <c r="N74" s="401" t="n">
        <f aca="false">IF(A74="N/A"," ",VLOOKUP(A74,PeakPowerCurves,(IF(BMO2=2,3,IF(BMO2=1,2,4))),FALSE()))</f>
        <v>34.5757124764579</v>
      </c>
      <c r="O74" s="401" t="n">
        <f aca="false">IF(A74="N/A"," ",VLOOKUP(A74,SatSunPeakPwr,(IF(BMO2=2,3,IF(BMO2=1,2,4))),FALSE()))</f>
        <v>31.2460021972656</v>
      </c>
      <c r="P74" s="401" t="n">
        <f aca="false">IF(A74="N/A"," ",VLOOKUP(A74,SatSunPeakPwr,(IF(BMO2=2,7,IF(BMO2=1,6,8))),FALSE()))</f>
        <v>22.7465019226074</v>
      </c>
      <c r="Q74" s="402" t="n">
        <f aca="false">IF(A74="N/A"," ",(VLOOKUP(A74,OPPowerPrices,(IF(BMO2=2,7,IF(BMO2=1,6,8))),FALSE())))</f>
        <v>20.5</v>
      </c>
      <c r="R74" s="403" t="e">
        <f aca="false">IF(A74="N/A"," ",(VLOOKUP($A74,IRTable,2)))</f>
        <v>#N/A</v>
      </c>
      <c r="AF74" s="352" t="n">
        <v>38687</v>
      </c>
      <c r="AG74" s="311" t="n">
        <v>21</v>
      </c>
      <c r="AH74" s="311" t="n">
        <v>5</v>
      </c>
      <c r="AI74" s="311" t="n">
        <v>5</v>
      </c>
      <c r="AJ74" s="311" t="n">
        <v>1</v>
      </c>
      <c r="AK74" s="311" t="n">
        <v>31</v>
      </c>
      <c r="AU74" s="406"/>
    </row>
    <row r="75" customFormat="false" ht="12.75" hidden="false" customHeight="false" outlineLevel="0" collapsed="false">
      <c r="A75" s="352" t="n">
        <f aca="false">Option2!A42</f>
        <v>38412</v>
      </c>
      <c r="B75" s="396" t="n">
        <f aca="false">IF(A75="N/A"," ",IF(ISERROR(N75),B63*Pwresc,N75)*VLOOKUP(MONTH(A75),Curveadj,3))</f>
        <v>33.2876773213231</v>
      </c>
      <c r="C75" s="397" t="n">
        <f aca="false">IF(A75="N/A"," ",(IF(AND(Scaler2=1,MONTH(A75)&gt;=6,MONTH(A75)&lt;=8,OR($M$37="REGION 2",$M$37="REGION 2A",$M$37="REGION 2B",$M$37="REGION 3",$M$37="REGION 3A",$M$37="REGION 3B",$M$37="REGION 3C",$M$37="REGION 4",$M$37="REGION 4B",$M$37="REGION 4C",$M$37="REGION 5",$M$37="REGION 5A")),((0.059228/(B75/100))-(0.4980013/(SQRT(B75/100)))+2.137988),HLOOKUP(MONTH(A75),ScalarTable,28))))</f>
        <v>1.0173448699422</v>
      </c>
      <c r="D75" s="398" t="n">
        <f aca="false">IF(A75="N/A"," ",C75*B75)</f>
        <v>33.8650477551393</v>
      </c>
      <c r="E75" s="396" t="n">
        <f aca="false">IF(A75="N/A"," ",IF(ISERROR(O75),E63*Pwresc,O75)*VLOOKUP(MONTH(A75),Curveadj,3))</f>
        <v>25.5</v>
      </c>
      <c r="F75" s="398" t="n">
        <f aca="false">IF(A75="N/A"," ",E75*C75)</f>
        <v>25.942294183526</v>
      </c>
      <c r="G75" s="396" t="n">
        <f aca="false">IF(A75="N/A"," ",IF(ISERROR(P75),G63*Pwresc,P75)*VLOOKUP(MONTH(A75),Curveadj,3))</f>
        <v>20</v>
      </c>
      <c r="H75" s="398" t="n">
        <f aca="false">IF(A75="N/A"," ",G75*C75)</f>
        <v>20.3468973988439</v>
      </c>
      <c r="I75" s="398" t="n">
        <f aca="false">IF(A75="N/A"," ",IF(ISERROR(Q75),I63*Pwresc,Q75))</f>
        <v>21.5</v>
      </c>
      <c r="J75" s="398"/>
      <c r="K75" s="399"/>
      <c r="L75" s="399"/>
      <c r="M75" s="404"/>
      <c r="N75" s="401" t="n">
        <f aca="false">IF(A75="N/A"," ",VLOOKUP(A75,PeakPowerCurves,(IF(BMO2=2,3,IF(BMO2=1,2,4))),FALSE()))</f>
        <v>33.2876773213231</v>
      </c>
      <c r="O75" s="401" t="n">
        <f aca="false">IF(A75="N/A"," ",VLOOKUP(A75,SatSunPeakPwr,(IF(BMO2=2,3,IF(BMO2=1,2,4))),FALSE()))</f>
        <v>25.5</v>
      </c>
      <c r="P75" s="401" t="n">
        <f aca="false">IF(A75="N/A"," ",VLOOKUP(A75,SatSunPeakPwr,(IF(BMO2=2,7,IF(BMO2=1,6,8))),FALSE()))</f>
        <v>20</v>
      </c>
      <c r="Q75" s="402" t="n">
        <f aca="false">IF(A75="N/A"," ",(VLOOKUP(A75,OPPowerPrices,(IF(BMO2=2,7,IF(BMO2=1,6,8))),FALSE())))</f>
        <v>21.5</v>
      </c>
      <c r="R75" s="403" t="e">
        <f aca="false">IF(A75="N/A"," ",(VLOOKUP($A75,IRTable,2)))</f>
        <v>#N/A</v>
      </c>
      <c r="AF75" s="352" t="n">
        <v>38718</v>
      </c>
      <c r="AG75" s="311" t="n">
        <v>21</v>
      </c>
      <c r="AH75" s="311" t="n">
        <v>4</v>
      </c>
      <c r="AI75" s="311" t="n">
        <v>6</v>
      </c>
      <c r="AJ75" s="311" t="n">
        <v>1</v>
      </c>
      <c r="AK75" s="311" t="n">
        <v>31</v>
      </c>
      <c r="AU75" s="406"/>
    </row>
    <row r="76" customFormat="false" ht="12.75" hidden="false" customHeight="false" outlineLevel="0" collapsed="false">
      <c r="A76" s="352" t="n">
        <f aca="false">Option2!A43</f>
        <v>38443</v>
      </c>
      <c r="B76" s="396" t="n">
        <f aca="false">IF(A76="N/A"," ",IF(ISERROR(N76),B64*Pwresc,N76)*VLOOKUP(MONTH(A76),Curveadj,3))</f>
        <v>33.4876780842626</v>
      </c>
      <c r="C76" s="397" t="n">
        <f aca="false">IF(A76="N/A"," ",(IF(AND(Scaler2=1,MONTH(A76)&gt;=6,MONTH(A76)&lt;=8,OR($M$37="REGION 2",$M$37="REGION 2A",$M$37="REGION 2B",$M$37="REGION 3",$M$37="REGION 3A",$M$37="REGION 3B",$M$37="REGION 3C",$M$37="REGION 4",$M$37="REGION 4B",$M$37="REGION 4C",$M$37="REGION 5",$M$37="REGION 5A")),((0.059228/(B76/100))-(0.4980013/(SQRT(B76/100)))+2.137988),HLOOKUP(MONTH(A76),ScalarTable,28))))</f>
        <v>1.005</v>
      </c>
      <c r="D76" s="398" t="n">
        <f aca="false">IF(A76="N/A"," ",C76*B76)</f>
        <v>33.6551164746839</v>
      </c>
      <c r="E76" s="396" t="n">
        <f aca="false">IF(A76="N/A"," ",IF(ISERROR(O76),E64*Pwresc,O76)*VLOOKUP(MONTH(A76),Curveadj,3))</f>
        <v>22</v>
      </c>
      <c r="F76" s="398" t="n">
        <f aca="false">IF(A76="N/A"," ",E76*C76)</f>
        <v>22.11</v>
      </c>
      <c r="G76" s="396" t="n">
        <f aca="false">IF(A76="N/A"," ",IF(ISERROR(P76),G64*Pwresc,P76)*VLOOKUP(MONTH(A76),Curveadj,3))</f>
        <v>16.4950008392334</v>
      </c>
      <c r="H76" s="398" t="n">
        <f aca="false">IF(A76="N/A"," ",G76*C76)</f>
        <v>16.5774758434296</v>
      </c>
      <c r="I76" s="398" t="n">
        <f aca="false">IF(A76="N/A"," ",IF(ISERROR(Q76),I64*Pwresc,Q76))</f>
        <v>18.5</v>
      </c>
      <c r="J76" s="398"/>
      <c r="K76" s="399"/>
      <c r="L76" s="399"/>
      <c r="M76" s="404"/>
      <c r="N76" s="401" t="n">
        <f aca="false">IF(A76="N/A"," ",VLOOKUP(A76,PeakPowerCurves,(IF(BMO2=2,3,IF(BMO2=1,2,4))),FALSE()))</f>
        <v>33.4876780842626</v>
      </c>
      <c r="O76" s="401" t="n">
        <f aca="false">IF(A76="N/A"," ",VLOOKUP(A76,SatSunPeakPwr,(IF(BMO2=2,3,IF(BMO2=1,2,4))),FALSE()))</f>
        <v>22</v>
      </c>
      <c r="P76" s="401" t="n">
        <f aca="false">IF(A76="N/A"," ",VLOOKUP(A76,SatSunPeakPwr,(IF(BMO2=2,7,IF(BMO2=1,6,8))),FALSE()))</f>
        <v>16.4950008392334</v>
      </c>
      <c r="Q76" s="402" t="n">
        <f aca="false">IF(A76="N/A"," ",(VLOOKUP(A76,OPPowerPrices,(IF(BMO2=2,7,IF(BMO2=1,6,8))),FALSE())))</f>
        <v>18.5</v>
      </c>
      <c r="R76" s="403" t="e">
        <f aca="false">IF(A76="N/A"," ",(VLOOKUP($A76,IRTable,2)))</f>
        <v>#N/A</v>
      </c>
      <c r="AF76" s="352" t="n">
        <v>38749</v>
      </c>
      <c r="AG76" s="311" t="n">
        <v>20</v>
      </c>
      <c r="AH76" s="311" t="n">
        <v>4</v>
      </c>
      <c r="AI76" s="311" t="n">
        <v>4</v>
      </c>
      <c r="AJ76" s="311" t="n">
        <v>0</v>
      </c>
      <c r="AK76" s="311" t="n">
        <v>28</v>
      </c>
      <c r="AU76" s="406"/>
    </row>
    <row r="77" customFormat="false" ht="12.75" hidden="false" customHeight="false" outlineLevel="0" collapsed="false">
      <c r="A77" s="352" t="n">
        <f aca="false">Option2!A44</f>
        <v>38473</v>
      </c>
      <c r="B77" s="396" t="n">
        <f aca="false">IF(A77="N/A"," ",IF(ISERROR(N77),B65*Pwresc,N77)*VLOOKUP(MONTH(A77),Curveadj,3))</f>
        <v>36.2650032043457</v>
      </c>
      <c r="C77" s="397" t="n">
        <f aca="false">IF(A77="N/A"," ",(IF(AND(Scaler2=1,MONTH(A77)&gt;=6,MONTH(A77)&lt;=8,OR($M$37="REGION 2",$M$37="REGION 2A",$M$37="REGION 2B",$M$37="REGION 3",$M$37="REGION 3A",$M$37="REGION 3B",$M$37="REGION 3C",$M$37="REGION 4",$M$37="REGION 4B",$M$37="REGION 4C",$M$37="REGION 5",$M$37="REGION 5A")),((0.059228/(B77/100))-(0.4980013/(SQRT(B77/100)))+2.137988),HLOOKUP(MONTH(A77),ScalarTable,28))))</f>
        <v>1.075625</v>
      </c>
      <c r="D77" s="398" t="n">
        <f aca="false">IF(A77="N/A"," ",C77*B77)</f>
        <v>39.0075440716743</v>
      </c>
      <c r="E77" s="396" t="n">
        <f aca="false">IF(A77="N/A"," ",IF(ISERROR(O77),E65*Pwresc,O77)*VLOOKUP(MONTH(A77),Curveadj,3))</f>
        <v>22.2900009155273</v>
      </c>
      <c r="F77" s="398" t="n">
        <f aca="false">IF(A77="N/A"," ",E77*C77)</f>
        <v>23.9756822347641</v>
      </c>
      <c r="G77" s="396" t="n">
        <f aca="false">IF(A77="N/A"," ",IF(ISERROR(P77),G65*Pwresc,P77)*VLOOKUP(MONTH(A77),Curveadj,3))</f>
        <v>15.7950000762939</v>
      </c>
      <c r="H77" s="398" t="n">
        <f aca="false">IF(A77="N/A"," ",G77*C77)</f>
        <v>16.9894969570637</v>
      </c>
      <c r="I77" s="398" t="n">
        <f aca="false">IF(A77="N/A"," ",IF(ISERROR(Q77),I65*Pwresc,Q77))</f>
        <v>19.0400009155273</v>
      </c>
      <c r="J77" s="398"/>
      <c r="K77" s="399"/>
      <c r="L77" s="399"/>
      <c r="M77" s="404"/>
      <c r="N77" s="401" t="n">
        <f aca="false">IF(A77="N/A"," ",VLOOKUP(A77,PeakPowerCurves,(IF(BMO2=2,3,IF(BMO2=1,2,4))),FALSE()))</f>
        <v>36.2650032043457</v>
      </c>
      <c r="O77" s="401" t="n">
        <f aca="false">IF(A77="N/A"," ",VLOOKUP(A77,SatSunPeakPwr,(IF(BMO2=2,3,IF(BMO2=1,2,4))),FALSE()))</f>
        <v>22.2900009155273</v>
      </c>
      <c r="P77" s="401" t="n">
        <f aca="false">IF(A77="N/A"," ",VLOOKUP(A77,SatSunPeakPwr,(IF(BMO2=2,7,IF(BMO2=1,6,8))),FALSE()))</f>
        <v>15.7950000762939</v>
      </c>
      <c r="Q77" s="402" t="n">
        <f aca="false">IF(A77="N/A"," ",(VLOOKUP(A77,OPPowerPrices,(IF(BMO2=2,7,IF(BMO2=1,6,8))),FALSE())))</f>
        <v>19.0400009155273</v>
      </c>
      <c r="R77" s="403" t="e">
        <f aca="false">IF(A77="N/A"," ",(VLOOKUP($A77,IRTable,2)))</f>
        <v>#N/A</v>
      </c>
      <c r="AF77" s="352" t="n">
        <v>38777</v>
      </c>
      <c r="AG77" s="311" t="n">
        <v>23</v>
      </c>
      <c r="AH77" s="311" t="n">
        <v>4</v>
      </c>
      <c r="AI77" s="311" t="n">
        <v>4</v>
      </c>
      <c r="AJ77" s="311" t="n">
        <v>0</v>
      </c>
      <c r="AK77" s="311" t="n">
        <v>31</v>
      </c>
      <c r="AU77" s="406"/>
    </row>
    <row r="78" customFormat="false" ht="12.75" hidden="false" customHeight="false" outlineLevel="0" collapsed="false">
      <c r="A78" s="352" t="n">
        <f aca="false">Option2!A45</f>
        <v>38504</v>
      </c>
      <c r="B78" s="396" t="n">
        <f aca="false">IF(A78="N/A"," ",IF(ISERROR(N78),B66*Pwresc,N78)*VLOOKUP(MONTH(A78),Curveadj,3))</f>
        <v>42.3750038146973</v>
      </c>
      <c r="C78" s="397" t="n">
        <f aca="false">IF(A78="N/A"," ",(IF(AND(Scaler2=1,MONTH(A78)&gt;=6,MONTH(A78)&lt;=8,OR($M$37="REGION 2",$M$37="REGION 2A",$M$37="REGION 2B",$M$37="REGION 3",$M$37="REGION 3A",$M$37="REGION 3B",$M$37="REGION 3C",$M$37="REGION 4",$M$37="REGION 4B",$M$37="REGION 4C",$M$37="REGION 5",$M$37="REGION 5A")),((0.059228/(B78/100))-(0.4980013/(SQRT(B78/100)))+2.137988),HLOOKUP(MONTH(A78),ScalarTable,28))))</f>
        <v>1.53</v>
      </c>
      <c r="D78" s="398" t="n">
        <f aca="false">IF(A78="N/A"," ",C78*B78)</f>
        <v>64.8337558364868</v>
      </c>
      <c r="E78" s="396" t="n">
        <f aca="false">IF(A78="N/A"," ",IF(ISERROR(O78),E66*Pwresc,O78)*VLOOKUP(MONTH(A78),Curveadj,3))</f>
        <v>29.2900009155273</v>
      </c>
      <c r="F78" s="398" t="n">
        <f aca="false">IF(A78="N/A"," ",E78*C78)</f>
        <v>44.8137014007568</v>
      </c>
      <c r="G78" s="396" t="n">
        <f aca="false">IF(A78="N/A"," ",IF(ISERROR(P78),G66*Pwresc,P78)*VLOOKUP(MONTH(A78),Curveadj,3))</f>
        <v>19.7900009155273</v>
      </c>
      <c r="H78" s="398" t="n">
        <f aca="false">IF(A78="N/A"," ",G78*C78)</f>
        <v>30.2787014007568</v>
      </c>
      <c r="I78" s="398" t="n">
        <f aca="false">IF(A78="N/A"," ",IF(ISERROR(Q78),I66*Pwresc,Q78))</f>
        <v>22.0400009155273</v>
      </c>
      <c r="J78" s="398"/>
      <c r="K78" s="399"/>
      <c r="L78" s="399"/>
      <c r="M78" s="404"/>
      <c r="N78" s="401" t="n">
        <f aca="false">IF(A78="N/A"," ",VLOOKUP(A78,PeakPowerCurves,(IF(BMO2=2,3,IF(BMO2=1,2,4))),FALSE()))</f>
        <v>42.3750038146973</v>
      </c>
      <c r="O78" s="401" t="n">
        <f aca="false">IF(A78="N/A"," ",VLOOKUP(A78,SatSunPeakPwr,(IF(BMO2=2,3,IF(BMO2=1,2,4))),FALSE()))</f>
        <v>29.2900009155273</v>
      </c>
      <c r="P78" s="401" t="n">
        <f aca="false">IF(A78="N/A"," ",VLOOKUP(A78,SatSunPeakPwr,(IF(BMO2=2,7,IF(BMO2=1,6,8))),FALSE()))</f>
        <v>19.7900009155273</v>
      </c>
      <c r="Q78" s="402" t="n">
        <f aca="false">IF(A78="N/A"," ",(VLOOKUP(A78,OPPowerPrices,(IF(BMO2=2,7,IF(BMO2=1,6,8))),FALSE())))</f>
        <v>22.0400009155273</v>
      </c>
      <c r="R78" s="403" t="e">
        <f aca="false">IF(A78="N/A"," ",(VLOOKUP($A78,IRTable,2)))</f>
        <v>#N/A</v>
      </c>
      <c r="AF78" s="352" t="n">
        <v>38808</v>
      </c>
      <c r="AG78" s="311" t="n">
        <v>20</v>
      </c>
      <c r="AH78" s="311" t="n">
        <v>5</v>
      </c>
      <c r="AI78" s="311" t="n">
        <v>5</v>
      </c>
      <c r="AJ78" s="311" t="n">
        <v>0</v>
      </c>
      <c r="AK78" s="311" t="n">
        <v>30</v>
      </c>
      <c r="AU78" s="406"/>
    </row>
    <row r="79" customFormat="false" ht="12.75" hidden="false" customHeight="false" outlineLevel="0" collapsed="false">
      <c r="A79" s="352" t="n">
        <f aca="false">Option2!A46</f>
        <v>38534</v>
      </c>
      <c r="B79" s="396" t="n">
        <f aca="false">IF(A79="N/A"," ",IF(ISERROR(N79),B67*Pwresc,N79)*VLOOKUP(MONTH(A79),Curveadj,3))</f>
        <v>50.5</v>
      </c>
      <c r="C79" s="397" t="n">
        <f aca="false">IF(A79="N/A"," ",(IF(AND(Scaler2=1,MONTH(A79)&gt;=6,MONTH(A79)&lt;=8,OR($M$37="REGION 2",$M$37="REGION 2A",$M$37="REGION 2B",$M$37="REGION 3",$M$37="REGION 3A",$M$37="REGION 3B",$M$37="REGION 3C",$M$37="REGION 4",$M$37="REGION 4B",$M$37="REGION 4C",$M$37="REGION 5",$M$37="REGION 5A")),((0.059228/(B79/100))-(0.4980013/(SQRT(B79/100)))+2.137988),HLOOKUP(MONTH(A79),ScalarTable,28))))</f>
        <v>1.63</v>
      </c>
      <c r="D79" s="398" t="n">
        <f aca="false">IF(A79="N/A"," ",C79*B79)</f>
        <v>82.315</v>
      </c>
      <c r="E79" s="396" t="n">
        <f aca="false">IF(A79="N/A"," ",IF(ISERROR(O79),E67*Pwresc,O79)*VLOOKUP(MONTH(A79),Curveadj,3))</f>
        <v>35.2900009155273</v>
      </c>
      <c r="F79" s="398" t="n">
        <f aca="false">IF(A79="N/A"," ",E79*C79)</f>
        <v>57.5227014923096</v>
      </c>
      <c r="G79" s="396" t="n">
        <f aca="false">IF(A79="N/A"," ",IF(ISERROR(P79),G67*Pwresc,P79)*VLOOKUP(MONTH(A79),Curveadj,3))</f>
        <v>25.7900009155273</v>
      </c>
      <c r="H79" s="398" t="n">
        <f aca="false">IF(A79="N/A"," ",G79*C79)</f>
        <v>42.0377014923096</v>
      </c>
      <c r="I79" s="398" t="n">
        <f aca="false">IF(A79="N/A"," ",IF(ISERROR(Q79),I67*Pwresc,Q79))</f>
        <v>22.5400009155273</v>
      </c>
      <c r="J79" s="398"/>
      <c r="K79" s="399"/>
      <c r="L79" s="399"/>
      <c r="M79" s="404"/>
      <c r="N79" s="401" t="n">
        <f aca="false">IF(A79="N/A"," ",VLOOKUP(A79,PeakPowerCurves,(IF(BMO2=2,3,IF(BMO2=1,2,4))),FALSE()))</f>
        <v>50.5</v>
      </c>
      <c r="O79" s="401" t="n">
        <f aca="false">IF(A79="N/A"," ",VLOOKUP(A79,SatSunPeakPwr,(IF(BMO2=2,3,IF(BMO2=1,2,4))),FALSE()))</f>
        <v>35.2900009155273</v>
      </c>
      <c r="P79" s="401" t="n">
        <f aca="false">IF(A79="N/A"," ",VLOOKUP(A79,SatSunPeakPwr,(IF(BMO2=2,7,IF(BMO2=1,6,8))),FALSE()))</f>
        <v>25.7900009155273</v>
      </c>
      <c r="Q79" s="402" t="n">
        <f aca="false">IF(A79="N/A"," ",(VLOOKUP(A79,OPPowerPrices,(IF(BMO2=2,7,IF(BMO2=1,6,8))),FALSE())))</f>
        <v>22.5400009155273</v>
      </c>
      <c r="R79" s="403" t="e">
        <f aca="false">IF(A79="N/A"," ",(VLOOKUP($A79,IRTable,2)))</f>
        <v>#N/A</v>
      </c>
      <c r="AF79" s="352" t="n">
        <v>38838</v>
      </c>
      <c r="AG79" s="311" t="n">
        <v>22</v>
      </c>
      <c r="AH79" s="311" t="n">
        <v>4</v>
      </c>
      <c r="AI79" s="311" t="n">
        <v>5</v>
      </c>
      <c r="AJ79" s="311" t="n">
        <v>1</v>
      </c>
      <c r="AK79" s="311" t="n">
        <v>31</v>
      </c>
      <c r="AU79" s="406"/>
    </row>
    <row r="80" customFormat="false" ht="12.75" hidden="false" customHeight="false" outlineLevel="0" collapsed="false">
      <c r="A80" s="352" t="n">
        <f aca="false">Option2!A47</f>
        <v>38565</v>
      </c>
      <c r="B80" s="396" t="n">
        <f aca="false">IF(A80="N/A"," ",IF(ISERROR(N80),B68*Pwresc,N80)*VLOOKUP(MONTH(A80),Curveadj,3))</f>
        <v>50.5</v>
      </c>
      <c r="C80" s="397" t="n">
        <f aca="false">IF(A80="N/A"," ",(IF(AND(Scaler2=1,MONTH(A80)&gt;=6,MONTH(A80)&lt;=8,OR($M$37="REGION 2",$M$37="REGION 2A",$M$37="REGION 2B",$M$37="REGION 3",$M$37="REGION 3A",$M$37="REGION 3B",$M$37="REGION 3C",$M$37="REGION 4",$M$37="REGION 4B",$M$37="REGION 4C",$M$37="REGION 5",$M$37="REGION 5A")),((0.059228/(B80/100))-(0.4980013/(SQRT(B80/100)))+2.137988),HLOOKUP(MONTH(A80),ScalarTable,28))))</f>
        <v>1.63</v>
      </c>
      <c r="D80" s="398" t="n">
        <f aca="false">IF(A80="N/A"," ",C80*B80)</f>
        <v>82.315</v>
      </c>
      <c r="E80" s="396" t="n">
        <f aca="false">IF(A80="N/A"," ",IF(ISERROR(O80),E68*Pwresc,O80)*VLOOKUP(MONTH(A80),Curveadj,3))</f>
        <v>33.2900047302246</v>
      </c>
      <c r="F80" s="398" t="n">
        <f aca="false">IF(A80="N/A"," ",E80*C80)</f>
        <v>54.2627077102661</v>
      </c>
      <c r="G80" s="396" t="n">
        <f aca="false">IF(A80="N/A"," ",IF(ISERROR(P80),G68*Pwresc,P80)*VLOOKUP(MONTH(A80),Curveadj,3))</f>
        <v>25.7900009155273</v>
      </c>
      <c r="H80" s="398" t="n">
        <f aca="false">IF(A80="N/A"," ",G80*C80)</f>
        <v>42.0377014923096</v>
      </c>
      <c r="I80" s="398" t="n">
        <f aca="false">IF(A80="N/A"," ",IF(ISERROR(Q80),I68*Pwresc,Q80))</f>
        <v>23.5400009155273</v>
      </c>
      <c r="J80" s="398"/>
      <c r="K80" s="399"/>
      <c r="L80" s="399"/>
      <c r="M80" s="404"/>
      <c r="N80" s="401" t="n">
        <f aca="false">IF(A80="N/A"," ",VLOOKUP(A80,PeakPowerCurves,(IF(BMO2=2,3,IF(BMO2=1,2,4))),FALSE()))</f>
        <v>50.5</v>
      </c>
      <c r="O80" s="401" t="n">
        <f aca="false">IF(A80="N/A"," ",VLOOKUP(A80,SatSunPeakPwr,(IF(BMO2=2,3,IF(BMO2=1,2,4))),FALSE()))</f>
        <v>33.2900047302246</v>
      </c>
      <c r="P80" s="401" t="n">
        <f aca="false">IF(A80="N/A"," ",VLOOKUP(A80,SatSunPeakPwr,(IF(BMO2=2,7,IF(BMO2=1,6,8))),FALSE()))</f>
        <v>25.7900009155273</v>
      </c>
      <c r="Q80" s="402" t="n">
        <f aca="false">IF(A80="N/A"," ",(VLOOKUP(A80,OPPowerPrices,(IF(BMO2=2,7,IF(BMO2=1,6,8))),FALSE())))</f>
        <v>23.5400009155273</v>
      </c>
      <c r="R80" s="403" t="e">
        <f aca="false">IF(A80="N/A"," ",(VLOOKUP($A80,IRTable,2)))</f>
        <v>#N/A</v>
      </c>
      <c r="AF80" s="352" t="n">
        <v>38869</v>
      </c>
      <c r="AG80" s="311" t="n">
        <v>22</v>
      </c>
      <c r="AH80" s="311" t="n">
        <v>4</v>
      </c>
      <c r="AI80" s="311" t="n">
        <v>4</v>
      </c>
      <c r="AJ80" s="311" t="n">
        <v>0</v>
      </c>
      <c r="AK80" s="311" t="n">
        <v>30</v>
      </c>
      <c r="AU80" s="406"/>
    </row>
    <row r="81" customFormat="false" ht="12.75" hidden="false" customHeight="false" outlineLevel="0" collapsed="false">
      <c r="A81" s="352" t="n">
        <f aca="false">Option2!A48</f>
        <v>38596</v>
      </c>
      <c r="B81" s="396" t="n">
        <f aca="false">IF(A81="N/A"," ",IF(ISERROR(N81),B69*Pwresc,N81)*VLOOKUP(MONTH(A81),Curveadj,3))</f>
        <v>31.1399993896484</v>
      </c>
      <c r="C81" s="397" t="n">
        <f aca="false">IF(A81="N/A"," ",(IF(AND(Scaler2=1,MONTH(A81)&gt;=6,MONTH(A81)&lt;=8,OR($M$37="REGION 2",$M$37="REGION 2A",$M$37="REGION 2B",$M$37="REGION 3",$M$37="REGION 3A",$M$37="REGION 3B",$M$37="REGION 3C",$M$37="REGION 4",$M$37="REGION 4B",$M$37="REGION 4C",$M$37="REGION 5",$M$37="REGION 5A")),((0.059228/(B81/100))-(0.4980013/(SQRT(B81/100)))+2.137988),HLOOKUP(MONTH(A81),ScalarTable,28))))</f>
        <v>1.35125</v>
      </c>
      <c r="D81" s="398" t="n">
        <f aca="false">IF(A81="N/A"," ",C81*B81)</f>
        <v>42.0779241752625</v>
      </c>
      <c r="E81" s="396" t="n">
        <f aca="false">IF(A81="N/A"," ",IF(ISERROR(O81),E69*Pwresc,O81)*VLOOKUP(MONTH(A81),Curveadj,3))</f>
        <v>25.2900009155273</v>
      </c>
      <c r="F81" s="398" t="n">
        <f aca="false">IF(A81="N/A"," ",E81*C81)</f>
        <v>34.1731137371063</v>
      </c>
      <c r="G81" s="396" t="n">
        <f aca="false">IF(A81="N/A"," ",IF(ISERROR(P81),G69*Pwresc,P81)*VLOOKUP(MONTH(A81),Curveadj,3))</f>
        <v>19.7900009155273</v>
      </c>
      <c r="H81" s="398" t="n">
        <f aca="false">IF(A81="N/A"," ",G81*C81)</f>
        <v>26.7412387371063</v>
      </c>
      <c r="I81" s="398" t="n">
        <f aca="false">IF(A81="N/A"," ",IF(ISERROR(Q81),I69*Pwresc,Q81))</f>
        <v>17.5400009155273</v>
      </c>
      <c r="J81" s="398"/>
      <c r="K81" s="399"/>
      <c r="L81" s="399"/>
      <c r="M81" s="404"/>
      <c r="N81" s="401" t="n">
        <f aca="false">IF(A81="N/A"," ",VLOOKUP(A81,PeakPowerCurves,(IF(BMO2=2,3,IF(BMO2=1,2,4))),FALSE()))</f>
        <v>31.1399993896484</v>
      </c>
      <c r="O81" s="401" t="n">
        <f aca="false">IF(A81="N/A"," ",VLOOKUP(A81,SatSunPeakPwr,(IF(BMO2=2,3,IF(BMO2=1,2,4))),FALSE()))</f>
        <v>25.2900009155273</v>
      </c>
      <c r="P81" s="401" t="n">
        <f aca="false">IF(A81="N/A"," ",VLOOKUP(A81,SatSunPeakPwr,(IF(BMO2=2,7,IF(BMO2=1,6,8))),FALSE()))</f>
        <v>19.7900009155273</v>
      </c>
      <c r="Q81" s="402" t="n">
        <f aca="false">IF(A81="N/A"," ",(VLOOKUP(A81,OPPowerPrices,(IF(BMO2=2,7,IF(BMO2=1,6,8))),FALSE())))</f>
        <v>17.5400009155273</v>
      </c>
      <c r="R81" s="403" t="e">
        <f aca="false">IF(A81="N/A"," ",(VLOOKUP($A81,IRTable,2)))</f>
        <v>#N/A</v>
      </c>
      <c r="AF81" s="352" t="n">
        <v>38899</v>
      </c>
      <c r="AG81" s="311" t="n">
        <v>20</v>
      </c>
      <c r="AH81" s="311" t="n">
        <v>5</v>
      </c>
      <c r="AI81" s="311" t="n">
        <v>6</v>
      </c>
      <c r="AJ81" s="311" t="n">
        <v>1</v>
      </c>
      <c r="AK81" s="311" t="n">
        <v>31</v>
      </c>
      <c r="AU81" s="406"/>
    </row>
    <row r="82" customFormat="false" ht="12.75" hidden="false" customHeight="false" outlineLevel="0" collapsed="false">
      <c r="A82" s="352" t="n">
        <f aca="false">Option2!A49</f>
        <v>38626</v>
      </c>
      <c r="B82" s="396" t="n">
        <f aca="false">IF(A82="N/A"," ",IF(ISERROR(N82),B70*Pwresc,N82)*VLOOKUP(MONTH(A82),Curveadj,3))</f>
        <v>32.0415614843369</v>
      </c>
      <c r="C82" s="397" t="n">
        <f aca="false">IF(A82="N/A"," ",(IF(AND(Scaler2=1,MONTH(A82)&gt;=6,MONTH(A82)&lt;=8,OR($M$37="REGION 2",$M$37="REGION 2A",$M$37="REGION 2B",$M$37="REGION 3",$M$37="REGION 3A",$M$37="REGION 3B",$M$37="REGION 3C",$M$37="REGION 4",$M$37="REGION 4B",$M$37="REGION 4C",$M$37="REGION 5",$M$37="REGION 5A")),((0.059228/(B82/100))-(0.4980013/(SQRT(B82/100)))+2.137988),HLOOKUP(MONTH(A82),ScalarTable,28))))</f>
        <v>1.005</v>
      </c>
      <c r="D82" s="398" t="n">
        <f aca="false">IF(A82="N/A"," ",C82*B82)</f>
        <v>32.2017692917585</v>
      </c>
      <c r="E82" s="396" t="n">
        <f aca="false">IF(A82="N/A"," ",IF(ISERROR(O82),E70*Pwresc,O82)*VLOOKUP(MONTH(A82),Curveadj,3))</f>
        <v>20.2860012054443</v>
      </c>
      <c r="F82" s="398" t="n">
        <f aca="false">IF(A82="N/A"," ",E82*C82)</f>
        <v>20.3874312114716</v>
      </c>
      <c r="G82" s="396" t="n">
        <f aca="false">IF(A82="N/A"," ",IF(ISERROR(P82),G70*Pwresc,P82)*VLOOKUP(MONTH(A82),Curveadj,3))</f>
        <v>14.7865009307861</v>
      </c>
      <c r="H82" s="398" t="n">
        <f aca="false">IF(A82="N/A"," ",G82*C82)</f>
        <v>14.8604334354401</v>
      </c>
      <c r="I82" s="398" t="n">
        <f aca="false">IF(A82="N/A"," ",IF(ISERROR(Q82),I70*Pwresc,Q82))</f>
        <v>17.040002822876</v>
      </c>
      <c r="J82" s="398"/>
      <c r="K82" s="399"/>
      <c r="L82" s="399"/>
      <c r="M82" s="404"/>
      <c r="N82" s="401" t="n">
        <f aca="false">IF(A82="N/A"," ",VLOOKUP(A82,PeakPowerCurves,(IF(BMO2=2,3,IF(BMO2=1,2,4))),FALSE()))</f>
        <v>32.0415614843369</v>
      </c>
      <c r="O82" s="401" t="n">
        <f aca="false">IF(A82="N/A"," ",VLOOKUP(A82,SatSunPeakPwr,(IF(BMO2=2,3,IF(BMO2=1,2,4))),FALSE()))</f>
        <v>20.2860012054443</v>
      </c>
      <c r="P82" s="401" t="n">
        <f aca="false">IF(A82="N/A"," ",VLOOKUP(A82,SatSunPeakPwr,(IF(BMO2=2,7,IF(BMO2=1,6,8))),FALSE()))</f>
        <v>14.7865009307861</v>
      </c>
      <c r="Q82" s="402" t="n">
        <f aca="false">IF(A82="N/A"," ",(VLOOKUP(A82,OPPowerPrices,(IF(BMO2=2,7,IF(BMO2=1,6,8))),FALSE())))</f>
        <v>17.040002822876</v>
      </c>
      <c r="R82" s="403" t="e">
        <f aca="false">IF(A82="N/A"," ",(VLOOKUP($A82,IRTable,2)))</f>
        <v>#N/A</v>
      </c>
      <c r="AF82" s="352" t="n">
        <v>38930</v>
      </c>
      <c r="AG82" s="311" t="n">
        <v>23</v>
      </c>
      <c r="AH82" s="311" t="n">
        <v>4</v>
      </c>
      <c r="AI82" s="311" t="n">
        <v>4</v>
      </c>
      <c r="AJ82" s="311" t="n">
        <v>0</v>
      </c>
      <c r="AK82" s="311" t="n">
        <v>31</v>
      </c>
      <c r="AU82" s="406"/>
    </row>
    <row r="83" customFormat="false" ht="12.75" hidden="false" customHeight="false" outlineLevel="0" collapsed="false">
      <c r="A83" s="352" t="n">
        <f aca="false">Option2!A50</f>
        <v>38657</v>
      </c>
      <c r="B83" s="396" t="n">
        <f aca="false">IF(A83="N/A"," ",IF(ISERROR(N83),B71*Pwresc,N83)*VLOOKUP(MONTH(A83),Curveadj,3))</f>
        <v>32.1415637731552</v>
      </c>
      <c r="C83" s="397" t="n">
        <f aca="false">IF(A83="N/A"," ",(IF(AND(Scaler2=1,MONTH(A83)&gt;=6,MONTH(A83)&lt;=8,OR($M$37="REGION 2",$M$37="REGION 2A",$M$37="REGION 2B",$M$37="REGION 3",$M$37="REGION 3A",$M$37="REGION 3B",$M$37="REGION 3C",$M$37="REGION 4",$M$37="REGION 4B",$M$37="REGION 4C",$M$37="REGION 5",$M$37="REGION 5A")),((0.059228/(B83/100))-(0.4980013/(SQRT(B83/100)))+2.137988),HLOOKUP(MONTH(A83),ScalarTable,28))))</f>
        <v>1.0825</v>
      </c>
      <c r="D83" s="398" t="n">
        <f aca="false">IF(A83="N/A"," ",C83*B83)</f>
        <v>34.7932427844405</v>
      </c>
      <c r="E83" s="396" t="n">
        <f aca="false">IF(A83="N/A"," ",IF(ISERROR(O83),E71*Pwresc,O83)*VLOOKUP(MONTH(A83),Curveadj,3))</f>
        <v>22.2900009155273</v>
      </c>
      <c r="F83" s="398" t="n">
        <f aca="false">IF(A83="N/A"," ",E83*C83)</f>
        <v>24.1289259910584</v>
      </c>
      <c r="G83" s="396" t="n">
        <f aca="false">IF(A83="N/A"," ",IF(ISERROR(P83),G71*Pwresc,P83)*VLOOKUP(MONTH(A83),Curveadj,3))</f>
        <v>14.7900009155273</v>
      </c>
      <c r="H83" s="398" t="n">
        <f aca="false">IF(A83="N/A"," ",G83*C83)</f>
        <v>16.0101759910584</v>
      </c>
      <c r="I83" s="398" t="n">
        <f aca="false">IF(A83="N/A"," ",IF(ISERROR(Q83),I71*Pwresc,Q83))</f>
        <v>18.0400009155273</v>
      </c>
      <c r="J83" s="398"/>
      <c r="K83" s="399"/>
      <c r="L83" s="399"/>
      <c r="M83" s="404"/>
      <c r="N83" s="401" t="n">
        <f aca="false">IF(A83="N/A"," ",VLOOKUP(A83,PeakPowerCurves,(IF(BMO2=2,3,IF(BMO2=1,2,4))),FALSE()))</f>
        <v>32.1415637731552</v>
      </c>
      <c r="O83" s="401" t="n">
        <f aca="false">IF(A83="N/A"," ",VLOOKUP(A83,SatSunPeakPwr,(IF(BMO2=2,3,IF(BMO2=1,2,4))),FALSE()))</f>
        <v>22.2900009155273</v>
      </c>
      <c r="P83" s="401" t="n">
        <f aca="false">IF(A83="N/A"," ",VLOOKUP(A83,SatSunPeakPwr,(IF(BMO2=2,7,IF(BMO2=1,6,8))),FALSE()))</f>
        <v>14.7900009155273</v>
      </c>
      <c r="Q83" s="402" t="n">
        <f aca="false">IF(A83="N/A"," ",(VLOOKUP(A83,OPPowerPrices,(IF(BMO2=2,7,IF(BMO2=1,6,8))),FALSE())))</f>
        <v>18.0400009155273</v>
      </c>
      <c r="R83" s="403" t="e">
        <f aca="false">IF(A83="N/A"," ",(VLOOKUP($A83,IRTable,2)))</f>
        <v>#N/A</v>
      </c>
      <c r="AF83" s="352" t="n">
        <v>38961</v>
      </c>
      <c r="AG83" s="311" t="n">
        <v>20</v>
      </c>
      <c r="AH83" s="311" t="n">
        <v>5</v>
      </c>
      <c r="AI83" s="311" t="n">
        <v>5</v>
      </c>
      <c r="AJ83" s="311" t="n">
        <v>1</v>
      </c>
      <c r="AK83" s="311" t="n">
        <v>30</v>
      </c>
      <c r="AU83" s="406"/>
    </row>
    <row r="84" customFormat="false" ht="12.75" hidden="false" customHeight="false" outlineLevel="0" collapsed="false">
      <c r="A84" s="352" t="n">
        <f aca="false">Option2!A51</f>
        <v>38687</v>
      </c>
      <c r="B84" s="396" t="n">
        <f aca="false">IF(A84="N/A"," ",IF(ISERROR(N84),B72*Pwresc,N84)*VLOOKUP(MONTH(A84),Curveadj,3))</f>
        <v>32.2415622472763</v>
      </c>
      <c r="C84" s="397" t="n">
        <f aca="false">IF(A84="N/A"," ",(IF(AND(Scaler2=1,MONTH(A84)&gt;=6,MONTH(A84)&lt;=8,OR($M$37="REGION 2",$M$37="REGION 2A",$M$37="REGION 2B",$M$37="REGION 3",$M$37="REGION 3A",$M$37="REGION 3B",$M$37="REGION 3C",$M$37="REGION 4",$M$37="REGION 4B",$M$37="REGION 4C",$M$37="REGION 5",$M$37="REGION 5A")),((0.059228/(B84/100))-(0.4980013/(SQRT(B84/100)))+2.137988),HLOOKUP(MONTH(A84),ScalarTable,28))))</f>
        <v>1.02125</v>
      </c>
      <c r="D84" s="398" t="n">
        <f aca="false">IF(A84="N/A"," ",C84*B84)</f>
        <v>32.9266954450309</v>
      </c>
      <c r="E84" s="396" t="n">
        <f aca="false">IF(A84="N/A"," ",IF(ISERROR(O84),E72*Pwresc,O84)*VLOOKUP(MONTH(A84),Curveadj,3))</f>
        <v>27.2900009155273</v>
      </c>
      <c r="F84" s="398" t="n">
        <f aca="false">IF(A84="N/A"," ",E84*C84)</f>
        <v>27.8699134349823</v>
      </c>
      <c r="G84" s="396" t="n">
        <f aca="false">IF(A84="N/A"," ",IF(ISERROR(P84),G72*Pwresc,P84)*VLOOKUP(MONTH(A84),Curveadj,3))</f>
        <v>21.7900009155273</v>
      </c>
      <c r="H84" s="398" t="n">
        <f aca="false">IF(A84="N/A"," ",G84*C84)</f>
        <v>22.2530384349823</v>
      </c>
      <c r="I84" s="398" t="n">
        <f aca="false">IF(A84="N/A"," ",IF(ISERROR(Q84),I72*Pwresc,Q84))</f>
        <v>20.2900009155273</v>
      </c>
      <c r="J84" s="398"/>
      <c r="K84" s="399"/>
      <c r="L84" s="399"/>
      <c r="M84" s="404"/>
      <c r="N84" s="401" t="n">
        <f aca="false">IF(A84="N/A"," ",VLOOKUP(A84,PeakPowerCurves,(IF(BMO2=2,3,IF(BMO2=1,2,4))),FALSE()))</f>
        <v>32.2415622472763</v>
      </c>
      <c r="O84" s="401" t="n">
        <f aca="false">IF(A84="N/A"," ",VLOOKUP(A84,SatSunPeakPwr,(IF(BMO2=2,3,IF(BMO2=1,2,4))),FALSE()))</f>
        <v>27.2900009155273</v>
      </c>
      <c r="P84" s="401" t="n">
        <f aca="false">IF(A84="N/A"," ",VLOOKUP(A84,SatSunPeakPwr,(IF(BMO2=2,7,IF(BMO2=1,6,8))),FALSE()))</f>
        <v>21.7900009155273</v>
      </c>
      <c r="Q84" s="402" t="n">
        <f aca="false">IF(A84="N/A"," ",(VLOOKUP(A84,OPPowerPrices,(IF(BMO2=2,7,IF(BMO2=1,6,8))),FALSE())))</f>
        <v>20.2900009155273</v>
      </c>
      <c r="R84" s="403" t="e">
        <f aca="false">IF(A84="N/A"," ",(VLOOKUP($A84,IRTable,2)))</f>
        <v>#N/A</v>
      </c>
      <c r="AF84" s="352" t="n">
        <v>38991</v>
      </c>
      <c r="AG84" s="311" t="n">
        <v>22</v>
      </c>
      <c r="AH84" s="311" t="n">
        <v>4</v>
      </c>
      <c r="AI84" s="311" t="n">
        <v>5</v>
      </c>
      <c r="AJ84" s="311" t="n">
        <v>0</v>
      </c>
      <c r="AK84" s="311" t="n">
        <v>31</v>
      </c>
      <c r="AU84" s="406"/>
    </row>
    <row r="85" customFormat="false" ht="12.75" hidden="false" customHeight="false" outlineLevel="0" collapsed="false">
      <c r="A85" s="352" t="n">
        <f aca="false">Option2!A52</f>
        <v>38718</v>
      </c>
      <c r="B85" s="396" t="n">
        <f aca="false">IF(A85="N/A"," ",IF(ISERROR(N85),B73*Pwresc,N85)*VLOOKUP(MONTH(A85),Curveadj,3))</f>
        <v>35.1157172066825</v>
      </c>
      <c r="C85" s="397" t="n">
        <f aca="false">IF(A85="N/A"," ",(IF(AND(Scaler2=1,MONTH(A85)&gt;=6,MONTH(A85)&lt;=8,OR($M$37="REGION 2",$M$37="REGION 2A",$M$37="REGION 2B",$M$37="REGION 3",$M$37="REGION 3A",$M$37="REGION 3B",$M$37="REGION 3C",$M$37="REGION 4",$M$37="REGION 4B",$M$37="REGION 4C",$M$37="REGION 5",$M$37="REGION 5A")),((0.059228/(B85/100))-(0.4980013/(SQRT(B85/100)))+2.137988),HLOOKUP(MONTH(A85),ScalarTable,28))))</f>
        <v>1.02007383501259</v>
      </c>
      <c r="D85" s="398" t="n">
        <f aca="false">IF(A85="N/A"," ",C85*B85)</f>
        <v>35.8206243202383</v>
      </c>
      <c r="E85" s="396" t="n">
        <f aca="false">IF(A85="N/A"," ",IF(ISERROR(O85),E73*Pwresc,O85)*VLOOKUP(MONTH(A85),Curveadj,3))</f>
        <v>35.75</v>
      </c>
      <c r="F85" s="398" t="n">
        <f aca="false">IF(A85="N/A"," ",E85*C85)</f>
        <v>36.4676396017003</v>
      </c>
      <c r="G85" s="396" t="n">
        <f aca="false">IF(A85="N/A"," ",IF(ISERROR(P85),G73*Pwresc,P85)*VLOOKUP(MONTH(A85),Curveadj,3))</f>
        <v>25.25</v>
      </c>
      <c r="H85" s="398" t="n">
        <f aca="false">IF(A85="N/A"," ",G85*C85)</f>
        <v>25.756864334068</v>
      </c>
      <c r="I85" s="398" t="n">
        <f aca="false">IF(A85="N/A"," ",IF(ISERROR(Q85),I73*Pwresc,Q85))</f>
        <v>22.5</v>
      </c>
      <c r="J85" s="398"/>
      <c r="K85" s="399"/>
      <c r="L85" s="399"/>
      <c r="M85" s="404"/>
      <c r="N85" s="401" t="n">
        <f aca="false">IF(A85="N/A"," ",VLOOKUP(A85,PeakPowerCurves,(IF(BMO2=2,3,IF(BMO2=1,2,4))),FALSE()))</f>
        <v>35.1157172066825</v>
      </c>
      <c r="O85" s="401" t="n">
        <f aca="false">IF(A85="N/A"," ",VLOOKUP(A85,SatSunPeakPwr,(IF(BMO2=2,3,IF(BMO2=1,2,4))),FALSE()))</f>
        <v>35.75</v>
      </c>
      <c r="P85" s="401" t="n">
        <f aca="false">IF(A85="N/A"," ",VLOOKUP(A85,SatSunPeakPwr,(IF(BMO2=2,7,IF(BMO2=1,6,8))),FALSE()))</f>
        <v>25.25</v>
      </c>
      <c r="Q85" s="402" t="n">
        <f aca="false">IF(A85="N/A"," ",(VLOOKUP(A85,OPPowerPrices,(IF(BMO2=2,7,IF(BMO2=1,6,8))),FALSE())))</f>
        <v>22.5</v>
      </c>
      <c r="R85" s="403" t="e">
        <f aca="false">IF(A85="N/A"," ",(VLOOKUP($A85,IRTable,2)))</f>
        <v>#N/A</v>
      </c>
      <c r="AF85" s="352" t="n">
        <v>39022</v>
      </c>
      <c r="AG85" s="311" t="n">
        <v>21</v>
      </c>
      <c r="AH85" s="311" t="n">
        <v>4</v>
      </c>
      <c r="AI85" s="311" t="n">
        <v>5</v>
      </c>
      <c r="AJ85" s="311" t="n">
        <v>1</v>
      </c>
      <c r="AK85" s="311" t="n">
        <v>30</v>
      </c>
      <c r="AU85" s="406"/>
    </row>
    <row r="86" customFormat="false" ht="12.75" hidden="false" customHeight="false" outlineLevel="0" collapsed="false">
      <c r="A86" s="352" t="n">
        <f aca="false">Option2!A53</f>
        <v>38749</v>
      </c>
      <c r="B86" s="396" t="n">
        <f aca="false">IF(A86="N/A"," ",IF(ISERROR(N86),B74*Pwresc,N86)*VLOOKUP(MONTH(A86),Curveadj,3))</f>
        <v>34.5157149178641</v>
      </c>
      <c r="C86" s="397" t="n">
        <f aca="false">IF(A86="N/A"," ",(IF(AND(Scaler2=1,MONTH(A86)&gt;=6,MONTH(A86)&lt;=8,OR($M$37="REGION 2",$M$37="REGION 2A",$M$37="REGION 2B",$M$37="REGION 3",$M$37="REGION 3A",$M$37="REGION 3B",$M$37="REGION 3C",$M$37="REGION 4",$M$37="REGION 4B",$M$37="REGION 4C",$M$37="REGION 5",$M$37="REGION 5A")),((0.059228/(B86/100))-(0.4980013/(SQRT(B86/100)))+2.137988),HLOOKUP(MONTH(A86),ScalarTable,28))))</f>
        <v>1.02007383501259</v>
      </c>
      <c r="D86" s="398" t="n">
        <f aca="false">IF(A86="N/A"," ",C86*B86)</f>
        <v>35.2085776844671</v>
      </c>
      <c r="E86" s="396" t="n">
        <f aca="false">IF(A86="N/A"," ",IF(ISERROR(O86),E74*Pwresc,O86)*VLOOKUP(MONTH(A86),Curveadj,3))</f>
        <v>31.2460021972656</v>
      </c>
      <c r="F86" s="398" t="n">
        <f aca="false">IF(A86="N/A"," ",E86*C86)</f>
        <v>31.8732292901767</v>
      </c>
      <c r="G86" s="396" t="n">
        <f aca="false">IF(A86="N/A"," ",IF(ISERROR(P86),G74*Pwresc,P86)*VLOOKUP(MONTH(A86),Curveadj,3))</f>
        <v>22.7465019226074</v>
      </c>
      <c r="H86" s="398" t="n">
        <f aca="false">IF(A86="N/A"," ",G86*C86)</f>
        <v>23.2031114493155</v>
      </c>
      <c r="I86" s="398" t="n">
        <f aca="false">IF(A86="N/A"," ",IF(ISERROR(Q86),I74*Pwresc,Q86))</f>
        <v>21</v>
      </c>
      <c r="J86" s="398"/>
      <c r="K86" s="399"/>
      <c r="L86" s="399"/>
      <c r="M86" s="404"/>
      <c r="N86" s="401" t="n">
        <f aca="false">IF(A86="N/A"," ",VLOOKUP(A86,PeakPowerCurves,(IF(BMO2=2,3,IF(BMO2=1,2,4))),FALSE()))</f>
        <v>34.5157149178641</v>
      </c>
      <c r="O86" s="401" t="n">
        <f aca="false">IF(A86="N/A"," ",VLOOKUP(A86,SatSunPeakPwr,(IF(BMO2=2,3,IF(BMO2=1,2,4))),FALSE()))</f>
        <v>31.2460021972656</v>
      </c>
      <c r="P86" s="401" t="n">
        <f aca="false">IF(A86="N/A"," ",VLOOKUP(A86,SatSunPeakPwr,(IF(BMO2=2,7,IF(BMO2=1,6,8))),FALSE()))</f>
        <v>22.7465019226074</v>
      </c>
      <c r="Q86" s="402" t="n">
        <f aca="false">IF(A86="N/A"," ",(VLOOKUP(A86,OPPowerPrices,(IF(BMO2=2,7,IF(BMO2=1,6,8))),FALSE())))</f>
        <v>21</v>
      </c>
      <c r="R86" s="403" t="e">
        <f aca="false">IF(A86="N/A"," ",(VLOOKUP($A86,IRTable,2)))</f>
        <v>#N/A</v>
      </c>
      <c r="AF86" s="352" t="n">
        <v>39052</v>
      </c>
      <c r="AG86" s="311" t="n">
        <v>20</v>
      </c>
      <c r="AH86" s="311" t="n">
        <v>5</v>
      </c>
      <c r="AI86" s="311" t="n">
        <v>6</v>
      </c>
      <c r="AJ86" s="311" t="n">
        <v>1</v>
      </c>
      <c r="AK86" s="311" t="n">
        <v>31</v>
      </c>
      <c r="AU86" s="406"/>
    </row>
    <row r="87" customFormat="false" ht="12.75" hidden="false" customHeight="false" outlineLevel="0" collapsed="false">
      <c r="A87" s="352" t="n">
        <f aca="false">Option2!A54</f>
        <v>38777</v>
      </c>
      <c r="B87" s="396" t="n">
        <f aca="false">IF(A87="N/A"," ",IF(ISERROR(N87),B75*Pwresc,N87)*VLOOKUP(MONTH(A87),Curveadj,3))</f>
        <v>33.2276797627294</v>
      </c>
      <c r="C87" s="397" t="n">
        <f aca="false">IF(A87="N/A"," ",(IF(AND(Scaler2=1,MONTH(A87)&gt;=6,MONTH(A87)&lt;=8,OR($M$37="REGION 2",$M$37="REGION 2A",$M$37="REGION 2B",$M$37="REGION 3",$M$37="REGION 3A",$M$37="REGION 3B",$M$37="REGION 3C",$M$37="REGION 4",$M$37="REGION 4B",$M$37="REGION 4C",$M$37="REGION 5",$M$37="REGION 5A")),((0.059228/(B87/100))-(0.4980013/(SQRT(B87/100)))+2.137988),HLOOKUP(MONTH(A87),ScalarTable,28))))</f>
        <v>1.0173448699422</v>
      </c>
      <c r="D87" s="398" t="n">
        <f aca="false">IF(A87="N/A"," ",C87*B87)</f>
        <v>33.8040095466949</v>
      </c>
      <c r="E87" s="396" t="n">
        <f aca="false">IF(A87="N/A"," ",IF(ISERROR(O87),E75*Pwresc,O87)*VLOOKUP(MONTH(A87),Curveadj,3))</f>
        <v>25.5</v>
      </c>
      <c r="F87" s="398" t="n">
        <f aca="false">IF(A87="N/A"," ",E87*C87)</f>
        <v>25.942294183526</v>
      </c>
      <c r="G87" s="396" t="n">
        <f aca="false">IF(A87="N/A"," ",IF(ISERROR(P87),G75*Pwresc,P87)*VLOOKUP(MONTH(A87),Curveadj,3))</f>
        <v>20</v>
      </c>
      <c r="H87" s="398" t="n">
        <f aca="false">IF(A87="N/A"," ",G87*C87)</f>
        <v>20.3468973988439</v>
      </c>
      <c r="I87" s="398" t="n">
        <f aca="false">IF(A87="N/A"," ",IF(ISERROR(Q87),I75*Pwresc,Q87))</f>
        <v>22</v>
      </c>
      <c r="J87" s="398"/>
      <c r="K87" s="399"/>
      <c r="L87" s="399"/>
      <c r="M87" s="404"/>
      <c r="N87" s="401" t="n">
        <f aca="false">IF(A87="N/A"," ",VLOOKUP(A87,PeakPowerCurves,(IF(BMO2=2,3,IF(BMO2=1,2,4))),FALSE()))</f>
        <v>33.2276797627294</v>
      </c>
      <c r="O87" s="401" t="n">
        <f aca="false">IF(A87="N/A"," ",VLOOKUP(A87,SatSunPeakPwr,(IF(BMO2=2,3,IF(BMO2=1,2,4))),FALSE()))</f>
        <v>25.5</v>
      </c>
      <c r="P87" s="401" t="n">
        <f aca="false">IF(A87="N/A"," ",VLOOKUP(A87,SatSunPeakPwr,(IF(BMO2=2,7,IF(BMO2=1,6,8))),FALSE()))</f>
        <v>20</v>
      </c>
      <c r="Q87" s="402" t="n">
        <f aca="false">IF(A87="N/A"," ",(VLOOKUP(A87,OPPowerPrices,(IF(BMO2=2,7,IF(BMO2=1,6,8))),FALSE())))</f>
        <v>22</v>
      </c>
      <c r="R87" s="403" t="e">
        <f aca="false">IF(A87="N/A"," ",(VLOOKUP($A87,IRTable,2)))</f>
        <v>#N/A</v>
      </c>
      <c r="AF87" s="352" t="n">
        <v>39083</v>
      </c>
      <c r="AG87" s="311" t="n">
        <v>22</v>
      </c>
      <c r="AH87" s="311" t="n">
        <v>4</v>
      </c>
      <c r="AI87" s="311" t="n">
        <v>5</v>
      </c>
      <c r="AJ87" s="311" t="n">
        <v>1</v>
      </c>
      <c r="AK87" s="311" t="n">
        <v>31</v>
      </c>
      <c r="AU87" s="406"/>
    </row>
    <row r="88" customFormat="false" ht="12.75" hidden="false" customHeight="false" outlineLevel="0" collapsed="false">
      <c r="A88" s="352" t="n">
        <f aca="false">Option2!A55</f>
        <v>38808</v>
      </c>
      <c r="B88" s="396" t="n">
        <f aca="false">IF(A88="N/A"," ",IF(ISERROR(N88),B76*Pwresc,N88)*VLOOKUP(MONTH(A88),Curveadj,3))</f>
        <v>33.4276805256688</v>
      </c>
      <c r="C88" s="397" t="n">
        <f aca="false">IF(A88="N/A"," ",(IF(AND(Scaler2=1,MONTH(A88)&gt;=6,MONTH(A88)&lt;=8,OR($M$37="REGION 2",$M$37="REGION 2A",$M$37="REGION 2B",$M$37="REGION 3",$M$37="REGION 3A",$M$37="REGION 3B",$M$37="REGION 3C",$M$37="REGION 4",$M$37="REGION 4B",$M$37="REGION 4C",$M$37="REGION 5",$M$37="REGION 5A")),((0.059228/(B88/100))-(0.4980013/(SQRT(B88/100)))+2.137988),HLOOKUP(MONTH(A88),ScalarTable,28))))</f>
        <v>1.005</v>
      </c>
      <c r="D88" s="398" t="n">
        <f aca="false">IF(A88="N/A"," ",C88*B88)</f>
        <v>33.5948189282972</v>
      </c>
      <c r="E88" s="396" t="n">
        <f aca="false">IF(A88="N/A"," ",IF(ISERROR(O88),E76*Pwresc,O88)*VLOOKUP(MONTH(A88),Curveadj,3))</f>
        <v>22</v>
      </c>
      <c r="F88" s="398" t="n">
        <f aca="false">IF(A88="N/A"," ",E88*C88)</f>
        <v>22.11</v>
      </c>
      <c r="G88" s="396" t="n">
        <f aca="false">IF(A88="N/A"," ",IF(ISERROR(P88),G76*Pwresc,P88)*VLOOKUP(MONTH(A88),Curveadj,3))</f>
        <v>16.4950008392334</v>
      </c>
      <c r="H88" s="398" t="n">
        <f aca="false">IF(A88="N/A"," ",G88*C88)</f>
        <v>16.5774758434296</v>
      </c>
      <c r="I88" s="398" t="n">
        <f aca="false">IF(A88="N/A"," ",IF(ISERROR(Q88),I76*Pwresc,Q88))</f>
        <v>19</v>
      </c>
      <c r="J88" s="398"/>
      <c r="K88" s="399"/>
      <c r="L88" s="399"/>
      <c r="M88" s="404"/>
      <c r="N88" s="401" t="n">
        <f aca="false">IF(A88="N/A"," ",VLOOKUP(A88,PeakPowerCurves,(IF(BMO2=2,3,IF(BMO2=1,2,4))),FALSE()))</f>
        <v>33.4276805256688</v>
      </c>
      <c r="O88" s="401" t="n">
        <f aca="false">IF(A88="N/A"," ",VLOOKUP(A88,SatSunPeakPwr,(IF(BMO2=2,3,IF(BMO2=1,2,4))),FALSE()))</f>
        <v>22</v>
      </c>
      <c r="P88" s="401" t="n">
        <f aca="false">IF(A88="N/A"," ",VLOOKUP(A88,SatSunPeakPwr,(IF(BMO2=2,7,IF(BMO2=1,6,8))),FALSE()))</f>
        <v>16.4950008392334</v>
      </c>
      <c r="Q88" s="402" t="n">
        <f aca="false">IF(A88="N/A"," ",(VLOOKUP(A88,OPPowerPrices,(IF(BMO2=2,7,IF(BMO2=1,6,8))),FALSE())))</f>
        <v>19</v>
      </c>
      <c r="R88" s="403" t="e">
        <f aca="false">IF(A88="N/A"," ",(VLOOKUP($A88,IRTable,2)))</f>
        <v>#N/A</v>
      </c>
      <c r="AF88" s="352" t="n">
        <v>39114</v>
      </c>
      <c r="AG88" s="311" t="n">
        <v>20</v>
      </c>
      <c r="AH88" s="311" t="n">
        <v>4</v>
      </c>
      <c r="AI88" s="311" t="n">
        <v>4</v>
      </c>
      <c r="AJ88" s="311" t="n">
        <v>0</v>
      </c>
      <c r="AK88" s="311" t="n">
        <v>28</v>
      </c>
      <c r="AU88" s="406"/>
    </row>
    <row r="89" customFormat="false" ht="12.75" hidden="false" customHeight="false" outlineLevel="0" collapsed="false">
      <c r="A89" s="352" t="n">
        <f aca="false">Option2!A56</f>
        <v>38838</v>
      </c>
      <c r="B89" s="396" t="n">
        <f aca="false">IF(A89="N/A"," ",IF(ISERROR(N89),B77*Pwresc,N89)*VLOOKUP(MONTH(A89),Curveadj,3))</f>
        <v>36.7050018310547</v>
      </c>
      <c r="C89" s="397" t="n">
        <f aca="false">IF(A89="N/A"," ",(IF(AND(Scaler2=1,MONTH(A89)&gt;=6,MONTH(A89)&lt;=8,OR($M$37="REGION 2",$M$37="REGION 2A",$M$37="REGION 2B",$M$37="REGION 3",$M$37="REGION 3A",$M$37="REGION 3B",$M$37="REGION 3C",$M$37="REGION 4",$M$37="REGION 4B",$M$37="REGION 4C",$M$37="REGION 5",$M$37="REGION 5A")),((0.059228/(B89/100))-(0.4980013/(SQRT(B89/100)))+2.137988),HLOOKUP(MONTH(A89),ScalarTable,28))))</f>
        <v>1.075625</v>
      </c>
      <c r="D89" s="398" t="n">
        <f aca="false">IF(A89="N/A"," ",C89*B89)</f>
        <v>39.4808175945282</v>
      </c>
      <c r="E89" s="396" t="n">
        <f aca="false">IF(A89="N/A"," ",IF(ISERROR(O89),E77*Pwresc,O89)*VLOOKUP(MONTH(A89),Curveadj,3))</f>
        <v>22.2900009155273</v>
      </c>
      <c r="F89" s="398" t="n">
        <f aca="false">IF(A89="N/A"," ",E89*C89)</f>
        <v>23.9756822347641</v>
      </c>
      <c r="G89" s="396" t="n">
        <f aca="false">IF(A89="N/A"," ",IF(ISERROR(P89),G77*Pwresc,P89)*VLOOKUP(MONTH(A89),Curveadj,3))</f>
        <v>15.7950000762939</v>
      </c>
      <c r="H89" s="398" t="n">
        <f aca="false">IF(A89="N/A"," ",G89*C89)</f>
        <v>16.9894969570637</v>
      </c>
      <c r="I89" s="398" t="n">
        <f aca="false">IF(A89="N/A"," ",IF(ISERROR(Q89),I77*Pwresc,Q89))</f>
        <v>19.5400009155273</v>
      </c>
      <c r="J89" s="398"/>
      <c r="K89" s="399"/>
      <c r="L89" s="399"/>
      <c r="M89" s="404"/>
      <c r="N89" s="401" t="n">
        <f aca="false">IF(A89="N/A"," ",VLOOKUP(A89,PeakPowerCurves,(IF(BMO2=2,3,IF(BMO2=1,2,4))),FALSE()))</f>
        <v>36.7050018310547</v>
      </c>
      <c r="O89" s="401" t="n">
        <f aca="false">IF(A89="N/A"," ",VLOOKUP(A89,SatSunPeakPwr,(IF(BMO2=2,3,IF(BMO2=1,2,4))),FALSE()))</f>
        <v>22.2900009155273</v>
      </c>
      <c r="P89" s="401" t="n">
        <f aca="false">IF(A89="N/A"," ",VLOOKUP(A89,SatSunPeakPwr,(IF(BMO2=2,7,IF(BMO2=1,6,8))),FALSE()))</f>
        <v>15.7950000762939</v>
      </c>
      <c r="Q89" s="402" t="n">
        <f aca="false">IF(A89="N/A"," ",(VLOOKUP(A89,OPPowerPrices,(IF(BMO2=2,7,IF(BMO2=1,6,8))),FALSE())))</f>
        <v>19.5400009155273</v>
      </c>
      <c r="R89" s="403" t="e">
        <f aca="false">IF(A89="N/A"," ",(VLOOKUP($A89,IRTable,2)))</f>
        <v>#N/A</v>
      </c>
      <c r="AF89" s="352" t="n">
        <v>39142</v>
      </c>
      <c r="AG89" s="311" t="n">
        <v>22</v>
      </c>
      <c r="AH89" s="311" t="n">
        <v>5</v>
      </c>
      <c r="AI89" s="311" t="n">
        <v>4</v>
      </c>
      <c r="AJ89" s="311" t="n">
        <v>0</v>
      </c>
      <c r="AK89" s="311" t="n">
        <v>31</v>
      </c>
      <c r="AU89" s="406"/>
    </row>
    <row r="90" customFormat="false" ht="12.75" hidden="false" customHeight="false" outlineLevel="0" collapsed="false">
      <c r="A90" s="352" t="n">
        <f aca="false">Option2!A57</f>
        <v>38869</v>
      </c>
      <c r="B90" s="396" t="n">
        <f aca="false">IF(A90="N/A"," ",IF(ISERROR(N90),B78*Pwresc,N90)*VLOOKUP(MONTH(A90),Curveadj,3))</f>
        <v>42.6250038146973</v>
      </c>
      <c r="C90" s="397" t="n">
        <f aca="false">IF(A90="N/A"," ",(IF(AND(Scaler2=1,MONTH(A90)&gt;=6,MONTH(A90)&lt;=8,OR($M$37="REGION 2",$M$37="REGION 2A",$M$37="REGION 2B",$M$37="REGION 3",$M$37="REGION 3A",$M$37="REGION 3B",$M$37="REGION 3C",$M$37="REGION 4",$M$37="REGION 4B",$M$37="REGION 4C",$M$37="REGION 5",$M$37="REGION 5A")),((0.059228/(B90/100))-(0.4980013/(SQRT(B90/100)))+2.137988),HLOOKUP(MONTH(A90),ScalarTable,28))))</f>
        <v>1.53</v>
      </c>
      <c r="D90" s="398" t="n">
        <f aca="false">IF(A90="N/A"," ",C90*B90)</f>
        <v>65.2162558364868</v>
      </c>
      <c r="E90" s="396" t="n">
        <f aca="false">IF(A90="N/A"," ",IF(ISERROR(O90),E78*Pwresc,O90)*VLOOKUP(MONTH(A90),Curveadj,3))</f>
        <v>29.2900009155273</v>
      </c>
      <c r="F90" s="398" t="n">
        <f aca="false">IF(A90="N/A"," ",E90*C90)</f>
        <v>44.8137014007568</v>
      </c>
      <c r="G90" s="396" t="n">
        <f aca="false">IF(A90="N/A"," ",IF(ISERROR(P90),G78*Pwresc,P90)*VLOOKUP(MONTH(A90),Curveadj,3))</f>
        <v>19.7900009155273</v>
      </c>
      <c r="H90" s="398" t="n">
        <f aca="false">IF(A90="N/A"," ",G90*C90)</f>
        <v>30.2787014007568</v>
      </c>
      <c r="I90" s="398" t="n">
        <f aca="false">IF(A90="N/A"," ",IF(ISERROR(Q90),I78*Pwresc,Q90))</f>
        <v>22.5400009155273</v>
      </c>
      <c r="J90" s="398"/>
      <c r="K90" s="399"/>
      <c r="L90" s="399"/>
      <c r="M90" s="404"/>
      <c r="N90" s="401" t="n">
        <f aca="false">IF(A90="N/A"," ",VLOOKUP(A90,PeakPowerCurves,(IF(BMO2=2,3,IF(BMO2=1,2,4))),FALSE()))</f>
        <v>42.6250038146973</v>
      </c>
      <c r="O90" s="401" t="n">
        <f aca="false">IF(A90="N/A"," ",VLOOKUP(A90,SatSunPeakPwr,(IF(BMO2=2,3,IF(BMO2=1,2,4))),FALSE()))</f>
        <v>29.2900009155273</v>
      </c>
      <c r="P90" s="401" t="n">
        <f aca="false">IF(A90="N/A"," ",VLOOKUP(A90,SatSunPeakPwr,(IF(BMO2=2,7,IF(BMO2=1,6,8))),FALSE()))</f>
        <v>19.7900009155273</v>
      </c>
      <c r="Q90" s="402" t="n">
        <f aca="false">IF(A90="N/A"," ",(VLOOKUP(A90,OPPowerPrices,(IF(BMO2=2,7,IF(BMO2=1,6,8))),FALSE())))</f>
        <v>22.5400009155273</v>
      </c>
      <c r="R90" s="403" t="e">
        <f aca="false">IF(A90="N/A"," ",(VLOOKUP($A90,IRTable,2)))</f>
        <v>#N/A</v>
      </c>
      <c r="AF90" s="352" t="n">
        <v>39173</v>
      </c>
      <c r="AG90" s="311" t="n">
        <v>21</v>
      </c>
      <c r="AH90" s="311" t="n">
        <v>4</v>
      </c>
      <c r="AI90" s="311" t="n">
        <v>5</v>
      </c>
      <c r="AJ90" s="311" t="n">
        <v>0</v>
      </c>
      <c r="AK90" s="311" t="n">
        <v>30</v>
      </c>
      <c r="AU90" s="406"/>
    </row>
    <row r="91" customFormat="false" ht="12.75" hidden="false" customHeight="false" outlineLevel="0" collapsed="false">
      <c r="A91" s="352" t="n">
        <f aca="false">Option2!A58</f>
        <v>38899</v>
      </c>
      <c r="B91" s="396" t="n">
        <f aca="false">IF(A91="N/A"," ",IF(ISERROR(N91),B79*Pwresc,N91)*VLOOKUP(MONTH(A91),Curveadj,3))</f>
        <v>51.75</v>
      </c>
      <c r="C91" s="397" t="n">
        <f aca="false">IF(A91="N/A"," ",(IF(AND(Scaler2=1,MONTH(A91)&gt;=6,MONTH(A91)&lt;=8,OR($M$37="REGION 2",$M$37="REGION 2A",$M$37="REGION 2B",$M$37="REGION 3",$M$37="REGION 3A",$M$37="REGION 3B",$M$37="REGION 3C",$M$37="REGION 4",$M$37="REGION 4B",$M$37="REGION 4C",$M$37="REGION 5",$M$37="REGION 5A")),((0.059228/(B91/100))-(0.4980013/(SQRT(B91/100)))+2.137988),HLOOKUP(MONTH(A91),ScalarTable,28))))</f>
        <v>1.63</v>
      </c>
      <c r="D91" s="398" t="n">
        <f aca="false">IF(A91="N/A"," ",C91*B91)</f>
        <v>84.3525</v>
      </c>
      <c r="E91" s="396" t="n">
        <f aca="false">IF(A91="N/A"," ",IF(ISERROR(O91),E79*Pwresc,O91)*VLOOKUP(MONTH(A91),Curveadj,3))</f>
        <v>35.2900009155273</v>
      </c>
      <c r="F91" s="398" t="n">
        <f aca="false">IF(A91="N/A"," ",E91*C91)</f>
        <v>57.5227014923096</v>
      </c>
      <c r="G91" s="396" t="n">
        <f aca="false">IF(A91="N/A"," ",IF(ISERROR(P91),G79*Pwresc,P91)*VLOOKUP(MONTH(A91),Curveadj,3))</f>
        <v>25.7900009155273</v>
      </c>
      <c r="H91" s="398" t="n">
        <f aca="false">IF(A91="N/A"," ",G91*C91)</f>
        <v>42.0377014923096</v>
      </c>
      <c r="I91" s="398" t="n">
        <f aca="false">IF(A91="N/A"," ",IF(ISERROR(Q91),I79*Pwresc,Q91))</f>
        <v>23.0400009155273</v>
      </c>
      <c r="J91" s="398"/>
      <c r="K91" s="399"/>
      <c r="L91" s="399"/>
      <c r="M91" s="404"/>
      <c r="N91" s="401" t="n">
        <f aca="false">IF(A91="N/A"," ",VLOOKUP(A91,PeakPowerCurves,(IF(BMO2=2,3,IF(BMO2=1,2,4))),FALSE()))</f>
        <v>51.75</v>
      </c>
      <c r="O91" s="401" t="n">
        <f aca="false">IF(A91="N/A"," ",VLOOKUP(A91,SatSunPeakPwr,(IF(BMO2=2,3,IF(BMO2=1,2,4))),FALSE()))</f>
        <v>35.2900009155273</v>
      </c>
      <c r="P91" s="401" t="n">
        <f aca="false">IF(A91="N/A"," ",VLOOKUP(A91,SatSunPeakPwr,(IF(BMO2=2,7,IF(BMO2=1,6,8))),FALSE()))</f>
        <v>25.7900009155273</v>
      </c>
      <c r="Q91" s="402" t="n">
        <f aca="false">IF(A91="N/A"," ",(VLOOKUP(A91,OPPowerPrices,(IF(BMO2=2,7,IF(BMO2=1,6,8))),FALSE())))</f>
        <v>23.0400009155273</v>
      </c>
      <c r="R91" s="403" t="e">
        <f aca="false">IF(A91="N/A"," ",(VLOOKUP($A91,IRTable,2)))</f>
        <v>#N/A</v>
      </c>
      <c r="AF91" s="352" t="n">
        <v>39203</v>
      </c>
      <c r="AG91" s="311" t="n">
        <v>22</v>
      </c>
      <c r="AH91" s="311" t="n">
        <v>4</v>
      </c>
      <c r="AI91" s="311" t="n">
        <v>5</v>
      </c>
      <c r="AJ91" s="311" t="n">
        <v>1</v>
      </c>
      <c r="AK91" s="311" t="n">
        <v>31</v>
      </c>
      <c r="AU91" s="406"/>
    </row>
    <row r="92" customFormat="false" ht="12.75" hidden="false" customHeight="false" outlineLevel="0" collapsed="false">
      <c r="A92" s="352" t="n">
        <f aca="false">Option2!A59</f>
        <v>38930</v>
      </c>
      <c r="B92" s="396" t="n">
        <f aca="false">IF(A92="N/A"," ",IF(ISERROR(N92),B80*Pwresc,N92)*VLOOKUP(MONTH(A92),Curveadj,3))</f>
        <v>51.75</v>
      </c>
      <c r="C92" s="397" t="n">
        <f aca="false">IF(A92="N/A"," ",(IF(AND(Scaler2=1,MONTH(A92)&gt;=6,MONTH(A92)&lt;=8,OR($M$37="REGION 2",$M$37="REGION 2A",$M$37="REGION 2B",$M$37="REGION 3",$M$37="REGION 3A",$M$37="REGION 3B",$M$37="REGION 3C",$M$37="REGION 4",$M$37="REGION 4B",$M$37="REGION 4C",$M$37="REGION 5",$M$37="REGION 5A")),((0.059228/(B92/100))-(0.4980013/(SQRT(B92/100)))+2.137988),HLOOKUP(MONTH(A92),ScalarTable,28))))</f>
        <v>1.63</v>
      </c>
      <c r="D92" s="398" t="n">
        <f aca="false">IF(A92="N/A"," ",C92*B92)</f>
        <v>84.3525</v>
      </c>
      <c r="E92" s="396" t="n">
        <f aca="false">IF(A92="N/A"," ",IF(ISERROR(O92),E80*Pwresc,O92)*VLOOKUP(MONTH(A92),Curveadj,3))</f>
        <v>33.2900047302246</v>
      </c>
      <c r="F92" s="398" t="n">
        <f aca="false">IF(A92="N/A"," ",E92*C92)</f>
        <v>54.2627077102661</v>
      </c>
      <c r="G92" s="396" t="n">
        <f aca="false">IF(A92="N/A"," ",IF(ISERROR(P92),G80*Pwresc,P92)*VLOOKUP(MONTH(A92),Curveadj,3))</f>
        <v>25.7900009155273</v>
      </c>
      <c r="H92" s="398" t="n">
        <f aca="false">IF(A92="N/A"," ",G92*C92)</f>
        <v>42.0377014923096</v>
      </c>
      <c r="I92" s="398" t="n">
        <f aca="false">IF(A92="N/A"," ",IF(ISERROR(Q92),I80*Pwresc,Q92))</f>
        <v>24.0400009155273</v>
      </c>
      <c r="J92" s="398"/>
      <c r="K92" s="399"/>
      <c r="L92" s="399"/>
      <c r="M92" s="404"/>
      <c r="N92" s="401" t="n">
        <f aca="false">IF(A92="N/A"," ",VLOOKUP(A92,PeakPowerCurves,(IF(BMO2=2,3,IF(BMO2=1,2,4))),FALSE()))</f>
        <v>51.75</v>
      </c>
      <c r="O92" s="401" t="n">
        <f aca="false">IF(A92="N/A"," ",VLOOKUP(A92,SatSunPeakPwr,(IF(BMO2=2,3,IF(BMO2=1,2,4))),FALSE()))</f>
        <v>33.2900047302246</v>
      </c>
      <c r="P92" s="401" t="n">
        <f aca="false">IF(A92="N/A"," ",VLOOKUP(A92,SatSunPeakPwr,(IF(BMO2=2,7,IF(BMO2=1,6,8))),FALSE()))</f>
        <v>25.7900009155273</v>
      </c>
      <c r="Q92" s="402" t="n">
        <f aca="false">IF(A92="N/A"," ",(VLOOKUP(A92,OPPowerPrices,(IF(BMO2=2,7,IF(BMO2=1,6,8))),FALSE())))</f>
        <v>24.0400009155273</v>
      </c>
      <c r="R92" s="403" t="e">
        <f aca="false">IF(A92="N/A"," ",(VLOOKUP($A92,IRTable,2)))</f>
        <v>#N/A</v>
      </c>
      <c r="AF92" s="352" t="n">
        <v>39234</v>
      </c>
      <c r="AG92" s="311" t="n">
        <v>21</v>
      </c>
      <c r="AH92" s="311" t="n">
        <v>5</v>
      </c>
      <c r="AI92" s="311" t="n">
        <v>4</v>
      </c>
      <c r="AJ92" s="311" t="n">
        <v>0</v>
      </c>
      <c r="AK92" s="311" t="n">
        <v>30</v>
      </c>
      <c r="AU92" s="406"/>
    </row>
    <row r="93" customFormat="false" ht="12.75" hidden="false" customHeight="false" outlineLevel="0" collapsed="false">
      <c r="A93" s="352" t="n">
        <f aca="false">Option2!A60</f>
        <v>38961</v>
      </c>
      <c r="B93" s="396" t="n">
        <f aca="false">IF(A93="N/A"," ",IF(ISERROR(N93),B81*Pwresc,N93)*VLOOKUP(MONTH(A93),Curveadj,3))</f>
        <v>30.8299999237061</v>
      </c>
      <c r="C93" s="397" t="n">
        <f aca="false">IF(A93="N/A"," ",(IF(AND(Scaler2=1,MONTH(A93)&gt;=6,MONTH(A93)&lt;=8,OR($M$37="REGION 2",$M$37="REGION 2A",$M$37="REGION 2B",$M$37="REGION 3",$M$37="REGION 3A",$M$37="REGION 3B",$M$37="REGION 3C",$M$37="REGION 4",$M$37="REGION 4B",$M$37="REGION 4C",$M$37="REGION 5",$M$37="REGION 5A")),((0.059228/(B93/100))-(0.4980013/(SQRT(B93/100)))+2.137988),HLOOKUP(MONTH(A93),ScalarTable,28))))</f>
        <v>1.35125</v>
      </c>
      <c r="D93" s="398" t="n">
        <f aca="false">IF(A93="N/A"," ",C93*B93)</f>
        <v>41.6590373969078</v>
      </c>
      <c r="E93" s="396" t="n">
        <f aca="false">IF(A93="N/A"," ",IF(ISERROR(O93),E81*Pwresc,O93)*VLOOKUP(MONTH(A93),Curveadj,3))</f>
        <v>25.2900009155273</v>
      </c>
      <c r="F93" s="398" t="n">
        <f aca="false">IF(A93="N/A"," ",E93*C93)</f>
        <v>34.1731137371063</v>
      </c>
      <c r="G93" s="396" t="n">
        <f aca="false">IF(A93="N/A"," ",IF(ISERROR(P93),G81*Pwresc,P93)*VLOOKUP(MONTH(A93),Curveadj,3))</f>
        <v>19.7900009155273</v>
      </c>
      <c r="H93" s="398" t="n">
        <f aca="false">IF(A93="N/A"," ",G93*C93)</f>
        <v>26.7412387371063</v>
      </c>
      <c r="I93" s="398" t="n">
        <f aca="false">IF(A93="N/A"," ",IF(ISERROR(Q93),I81*Pwresc,Q93))</f>
        <v>18.0400009155273</v>
      </c>
      <c r="J93" s="398"/>
      <c r="K93" s="399"/>
      <c r="L93" s="399"/>
      <c r="M93" s="404"/>
      <c r="N93" s="401" t="n">
        <f aca="false">IF(A93="N/A"," ",VLOOKUP(A93,PeakPowerCurves,(IF(BMO2=2,3,IF(BMO2=1,2,4))),FALSE()))</f>
        <v>30.8299999237061</v>
      </c>
      <c r="O93" s="401" t="n">
        <f aca="false">IF(A93="N/A"," ",VLOOKUP(A93,SatSunPeakPwr,(IF(BMO2=2,3,IF(BMO2=1,2,4))),FALSE()))</f>
        <v>25.2900009155273</v>
      </c>
      <c r="P93" s="401" t="n">
        <f aca="false">IF(A93="N/A"," ",VLOOKUP(A93,SatSunPeakPwr,(IF(BMO2=2,7,IF(BMO2=1,6,8))),FALSE()))</f>
        <v>19.7900009155273</v>
      </c>
      <c r="Q93" s="402" t="n">
        <f aca="false">IF(A93="N/A"," ",(VLOOKUP(A93,OPPowerPrices,(IF(BMO2=2,7,IF(BMO2=1,6,8))),FALSE())))</f>
        <v>18.0400009155273</v>
      </c>
      <c r="R93" s="403" t="e">
        <f aca="false">IF(A93="N/A"," ",(VLOOKUP($A93,IRTable,2)))</f>
        <v>#N/A</v>
      </c>
      <c r="AF93" s="352" t="n">
        <v>39264</v>
      </c>
      <c r="AG93" s="311" t="n">
        <v>21</v>
      </c>
      <c r="AH93" s="311" t="n">
        <v>4</v>
      </c>
      <c r="AI93" s="311" t="n">
        <v>6</v>
      </c>
      <c r="AJ93" s="311" t="n">
        <v>1</v>
      </c>
      <c r="AK93" s="311" t="n">
        <v>31</v>
      </c>
      <c r="AU93" s="406"/>
    </row>
    <row r="94" customFormat="false" ht="12.75" hidden="false" customHeight="false" outlineLevel="0" collapsed="false">
      <c r="A94" s="352" t="n">
        <f aca="false">Option2!A61</f>
        <v>38991</v>
      </c>
      <c r="B94" s="396" t="n">
        <f aca="false">IF(A94="N/A"," ",IF(ISERROR(N94),B82*Pwresc,N94)*VLOOKUP(MONTH(A94),Curveadj,3))</f>
        <v>31.9815639257431</v>
      </c>
      <c r="C94" s="397" t="n">
        <f aca="false">IF(A94="N/A"," ",(IF(AND(Scaler2=1,MONTH(A94)&gt;=6,MONTH(A94)&lt;=8,OR($M$37="REGION 2",$M$37="REGION 2A",$M$37="REGION 2B",$M$37="REGION 3",$M$37="REGION 3A",$M$37="REGION 3B",$M$37="REGION 3C",$M$37="REGION 4",$M$37="REGION 4B",$M$37="REGION 4C",$M$37="REGION 5",$M$37="REGION 5A")),((0.059228/(B94/100))-(0.4980013/(SQRT(B94/100)))+2.137988),HLOOKUP(MONTH(A94),ScalarTable,28))))</f>
        <v>1.005</v>
      </c>
      <c r="D94" s="398" t="n">
        <f aca="false">IF(A94="N/A"," ",C94*B94)</f>
        <v>32.1414717453718</v>
      </c>
      <c r="E94" s="396" t="n">
        <f aca="false">IF(A94="N/A"," ",IF(ISERROR(O94),E82*Pwresc,O94)*VLOOKUP(MONTH(A94),Curveadj,3))</f>
        <v>20.2860012054443</v>
      </c>
      <c r="F94" s="398" t="n">
        <f aca="false">IF(A94="N/A"," ",E94*C94)</f>
        <v>20.3874312114716</v>
      </c>
      <c r="G94" s="396" t="n">
        <f aca="false">IF(A94="N/A"," ",IF(ISERROR(P94),G82*Pwresc,P94)*VLOOKUP(MONTH(A94),Curveadj,3))</f>
        <v>14.7865009307861</v>
      </c>
      <c r="H94" s="398" t="n">
        <f aca="false">IF(A94="N/A"," ",G94*C94)</f>
        <v>14.8604334354401</v>
      </c>
      <c r="I94" s="398" t="n">
        <f aca="false">IF(A94="N/A"," ",IF(ISERROR(Q94),I82*Pwresc,Q94))</f>
        <v>17.540002822876</v>
      </c>
      <c r="J94" s="398"/>
      <c r="K94" s="399"/>
      <c r="L94" s="399"/>
      <c r="M94" s="404"/>
      <c r="N94" s="401" t="n">
        <f aca="false">IF(A94="N/A"," ",VLOOKUP(A94,PeakPowerCurves,(IF(BMO2=2,3,IF(BMO2=1,2,4))),FALSE()))</f>
        <v>31.9815639257431</v>
      </c>
      <c r="O94" s="401" t="n">
        <f aca="false">IF(A94="N/A"," ",VLOOKUP(A94,SatSunPeakPwr,(IF(BMO2=2,3,IF(BMO2=1,2,4))),FALSE()))</f>
        <v>20.2860012054443</v>
      </c>
      <c r="P94" s="401" t="n">
        <f aca="false">IF(A94="N/A"," ",VLOOKUP(A94,SatSunPeakPwr,(IF(BMO2=2,7,IF(BMO2=1,6,8))),FALSE()))</f>
        <v>14.7865009307861</v>
      </c>
      <c r="Q94" s="402" t="n">
        <f aca="false">IF(A94="N/A"," ",(VLOOKUP(A94,OPPowerPrices,(IF(BMO2=2,7,IF(BMO2=1,6,8))),FALSE())))</f>
        <v>17.540002822876</v>
      </c>
      <c r="R94" s="403" t="e">
        <f aca="false">IF(A94="N/A"," ",(VLOOKUP($A94,IRTable,2)))</f>
        <v>#N/A</v>
      </c>
      <c r="AF94" s="352" t="n">
        <v>39295</v>
      </c>
      <c r="AG94" s="311" t="n">
        <v>23</v>
      </c>
      <c r="AH94" s="311" t="n">
        <v>4</v>
      </c>
      <c r="AI94" s="311" t="n">
        <v>4</v>
      </c>
      <c r="AJ94" s="311" t="n">
        <v>0</v>
      </c>
      <c r="AK94" s="311" t="n">
        <v>31</v>
      </c>
      <c r="AU94" s="406"/>
    </row>
    <row r="95" customFormat="false" ht="12.75" hidden="false" customHeight="false" outlineLevel="0" collapsed="false">
      <c r="A95" s="352" t="n">
        <f aca="false">Option2!A62</f>
        <v>39022</v>
      </c>
      <c r="B95" s="396" t="n">
        <f aca="false">IF(A95="N/A"," ",IF(ISERROR(N95),B83*Pwresc,N95)*VLOOKUP(MONTH(A95),Curveadj,3))</f>
        <v>32.0815623998642</v>
      </c>
      <c r="C95" s="397" t="n">
        <f aca="false">IF(A95="N/A"," ",(IF(AND(Scaler2=1,MONTH(A95)&gt;=6,MONTH(A95)&lt;=8,OR($M$37="REGION 2",$M$37="REGION 2A",$M$37="REGION 2B",$M$37="REGION 3",$M$37="REGION 3A",$M$37="REGION 3B",$M$37="REGION 3C",$M$37="REGION 4",$M$37="REGION 4B",$M$37="REGION 4C",$M$37="REGION 5",$M$37="REGION 5A")),((0.059228/(B95/100))-(0.4980013/(SQRT(B95/100)))+2.137988),HLOOKUP(MONTH(A95),ScalarTable,28))))</f>
        <v>1.0825</v>
      </c>
      <c r="D95" s="398" t="n">
        <f aca="false">IF(A95="N/A"," ",C95*B95)</f>
        <v>34.728291297853</v>
      </c>
      <c r="E95" s="396" t="n">
        <f aca="false">IF(A95="N/A"," ",IF(ISERROR(O95),E83*Pwresc,O95)*VLOOKUP(MONTH(A95),Curveadj,3))</f>
        <v>22.2900009155273</v>
      </c>
      <c r="F95" s="398" t="n">
        <f aca="false">IF(A95="N/A"," ",E95*C95)</f>
        <v>24.1289259910584</v>
      </c>
      <c r="G95" s="396" t="n">
        <f aca="false">IF(A95="N/A"," ",IF(ISERROR(P95),G83*Pwresc,P95)*VLOOKUP(MONTH(A95),Curveadj,3))</f>
        <v>14.7900009155273</v>
      </c>
      <c r="H95" s="398" t="n">
        <f aca="false">IF(A95="N/A"," ",G95*C95)</f>
        <v>16.0101759910584</v>
      </c>
      <c r="I95" s="398" t="n">
        <f aca="false">IF(A95="N/A"," ",IF(ISERROR(Q95),I83*Pwresc,Q95))</f>
        <v>18.5400009155273</v>
      </c>
      <c r="J95" s="398"/>
      <c r="K95" s="399"/>
      <c r="L95" s="399"/>
      <c r="M95" s="404"/>
      <c r="N95" s="401" t="n">
        <f aca="false">IF(A95="N/A"," ",VLOOKUP(A95,PeakPowerCurves,(IF(BMO2=2,3,IF(BMO2=1,2,4))),FALSE()))</f>
        <v>32.0815623998642</v>
      </c>
      <c r="O95" s="401" t="n">
        <f aca="false">IF(A95="N/A"," ",VLOOKUP(A95,SatSunPeakPwr,(IF(BMO2=2,3,IF(BMO2=1,2,4))),FALSE()))</f>
        <v>22.2900009155273</v>
      </c>
      <c r="P95" s="401" t="n">
        <f aca="false">IF(A95="N/A"," ",VLOOKUP(A95,SatSunPeakPwr,(IF(BMO2=2,7,IF(BMO2=1,6,8))),FALSE()))</f>
        <v>14.7900009155273</v>
      </c>
      <c r="Q95" s="402" t="n">
        <f aca="false">IF(A95="N/A"," ",(VLOOKUP(A95,OPPowerPrices,(IF(BMO2=2,7,IF(BMO2=1,6,8))),FALSE())))</f>
        <v>18.5400009155273</v>
      </c>
      <c r="R95" s="403" t="e">
        <f aca="false">IF(A95="N/A"," ",(VLOOKUP($A95,IRTable,2)))</f>
        <v>#N/A</v>
      </c>
      <c r="AF95" s="352" t="n">
        <v>39326</v>
      </c>
      <c r="AG95" s="311" t="n">
        <v>19</v>
      </c>
      <c r="AH95" s="311" t="n">
        <v>5</v>
      </c>
      <c r="AI95" s="311" t="n">
        <v>6</v>
      </c>
      <c r="AJ95" s="311" t="n">
        <v>1</v>
      </c>
      <c r="AK95" s="311" t="n">
        <v>30</v>
      </c>
      <c r="AU95" s="406"/>
    </row>
    <row r="96" customFormat="false" ht="12.75" hidden="false" customHeight="false" outlineLevel="0" collapsed="false">
      <c r="A96" s="352" t="n">
        <f aca="false">Option2!A63</f>
        <v>39052</v>
      </c>
      <c r="B96" s="396" t="n">
        <f aca="false">IF(A96="N/A"," ",IF(ISERROR(N96),B84*Pwresc,N96)*VLOOKUP(MONTH(A96),Curveadj,3))</f>
        <v>32.1815608739853</v>
      </c>
      <c r="C96" s="397" t="n">
        <f aca="false">IF(A96="N/A"," ",(IF(AND(Scaler2=1,MONTH(A96)&gt;=6,MONTH(A96)&lt;=8,OR($M$37="REGION 2",$M$37="REGION 2A",$M$37="REGION 2B",$M$37="REGION 3",$M$37="REGION 3A",$M$37="REGION 3B",$M$37="REGION 3C",$M$37="REGION 4",$M$37="REGION 4B",$M$37="REGION 4C",$M$37="REGION 5",$M$37="REGION 5A")),((0.059228/(B96/100))-(0.4980013/(SQRT(B96/100)))+2.137988),HLOOKUP(MONTH(A96),ScalarTable,28))))</f>
        <v>1.02125</v>
      </c>
      <c r="D96" s="398" t="n">
        <f aca="false">IF(A96="N/A"," ",C96*B96)</f>
        <v>32.8654190425575</v>
      </c>
      <c r="E96" s="396" t="n">
        <f aca="false">IF(A96="N/A"," ",IF(ISERROR(O96),E84*Pwresc,O96)*VLOOKUP(MONTH(A96),Curveadj,3))</f>
        <v>27.2900009155273</v>
      </c>
      <c r="F96" s="398" t="n">
        <f aca="false">IF(A96="N/A"," ",E96*C96)</f>
        <v>27.8699134349823</v>
      </c>
      <c r="G96" s="396" t="n">
        <f aca="false">IF(A96="N/A"," ",IF(ISERROR(P96),G84*Pwresc,P96)*VLOOKUP(MONTH(A96),Curveadj,3))</f>
        <v>21.7900009155273</v>
      </c>
      <c r="H96" s="398" t="n">
        <f aca="false">IF(A96="N/A"," ",G96*C96)</f>
        <v>22.2530384349823</v>
      </c>
      <c r="I96" s="398" t="n">
        <f aca="false">IF(A96="N/A"," ",IF(ISERROR(Q96),I84*Pwresc,Q96))</f>
        <v>20.7900009155273</v>
      </c>
      <c r="J96" s="398"/>
      <c r="K96" s="399"/>
      <c r="L96" s="399"/>
      <c r="M96" s="404"/>
      <c r="N96" s="401" t="n">
        <f aca="false">IF(A96="N/A"," ",VLOOKUP(A96,PeakPowerCurves,(IF(BMO2=2,3,IF(BMO2=1,2,4))),FALSE()))</f>
        <v>32.1815608739853</v>
      </c>
      <c r="O96" s="401" t="n">
        <f aca="false">IF(A96="N/A"," ",VLOOKUP(A96,SatSunPeakPwr,(IF(BMO2=2,3,IF(BMO2=1,2,4))),FALSE()))</f>
        <v>27.2900009155273</v>
      </c>
      <c r="P96" s="401" t="n">
        <f aca="false">IF(A96="N/A"," ",VLOOKUP(A96,SatSunPeakPwr,(IF(BMO2=2,7,IF(BMO2=1,6,8))),FALSE()))</f>
        <v>21.7900009155273</v>
      </c>
      <c r="Q96" s="402" t="n">
        <f aca="false">IF(A96="N/A"," ",(VLOOKUP(A96,OPPowerPrices,(IF(BMO2=2,7,IF(BMO2=1,6,8))),FALSE())))</f>
        <v>20.7900009155273</v>
      </c>
      <c r="R96" s="403" t="e">
        <f aca="false">IF(A96="N/A"," ",(VLOOKUP($A96,IRTable,2)))</f>
        <v>#N/A</v>
      </c>
      <c r="AF96" s="352" t="n">
        <v>39356</v>
      </c>
      <c r="AG96" s="311" t="n">
        <v>23</v>
      </c>
      <c r="AH96" s="311" t="n">
        <v>4</v>
      </c>
      <c r="AI96" s="311" t="n">
        <v>4</v>
      </c>
      <c r="AJ96" s="311" t="n">
        <v>0</v>
      </c>
      <c r="AK96" s="311" t="n">
        <v>31</v>
      </c>
      <c r="AU96" s="406"/>
    </row>
    <row r="97" customFormat="false" ht="12.75" hidden="false" customHeight="false" outlineLevel="0" collapsed="false">
      <c r="A97" s="352" t="str">
        <f aca="false">Option2!A64</f>
        <v>N/A</v>
      </c>
      <c r="B97" s="396" t="str">
        <f aca="false">IF(A97="N/A"," ",IF(ISERROR(N97),B85*Pwresc,N97)*VLOOKUP(MONTH(A97),Curveadj,3))</f>
        <v> </v>
      </c>
      <c r="C97" s="397" t="str">
        <f aca="false">IF(A97="N/A"," ",(IF(AND(Scaler2=1,MONTH(A97)&gt;=6,MONTH(A97)&lt;=8,OR($M$37="REGION 2",$M$37="REGION 2A",$M$37="REGION 2B",$M$37="REGION 3",$M$37="REGION 3A",$M$37="REGION 3B",$M$37="REGION 3C",$M$37="REGION 4",$M$37="REGION 4B",$M$37="REGION 4C",$M$37="REGION 5",$M$37="REGION 5A")),((0.059228/(B97/100))-(0.4980013/(SQRT(B97/100)))+2.137988),HLOOKUP(MONTH(A97),ScalarTable,28))))</f>
        <v> </v>
      </c>
      <c r="D97" s="398" t="str">
        <f aca="false">IF(A97="N/A"," ",C97*B97)</f>
        <v> </v>
      </c>
      <c r="E97" s="396" t="str">
        <f aca="false">IF(A97="N/A"," ",IF(ISERROR(O97),E85*Pwresc,O97)*VLOOKUP(MONTH(A97),Curveadj,3))</f>
        <v> </v>
      </c>
      <c r="F97" s="398" t="str">
        <f aca="false">IF(A97="N/A"," ",E97*C97)</f>
        <v> </v>
      </c>
      <c r="G97" s="396" t="str">
        <f aca="false">IF(A97="N/A"," ",IF(ISERROR(P97),G85*Pwresc,P97)*VLOOKUP(MONTH(A97),Curveadj,3))</f>
        <v> </v>
      </c>
      <c r="H97" s="398" t="str">
        <f aca="false">IF(A97="N/A"," ",G97*C97)</f>
        <v> </v>
      </c>
      <c r="I97" s="398" t="str">
        <f aca="false">IF(A97="N/A"," ",IF(ISERROR(Q97),I85*Pwresc,Q97))</f>
        <v> </v>
      </c>
      <c r="J97" s="398"/>
      <c r="K97" s="399"/>
      <c r="L97" s="399"/>
      <c r="M97" s="404"/>
      <c r="N97" s="401" t="str">
        <f aca="false">IF(A97="N/A"," ",VLOOKUP(A97,PeakPowerCurves,(IF(BMO2=2,3,IF(BMO2=1,2,4))),FALSE()))</f>
        <v> </v>
      </c>
      <c r="O97" s="401" t="str">
        <f aca="false">IF(A97="N/A"," ",VLOOKUP(A97,SatSunPeakPwr,(IF(BMO2=2,3,IF(BMO2=1,2,4))),FALSE()))</f>
        <v> </v>
      </c>
      <c r="P97" s="401" t="str">
        <f aca="false">IF(A97="N/A"," ",VLOOKUP(A97,SatSunPeakPwr,(IF(BMO2=2,7,IF(BMO2=1,6,8))),FALSE()))</f>
        <v> </v>
      </c>
      <c r="Q97" s="402" t="str">
        <f aca="false">IF(A97="N/A"," ",(VLOOKUP(A97,OPPowerPrices,(IF(BMO2=2,7,IF(BMO2=1,6,8))),FALSE())))</f>
        <v> </v>
      </c>
      <c r="R97" s="403" t="str">
        <f aca="false">IF(A97="N/A"," ",(VLOOKUP($A97,IRTable,2)))</f>
        <v> </v>
      </c>
      <c r="AF97" s="352" t="n">
        <v>39387</v>
      </c>
      <c r="AG97" s="311" t="n">
        <v>21</v>
      </c>
      <c r="AH97" s="311" t="n">
        <v>4</v>
      </c>
      <c r="AI97" s="311" t="n">
        <v>5</v>
      </c>
      <c r="AJ97" s="311" t="n">
        <v>1</v>
      </c>
      <c r="AK97" s="311" t="n">
        <v>30</v>
      </c>
      <c r="AU97" s="406"/>
    </row>
    <row r="98" customFormat="false" ht="12.75" hidden="false" customHeight="false" outlineLevel="0" collapsed="false">
      <c r="A98" s="352" t="str">
        <f aca="false">Option2!A65</f>
        <v>N/A</v>
      </c>
      <c r="B98" s="396" t="str">
        <f aca="false">IF(A98="N/A"," ",IF(ISERROR(N98),B86*Pwresc,N98)*VLOOKUP(MONTH(A98),Curveadj,3))</f>
        <v> </v>
      </c>
      <c r="C98" s="397" t="str">
        <f aca="false">IF(A98="N/A"," ",(IF(AND(Scaler2=1,MONTH(A98)&gt;=6,MONTH(A98)&lt;=8,OR($M$37="REGION 2",$M$37="REGION 2A",$M$37="REGION 2B",$M$37="REGION 3",$M$37="REGION 3A",$M$37="REGION 3B",$M$37="REGION 3C",$M$37="REGION 4",$M$37="REGION 4B",$M$37="REGION 4C",$M$37="REGION 5",$M$37="REGION 5A")),((0.059228/(B98/100))-(0.4980013/(SQRT(B98/100)))+2.137988),HLOOKUP(MONTH(A98),ScalarTable,28))))</f>
        <v> </v>
      </c>
      <c r="D98" s="398" t="str">
        <f aca="false">IF(A98="N/A"," ",C98*B98)</f>
        <v> </v>
      </c>
      <c r="E98" s="396" t="str">
        <f aca="false">IF(A98="N/A"," ",IF(ISERROR(O98),E86*Pwresc,O98)*VLOOKUP(MONTH(A98),Curveadj,3))</f>
        <v> </v>
      </c>
      <c r="F98" s="398" t="str">
        <f aca="false">IF(A98="N/A"," ",E98*C98)</f>
        <v> </v>
      </c>
      <c r="G98" s="396" t="str">
        <f aca="false">IF(A98="N/A"," ",IF(ISERROR(P98),G86*Pwresc,P98)*VLOOKUP(MONTH(A98),Curveadj,3))</f>
        <v> </v>
      </c>
      <c r="H98" s="398" t="str">
        <f aca="false">IF(A98="N/A"," ",G98*C98)</f>
        <v> </v>
      </c>
      <c r="I98" s="398" t="str">
        <f aca="false">IF(A98="N/A"," ",IF(ISERROR(Q98),I86*Pwresc,Q98))</f>
        <v> </v>
      </c>
      <c r="J98" s="398"/>
      <c r="K98" s="399"/>
      <c r="L98" s="399"/>
      <c r="M98" s="404"/>
      <c r="N98" s="401" t="str">
        <f aca="false">IF(A98="N/A"," ",VLOOKUP(A98,PeakPowerCurves,(IF(BMO2=2,3,IF(BMO2=1,2,4))),FALSE()))</f>
        <v> </v>
      </c>
      <c r="O98" s="401" t="str">
        <f aca="false">IF(A98="N/A"," ",VLOOKUP(A98,SatSunPeakPwr,(IF(BMO2=2,3,IF(BMO2=1,2,4))),FALSE()))</f>
        <v> </v>
      </c>
      <c r="P98" s="401" t="str">
        <f aca="false">IF(A98="N/A"," ",VLOOKUP(A98,SatSunPeakPwr,(IF(BMO2=2,7,IF(BMO2=1,6,8))),FALSE()))</f>
        <v> </v>
      </c>
      <c r="Q98" s="402" t="str">
        <f aca="false">IF(A98="N/A"," ",(VLOOKUP(A98,OPPowerPrices,(IF(BMO2=2,7,IF(BMO2=1,6,8))),FALSE())))</f>
        <v> </v>
      </c>
      <c r="R98" s="403" t="str">
        <f aca="false">IF(A98="N/A"," ",(VLOOKUP($A98,IRTable,2)))</f>
        <v> </v>
      </c>
      <c r="AF98" s="352" t="n">
        <v>39417</v>
      </c>
      <c r="AG98" s="311" t="n">
        <v>20</v>
      </c>
      <c r="AH98" s="311" t="n">
        <v>5</v>
      </c>
      <c r="AI98" s="311" t="n">
        <v>6</v>
      </c>
      <c r="AJ98" s="311" t="n">
        <v>1</v>
      </c>
      <c r="AK98" s="311" t="n">
        <v>31</v>
      </c>
      <c r="AU98" s="406"/>
    </row>
    <row r="99" customFormat="false" ht="12.75" hidden="false" customHeight="false" outlineLevel="0" collapsed="false">
      <c r="A99" s="352" t="str">
        <f aca="false">Option2!A66</f>
        <v>N/A</v>
      </c>
      <c r="B99" s="396" t="str">
        <f aca="false">IF(A99="N/A"," ",IF(ISERROR(N99),B87*Pwresc,N99)*VLOOKUP(MONTH(A99),Curveadj,3))</f>
        <v> </v>
      </c>
      <c r="C99" s="397" t="str">
        <f aca="false">IF(A99="N/A"," ",(IF(AND(Scaler2=1,MONTH(A99)&gt;=6,MONTH(A99)&lt;=8,OR($M$37="REGION 2",$M$37="REGION 2A",$M$37="REGION 2B",$M$37="REGION 3",$M$37="REGION 3A",$M$37="REGION 3B",$M$37="REGION 3C",$M$37="REGION 4",$M$37="REGION 4B",$M$37="REGION 4C",$M$37="REGION 5",$M$37="REGION 5A")),((0.059228/(B99/100))-(0.4980013/(SQRT(B99/100)))+2.137988),HLOOKUP(MONTH(A99),ScalarTable,28))))</f>
        <v> </v>
      </c>
      <c r="D99" s="398" t="str">
        <f aca="false">IF(A99="N/A"," ",C99*B99)</f>
        <v> </v>
      </c>
      <c r="E99" s="396" t="str">
        <f aca="false">IF(A99="N/A"," ",IF(ISERROR(O99),E87*Pwresc,O99)*VLOOKUP(MONTH(A99),Curveadj,3))</f>
        <v> </v>
      </c>
      <c r="F99" s="398" t="str">
        <f aca="false">IF(A99="N/A"," ",E99*C99)</f>
        <v> </v>
      </c>
      <c r="G99" s="396" t="str">
        <f aca="false">IF(A99="N/A"," ",IF(ISERROR(P99),G87*Pwresc,P99)*VLOOKUP(MONTH(A99),Curveadj,3))</f>
        <v> </v>
      </c>
      <c r="H99" s="398" t="str">
        <f aca="false">IF(A99="N/A"," ",G99*C99)</f>
        <v> </v>
      </c>
      <c r="I99" s="398" t="str">
        <f aca="false">IF(A99="N/A"," ",IF(ISERROR(Q99),I87*Pwresc,Q99))</f>
        <v> </v>
      </c>
      <c r="J99" s="398"/>
      <c r="K99" s="399"/>
      <c r="L99" s="399"/>
      <c r="M99" s="404"/>
      <c r="N99" s="401" t="str">
        <f aca="false">IF(A99="N/A"," ",VLOOKUP(A99,PeakPowerCurves,(IF(BMO2=2,3,IF(BMO2=1,2,4))),FALSE()))</f>
        <v> </v>
      </c>
      <c r="O99" s="401" t="str">
        <f aca="false">IF(A99="N/A"," ",VLOOKUP(A99,SatSunPeakPwr,(IF(BMO2=2,3,IF(BMO2=1,2,4))),FALSE()))</f>
        <v> </v>
      </c>
      <c r="P99" s="401" t="str">
        <f aca="false">IF(A99="N/A"," ",VLOOKUP(A99,SatSunPeakPwr,(IF(BMO2=2,7,IF(BMO2=1,6,8))),FALSE()))</f>
        <v> </v>
      </c>
      <c r="Q99" s="402" t="str">
        <f aca="false">IF(A99="N/A"," ",(VLOOKUP(A99,OPPowerPrices,(IF(BMO2=2,7,IF(BMO2=1,6,8))),FALSE())))</f>
        <v> </v>
      </c>
      <c r="R99" s="403" t="str">
        <f aca="false">IF(A99="N/A"," ",(VLOOKUP($A99,IRTable,2)))</f>
        <v> </v>
      </c>
      <c r="AF99" s="352" t="n">
        <v>39448</v>
      </c>
      <c r="AG99" s="311" t="n">
        <v>22</v>
      </c>
      <c r="AH99" s="311" t="n">
        <v>4</v>
      </c>
      <c r="AI99" s="311" t="n">
        <v>5</v>
      </c>
      <c r="AJ99" s="311" t="n">
        <v>1</v>
      </c>
      <c r="AK99" s="311" t="n">
        <v>31</v>
      </c>
      <c r="AU99" s="406"/>
    </row>
    <row r="100" customFormat="false" ht="12.75" hidden="false" customHeight="false" outlineLevel="0" collapsed="false">
      <c r="A100" s="352" t="str">
        <f aca="false">Option2!A67</f>
        <v>N/A</v>
      </c>
      <c r="B100" s="396" t="str">
        <f aca="false">IF(A100="N/A"," ",IF(ISERROR(N100),B88*Pwresc,N100)*VLOOKUP(MONTH(A100),Curveadj,3))</f>
        <v> </v>
      </c>
      <c r="C100" s="397" t="str">
        <f aca="false">IF(A100="N/A"," ",(IF(AND(Scaler2=1,MONTH(A100)&gt;=6,MONTH(A100)&lt;=8,OR($M$37="REGION 2",$M$37="REGION 2A",$M$37="REGION 2B",$M$37="REGION 3",$M$37="REGION 3A",$M$37="REGION 3B",$M$37="REGION 3C",$M$37="REGION 4",$M$37="REGION 4B",$M$37="REGION 4C",$M$37="REGION 5",$M$37="REGION 5A")),((0.059228/(B100/100))-(0.4980013/(SQRT(B100/100)))+2.137988),HLOOKUP(MONTH(A100),ScalarTable,28))))</f>
        <v> </v>
      </c>
      <c r="D100" s="398" t="str">
        <f aca="false">IF(A100="N/A"," ",C100*B100)</f>
        <v> </v>
      </c>
      <c r="E100" s="396" t="str">
        <f aca="false">IF(A100="N/A"," ",IF(ISERROR(O100),E88*Pwresc,O100)*VLOOKUP(MONTH(A100),Curveadj,3))</f>
        <v> </v>
      </c>
      <c r="F100" s="398" t="str">
        <f aca="false">IF(A100="N/A"," ",E100*C100)</f>
        <v> </v>
      </c>
      <c r="G100" s="396" t="str">
        <f aca="false">IF(A100="N/A"," ",IF(ISERROR(P100),G88*Pwresc,P100)*VLOOKUP(MONTH(A100),Curveadj,3))</f>
        <v> </v>
      </c>
      <c r="H100" s="398" t="str">
        <f aca="false">IF(A100="N/A"," ",G100*C100)</f>
        <v> </v>
      </c>
      <c r="I100" s="398" t="str">
        <f aca="false">IF(A100="N/A"," ",IF(ISERROR(Q100),I88*Pwresc,Q100))</f>
        <v> </v>
      </c>
      <c r="J100" s="398"/>
      <c r="K100" s="399"/>
      <c r="L100" s="399"/>
      <c r="M100" s="404"/>
      <c r="N100" s="401" t="str">
        <f aca="false">IF(A100="N/A"," ",VLOOKUP(A100,PeakPowerCurves,(IF(BMO2=2,3,IF(BMO2=1,2,4))),FALSE()))</f>
        <v> </v>
      </c>
      <c r="O100" s="401" t="str">
        <f aca="false">IF(A100="N/A"," ",VLOOKUP(A100,SatSunPeakPwr,(IF(BMO2=2,3,IF(BMO2=1,2,4))),FALSE()))</f>
        <v> </v>
      </c>
      <c r="P100" s="401" t="str">
        <f aca="false">IF(A100="N/A"," ",VLOOKUP(A100,SatSunPeakPwr,(IF(BMO2=2,7,IF(BMO2=1,6,8))),FALSE()))</f>
        <v> </v>
      </c>
      <c r="Q100" s="402" t="str">
        <f aca="false">IF(A100="N/A"," ",(VLOOKUP(A100,OPPowerPrices,(IF(BMO2=2,7,IF(BMO2=1,6,8))),FALSE())))</f>
        <v> </v>
      </c>
      <c r="R100" s="403" t="str">
        <f aca="false">IF(A100="N/A"," ",(VLOOKUP($A100,IRTable,2)))</f>
        <v> </v>
      </c>
      <c r="AF100" s="352" t="n">
        <v>39479</v>
      </c>
      <c r="AG100" s="311" t="n">
        <v>21</v>
      </c>
      <c r="AH100" s="311" t="n">
        <v>4</v>
      </c>
      <c r="AI100" s="311" t="n">
        <v>4</v>
      </c>
      <c r="AJ100" s="311" t="n">
        <v>0</v>
      </c>
      <c r="AK100" s="311" t="n">
        <v>29</v>
      </c>
      <c r="AU100" s="406"/>
    </row>
    <row r="101" customFormat="false" ht="12.75" hidden="false" customHeight="false" outlineLevel="0" collapsed="false">
      <c r="A101" s="352" t="str">
        <f aca="false">Option2!A68</f>
        <v>N/A</v>
      </c>
      <c r="B101" s="396" t="str">
        <f aca="false">IF(A101="N/A"," ",IF(ISERROR(N101),B89*Pwresc,N101)*VLOOKUP(MONTH(A101),Curveadj,3))</f>
        <v> </v>
      </c>
      <c r="C101" s="397" t="str">
        <f aca="false">IF(A101="N/A"," ",(IF(AND(Scaler2=1,MONTH(A101)&gt;=6,MONTH(A101)&lt;=8,OR($M$37="REGION 2",$M$37="REGION 2A",$M$37="REGION 2B",$M$37="REGION 3",$M$37="REGION 3A",$M$37="REGION 3B",$M$37="REGION 3C",$M$37="REGION 4",$M$37="REGION 4B",$M$37="REGION 4C",$M$37="REGION 5",$M$37="REGION 5A")),((0.059228/(B101/100))-(0.4980013/(SQRT(B101/100)))+2.137988),HLOOKUP(MONTH(A101),ScalarTable,28))))</f>
        <v> </v>
      </c>
      <c r="D101" s="398" t="str">
        <f aca="false">IF(A101="N/A"," ",C101*B101)</f>
        <v> </v>
      </c>
      <c r="E101" s="396" t="str">
        <f aca="false">IF(A101="N/A"," ",IF(ISERROR(O101),E89*Pwresc,O101)*VLOOKUP(MONTH(A101),Curveadj,3))</f>
        <v> </v>
      </c>
      <c r="F101" s="398" t="str">
        <f aca="false">IF(A101="N/A"," ",E101*C101)</f>
        <v> </v>
      </c>
      <c r="G101" s="396" t="str">
        <f aca="false">IF(A101="N/A"," ",IF(ISERROR(P101),G89*Pwresc,P101)*VLOOKUP(MONTH(A101),Curveadj,3))</f>
        <v> </v>
      </c>
      <c r="H101" s="398" t="str">
        <f aca="false">IF(A101="N/A"," ",G101*C101)</f>
        <v> </v>
      </c>
      <c r="I101" s="398" t="str">
        <f aca="false">IF(A101="N/A"," ",IF(ISERROR(Q101),I89*Pwresc,Q101))</f>
        <v> </v>
      </c>
      <c r="J101" s="398"/>
      <c r="K101" s="399"/>
      <c r="L101" s="399"/>
      <c r="M101" s="404"/>
      <c r="N101" s="401" t="str">
        <f aca="false">IF(A101="N/A"," ",VLOOKUP(A101,PeakPowerCurves,(IF(BMO2=2,3,IF(BMO2=1,2,4))),FALSE()))</f>
        <v> </v>
      </c>
      <c r="O101" s="401" t="str">
        <f aca="false">IF(A101="N/A"," ",VLOOKUP(A101,SatSunPeakPwr,(IF(BMO2=2,3,IF(BMO2=1,2,4))),FALSE()))</f>
        <v> </v>
      </c>
      <c r="P101" s="401" t="str">
        <f aca="false">IF(A101="N/A"," ",VLOOKUP(A101,SatSunPeakPwr,(IF(BMO2=2,7,IF(BMO2=1,6,8))),FALSE()))</f>
        <v> </v>
      </c>
      <c r="Q101" s="402" t="str">
        <f aca="false">IF(A101="N/A"," ",(VLOOKUP(A101,OPPowerPrices,(IF(BMO2=2,7,IF(BMO2=1,6,8))),FALSE())))</f>
        <v> </v>
      </c>
      <c r="R101" s="403" t="str">
        <f aca="false">IF(A101="N/A"," ",(VLOOKUP($A101,IRTable,2)))</f>
        <v> </v>
      </c>
      <c r="AF101" s="352" t="n">
        <v>39508</v>
      </c>
      <c r="AG101" s="311" t="n">
        <v>21</v>
      </c>
      <c r="AH101" s="311" t="n">
        <v>5</v>
      </c>
      <c r="AI101" s="311" t="n">
        <v>5</v>
      </c>
      <c r="AJ101" s="311" t="n">
        <v>0</v>
      </c>
      <c r="AK101" s="311" t="n">
        <v>31</v>
      </c>
      <c r="AU101" s="406"/>
    </row>
    <row r="102" customFormat="false" ht="12.75" hidden="false" customHeight="false" outlineLevel="0" collapsed="false">
      <c r="A102" s="352" t="str">
        <f aca="false">Option2!A69</f>
        <v>N/A</v>
      </c>
      <c r="B102" s="396" t="str">
        <f aca="false">IF(A102="N/A"," ",IF(ISERROR(N102),B90*Pwresc,N102)*VLOOKUP(MONTH(A102),Curveadj,3))</f>
        <v> </v>
      </c>
      <c r="C102" s="397" t="str">
        <f aca="false">IF(A102="N/A"," ",(IF(AND(Scaler2=1,MONTH(A102)&gt;=6,MONTH(A102)&lt;=8,OR($M$37="REGION 2",$M$37="REGION 2A",$M$37="REGION 2B",$M$37="REGION 3",$M$37="REGION 3A",$M$37="REGION 3B",$M$37="REGION 3C",$M$37="REGION 4",$M$37="REGION 4B",$M$37="REGION 4C",$M$37="REGION 5",$M$37="REGION 5A")),((0.059228/(B102/100))-(0.4980013/(SQRT(B102/100)))+2.137988),HLOOKUP(MONTH(A102),ScalarTable,28))))</f>
        <v> </v>
      </c>
      <c r="D102" s="398" t="str">
        <f aca="false">IF(A102="N/A"," ",C102*B102)</f>
        <v> </v>
      </c>
      <c r="E102" s="396" t="str">
        <f aca="false">IF(A102="N/A"," ",IF(ISERROR(O102),E90*Pwresc,O102)*VLOOKUP(MONTH(A102),Curveadj,3))</f>
        <v> </v>
      </c>
      <c r="F102" s="398" t="str">
        <f aca="false">IF(A102="N/A"," ",E102*C102)</f>
        <v> </v>
      </c>
      <c r="G102" s="396" t="str">
        <f aca="false">IF(A102="N/A"," ",IF(ISERROR(P102),G90*Pwresc,P102)*VLOOKUP(MONTH(A102),Curveadj,3))</f>
        <v> </v>
      </c>
      <c r="H102" s="398" t="str">
        <f aca="false">IF(A102="N/A"," ",G102*C102)</f>
        <v> </v>
      </c>
      <c r="I102" s="398" t="str">
        <f aca="false">IF(A102="N/A"," ",IF(ISERROR(Q102),I90*Pwresc,Q102))</f>
        <v> </v>
      </c>
      <c r="J102" s="398"/>
      <c r="K102" s="399"/>
      <c r="L102" s="399"/>
      <c r="M102" s="404"/>
      <c r="N102" s="401" t="str">
        <f aca="false">IF(A102="N/A"," ",VLOOKUP(A102,PeakPowerCurves,(IF(BMO2=2,3,IF(BMO2=1,2,4))),FALSE()))</f>
        <v> </v>
      </c>
      <c r="O102" s="401" t="str">
        <f aca="false">IF(A102="N/A"," ",VLOOKUP(A102,SatSunPeakPwr,(IF(BMO2=2,3,IF(BMO2=1,2,4))),FALSE()))</f>
        <v> </v>
      </c>
      <c r="P102" s="401" t="str">
        <f aca="false">IF(A102="N/A"," ",VLOOKUP(A102,SatSunPeakPwr,(IF(BMO2=2,7,IF(BMO2=1,6,8))),FALSE()))</f>
        <v> </v>
      </c>
      <c r="Q102" s="402" t="str">
        <f aca="false">IF(A102="N/A"," ",(VLOOKUP(A102,OPPowerPrices,(IF(BMO2=2,7,IF(BMO2=1,6,8))),FALSE())))</f>
        <v> </v>
      </c>
      <c r="R102" s="403" t="str">
        <f aca="false">IF(A102="N/A"," ",(VLOOKUP($A102,IRTable,2)))</f>
        <v> </v>
      </c>
      <c r="AF102" s="352" t="n">
        <v>39539</v>
      </c>
      <c r="AG102" s="311" t="n">
        <v>22</v>
      </c>
      <c r="AH102" s="311" t="n">
        <v>4</v>
      </c>
      <c r="AI102" s="311" t="n">
        <v>4</v>
      </c>
      <c r="AJ102" s="311" t="n">
        <v>0</v>
      </c>
      <c r="AK102" s="311" t="n">
        <v>30</v>
      </c>
      <c r="AU102" s="406"/>
    </row>
    <row r="103" customFormat="false" ht="12.75" hidden="false" customHeight="false" outlineLevel="0" collapsed="false">
      <c r="A103" s="352" t="str">
        <f aca="false">Option2!A70</f>
        <v>N/A</v>
      </c>
      <c r="B103" s="396" t="str">
        <f aca="false">IF(A103="N/A"," ",IF(ISERROR(N103),B91*Pwresc,N103)*VLOOKUP(MONTH(A103),Curveadj,3))</f>
        <v> </v>
      </c>
      <c r="C103" s="397" t="str">
        <f aca="false">IF(A103="N/A"," ",(IF(AND(Scaler2=1,MONTH(A103)&gt;=6,MONTH(A103)&lt;=8,OR($M$37="REGION 2",$M$37="REGION 2A",$M$37="REGION 2B",$M$37="REGION 3",$M$37="REGION 3A",$M$37="REGION 3B",$M$37="REGION 3C",$M$37="REGION 4",$M$37="REGION 4B",$M$37="REGION 4C",$M$37="REGION 5",$M$37="REGION 5A")),((0.059228/(B103/100))-(0.4980013/(SQRT(B103/100)))+2.137988),HLOOKUP(MONTH(A103),ScalarTable,28))))</f>
        <v> </v>
      </c>
      <c r="D103" s="398" t="str">
        <f aca="false">IF(A103="N/A"," ",C103*B103)</f>
        <v> </v>
      </c>
      <c r="E103" s="396" t="str">
        <f aca="false">IF(A103="N/A"," ",IF(ISERROR(O103),E91*Pwresc,O103)*VLOOKUP(MONTH(A103),Curveadj,3))</f>
        <v> </v>
      </c>
      <c r="F103" s="398" t="str">
        <f aca="false">IF(A103="N/A"," ",E103*C103)</f>
        <v> </v>
      </c>
      <c r="G103" s="396" t="str">
        <f aca="false">IF(A103="N/A"," ",IF(ISERROR(P103),G91*Pwresc,P103)*VLOOKUP(MONTH(A103),Curveadj,3))</f>
        <v> </v>
      </c>
      <c r="H103" s="398" t="str">
        <f aca="false">IF(A103="N/A"," ",G103*C103)</f>
        <v> </v>
      </c>
      <c r="I103" s="398" t="str">
        <f aca="false">IF(A103="N/A"," ",IF(ISERROR(Q103),I91*Pwresc,Q103))</f>
        <v> </v>
      </c>
      <c r="J103" s="398"/>
      <c r="K103" s="399"/>
      <c r="L103" s="399"/>
      <c r="M103" s="404"/>
      <c r="N103" s="401" t="str">
        <f aca="false">IF(A103="N/A"," ",VLOOKUP(A103,PeakPowerCurves,(IF(BMO2=2,3,IF(BMO2=1,2,4))),FALSE()))</f>
        <v> </v>
      </c>
      <c r="O103" s="401" t="str">
        <f aca="false">IF(A103="N/A"," ",VLOOKUP(A103,SatSunPeakPwr,(IF(BMO2=2,3,IF(BMO2=1,2,4))),FALSE()))</f>
        <v> </v>
      </c>
      <c r="P103" s="401" t="str">
        <f aca="false">IF(A103="N/A"," ",VLOOKUP(A103,SatSunPeakPwr,(IF(BMO2=2,7,IF(BMO2=1,6,8))),FALSE()))</f>
        <v> </v>
      </c>
      <c r="Q103" s="402" t="str">
        <f aca="false">IF(A103="N/A"," ",(VLOOKUP(A103,OPPowerPrices,(IF(BMO2=2,7,IF(BMO2=1,6,8))),FALSE())))</f>
        <v> </v>
      </c>
      <c r="R103" s="403" t="str">
        <f aca="false">IF(A103="N/A"," ",(VLOOKUP($A103,IRTable,2)))</f>
        <v> </v>
      </c>
      <c r="AF103" s="352" t="n">
        <v>39569</v>
      </c>
      <c r="AG103" s="311" t="n">
        <v>21</v>
      </c>
      <c r="AH103" s="311" t="n">
        <v>5</v>
      </c>
      <c r="AI103" s="311" t="n">
        <v>5</v>
      </c>
      <c r="AJ103" s="311" t="n">
        <v>1</v>
      </c>
      <c r="AK103" s="311" t="n">
        <v>31</v>
      </c>
      <c r="AU103" s="406"/>
    </row>
    <row r="104" customFormat="false" ht="12.75" hidden="false" customHeight="false" outlineLevel="0" collapsed="false">
      <c r="A104" s="352" t="str">
        <f aca="false">Option2!A71</f>
        <v>N/A</v>
      </c>
      <c r="B104" s="396" t="str">
        <f aca="false">IF(A104="N/A"," ",IF(ISERROR(N104),B92*Pwresc,N104)*VLOOKUP(MONTH(A104),Curveadj,3))</f>
        <v> </v>
      </c>
      <c r="C104" s="397" t="str">
        <f aca="false">IF(A104="N/A"," ",(IF(AND(Scaler2=1,MONTH(A104)&gt;=6,MONTH(A104)&lt;=8,OR($M$37="REGION 2",$M$37="REGION 2A",$M$37="REGION 2B",$M$37="REGION 3",$M$37="REGION 3A",$M$37="REGION 3B",$M$37="REGION 3C",$M$37="REGION 4",$M$37="REGION 4B",$M$37="REGION 4C",$M$37="REGION 5",$M$37="REGION 5A")),((0.059228/(B104/100))-(0.4980013/(SQRT(B104/100)))+2.137988),HLOOKUP(MONTH(A104),ScalarTable,28))))</f>
        <v> </v>
      </c>
      <c r="D104" s="398" t="str">
        <f aca="false">IF(A104="N/A"," ",C104*B104)</f>
        <v> </v>
      </c>
      <c r="E104" s="396" t="str">
        <f aca="false">IF(A104="N/A"," ",IF(ISERROR(O104),E92*Pwresc,O104)*VLOOKUP(MONTH(A104),Curveadj,3))</f>
        <v> </v>
      </c>
      <c r="F104" s="398" t="str">
        <f aca="false">IF(A104="N/A"," ",E104*C104)</f>
        <v> </v>
      </c>
      <c r="G104" s="396" t="str">
        <f aca="false">IF(A104="N/A"," ",IF(ISERROR(P104),G92*Pwresc,P104)*VLOOKUP(MONTH(A104),Curveadj,3))</f>
        <v> </v>
      </c>
      <c r="H104" s="398" t="str">
        <f aca="false">IF(A104="N/A"," ",G104*C104)</f>
        <v> </v>
      </c>
      <c r="I104" s="398" t="str">
        <f aca="false">IF(A104="N/A"," ",IF(ISERROR(Q104),I92*Pwresc,Q104))</f>
        <v> </v>
      </c>
      <c r="J104" s="398"/>
      <c r="K104" s="399"/>
      <c r="L104" s="399"/>
      <c r="M104" s="404"/>
      <c r="N104" s="401" t="str">
        <f aca="false">IF(A104="N/A"," ",VLOOKUP(A104,PeakPowerCurves,(IF(BMO2=2,3,IF(BMO2=1,2,4))),FALSE()))</f>
        <v> </v>
      </c>
      <c r="O104" s="401" t="str">
        <f aca="false">IF(A104="N/A"," ",VLOOKUP(A104,SatSunPeakPwr,(IF(BMO2=2,3,IF(BMO2=1,2,4))),FALSE()))</f>
        <v> </v>
      </c>
      <c r="P104" s="401" t="str">
        <f aca="false">IF(A104="N/A"," ",VLOOKUP(A104,SatSunPeakPwr,(IF(BMO2=2,7,IF(BMO2=1,6,8))),FALSE()))</f>
        <v> </v>
      </c>
      <c r="Q104" s="402" t="str">
        <f aca="false">IF(A104="N/A"," ",(VLOOKUP(A104,OPPowerPrices,(IF(BMO2=2,7,IF(BMO2=1,6,8))),FALSE())))</f>
        <v> </v>
      </c>
      <c r="R104" s="403" t="str">
        <f aca="false">IF(A104="N/A"," ",(VLOOKUP($A104,IRTable,2)))</f>
        <v> </v>
      </c>
      <c r="AF104" s="352" t="n">
        <v>39600</v>
      </c>
      <c r="AG104" s="311" t="n">
        <v>21</v>
      </c>
      <c r="AH104" s="311" t="n">
        <v>4</v>
      </c>
      <c r="AI104" s="311" t="n">
        <v>5</v>
      </c>
      <c r="AJ104" s="311" t="n">
        <v>0</v>
      </c>
      <c r="AK104" s="311" t="n">
        <v>30</v>
      </c>
      <c r="AU104" s="406"/>
    </row>
    <row r="105" customFormat="false" ht="12.75" hidden="false" customHeight="false" outlineLevel="0" collapsed="false">
      <c r="A105" s="352" t="str">
        <f aca="false">Option2!A72</f>
        <v>N/A</v>
      </c>
      <c r="B105" s="396" t="str">
        <f aca="false">IF(A105="N/A"," ",IF(ISERROR(N105),B93*Pwresc,N105)*VLOOKUP(MONTH(A105),Curveadj,3))</f>
        <v> </v>
      </c>
      <c r="C105" s="397" t="str">
        <f aca="false">IF(A105="N/A"," ",(IF(AND(Scaler2=1,MONTH(A105)&gt;=6,MONTH(A105)&lt;=8,OR($M$37="REGION 2",$M$37="REGION 2A",$M$37="REGION 2B",$M$37="REGION 3",$M$37="REGION 3A",$M$37="REGION 3B",$M$37="REGION 3C",$M$37="REGION 4",$M$37="REGION 4B",$M$37="REGION 4C",$M$37="REGION 5",$M$37="REGION 5A")),((0.059228/(B105/100))-(0.4980013/(SQRT(B105/100)))+2.137988),HLOOKUP(MONTH(A105),ScalarTable,28))))</f>
        <v> </v>
      </c>
      <c r="D105" s="398" t="str">
        <f aca="false">IF(A105="N/A"," ",C105*B105)</f>
        <v> </v>
      </c>
      <c r="E105" s="396" t="str">
        <f aca="false">IF(A105="N/A"," ",IF(ISERROR(O105),E93*Pwresc,O105)*VLOOKUP(MONTH(A105),Curveadj,3))</f>
        <v> </v>
      </c>
      <c r="F105" s="398" t="str">
        <f aca="false">IF(A105="N/A"," ",E105*C105)</f>
        <v> </v>
      </c>
      <c r="G105" s="396" t="str">
        <f aca="false">IF(A105="N/A"," ",IF(ISERROR(P105),G93*Pwresc,P105)*VLOOKUP(MONTH(A105),Curveadj,3))</f>
        <v> </v>
      </c>
      <c r="H105" s="398" t="str">
        <f aca="false">IF(A105="N/A"," ",G105*C105)</f>
        <v> </v>
      </c>
      <c r="I105" s="398" t="str">
        <f aca="false">IF(A105="N/A"," ",IF(ISERROR(Q105),I93*Pwresc,Q105))</f>
        <v> </v>
      </c>
      <c r="J105" s="398"/>
      <c r="K105" s="399"/>
      <c r="L105" s="399"/>
      <c r="M105" s="404"/>
      <c r="N105" s="401" t="str">
        <f aca="false">IF(A105="N/A"," ",VLOOKUP(A105,PeakPowerCurves,(IF(BMO2=2,3,IF(BMO2=1,2,4))),FALSE()))</f>
        <v> </v>
      </c>
      <c r="O105" s="401" t="str">
        <f aca="false">IF(A105="N/A"," ",VLOOKUP(A105,SatSunPeakPwr,(IF(BMO2=2,3,IF(BMO2=1,2,4))),FALSE()))</f>
        <v> </v>
      </c>
      <c r="P105" s="401" t="str">
        <f aca="false">IF(A105="N/A"," ",VLOOKUP(A105,SatSunPeakPwr,(IF(BMO2=2,7,IF(BMO2=1,6,8))),FALSE()))</f>
        <v> </v>
      </c>
      <c r="Q105" s="402" t="str">
        <f aca="false">IF(A105="N/A"," ",(VLOOKUP(A105,OPPowerPrices,(IF(BMO2=2,7,IF(BMO2=1,6,8))),FALSE())))</f>
        <v> </v>
      </c>
      <c r="R105" s="403" t="str">
        <f aca="false">IF(A105="N/A"," ",(VLOOKUP($A105,IRTable,2)))</f>
        <v> </v>
      </c>
      <c r="AF105" s="352" t="n">
        <v>39630</v>
      </c>
      <c r="AG105" s="311" t="n">
        <v>22</v>
      </c>
      <c r="AH105" s="311" t="n">
        <v>4</v>
      </c>
      <c r="AI105" s="311" t="n">
        <v>5</v>
      </c>
      <c r="AJ105" s="311" t="n">
        <v>1</v>
      </c>
      <c r="AK105" s="311" t="n">
        <v>31</v>
      </c>
      <c r="AU105" s="406"/>
    </row>
    <row r="106" customFormat="false" ht="12.75" hidden="false" customHeight="false" outlineLevel="0" collapsed="false">
      <c r="A106" s="352" t="str">
        <f aca="false">Option2!A73</f>
        <v>N/A</v>
      </c>
      <c r="B106" s="396" t="str">
        <f aca="false">IF(A106="N/A"," ",IF(ISERROR(N106),B94*Pwresc,N106)*VLOOKUP(MONTH(A106),Curveadj,3))</f>
        <v> </v>
      </c>
      <c r="C106" s="397" t="str">
        <f aca="false">IF(A106="N/A"," ",(IF(AND(Scaler2=1,MONTH(A106)&gt;=6,MONTH(A106)&lt;=8,OR($M$37="REGION 2",$M$37="REGION 2A",$M$37="REGION 2B",$M$37="REGION 3",$M$37="REGION 3A",$M$37="REGION 3B",$M$37="REGION 3C",$M$37="REGION 4",$M$37="REGION 4B",$M$37="REGION 4C",$M$37="REGION 5",$M$37="REGION 5A")),((0.059228/(B106/100))-(0.4980013/(SQRT(B106/100)))+2.137988),HLOOKUP(MONTH(A106),ScalarTable,28))))</f>
        <v> </v>
      </c>
      <c r="D106" s="398" t="str">
        <f aca="false">IF(A106="N/A"," ",C106*B106)</f>
        <v> </v>
      </c>
      <c r="E106" s="396" t="str">
        <f aca="false">IF(A106="N/A"," ",IF(ISERROR(O106),E94*Pwresc,O106)*VLOOKUP(MONTH(A106),Curveadj,3))</f>
        <v> </v>
      </c>
      <c r="F106" s="398" t="str">
        <f aca="false">IF(A106="N/A"," ",E106*C106)</f>
        <v> </v>
      </c>
      <c r="G106" s="396" t="str">
        <f aca="false">IF(A106="N/A"," ",IF(ISERROR(P106),G94*Pwresc,P106)*VLOOKUP(MONTH(A106),Curveadj,3))</f>
        <v> </v>
      </c>
      <c r="H106" s="398" t="str">
        <f aca="false">IF(A106="N/A"," ",G106*C106)</f>
        <v> </v>
      </c>
      <c r="I106" s="398" t="str">
        <f aca="false">IF(A106="N/A"," ",IF(ISERROR(Q106),I94*Pwresc,Q106))</f>
        <v> </v>
      </c>
      <c r="J106" s="398"/>
      <c r="K106" s="399"/>
      <c r="L106" s="399"/>
      <c r="M106" s="404"/>
      <c r="N106" s="401" t="str">
        <f aca="false">IF(A106="N/A"," ",VLOOKUP(A106,PeakPowerCurves,(IF(BMO2=2,3,IF(BMO2=1,2,4))),FALSE()))</f>
        <v> </v>
      </c>
      <c r="O106" s="401" t="str">
        <f aca="false">IF(A106="N/A"," ",VLOOKUP(A106,SatSunPeakPwr,(IF(BMO2=2,3,IF(BMO2=1,2,4))),FALSE()))</f>
        <v> </v>
      </c>
      <c r="P106" s="401" t="str">
        <f aca="false">IF(A106="N/A"," ",VLOOKUP(A106,SatSunPeakPwr,(IF(BMO2=2,7,IF(BMO2=1,6,8))),FALSE()))</f>
        <v> </v>
      </c>
      <c r="Q106" s="402" t="str">
        <f aca="false">IF(A106="N/A"," ",(VLOOKUP(A106,OPPowerPrices,(IF(BMO2=2,7,IF(BMO2=1,6,8))),FALSE())))</f>
        <v> </v>
      </c>
      <c r="R106" s="403" t="str">
        <f aca="false">IF(A106="N/A"," ",(VLOOKUP($A106,IRTable,2)))</f>
        <v> </v>
      </c>
      <c r="AF106" s="352" t="n">
        <v>39661</v>
      </c>
      <c r="AG106" s="311" t="n">
        <v>21</v>
      </c>
      <c r="AH106" s="311" t="n">
        <v>5</v>
      </c>
      <c r="AI106" s="311" t="n">
        <v>5</v>
      </c>
      <c r="AJ106" s="311" t="n">
        <v>0</v>
      </c>
      <c r="AK106" s="311" t="n">
        <v>31</v>
      </c>
      <c r="AU106" s="406"/>
    </row>
    <row r="107" customFormat="false" ht="12.75" hidden="false" customHeight="false" outlineLevel="0" collapsed="false">
      <c r="A107" s="352" t="str">
        <f aca="false">Option2!A74</f>
        <v>N/A</v>
      </c>
      <c r="B107" s="396" t="str">
        <f aca="false">IF(A107="N/A"," ",IF(ISERROR(N107),B95*Pwresc,N107)*VLOOKUP(MONTH(A107),Curveadj,3))</f>
        <v> </v>
      </c>
      <c r="C107" s="397" t="str">
        <f aca="false">IF(A107="N/A"," ",(IF(AND(Scaler2=1,MONTH(A107)&gt;=6,MONTH(A107)&lt;=8,OR($M$37="REGION 2",$M$37="REGION 2A",$M$37="REGION 2B",$M$37="REGION 3",$M$37="REGION 3A",$M$37="REGION 3B",$M$37="REGION 3C",$M$37="REGION 4",$M$37="REGION 4B",$M$37="REGION 4C",$M$37="REGION 5",$M$37="REGION 5A")),((0.059228/(B107/100))-(0.4980013/(SQRT(B107/100)))+2.137988),HLOOKUP(MONTH(A107),ScalarTable,28))))</f>
        <v> </v>
      </c>
      <c r="D107" s="398" t="str">
        <f aca="false">IF(A107="N/A"," ",C107*B107)</f>
        <v> </v>
      </c>
      <c r="E107" s="396" t="str">
        <f aca="false">IF(A107="N/A"," ",IF(ISERROR(O107),E95*Pwresc,O107)*VLOOKUP(MONTH(A107),Curveadj,3))</f>
        <v> </v>
      </c>
      <c r="F107" s="398" t="str">
        <f aca="false">IF(A107="N/A"," ",E107*C107)</f>
        <v> </v>
      </c>
      <c r="G107" s="396" t="str">
        <f aca="false">IF(A107="N/A"," ",IF(ISERROR(P107),G95*Pwresc,P107)*VLOOKUP(MONTH(A107),Curveadj,3))</f>
        <v> </v>
      </c>
      <c r="H107" s="398" t="str">
        <f aca="false">IF(A107="N/A"," ",G107*C107)</f>
        <v> </v>
      </c>
      <c r="I107" s="398" t="str">
        <f aca="false">IF(A107="N/A"," ",IF(ISERROR(Q107),I95*Pwresc,Q107))</f>
        <v> </v>
      </c>
      <c r="J107" s="398"/>
      <c r="K107" s="399"/>
      <c r="L107" s="399"/>
      <c r="M107" s="404"/>
      <c r="N107" s="401" t="str">
        <f aca="false">IF(A107="N/A"," ",VLOOKUP(A107,PeakPowerCurves,(IF(BMO2=2,3,IF(BMO2=1,2,4))),FALSE()))</f>
        <v> </v>
      </c>
      <c r="O107" s="401" t="str">
        <f aca="false">IF(A107="N/A"," ",VLOOKUP(A107,SatSunPeakPwr,(IF(BMO2=2,3,IF(BMO2=1,2,4))),FALSE()))</f>
        <v> </v>
      </c>
      <c r="P107" s="401" t="str">
        <f aca="false">IF(A107="N/A"," ",VLOOKUP(A107,SatSunPeakPwr,(IF(BMO2=2,7,IF(BMO2=1,6,8))),FALSE()))</f>
        <v> </v>
      </c>
      <c r="Q107" s="402" t="str">
        <f aca="false">IF(A107="N/A"," ",(VLOOKUP(A107,OPPowerPrices,(IF(BMO2=2,7,IF(BMO2=1,6,8))),FALSE())))</f>
        <v> </v>
      </c>
      <c r="R107" s="403" t="str">
        <f aca="false">IF(A107="N/A"," ",(VLOOKUP($A107,IRTable,2)))</f>
        <v> </v>
      </c>
      <c r="AF107" s="352" t="n">
        <v>39692</v>
      </c>
      <c r="AG107" s="311" t="n">
        <v>21</v>
      </c>
      <c r="AH107" s="311" t="n">
        <v>4</v>
      </c>
      <c r="AI107" s="311" t="n">
        <v>5</v>
      </c>
      <c r="AJ107" s="311" t="n">
        <v>1</v>
      </c>
      <c r="AK107" s="311" t="n">
        <v>30</v>
      </c>
      <c r="AU107" s="406"/>
    </row>
    <row r="108" customFormat="false" ht="12.75" hidden="false" customHeight="false" outlineLevel="0" collapsed="false">
      <c r="A108" s="352" t="str">
        <f aca="false">Option2!A75</f>
        <v>N/A</v>
      </c>
      <c r="B108" s="396" t="str">
        <f aca="false">IF(A108="N/A"," ",IF(ISERROR(N108),B96*Pwresc,N108)*VLOOKUP(MONTH(A108),Curveadj,3))</f>
        <v> </v>
      </c>
      <c r="C108" s="397" t="str">
        <f aca="false">IF(A108="N/A"," ",(IF(AND(Scaler2=1,MONTH(A108)&gt;=6,MONTH(A108)&lt;=8,OR($M$37="REGION 2",$M$37="REGION 2A",$M$37="REGION 2B",$M$37="REGION 3",$M$37="REGION 3A",$M$37="REGION 3B",$M$37="REGION 3C",$M$37="REGION 4",$M$37="REGION 4B",$M$37="REGION 4C",$M$37="REGION 5",$M$37="REGION 5A")),((0.059228/(B108/100))-(0.4980013/(SQRT(B108/100)))+2.137988),HLOOKUP(MONTH(A108),ScalarTable,28))))</f>
        <v> </v>
      </c>
      <c r="D108" s="398" t="str">
        <f aca="false">IF(A108="N/A"," ",C108*B108)</f>
        <v> </v>
      </c>
      <c r="E108" s="396" t="str">
        <f aca="false">IF(A108="N/A"," ",IF(ISERROR(O108),E96*Pwresc,O108)*VLOOKUP(MONTH(A108),Curveadj,3))</f>
        <v> </v>
      </c>
      <c r="F108" s="398" t="str">
        <f aca="false">IF(A108="N/A"," ",E108*C108)</f>
        <v> </v>
      </c>
      <c r="G108" s="396" t="str">
        <f aca="false">IF(A108="N/A"," ",IF(ISERROR(P108),G96*Pwresc,P108)*VLOOKUP(MONTH(A108),Curveadj,3))</f>
        <v> </v>
      </c>
      <c r="H108" s="398" t="str">
        <f aca="false">IF(A108="N/A"," ",G108*C108)</f>
        <v> </v>
      </c>
      <c r="I108" s="398" t="str">
        <f aca="false">IF(A108="N/A"," ",IF(ISERROR(Q108),I96*Pwresc,Q108))</f>
        <v> </v>
      </c>
      <c r="J108" s="398"/>
      <c r="K108" s="399"/>
      <c r="L108" s="399"/>
      <c r="M108" s="404"/>
      <c r="N108" s="401" t="str">
        <f aca="false">IF(A108="N/A"," ",VLOOKUP(A108,PeakPowerCurves,(IF(BMO2=2,3,IF(BMO2=1,2,4))),FALSE()))</f>
        <v> </v>
      </c>
      <c r="O108" s="401" t="str">
        <f aca="false">IF(A108="N/A"," ",VLOOKUP(A108,SatSunPeakPwr,(IF(BMO2=2,3,IF(BMO2=1,2,4))),FALSE()))</f>
        <v> </v>
      </c>
      <c r="P108" s="401" t="str">
        <f aca="false">IF(A108="N/A"," ",VLOOKUP(A108,SatSunPeakPwr,(IF(BMO2=2,7,IF(BMO2=1,6,8))),FALSE()))</f>
        <v> </v>
      </c>
      <c r="Q108" s="402" t="str">
        <f aca="false">IF(A108="N/A"," ",(VLOOKUP(A108,OPPowerPrices,(IF(BMO2=2,7,IF(BMO2=1,6,8))),FALSE())))</f>
        <v> </v>
      </c>
      <c r="R108" s="403" t="str">
        <f aca="false">IF(A108="N/A"," ",(VLOOKUP($A108,IRTable,2)))</f>
        <v> </v>
      </c>
      <c r="AF108" s="352" t="n">
        <v>39722</v>
      </c>
      <c r="AG108" s="311" t="n">
        <v>23</v>
      </c>
      <c r="AH108" s="311" t="n">
        <v>4</v>
      </c>
      <c r="AI108" s="311" t="n">
        <v>4</v>
      </c>
      <c r="AJ108" s="311" t="n">
        <v>0</v>
      </c>
      <c r="AK108" s="311" t="n">
        <v>31</v>
      </c>
      <c r="AU108" s="406"/>
    </row>
    <row r="109" customFormat="false" ht="12.75" hidden="false" customHeight="false" outlineLevel="0" collapsed="false">
      <c r="A109" s="352" t="str">
        <f aca="false">Option2!A76</f>
        <v>N/A</v>
      </c>
      <c r="B109" s="396" t="str">
        <f aca="false">IF(A109="N/A"," ",IF(ISERROR(N109),B97*Pwresc,N109)*VLOOKUP(MONTH(A109),Curveadj,3))</f>
        <v> </v>
      </c>
      <c r="C109" s="397" t="str">
        <f aca="false">IF(A109="N/A"," ",(IF(AND(Scaler2=1,MONTH(A109)&gt;=6,MONTH(A109)&lt;=8,OR($M$37="REGION 2",$M$37="REGION 2A",$M$37="REGION 2B",$M$37="REGION 3",$M$37="REGION 3A",$M$37="REGION 3B",$M$37="REGION 3C",$M$37="REGION 4",$M$37="REGION 4B",$M$37="REGION 4C",$M$37="REGION 5",$M$37="REGION 5A")),((0.059228/(B109/100))-(0.4980013/(SQRT(B109/100)))+2.137988),HLOOKUP(MONTH(A109),ScalarTable,28))))</f>
        <v> </v>
      </c>
      <c r="D109" s="398" t="str">
        <f aca="false">IF(A109="N/A"," ",C109*B109)</f>
        <v> </v>
      </c>
      <c r="E109" s="396" t="str">
        <f aca="false">IF(A109="N/A"," ",IF(ISERROR(O109),E97*Pwresc,O109)*VLOOKUP(MONTH(A109),Curveadj,3))</f>
        <v> </v>
      </c>
      <c r="F109" s="398" t="str">
        <f aca="false">IF(A109="N/A"," ",E109*C109)</f>
        <v> </v>
      </c>
      <c r="G109" s="396" t="str">
        <f aca="false">IF(A109="N/A"," ",IF(ISERROR(P109),G97*Pwresc,P109)*VLOOKUP(MONTH(A109),Curveadj,3))</f>
        <v> </v>
      </c>
      <c r="H109" s="398" t="str">
        <f aca="false">IF(A109="N/A"," ",G109*C109)</f>
        <v> </v>
      </c>
      <c r="I109" s="398" t="str">
        <f aca="false">IF(A109="N/A"," ",IF(ISERROR(Q109),I97*Pwresc,Q109))</f>
        <v> </v>
      </c>
      <c r="J109" s="398"/>
      <c r="K109" s="399"/>
      <c r="L109" s="399"/>
      <c r="M109" s="404"/>
      <c r="N109" s="401" t="str">
        <f aca="false">IF(A109="N/A"," ",VLOOKUP(A109,PeakPowerCurves,(IF(BMO2=2,3,IF(BMO2=1,2,4))),FALSE()))</f>
        <v> </v>
      </c>
      <c r="O109" s="401" t="str">
        <f aca="false">IF(A109="N/A"," ",VLOOKUP(A109,SatSunPeakPwr,(IF(BMO2=2,3,IF(BMO2=1,2,4))),FALSE()))</f>
        <v> </v>
      </c>
      <c r="P109" s="401" t="str">
        <f aca="false">IF(A109="N/A"," ",VLOOKUP(A109,SatSunPeakPwr,(IF(BMO2=2,7,IF(BMO2=1,6,8))),FALSE()))</f>
        <v> </v>
      </c>
      <c r="Q109" s="402" t="str">
        <f aca="false">IF(A109="N/A"," ",(VLOOKUP(A109,OPPowerPrices,(IF(BMO2=2,7,IF(BMO2=1,6,8))),FALSE())))</f>
        <v> </v>
      </c>
      <c r="R109" s="403" t="str">
        <f aca="false">IF(A109="N/A"," ",(VLOOKUP($A109,IRTable,2)))</f>
        <v> </v>
      </c>
      <c r="AF109" s="352" t="n">
        <v>39753</v>
      </c>
      <c r="AG109" s="311" t="n">
        <v>19</v>
      </c>
      <c r="AH109" s="311" t="n">
        <v>5</v>
      </c>
      <c r="AI109" s="311" t="n">
        <v>6</v>
      </c>
      <c r="AJ109" s="311" t="n">
        <v>1</v>
      </c>
      <c r="AK109" s="311" t="n">
        <v>30</v>
      </c>
      <c r="AU109" s="406"/>
    </row>
    <row r="110" customFormat="false" ht="12.75" hidden="false" customHeight="false" outlineLevel="0" collapsed="false">
      <c r="A110" s="352" t="str">
        <f aca="false">Option2!A77</f>
        <v>N/A</v>
      </c>
      <c r="B110" s="396" t="str">
        <f aca="false">IF(A110="N/A"," ",IF(ISERROR(N110),B98*Pwresc,N110)*VLOOKUP(MONTH(A110),Curveadj,3))</f>
        <v> </v>
      </c>
      <c r="C110" s="397" t="str">
        <f aca="false">IF(A110="N/A"," ",(IF(AND(Scaler2=1,MONTH(A110)&gt;=6,MONTH(A110)&lt;=8,OR($M$37="REGION 2",$M$37="REGION 2A",$M$37="REGION 2B",$M$37="REGION 3",$M$37="REGION 3A",$M$37="REGION 3B",$M$37="REGION 3C",$M$37="REGION 4",$M$37="REGION 4B",$M$37="REGION 4C",$M$37="REGION 5",$M$37="REGION 5A")),((0.059228/(B110/100))-(0.4980013/(SQRT(B110/100)))+2.137988),HLOOKUP(MONTH(A110),ScalarTable,28))))</f>
        <v> </v>
      </c>
      <c r="D110" s="398" t="str">
        <f aca="false">IF(A110="N/A"," ",C110*B110)</f>
        <v> </v>
      </c>
      <c r="E110" s="396" t="str">
        <f aca="false">IF(A110="N/A"," ",IF(ISERROR(O110),E98*Pwresc,O110)*VLOOKUP(MONTH(A110),Curveadj,3))</f>
        <v> </v>
      </c>
      <c r="F110" s="398" t="str">
        <f aca="false">IF(A110="N/A"," ",E110*C110)</f>
        <v> </v>
      </c>
      <c r="G110" s="396" t="str">
        <f aca="false">IF(A110="N/A"," ",IF(ISERROR(P110),G98*Pwresc,P110)*VLOOKUP(MONTH(A110),Curveadj,3))</f>
        <v> </v>
      </c>
      <c r="H110" s="398" t="str">
        <f aca="false">IF(A110="N/A"," ",G110*C110)</f>
        <v> </v>
      </c>
      <c r="I110" s="398" t="str">
        <f aca="false">IF(A110="N/A"," ",IF(ISERROR(Q110),I98*Pwresc,Q110))</f>
        <v> </v>
      </c>
      <c r="J110" s="398"/>
      <c r="K110" s="399"/>
      <c r="L110" s="399"/>
      <c r="M110" s="404"/>
      <c r="N110" s="401" t="str">
        <f aca="false">IF(A110="N/A"," ",VLOOKUP(A110,PeakPowerCurves,(IF(BMO2=2,3,IF(BMO2=1,2,4))),FALSE()))</f>
        <v> </v>
      </c>
      <c r="O110" s="401" t="str">
        <f aca="false">IF(A110="N/A"," ",VLOOKUP(A110,SatSunPeakPwr,(IF(BMO2=2,3,IF(BMO2=1,2,4))),FALSE()))</f>
        <v> </v>
      </c>
      <c r="P110" s="401" t="str">
        <f aca="false">IF(A110="N/A"," ",VLOOKUP(A110,SatSunPeakPwr,(IF(BMO2=2,7,IF(BMO2=1,6,8))),FALSE()))</f>
        <v> </v>
      </c>
      <c r="Q110" s="402" t="str">
        <f aca="false">IF(A110="N/A"," ",(VLOOKUP(A110,OPPowerPrices,(IF(BMO2=2,7,IF(BMO2=1,6,8))),FALSE())))</f>
        <v> </v>
      </c>
      <c r="R110" s="403" t="str">
        <f aca="false">IF(A110="N/A"," ",(VLOOKUP($A110,IRTable,2)))</f>
        <v> </v>
      </c>
      <c r="AF110" s="352" t="n">
        <v>39783</v>
      </c>
      <c r="AG110" s="311" t="n">
        <v>22</v>
      </c>
      <c r="AH110" s="311" t="n">
        <v>4</v>
      </c>
      <c r="AI110" s="311" t="n">
        <v>5</v>
      </c>
      <c r="AJ110" s="311" t="n">
        <v>1</v>
      </c>
      <c r="AK110" s="311" t="n">
        <v>31</v>
      </c>
      <c r="AU110" s="406"/>
    </row>
    <row r="111" customFormat="false" ht="12.75" hidden="false" customHeight="false" outlineLevel="0" collapsed="false">
      <c r="A111" s="352" t="str">
        <f aca="false">Option2!A78</f>
        <v>N/A</v>
      </c>
      <c r="B111" s="396" t="str">
        <f aca="false">IF(A111="N/A"," ",IF(ISERROR(N111),B99*Pwresc,N111)*VLOOKUP(MONTH(A111),Curveadj,3))</f>
        <v> </v>
      </c>
      <c r="C111" s="397" t="str">
        <f aca="false">IF(A111="N/A"," ",(IF(AND(Scaler2=1,MONTH(A111)&gt;=6,MONTH(A111)&lt;=8,OR($M$37="REGION 2",$M$37="REGION 2A",$M$37="REGION 2B",$M$37="REGION 3",$M$37="REGION 3A",$M$37="REGION 3B",$M$37="REGION 3C",$M$37="REGION 4",$M$37="REGION 4B",$M$37="REGION 4C",$M$37="REGION 5",$M$37="REGION 5A")),((0.059228/(B111/100))-(0.4980013/(SQRT(B111/100)))+2.137988),HLOOKUP(MONTH(A111),ScalarTable,28))))</f>
        <v> </v>
      </c>
      <c r="D111" s="398" t="str">
        <f aca="false">IF(A111="N/A"," ",C111*B111)</f>
        <v> </v>
      </c>
      <c r="E111" s="396" t="str">
        <f aca="false">IF(A111="N/A"," ",IF(ISERROR(O111),E99*Pwresc,O111)*VLOOKUP(MONTH(A111),Curveadj,3))</f>
        <v> </v>
      </c>
      <c r="F111" s="398" t="str">
        <f aca="false">IF(A111="N/A"," ",E111*C111)</f>
        <v> </v>
      </c>
      <c r="G111" s="396" t="str">
        <f aca="false">IF(A111="N/A"," ",IF(ISERROR(P111),G99*Pwresc,P111)*VLOOKUP(MONTH(A111),Curveadj,3))</f>
        <v> </v>
      </c>
      <c r="H111" s="398" t="str">
        <f aca="false">IF(A111="N/A"," ",G111*C111)</f>
        <v> </v>
      </c>
      <c r="I111" s="398" t="str">
        <f aca="false">IF(A111="N/A"," ",IF(ISERROR(Q111),I99*Pwresc,Q111))</f>
        <v> </v>
      </c>
      <c r="J111" s="398"/>
      <c r="K111" s="399"/>
      <c r="L111" s="399"/>
      <c r="M111" s="404"/>
      <c r="N111" s="401" t="str">
        <f aca="false">IF(A111="N/A"," ",VLOOKUP(A111,PeakPowerCurves,(IF(BMO2=2,3,IF(BMO2=1,2,4))),FALSE()))</f>
        <v> </v>
      </c>
      <c r="O111" s="401" t="str">
        <f aca="false">IF(A111="N/A"," ",VLOOKUP(A111,SatSunPeakPwr,(IF(BMO2=2,3,IF(BMO2=1,2,4))),FALSE()))</f>
        <v> </v>
      </c>
      <c r="P111" s="401" t="str">
        <f aca="false">IF(A111="N/A"," ",VLOOKUP(A111,SatSunPeakPwr,(IF(BMO2=2,7,IF(BMO2=1,6,8))),FALSE()))</f>
        <v> </v>
      </c>
      <c r="Q111" s="402" t="str">
        <f aca="false">IF(A111="N/A"," ",(VLOOKUP(A111,OPPowerPrices,(IF(BMO2=2,7,IF(BMO2=1,6,8))),FALSE())))</f>
        <v> </v>
      </c>
      <c r="R111" s="403" t="str">
        <f aca="false">IF(A111="N/A"," ",(VLOOKUP($A111,IRTable,2)))</f>
        <v> </v>
      </c>
      <c r="AF111" s="352" t="n">
        <v>39814</v>
      </c>
      <c r="AG111" s="311" t="n">
        <v>21</v>
      </c>
      <c r="AH111" s="311" t="n">
        <v>5</v>
      </c>
      <c r="AI111" s="311" t="n">
        <v>5</v>
      </c>
      <c r="AJ111" s="311" t="n">
        <v>1</v>
      </c>
      <c r="AK111" s="311" t="n">
        <v>31</v>
      </c>
      <c r="AU111" s="406"/>
    </row>
    <row r="112" customFormat="false" ht="12.75" hidden="false" customHeight="false" outlineLevel="0" collapsed="false">
      <c r="A112" s="352" t="str">
        <f aca="false">Option2!A79</f>
        <v>N/A</v>
      </c>
      <c r="B112" s="396" t="str">
        <f aca="false">IF(A112="N/A"," ",IF(ISERROR(N112),B100*Pwresc,N112)*VLOOKUP(MONTH(A112),Curveadj,3))</f>
        <v> </v>
      </c>
      <c r="C112" s="397" t="str">
        <f aca="false">IF(A112="N/A"," ",(IF(AND(Scaler2=1,MONTH(A112)&gt;=6,MONTH(A112)&lt;=8,OR($M$37="REGION 2",$M$37="REGION 2A",$M$37="REGION 2B",$M$37="REGION 3",$M$37="REGION 3A",$M$37="REGION 3B",$M$37="REGION 3C",$M$37="REGION 4",$M$37="REGION 4B",$M$37="REGION 4C",$M$37="REGION 5",$M$37="REGION 5A")),((0.059228/(B112/100))-(0.4980013/(SQRT(B112/100)))+2.137988),HLOOKUP(MONTH(A112),ScalarTable,28))))</f>
        <v> </v>
      </c>
      <c r="D112" s="398" t="str">
        <f aca="false">IF(A112="N/A"," ",C112*B112)</f>
        <v> </v>
      </c>
      <c r="E112" s="396" t="str">
        <f aca="false">IF(A112="N/A"," ",IF(ISERROR(O112),E100*Pwresc,O112)*VLOOKUP(MONTH(A112),Curveadj,3))</f>
        <v> </v>
      </c>
      <c r="F112" s="398" t="str">
        <f aca="false">IF(A112="N/A"," ",E112*C112)</f>
        <v> </v>
      </c>
      <c r="G112" s="396" t="str">
        <f aca="false">IF(A112="N/A"," ",IF(ISERROR(P112),G100*Pwresc,P112)*VLOOKUP(MONTH(A112),Curveadj,3))</f>
        <v> </v>
      </c>
      <c r="H112" s="398" t="str">
        <f aca="false">IF(A112="N/A"," ",G112*C112)</f>
        <v> </v>
      </c>
      <c r="I112" s="398" t="str">
        <f aca="false">IF(A112="N/A"," ",IF(ISERROR(Q112),I100*Pwresc,Q112))</f>
        <v> </v>
      </c>
      <c r="J112" s="398"/>
      <c r="K112" s="399"/>
      <c r="L112" s="399"/>
      <c r="M112" s="404"/>
      <c r="N112" s="401" t="str">
        <f aca="false">IF(A112="N/A"," ",VLOOKUP(A112,PeakPowerCurves,(IF(BMO2=2,3,IF(BMO2=1,2,4))),FALSE()))</f>
        <v> </v>
      </c>
      <c r="O112" s="401" t="str">
        <f aca="false">IF(A112="N/A"," ",VLOOKUP(A112,SatSunPeakPwr,(IF(BMO2=2,3,IF(BMO2=1,2,4))),FALSE()))</f>
        <v> </v>
      </c>
      <c r="P112" s="401" t="str">
        <f aca="false">IF(A112="N/A"," ",VLOOKUP(A112,SatSunPeakPwr,(IF(BMO2=2,7,IF(BMO2=1,6,8))),FALSE()))</f>
        <v> </v>
      </c>
      <c r="Q112" s="402" t="str">
        <f aca="false">IF(A112="N/A"," ",(VLOOKUP(A112,OPPowerPrices,(IF(BMO2=2,7,IF(BMO2=1,6,8))),FALSE())))</f>
        <v> </v>
      </c>
      <c r="R112" s="403" t="str">
        <f aca="false">IF(A112="N/A"," ",(VLOOKUP($A112,IRTable,2)))</f>
        <v> </v>
      </c>
      <c r="AF112" s="352" t="n">
        <v>39845</v>
      </c>
      <c r="AG112" s="311" t="n">
        <v>20</v>
      </c>
      <c r="AH112" s="311" t="n">
        <v>4</v>
      </c>
      <c r="AI112" s="311" t="n">
        <v>4</v>
      </c>
      <c r="AJ112" s="311" t="n">
        <v>0</v>
      </c>
      <c r="AK112" s="311" t="n">
        <v>28</v>
      </c>
      <c r="AU112" s="406"/>
    </row>
    <row r="113" customFormat="false" ht="12.75" hidden="false" customHeight="false" outlineLevel="0" collapsed="false">
      <c r="A113" s="352" t="str">
        <f aca="false">Option2!A80</f>
        <v>N/A</v>
      </c>
      <c r="B113" s="396" t="str">
        <f aca="false">IF(A113="N/A"," ",IF(ISERROR(N113),B101*Pwresc,N113)*VLOOKUP(MONTH(A113),Curveadj,3))</f>
        <v> </v>
      </c>
      <c r="C113" s="397" t="str">
        <f aca="false">IF(A113="N/A"," ",(IF(AND(Scaler2=1,MONTH(A113)&gt;=6,MONTH(A113)&lt;=8,OR($M$37="REGION 2",$M$37="REGION 2A",$M$37="REGION 2B",$M$37="REGION 3",$M$37="REGION 3A",$M$37="REGION 3B",$M$37="REGION 3C",$M$37="REGION 4",$M$37="REGION 4B",$M$37="REGION 4C",$M$37="REGION 5",$M$37="REGION 5A")),((0.059228/(B113/100))-(0.4980013/(SQRT(B113/100)))+2.137988),HLOOKUP(MONTH(A113),ScalarTable,28))))</f>
        <v> </v>
      </c>
      <c r="D113" s="398" t="str">
        <f aca="false">IF(A113="N/A"," ",C113*B113)</f>
        <v> </v>
      </c>
      <c r="E113" s="396" t="str">
        <f aca="false">IF(A113="N/A"," ",IF(ISERROR(O113),E101*Pwresc,O113)*VLOOKUP(MONTH(A113),Curveadj,3))</f>
        <v> </v>
      </c>
      <c r="F113" s="398" t="str">
        <f aca="false">IF(A113="N/A"," ",E113*C113)</f>
        <v> </v>
      </c>
      <c r="G113" s="396" t="str">
        <f aca="false">IF(A113="N/A"," ",IF(ISERROR(P113),G101*Pwresc,P113)*VLOOKUP(MONTH(A113),Curveadj,3))</f>
        <v> </v>
      </c>
      <c r="H113" s="398" t="str">
        <f aca="false">IF(A113="N/A"," ",G113*C113)</f>
        <v> </v>
      </c>
      <c r="I113" s="398" t="str">
        <f aca="false">IF(A113="N/A"," ",IF(ISERROR(Q113),I101*Pwresc,Q113))</f>
        <v> </v>
      </c>
      <c r="J113" s="398"/>
      <c r="K113" s="399"/>
      <c r="L113" s="399"/>
      <c r="M113" s="404"/>
      <c r="N113" s="401" t="str">
        <f aca="false">IF(A113="N/A"," ",VLOOKUP(A113,PeakPowerCurves,(IF(BMO2=2,3,IF(BMO2=1,2,4))),FALSE()))</f>
        <v> </v>
      </c>
      <c r="O113" s="401" t="str">
        <f aca="false">IF(A113="N/A"," ",VLOOKUP(A113,SatSunPeakPwr,(IF(BMO2=2,3,IF(BMO2=1,2,4))),FALSE()))</f>
        <v> </v>
      </c>
      <c r="P113" s="401" t="str">
        <f aca="false">IF(A113="N/A"," ",VLOOKUP(A113,SatSunPeakPwr,(IF(BMO2=2,7,IF(BMO2=1,6,8))),FALSE()))</f>
        <v> </v>
      </c>
      <c r="Q113" s="402" t="str">
        <f aca="false">IF(A113="N/A"," ",(VLOOKUP(A113,OPPowerPrices,(IF(BMO2=2,7,IF(BMO2=1,6,8))),FALSE())))</f>
        <v> </v>
      </c>
      <c r="R113" s="403" t="str">
        <f aca="false">IF(A113="N/A"," ",(VLOOKUP($A113,IRTable,2)))</f>
        <v> </v>
      </c>
      <c r="AF113" s="352" t="n">
        <v>39873</v>
      </c>
      <c r="AG113" s="311" t="n">
        <v>22</v>
      </c>
      <c r="AH113" s="311" t="n">
        <v>4</v>
      </c>
      <c r="AI113" s="311" t="n">
        <v>5</v>
      </c>
      <c r="AJ113" s="311" t="n">
        <v>0</v>
      </c>
      <c r="AK113" s="311" t="n">
        <v>31</v>
      </c>
      <c r="AU113" s="406"/>
    </row>
    <row r="114" customFormat="false" ht="12.75" hidden="false" customHeight="false" outlineLevel="0" collapsed="false">
      <c r="A114" s="352" t="str">
        <f aca="false">Option2!A81</f>
        <v>N/A</v>
      </c>
      <c r="B114" s="396" t="str">
        <f aca="false">IF(A114="N/A"," ",IF(ISERROR(N114),B102*Pwresc,N114)*VLOOKUP(MONTH(A114),Curveadj,3))</f>
        <v> </v>
      </c>
      <c r="C114" s="397" t="str">
        <f aca="false">IF(A114="N/A"," ",(IF(AND(Scaler2=1,MONTH(A114)&gt;=6,MONTH(A114)&lt;=8,OR($M$37="REGION 2",$M$37="REGION 2A",$M$37="REGION 2B",$M$37="REGION 3",$M$37="REGION 3A",$M$37="REGION 3B",$M$37="REGION 3C",$M$37="REGION 4",$M$37="REGION 4B",$M$37="REGION 4C",$M$37="REGION 5",$M$37="REGION 5A")),((0.059228/(B114/100))-(0.4980013/(SQRT(B114/100)))+2.137988),HLOOKUP(MONTH(A114),ScalarTable,28))))</f>
        <v> </v>
      </c>
      <c r="D114" s="398" t="str">
        <f aca="false">IF(A114="N/A"," ",C114*B114)</f>
        <v> </v>
      </c>
      <c r="E114" s="396" t="str">
        <f aca="false">IF(A114="N/A"," ",IF(ISERROR(O114),E102*Pwresc,O114)*VLOOKUP(MONTH(A114),Curveadj,3))</f>
        <v> </v>
      </c>
      <c r="F114" s="398" t="str">
        <f aca="false">IF(A114="N/A"," ",E114*C114)</f>
        <v> </v>
      </c>
      <c r="G114" s="396" t="str">
        <f aca="false">IF(A114="N/A"," ",IF(ISERROR(P114),G102*Pwresc,P114)*VLOOKUP(MONTH(A114),Curveadj,3))</f>
        <v> </v>
      </c>
      <c r="H114" s="398" t="str">
        <f aca="false">IF(A114="N/A"," ",G114*C114)</f>
        <v> </v>
      </c>
      <c r="I114" s="398" t="str">
        <f aca="false">IF(A114="N/A"," ",IF(ISERROR(Q114),I102*Pwresc,Q114))</f>
        <v> </v>
      </c>
      <c r="J114" s="398"/>
      <c r="K114" s="399"/>
      <c r="L114" s="399"/>
      <c r="M114" s="404"/>
      <c r="N114" s="401" t="str">
        <f aca="false">IF(A114="N/A"," ",VLOOKUP(A114,PeakPowerCurves,(IF(BMO2=2,3,IF(BMO2=1,2,4))),FALSE()))</f>
        <v> </v>
      </c>
      <c r="O114" s="401" t="str">
        <f aca="false">IF(A114="N/A"," ",VLOOKUP(A114,SatSunPeakPwr,(IF(BMO2=2,3,IF(BMO2=1,2,4))),FALSE()))</f>
        <v> </v>
      </c>
      <c r="P114" s="401" t="str">
        <f aca="false">IF(A114="N/A"," ",VLOOKUP(A114,SatSunPeakPwr,(IF(BMO2=2,7,IF(BMO2=1,6,8))),FALSE()))</f>
        <v> </v>
      </c>
      <c r="Q114" s="402" t="str">
        <f aca="false">IF(A114="N/A"," ",(VLOOKUP(A114,OPPowerPrices,(IF(BMO2=2,7,IF(BMO2=1,6,8))),FALSE())))</f>
        <v> </v>
      </c>
      <c r="R114" s="403" t="str">
        <f aca="false">IF(A114="N/A"," ",(VLOOKUP($A114,IRTable,2)))</f>
        <v> </v>
      </c>
      <c r="AF114" s="352" t="n">
        <v>39904</v>
      </c>
      <c r="AG114" s="311" t="n">
        <v>22</v>
      </c>
      <c r="AH114" s="311" t="n">
        <v>4</v>
      </c>
      <c r="AI114" s="311" t="n">
        <v>4</v>
      </c>
      <c r="AJ114" s="311" t="n">
        <v>0</v>
      </c>
      <c r="AK114" s="311" t="n">
        <v>30</v>
      </c>
      <c r="AU114" s="406"/>
    </row>
    <row r="115" customFormat="false" ht="12.75" hidden="false" customHeight="false" outlineLevel="0" collapsed="false">
      <c r="A115" s="352" t="str">
        <f aca="false">Option2!A82</f>
        <v>N/A</v>
      </c>
      <c r="B115" s="396" t="str">
        <f aca="false">IF(A115="N/A"," ",IF(ISERROR(N115),B103*Pwresc,N115)*VLOOKUP(MONTH(A115),Curveadj,3))</f>
        <v> </v>
      </c>
      <c r="C115" s="397" t="str">
        <f aca="false">IF(A115="N/A"," ",(IF(AND(Scaler2=1,MONTH(A115)&gt;=6,MONTH(A115)&lt;=8,OR($M$37="REGION 2",$M$37="REGION 2A",$M$37="REGION 2B",$M$37="REGION 3",$M$37="REGION 3A",$M$37="REGION 3B",$M$37="REGION 3C",$M$37="REGION 4",$M$37="REGION 4B",$M$37="REGION 4C",$M$37="REGION 5",$M$37="REGION 5A")),((0.059228/(B115/100))-(0.4980013/(SQRT(B115/100)))+2.137988),HLOOKUP(MONTH(A115),ScalarTable,28))))</f>
        <v> </v>
      </c>
      <c r="D115" s="398" t="str">
        <f aca="false">IF(A115="N/A"," ",C115*B115)</f>
        <v> </v>
      </c>
      <c r="E115" s="396" t="str">
        <f aca="false">IF(A115="N/A"," ",IF(ISERROR(O115),E103*Pwresc,O115)*VLOOKUP(MONTH(A115),Curveadj,3))</f>
        <v> </v>
      </c>
      <c r="F115" s="398" t="str">
        <f aca="false">IF(A115="N/A"," ",E115*C115)</f>
        <v> </v>
      </c>
      <c r="G115" s="396" t="str">
        <f aca="false">IF(A115="N/A"," ",IF(ISERROR(P115),G103*Pwresc,P115)*VLOOKUP(MONTH(A115),Curveadj,3))</f>
        <v> </v>
      </c>
      <c r="H115" s="398" t="str">
        <f aca="false">IF(A115="N/A"," ",G115*C115)</f>
        <v> </v>
      </c>
      <c r="I115" s="398" t="str">
        <f aca="false">IF(A115="N/A"," ",IF(ISERROR(Q115),I103*Pwresc,Q115))</f>
        <v> </v>
      </c>
      <c r="J115" s="398"/>
      <c r="K115" s="399"/>
      <c r="L115" s="399"/>
      <c r="M115" s="404"/>
      <c r="N115" s="401" t="str">
        <f aca="false">IF(A115="N/A"," ",VLOOKUP(A115,PeakPowerCurves,(IF(BMO2=2,3,IF(BMO2=1,2,4))),FALSE()))</f>
        <v> </v>
      </c>
      <c r="O115" s="401" t="str">
        <f aca="false">IF(A115="N/A"," ",VLOOKUP(A115,SatSunPeakPwr,(IF(BMO2=2,3,IF(BMO2=1,2,4))),FALSE()))</f>
        <v> </v>
      </c>
      <c r="P115" s="401" t="str">
        <f aca="false">IF(A115="N/A"," ",VLOOKUP(A115,SatSunPeakPwr,(IF(BMO2=2,7,IF(BMO2=1,6,8))),FALSE()))</f>
        <v> </v>
      </c>
      <c r="Q115" s="402" t="str">
        <f aca="false">IF(A115="N/A"," ",(VLOOKUP(A115,OPPowerPrices,(IF(BMO2=2,7,IF(BMO2=1,6,8))),FALSE())))</f>
        <v> </v>
      </c>
      <c r="R115" s="403" t="str">
        <f aca="false">IF(A115="N/A"," ",(VLOOKUP($A115,IRTable,2)))</f>
        <v> </v>
      </c>
      <c r="AF115" s="352" t="n">
        <v>39934</v>
      </c>
      <c r="AG115" s="311" t="n">
        <v>20</v>
      </c>
      <c r="AH115" s="311" t="n">
        <v>5</v>
      </c>
      <c r="AI115" s="311" t="n">
        <v>6</v>
      </c>
      <c r="AJ115" s="311" t="n">
        <v>1</v>
      </c>
      <c r="AK115" s="311" t="n">
        <v>31</v>
      </c>
      <c r="AU115" s="406"/>
    </row>
    <row r="116" customFormat="false" ht="12.75" hidden="false" customHeight="false" outlineLevel="0" collapsed="false">
      <c r="A116" s="352" t="str">
        <f aca="false">Option2!A83</f>
        <v>N/A</v>
      </c>
      <c r="B116" s="396" t="str">
        <f aca="false">IF(A116="N/A"," ",IF(ISERROR(N116),B104*Pwresc,N116)*VLOOKUP(MONTH(A116),Curveadj,3))</f>
        <v> </v>
      </c>
      <c r="C116" s="397" t="str">
        <f aca="false">IF(A116="N/A"," ",(IF(AND(Scaler2=1,MONTH(A116)&gt;=6,MONTH(A116)&lt;=8,OR($M$37="REGION 2",$M$37="REGION 2A",$M$37="REGION 2B",$M$37="REGION 3",$M$37="REGION 3A",$M$37="REGION 3B",$M$37="REGION 3C",$M$37="REGION 4",$M$37="REGION 4B",$M$37="REGION 4C",$M$37="REGION 5",$M$37="REGION 5A")),((0.059228/(B116/100))-(0.4980013/(SQRT(B116/100)))+2.137988),HLOOKUP(MONTH(A116),ScalarTable,28))))</f>
        <v> </v>
      </c>
      <c r="D116" s="398" t="str">
        <f aca="false">IF(A116="N/A"," ",C116*B116)</f>
        <v> </v>
      </c>
      <c r="E116" s="396" t="str">
        <f aca="false">IF(A116="N/A"," ",IF(ISERROR(O116),E104*Pwresc,O116)*VLOOKUP(MONTH(A116),Curveadj,3))</f>
        <v> </v>
      </c>
      <c r="F116" s="398" t="str">
        <f aca="false">IF(A116="N/A"," ",E116*C116)</f>
        <v> </v>
      </c>
      <c r="G116" s="396" t="str">
        <f aca="false">IF(A116="N/A"," ",IF(ISERROR(P116),G104*Pwresc,P116)*VLOOKUP(MONTH(A116),Curveadj,3))</f>
        <v> </v>
      </c>
      <c r="H116" s="398" t="str">
        <f aca="false">IF(A116="N/A"," ",G116*C116)</f>
        <v> </v>
      </c>
      <c r="I116" s="398" t="str">
        <f aca="false">IF(A116="N/A"," ",IF(ISERROR(Q116),I104*Pwresc,Q116))</f>
        <v> </v>
      </c>
      <c r="J116" s="398"/>
      <c r="K116" s="399"/>
      <c r="L116" s="399"/>
      <c r="M116" s="404"/>
      <c r="N116" s="401" t="str">
        <f aca="false">IF(A116="N/A"," ",VLOOKUP(A116,PeakPowerCurves,(IF(BMO2=2,3,IF(BMO2=1,2,4))),FALSE()))</f>
        <v> </v>
      </c>
      <c r="O116" s="401" t="str">
        <f aca="false">IF(A116="N/A"," ",VLOOKUP(A116,SatSunPeakPwr,(IF(BMO2=2,3,IF(BMO2=1,2,4))),FALSE()))</f>
        <v> </v>
      </c>
      <c r="P116" s="401" t="str">
        <f aca="false">IF(A116="N/A"," ",VLOOKUP(A116,SatSunPeakPwr,(IF(BMO2=2,7,IF(BMO2=1,6,8))),FALSE()))</f>
        <v> </v>
      </c>
      <c r="Q116" s="402" t="str">
        <f aca="false">IF(A116="N/A"," ",(VLOOKUP(A116,OPPowerPrices,(IF(BMO2=2,7,IF(BMO2=1,6,8))),FALSE())))</f>
        <v> </v>
      </c>
      <c r="R116" s="403" t="str">
        <f aca="false">IF(A116="N/A"," ",(VLOOKUP($A116,IRTable,2)))</f>
        <v> </v>
      </c>
      <c r="AF116" s="352" t="n">
        <v>39965</v>
      </c>
      <c r="AG116" s="311" t="n">
        <v>22</v>
      </c>
      <c r="AH116" s="311" t="n">
        <v>4</v>
      </c>
      <c r="AI116" s="311" t="n">
        <v>4</v>
      </c>
      <c r="AJ116" s="311" t="n">
        <v>0</v>
      </c>
      <c r="AK116" s="311" t="n">
        <v>30</v>
      </c>
      <c r="AU116" s="406"/>
    </row>
    <row r="117" customFormat="false" ht="12.75" hidden="false" customHeight="false" outlineLevel="0" collapsed="false">
      <c r="A117" s="352" t="str">
        <f aca="false">Option2!A84</f>
        <v>N/A</v>
      </c>
      <c r="B117" s="396" t="str">
        <f aca="false">IF(A117="N/A"," ",IF(ISERROR(N117),B105*Pwresc,N117)*VLOOKUP(MONTH(A117),Curveadj,3))</f>
        <v> </v>
      </c>
      <c r="C117" s="397" t="str">
        <f aca="false">IF(A117="N/A"," ",(IF(AND(Scaler2=1,MONTH(A117)&gt;=6,MONTH(A117)&lt;=8,OR($M$37="REGION 2",$M$37="REGION 2A",$M$37="REGION 2B",$M$37="REGION 3",$M$37="REGION 3A",$M$37="REGION 3B",$M$37="REGION 3C",$M$37="REGION 4",$M$37="REGION 4B",$M$37="REGION 4C",$M$37="REGION 5",$M$37="REGION 5A")),((0.059228/(B117/100))-(0.4980013/(SQRT(B117/100)))+2.137988),HLOOKUP(MONTH(A117),ScalarTable,28))))</f>
        <v> </v>
      </c>
      <c r="D117" s="398" t="str">
        <f aca="false">IF(A117="N/A"," ",C117*B117)</f>
        <v> </v>
      </c>
      <c r="E117" s="396" t="str">
        <f aca="false">IF(A117="N/A"," ",IF(ISERROR(O117),E105*Pwresc,O117)*VLOOKUP(MONTH(A117),Curveadj,3))</f>
        <v> </v>
      </c>
      <c r="F117" s="398" t="str">
        <f aca="false">IF(A117="N/A"," ",E117*C117)</f>
        <v> </v>
      </c>
      <c r="G117" s="396" t="str">
        <f aca="false">IF(A117="N/A"," ",IF(ISERROR(P117),G105*Pwresc,P117)*VLOOKUP(MONTH(A117),Curveadj,3))</f>
        <v> </v>
      </c>
      <c r="H117" s="398" t="str">
        <f aca="false">IF(A117="N/A"," ",G117*C117)</f>
        <v> </v>
      </c>
      <c r="I117" s="398" t="str">
        <f aca="false">IF(A117="N/A"," ",IF(ISERROR(Q117),I105*Pwresc,Q117))</f>
        <v> </v>
      </c>
      <c r="J117" s="398"/>
      <c r="K117" s="399"/>
      <c r="L117" s="399"/>
      <c r="M117" s="404"/>
      <c r="N117" s="401" t="str">
        <f aca="false">IF(A117="N/A"," ",VLOOKUP(A117,PeakPowerCurves,(IF(BMO2=2,3,IF(BMO2=1,2,4))),FALSE()))</f>
        <v> </v>
      </c>
      <c r="O117" s="401" t="str">
        <f aca="false">IF(A117="N/A"," ",VLOOKUP(A117,SatSunPeakPwr,(IF(BMO2=2,3,IF(BMO2=1,2,4))),FALSE()))</f>
        <v> </v>
      </c>
      <c r="P117" s="401" t="str">
        <f aca="false">IF(A117="N/A"," ",VLOOKUP(A117,SatSunPeakPwr,(IF(BMO2=2,7,IF(BMO2=1,6,8))),FALSE()))</f>
        <v> </v>
      </c>
      <c r="Q117" s="402" t="str">
        <f aca="false">IF(A117="N/A"," ",(VLOOKUP(A117,OPPowerPrices,(IF(BMO2=2,7,IF(BMO2=1,6,8))),FALSE())))</f>
        <v> </v>
      </c>
      <c r="R117" s="403" t="str">
        <f aca="false">IF(A117="N/A"," ",(VLOOKUP($A117,IRTable,2)))</f>
        <v> </v>
      </c>
      <c r="AF117" s="352" t="n">
        <v>39995</v>
      </c>
      <c r="AG117" s="311" t="n">
        <v>23</v>
      </c>
      <c r="AH117" s="311" t="n">
        <v>3</v>
      </c>
      <c r="AI117" s="311" t="n">
        <v>5</v>
      </c>
      <c r="AJ117" s="311" t="n">
        <v>1</v>
      </c>
      <c r="AK117" s="311" t="n">
        <v>31</v>
      </c>
      <c r="AU117" s="406"/>
    </row>
    <row r="118" customFormat="false" ht="12.75" hidden="false" customHeight="false" outlineLevel="0" collapsed="false">
      <c r="A118" s="352" t="str">
        <f aca="false">Option2!A85</f>
        <v>N/A</v>
      </c>
      <c r="B118" s="396" t="str">
        <f aca="false">IF(A118="N/A"," ",IF(ISERROR(N118),B106*Pwresc,N118)*VLOOKUP(MONTH(A118),Curveadj,3))</f>
        <v> </v>
      </c>
      <c r="C118" s="397" t="str">
        <f aca="false">IF(A118="N/A"," ",(IF(AND(Scaler2=1,MONTH(A118)&gt;=6,MONTH(A118)&lt;=8,OR($M$37="REGION 2",$M$37="REGION 2A",$M$37="REGION 2B",$M$37="REGION 3",$M$37="REGION 3A",$M$37="REGION 3B",$M$37="REGION 3C",$M$37="REGION 4",$M$37="REGION 4B",$M$37="REGION 4C",$M$37="REGION 5",$M$37="REGION 5A")),((0.059228/(B118/100))-(0.4980013/(SQRT(B118/100)))+2.137988),HLOOKUP(MONTH(A118),ScalarTable,28))))</f>
        <v> </v>
      </c>
      <c r="D118" s="398" t="str">
        <f aca="false">IF(A118="N/A"," ",C118*B118)</f>
        <v> </v>
      </c>
      <c r="E118" s="396" t="str">
        <f aca="false">IF(A118="N/A"," ",IF(ISERROR(O118),E106*Pwresc,O118)*VLOOKUP(MONTH(A118),Curveadj,3))</f>
        <v> </v>
      </c>
      <c r="F118" s="398" t="str">
        <f aca="false">IF(A118="N/A"," ",E118*C118)</f>
        <v> </v>
      </c>
      <c r="G118" s="396" t="str">
        <f aca="false">IF(A118="N/A"," ",IF(ISERROR(P118),G106*Pwresc,P118)*VLOOKUP(MONTH(A118),Curveadj,3))</f>
        <v> </v>
      </c>
      <c r="H118" s="398" t="str">
        <f aca="false">IF(A118="N/A"," ",G118*C118)</f>
        <v> </v>
      </c>
      <c r="I118" s="398" t="str">
        <f aca="false">IF(A118="N/A"," ",IF(ISERROR(Q118),I106*Pwresc,Q118))</f>
        <v> </v>
      </c>
      <c r="J118" s="398"/>
      <c r="K118" s="399"/>
      <c r="L118" s="399"/>
      <c r="M118" s="404"/>
      <c r="N118" s="401" t="str">
        <f aca="false">IF(A118="N/A"," ",VLOOKUP(A118,PeakPowerCurves,(IF(BMO2=2,3,IF(BMO2=1,2,4))),FALSE()))</f>
        <v> </v>
      </c>
      <c r="O118" s="401" t="str">
        <f aca="false">IF(A118="N/A"," ",VLOOKUP(A118,SatSunPeakPwr,(IF(BMO2=2,3,IF(BMO2=1,2,4))),FALSE()))</f>
        <v> </v>
      </c>
      <c r="P118" s="401" t="str">
        <f aca="false">IF(A118="N/A"," ",VLOOKUP(A118,SatSunPeakPwr,(IF(BMO2=2,7,IF(BMO2=1,6,8))),FALSE()))</f>
        <v> </v>
      </c>
      <c r="Q118" s="402" t="str">
        <f aca="false">IF(A118="N/A"," ",(VLOOKUP(A118,OPPowerPrices,(IF(BMO2=2,7,IF(BMO2=1,6,8))),FALSE())))</f>
        <v> </v>
      </c>
      <c r="R118" s="403" t="str">
        <f aca="false">IF(A118="N/A"," ",(VLOOKUP($A118,IRTable,2)))</f>
        <v> </v>
      </c>
      <c r="AF118" s="352" t="n">
        <v>40026</v>
      </c>
      <c r="AG118" s="311" t="n">
        <v>21</v>
      </c>
      <c r="AH118" s="311" t="n">
        <v>5</v>
      </c>
      <c r="AI118" s="311" t="n">
        <v>5</v>
      </c>
      <c r="AJ118" s="311" t="n">
        <v>0</v>
      </c>
      <c r="AK118" s="311" t="n">
        <v>31</v>
      </c>
      <c r="AU118" s="406"/>
    </row>
    <row r="119" customFormat="false" ht="12.75" hidden="false" customHeight="false" outlineLevel="0" collapsed="false">
      <c r="A119" s="352" t="str">
        <f aca="false">Option2!A86</f>
        <v>N/A</v>
      </c>
      <c r="B119" s="396" t="str">
        <f aca="false">IF(A119="N/A"," ",IF(ISERROR(N119),B107*Pwresc,N119)*VLOOKUP(MONTH(A119),Curveadj,3))</f>
        <v> </v>
      </c>
      <c r="C119" s="397" t="str">
        <f aca="false">IF(A119="N/A"," ",(IF(AND(Scaler2=1,MONTH(A119)&gt;=6,MONTH(A119)&lt;=8,OR($M$37="REGION 2",$M$37="REGION 2A",$M$37="REGION 2B",$M$37="REGION 3",$M$37="REGION 3A",$M$37="REGION 3B",$M$37="REGION 3C",$M$37="REGION 4",$M$37="REGION 4B",$M$37="REGION 4C",$M$37="REGION 5",$M$37="REGION 5A")),((0.059228/(B119/100))-(0.4980013/(SQRT(B119/100)))+2.137988),HLOOKUP(MONTH(A119),ScalarTable,28))))</f>
        <v> </v>
      </c>
      <c r="D119" s="398" t="str">
        <f aca="false">IF(A119="N/A"," ",C119*B119)</f>
        <v> </v>
      </c>
      <c r="E119" s="396" t="str">
        <f aca="false">IF(A119="N/A"," ",IF(ISERROR(O119),E107*Pwresc,O119)*VLOOKUP(MONTH(A119),Curveadj,3))</f>
        <v> </v>
      </c>
      <c r="F119" s="398" t="str">
        <f aca="false">IF(A119="N/A"," ",E119*C119)</f>
        <v> </v>
      </c>
      <c r="G119" s="396" t="str">
        <f aca="false">IF(A119="N/A"," ",IF(ISERROR(P119),G107*Pwresc,P119)*VLOOKUP(MONTH(A119),Curveadj,3))</f>
        <v> </v>
      </c>
      <c r="H119" s="398" t="str">
        <f aca="false">IF(A119="N/A"," ",G119*C119)</f>
        <v> </v>
      </c>
      <c r="I119" s="398" t="str">
        <f aca="false">IF(A119="N/A"," ",IF(ISERROR(Q119),I107*Pwresc,Q119))</f>
        <v> </v>
      </c>
      <c r="J119" s="398"/>
      <c r="K119" s="399"/>
      <c r="L119" s="399"/>
      <c r="M119" s="404"/>
      <c r="N119" s="401" t="str">
        <f aca="false">IF(A119="N/A"," ",VLOOKUP(A119,PeakPowerCurves,(IF(BMO2=2,3,IF(BMO2=1,2,4))),FALSE()))</f>
        <v> </v>
      </c>
      <c r="O119" s="401" t="str">
        <f aca="false">IF(A119="N/A"," ",VLOOKUP(A119,SatSunPeakPwr,(IF(BMO2=2,3,IF(BMO2=1,2,4))),FALSE()))</f>
        <v> </v>
      </c>
      <c r="P119" s="401" t="str">
        <f aca="false">IF(A119="N/A"," ",VLOOKUP(A119,SatSunPeakPwr,(IF(BMO2=2,7,IF(BMO2=1,6,8))),FALSE()))</f>
        <v> </v>
      </c>
      <c r="Q119" s="402" t="str">
        <f aca="false">IF(A119="N/A"," ",(VLOOKUP(A119,OPPowerPrices,(IF(BMO2=2,7,IF(BMO2=1,6,8))),FALSE())))</f>
        <v> </v>
      </c>
      <c r="R119" s="403" t="str">
        <f aca="false">IF(A119="N/A"," ",(VLOOKUP($A119,IRTable,2)))</f>
        <v> </v>
      </c>
      <c r="AF119" s="352" t="n">
        <v>40057</v>
      </c>
      <c r="AG119" s="311" t="n">
        <v>21</v>
      </c>
      <c r="AH119" s="311" t="n">
        <v>4</v>
      </c>
      <c r="AI119" s="311" t="n">
        <v>5</v>
      </c>
      <c r="AJ119" s="311" t="n">
        <v>1</v>
      </c>
      <c r="AK119" s="311" t="n">
        <v>30</v>
      </c>
      <c r="AU119" s="406"/>
    </row>
    <row r="120" customFormat="false" ht="12.75" hidden="false" customHeight="false" outlineLevel="0" collapsed="false">
      <c r="A120" s="352" t="str">
        <f aca="false">Option2!A87</f>
        <v>N/A</v>
      </c>
      <c r="B120" s="396" t="str">
        <f aca="false">IF(A120="N/A"," ",IF(ISERROR(N120),B108*Pwresc,N120)*VLOOKUP(MONTH(A120),Curveadj,3))</f>
        <v> </v>
      </c>
      <c r="C120" s="397" t="str">
        <f aca="false">IF(A120="N/A"," ",(IF(AND(Scaler2=1,MONTH(A120)&gt;=6,MONTH(A120)&lt;=8,OR($M$37="REGION 2",$M$37="REGION 2A",$M$37="REGION 2B",$M$37="REGION 3",$M$37="REGION 3A",$M$37="REGION 3B",$M$37="REGION 3C",$M$37="REGION 4",$M$37="REGION 4B",$M$37="REGION 4C",$M$37="REGION 5",$M$37="REGION 5A")),((0.059228/(B120/100))-(0.4980013/(SQRT(B120/100)))+2.137988),HLOOKUP(MONTH(A120),ScalarTable,28))))</f>
        <v> </v>
      </c>
      <c r="D120" s="398" t="str">
        <f aca="false">IF(A120="N/A"," ",C120*B120)</f>
        <v> </v>
      </c>
      <c r="E120" s="396" t="str">
        <f aca="false">IF(A120="N/A"," ",IF(ISERROR(O120),E108*Pwresc,O120)*VLOOKUP(MONTH(A120),Curveadj,3))</f>
        <v> </v>
      </c>
      <c r="F120" s="398" t="str">
        <f aca="false">IF(A120="N/A"," ",E120*C120)</f>
        <v> </v>
      </c>
      <c r="G120" s="396" t="str">
        <f aca="false">IF(A120="N/A"," ",IF(ISERROR(P120),G108*Pwresc,P120)*VLOOKUP(MONTH(A120),Curveadj,3))</f>
        <v> </v>
      </c>
      <c r="H120" s="398" t="str">
        <f aca="false">IF(A120="N/A"," ",G120*C120)</f>
        <v> </v>
      </c>
      <c r="I120" s="398" t="str">
        <f aca="false">IF(A120="N/A"," ",IF(ISERROR(Q120),I108*Pwresc,Q120))</f>
        <v> </v>
      </c>
      <c r="J120" s="398"/>
      <c r="K120" s="399"/>
      <c r="L120" s="399"/>
      <c r="M120" s="404"/>
      <c r="N120" s="401" t="str">
        <f aca="false">IF(A120="N/A"," ",VLOOKUP(A120,PeakPowerCurves,(IF(BMO2=2,3,IF(BMO2=1,2,4))),FALSE()))</f>
        <v> </v>
      </c>
      <c r="O120" s="401" t="str">
        <f aca="false">IF(A120="N/A"," ",VLOOKUP(A120,SatSunPeakPwr,(IF(BMO2=2,3,IF(BMO2=1,2,4))),FALSE()))</f>
        <v> </v>
      </c>
      <c r="P120" s="401" t="str">
        <f aca="false">IF(A120="N/A"," ",VLOOKUP(A120,SatSunPeakPwr,(IF(BMO2=2,7,IF(BMO2=1,6,8))),FALSE()))</f>
        <v> </v>
      </c>
      <c r="Q120" s="402" t="str">
        <f aca="false">IF(A120="N/A"," ",(VLOOKUP(A120,OPPowerPrices,(IF(BMO2=2,7,IF(BMO2=1,6,8))),FALSE())))</f>
        <v> </v>
      </c>
      <c r="R120" s="403" t="str">
        <f aca="false">IF(A120="N/A"," ",(VLOOKUP($A120,IRTable,2)))</f>
        <v> </v>
      </c>
      <c r="AF120" s="352" t="n">
        <v>40087</v>
      </c>
      <c r="AG120" s="311" t="n">
        <v>22</v>
      </c>
      <c r="AH120" s="311" t="n">
        <v>5</v>
      </c>
      <c r="AI120" s="311" t="n">
        <v>4</v>
      </c>
      <c r="AJ120" s="311" t="n">
        <v>0</v>
      </c>
      <c r="AK120" s="311" t="n">
        <v>31</v>
      </c>
      <c r="AU120" s="406"/>
    </row>
    <row r="121" customFormat="false" ht="12.75" hidden="false" customHeight="false" outlineLevel="0" collapsed="false">
      <c r="A121" s="352" t="str">
        <f aca="false">Option2!A88</f>
        <v>N/A</v>
      </c>
      <c r="B121" s="396" t="str">
        <f aca="false">IF(A121="N/A"," ",IF(ISERROR(N121),B109*Pwresc,N121)*VLOOKUP(MONTH(A121),Curveadj,3))</f>
        <v> </v>
      </c>
      <c r="C121" s="397" t="str">
        <f aca="false">IF(A121="N/A"," ",(IF(AND(Scaler2=1,MONTH(A121)&gt;=6,MONTH(A121)&lt;=8,OR($M$37="REGION 2",$M$37="REGION 2A",$M$37="REGION 2B",$M$37="REGION 3",$M$37="REGION 3A",$M$37="REGION 3B",$M$37="REGION 3C",$M$37="REGION 4",$M$37="REGION 4B",$M$37="REGION 4C",$M$37="REGION 5",$M$37="REGION 5A")),((0.059228/(B121/100))-(0.4980013/(SQRT(B121/100)))+2.137988),HLOOKUP(MONTH(A121),ScalarTable,28))))</f>
        <v> </v>
      </c>
      <c r="D121" s="398" t="str">
        <f aca="false">IF(A121="N/A"," ",C121*B121)</f>
        <v> </v>
      </c>
      <c r="E121" s="396" t="str">
        <f aca="false">IF(A121="N/A"," ",IF(ISERROR(O121),E109*Pwresc,O121)*VLOOKUP(MONTH(A121),Curveadj,3))</f>
        <v> </v>
      </c>
      <c r="F121" s="398" t="str">
        <f aca="false">IF(A121="N/A"," ",E121*C121)</f>
        <v> </v>
      </c>
      <c r="G121" s="396" t="str">
        <f aca="false">IF(A121="N/A"," ",IF(ISERROR(P121),G109*Pwresc,P121)*VLOOKUP(MONTH(A121),Curveadj,3))</f>
        <v> </v>
      </c>
      <c r="H121" s="398" t="str">
        <f aca="false">IF(A121="N/A"," ",G121*C121)</f>
        <v> </v>
      </c>
      <c r="I121" s="398" t="str">
        <f aca="false">IF(A121="N/A"," ",IF(ISERROR(Q121),I109*Pwresc,Q121))</f>
        <v> </v>
      </c>
      <c r="J121" s="398"/>
      <c r="K121" s="399"/>
      <c r="L121" s="399"/>
      <c r="M121" s="404"/>
      <c r="N121" s="401" t="str">
        <f aca="false">IF(A121="N/A"," ",VLOOKUP(A121,PeakPowerCurves,(IF(BMO2=2,3,IF(BMO2=1,2,4))),FALSE()))</f>
        <v> </v>
      </c>
      <c r="O121" s="401" t="str">
        <f aca="false">IF(A121="N/A"," ",VLOOKUP(A121,SatSunPeakPwr,(IF(BMO2=2,3,IF(BMO2=1,2,4))),FALSE()))</f>
        <v> </v>
      </c>
      <c r="P121" s="401" t="str">
        <f aca="false">IF(A121="N/A"," ",VLOOKUP(A121,SatSunPeakPwr,(IF(BMO2=2,7,IF(BMO2=1,6,8))),FALSE()))</f>
        <v> </v>
      </c>
      <c r="Q121" s="402" t="str">
        <f aca="false">IF(A121="N/A"," ",(VLOOKUP(A121,OPPowerPrices,(IF(BMO2=2,7,IF(BMO2=1,6,8))),FALSE())))</f>
        <v> </v>
      </c>
      <c r="R121" s="403" t="str">
        <f aca="false">IF(A121="N/A"," ",(VLOOKUP($A121,IRTable,2)))</f>
        <v> </v>
      </c>
      <c r="AF121" s="352" t="n">
        <v>40118</v>
      </c>
      <c r="AG121" s="311" t="n">
        <v>20</v>
      </c>
      <c r="AH121" s="311" t="n">
        <v>4</v>
      </c>
      <c r="AI121" s="311" t="n">
        <v>6</v>
      </c>
      <c r="AJ121" s="311" t="n">
        <v>1</v>
      </c>
      <c r="AK121" s="311" t="n">
        <v>30</v>
      </c>
      <c r="AU121" s="406"/>
    </row>
    <row r="122" customFormat="false" ht="12.75" hidden="false" customHeight="false" outlineLevel="0" collapsed="false">
      <c r="A122" s="352" t="str">
        <f aca="false">Option2!A89</f>
        <v>N/A</v>
      </c>
      <c r="B122" s="396" t="str">
        <f aca="false">IF(A122="N/A"," ",IF(ISERROR(N122),B110*Pwresc,N122)*VLOOKUP(MONTH(A122),Curveadj,3))</f>
        <v> </v>
      </c>
      <c r="C122" s="397" t="str">
        <f aca="false">IF(A122="N/A"," ",(IF(AND(Scaler2=1,MONTH(A122)&gt;=6,MONTH(A122)&lt;=8,OR($M$37="REGION 2",$M$37="REGION 2A",$M$37="REGION 2B",$M$37="REGION 3",$M$37="REGION 3A",$M$37="REGION 3B",$M$37="REGION 3C",$M$37="REGION 4",$M$37="REGION 4B",$M$37="REGION 4C",$M$37="REGION 5",$M$37="REGION 5A")),((0.059228/(B122/100))-(0.4980013/(SQRT(B122/100)))+2.137988),HLOOKUP(MONTH(A122),ScalarTable,28))))</f>
        <v> </v>
      </c>
      <c r="D122" s="398" t="str">
        <f aca="false">IF(A122="N/A"," ",C122*B122)</f>
        <v> </v>
      </c>
      <c r="E122" s="396" t="str">
        <f aca="false">IF(A122="N/A"," ",IF(ISERROR(O122),E110*Pwresc,O122)*VLOOKUP(MONTH(A122),Curveadj,3))</f>
        <v> </v>
      </c>
      <c r="F122" s="398" t="str">
        <f aca="false">IF(A122="N/A"," ",E122*C122)</f>
        <v> </v>
      </c>
      <c r="G122" s="396" t="str">
        <f aca="false">IF(A122="N/A"," ",IF(ISERROR(P122),G110*Pwresc,P122)*VLOOKUP(MONTH(A122),Curveadj,3))</f>
        <v> </v>
      </c>
      <c r="H122" s="398" t="str">
        <f aca="false">IF(A122="N/A"," ",G122*C122)</f>
        <v> </v>
      </c>
      <c r="I122" s="398" t="str">
        <f aca="false">IF(A122="N/A"," ",IF(ISERROR(Q122),I110*Pwresc,Q122))</f>
        <v> </v>
      </c>
      <c r="J122" s="398"/>
      <c r="K122" s="399"/>
      <c r="L122" s="399"/>
      <c r="M122" s="404"/>
      <c r="N122" s="401" t="str">
        <f aca="false">IF(A122="N/A"," ",VLOOKUP(A122,PeakPowerCurves,(IF(BMO2=2,3,IF(BMO2=1,2,4))),FALSE()))</f>
        <v> </v>
      </c>
      <c r="O122" s="401" t="str">
        <f aca="false">IF(A122="N/A"," ",VLOOKUP(A122,SatSunPeakPwr,(IF(BMO2=2,3,IF(BMO2=1,2,4))),FALSE()))</f>
        <v> </v>
      </c>
      <c r="P122" s="401" t="str">
        <f aca="false">IF(A122="N/A"," ",VLOOKUP(A122,SatSunPeakPwr,(IF(BMO2=2,7,IF(BMO2=1,6,8))),FALSE()))</f>
        <v> </v>
      </c>
      <c r="Q122" s="402" t="str">
        <f aca="false">IF(A122="N/A"," ",(VLOOKUP(A122,OPPowerPrices,(IF(BMO2=2,7,IF(BMO2=1,6,8))),FALSE())))</f>
        <v> </v>
      </c>
      <c r="R122" s="403" t="str">
        <f aca="false">IF(A122="N/A"," ",(VLOOKUP($A122,IRTable,2)))</f>
        <v> </v>
      </c>
      <c r="AF122" s="352" t="n">
        <v>40148</v>
      </c>
      <c r="AG122" s="311" t="n">
        <v>22</v>
      </c>
      <c r="AH122" s="311" t="n">
        <v>4</v>
      </c>
      <c r="AI122" s="311" t="n">
        <v>5</v>
      </c>
      <c r="AJ122" s="311" t="n">
        <v>1</v>
      </c>
      <c r="AK122" s="311" t="n">
        <v>31</v>
      </c>
      <c r="AU122" s="406"/>
    </row>
    <row r="123" customFormat="false" ht="12.75" hidden="false" customHeight="false" outlineLevel="0" collapsed="false">
      <c r="A123" s="352" t="str">
        <f aca="false">Option2!A90</f>
        <v>N/A</v>
      </c>
      <c r="B123" s="396" t="str">
        <f aca="false">IF(A123="N/A"," ",IF(ISERROR(N123),B111*Pwresc,N123)*VLOOKUP(MONTH(A123),Curveadj,3))</f>
        <v> </v>
      </c>
      <c r="C123" s="397" t="str">
        <f aca="false">IF(A123="N/A"," ",(IF(AND(Scaler2=1,MONTH(A123)&gt;=6,MONTH(A123)&lt;=8,OR($M$37="REGION 2",$M$37="REGION 2A",$M$37="REGION 2B",$M$37="REGION 3",$M$37="REGION 3A",$M$37="REGION 3B",$M$37="REGION 3C",$M$37="REGION 4",$M$37="REGION 4B",$M$37="REGION 4C",$M$37="REGION 5",$M$37="REGION 5A")),((0.059228/(B123/100))-(0.4980013/(SQRT(B123/100)))+2.137988),HLOOKUP(MONTH(A123),ScalarTable,28))))</f>
        <v> </v>
      </c>
      <c r="D123" s="398" t="str">
        <f aca="false">IF(A123="N/A"," ",C123*B123)</f>
        <v> </v>
      </c>
      <c r="E123" s="396" t="str">
        <f aca="false">IF(A123="N/A"," ",IF(ISERROR(O123),E111*Pwresc,O123)*VLOOKUP(MONTH(A123),Curveadj,3))</f>
        <v> </v>
      </c>
      <c r="F123" s="398" t="str">
        <f aca="false">IF(A123="N/A"," ",E123*C123)</f>
        <v> </v>
      </c>
      <c r="G123" s="396" t="str">
        <f aca="false">IF(A123="N/A"," ",IF(ISERROR(P123),G111*Pwresc,P123)*VLOOKUP(MONTH(A123),Curveadj,3))</f>
        <v> </v>
      </c>
      <c r="H123" s="398" t="str">
        <f aca="false">IF(A123="N/A"," ",G123*C123)</f>
        <v> </v>
      </c>
      <c r="I123" s="398" t="str">
        <f aca="false">IF(A123="N/A"," ",IF(ISERROR(Q123),I111*Pwresc,Q123))</f>
        <v> </v>
      </c>
      <c r="J123" s="398"/>
      <c r="K123" s="399"/>
      <c r="L123" s="399"/>
      <c r="M123" s="404"/>
      <c r="N123" s="401" t="str">
        <f aca="false">IF(A123="N/A"," ",VLOOKUP(A123,PeakPowerCurves,(IF(BMO2=2,3,IF(BMO2=1,2,4))),FALSE()))</f>
        <v> </v>
      </c>
      <c r="O123" s="401" t="str">
        <f aca="false">IF(A123="N/A"," ",VLOOKUP(A123,SatSunPeakPwr,(IF(BMO2=2,3,IF(BMO2=1,2,4))),FALSE()))</f>
        <v> </v>
      </c>
      <c r="P123" s="401" t="str">
        <f aca="false">IF(A123="N/A"," ",VLOOKUP(A123,SatSunPeakPwr,(IF(BMO2=2,7,IF(BMO2=1,6,8))),FALSE()))</f>
        <v> </v>
      </c>
      <c r="Q123" s="402" t="str">
        <f aca="false">IF(A123="N/A"," ",(VLOOKUP(A123,OPPowerPrices,(IF(BMO2=2,7,IF(BMO2=1,6,8))),FALSE())))</f>
        <v> </v>
      </c>
      <c r="R123" s="403" t="str">
        <f aca="false">IF(A123="N/A"," ",(VLOOKUP($A123,IRTable,2)))</f>
        <v> </v>
      </c>
      <c r="AF123" s="352" t="n">
        <v>40179</v>
      </c>
      <c r="AG123" s="311" t="n">
        <v>20</v>
      </c>
      <c r="AH123" s="311" t="n">
        <v>5</v>
      </c>
      <c r="AI123" s="311" t="n">
        <v>6</v>
      </c>
      <c r="AJ123" s="311" t="n">
        <v>1</v>
      </c>
      <c r="AK123" s="311" t="n">
        <v>31</v>
      </c>
      <c r="AU123" s="406"/>
    </row>
    <row r="124" customFormat="false" ht="12.75" hidden="false" customHeight="false" outlineLevel="0" collapsed="false">
      <c r="A124" s="352" t="str">
        <f aca="false">Option2!A91</f>
        <v>N/A</v>
      </c>
      <c r="B124" s="396" t="str">
        <f aca="false">IF(A124="N/A"," ",IF(ISERROR(N124),B112*Pwresc,N124)*VLOOKUP(MONTH(A124),Curveadj,3))</f>
        <v> </v>
      </c>
      <c r="C124" s="397" t="str">
        <f aca="false">IF(A124="N/A"," ",(IF(AND(Scaler2=1,MONTH(A124)&gt;=6,MONTH(A124)&lt;=8,OR($M$37="REGION 2",$M$37="REGION 2A",$M$37="REGION 2B",$M$37="REGION 3",$M$37="REGION 3A",$M$37="REGION 3B",$M$37="REGION 3C",$M$37="REGION 4",$M$37="REGION 4B",$M$37="REGION 4C",$M$37="REGION 5",$M$37="REGION 5A")),((0.059228/(B124/100))-(0.4980013/(SQRT(B124/100)))+2.137988),HLOOKUP(MONTH(A124),ScalarTable,28))))</f>
        <v> </v>
      </c>
      <c r="D124" s="398" t="str">
        <f aca="false">IF(A124="N/A"," ",C124*B124)</f>
        <v> </v>
      </c>
      <c r="E124" s="396" t="str">
        <f aca="false">IF(A124="N/A"," ",IF(ISERROR(O124),E112*Pwresc,O124)*VLOOKUP(MONTH(A124),Curveadj,3))</f>
        <v> </v>
      </c>
      <c r="F124" s="398" t="str">
        <f aca="false">IF(A124="N/A"," ",E124*C124)</f>
        <v> </v>
      </c>
      <c r="G124" s="396" t="str">
        <f aca="false">IF(A124="N/A"," ",IF(ISERROR(P124),G112*Pwresc,P124)*VLOOKUP(MONTH(A124),Curveadj,3))</f>
        <v> </v>
      </c>
      <c r="H124" s="398" t="str">
        <f aca="false">IF(A124="N/A"," ",G124*C124)</f>
        <v> </v>
      </c>
      <c r="I124" s="398" t="str">
        <f aca="false">IF(A124="N/A"," ",IF(ISERROR(Q124),I112*Pwresc,Q124))</f>
        <v> </v>
      </c>
      <c r="J124" s="398"/>
      <c r="K124" s="399"/>
      <c r="L124" s="399"/>
      <c r="M124" s="404"/>
      <c r="N124" s="401" t="str">
        <f aca="false">IF(A124="N/A"," ",VLOOKUP(A124,PeakPowerCurves,(IF(BMO2=2,3,IF(BMO2=1,2,4))),FALSE()))</f>
        <v> </v>
      </c>
      <c r="O124" s="401" t="str">
        <f aca="false">IF(A124="N/A"," ",VLOOKUP(A124,SatSunPeakPwr,(IF(BMO2=2,3,IF(BMO2=1,2,4))),FALSE()))</f>
        <v> </v>
      </c>
      <c r="P124" s="401" t="str">
        <f aca="false">IF(A124="N/A"," ",VLOOKUP(A124,SatSunPeakPwr,(IF(BMO2=2,7,IF(BMO2=1,6,8))),FALSE()))</f>
        <v> </v>
      </c>
      <c r="Q124" s="402" t="str">
        <f aca="false">IF(A124="N/A"," ",(VLOOKUP(A124,OPPowerPrices,(IF(BMO2=2,7,IF(BMO2=1,6,8))),FALSE())))</f>
        <v> </v>
      </c>
      <c r="R124" s="403" t="str">
        <f aca="false">IF(A124="N/A"," ",(VLOOKUP($A124,IRTable,2)))</f>
        <v> </v>
      </c>
      <c r="AF124" s="352" t="n">
        <v>40210</v>
      </c>
      <c r="AG124" s="311" t="n">
        <v>20</v>
      </c>
      <c r="AH124" s="311" t="n">
        <v>4</v>
      </c>
      <c r="AI124" s="311" t="n">
        <v>4</v>
      </c>
      <c r="AJ124" s="311" t="n">
        <v>0</v>
      </c>
      <c r="AK124" s="311" t="n">
        <v>28</v>
      </c>
      <c r="AU124" s="406"/>
    </row>
    <row r="125" customFormat="false" ht="12.75" hidden="false" customHeight="false" outlineLevel="0" collapsed="false">
      <c r="A125" s="352" t="str">
        <f aca="false">Option2!A92</f>
        <v>N/A</v>
      </c>
      <c r="B125" s="396" t="str">
        <f aca="false">IF(A125="N/A"," ",IF(ISERROR(N125),B113*Pwresc,N125)*VLOOKUP(MONTH(A125),Curveadj,3))</f>
        <v> </v>
      </c>
      <c r="C125" s="397" t="str">
        <f aca="false">IF(A125="N/A"," ",(IF(AND(Scaler2=1,MONTH(A125)&gt;=6,MONTH(A125)&lt;=8,OR($M$37="REGION 2",$M$37="REGION 2A",$M$37="REGION 2B",$M$37="REGION 3",$M$37="REGION 3A",$M$37="REGION 3B",$M$37="REGION 3C",$M$37="REGION 4",$M$37="REGION 4B",$M$37="REGION 4C",$M$37="REGION 5",$M$37="REGION 5A")),((0.059228/(B125/100))-(0.4980013/(SQRT(B125/100)))+2.137988),HLOOKUP(MONTH(A125),ScalarTable,28))))</f>
        <v> </v>
      </c>
      <c r="D125" s="398" t="str">
        <f aca="false">IF(A125="N/A"," ",C125*B125)</f>
        <v> </v>
      </c>
      <c r="E125" s="396" t="str">
        <f aca="false">IF(A125="N/A"," ",IF(ISERROR(O125),E113*Pwresc,O125)*VLOOKUP(MONTH(A125),Curveadj,3))</f>
        <v> </v>
      </c>
      <c r="F125" s="398" t="str">
        <f aca="false">IF(A125="N/A"," ",E125*C125)</f>
        <v> </v>
      </c>
      <c r="G125" s="396" t="str">
        <f aca="false">IF(A125="N/A"," ",IF(ISERROR(P125),G113*Pwresc,P125)*VLOOKUP(MONTH(A125),Curveadj,3))</f>
        <v> </v>
      </c>
      <c r="H125" s="398" t="str">
        <f aca="false">IF(A125="N/A"," ",G125*C125)</f>
        <v> </v>
      </c>
      <c r="I125" s="398" t="str">
        <f aca="false">IF(A125="N/A"," ",IF(ISERROR(Q125),I113*Pwresc,Q125))</f>
        <v> </v>
      </c>
      <c r="J125" s="398"/>
      <c r="K125" s="399"/>
      <c r="L125" s="399"/>
      <c r="M125" s="404"/>
      <c r="N125" s="401" t="str">
        <f aca="false">IF(A125="N/A"," ",VLOOKUP(A125,PeakPowerCurves,(IF(BMO2=2,3,IF(BMO2=1,2,4))),FALSE()))</f>
        <v> </v>
      </c>
      <c r="O125" s="401" t="str">
        <f aca="false">IF(A125="N/A"," ",VLOOKUP(A125,SatSunPeakPwr,(IF(BMO2=2,3,IF(BMO2=1,2,4))),FALSE()))</f>
        <v> </v>
      </c>
      <c r="P125" s="401" t="str">
        <f aca="false">IF(A125="N/A"," ",VLOOKUP(A125,SatSunPeakPwr,(IF(BMO2=2,7,IF(BMO2=1,6,8))),FALSE()))</f>
        <v> </v>
      </c>
      <c r="Q125" s="402" t="str">
        <f aca="false">IF(A125="N/A"," ",(VLOOKUP(A125,OPPowerPrices,(IF(BMO2=2,7,IF(BMO2=1,6,8))),FALSE())))</f>
        <v> </v>
      </c>
      <c r="R125" s="403" t="str">
        <f aca="false">IF(A125="N/A"," ",(VLOOKUP($A125,IRTable,2)))</f>
        <v> </v>
      </c>
      <c r="AF125" s="352" t="n">
        <v>40238</v>
      </c>
      <c r="AG125" s="311" t="n">
        <v>23</v>
      </c>
      <c r="AH125" s="311" t="n">
        <v>4</v>
      </c>
      <c r="AI125" s="311" t="n">
        <v>4</v>
      </c>
      <c r="AJ125" s="311" t="n">
        <v>0</v>
      </c>
      <c r="AK125" s="311" t="n">
        <v>31</v>
      </c>
      <c r="AU125" s="406"/>
    </row>
    <row r="126" customFormat="false" ht="12.75" hidden="false" customHeight="false" outlineLevel="0" collapsed="false">
      <c r="A126" s="352" t="str">
        <f aca="false">Option2!A93</f>
        <v>N/A</v>
      </c>
      <c r="B126" s="396" t="str">
        <f aca="false">IF(A126="N/A"," ",IF(ISERROR(N126),B114*Pwresc,N126)*VLOOKUP(MONTH(A126),Curveadj,3))</f>
        <v> </v>
      </c>
      <c r="C126" s="397" t="str">
        <f aca="false">IF(A126="N/A"," ",(IF(AND(Scaler2=1,MONTH(A126)&gt;=6,MONTH(A126)&lt;=8,OR($M$37="REGION 2",$M$37="REGION 2A",$M$37="REGION 2B",$M$37="REGION 3",$M$37="REGION 3A",$M$37="REGION 3B",$M$37="REGION 3C",$M$37="REGION 4",$M$37="REGION 4B",$M$37="REGION 4C",$M$37="REGION 5",$M$37="REGION 5A")),((0.059228/(B126/100))-(0.4980013/(SQRT(B126/100)))+2.137988),HLOOKUP(MONTH(A126),ScalarTable,28))))</f>
        <v> </v>
      </c>
      <c r="D126" s="398" t="str">
        <f aca="false">IF(A126="N/A"," ",C126*B126)</f>
        <v> </v>
      </c>
      <c r="E126" s="396" t="str">
        <f aca="false">IF(A126="N/A"," ",IF(ISERROR(O126),E114*Pwresc,O126)*VLOOKUP(MONTH(A126),Curveadj,3))</f>
        <v> </v>
      </c>
      <c r="F126" s="398" t="str">
        <f aca="false">IF(A126="N/A"," ",E126*C126)</f>
        <v> </v>
      </c>
      <c r="G126" s="396" t="str">
        <f aca="false">IF(A126="N/A"," ",IF(ISERROR(P126),G114*Pwresc,P126)*VLOOKUP(MONTH(A126),Curveadj,3))</f>
        <v> </v>
      </c>
      <c r="H126" s="398" t="str">
        <f aca="false">IF(A126="N/A"," ",G126*C126)</f>
        <v> </v>
      </c>
      <c r="I126" s="398" t="str">
        <f aca="false">IF(A126="N/A"," ",IF(ISERROR(Q126),I114*Pwresc,Q126))</f>
        <v> </v>
      </c>
      <c r="J126" s="398"/>
      <c r="K126" s="399"/>
      <c r="L126" s="399"/>
      <c r="M126" s="404"/>
      <c r="N126" s="401" t="str">
        <f aca="false">IF(A126="N/A"," ",VLOOKUP(A126,PeakPowerCurves,(IF(BMO2=2,3,IF(BMO2=1,2,4))),FALSE()))</f>
        <v> </v>
      </c>
      <c r="O126" s="401" t="str">
        <f aca="false">IF(A126="N/A"," ",VLOOKUP(A126,SatSunPeakPwr,(IF(BMO2=2,3,IF(BMO2=1,2,4))),FALSE()))</f>
        <v> </v>
      </c>
      <c r="P126" s="401" t="str">
        <f aca="false">IF(A126="N/A"," ",VLOOKUP(A126,SatSunPeakPwr,(IF(BMO2=2,7,IF(BMO2=1,6,8))),FALSE()))</f>
        <v> </v>
      </c>
      <c r="Q126" s="402" t="str">
        <f aca="false">IF(A126="N/A"," ",(VLOOKUP(A126,OPPowerPrices,(IF(BMO2=2,7,IF(BMO2=1,6,8))),FALSE())))</f>
        <v> </v>
      </c>
      <c r="R126" s="403" t="str">
        <f aca="false">IF(A126="N/A"," ",(VLOOKUP($A126,IRTable,2)))</f>
        <v> </v>
      </c>
      <c r="AF126" s="352" t="n">
        <v>40269</v>
      </c>
      <c r="AG126" s="311" t="n">
        <v>22</v>
      </c>
      <c r="AH126" s="311" t="n">
        <v>4</v>
      </c>
      <c r="AI126" s="311" t="n">
        <v>4</v>
      </c>
      <c r="AJ126" s="311" t="n">
        <v>0</v>
      </c>
      <c r="AK126" s="311" t="n">
        <v>30</v>
      </c>
      <c r="AU126" s="406"/>
    </row>
    <row r="127" customFormat="false" ht="12.75" hidden="false" customHeight="false" outlineLevel="0" collapsed="false">
      <c r="A127" s="352" t="str">
        <f aca="false">Option2!A94</f>
        <v>N/A</v>
      </c>
      <c r="B127" s="396" t="str">
        <f aca="false">IF(A127="N/A"," ",IF(ISERROR(N127),B115*Pwresc,N127)*VLOOKUP(MONTH(A127),Curveadj,3))</f>
        <v> </v>
      </c>
      <c r="C127" s="397" t="str">
        <f aca="false">IF(A127="N/A"," ",(IF(AND(Scaler2=1,MONTH(A127)&gt;=6,MONTH(A127)&lt;=8,OR($M$37="REGION 2",$M$37="REGION 2A",$M$37="REGION 2B",$M$37="REGION 3",$M$37="REGION 3A",$M$37="REGION 3B",$M$37="REGION 3C",$M$37="REGION 4",$M$37="REGION 4B",$M$37="REGION 4C",$M$37="REGION 5",$M$37="REGION 5A")),((0.059228/(B127/100))-(0.4980013/(SQRT(B127/100)))+2.137988),HLOOKUP(MONTH(A127),ScalarTable,28))))</f>
        <v> </v>
      </c>
      <c r="D127" s="398" t="str">
        <f aca="false">IF(A127="N/A"," ",C127*B127)</f>
        <v> </v>
      </c>
      <c r="E127" s="396" t="str">
        <f aca="false">IF(A127="N/A"," ",IF(ISERROR(O127),E115*Pwresc,O127)*VLOOKUP(MONTH(A127),Curveadj,3))</f>
        <v> </v>
      </c>
      <c r="F127" s="398" t="str">
        <f aca="false">IF(A127="N/A"," ",E127*C127)</f>
        <v> </v>
      </c>
      <c r="G127" s="396" t="str">
        <f aca="false">IF(A127="N/A"," ",IF(ISERROR(P127),G115*Pwresc,P127)*VLOOKUP(MONTH(A127),Curveadj,3))</f>
        <v> </v>
      </c>
      <c r="H127" s="398" t="str">
        <f aca="false">IF(A127="N/A"," ",G127*C127)</f>
        <v> </v>
      </c>
      <c r="I127" s="398" t="str">
        <f aca="false">IF(A127="N/A"," ",IF(ISERROR(Q127),I115*Pwresc,Q127))</f>
        <v> </v>
      </c>
      <c r="J127" s="398"/>
      <c r="K127" s="399"/>
      <c r="L127" s="399"/>
      <c r="M127" s="404"/>
      <c r="N127" s="401" t="str">
        <f aca="false">IF(A127="N/A"," ",VLOOKUP(A127,PeakPowerCurves,(IF(BMO2=2,3,IF(BMO2=1,2,4))),FALSE()))</f>
        <v> </v>
      </c>
      <c r="O127" s="401" t="str">
        <f aca="false">IF(A127="N/A"," ",VLOOKUP(A127,SatSunPeakPwr,(IF(BMO2=2,3,IF(BMO2=1,2,4))),FALSE()))</f>
        <v> </v>
      </c>
      <c r="P127" s="401" t="str">
        <f aca="false">IF(A127="N/A"," ",VLOOKUP(A127,SatSunPeakPwr,(IF(BMO2=2,7,IF(BMO2=1,6,8))),FALSE()))</f>
        <v> </v>
      </c>
      <c r="Q127" s="402" t="str">
        <f aca="false">IF(A127="N/A"," ",(VLOOKUP(A127,OPPowerPrices,(IF(BMO2=2,7,IF(BMO2=1,6,8))),FALSE())))</f>
        <v> </v>
      </c>
      <c r="R127" s="403" t="str">
        <f aca="false">IF(A127="N/A"," ",(VLOOKUP($A127,IRTable,2)))</f>
        <v> </v>
      </c>
      <c r="AF127" s="352" t="n">
        <v>40299</v>
      </c>
      <c r="AG127" s="311" t="n">
        <v>20</v>
      </c>
      <c r="AH127" s="311" t="n">
        <v>5</v>
      </c>
      <c r="AI127" s="311" t="n">
        <v>6</v>
      </c>
      <c r="AJ127" s="311" t="n">
        <v>1</v>
      </c>
      <c r="AK127" s="311" t="n">
        <v>31</v>
      </c>
      <c r="AU127" s="406"/>
    </row>
    <row r="128" customFormat="false" ht="12.75" hidden="false" customHeight="false" outlineLevel="0" collapsed="false">
      <c r="A128" s="352" t="str">
        <f aca="false">Option2!A95</f>
        <v>N/A</v>
      </c>
      <c r="B128" s="396" t="str">
        <f aca="false">IF(A128="N/A"," ",IF(ISERROR(N128),B116*Pwresc,N128)*VLOOKUP(MONTH(A128),Curveadj,3))</f>
        <v> </v>
      </c>
      <c r="C128" s="397" t="str">
        <f aca="false">IF(A128="N/A"," ",(IF(AND(Scaler2=1,MONTH(A128)&gt;=6,MONTH(A128)&lt;=8,OR($M$37="REGION 2",$M$37="REGION 2A",$M$37="REGION 2B",$M$37="REGION 3",$M$37="REGION 3A",$M$37="REGION 3B",$M$37="REGION 3C",$M$37="REGION 4",$M$37="REGION 4B",$M$37="REGION 4C",$M$37="REGION 5",$M$37="REGION 5A")),((0.059228/(B128/100))-(0.4980013/(SQRT(B128/100)))+2.137988),HLOOKUP(MONTH(A128),ScalarTable,28))))</f>
        <v> </v>
      </c>
      <c r="D128" s="398" t="str">
        <f aca="false">IF(A128="N/A"," ",C128*B128)</f>
        <v> </v>
      </c>
      <c r="E128" s="396" t="str">
        <f aca="false">IF(A128="N/A"," ",IF(ISERROR(O128),E116*Pwresc,O128)*VLOOKUP(MONTH(A128),Curveadj,3))</f>
        <v> </v>
      </c>
      <c r="F128" s="398" t="str">
        <f aca="false">IF(A128="N/A"," ",E128*C128)</f>
        <v> </v>
      </c>
      <c r="G128" s="396" t="str">
        <f aca="false">IF(A128="N/A"," ",IF(ISERROR(P128),G116*Pwresc,P128)*VLOOKUP(MONTH(A128),Curveadj,3))</f>
        <v> </v>
      </c>
      <c r="H128" s="398" t="str">
        <f aca="false">IF(A128="N/A"," ",G128*C128)</f>
        <v> </v>
      </c>
      <c r="I128" s="398" t="str">
        <f aca="false">IF(A128="N/A"," ",IF(ISERROR(Q128),I116*Pwresc,Q128))</f>
        <v> </v>
      </c>
      <c r="J128" s="398"/>
      <c r="K128" s="399"/>
      <c r="L128" s="399"/>
      <c r="M128" s="404"/>
      <c r="N128" s="401" t="str">
        <f aca="false">IF(A128="N/A"," ",VLOOKUP(A128,PeakPowerCurves,(IF(BMO2=2,3,IF(BMO2=1,2,4))),FALSE()))</f>
        <v> </v>
      </c>
      <c r="O128" s="401" t="str">
        <f aca="false">IF(A128="N/A"," ",VLOOKUP(A128,SatSunPeakPwr,(IF(BMO2=2,3,IF(BMO2=1,2,4))),FALSE()))</f>
        <v> </v>
      </c>
      <c r="P128" s="401" t="str">
        <f aca="false">IF(A128="N/A"," ",VLOOKUP(A128,SatSunPeakPwr,(IF(BMO2=2,7,IF(BMO2=1,6,8))),FALSE()))</f>
        <v> </v>
      </c>
      <c r="Q128" s="402" t="str">
        <f aca="false">IF(A128="N/A"," ",(VLOOKUP(A128,OPPowerPrices,(IF(BMO2=2,7,IF(BMO2=1,6,8))),FALSE())))</f>
        <v> </v>
      </c>
      <c r="R128" s="403" t="str">
        <f aca="false">IF(A128="N/A"," ",(VLOOKUP($A128,IRTable,2)))</f>
        <v> </v>
      </c>
      <c r="AF128" s="352" t="n">
        <v>40330</v>
      </c>
      <c r="AG128" s="311" t="n">
        <v>22</v>
      </c>
      <c r="AH128" s="311" t="n">
        <v>4</v>
      </c>
      <c r="AI128" s="311" t="n">
        <v>4</v>
      </c>
      <c r="AJ128" s="311" t="n">
        <v>0</v>
      </c>
      <c r="AK128" s="311" t="n">
        <v>30</v>
      </c>
      <c r="AU128" s="406"/>
    </row>
    <row r="129" customFormat="false" ht="12.75" hidden="false" customHeight="false" outlineLevel="0" collapsed="false">
      <c r="A129" s="352" t="str">
        <f aca="false">Option2!A96</f>
        <v>N/A</v>
      </c>
      <c r="B129" s="396" t="str">
        <f aca="false">IF(A129="N/A"," ",IF(ISERROR(N129),B117*Pwresc,N129)*VLOOKUP(MONTH(A129),Curveadj,3))</f>
        <v> </v>
      </c>
      <c r="C129" s="397" t="str">
        <f aca="false">IF(A129="N/A"," ",(IF(AND(Scaler2=1,MONTH(A129)&gt;=6,MONTH(A129)&lt;=8,OR($M$37="REGION 2",$M$37="REGION 2A",$M$37="REGION 2B",$M$37="REGION 3",$M$37="REGION 3A",$M$37="REGION 3B",$M$37="REGION 3C",$M$37="REGION 4",$M$37="REGION 4B",$M$37="REGION 4C",$M$37="REGION 5",$M$37="REGION 5A")),((0.059228/(B129/100))-(0.4980013/(SQRT(B129/100)))+2.137988),HLOOKUP(MONTH(A129),ScalarTable,28))))</f>
        <v> </v>
      </c>
      <c r="D129" s="398" t="str">
        <f aca="false">IF(A129="N/A"," ",C129*B129)</f>
        <v> </v>
      </c>
      <c r="E129" s="396" t="str">
        <f aca="false">IF(A129="N/A"," ",IF(ISERROR(O129),E117*Pwresc,O129)*VLOOKUP(MONTH(A129),Curveadj,3))</f>
        <v> </v>
      </c>
      <c r="F129" s="398" t="str">
        <f aca="false">IF(A129="N/A"," ",E129*C129)</f>
        <v> </v>
      </c>
      <c r="G129" s="396" t="str">
        <f aca="false">IF(A129="N/A"," ",IF(ISERROR(P129),G117*Pwresc,P129)*VLOOKUP(MONTH(A129),Curveadj,3))</f>
        <v> </v>
      </c>
      <c r="H129" s="398" t="str">
        <f aca="false">IF(A129="N/A"," ",G129*C129)</f>
        <v> </v>
      </c>
      <c r="I129" s="398" t="str">
        <f aca="false">IF(A129="N/A"," ",IF(ISERROR(Q129),I117*Pwresc,Q129))</f>
        <v> </v>
      </c>
      <c r="J129" s="398"/>
      <c r="K129" s="399"/>
      <c r="L129" s="399"/>
      <c r="M129" s="404"/>
      <c r="N129" s="401" t="str">
        <f aca="false">IF(A129="N/A"," ",VLOOKUP(A129,PeakPowerCurves,(IF(BMO2=2,3,IF(BMO2=1,2,4))),FALSE()))</f>
        <v> </v>
      </c>
      <c r="O129" s="401" t="str">
        <f aca="false">IF(A129="N/A"," ",VLOOKUP(A129,SatSunPeakPwr,(IF(BMO2=2,3,IF(BMO2=1,2,4))),FALSE()))</f>
        <v> </v>
      </c>
      <c r="P129" s="401" t="str">
        <f aca="false">IF(A129="N/A"," ",VLOOKUP(A129,SatSunPeakPwr,(IF(BMO2=2,7,IF(BMO2=1,6,8))),FALSE()))</f>
        <v> </v>
      </c>
      <c r="Q129" s="402" t="str">
        <f aca="false">IF(A129="N/A"," ",(VLOOKUP(A129,OPPowerPrices,(IF(BMO2=2,7,IF(BMO2=1,6,8))),FALSE())))</f>
        <v> </v>
      </c>
      <c r="R129" s="403" t="str">
        <f aca="false">IF(A129="N/A"," ",(VLOOKUP($A129,IRTable,2)))</f>
        <v> </v>
      </c>
      <c r="AF129" s="352" t="n">
        <v>40360</v>
      </c>
      <c r="AG129" s="311" t="n">
        <v>21</v>
      </c>
      <c r="AH129" s="311" t="n">
        <v>5</v>
      </c>
      <c r="AI129" s="311" t="n">
        <v>5</v>
      </c>
      <c r="AJ129" s="311" t="n">
        <v>1</v>
      </c>
      <c r="AK129" s="311" t="n">
        <v>31</v>
      </c>
      <c r="AU129" s="406"/>
    </row>
    <row r="130" customFormat="false" ht="12.75" hidden="false" customHeight="false" outlineLevel="0" collapsed="false">
      <c r="A130" s="352" t="str">
        <f aca="false">Option2!A97</f>
        <v>N/A</v>
      </c>
      <c r="B130" s="396" t="str">
        <f aca="false">IF(A130="N/A"," ",IF(ISERROR(N130),B118*Pwresc,N130)*VLOOKUP(MONTH(A130),Curveadj,3))</f>
        <v> </v>
      </c>
      <c r="C130" s="397" t="str">
        <f aca="false">IF(A130="N/A"," ",(IF(AND(Scaler2=1,MONTH(A130)&gt;=6,MONTH(A130)&lt;=8,OR($M$37="REGION 2",$M$37="REGION 2A",$M$37="REGION 2B",$M$37="REGION 3",$M$37="REGION 3A",$M$37="REGION 3B",$M$37="REGION 3C",$M$37="REGION 4",$M$37="REGION 4B",$M$37="REGION 4C",$M$37="REGION 5",$M$37="REGION 5A")),((0.059228/(B130/100))-(0.4980013/(SQRT(B130/100)))+2.137988),HLOOKUP(MONTH(A130),ScalarTable,28))))</f>
        <v> </v>
      </c>
      <c r="D130" s="398" t="str">
        <f aca="false">IF(A130="N/A"," ",C130*B130)</f>
        <v> </v>
      </c>
      <c r="E130" s="396" t="str">
        <f aca="false">IF(A130="N/A"," ",IF(ISERROR(O130),E118*Pwresc,O130)*VLOOKUP(MONTH(A130),Curveadj,3))</f>
        <v> </v>
      </c>
      <c r="F130" s="398" t="str">
        <f aca="false">IF(A130="N/A"," ",E130*C130)</f>
        <v> </v>
      </c>
      <c r="G130" s="396" t="str">
        <f aca="false">IF(A130="N/A"," ",IF(ISERROR(P130),G118*Pwresc,P130)*VLOOKUP(MONTH(A130),Curveadj,3))</f>
        <v> </v>
      </c>
      <c r="H130" s="398" t="str">
        <f aca="false">IF(A130="N/A"," ",G130*C130)</f>
        <v> </v>
      </c>
      <c r="I130" s="398" t="str">
        <f aca="false">IF(A130="N/A"," ",IF(ISERROR(Q130),I118*Pwresc,Q130))</f>
        <v> </v>
      </c>
      <c r="J130" s="398"/>
      <c r="K130" s="399"/>
      <c r="L130" s="399"/>
      <c r="M130" s="404"/>
      <c r="N130" s="401" t="str">
        <f aca="false">IF(A130="N/A"," ",VLOOKUP(A130,PeakPowerCurves,(IF(BMO2=2,3,IF(BMO2=1,2,4))),FALSE()))</f>
        <v> </v>
      </c>
      <c r="O130" s="401" t="str">
        <f aca="false">IF(A130="N/A"," ",VLOOKUP(A130,SatSunPeakPwr,(IF(BMO2=2,3,IF(BMO2=1,2,4))),FALSE()))</f>
        <v> </v>
      </c>
      <c r="P130" s="401" t="str">
        <f aca="false">IF(A130="N/A"," ",VLOOKUP(A130,SatSunPeakPwr,(IF(BMO2=2,7,IF(BMO2=1,6,8))),FALSE()))</f>
        <v> </v>
      </c>
      <c r="Q130" s="402" t="str">
        <f aca="false">IF(A130="N/A"," ",(VLOOKUP(A130,OPPowerPrices,(IF(BMO2=2,7,IF(BMO2=1,6,8))),FALSE())))</f>
        <v> </v>
      </c>
      <c r="R130" s="403" t="str">
        <f aca="false">IF(A130="N/A"," ",(VLOOKUP($A130,IRTable,2)))</f>
        <v> </v>
      </c>
      <c r="AF130" s="352" t="n">
        <v>40391</v>
      </c>
      <c r="AG130" s="311" t="n">
        <v>22</v>
      </c>
      <c r="AH130" s="311" t="n">
        <v>4</v>
      </c>
      <c r="AI130" s="311" t="n">
        <v>5</v>
      </c>
      <c r="AJ130" s="311" t="n">
        <v>0</v>
      </c>
      <c r="AK130" s="311" t="n">
        <v>31</v>
      </c>
      <c r="AU130" s="406"/>
    </row>
    <row r="131" customFormat="false" ht="12.75" hidden="false" customHeight="false" outlineLevel="0" collapsed="false">
      <c r="A131" s="352" t="str">
        <f aca="false">Option2!A98</f>
        <v>N/A</v>
      </c>
      <c r="B131" s="396" t="str">
        <f aca="false">IF(A131="N/A"," ",IF(ISERROR(N131),B119*Pwresc,N131)*VLOOKUP(MONTH(A131),Curveadj,3))</f>
        <v> </v>
      </c>
      <c r="C131" s="397" t="str">
        <f aca="false">IF(A131="N/A"," ",(IF(AND(Scaler2=1,MONTH(A131)&gt;=6,MONTH(A131)&lt;=8,OR($M$37="REGION 2",$M$37="REGION 2A",$M$37="REGION 2B",$M$37="REGION 3",$M$37="REGION 3A",$M$37="REGION 3B",$M$37="REGION 3C",$M$37="REGION 4",$M$37="REGION 4B",$M$37="REGION 4C",$M$37="REGION 5",$M$37="REGION 5A")),((0.059228/(B131/100))-(0.4980013/(SQRT(B131/100)))+2.137988),HLOOKUP(MONTH(A131),ScalarTable,28))))</f>
        <v> </v>
      </c>
      <c r="D131" s="398" t="str">
        <f aca="false">IF(A131="N/A"," ",C131*B131)</f>
        <v> </v>
      </c>
      <c r="E131" s="396" t="str">
        <f aca="false">IF(A131="N/A"," ",IF(ISERROR(O131),E119*Pwresc,O131)*VLOOKUP(MONTH(A131),Curveadj,3))</f>
        <v> </v>
      </c>
      <c r="F131" s="398" t="str">
        <f aca="false">IF(A131="N/A"," ",E131*C131)</f>
        <v> </v>
      </c>
      <c r="G131" s="396" t="str">
        <f aca="false">IF(A131="N/A"," ",IF(ISERROR(P131),G119*Pwresc,P131)*VLOOKUP(MONTH(A131),Curveadj,3))</f>
        <v> </v>
      </c>
      <c r="H131" s="398" t="str">
        <f aca="false">IF(A131="N/A"," ",G131*C131)</f>
        <v> </v>
      </c>
      <c r="I131" s="398" t="str">
        <f aca="false">IF(A131="N/A"," ",IF(ISERROR(Q131),I119*Pwresc,Q131))</f>
        <v> </v>
      </c>
      <c r="J131" s="398"/>
      <c r="K131" s="399"/>
      <c r="L131" s="399"/>
      <c r="M131" s="404"/>
      <c r="N131" s="401" t="str">
        <f aca="false">IF(A131="N/A"," ",VLOOKUP(A131,PeakPowerCurves,(IF(BMO2=2,3,IF(BMO2=1,2,4))),FALSE()))</f>
        <v> </v>
      </c>
      <c r="O131" s="401" t="str">
        <f aca="false">IF(A131="N/A"," ",VLOOKUP(A131,SatSunPeakPwr,(IF(BMO2=2,3,IF(BMO2=1,2,4))),FALSE()))</f>
        <v> </v>
      </c>
      <c r="P131" s="401" t="str">
        <f aca="false">IF(A131="N/A"," ",VLOOKUP(A131,SatSunPeakPwr,(IF(BMO2=2,7,IF(BMO2=1,6,8))),FALSE()))</f>
        <v> </v>
      </c>
      <c r="Q131" s="402" t="str">
        <f aca="false">IF(A131="N/A"," ",(VLOOKUP(A131,OPPowerPrices,(IF(BMO2=2,7,IF(BMO2=1,6,8))),FALSE())))</f>
        <v> </v>
      </c>
      <c r="R131" s="403" t="str">
        <f aca="false">IF(A131="N/A"," ",(VLOOKUP($A131,IRTable,2)))</f>
        <v> </v>
      </c>
      <c r="AF131" s="352" t="n">
        <v>40422</v>
      </c>
      <c r="AG131" s="311" t="n">
        <v>21</v>
      </c>
      <c r="AH131" s="311" t="n">
        <v>4</v>
      </c>
      <c r="AI131" s="311" t="n">
        <v>5</v>
      </c>
      <c r="AJ131" s="311" t="n">
        <v>1</v>
      </c>
      <c r="AK131" s="311" t="n">
        <v>30</v>
      </c>
      <c r="AU131" s="406"/>
    </row>
    <row r="132" customFormat="false" ht="12.75" hidden="false" customHeight="false" outlineLevel="0" collapsed="false">
      <c r="A132" s="352" t="str">
        <f aca="false">Option2!A99</f>
        <v>N/A</v>
      </c>
      <c r="B132" s="396" t="str">
        <f aca="false">IF(A132="N/A"," ",IF(ISERROR(N132),B120*Pwresc,N132)*VLOOKUP(MONTH(A132),Curveadj,3))</f>
        <v> </v>
      </c>
      <c r="C132" s="397" t="str">
        <f aca="false">IF(A132="N/A"," ",(IF(AND(Scaler2=1,MONTH(A132)&gt;=6,MONTH(A132)&lt;=8,OR($M$37="REGION 2",$M$37="REGION 2A",$M$37="REGION 2B",$M$37="REGION 3",$M$37="REGION 3A",$M$37="REGION 3B",$M$37="REGION 3C",$M$37="REGION 4",$M$37="REGION 4B",$M$37="REGION 4C",$M$37="REGION 5",$M$37="REGION 5A")),((0.059228/(B132/100))-(0.4980013/(SQRT(B132/100)))+2.137988),HLOOKUP(MONTH(A132),ScalarTable,28))))</f>
        <v> </v>
      </c>
      <c r="D132" s="398" t="str">
        <f aca="false">IF(A132="N/A"," ",C132*B132)</f>
        <v> </v>
      </c>
      <c r="E132" s="396" t="str">
        <f aca="false">IF(A132="N/A"," ",IF(ISERROR(O132),E120*Pwresc,O132)*VLOOKUP(MONTH(A132),Curveadj,3))</f>
        <v> </v>
      </c>
      <c r="F132" s="398" t="str">
        <f aca="false">IF(A132="N/A"," ",E132*C132)</f>
        <v> </v>
      </c>
      <c r="G132" s="396" t="str">
        <f aca="false">IF(A132="N/A"," ",IF(ISERROR(P132),G120*Pwresc,P132)*VLOOKUP(MONTH(A132),Curveadj,3))</f>
        <v> </v>
      </c>
      <c r="H132" s="398" t="str">
        <f aca="false">IF(A132="N/A"," ",G132*C132)</f>
        <v> </v>
      </c>
      <c r="I132" s="398" t="str">
        <f aca="false">IF(A132="N/A"," ",IF(ISERROR(Q132),I120*Pwresc,Q132))</f>
        <v> </v>
      </c>
      <c r="J132" s="398"/>
      <c r="K132" s="399"/>
      <c r="L132" s="399"/>
      <c r="M132" s="404"/>
      <c r="N132" s="401" t="str">
        <f aca="false">IF(A132="N/A"," ",VLOOKUP(A132,PeakPowerCurves,(IF(BMO2=2,3,IF(BMO2=1,2,4))),FALSE()))</f>
        <v> </v>
      </c>
      <c r="O132" s="401" t="str">
        <f aca="false">IF(A132="N/A"," ",VLOOKUP(A132,SatSunPeakPwr,(IF(BMO2=2,3,IF(BMO2=1,2,4))),FALSE()))</f>
        <v> </v>
      </c>
      <c r="P132" s="401" t="str">
        <f aca="false">IF(A132="N/A"," ",VLOOKUP(A132,SatSunPeakPwr,(IF(BMO2=2,7,IF(BMO2=1,6,8))),FALSE()))</f>
        <v> </v>
      </c>
      <c r="Q132" s="402" t="str">
        <f aca="false">IF(A132="N/A"," ",(VLOOKUP(A132,OPPowerPrices,(IF(BMO2=2,7,IF(BMO2=1,6,8))),FALSE())))</f>
        <v> </v>
      </c>
      <c r="R132" s="403" t="str">
        <f aca="false">IF(A132="N/A"," ",(VLOOKUP($A132,IRTable,2)))</f>
        <v> </v>
      </c>
      <c r="AF132" s="352" t="n">
        <v>40452</v>
      </c>
      <c r="AG132" s="311" t="n">
        <v>21</v>
      </c>
      <c r="AH132" s="311" t="n">
        <v>5</v>
      </c>
      <c r="AI132" s="311" t="n">
        <v>5</v>
      </c>
      <c r="AJ132" s="311" t="n">
        <v>0</v>
      </c>
      <c r="AK132" s="311" t="n">
        <v>31</v>
      </c>
      <c r="AU132" s="406"/>
    </row>
    <row r="133" customFormat="false" ht="12.75" hidden="false" customHeight="false" outlineLevel="0" collapsed="false">
      <c r="A133" s="352" t="str">
        <f aca="false">Option2!A100</f>
        <v>N/A</v>
      </c>
      <c r="B133" s="396" t="str">
        <f aca="false">IF(A133="N/A"," ",IF(ISERROR(N133),B121*Pwresc,N133)*VLOOKUP(MONTH(A133),Curveadj,3))</f>
        <v> </v>
      </c>
      <c r="C133" s="397" t="str">
        <f aca="false">IF(A133="N/A"," ",(IF(AND(Scaler2=1,MONTH(A133)&gt;=6,MONTH(A133)&lt;=8,OR($M$37="REGION 2",$M$37="REGION 2A",$M$37="REGION 2B",$M$37="REGION 3",$M$37="REGION 3A",$M$37="REGION 3B",$M$37="REGION 3C",$M$37="REGION 4",$M$37="REGION 4B",$M$37="REGION 4C",$M$37="REGION 5",$M$37="REGION 5A")),((0.059228/(B133/100))-(0.4980013/(SQRT(B133/100)))+2.137988),HLOOKUP(MONTH(A133),ScalarTable,28))))</f>
        <v> </v>
      </c>
      <c r="D133" s="398" t="str">
        <f aca="false">IF(A133="N/A"," ",C133*B133)</f>
        <v> </v>
      </c>
      <c r="E133" s="396" t="str">
        <f aca="false">IF(A133="N/A"," ",IF(ISERROR(O133),E121*Pwresc,O133)*VLOOKUP(MONTH(A133),Curveadj,3))</f>
        <v> </v>
      </c>
      <c r="F133" s="398" t="str">
        <f aca="false">IF(A133="N/A"," ",E133*C133)</f>
        <v> </v>
      </c>
      <c r="G133" s="396" t="str">
        <f aca="false">IF(A133="N/A"," ",IF(ISERROR(P133),G121*Pwresc,P133)*VLOOKUP(MONTH(A133),Curveadj,3))</f>
        <v> </v>
      </c>
      <c r="H133" s="398" t="str">
        <f aca="false">IF(A133="N/A"," ",G133*C133)</f>
        <v> </v>
      </c>
      <c r="I133" s="398" t="str">
        <f aca="false">IF(A133="N/A"," ",IF(ISERROR(Q133),I121*Pwresc,Q133))</f>
        <v> </v>
      </c>
      <c r="J133" s="398"/>
      <c r="K133" s="399"/>
      <c r="L133" s="399"/>
      <c r="M133" s="404"/>
      <c r="N133" s="401" t="str">
        <f aca="false">IF(A133="N/A"," ",VLOOKUP(A133,PeakPowerCurves,(IF(BMO2=2,3,IF(BMO2=1,2,4))),FALSE()))</f>
        <v> </v>
      </c>
      <c r="O133" s="401" t="str">
        <f aca="false">IF(A133="N/A"," ",VLOOKUP(A133,SatSunPeakPwr,(IF(BMO2=2,3,IF(BMO2=1,2,4))),FALSE()))</f>
        <v> </v>
      </c>
      <c r="P133" s="401" t="str">
        <f aca="false">IF(A133="N/A"," ",VLOOKUP(A133,SatSunPeakPwr,(IF(BMO2=2,7,IF(BMO2=1,6,8))),FALSE()))</f>
        <v> </v>
      </c>
      <c r="Q133" s="402" t="str">
        <f aca="false">IF(A133="N/A"," ",(VLOOKUP(A133,OPPowerPrices,(IF(BMO2=2,7,IF(BMO2=1,6,8))),FALSE())))</f>
        <v> </v>
      </c>
      <c r="R133" s="403" t="str">
        <f aca="false">IF(A133="N/A"," ",(VLOOKUP($A133,IRTable,2)))</f>
        <v> </v>
      </c>
      <c r="AF133" s="352" t="n">
        <v>40483</v>
      </c>
      <c r="AG133" s="311" t="n">
        <v>21</v>
      </c>
      <c r="AH133" s="311" t="n">
        <v>4</v>
      </c>
      <c r="AI133" s="311" t="n">
        <v>5</v>
      </c>
      <c r="AJ133" s="311" t="n">
        <v>1</v>
      </c>
      <c r="AK133" s="311" t="n">
        <v>30</v>
      </c>
      <c r="AU133" s="406"/>
    </row>
    <row r="134" customFormat="false" ht="12.75" hidden="false" customHeight="false" outlineLevel="0" collapsed="false">
      <c r="A134" s="352" t="str">
        <f aca="false">Option2!A101</f>
        <v>N/A</v>
      </c>
      <c r="B134" s="396" t="str">
        <f aca="false">IF(A134="N/A"," ",IF(ISERROR(N134),B122*Pwresc,N134)*VLOOKUP(MONTH(A134),Curveadj,3))</f>
        <v> </v>
      </c>
      <c r="C134" s="397" t="str">
        <f aca="false">IF(A134="N/A"," ",(IF(AND(Scaler2=1,MONTH(A134)&gt;=6,MONTH(A134)&lt;=8,OR($M$37="REGION 2",$M$37="REGION 2A",$M$37="REGION 2B",$M$37="REGION 3",$M$37="REGION 3A",$M$37="REGION 3B",$M$37="REGION 3C",$M$37="REGION 4",$M$37="REGION 4B",$M$37="REGION 4C",$M$37="REGION 5",$M$37="REGION 5A")),((0.059228/(B134/100))-(0.4980013/(SQRT(B134/100)))+2.137988),HLOOKUP(MONTH(A134),ScalarTable,28))))</f>
        <v> </v>
      </c>
      <c r="D134" s="398" t="str">
        <f aca="false">IF(A134="N/A"," ",C134*B134)</f>
        <v> </v>
      </c>
      <c r="E134" s="396" t="str">
        <f aca="false">IF(A134="N/A"," ",IF(ISERROR(O134),E122*Pwresc,O134)*VLOOKUP(MONTH(A134),Curveadj,3))</f>
        <v> </v>
      </c>
      <c r="F134" s="398" t="str">
        <f aca="false">IF(A134="N/A"," ",E134*C134)</f>
        <v> </v>
      </c>
      <c r="G134" s="396" t="str">
        <f aca="false">IF(A134="N/A"," ",IF(ISERROR(P134),G122*Pwresc,P134)*VLOOKUP(MONTH(A134),Curveadj,3))</f>
        <v> </v>
      </c>
      <c r="H134" s="398" t="str">
        <f aca="false">IF(A134="N/A"," ",G134*C134)</f>
        <v> </v>
      </c>
      <c r="I134" s="398" t="str">
        <f aca="false">IF(A134="N/A"," ",IF(ISERROR(Q134),I122*Pwresc,Q134))</f>
        <v> </v>
      </c>
      <c r="J134" s="398"/>
      <c r="K134" s="399"/>
      <c r="L134" s="399"/>
      <c r="M134" s="404"/>
      <c r="N134" s="401" t="str">
        <f aca="false">IF(A134="N/A"," ",VLOOKUP(A134,PeakPowerCurves,(IF(BMO2=2,3,IF(BMO2=1,2,4))),FALSE()))</f>
        <v> </v>
      </c>
      <c r="O134" s="401" t="str">
        <f aca="false">IF(A134="N/A"," ",VLOOKUP(A134,SatSunPeakPwr,(IF(BMO2=2,3,IF(BMO2=1,2,4))),FALSE()))</f>
        <v> </v>
      </c>
      <c r="P134" s="401" t="str">
        <f aca="false">IF(A134="N/A"," ",VLOOKUP(A134,SatSunPeakPwr,(IF(BMO2=2,7,IF(BMO2=1,6,8))),FALSE()))</f>
        <v> </v>
      </c>
      <c r="Q134" s="402" t="str">
        <f aca="false">IF(A134="N/A"," ",(VLOOKUP(A134,OPPowerPrices,(IF(BMO2=2,7,IF(BMO2=1,6,8))),FALSE())))</f>
        <v> </v>
      </c>
      <c r="R134" s="403" t="str">
        <f aca="false">IF(A134="N/A"," ",(VLOOKUP($A134,IRTable,2)))</f>
        <v> </v>
      </c>
      <c r="AF134" s="352" t="n">
        <v>40513</v>
      </c>
      <c r="AG134" s="311" t="n">
        <v>23</v>
      </c>
      <c r="AH134" s="311" t="n">
        <v>3</v>
      </c>
      <c r="AI134" s="311" t="n">
        <v>5</v>
      </c>
      <c r="AJ134" s="311" t="n">
        <v>1</v>
      </c>
      <c r="AK134" s="311" t="n">
        <v>31</v>
      </c>
      <c r="AU134" s="406"/>
    </row>
    <row r="135" customFormat="false" ht="12.75" hidden="false" customHeight="false" outlineLevel="0" collapsed="false">
      <c r="A135" s="352" t="str">
        <f aca="false">Option2!A102</f>
        <v>N/A</v>
      </c>
      <c r="B135" s="396" t="str">
        <f aca="false">IF(A135="N/A"," ",IF(ISERROR(N135),B123*Pwresc,N135)*VLOOKUP(MONTH(A135),Curveadj,3))</f>
        <v> </v>
      </c>
      <c r="C135" s="397" t="str">
        <f aca="false">IF(A135="N/A"," ",(IF(AND(Scaler2=1,MONTH(A135)&gt;=6,MONTH(A135)&lt;=8,OR($M$37="REGION 2",$M$37="REGION 2A",$M$37="REGION 2B",$M$37="REGION 3",$M$37="REGION 3A",$M$37="REGION 3B",$M$37="REGION 3C",$M$37="REGION 4",$M$37="REGION 4B",$M$37="REGION 4C",$M$37="REGION 5",$M$37="REGION 5A")),((0.059228/(B135/100))-(0.4980013/(SQRT(B135/100)))+2.137988),HLOOKUP(MONTH(A135),ScalarTable,28))))</f>
        <v> </v>
      </c>
      <c r="D135" s="398" t="str">
        <f aca="false">IF(A135="N/A"," ",C135*B135)</f>
        <v> </v>
      </c>
      <c r="E135" s="396" t="str">
        <f aca="false">IF(A135="N/A"," ",IF(ISERROR(O135),E123*Pwresc,O135)*VLOOKUP(MONTH(A135),Curveadj,3))</f>
        <v> </v>
      </c>
      <c r="F135" s="398" t="str">
        <f aca="false">IF(A135="N/A"," ",E135*C135)</f>
        <v> </v>
      </c>
      <c r="G135" s="396" t="str">
        <f aca="false">IF(A135="N/A"," ",IF(ISERROR(P135),G123*Pwresc,P135)*VLOOKUP(MONTH(A135),Curveadj,3))</f>
        <v> </v>
      </c>
      <c r="H135" s="398" t="str">
        <f aca="false">IF(A135="N/A"," ",G135*C135)</f>
        <v> </v>
      </c>
      <c r="I135" s="398" t="str">
        <f aca="false">IF(A135="N/A"," ",IF(ISERROR(Q135),I123*Pwresc,Q135))</f>
        <v> </v>
      </c>
      <c r="J135" s="398"/>
      <c r="K135" s="399"/>
      <c r="L135" s="399"/>
      <c r="M135" s="404"/>
      <c r="N135" s="401" t="str">
        <f aca="false">IF(A135="N/A"," ",VLOOKUP(A135,PeakPowerCurves,(IF(BMO2=2,3,IF(BMO2=1,2,4))),FALSE()))</f>
        <v> </v>
      </c>
      <c r="O135" s="401" t="str">
        <f aca="false">IF(A135="N/A"," ",VLOOKUP(A135,SatSunPeakPwr,(IF(BMO2=2,3,IF(BMO2=1,2,4))),FALSE()))</f>
        <v> </v>
      </c>
      <c r="P135" s="401" t="str">
        <f aca="false">IF(A135="N/A"," ",VLOOKUP(A135,SatSunPeakPwr,(IF(BMO2=2,7,IF(BMO2=1,6,8))),FALSE()))</f>
        <v> </v>
      </c>
      <c r="Q135" s="402" t="str">
        <f aca="false">IF(A135="N/A"," ",(VLOOKUP(A135,OPPowerPrices,(IF(BMO2=2,7,IF(BMO2=1,6,8))),FALSE())))</f>
        <v> </v>
      </c>
      <c r="R135" s="403" t="str">
        <f aca="false">IF(A135="N/A"," ",(VLOOKUP($A135,IRTable,2)))</f>
        <v> </v>
      </c>
      <c r="AF135" s="352" t="n">
        <v>40544</v>
      </c>
      <c r="AG135" s="311" t="n">
        <v>21</v>
      </c>
      <c r="AH135" s="311" t="n">
        <v>4</v>
      </c>
      <c r="AI135" s="311" t="n">
        <v>6</v>
      </c>
      <c r="AJ135" s="311" t="n">
        <v>1</v>
      </c>
      <c r="AK135" s="311" t="n">
        <v>31</v>
      </c>
      <c r="AU135" s="406"/>
    </row>
    <row r="136" customFormat="false" ht="12.75" hidden="false" customHeight="false" outlineLevel="0" collapsed="false">
      <c r="A136" s="352" t="str">
        <f aca="false">Option2!A103</f>
        <v>N/A</v>
      </c>
      <c r="B136" s="396" t="str">
        <f aca="false">IF(A136="N/A"," ",IF(ISERROR(N136),B124*Pwresc,N136)*VLOOKUP(MONTH(A136),Curveadj,3))</f>
        <v> </v>
      </c>
      <c r="C136" s="397" t="str">
        <f aca="false">IF(A136="N/A"," ",(IF(AND(Scaler2=1,MONTH(A136)&gt;=6,MONTH(A136)&lt;=8,OR($M$37="REGION 2",$M$37="REGION 2A",$M$37="REGION 2B",$M$37="REGION 3",$M$37="REGION 3A",$M$37="REGION 3B",$M$37="REGION 3C",$M$37="REGION 4",$M$37="REGION 4B",$M$37="REGION 4C",$M$37="REGION 5",$M$37="REGION 5A")),((0.059228/(B136/100))-(0.4980013/(SQRT(B136/100)))+2.137988),HLOOKUP(MONTH(A136),ScalarTable,28))))</f>
        <v> </v>
      </c>
      <c r="D136" s="398" t="str">
        <f aca="false">IF(A136="N/A"," ",C136*B136)</f>
        <v> </v>
      </c>
      <c r="E136" s="396" t="str">
        <f aca="false">IF(A136="N/A"," ",IF(ISERROR(O136),E124*Pwresc,O136)*VLOOKUP(MONTH(A136),Curveadj,3))</f>
        <v> </v>
      </c>
      <c r="F136" s="398" t="str">
        <f aca="false">IF(A136="N/A"," ",E136*C136)</f>
        <v> </v>
      </c>
      <c r="G136" s="396" t="str">
        <f aca="false">IF(A136="N/A"," ",IF(ISERROR(P136),G124*Pwresc,P136)*VLOOKUP(MONTH(A136),Curveadj,3))</f>
        <v> </v>
      </c>
      <c r="H136" s="398" t="str">
        <f aca="false">IF(A136="N/A"," ",G136*C136)</f>
        <v> </v>
      </c>
      <c r="I136" s="398" t="str">
        <f aca="false">IF(A136="N/A"," ",IF(ISERROR(Q136),I124*Pwresc,Q136))</f>
        <v> </v>
      </c>
      <c r="J136" s="398"/>
      <c r="K136" s="399"/>
      <c r="L136" s="399"/>
      <c r="M136" s="404"/>
      <c r="N136" s="401" t="str">
        <f aca="false">IF(A136="N/A"," ",VLOOKUP(A136,PeakPowerCurves,(IF(BMO2=2,3,IF(BMO2=1,2,4))),FALSE()))</f>
        <v> </v>
      </c>
      <c r="O136" s="401" t="str">
        <f aca="false">IF(A136="N/A"," ",VLOOKUP(A136,SatSunPeakPwr,(IF(BMO2=2,3,IF(BMO2=1,2,4))),FALSE()))</f>
        <v> </v>
      </c>
      <c r="P136" s="401" t="str">
        <f aca="false">IF(A136="N/A"," ",VLOOKUP(A136,SatSunPeakPwr,(IF(BMO2=2,7,IF(BMO2=1,6,8))),FALSE()))</f>
        <v> </v>
      </c>
      <c r="Q136" s="402" t="str">
        <f aca="false">IF(A136="N/A"," ",(VLOOKUP(A136,OPPowerPrices,(IF(BMO2=2,7,IF(BMO2=1,6,8))),FALSE())))</f>
        <v> </v>
      </c>
      <c r="R136" s="403" t="str">
        <f aca="false">IF(A136="N/A"," ",(VLOOKUP($A136,IRTable,2)))</f>
        <v> </v>
      </c>
      <c r="AF136" s="352" t="n">
        <v>40575</v>
      </c>
      <c r="AG136" s="311" t="n">
        <v>20</v>
      </c>
      <c r="AH136" s="311" t="n">
        <v>4</v>
      </c>
      <c r="AI136" s="311" t="n">
        <v>4</v>
      </c>
      <c r="AJ136" s="311" t="n">
        <v>0</v>
      </c>
      <c r="AK136" s="311" t="n">
        <v>28</v>
      </c>
      <c r="AU136" s="406"/>
    </row>
    <row r="137" customFormat="false" ht="12.75" hidden="false" customHeight="false" outlineLevel="0" collapsed="false">
      <c r="A137" s="352" t="str">
        <f aca="false">Option2!A104</f>
        <v>N/A</v>
      </c>
      <c r="B137" s="396" t="str">
        <f aca="false">IF(A137="N/A"," ",IF(ISERROR(N137),B125*Pwresc,N137)*VLOOKUP(MONTH(A137),Curveadj,3))</f>
        <v> </v>
      </c>
      <c r="C137" s="397" t="str">
        <f aca="false">IF(A137="N/A"," ",(IF(AND(Scaler2=1,MONTH(A137)&gt;=6,MONTH(A137)&lt;=8,OR($M$37="REGION 2",$M$37="REGION 2A",$M$37="REGION 2B",$M$37="REGION 3",$M$37="REGION 3A",$M$37="REGION 3B",$M$37="REGION 3C",$M$37="REGION 4",$M$37="REGION 4B",$M$37="REGION 4C",$M$37="REGION 5",$M$37="REGION 5A")),((0.059228/(B137/100))-(0.4980013/(SQRT(B137/100)))+2.137988),HLOOKUP(MONTH(A137),ScalarTable,28))))</f>
        <v> </v>
      </c>
      <c r="D137" s="398" t="str">
        <f aca="false">IF(A137="N/A"," ",C137*B137)</f>
        <v> </v>
      </c>
      <c r="E137" s="396" t="str">
        <f aca="false">IF(A137="N/A"," ",IF(ISERROR(O137),E125*Pwresc,O137)*VLOOKUP(MONTH(A137),Curveadj,3))</f>
        <v> </v>
      </c>
      <c r="F137" s="398" t="str">
        <f aca="false">IF(A137="N/A"," ",E137*C137)</f>
        <v> </v>
      </c>
      <c r="G137" s="396" t="str">
        <f aca="false">IF(A137="N/A"," ",IF(ISERROR(P137),G125*Pwresc,P137)*VLOOKUP(MONTH(A137),Curveadj,3))</f>
        <v> </v>
      </c>
      <c r="H137" s="398" t="str">
        <f aca="false">IF(A137="N/A"," ",G137*C137)</f>
        <v> </v>
      </c>
      <c r="I137" s="398" t="str">
        <f aca="false">IF(A137="N/A"," ",IF(ISERROR(Q137),I125*Pwresc,Q137))</f>
        <v> </v>
      </c>
      <c r="J137" s="398"/>
      <c r="K137" s="399"/>
      <c r="L137" s="399"/>
      <c r="M137" s="404"/>
      <c r="N137" s="401" t="str">
        <f aca="false">IF(A137="N/A"," ",VLOOKUP(A137,PeakPowerCurves,(IF(BMO2=2,3,IF(BMO2=1,2,4))),FALSE()))</f>
        <v> </v>
      </c>
      <c r="O137" s="401" t="str">
        <f aca="false">IF(A137="N/A"," ",VLOOKUP(A137,SatSunPeakPwr,(IF(BMO2=2,3,IF(BMO2=1,2,4))),FALSE()))</f>
        <v> </v>
      </c>
      <c r="P137" s="401" t="str">
        <f aca="false">IF(A137="N/A"," ",VLOOKUP(A137,SatSunPeakPwr,(IF(BMO2=2,7,IF(BMO2=1,6,8))),FALSE()))</f>
        <v> </v>
      </c>
      <c r="Q137" s="402" t="str">
        <f aca="false">IF(A137="N/A"," ",(VLOOKUP(A137,OPPowerPrices,(IF(BMO2=2,7,IF(BMO2=1,6,8))),FALSE())))</f>
        <v> </v>
      </c>
      <c r="R137" s="403" t="str">
        <f aca="false">IF(A137="N/A"," ",(VLOOKUP($A137,IRTable,2)))</f>
        <v> </v>
      </c>
      <c r="AF137" s="352" t="n">
        <v>40603</v>
      </c>
      <c r="AG137" s="311" t="n">
        <v>23</v>
      </c>
      <c r="AH137" s="311" t="n">
        <v>4</v>
      </c>
      <c r="AI137" s="311" t="n">
        <v>4</v>
      </c>
      <c r="AJ137" s="311" t="n">
        <v>0</v>
      </c>
      <c r="AK137" s="311" t="n">
        <v>31</v>
      </c>
      <c r="AU137" s="406"/>
    </row>
    <row r="138" customFormat="false" ht="12.75" hidden="false" customHeight="false" outlineLevel="0" collapsed="false">
      <c r="A138" s="352" t="str">
        <f aca="false">Option2!A105</f>
        <v>N/A</v>
      </c>
      <c r="B138" s="396" t="str">
        <f aca="false">IF(A138="N/A"," ",IF(ISERROR(N138),B126*Pwresc,N138)*VLOOKUP(MONTH(A138),Curveadj,3))</f>
        <v> </v>
      </c>
      <c r="C138" s="397" t="str">
        <f aca="false">IF(A138="N/A"," ",(IF(AND(Scaler2=1,MONTH(A138)&gt;=6,MONTH(A138)&lt;=8,OR($M$37="REGION 2",$M$37="REGION 2A",$M$37="REGION 2B",$M$37="REGION 3",$M$37="REGION 3A",$M$37="REGION 3B",$M$37="REGION 3C",$M$37="REGION 4",$M$37="REGION 4B",$M$37="REGION 4C",$M$37="REGION 5",$M$37="REGION 5A")),((0.059228/(B138/100))-(0.4980013/(SQRT(B138/100)))+2.137988),HLOOKUP(MONTH(A138),ScalarTable,28))))</f>
        <v> </v>
      </c>
      <c r="D138" s="398" t="str">
        <f aca="false">IF(A138="N/A"," ",C138*B138)</f>
        <v> </v>
      </c>
      <c r="E138" s="396" t="str">
        <f aca="false">IF(A138="N/A"," ",IF(ISERROR(O138),E126*Pwresc,O138)*VLOOKUP(MONTH(A138),Curveadj,3))</f>
        <v> </v>
      </c>
      <c r="F138" s="398" t="str">
        <f aca="false">IF(A138="N/A"," ",E138*C138)</f>
        <v> </v>
      </c>
      <c r="G138" s="396" t="str">
        <f aca="false">IF(A138="N/A"," ",IF(ISERROR(P138),G126*Pwresc,P138)*VLOOKUP(MONTH(A138),Curveadj,3))</f>
        <v> </v>
      </c>
      <c r="H138" s="398" t="str">
        <f aca="false">IF(A138="N/A"," ",G138*C138)</f>
        <v> </v>
      </c>
      <c r="I138" s="398" t="str">
        <f aca="false">IF(A138="N/A"," ",IF(ISERROR(Q138),I126*Pwresc,Q138))</f>
        <v> </v>
      </c>
      <c r="J138" s="398"/>
      <c r="K138" s="399"/>
      <c r="L138" s="399"/>
      <c r="M138" s="404"/>
      <c r="N138" s="401" t="str">
        <f aca="false">IF(A138="N/A"," ",VLOOKUP(A138,PeakPowerCurves,(IF(BMO2=2,3,IF(BMO2=1,2,4))),FALSE()))</f>
        <v> </v>
      </c>
      <c r="O138" s="401" t="str">
        <f aca="false">IF(A138="N/A"," ",VLOOKUP(A138,SatSunPeakPwr,(IF(BMO2=2,3,IF(BMO2=1,2,4))),FALSE()))</f>
        <v> </v>
      </c>
      <c r="P138" s="401" t="str">
        <f aca="false">IF(A138="N/A"," ",VLOOKUP(A138,SatSunPeakPwr,(IF(BMO2=2,7,IF(BMO2=1,6,8))),FALSE()))</f>
        <v> </v>
      </c>
      <c r="Q138" s="402" t="str">
        <f aca="false">IF(A138="N/A"," ",(VLOOKUP(A138,OPPowerPrices,(IF(BMO2=2,7,IF(BMO2=1,6,8))),FALSE())))</f>
        <v> </v>
      </c>
      <c r="R138" s="403" t="str">
        <f aca="false">IF(A138="N/A"," ",(VLOOKUP($A138,IRTable,2)))</f>
        <v> </v>
      </c>
      <c r="AF138" s="352" t="n">
        <v>40634</v>
      </c>
      <c r="AG138" s="311" t="n">
        <v>21</v>
      </c>
      <c r="AH138" s="311" t="n">
        <v>5</v>
      </c>
      <c r="AI138" s="311" t="n">
        <v>4</v>
      </c>
      <c r="AJ138" s="311" t="n">
        <v>0</v>
      </c>
      <c r="AK138" s="311" t="n">
        <v>30</v>
      </c>
      <c r="AU138" s="406"/>
    </row>
    <row r="139" customFormat="false" ht="12.75" hidden="false" customHeight="false" outlineLevel="0" collapsed="false">
      <c r="A139" s="352" t="str">
        <f aca="false">Option2!A106</f>
        <v>N/A</v>
      </c>
      <c r="B139" s="396" t="str">
        <f aca="false">IF(A139="N/A"," ",IF(ISERROR(N139),B127*Pwresc,N139)*VLOOKUP(MONTH(A139),Curveadj,3))</f>
        <v> </v>
      </c>
      <c r="C139" s="397" t="str">
        <f aca="false">IF(A139="N/A"," ",(IF(AND(Scaler2=1,MONTH(A139)&gt;=6,MONTH(A139)&lt;=8,OR($M$37="REGION 2",$M$37="REGION 2A",$M$37="REGION 2B",$M$37="REGION 3",$M$37="REGION 3A",$M$37="REGION 3B",$M$37="REGION 3C",$M$37="REGION 4",$M$37="REGION 4B",$M$37="REGION 4C",$M$37="REGION 5",$M$37="REGION 5A")),((0.059228/(B139/100))-(0.4980013/(SQRT(B139/100)))+2.137988),HLOOKUP(MONTH(A139),ScalarTable,28))))</f>
        <v> </v>
      </c>
      <c r="D139" s="398" t="str">
        <f aca="false">IF(A139="N/A"," ",C139*B139)</f>
        <v> </v>
      </c>
      <c r="E139" s="396" t="str">
        <f aca="false">IF(A139="N/A"," ",IF(ISERROR(O139),E127*Pwresc,O139)*VLOOKUP(MONTH(A139),Curveadj,3))</f>
        <v> </v>
      </c>
      <c r="F139" s="398" t="str">
        <f aca="false">IF(A139="N/A"," ",E139*C139)</f>
        <v> </v>
      </c>
      <c r="G139" s="396" t="str">
        <f aca="false">IF(A139="N/A"," ",IF(ISERROR(P139),G127*Pwresc,P139)*VLOOKUP(MONTH(A139),Curveadj,3))</f>
        <v> </v>
      </c>
      <c r="H139" s="398" t="str">
        <f aca="false">IF(A139="N/A"," ",G139*C139)</f>
        <v> </v>
      </c>
      <c r="I139" s="398" t="str">
        <f aca="false">IF(A139="N/A"," ",IF(ISERROR(Q139),I127*Pwresc,Q139))</f>
        <v> </v>
      </c>
      <c r="J139" s="398"/>
      <c r="K139" s="399"/>
      <c r="L139" s="399"/>
      <c r="M139" s="404"/>
      <c r="N139" s="401" t="str">
        <f aca="false">IF(A139="N/A"," ",VLOOKUP(A139,PeakPowerCurves,(IF(BMO2=2,3,IF(BMO2=1,2,4))),FALSE()))</f>
        <v> </v>
      </c>
      <c r="O139" s="401" t="str">
        <f aca="false">IF(A139="N/A"," ",VLOOKUP(A139,SatSunPeakPwr,(IF(BMO2=2,3,IF(BMO2=1,2,4))),FALSE()))</f>
        <v> </v>
      </c>
      <c r="P139" s="401" t="str">
        <f aca="false">IF(A139="N/A"," ",VLOOKUP(A139,SatSunPeakPwr,(IF(BMO2=2,7,IF(BMO2=1,6,8))),FALSE()))</f>
        <v> </v>
      </c>
      <c r="Q139" s="402" t="str">
        <f aca="false">IF(A139="N/A"," ",(VLOOKUP(A139,OPPowerPrices,(IF(BMO2=2,7,IF(BMO2=1,6,8))),FALSE())))</f>
        <v> </v>
      </c>
      <c r="R139" s="403" t="str">
        <f aca="false">IF(A139="N/A"," ",(VLOOKUP($A139,IRTable,2)))</f>
        <v> </v>
      </c>
      <c r="AF139" s="352" t="n">
        <v>40664</v>
      </c>
      <c r="AG139" s="311" t="n">
        <v>21</v>
      </c>
      <c r="AH139" s="311" t="n">
        <v>4</v>
      </c>
      <c r="AI139" s="311" t="n">
        <v>6</v>
      </c>
      <c r="AJ139" s="311" t="n">
        <v>1</v>
      </c>
      <c r="AK139" s="311" t="n">
        <v>31</v>
      </c>
      <c r="AU139" s="406"/>
    </row>
    <row r="140" customFormat="false" ht="12.75" hidden="false" customHeight="false" outlineLevel="0" collapsed="false">
      <c r="A140" s="352" t="str">
        <f aca="false">Option2!A107</f>
        <v>N/A</v>
      </c>
      <c r="B140" s="396" t="str">
        <f aca="false">IF(A140="N/A"," ",IF(ISERROR(N140),B128*Pwresc,N140)*VLOOKUP(MONTH(A140),Curveadj,3))</f>
        <v> </v>
      </c>
      <c r="C140" s="397" t="str">
        <f aca="false">IF(A140="N/A"," ",(IF(AND(Scaler2=1,MONTH(A140)&gt;=6,MONTH(A140)&lt;=8,OR($M$37="REGION 2",$M$37="REGION 2A",$M$37="REGION 2B",$M$37="REGION 3",$M$37="REGION 3A",$M$37="REGION 3B",$M$37="REGION 3C",$M$37="REGION 4",$M$37="REGION 4B",$M$37="REGION 4C",$M$37="REGION 5",$M$37="REGION 5A")),((0.059228/(B140/100))-(0.4980013/(SQRT(B140/100)))+2.137988),HLOOKUP(MONTH(A140),ScalarTable,28))))</f>
        <v> </v>
      </c>
      <c r="D140" s="398" t="str">
        <f aca="false">IF(A140="N/A"," ",C140*B140)</f>
        <v> </v>
      </c>
      <c r="E140" s="396" t="str">
        <f aca="false">IF(A140="N/A"," ",IF(ISERROR(O140),E128*Pwresc,O140)*VLOOKUP(MONTH(A140),Curveadj,3))</f>
        <v> </v>
      </c>
      <c r="F140" s="398" t="str">
        <f aca="false">IF(A140="N/A"," ",E140*C140)</f>
        <v> </v>
      </c>
      <c r="G140" s="396" t="str">
        <f aca="false">IF(A140="N/A"," ",IF(ISERROR(P140),G128*Pwresc,P140)*VLOOKUP(MONTH(A140),Curveadj,3))</f>
        <v> </v>
      </c>
      <c r="H140" s="398" t="str">
        <f aca="false">IF(A140="N/A"," ",G140*C140)</f>
        <v> </v>
      </c>
      <c r="I140" s="398" t="str">
        <f aca="false">IF(A140="N/A"," ",IF(ISERROR(Q140),I128*Pwresc,Q140))</f>
        <v> </v>
      </c>
      <c r="J140" s="398"/>
      <c r="K140" s="399"/>
      <c r="L140" s="399"/>
      <c r="M140" s="404"/>
      <c r="N140" s="401" t="str">
        <f aca="false">IF(A140="N/A"," ",VLOOKUP(A140,PeakPowerCurves,(IF(BMO2=2,3,IF(BMO2=1,2,4))),FALSE()))</f>
        <v> </v>
      </c>
      <c r="O140" s="401" t="str">
        <f aca="false">IF(A140="N/A"," ",VLOOKUP(A140,SatSunPeakPwr,(IF(BMO2=2,3,IF(BMO2=1,2,4))),FALSE()))</f>
        <v> </v>
      </c>
      <c r="P140" s="401" t="str">
        <f aca="false">IF(A140="N/A"," ",VLOOKUP(A140,SatSunPeakPwr,(IF(BMO2=2,7,IF(BMO2=1,6,8))),FALSE()))</f>
        <v> </v>
      </c>
      <c r="Q140" s="402" t="str">
        <f aca="false">IF(A140="N/A"," ",(VLOOKUP(A140,OPPowerPrices,(IF(BMO2=2,7,IF(BMO2=1,6,8))),FALSE())))</f>
        <v> </v>
      </c>
      <c r="R140" s="403" t="str">
        <f aca="false">IF(A140="N/A"," ",(VLOOKUP($A140,IRTable,2)))</f>
        <v> </v>
      </c>
      <c r="AF140" s="352" t="n">
        <v>40695</v>
      </c>
      <c r="AG140" s="311" t="n">
        <v>22</v>
      </c>
      <c r="AH140" s="311" t="n">
        <v>4</v>
      </c>
      <c r="AI140" s="311" t="n">
        <v>4</v>
      </c>
      <c r="AJ140" s="311" t="n">
        <v>0</v>
      </c>
      <c r="AK140" s="311" t="n">
        <v>30</v>
      </c>
      <c r="AU140" s="406"/>
    </row>
    <row r="141" customFormat="false" ht="12.75" hidden="false" customHeight="false" outlineLevel="0" collapsed="false">
      <c r="A141" s="352" t="str">
        <f aca="false">Option2!A108</f>
        <v>N/A</v>
      </c>
      <c r="B141" s="396" t="str">
        <f aca="false">IF(A141="N/A"," ",IF(ISERROR(N141),B129*Pwresc,N141)*VLOOKUP(MONTH(A141),Curveadj,3))</f>
        <v> </v>
      </c>
      <c r="C141" s="397" t="str">
        <f aca="false">IF(A141="N/A"," ",(IF(AND(Scaler2=1,MONTH(A141)&gt;=6,MONTH(A141)&lt;=8,OR($M$37="REGION 2",$M$37="REGION 2A",$M$37="REGION 2B",$M$37="REGION 3",$M$37="REGION 3A",$M$37="REGION 3B",$M$37="REGION 3C",$M$37="REGION 4",$M$37="REGION 4B",$M$37="REGION 4C",$M$37="REGION 5",$M$37="REGION 5A")),((0.059228/(B141/100))-(0.4980013/(SQRT(B141/100)))+2.137988),HLOOKUP(MONTH(A141),ScalarTable,28))))</f>
        <v> </v>
      </c>
      <c r="D141" s="398" t="str">
        <f aca="false">IF(A141="N/A"," ",C141*B141)</f>
        <v> </v>
      </c>
      <c r="E141" s="396" t="str">
        <f aca="false">IF(A141="N/A"," ",IF(ISERROR(O141),E129*Pwresc,O141)*VLOOKUP(MONTH(A141),Curveadj,3))</f>
        <v> </v>
      </c>
      <c r="F141" s="398" t="str">
        <f aca="false">IF(A141="N/A"," ",E141*C141)</f>
        <v> </v>
      </c>
      <c r="G141" s="396" t="str">
        <f aca="false">IF(A141="N/A"," ",IF(ISERROR(P141),G129*Pwresc,P141)*VLOOKUP(MONTH(A141),Curveadj,3))</f>
        <v> </v>
      </c>
      <c r="H141" s="398" t="str">
        <f aca="false">IF(A141="N/A"," ",G141*C141)</f>
        <v> </v>
      </c>
      <c r="I141" s="398" t="str">
        <f aca="false">IF(A141="N/A"," ",IF(ISERROR(Q141),I129*Pwresc,Q141))</f>
        <v> </v>
      </c>
      <c r="J141" s="398"/>
      <c r="K141" s="399"/>
      <c r="L141" s="399"/>
      <c r="M141" s="404"/>
      <c r="N141" s="401" t="str">
        <f aca="false">IF(A141="N/A"," ",VLOOKUP(A141,PeakPowerCurves,(IF(BMO2=2,3,IF(BMO2=1,2,4))),FALSE()))</f>
        <v> </v>
      </c>
      <c r="O141" s="401" t="str">
        <f aca="false">IF(A141="N/A"," ",VLOOKUP(A141,SatSunPeakPwr,(IF(BMO2=2,3,IF(BMO2=1,2,4))),FALSE()))</f>
        <v> </v>
      </c>
      <c r="P141" s="401" t="str">
        <f aca="false">IF(A141="N/A"," ",VLOOKUP(A141,SatSunPeakPwr,(IF(BMO2=2,7,IF(BMO2=1,6,8))),FALSE()))</f>
        <v> </v>
      </c>
      <c r="Q141" s="402" t="str">
        <f aca="false">IF(A141="N/A"," ",(VLOOKUP(A141,OPPowerPrices,(IF(BMO2=2,7,IF(BMO2=1,6,8))),FALSE())))</f>
        <v> </v>
      </c>
      <c r="R141" s="403" t="str">
        <f aca="false">IF(A141="N/A"," ",(VLOOKUP($A141,IRTable,2)))</f>
        <v> </v>
      </c>
      <c r="AF141" s="352" t="n">
        <v>40725</v>
      </c>
      <c r="AG141" s="311" t="n">
        <v>20</v>
      </c>
      <c r="AH141" s="311" t="n">
        <v>5</v>
      </c>
      <c r="AI141" s="311" t="n">
        <v>6</v>
      </c>
      <c r="AJ141" s="311" t="n">
        <v>1</v>
      </c>
      <c r="AK141" s="311" t="n">
        <v>31</v>
      </c>
      <c r="AU141" s="406"/>
    </row>
    <row r="142" customFormat="false" ht="12.75" hidden="false" customHeight="false" outlineLevel="0" collapsed="false">
      <c r="A142" s="352" t="str">
        <f aca="false">Option2!A109</f>
        <v>N/A</v>
      </c>
      <c r="B142" s="396" t="str">
        <f aca="false">IF(A142="N/A"," ",IF(ISERROR(N142),B130*Pwresc,N142)*VLOOKUP(MONTH(A142),Curveadj,3))</f>
        <v> </v>
      </c>
      <c r="C142" s="397" t="str">
        <f aca="false">IF(A142="N/A"," ",(IF(AND(Scaler2=1,MONTH(A142)&gt;=6,MONTH(A142)&lt;=8,OR($M$37="REGION 2",$M$37="REGION 2A",$M$37="REGION 2B",$M$37="REGION 3",$M$37="REGION 3A",$M$37="REGION 3B",$M$37="REGION 3C",$M$37="REGION 4",$M$37="REGION 4B",$M$37="REGION 4C",$M$37="REGION 5",$M$37="REGION 5A")),((0.059228/(B142/100))-(0.4980013/(SQRT(B142/100)))+2.137988),HLOOKUP(MONTH(A142),ScalarTable,28))))</f>
        <v> </v>
      </c>
      <c r="D142" s="398" t="str">
        <f aca="false">IF(A142="N/A"," ",C142*B142)</f>
        <v> </v>
      </c>
      <c r="E142" s="396" t="str">
        <f aca="false">IF(A142="N/A"," ",IF(ISERROR(O142),E130*Pwresc,O142)*VLOOKUP(MONTH(A142),Curveadj,3))</f>
        <v> </v>
      </c>
      <c r="F142" s="398" t="str">
        <f aca="false">IF(A142="N/A"," ",E142*C142)</f>
        <v> </v>
      </c>
      <c r="G142" s="396" t="str">
        <f aca="false">IF(A142="N/A"," ",IF(ISERROR(P142),G130*Pwresc,P142)*VLOOKUP(MONTH(A142),Curveadj,3))</f>
        <v> </v>
      </c>
      <c r="H142" s="398" t="str">
        <f aca="false">IF(A142="N/A"," ",G142*C142)</f>
        <v> </v>
      </c>
      <c r="I142" s="398" t="str">
        <f aca="false">IF(A142="N/A"," ",IF(ISERROR(Q142),I130*Pwresc,Q142))</f>
        <v> </v>
      </c>
      <c r="J142" s="398"/>
      <c r="K142" s="399"/>
      <c r="L142" s="399"/>
      <c r="M142" s="404"/>
      <c r="N142" s="401" t="str">
        <f aca="false">IF(A142="N/A"," ",VLOOKUP(A142,PeakPowerCurves,(IF(BMO2=2,3,IF(BMO2=1,2,4))),FALSE()))</f>
        <v> </v>
      </c>
      <c r="O142" s="401" t="str">
        <f aca="false">IF(A142="N/A"," ",VLOOKUP(A142,SatSunPeakPwr,(IF(BMO2=2,3,IF(BMO2=1,2,4))),FALSE()))</f>
        <v> </v>
      </c>
      <c r="P142" s="401" t="str">
        <f aca="false">IF(A142="N/A"," ",VLOOKUP(A142,SatSunPeakPwr,(IF(BMO2=2,7,IF(BMO2=1,6,8))),FALSE()))</f>
        <v> </v>
      </c>
      <c r="Q142" s="402" t="str">
        <f aca="false">IF(A142="N/A"," ",(VLOOKUP(A142,OPPowerPrices,(IF(BMO2=2,7,IF(BMO2=1,6,8))),FALSE())))</f>
        <v> </v>
      </c>
      <c r="R142" s="403" t="str">
        <f aca="false">IF(A142="N/A"," ",(VLOOKUP($A142,IRTable,2)))</f>
        <v> </v>
      </c>
      <c r="AF142" s="352" t="n">
        <v>40756</v>
      </c>
      <c r="AG142" s="311" t="n">
        <v>23</v>
      </c>
      <c r="AH142" s="311" t="n">
        <v>4</v>
      </c>
      <c r="AI142" s="311" t="n">
        <v>4</v>
      </c>
      <c r="AJ142" s="311" t="n">
        <v>0</v>
      </c>
      <c r="AK142" s="311" t="n">
        <v>31</v>
      </c>
      <c r="AU142" s="406"/>
    </row>
    <row r="143" customFormat="false" ht="12.75" hidden="false" customHeight="false" outlineLevel="0" collapsed="false">
      <c r="A143" s="352" t="str">
        <f aca="false">Option2!A110</f>
        <v>N/A</v>
      </c>
      <c r="B143" s="396" t="str">
        <f aca="false">IF(A143="N/A"," ",IF(ISERROR(N143),B131*Pwresc,N143)*VLOOKUP(MONTH(A143),Curveadj,3))</f>
        <v> </v>
      </c>
      <c r="C143" s="397" t="str">
        <f aca="false">IF(A143="N/A"," ",(IF(AND(Scaler2=1,MONTH(A143)&gt;=6,MONTH(A143)&lt;=8,OR($M$37="REGION 2",$M$37="REGION 2A",$M$37="REGION 2B",$M$37="REGION 3",$M$37="REGION 3A",$M$37="REGION 3B",$M$37="REGION 3C",$M$37="REGION 4",$M$37="REGION 4B",$M$37="REGION 4C",$M$37="REGION 5",$M$37="REGION 5A")),((0.059228/(B143/100))-(0.4980013/(SQRT(B143/100)))+2.137988),HLOOKUP(MONTH(A143),ScalarTable,28))))</f>
        <v> </v>
      </c>
      <c r="D143" s="398" t="str">
        <f aca="false">IF(A143="N/A"," ",C143*B143)</f>
        <v> </v>
      </c>
      <c r="E143" s="396" t="str">
        <f aca="false">IF(A143="N/A"," ",IF(ISERROR(O143),E131*Pwresc,O143)*VLOOKUP(MONTH(A143),Curveadj,3))</f>
        <v> </v>
      </c>
      <c r="F143" s="398" t="str">
        <f aca="false">IF(A143="N/A"," ",E143*C143)</f>
        <v> </v>
      </c>
      <c r="G143" s="396" t="str">
        <f aca="false">IF(A143="N/A"," ",IF(ISERROR(P143),G131*Pwresc,P143)*VLOOKUP(MONTH(A143),Curveadj,3))</f>
        <v> </v>
      </c>
      <c r="H143" s="398" t="str">
        <f aca="false">IF(A143="N/A"," ",G143*C143)</f>
        <v> </v>
      </c>
      <c r="I143" s="398" t="str">
        <f aca="false">IF(A143="N/A"," ",IF(ISERROR(Q143),I131*Pwresc,Q143))</f>
        <v> </v>
      </c>
      <c r="J143" s="398"/>
      <c r="K143" s="399"/>
      <c r="L143" s="399"/>
      <c r="M143" s="404"/>
      <c r="N143" s="401" t="str">
        <f aca="false">IF(A143="N/A"," ",VLOOKUP(A143,PeakPowerCurves,(IF(BMO2=2,3,IF(BMO2=1,2,4))),FALSE()))</f>
        <v> </v>
      </c>
      <c r="O143" s="401" t="str">
        <f aca="false">IF(A143="N/A"," ",VLOOKUP(A143,SatSunPeakPwr,(IF(BMO2=2,3,IF(BMO2=1,2,4))),FALSE()))</f>
        <v> </v>
      </c>
      <c r="P143" s="401" t="str">
        <f aca="false">IF(A143="N/A"," ",VLOOKUP(A143,SatSunPeakPwr,(IF(BMO2=2,7,IF(BMO2=1,6,8))),FALSE()))</f>
        <v> </v>
      </c>
      <c r="Q143" s="402" t="str">
        <f aca="false">IF(A143="N/A"," ",(VLOOKUP(A143,OPPowerPrices,(IF(BMO2=2,7,IF(BMO2=1,6,8))),FALSE())))</f>
        <v> </v>
      </c>
      <c r="R143" s="403" t="str">
        <f aca="false">IF(A143="N/A"," ",(VLOOKUP($A143,IRTable,2)))</f>
        <v> </v>
      </c>
      <c r="AF143" s="352" t="n">
        <v>40787</v>
      </c>
      <c r="AG143" s="311" t="n">
        <v>21</v>
      </c>
      <c r="AH143" s="311" t="n">
        <v>4</v>
      </c>
      <c r="AI143" s="311" t="n">
        <v>5</v>
      </c>
      <c r="AJ143" s="311" t="n">
        <v>1</v>
      </c>
      <c r="AK143" s="311" t="n">
        <v>30</v>
      </c>
      <c r="AU143" s="406"/>
    </row>
    <row r="144" customFormat="false" ht="12.75" hidden="false" customHeight="false" outlineLevel="0" collapsed="false">
      <c r="A144" s="352" t="str">
        <f aca="false">Option2!A111</f>
        <v>N/A</v>
      </c>
      <c r="B144" s="396" t="str">
        <f aca="false">IF(A144="N/A"," ",IF(ISERROR(N144),B132*Pwresc,N144)*VLOOKUP(MONTH(A144),Curveadj,3))</f>
        <v> </v>
      </c>
      <c r="C144" s="397" t="str">
        <f aca="false">IF(A144="N/A"," ",(IF(AND(Scaler2=1,MONTH(A144)&gt;=6,MONTH(A144)&lt;=8,OR($M$37="REGION 2",$M$37="REGION 2A",$M$37="REGION 2B",$M$37="REGION 3",$M$37="REGION 3A",$M$37="REGION 3B",$M$37="REGION 3C",$M$37="REGION 4",$M$37="REGION 4B",$M$37="REGION 4C",$M$37="REGION 5",$M$37="REGION 5A")),((0.059228/(B144/100))-(0.4980013/(SQRT(B144/100)))+2.137988),HLOOKUP(MONTH(A144),ScalarTable,28))))</f>
        <v> </v>
      </c>
      <c r="D144" s="398" t="str">
        <f aca="false">IF(A144="N/A"," ",C144*B144)</f>
        <v> </v>
      </c>
      <c r="E144" s="396" t="str">
        <f aca="false">IF(A144="N/A"," ",IF(ISERROR(O144),E132*Pwresc,O144)*VLOOKUP(MONTH(A144),Curveadj,3))</f>
        <v> </v>
      </c>
      <c r="F144" s="398" t="str">
        <f aca="false">IF(A144="N/A"," ",E144*C144)</f>
        <v> </v>
      </c>
      <c r="G144" s="396" t="str">
        <f aca="false">IF(A144="N/A"," ",IF(ISERROR(P144),G132*Pwresc,P144)*VLOOKUP(MONTH(A144),Curveadj,3))</f>
        <v> </v>
      </c>
      <c r="H144" s="398" t="str">
        <f aca="false">IF(A144="N/A"," ",G144*C144)</f>
        <v> </v>
      </c>
      <c r="I144" s="398" t="str">
        <f aca="false">IF(A144="N/A"," ",IF(ISERROR(Q144),I132*Pwresc,Q144))</f>
        <v> </v>
      </c>
      <c r="J144" s="398"/>
      <c r="K144" s="399"/>
      <c r="L144" s="399"/>
      <c r="M144" s="404"/>
      <c r="N144" s="401" t="str">
        <f aca="false">IF(A144="N/A"," ",VLOOKUP(A144,PeakPowerCurves,(IF(BMO2=2,3,IF(BMO2=1,2,4))),FALSE()))</f>
        <v> </v>
      </c>
      <c r="O144" s="401" t="str">
        <f aca="false">IF(A144="N/A"," ",VLOOKUP(A144,SatSunPeakPwr,(IF(BMO2=2,3,IF(BMO2=1,2,4))),FALSE()))</f>
        <v> </v>
      </c>
      <c r="P144" s="401" t="str">
        <f aca="false">IF(A144="N/A"," ",VLOOKUP(A144,SatSunPeakPwr,(IF(BMO2=2,7,IF(BMO2=1,6,8))),FALSE()))</f>
        <v> </v>
      </c>
      <c r="Q144" s="402" t="str">
        <f aca="false">IF(A144="N/A"," ",(VLOOKUP(A144,OPPowerPrices,(IF(BMO2=2,7,IF(BMO2=1,6,8))),FALSE())))</f>
        <v> </v>
      </c>
      <c r="R144" s="403" t="str">
        <f aca="false">IF(A144="N/A"," ",(VLOOKUP($A144,IRTable,2)))</f>
        <v> </v>
      </c>
      <c r="AF144" s="352" t="n">
        <v>40817</v>
      </c>
      <c r="AG144" s="311" t="n">
        <v>21</v>
      </c>
      <c r="AH144" s="311" t="n">
        <v>5</v>
      </c>
      <c r="AI144" s="311" t="n">
        <v>5</v>
      </c>
      <c r="AJ144" s="311" t="n">
        <v>0</v>
      </c>
      <c r="AK144" s="311" t="n">
        <v>31</v>
      </c>
      <c r="AU144" s="406"/>
    </row>
    <row r="145" customFormat="false" ht="12.75" hidden="false" customHeight="false" outlineLevel="0" collapsed="false">
      <c r="A145" s="352" t="str">
        <f aca="false">Option2!A112</f>
        <v>N/A</v>
      </c>
      <c r="B145" s="396" t="str">
        <f aca="false">IF(A145="N/A"," ",IF(ISERROR(N145),B133*Pwresc,N145)*VLOOKUP(MONTH(A145),Curveadj,3))</f>
        <v> </v>
      </c>
      <c r="C145" s="397" t="str">
        <f aca="false">IF(A145="N/A"," ",(IF(AND(Scaler2=1,MONTH(A145)&gt;=6,MONTH(A145)&lt;=8,OR($M$37="REGION 2",$M$37="REGION 2A",$M$37="REGION 2B",$M$37="REGION 3",$M$37="REGION 3A",$M$37="REGION 3B",$M$37="REGION 3C",$M$37="REGION 4",$M$37="REGION 4B",$M$37="REGION 4C",$M$37="REGION 5",$M$37="REGION 5A")),((0.059228/(B145/100))-(0.4980013/(SQRT(B145/100)))+2.137988),HLOOKUP(MONTH(A145),ScalarTable,28))))</f>
        <v> </v>
      </c>
      <c r="D145" s="398" t="str">
        <f aca="false">IF(A145="N/A"," ",C145*B145)</f>
        <v> </v>
      </c>
      <c r="E145" s="396" t="str">
        <f aca="false">IF(A145="N/A"," ",IF(ISERROR(O145),E133*Pwresc,O145)*VLOOKUP(MONTH(A145),Curveadj,3))</f>
        <v> </v>
      </c>
      <c r="F145" s="398" t="str">
        <f aca="false">IF(A145="N/A"," ",E145*C145)</f>
        <v> </v>
      </c>
      <c r="G145" s="396" t="str">
        <f aca="false">IF(A145="N/A"," ",IF(ISERROR(P145),G133*Pwresc,P145)*VLOOKUP(MONTH(A145),Curveadj,3))</f>
        <v> </v>
      </c>
      <c r="H145" s="398" t="str">
        <f aca="false">IF(A145="N/A"," ",G145*C145)</f>
        <v> </v>
      </c>
      <c r="I145" s="398" t="str">
        <f aca="false">IF(A145="N/A"," ",IF(ISERROR(Q145),I133*Pwresc,Q145))</f>
        <v> </v>
      </c>
      <c r="J145" s="398"/>
      <c r="K145" s="399"/>
      <c r="L145" s="399"/>
      <c r="M145" s="404"/>
      <c r="N145" s="401" t="str">
        <f aca="false">IF(A145="N/A"," ",VLOOKUP(A145,PeakPowerCurves,(IF(BMO2=2,3,IF(BMO2=1,2,4))),FALSE()))</f>
        <v> </v>
      </c>
      <c r="O145" s="401" t="str">
        <f aca="false">IF(A145="N/A"," ",VLOOKUP(A145,SatSunPeakPwr,(IF(BMO2=2,3,IF(BMO2=1,2,4))),FALSE()))</f>
        <v> </v>
      </c>
      <c r="P145" s="401" t="str">
        <f aca="false">IF(A145="N/A"," ",VLOOKUP(A145,SatSunPeakPwr,(IF(BMO2=2,7,IF(BMO2=1,6,8))),FALSE()))</f>
        <v> </v>
      </c>
      <c r="Q145" s="402" t="str">
        <f aca="false">IF(A145="N/A"," ",(VLOOKUP(A145,OPPowerPrices,(IF(BMO2=2,7,IF(BMO2=1,6,8))),FALSE())))</f>
        <v> </v>
      </c>
      <c r="R145" s="403" t="str">
        <f aca="false">IF(A145="N/A"," ",(VLOOKUP($A145,IRTable,2)))</f>
        <v> </v>
      </c>
      <c r="AF145" s="352" t="n">
        <v>40848</v>
      </c>
      <c r="AG145" s="311" t="n">
        <v>21</v>
      </c>
      <c r="AH145" s="311" t="n">
        <v>4</v>
      </c>
      <c r="AI145" s="311" t="n">
        <v>5</v>
      </c>
      <c r="AJ145" s="311" t="n">
        <v>1</v>
      </c>
      <c r="AK145" s="311" t="n">
        <v>30</v>
      </c>
      <c r="AU145" s="406"/>
    </row>
    <row r="146" customFormat="false" ht="12.75" hidden="false" customHeight="false" outlineLevel="0" collapsed="false">
      <c r="A146" s="352" t="str">
        <f aca="false">Option2!A113</f>
        <v>N/A</v>
      </c>
      <c r="B146" s="396" t="str">
        <f aca="false">IF(A146="N/A"," ",IF(ISERROR(N146),B134*Pwresc,N146)*VLOOKUP(MONTH(A146),Curveadj,3))</f>
        <v> </v>
      </c>
      <c r="C146" s="397" t="str">
        <f aca="false">IF(A146="N/A"," ",(IF(AND(Scaler2=1,MONTH(A146)&gt;=6,MONTH(A146)&lt;=8,OR($M$37="REGION 2",$M$37="REGION 2A",$M$37="REGION 2B",$M$37="REGION 3",$M$37="REGION 3A",$M$37="REGION 3B",$M$37="REGION 3C",$M$37="REGION 4",$M$37="REGION 4B",$M$37="REGION 4C",$M$37="REGION 5",$M$37="REGION 5A")),((0.059228/(B146/100))-(0.4980013/(SQRT(B146/100)))+2.137988),HLOOKUP(MONTH(A146),ScalarTable,28))))</f>
        <v> </v>
      </c>
      <c r="D146" s="398" t="str">
        <f aca="false">IF(A146="N/A"," ",C146*B146)</f>
        <v> </v>
      </c>
      <c r="E146" s="396" t="str">
        <f aca="false">IF(A146="N/A"," ",IF(ISERROR(O146),E134*Pwresc,O146)*VLOOKUP(MONTH(A146),Curveadj,3))</f>
        <v> </v>
      </c>
      <c r="F146" s="398" t="str">
        <f aca="false">IF(A146="N/A"," ",E146*C146)</f>
        <v> </v>
      </c>
      <c r="G146" s="396" t="str">
        <f aca="false">IF(A146="N/A"," ",IF(ISERROR(P146),G134*Pwresc,P146)*VLOOKUP(MONTH(A146),Curveadj,3))</f>
        <v> </v>
      </c>
      <c r="H146" s="398" t="str">
        <f aca="false">IF(A146="N/A"," ",G146*C146)</f>
        <v> </v>
      </c>
      <c r="I146" s="398" t="str">
        <f aca="false">IF(A146="N/A"," ",IF(ISERROR(Q146),I134*Pwresc,Q146))</f>
        <v> </v>
      </c>
      <c r="J146" s="398"/>
      <c r="K146" s="399"/>
      <c r="L146" s="399"/>
      <c r="M146" s="404"/>
      <c r="N146" s="401" t="str">
        <f aca="false">IF(A146="N/A"," ",VLOOKUP(A146,PeakPowerCurves,(IF(BMO2=2,3,IF(BMO2=1,2,4))),FALSE()))</f>
        <v> </v>
      </c>
      <c r="O146" s="401" t="str">
        <f aca="false">IF(A146="N/A"," ",VLOOKUP(A146,SatSunPeakPwr,(IF(BMO2=2,3,IF(BMO2=1,2,4))),FALSE()))</f>
        <v> </v>
      </c>
      <c r="P146" s="401" t="str">
        <f aca="false">IF(A146="N/A"," ",VLOOKUP(A146,SatSunPeakPwr,(IF(BMO2=2,7,IF(BMO2=1,6,8))),FALSE()))</f>
        <v> </v>
      </c>
      <c r="Q146" s="402" t="str">
        <f aca="false">IF(A146="N/A"," ",(VLOOKUP(A146,OPPowerPrices,(IF(BMO2=2,7,IF(BMO2=1,6,8))),FALSE())))</f>
        <v> </v>
      </c>
      <c r="R146" s="403" t="str">
        <f aca="false">IF(A146="N/A"," ",(VLOOKUP($A146,IRTable,2)))</f>
        <v> </v>
      </c>
      <c r="AF146" s="352" t="n">
        <v>40878</v>
      </c>
      <c r="AG146" s="311" t="n">
        <v>21</v>
      </c>
      <c r="AH146" s="311" t="n">
        <v>5</v>
      </c>
      <c r="AI146" s="311" t="n">
        <v>5</v>
      </c>
      <c r="AJ146" s="311" t="n">
        <v>1</v>
      </c>
      <c r="AK146" s="311" t="n">
        <v>31</v>
      </c>
      <c r="AU146" s="406"/>
    </row>
    <row r="147" customFormat="false" ht="12.75" hidden="false" customHeight="false" outlineLevel="0" collapsed="false">
      <c r="A147" s="352" t="str">
        <f aca="false">Option2!A114</f>
        <v>N/A</v>
      </c>
      <c r="B147" s="396" t="str">
        <f aca="false">IF(A147="N/A"," ",IF(ISERROR(N147),B135*Pwresc,N147)*VLOOKUP(MONTH(A147),Curveadj,3))</f>
        <v> </v>
      </c>
      <c r="C147" s="397" t="str">
        <f aca="false">IF(A147="N/A"," ",(IF(AND(Scaler2=1,MONTH(A147)&gt;=6,MONTH(A147)&lt;=8,OR($M$37="REGION 2",$M$37="REGION 2A",$M$37="REGION 2B",$M$37="REGION 3",$M$37="REGION 3A",$M$37="REGION 3B",$M$37="REGION 3C",$M$37="REGION 4",$M$37="REGION 4B",$M$37="REGION 4C",$M$37="REGION 5",$M$37="REGION 5A")),((0.059228/(B147/100))-(0.4980013/(SQRT(B147/100)))+2.137988),HLOOKUP(MONTH(A147),ScalarTable,28))))</f>
        <v> </v>
      </c>
      <c r="D147" s="398" t="str">
        <f aca="false">IF(A147="N/A"," ",C147*B147)</f>
        <v> </v>
      </c>
      <c r="E147" s="396" t="str">
        <f aca="false">IF(A147="N/A"," ",IF(ISERROR(O147),E135*Pwresc,O147)*VLOOKUP(MONTH(A147),Curveadj,3))</f>
        <v> </v>
      </c>
      <c r="F147" s="398" t="str">
        <f aca="false">IF(A147="N/A"," ",E147*C147)</f>
        <v> </v>
      </c>
      <c r="G147" s="396" t="str">
        <f aca="false">IF(A147="N/A"," ",IF(ISERROR(P147),G135*Pwresc,P147)*VLOOKUP(MONTH(A147),Curveadj,3))</f>
        <v> </v>
      </c>
      <c r="H147" s="398" t="str">
        <f aca="false">IF(A147="N/A"," ",G147*C147)</f>
        <v> </v>
      </c>
      <c r="I147" s="398" t="str">
        <f aca="false">IF(A147="N/A"," ",IF(ISERROR(Q147),I135*Pwresc,Q147))</f>
        <v> </v>
      </c>
      <c r="J147" s="398"/>
      <c r="K147" s="399"/>
      <c r="L147" s="399"/>
      <c r="M147" s="404"/>
      <c r="N147" s="401" t="str">
        <f aca="false">IF(A147="N/A"," ",VLOOKUP(A147,PeakPowerCurves,(IF(BMO2=2,3,IF(BMO2=1,2,4))),FALSE()))</f>
        <v> </v>
      </c>
      <c r="O147" s="401" t="str">
        <f aca="false">IF(A147="N/A"," ",VLOOKUP(A147,SatSunPeakPwr,(IF(BMO2=2,3,IF(BMO2=1,2,4))),FALSE()))</f>
        <v> </v>
      </c>
      <c r="P147" s="401" t="str">
        <f aca="false">IF(A147="N/A"," ",VLOOKUP(A147,SatSunPeakPwr,(IF(BMO2=2,7,IF(BMO2=1,6,8))),FALSE()))</f>
        <v> </v>
      </c>
      <c r="Q147" s="402" t="str">
        <f aca="false">IF(A147="N/A"," ",(VLOOKUP(A147,OPPowerPrices,(IF(BMO2=2,7,IF(BMO2=1,6,8))),FALSE())))</f>
        <v> </v>
      </c>
      <c r="R147" s="403" t="str">
        <f aca="false">IF(A147="N/A"," ",(VLOOKUP($A147,IRTable,2)))</f>
        <v> </v>
      </c>
      <c r="AF147" s="352" t="n">
        <v>40909</v>
      </c>
      <c r="AG147" s="311" t="n">
        <v>21</v>
      </c>
      <c r="AH147" s="311" t="n">
        <v>4</v>
      </c>
      <c r="AI147" s="311" t="n">
        <v>6</v>
      </c>
      <c r="AJ147" s="311" t="n">
        <v>1</v>
      </c>
      <c r="AK147" s="311" t="n">
        <v>31</v>
      </c>
      <c r="AU147" s="406"/>
    </row>
    <row r="148" customFormat="false" ht="12.75" hidden="false" customHeight="false" outlineLevel="0" collapsed="false">
      <c r="A148" s="352" t="str">
        <f aca="false">Option2!A115</f>
        <v>N/A</v>
      </c>
      <c r="B148" s="396" t="str">
        <f aca="false">IF(A148="N/A"," ",IF(ISERROR(N148),B136*Pwresc,N148)*VLOOKUP(MONTH(A148),Curveadj,3))</f>
        <v> </v>
      </c>
      <c r="C148" s="397" t="str">
        <f aca="false">IF(A148="N/A"," ",(IF(AND(Scaler2=1,MONTH(A148)&gt;=6,MONTH(A148)&lt;=8,OR($M$37="REGION 2",$M$37="REGION 2A",$M$37="REGION 2B",$M$37="REGION 3",$M$37="REGION 3A",$M$37="REGION 3B",$M$37="REGION 3C",$M$37="REGION 4",$M$37="REGION 4B",$M$37="REGION 4C",$M$37="REGION 5",$M$37="REGION 5A")),((0.059228/(B148/100))-(0.4980013/(SQRT(B148/100)))+2.137988),HLOOKUP(MONTH(A148),ScalarTable,28))))</f>
        <v> </v>
      </c>
      <c r="D148" s="398" t="str">
        <f aca="false">IF(A148="N/A"," ",C148*B148)</f>
        <v> </v>
      </c>
      <c r="E148" s="396" t="str">
        <f aca="false">IF(A148="N/A"," ",IF(ISERROR(O148),E136*Pwresc,O148)*VLOOKUP(MONTH(A148),Curveadj,3))</f>
        <v> </v>
      </c>
      <c r="F148" s="398" t="str">
        <f aca="false">IF(A148="N/A"," ",E148*C148)</f>
        <v> </v>
      </c>
      <c r="G148" s="396" t="str">
        <f aca="false">IF(A148="N/A"," ",IF(ISERROR(P148),G136*Pwresc,P148)*VLOOKUP(MONTH(A148),Curveadj,3))</f>
        <v> </v>
      </c>
      <c r="H148" s="398" t="str">
        <f aca="false">IF(A148="N/A"," ",G148*C148)</f>
        <v> </v>
      </c>
      <c r="I148" s="398" t="str">
        <f aca="false">IF(A148="N/A"," ",IF(ISERROR(Q148),I136*Pwresc,Q148))</f>
        <v> </v>
      </c>
      <c r="J148" s="398"/>
      <c r="K148" s="399"/>
      <c r="L148" s="399"/>
      <c r="M148" s="404"/>
      <c r="N148" s="401" t="str">
        <f aca="false">IF(A148="N/A"," ",VLOOKUP(A148,PeakPowerCurves,(IF(BMO2=2,3,IF(BMO2=1,2,4))),FALSE()))</f>
        <v> </v>
      </c>
      <c r="O148" s="401" t="str">
        <f aca="false">IF(A148="N/A"," ",VLOOKUP(A148,SatSunPeakPwr,(IF(BMO2=2,3,IF(BMO2=1,2,4))),FALSE()))</f>
        <v> </v>
      </c>
      <c r="P148" s="401" t="str">
        <f aca="false">IF(A148="N/A"," ",VLOOKUP(A148,SatSunPeakPwr,(IF(BMO2=2,7,IF(BMO2=1,6,8))),FALSE()))</f>
        <v> </v>
      </c>
      <c r="Q148" s="402" t="str">
        <f aca="false">IF(A148="N/A"," ",(VLOOKUP(A148,OPPowerPrices,(IF(BMO2=2,7,IF(BMO2=1,6,8))),FALSE())))</f>
        <v> </v>
      </c>
      <c r="R148" s="403" t="str">
        <f aca="false">IF(A148="N/A"," ",(VLOOKUP($A148,IRTable,2)))</f>
        <v> </v>
      </c>
      <c r="AF148" s="352" t="n">
        <v>40940</v>
      </c>
      <c r="AG148" s="311" t="n">
        <v>21</v>
      </c>
      <c r="AH148" s="311" t="n">
        <v>4</v>
      </c>
      <c r="AI148" s="311" t="n">
        <v>4</v>
      </c>
      <c r="AJ148" s="311" t="n">
        <v>0</v>
      </c>
      <c r="AK148" s="311" t="n">
        <v>29</v>
      </c>
      <c r="AU148" s="406"/>
    </row>
    <row r="149" customFormat="false" ht="12.75" hidden="false" customHeight="false" outlineLevel="0" collapsed="false">
      <c r="A149" s="352" t="str">
        <f aca="false">Option2!A116</f>
        <v>N/A</v>
      </c>
      <c r="B149" s="396" t="str">
        <f aca="false">IF(A149="N/A"," ",IF(ISERROR(N149),B137*Pwresc,N149)*VLOOKUP(MONTH(A149),Curveadj,3))</f>
        <v> </v>
      </c>
      <c r="C149" s="397" t="str">
        <f aca="false">IF(A149="N/A"," ",(IF(AND(Scaler2=1,MONTH(A149)&gt;=6,MONTH(A149)&lt;=8,OR($M$37="REGION 2",$M$37="REGION 2A",$M$37="REGION 2B",$M$37="REGION 3",$M$37="REGION 3A",$M$37="REGION 3B",$M$37="REGION 3C",$M$37="REGION 4",$M$37="REGION 4B",$M$37="REGION 4C",$M$37="REGION 5",$M$37="REGION 5A")),((0.059228/(B149/100))-(0.4980013/(SQRT(B149/100)))+2.137988),HLOOKUP(MONTH(A149),ScalarTable,28))))</f>
        <v> </v>
      </c>
      <c r="D149" s="398" t="str">
        <f aca="false">IF(A149="N/A"," ",C149*B149)</f>
        <v> </v>
      </c>
      <c r="E149" s="396" t="str">
        <f aca="false">IF(A149="N/A"," ",IF(ISERROR(O149),E137*Pwresc,O149)*VLOOKUP(MONTH(A149),Curveadj,3))</f>
        <v> </v>
      </c>
      <c r="F149" s="398" t="str">
        <f aca="false">IF(A149="N/A"," ",E149*C149)</f>
        <v> </v>
      </c>
      <c r="G149" s="396" t="str">
        <f aca="false">IF(A149="N/A"," ",IF(ISERROR(P149),G137*Pwresc,P149)*VLOOKUP(MONTH(A149),Curveadj,3))</f>
        <v> </v>
      </c>
      <c r="H149" s="398" t="str">
        <f aca="false">IF(A149="N/A"," ",G149*C149)</f>
        <v> </v>
      </c>
      <c r="I149" s="398" t="str">
        <f aca="false">IF(A149="N/A"," ",IF(ISERROR(Q149),I137*Pwresc,Q149))</f>
        <v> </v>
      </c>
      <c r="J149" s="398"/>
      <c r="K149" s="399"/>
      <c r="L149" s="399"/>
      <c r="M149" s="404"/>
      <c r="N149" s="401" t="str">
        <f aca="false">IF(A149="N/A"," ",VLOOKUP(A149,PeakPowerCurves,(IF(BMO2=2,3,IF(BMO2=1,2,4))),FALSE()))</f>
        <v> </v>
      </c>
      <c r="O149" s="401" t="str">
        <f aca="false">IF(A149="N/A"," ",VLOOKUP(A149,SatSunPeakPwr,(IF(BMO2=2,3,IF(BMO2=1,2,4))),FALSE()))</f>
        <v> </v>
      </c>
      <c r="P149" s="401" t="str">
        <f aca="false">IF(A149="N/A"," ",VLOOKUP(A149,SatSunPeakPwr,(IF(BMO2=2,7,IF(BMO2=1,6,8))),FALSE()))</f>
        <v> </v>
      </c>
      <c r="Q149" s="402" t="str">
        <f aca="false">IF(A149="N/A"," ",(VLOOKUP(A149,OPPowerPrices,(IF(BMO2=2,7,IF(BMO2=1,6,8))),FALSE())))</f>
        <v> </v>
      </c>
      <c r="R149" s="403" t="str">
        <f aca="false">IF(A149="N/A"," ",(VLOOKUP($A149,IRTable,2)))</f>
        <v> </v>
      </c>
      <c r="AF149" s="352" t="n">
        <v>40969</v>
      </c>
      <c r="AG149" s="311" t="n">
        <v>22</v>
      </c>
      <c r="AH149" s="311" t="n">
        <v>5</v>
      </c>
      <c r="AI149" s="311" t="n">
        <v>4</v>
      </c>
      <c r="AJ149" s="311" t="n">
        <v>0</v>
      </c>
      <c r="AK149" s="311" t="n">
        <v>31</v>
      </c>
      <c r="AU149" s="406"/>
    </row>
    <row r="150" customFormat="false" ht="12.75" hidden="false" customHeight="false" outlineLevel="0" collapsed="false">
      <c r="A150" s="352" t="str">
        <f aca="false">Option2!A117</f>
        <v>N/A</v>
      </c>
      <c r="B150" s="396" t="str">
        <f aca="false">IF(A150="N/A"," ",IF(ISERROR(N150),B138*Pwresc,N150)*VLOOKUP(MONTH(A150),Curveadj,3))</f>
        <v> </v>
      </c>
      <c r="C150" s="397" t="str">
        <f aca="false">IF(A150="N/A"," ",(IF(AND(Scaler2=1,MONTH(A150)&gt;=6,MONTH(A150)&lt;=8,OR($M$37="REGION 2",$M$37="REGION 2A",$M$37="REGION 2B",$M$37="REGION 3",$M$37="REGION 3A",$M$37="REGION 3B",$M$37="REGION 3C",$M$37="REGION 4",$M$37="REGION 4B",$M$37="REGION 4C",$M$37="REGION 5",$M$37="REGION 5A")),((0.059228/(B150/100))-(0.4980013/(SQRT(B150/100)))+2.137988),HLOOKUP(MONTH(A150),ScalarTable,28))))</f>
        <v> </v>
      </c>
      <c r="D150" s="398" t="str">
        <f aca="false">IF(A150="N/A"," ",C150*B150)</f>
        <v> </v>
      </c>
      <c r="E150" s="396" t="str">
        <f aca="false">IF(A150="N/A"," ",IF(ISERROR(O150),E138*Pwresc,O150)*VLOOKUP(MONTH(A150),Curveadj,3))</f>
        <v> </v>
      </c>
      <c r="F150" s="398" t="str">
        <f aca="false">IF(A150="N/A"," ",E150*C150)</f>
        <v> </v>
      </c>
      <c r="G150" s="396" t="str">
        <f aca="false">IF(A150="N/A"," ",IF(ISERROR(P150),G138*Pwresc,P150)*VLOOKUP(MONTH(A150),Curveadj,3))</f>
        <v> </v>
      </c>
      <c r="H150" s="398" t="str">
        <f aca="false">IF(A150="N/A"," ",G150*C150)</f>
        <v> </v>
      </c>
      <c r="I150" s="398" t="str">
        <f aca="false">IF(A150="N/A"," ",IF(ISERROR(Q150),I138*Pwresc,Q150))</f>
        <v> </v>
      </c>
      <c r="J150" s="398"/>
      <c r="K150" s="399"/>
      <c r="L150" s="399"/>
      <c r="M150" s="404"/>
      <c r="N150" s="401" t="str">
        <f aca="false">IF(A150="N/A"," ",VLOOKUP(A150,PeakPowerCurves,(IF(BMO2=2,3,IF(BMO2=1,2,4))),FALSE()))</f>
        <v> </v>
      </c>
      <c r="O150" s="401" t="str">
        <f aca="false">IF(A150="N/A"," ",VLOOKUP(A150,SatSunPeakPwr,(IF(BMO2=2,3,IF(BMO2=1,2,4))),FALSE()))</f>
        <v> </v>
      </c>
      <c r="P150" s="401" t="str">
        <f aca="false">IF(A150="N/A"," ",VLOOKUP(A150,SatSunPeakPwr,(IF(BMO2=2,7,IF(BMO2=1,6,8))),FALSE()))</f>
        <v> </v>
      </c>
      <c r="Q150" s="402" t="str">
        <f aca="false">IF(A150="N/A"," ",(VLOOKUP(A150,OPPowerPrices,(IF(BMO2=2,7,IF(BMO2=1,6,8))),FALSE())))</f>
        <v> </v>
      </c>
      <c r="R150" s="403" t="str">
        <f aca="false">IF(A150="N/A"," ",(VLOOKUP($A150,IRTable,2)))</f>
        <v> </v>
      </c>
      <c r="AF150" s="352" t="n">
        <v>41000</v>
      </c>
      <c r="AG150" s="311" t="n">
        <v>21</v>
      </c>
      <c r="AH150" s="311" t="n">
        <v>4</v>
      </c>
      <c r="AI150" s="311" t="n">
        <v>5</v>
      </c>
      <c r="AJ150" s="311" t="n">
        <v>0</v>
      </c>
      <c r="AK150" s="311" t="n">
        <v>30</v>
      </c>
      <c r="AU150" s="406"/>
    </row>
    <row r="151" customFormat="false" ht="12.75" hidden="false" customHeight="false" outlineLevel="0" collapsed="false">
      <c r="A151" s="352" t="str">
        <f aca="false">Option2!A118</f>
        <v>N/A</v>
      </c>
      <c r="B151" s="396" t="str">
        <f aca="false">IF(A151="N/A"," ",IF(ISERROR(N151),B139*Pwresc,N151)*VLOOKUP(MONTH(A151),Curveadj,3))</f>
        <v> </v>
      </c>
      <c r="C151" s="397" t="str">
        <f aca="false">IF(A151="N/A"," ",(IF(AND(Scaler2=1,MONTH(A151)&gt;=6,MONTH(A151)&lt;=8,OR($M$37="REGION 2",$M$37="REGION 2A",$M$37="REGION 2B",$M$37="REGION 3",$M$37="REGION 3A",$M$37="REGION 3B",$M$37="REGION 3C",$M$37="REGION 4",$M$37="REGION 4B",$M$37="REGION 4C",$M$37="REGION 5",$M$37="REGION 5A")),((0.059228/(B151/100))-(0.4980013/(SQRT(B151/100)))+2.137988),HLOOKUP(MONTH(A151),ScalarTable,28))))</f>
        <v> </v>
      </c>
      <c r="D151" s="398" t="str">
        <f aca="false">IF(A151="N/A"," ",C151*B151)</f>
        <v> </v>
      </c>
      <c r="E151" s="396" t="str">
        <f aca="false">IF(A151="N/A"," ",IF(ISERROR(O151),E139*Pwresc,O151)*VLOOKUP(MONTH(A151),Curveadj,3))</f>
        <v> </v>
      </c>
      <c r="F151" s="398" t="str">
        <f aca="false">IF(A151="N/A"," ",E151*C151)</f>
        <v> </v>
      </c>
      <c r="G151" s="396" t="str">
        <f aca="false">IF(A151="N/A"," ",IF(ISERROR(P151),G139*Pwresc,P151)*VLOOKUP(MONTH(A151),Curveadj,3))</f>
        <v> </v>
      </c>
      <c r="H151" s="398" t="str">
        <f aca="false">IF(A151="N/A"," ",G151*C151)</f>
        <v> </v>
      </c>
      <c r="I151" s="398" t="str">
        <f aca="false">IF(A151="N/A"," ",IF(ISERROR(Q151),I139*Pwresc,Q151))</f>
        <v> </v>
      </c>
      <c r="J151" s="398"/>
      <c r="K151" s="399"/>
      <c r="L151" s="399"/>
      <c r="M151" s="404"/>
      <c r="N151" s="401" t="str">
        <f aca="false">IF(A151="N/A"," ",VLOOKUP(A151,PeakPowerCurves,(IF(BMO2=2,3,IF(BMO2=1,2,4))),FALSE()))</f>
        <v> </v>
      </c>
      <c r="O151" s="401" t="str">
        <f aca="false">IF(A151="N/A"," ",VLOOKUP(A151,SatSunPeakPwr,(IF(BMO2=2,3,IF(BMO2=1,2,4))),FALSE()))</f>
        <v> </v>
      </c>
      <c r="P151" s="401" t="str">
        <f aca="false">IF(A151="N/A"," ",VLOOKUP(A151,SatSunPeakPwr,(IF(BMO2=2,7,IF(BMO2=1,6,8))),FALSE()))</f>
        <v> </v>
      </c>
      <c r="Q151" s="402" t="str">
        <f aca="false">IF(A151="N/A"," ",(VLOOKUP(A151,OPPowerPrices,(IF(BMO2=2,7,IF(BMO2=1,6,8))),FALSE())))</f>
        <v> </v>
      </c>
      <c r="R151" s="403" t="str">
        <f aca="false">IF(A151="N/A"," ",(VLOOKUP($A151,IRTable,2)))</f>
        <v> </v>
      </c>
      <c r="AF151" s="352" t="n">
        <v>41030</v>
      </c>
      <c r="AG151" s="311" t="n">
        <v>22</v>
      </c>
      <c r="AH151" s="311" t="n">
        <v>4</v>
      </c>
      <c r="AI151" s="311" t="n">
        <v>5</v>
      </c>
      <c r="AJ151" s="311" t="n">
        <v>1</v>
      </c>
      <c r="AK151" s="311" t="n">
        <v>31</v>
      </c>
      <c r="AU151" s="406"/>
    </row>
    <row r="152" customFormat="false" ht="12.75" hidden="false" customHeight="false" outlineLevel="0" collapsed="false">
      <c r="A152" s="352" t="str">
        <f aca="false">Option2!A119</f>
        <v>N/A</v>
      </c>
      <c r="B152" s="396" t="str">
        <f aca="false">IF(A152="N/A"," ",IF(ISERROR(N152),B140*Pwresc,N152)*VLOOKUP(MONTH(A152),Curveadj,3))</f>
        <v> </v>
      </c>
      <c r="C152" s="397" t="str">
        <f aca="false">IF(A152="N/A"," ",(IF(AND(Scaler2=1,MONTH(A152)&gt;=6,MONTH(A152)&lt;=8,OR($M$37="REGION 2",$M$37="REGION 2A",$M$37="REGION 2B",$M$37="REGION 3",$M$37="REGION 3A",$M$37="REGION 3B",$M$37="REGION 3C",$M$37="REGION 4",$M$37="REGION 4B",$M$37="REGION 4C",$M$37="REGION 5",$M$37="REGION 5A")),((0.059228/(B152/100))-(0.4980013/(SQRT(B152/100)))+2.137988),HLOOKUP(MONTH(A152),ScalarTable,28))))</f>
        <v> </v>
      </c>
      <c r="D152" s="398" t="str">
        <f aca="false">IF(A152="N/A"," ",C152*B152)</f>
        <v> </v>
      </c>
      <c r="E152" s="396" t="str">
        <f aca="false">IF(A152="N/A"," ",IF(ISERROR(O152),E140*Pwresc,O152)*VLOOKUP(MONTH(A152),Curveadj,3))</f>
        <v> </v>
      </c>
      <c r="F152" s="398" t="str">
        <f aca="false">IF(A152="N/A"," ",E152*C152)</f>
        <v> </v>
      </c>
      <c r="G152" s="396" t="str">
        <f aca="false">IF(A152="N/A"," ",IF(ISERROR(P152),G140*Pwresc,P152)*VLOOKUP(MONTH(A152),Curveadj,3))</f>
        <v> </v>
      </c>
      <c r="H152" s="398" t="str">
        <f aca="false">IF(A152="N/A"," ",G152*C152)</f>
        <v> </v>
      </c>
      <c r="I152" s="398" t="str">
        <f aca="false">IF(A152="N/A"," ",IF(ISERROR(Q152),I140*Pwresc,Q152))</f>
        <v> </v>
      </c>
      <c r="J152" s="398"/>
      <c r="K152" s="399"/>
      <c r="L152" s="399"/>
      <c r="M152" s="404"/>
      <c r="N152" s="401" t="str">
        <f aca="false">IF(A152="N/A"," ",VLOOKUP(A152,PeakPowerCurves,(IF(BMO2=2,3,IF(BMO2=1,2,4))),FALSE()))</f>
        <v> </v>
      </c>
      <c r="O152" s="401" t="str">
        <f aca="false">IF(A152="N/A"," ",VLOOKUP(A152,SatSunPeakPwr,(IF(BMO2=2,3,IF(BMO2=1,2,4))),FALSE()))</f>
        <v> </v>
      </c>
      <c r="P152" s="401" t="str">
        <f aca="false">IF(A152="N/A"," ",VLOOKUP(A152,SatSunPeakPwr,(IF(BMO2=2,7,IF(BMO2=1,6,8))),FALSE()))</f>
        <v> </v>
      </c>
      <c r="Q152" s="402" t="str">
        <f aca="false">IF(A152="N/A"," ",(VLOOKUP(A152,OPPowerPrices,(IF(BMO2=2,7,IF(BMO2=1,6,8))),FALSE())))</f>
        <v> </v>
      </c>
      <c r="R152" s="403" t="str">
        <f aca="false">IF(A152="N/A"," ",(VLOOKUP($A152,IRTable,2)))</f>
        <v> </v>
      </c>
      <c r="AF152" s="352" t="n">
        <v>41061</v>
      </c>
      <c r="AG152" s="311" t="n">
        <v>21</v>
      </c>
      <c r="AH152" s="311" t="n">
        <v>5</v>
      </c>
      <c r="AI152" s="311" t="n">
        <v>4</v>
      </c>
      <c r="AJ152" s="311" t="n">
        <v>0</v>
      </c>
      <c r="AK152" s="311" t="n">
        <v>30</v>
      </c>
      <c r="AU152" s="406"/>
    </row>
    <row r="153" customFormat="false" ht="12.75" hidden="false" customHeight="false" outlineLevel="0" collapsed="false">
      <c r="A153" s="352" t="str">
        <f aca="false">Option2!A120</f>
        <v>N/A</v>
      </c>
      <c r="B153" s="396" t="str">
        <f aca="false">IF(A153="N/A"," ",IF(ISERROR(N153),B141*Pwresc,N153)*VLOOKUP(MONTH(A153),Curveadj,3))</f>
        <v> </v>
      </c>
      <c r="C153" s="397" t="str">
        <f aca="false">IF(A153="N/A"," ",(IF(AND(Scaler2=1,MONTH(A153)&gt;=6,MONTH(A153)&lt;=8,OR($M$37="REGION 2",$M$37="REGION 2A",$M$37="REGION 2B",$M$37="REGION 3",$M$37="REGION 3A",$M$37="REGION 3B",$M$37="REGION 3C",$M$37="REGION 4",$M$37="REGION 4B",$M$37="REGION 4C",$M$37="REGION 5",$M$37="REGION 5A")),((0.059228/(B153/100))-(0.4980013/(SQRT(B153/100)))+2.137988),HLOOKUP(MONTH(A153),ScalarTable,28))))</f>
        <v> </v>
      </c>
      <c r="D153" s="398" t="str">
        <f aca="false">IF(A153="N/A"," ",C153*B153)</f>
        <v> </v>
      </c>
      <c r="E153" s="396" t="str">
        <f aca="false">IF(A153="N/A"," ",IF(ISERROR(O153),E141*Pwresc,O153)*VLOOKUP(MONTH(A153),Curveadj,3))</f>
        <v> </v>
      </c>
      <c r="F153" s="398" t="str">
        <f aca="false">IF(A153="N/A"," ",E153*C153)</f>
        <v> </v>
      </c>
      <c r="G153" s="396" t="str">
        <f aca="false">IF(A153="N/A"," ",IF(ISERROR(P153),G141*Pwresc,P153)*VLOOKUP(MONTH(A153),Curveadj,3))</f>
        <v> </v>
      </c>
      <c r="H153" s="398" t="str">
        <f aca="false">IF(A153="N/A"," ",G153*C153)</f>
        <v> </v>
      </c>
      <c r="I153" s="398" t="str">
        <f aca="false">IF(A153="N/A"," ",IF(ISERROR(Q153),I141*Pwresc,Q153))</f>
        <v> </v>
      </c>
      <c r="J153" s="398"/>
      <c r="K153" s="399"/>
      <c r="L153" s="399"/>
      <c r="M153" s="404"/>
      <c r="N153" s="401" t="str">
        <f aca="false">IF(A153="N/A"," ",VLOOKUP(A153,PeakPowerCurves,(IF(BMO2=2,3,IF(BMO2=1,2,4))),FALSE()))</f>
        <v> </v>
      </c>
      <c r="O153" s="401" t="str">
        <f aca="false">IF(A153="N/A"," ",VLOOKUP(A153,SatSunPeakPwr,(IF(BMO2=2,3,IF(BMO2=1,2,4))),FALSE()))</f>
        <v> </v>
      </c>
      <c r="P153" s="401" t="str">
        <f aca="false">IF(A153="N/A"," ",VLOOKUP(A153,SatSunPeakPwr,(IF(BMO2=2,7,IF(BMO2=1,6,8))),FALSE()))</f>
        <v> </v>
      </c>
      <c r="Q153" s="402" t="str">
        <f aca="false">IF(A153="N/A"," ",(VLOOKUP(A153,OPPowerPrices,(IF(BMO2=2,7,IF(BMO2=1,6,8))),FALSE())))</f>
        <v> </v>
      </c>
      <c r="R153" s="403" t="str">
        <f aca="false">IF(A153="N/A"," ",(VLOOKUP($A153,IRTable,2)))</f>
        <v> </v>
      </c>
      <c r="AF153" s="352" t="n">
        <v>41091</v>
      </c>
      <c r="AG153" s="311" t="n">
        <v>21</v>
      </c>
      <c r="AH153" s="311" t="n">
        <v>4</v>
      </c>
      <c r="AI153" s="311" t="n">
        <v>6</v>
      </c>
      <c r="AJ153" s="311" t="n">
        <v>1</v>
      </c>
      <c r="AK153" s="311" t="n">
        <v>31</v>
      </c>
      <c r="AU153" s="406"/>
    </row>
    <row r="154" customFormat="false" ht="12.75" hidden="false" customHeight="false" outlineLevel="0" collapsed="false">
      <c r="A154" s="352" t="str">
        <f aca="false">Option2!A121</f>
        <v>N/A</v>
      </c>
      <c r="B154" s="396" t="str">
        <f aca="false">IF(A154="N/A"," ",IF(ISERROR(N154),B142*Pwresc,N154)*VLOOKUP(MONTH(A154),Curveadj,3))</f>
        <v> </v>
      </c>
      <c r="C154" s="397" t="str">
        <f aca="false">IF(A154="N/A"," ",(IF(AND(Scaler2=1,MONTH(A154)&gt;=6,MONTH(A154)&lt;=8,OR($M$37="REGION 2",$M$37="REGION 2A",$M$37="REGION 2B",$M$37="REGION 3",$M$37="REGION 3A",$M$37="REGION 3B",$M$37="REGION 3C",$M$37="REGION 4",$M$37="REGION 4B",$M$37="REGION 4C",$M$37="REGION 5",$M$37="REGION 5A")),((0.059228/(B154/100))-(0.4980013/(SQRT(B154/100)))+2.137988),HLOOKUP(MONTH(A154),ScalarTable,28))))</f>
        <v> </v>
      </c>
      <c r="D154" s="398" t="str">
        <f aca="false">IF(A154="N/A"," ",C154*B154)</f>
        <v> </v>
      </c>
      <c r="E154" s="396" t="str">
        <f aca="false">IF(A154="N/A"," ",IF(ISERROR(O154),E142*Pwresc,O154)*VLOOKUP(MONTH(A154),Curveadj,3))</f>
        <v> </v>
      </c>
      <c r="F154" s="398" t="str">
        <f aca="false">IF(A154="N/A"," ",E154*C154)</f>
        <v> </v>
      </c>
      <c r="G154" s="396" t="str">
        <f aca="false">IF(A154="N/A"," ",IF(ISERROR(P154),G142*Pwresc,P154)*VLOOKUP(MONTH(A154),Curveadj,3))</f>
        <v> </v>
      </c>
      <c r="H154" s="398" t="str">
        <f aca="false">IF(A154="N/A"," ",G154*C154)</f>
        <v> </v>
      </c>
      <c r="I154" s="398" t="str">
        <f aca="false">IF(A154="N/A"," ",IF(ISERROR(Q154),I142*Pwresc,Q154))</f>
        <v> </v>
      </c>
      <c r="J154" s="398"/>
      <c r="K154" s="399"/>
      <c r="L154" s="399"/>
      <c r="M154" s="404"/>
      <c r="N154" s="401" t="str">
        <f aca="false">IF(A154="N/A"," ",VLOOKUP(A154,PeakPowerCurves,(IF(BMO2=2,3,IF(BMO2=1,2,4))),FALSE()))</f>
        <v> </v>
      </c>
      <c r="O154" s="401" t="str">
        <f aca="false">IF(A154="N/A"," ",VLOOKUP(A154,SatSunPeakPwr,(IF(BMO2=2,3,IF(BMO2=1,2,4))),FALSE()))</f>
        <v> </v>
      </c>
      <c r="P154" s="401" t="str">
        <f aca="false">IF(A154="N/A"," ",VLOOKUP(A154,SatSunPeakPwr,(IF(BMO2=2,7,IF(BMO2=1,6,8))),FALSE()))</f>
        <v> </v>
      </c>
      <c r="Q154" s="402" t="str">
        <f aca="false">IF(A154="N/A"," ",(VLOOKUP(A154,OPPowerPrices,(IF(BMO2=2,7,IF(BMO2=1,6,8))),FALSE())))</f>
        <v> </v>
      </c>
      <c r="R154" s="403" t="str">
        <f aca="false">IF(A154="N/A"," ",(VLOOKUP($A154,IRTable,2)))</f>
        <v> </v>
      </c>
      <c r="AF154" s="352" t="n">
        <v>41122</v>
      </c>
      <c r="AG154" s="311" t="n">
        <v>23</v>
      </c>
      <c r="AH154" s="311" t="n">
        <v>4</v>
      </c>
      <c r="AI154" s="311" t="n">
        <v>4</v>
      </c>
      <c r="AJ154" s="311" t="n">
        <v>0</v>
      </c>
      <c r="AK154" s="311" t="n">
        <v>31</v>
      </c>
      <c r="AU154" s="406"/>
    </row>
    <row r="155" customFormat="false" ht="12.75" hidden="false" customHeight="false" outlineLevel="0" collapsed="false">
      <c r="A155" s="352" t="str">
        <f aca="false">Option2!A122</f>
        <v>N/A</v>
      </c>
      <c r="B155" s="396" t="str">
        <f aca="false">IF(A155="N/A"," ",IF(ISERROR(N155),B143*Pwresc,N155)*VLOOKUP(MONTH(A155),Curveadj,3))</f>
        <v> </v>
      </c>
      <c r="C155" s="397" t="str">
        <f aca="false">IF(A155="N/A"," ",(IF(AND(Scaler2=1,MONTH(A155)&gt;=6,MONTH(A155)&lt;=8,OR($M$37="REGION 2",$M$37="REGION 2A",$M$37="REGION 2B",$M$37="REGION 3",$M$37="REGION 3A",$M$37="REGION 3B",$M$37="REGION 3C",$M$37="REGION 4",$M$37="REGION 4B",$M$37="REGION 4C",$M$37="REGION 5",$M$37="REGION 5A")),((0.059228/(B155/100))-(0.4980013/(SQRT(B155/100)))+2.137988),HLOOKUP(MONTH(A155),ScalarTable,28))))</f>
        <v> </v>
      </c>
      <c r="D155" s="398" t="str">
        <f aca="false">IF(A155="N/A"," ",C155*B155)</f>
        <v> </v>
      </c>
      <c r="E155" s="396" t="str">
        <f aca="false">IF(A155="N/A"," ",IF(ISERROR(O155),E143*Pwresc,O155)*VLOOKUP(MONTH(A155),Curveadj,3))</f>
        <v> </v>
      </c>
      <c r="F155" s="398" t="str">
        <f aca="false">IF(A155="N/A"," ",E155*C155)</f>
        <v> </v>
      </c>
      <c r="G155" s="396" t="str">
        <f aca="false">IF(A155="N/A"," ",IF(ISERROR(P155),G143*Pwresc,P155)*VLOOKUP(MONTH(A155),Curveadj,3))</f>
        <v> </v>
      </c>
      <c r="H155" s="398" t="str">
        <f aca="false">IF(A155="N/A"," ",G155*C155)</f>
        <v> </v>
      </c>
      <c r="I155" s="398" t="str">
        <f aca="false">IF(A155="N/A"," ",IF(ISERROR(Q155),I143*Pwresc,Q155))</f>
        <v> </v>
      </c>
      <c r="J155" s="398"/>
      <c r="K155" s="399"/>
      <c r="L155" s="399"/>
      <c r="M155" s="404"/>
      <c r="N155" s="401" t="str">
        <f aca="false">IF(A155="N/A"," ",VLOOKUP(A155,PeakPowerCurves,(IF(BMO2=2,3,IF(BMO2=1,2,4))),FALSE()))</f>
        <v> </v>
      </c>
      <c r="O155" s="401" t="str">
        <f aca="false">IF(A155="N/A"," ",VLOOKUP(A155,SatSunPeakPwr,(IF(BMO2=2,3,IF(BMO2=1,2,4))),FALSE()))</f>
        <v> </v>
      </c>
      <c r="P155" s="401" t="str">
        <f aca="false">IF(A155="N/A"," ",VLOOKUP(A155,SatSunPeakPwr,(IF(BMO2=2,7,IF(BMO2=1,6,8))),FALSE()))</f>
        <v> </v>
      </c>
      <c r="Q155" s="402" t="str">
        <f aca="false">IF(A155="N/A"," ",(VLOOKUP(A155,OPPowerPrices,(IF(BMO2=2,7,IF(BMO2=1,6,8))),FALSE())))</f>
        <v> </v>
      </c>
      <c r="R155" s="403" t="str">
        <f aca="false">IF(A155="N/A"," ",(VLOOKUP($A155,IRTable,2)))</f>
        <v> </v>
      </c>
      <c r="AF155" s="352" t="n">
        <v>41153</v>
      </c>
      <c r="AG155" s="311" t="n">
        <v>19</v>
      </c>
      <c r="AH155" s="311" t="n">
        <v>5</v>
      </c>
      <c r="AI155" s="311" t="n">
        <v>6</v>
      </c>
      <c r="AJ155" s="311" t="n">
        <v>1</v>
      </c>
      <c r="AK155" s="311" t="n">
        <v>30</v>
      </c>
      <c r="AU155" s="406"/>
    </row>
    <row r="156" customFormat="false" ht="12.75" hidden="false" customHeight="false" outlineLevel="0" collapsed="false">
      <c r="A156" s="352" t="str">
        <f aca="false">Option2!A123</f>
        <v>N/A</v>
      </c>
      <c r="B156" s="396" t="str">
        <f aca="false">IF(A156="N/A"," ",IF(ISERROR(N156),B144*Pwresc,N156)*VLOOKUP(MONTH(A156),Curveadj,3))</f>
        <v> </v>
      </c>
      <c r="C156" s="397" t="str">
        <f aca="false">IF(A156="N/A"," ",(IF(AND(Scaler2=1,MONTH(A156)&gt;=6,MONTH(A156)&lt;=8,OR($M$37="REGION 2",$M$37="REGION 2A",$M$37="REGION 2B",$M$37="REGION 3",$M$37="REGION 3A",$M$37="REGION 3B",$M$37="REGION 3C",$M$37="REGION 4",$M$37="REGION 4B",$M$37="REGION 4C",$M$37="REGION 5",$M$37="REGION 5A")),((0.059228/(B156/100))-(0.4980013/(SQRT(B156/100)))+2.137988),HLOOKUP(MONTH(A156),ScalarTable,28))))</f>
        <v> </v>
      </c>
      <c r="D156" s="398" t="str">
        <f aca="false">IF(A156="N/A"," ",C156*B156)</f>
        <v> </v>
      </c>
      <c r="E156" s="396" t="str">
        <f aca="false">IF(A156="N/A"," ",IF(ISERROR(O156),E144*Pwresc,O156)*VLOOKUP(MONTH(A156),Curveadj,3))</f>
        <v> </v>
      </c>
      <c r="F156" s="398" t="str">
        <f aca="false">IF(A156="N/A"," ",E156*C156)</f>
        <v> </v>
      </c>
      <c r="G156" s="396" t="str">
        <f aca="false">IF(A156="N/A"," ",IF(ISERROR(P156),G144*Pwresc,P156)*VLOOKUP(MONTH(A156),Curveadj,3))</f>
        <v> </v>
      </c>
      <c r="H156" s="398" t="str">
        <f aca="false">IF(A156="N/A"," ",G156*C156)</f>
        <v> </v>
      </c>
      <c r="I156" s="398" t="str">
        <f aca="false">IF(A156="N/A"," ",IF(ISERROR(Q156),I144*Pwresc,Q156))</f>
        <v> </v>
      </c>
      <c r="J156" s="398"/>
      <c r="K156" s="399"/>
      <c r="L156" s="399"/>
      <c r="M156" s="404"/>
      <c r="N156" s="401" t="str">
        <f aca="false">IF(A156="N/A"," ",VLOOKUP(A156,PeakPowerCurves,(IF(BMO2=2,3,IF(BMO2=1,2,4))),FALSE()))</f>
        <v> </v>
      </c>
      <c r="O156" s="401" t="str">
        <f aca="false">IF(A156="N/A"," ",VLOOKUP(A156,SatSunPeakPwr,(IF(BMO2=2,3,IF(BMO2=1,2,4))),FALSE()))</f>
        <v> </v>
      </c>
      <c r="P156" s="401" t="str">
        <f aca="false">IF(A156="N/A"," ",VLOOKUP(A156,SatSunPeakPwr,(IF(BMO2=2,7,IF(BMO2=1,6,8))),FALSE()))</f>
        <v> </v>
      </c>
      <c r="Q156" s="402" t="str">
        <f aca="false">IF(A156="N/A"," ",(VLOOKUP(A156,OPPowerPrices,(IF(BMO2=2,7,IF(BMO2=1,6,8))),FALSE())))</f>
        <v> </v>
      </c>
      <c r="R156" s="403" t="str">
        <f aca="false">IF(A156="N/A"," ",(VLOOKUP($A156,IRTable,2)))</f>
        <v> </v>
      </c>
      <c r="AF156" s="352" t="n">
        <v>41183</v>
      </c>
      <c r="AG156" s="311" t="n">
        <v>23</v>
      </c>
      <c r="AH156" s="311" t="n">
        <v>4</v>
      </c>
      <c r="AI156" s="311" t="n">
        <v>4</v>
      </c>
      <c r="AJ156" s="311" t="n">
        <v>0</v>
      </c>
      <c r="AK156" s="311" t="n">
        <v>31</v>
      </c>
      <c r="AU156" s="406"/>
    </row>
    <row r="157" customFormat="false" ht="12.75" hidden="false" customHeight="false" outlineLevel="0" collapsed="false">
      <c r="A157" s="352" t="str">
        <f aca="false">Option2!A124</f>
        <v>N/A</v>
      </c>
      <c r="B157" s="396" t="str">
        <f aca="false">IF(A157="N/A"," ",IF(ISERROR(N157),B145*Pwresc,N157)*VLOOKUP(MONTH(A157),Curveadj,3))</f>
        <v> </v>
      </c>
      <c r="C157" s="397" t="str">
        <f aca="false">IF(A157="N/A"," ",(IF(AND(Scaler2=1,MONTH(A157)&gt;=6,MONTH(A157)&lt;=8,OR($M$37="REGION 2",$M$37="REGION 2A",$M$37="REGION 2B",$M$37="REGION 3",$M$37="REGION 3A",$M$37="REGION 3B",$M$37="REGION 3C",$M$37="REGION 4",$M$37="REGION 4B",$M$37="REGION 4C",$M$37="REGION 5",$M$37="REGION 5A")),((0.059228/(B157/100))-(0.4980013/(SQRT(B157/100)))+2.137988),HLOOKUP(MONTH(A157),ScalarTable,28))))</f>
        <v> </v>
      </c>
      <c r="D157" s="398" t="str">
        <f aca="false">IF(A157="N/A"," ",C157*B157)</f>
        <v> </v>
      </c>
      <c r="E157" s="396" t="str">
        <f aca="false">IF(A157="N/A"," ",IF(ISERROR(O157),E145*Pwresc,O157)*VLOOKUP(MONTH(A157),Curveadj,3))</f>
        <v> </v>
      </c>
      <c r="F157" s="398" t="str">
        <f aca="false">IF(A157="N/A"," ",E157*C157)</f>
        <v> </v>
      </c>
      <c r="G157" s="396" t="str">
        <f aca="false">IF(A157="N/A"," ",IF(ISERROR(P157),G145*Pwresc,P157)*VLOOKUP(MONTH(A157),Curveadj,3))</f>
        <v> </v>
      </c>
      <c r="H157" s="398" t="str">
        <f aca="false">IF(A157="N/A"," ",G157*C157)</f>
        <v> </v>
      </c>
      <c r="I157" s="398" t="str">
        <f aca="false">IF(A157="N/A"," ",IF(ISERROR(Q157),I145*Pwresc,Q157))</f>
        <v> </v>
      </c>
      <c r="J157" s="398"/>
      <c r="K157" s="399"/>
      <c r="L157" s="399"/>
      <c r="M157" s="404"/>
      <c r="N157" s="401" t="str">
        <f aca="false">IF(A157="N/A"," ",VLOOKUP(A157,PeakPowerCurves,(IF(BMO2=2,3,IF(BMO2=1,2,4))),FALSE()))</f>
        <v> </v>
      </c>
      <c r="O157" s="401" t="str">
        <f aca="false">IF(A157="N/A"," ",VLOOKUP(A157,SatSunPeakPwr,(IF(BMO2=2,3,IF(BMO2=1,2,4))),FALSE()))</f>
        <v> </v>
      </c>
      <c r="P157" s="401" t="str">
        <f aca="false">IF(A157="N/A"," ",VLOOKUP(A157,SatSunPeakPwr,(IF(BMO2=2,7,IF(BMO2=1,6,8))),FALSE()))</f>
        <v> </v>
      </c>
      <c r="Q157" s="402" t="str">
        <f aca="false">IF(A157="N/A"," ",(VLOOKUP(A157,OPPowerPrices,(IF(BMO2=2,7,IF(BMO2=1,6,8))),FALSE())))</f>
        <v> </v>
      </c>
      <c r="R157" s="403" t="str">
        <f aca="false">IF(A157="N/A"," ",(VLOOKUP($A157,IRTable,2)))</f>
        <v> </v>
      </c>
      <c r="AF157" s="352" t="n">
        <v>41214</v>
      </c>
      <c r="AG157" s="311" t="n">
        <v>21</v>
      </c>
      <c r="AH157" s="311" t="n">
        <v>4</v>
      </c>
      <c r="AI157" s="311" t="n">
        <v>5</v>
      </c>
      <c r="AJ157" s="311" t="n">
        <v>1</v>
      </c>
      <c r="AK157" s="311" t="n">
        <v>30</v>
      </c>
      <c r="AU157" s="406"/>
    </row>
    <row r="158" customFormat="false" ht="12.75" hidden="false" customHeight="false" outlineLevel="0" collapsed="false">
      <c r="A158" s="352" t="str">
        <f aca="false">Option2!A125</f>
        <v>N/A</v>
      </c>
      <c r="B158" s="396" t="str">
        <f aca="false">IF(A158="N/A"," ",IF(ISERROR(N158),B146*Pwresc,N158)*VLOOKUP(MONTH(A158),Curveadj,3))</f>
        <v> </v>
      </c>
      <c r="C158" s="397" t="str">
        <f aca="false">IF(A158="N/A"," ",(IF(AND(Scaler2=1,MONTH(A158)&gt;=6,MONTH(A158)&lt;=8,OR($M$37="REGION 2",$M$37="REGION 2A",$M$37="REGION 2B",$M$37="REGION 3",$M$37="REGION 3A",$M$37="REGION 3B",$M$37="REGION 3C",$M$37="REGION 4",$M$37="REGION 4B",$M$37="REGION 4C",$M$37="REGION 5",$M$37="REGION 5A")),((0.059228/(B158/100))-(0.4980013/(SQRT(B158/100)))+2.137988),HLOOKUP(MONTH(A158),ScalarTable,28))))</f>
        <v> </v>
      </c>
      <c r="D158" s="398" t="str">
        <f aca="false">IF(A158="N/A"," ",C158*B158)</f>
        <v> </v>
      </c>
      <c r="E158" s="396" t="str">
        <f aca="false">IF(A158="N/A"," ",IF(ISERROR(O158),E146*Pwresc,O158)*VLOOKUP(MONTH(A158),Curveadj,3))</f>
        <v> </v>
      </c>
      <c r="F158" s="398" t="str">
        <f aca="false">IF(A158="N/A"," ",E158*C158)</f>
        <v> </v>
      </c>
      <c r="G158" s="396" t="str">
        <f aca="false">IF(A158="N/A"," ",IF(ISERROR(P158),G146*Pwresc,P158)*VLOOKUP(MONTH(A158),Curveadj,3))</f>
        <v> </v>
      </c>
      <c r="H158" s="398" t="str">
        <f aca="false">IF(A158="N/A"," ",G158*C158)</f>
        <v> </v>
      </c>
      <c r="I158" s="398" t="str">
        <f aca="false">IF(A158="N/A"," ",IF(ISERROR(Q158),I146*Pwresc,Q158))</f>
        <v> </v>
      </c>
      <c r="J158" s="398"/>
      <c r="K158" s="399"/>
      <c r="L158" s="399"/>
      <c r="M158" s="404"/>
      <c r="N158" s="401" t="str">
        <f aca="false">IF(A158="N/A"," ",VLOOKUP(A158,PeakPowerCurves,(IF(BMO2=2,3,IF(BMO2=1,2,4))),FALSE()))</f>
        <v> </v>
      </c>
      <c r="O158" s="401" t="str">
        <f aca="false">IF(A158="N/A"," ",VLOOKUP(A158,SatSunPeakPwr,(IF(BMO2=2,3,IF(BMO2=1,2,4))),FALSE()))</f>
        <v> </v>
      </c>
      <c r="P158" s="401" t="str">
        <f aca="false">IF(A158="N/A"," ",VLOOKUP(A158,SatSunPeakPwr,(IF(BMO2=2,7,IF(BMO2=1,6,8))),FALSE()))</f>
        <v> </v>
      </c>
      <c r="Q158" s="402" t="str">
        <f aca="false">IF(A158="N/A"," ",(VLOOKUP(A158,OPPowerPrices,(IF(BMO2=2,7,IF(BMO2=1,6,8))),FALSE())))</f>
        <v> </v>
      </c>
      <c r="R158" s="403" t="str">
        <f aca="false">IF(A158="N/A"," ",(VLOOKUP($A158,IRTable,2)))</f>
        <v> </v>
      </c>
      <c r="AF158" s="352" t="n">
        <v>41244</v>
      </c>
      <c r="AG158" s="311" t="n">
        <v>20</v>
      </c>
      <c r="AH158" s="311" t="n">
        <v>5</v>
      </c>
      <c r="AI158" s="311" t="n">
        <v>6</v>
      </c>
      <c r="AJ158" s="311" t="n">
        <v>1</v>
      </c>
      <c r="AK158" s="311" t="n">
        <v>31</v>
      </c>
      <c r="AU158" s="406"/>
    </row>
    <row r="159" customFormat="false" ht="12.75" hidden="false" customHeight="false" outlineLevel="0" collapsed="false">
      <c r="A159" s="352" t="str">
        <f aca="false">Option2!A126</f>
        <v>N/A</v>
      </c>
      <c r="B159" s="396" t="str">
        <f aca="false">IF(A159="N/A"," ",IF(ISERROR(N159),B147*Pwresc,N159)*VLOOKUP(MONTH(A159),Curveadj,3))</f>
        <v> </v>
      </c>
      <c r="C159" s="397" t="str">
        <f aca="false">IF(A159="N/A"," ",(IF(AND(Scaler2=1,MONTH(A159)&gt;=6,MONTH(A159)&lt;=8,OR($M$37="REGION 2",$M$37="REGION 2A",$M$37="REGION 2B",$M$37="REGION 3",$M$37="REGION 3A",$M$37="REGION 3B",$M$37="REGION 3C",$M$37="REGION 4",$M$37="REGION 4B",$M$37="REGION 4C",$M$37="REGION 5",$M$37="REGION 5A")),((0.059228/(B159/100))-(0.4980013/(SQRT(B159/100)))+2.137988),HLOOKUP(MONTH(A159),ScalarTable,28))))</f>
        <v> </v>
      </c>
      <c r="D159" s="398" t="str">
        <f aca="false">IF(A159="N/A"," ",C159*B159)</f>
        <v> </v>
      </c>
      <c r="E159" s="396" t="str">
        <f aca="false">IF(A159="N/A"," ",IF(ISERROR(O159),E147*Pwresc,O159)*VLOOKUP(MONTH(A159),Curveadj,3))</f>
        <v> </v>
      </c>
      <c r="F159" s="398" t="str">
        <f aca="false">IF(A159="N/A"," ",E159*C159)</f>
        <v> </v>
      </c>
      <c r="G159" s="396" t="str">
        <f aca="false">IF(A159="N/A"," ",IF(ISERROR(P159),G147*Pwresc,P159)*VLOOKUP(MONTH(A159),Curveadj,3))</f>
        <v> </v>
      </c>
      <c r="H159" s="398" t="str">
        <f aca="false">IF(A159="N/A"," ",G159*C159)</f>
        <v> </v>
      </c>
      <c r="I159" s="398" t="str">
        <f aca="false">IF(A159="N/A"," ",IF(ISERROR(Q159),I147*Pwresc,Q159))</f>
        <v> </v>
      </c>
      <c r="J159" s="398"/>
      <c r="K159" s="399"/>
      <c r="L159" s="399"/>
      <c r="M159" s="404"/>
      <c r="N159" s="401" t="str">
        <f aca="false">IF(A159="N/A"," ",VLOOKUP(A159,PeakPowerCurves,(IF(BMO2=2,3,IF(BMO2=1,2,4))),FALSE()))</f>
        <v> </v>
      </c>
      <c r="O159" s="401" t="str">
        <f aca="false">IF(A159="N/A"," ",VLOOKUP(A159,SatSunPeakPwr,(IF(BMO2=2,3,IF(BMO2=1,2,4))),FALSE()))</f>
        <v> </v>
      </c>
      <c r="P159" s="401" t="str">
        <f aca="false">IF(A159="N/A"," ",VLOOKUP(A159,SatSunPeakPwr,(IF(BMO2=2,7,IF(BMO2=1,6,8))),FALSE()))</f>
        <v> </v>
      </c>
      <c r="Q159" s="402" t="str">
        <f aca="false">IF(A159="N/A"," ",(VLOOKUP(A159,OPPowerPrices,(IF(BMO2=2,7,IF(BMO2=1,6,8))),FALSE())))</f>
        <v> </v>
      </c>
      <c r="R159" s="403" t="str">
        <f aca="false">IF(A159="N/A"," ",(VLOOKUP($A159,IRTable,2)))</f>
        <v> </v>
      </c>
      <c r="AF159" s="352" t="n">
        <v>41275</v>
      </c>
      <c r="AG159" s="311" t="n">
        <v>22</v>
      </c>
      <c r="AH159" s="311" t="n">
        <v>4</v>
      </c>
      <c r="AI159" s="311" t="n">
        <v>5</v>
      </c>
      <c r="AJ159" s="311" t="n">
        <v>1</v>
      </c>
      <c r="AK159" s="311" t="n">
        <v>31</v>
      </c>
      <c r="AU159" s="406"/>
    </row>
    <row r="160" customFormat="false" ht="12.75" hidden="false" customHeight="false" outlineLevel="0" collapsed="false">
      <c r="A160" s="352" t="str">
        <f aca="false">Option2!A127</f>
        <v>N/A</v>
      </c>
      <c r="B160" s="396" t="str">
        <f aca="false">IF(A160="N/A"," ",IF(ISERROR(N160),B148*Pwresc,N160)*VLOOKUP(MONTH(A160),Curveadj,3))</f>
        <v> </v>
      </c>
      <c r="C160" s="397" t="str">
        <f aca="false">IF(A160="N/A"," ",(IF(AND(Scaler2=1,MONTH(A160)&gt;=6,MONTH(A160)&lt;=8,OR($M$37="REGION 2",$M$37="REGION 2A",$M$37="REGION 2B",$M$37="REGION 3",$M$37="REGION 3A",$M$37="REGION 3B",$M$37="REGION 3C",$M$37="REGION 4",$M$37="REGION 4B",$M$37="REGION 4C",$M$37="REGION 5",$M$37="REGION 5A")),((0.059228/(B160/100))-(0.4980013/(SQRT(B160/100)))+2.137988),HLOOKUP(MONTH(A160),ScalarTable,28))))</f>
        <v> </v>
      </c>
      <c r="D160" s="398" t="str">
        <f aca="false">IF(A160="N/A"," ",C160*B160)</f>
        <v> </v>
      </c>
      <c r="E160" s="396" t="str">
        <f aca="false">IF(A160="N/A"," ",IF(ISERROR(O160),E148*Pwresc,O160)*VLOOKUP(MONTH(A160),Curveadj,3))</f>
        <v> </v>
      </c>
      <c r="F160" s="398" t="str">
        <f aca="false">IF(A160="N/A"," ",E160*C160)</f>
        <v> </v>
      </c>
      <c r="G160" s="396" t="str">
        <f aca="false">IF(A160="N/A"," ",IF(ISERROR(P160),G148*Pwresc,P160)*VLOOKUP(MONTH(A160),Curveadj,3))</f>
        <v> </v>
      </c>
      <c r="H160" s="398" t="str">
        <f aca="false">IF(A160="N/A"," ",G160*C160)</f>
        <v> </v>
      </c>
      <c r="I160" s="398" t="str">
        <f aca="false">IF(A160="N/A"," ",IF(ISERROR(Q160),I148*Pwresc,Q160))</f>
        <v> </v>
      </c>
      <c r="J160" s="398"/>
      <c r="K160" s="399"/>
      <c r="L160" s="399"/>
      <c r="M160" s="404"/>
      <c r="N160" s="401" t="str">
        <f aca="false">IF(A160="N/A"," ",VLOOKUP(A160,PeakPowerCurves,(IF(BMO2=2,3,IF(BMO2=1,2,4))),FALSE()))</f>
        <v> </v>
      </c>
      <c r="O160" s="401" t="str">
        <f aca="false">IF(A160="N/A"," ",VLOOKUP(A160,SatSunPeakPwr,(IF(BMO2=2,3,IF(BMO2=1,2,4))),FALSE()))</f>
        <v> </v>
      </c>
      <c r="P160" s="401" t="str">
        <f aca="false">IF(A160="N/A"," ",VLOOKUP(A160,SatSunPeakPwr,(IF(BMO2=2,7,IF(BMO2=1,6,8))),FALSE()))</f>
        <v> </v>
      </c>
      <c r="Q160" s="402" t="str">
        <f aca="false">IF(A160="N/A"," ",(VLOOKUP(A160,OPPowerPrices,(IF(BMO2=2,7,IF(BMO2=1,6,8))),FALSE())))</f>
        <v> </v>
      </c>
      <c r="R160" s="403" t="str">
        <f aca="false">IF(A160="N/A"," ",(VLOOKUP($A160,IRTable,2)))</f>
        <v> </v>
      </c>
      <c r="AF160" s="352" t="n">
        <v>41306</v>
      </c>
      <c r="AG160" s="311" t="n">
        <v>20</v>
      </c>
      <c r="AH160" s="311" t="n">
        <v>4</v>
      </c>
      <c r="AI160" s="311" t="n">
        <v>4</v>
      </c>
      <c r="AJ160" s="311" t="n">
        <v>0</v>
      </c>
      <c r="AK160" s="311" t="n">
        <v>28</v>
      </c>
      <c r="AU160" s="406"/>
    </row>
    <row r="161" customFormat="false" ht="12.75" hidden="false" customHeight="false" outlineLevel="0" collapsed="false">
      <c r="A161" s="352" t="str">
        <f aca="false">Option2!A128</f>
        <v>N/A</v>
      </c>
      <c r="B161" s="396" t="str">
        <f aca="false">IF(A161="N/A"," ",IF(ISERROR(N161),B149*Pwresc,N161)*VLOOKUP(MONTH(A161),Curveadj,3))</f>
        <v> </v>
      </c>
      <c r="C161" s="397" t="str">
        <f aca="false">IF(A161="N/A"," ",(IF(AND(Scaler2=1,MONTH(A161)&gt;=6,MONTH(A161)&lt;=8,OR($M$37="REGION 2",$M$37="REGION 2A",$M$37="REGION 2B",$M$37="REGION 3",$M$37="REGION 3A",$M$37="REGION 3B",$M$37="REGION 3C",$M$37="REGION 4",$M$37="REGION 4B",$M$37="REGION 4C",$M$37="REGION 5",$M$37="REGION 5A")),((0.059228/(B161/100))-(0.4980013/(SQRT(B161/100)))+2.137988),HLOOKUP(MONTH(A161),ScalarTable,28))))</f>
        <v> </v>
      </c>
      <c r="D161" s="398" t="str">
        <f aca="false">IF(A161="N/A"," ",C161*B161)</f>
        <v> </v>
      </c>
      <c r="E161" s="396" t="str">
        <f aca="false">IF(A161="N/A"," ",IF(ISERROR(O161),E149*Pwresc,O161)*VLOOKUP(MONTH(A161),Curveadj,3))</f>
        <v> </v>
      </c>
      <c r="F161" s="398" t="str">
        <f aca="false">IF(A161="N/A"," ",E161*C161)</f>
        <v> </v>
      </c>
      <c r="G161" s="396" t="str">
        <f aca="false">IF(A161="N/A"," ",IF(ISERROR(P161),G149*Pwresc,P161)*VLOOKUP(MONTH(A161),Curveadj,3))</f>
        <v> </v>
      </c>
      <c r="H161" s="398" t="str">
        <f aca="false">IF(A161="N/A"," ",G161*C161)</f>
        <v> </v>
      </c>
      <c r="I161" s="398" t="str">
        <f aca="false">IF(A161="N/A"," ",IF(ISERROR(Q161),I149*Pwresc,Q161))</f>
        <v> </v>
      </c>
      <c r="J161" s="398"/>
      <c r="K161" s="399"/>
      <c r="L161" s="399"/>
      <c r="M161" s="404"/>
      <c r="N161" s="401" t="str">
        <f aca="false">IF(A161="N/A"," ",VLOOKUP(A161,PeakPowerCurves,(IF(BMO2=2,3,IF(BMO2=1,2,4))),FALSE()))</f>
        <v> </v>
      </c>
      <c r="O161" s="401" t="str">
        <f aca="false">IF(A161="N/A"," ",VLOOKUP(A161,SatSunPeakPwr,(IF(BMO2=2,3,IF(BMO2=1,2,4))),FALSE()))</f>
        <v> </v>
      </c>
      <c r="P161" s="401" t="str">
        <f aca="false">IF(A161="N/A"," ",VLOOKUP(A161,SatSunPeakPwr,(IF(BMO2=2,7,IF(BMO2=1,6,8))),FALSE()))</f>
        <v> </v>
      </c>
      <c r="Q161" s="402" t="str">
        <f aca="false">IF(A161="N/A"," ",(VLOOKUP(A161,OPPowerPrices,(IF(BMO2=2,7,IF(BMO2=1,6,8))),FALSE())))</f>
        <v> </v>
      </c>
      <c r="R161" s="403" t="str">
        <f aca="false">IF(A161="N/A"," ",(VLOOKUP($A161,IRTable,2)))</f>
        <v> </v>
      </c>
      <c r="AF161" s="352" t="n">
        <v>41334</v>
      </c>
      <c r="AG161" s="311" t="n">
        <v>21</v>
      </c>
      <c r="AH161" s="311" t="n">
        <v>5</v>
      </c>
      <c r="AI161" s="311" t="n">
        <v>5</v>
      </c>
      <c r="AJ161" s="311" t="n">
        <v>0</v>
      </c>
      <c r="AK161" s="311" t="n">
        <v>31</v>
      </c>
      <c r="AU161" s="406"/>
    </row>
    <row r="162" customFormat="false" ht="12.75" hidden="false" customHeight="false" outlineLevel="0" collapsed="false">
      <c r="A162" s="352" t="str">
        <f aca="false">Option2!A129</f>
        <v>N/A</v>
      </c>
      <c r="B162" s="396" t="str">
        <f aca="false">IF(A162="N/A"," ",IF(ISERROR(N162),B150*Pwresc,N162)*VLOOKUP(MONTH(A162),Curveadj,3))</f>
        <v> </v>
      </c>
      <c r="C162" s="397" t="str">
        <f aca="false">IF(A162="N/A"," ",(IF(AND(Scaler2=1,MONTH(A162)&gt;=6,MONTH(A162)&lt;=8,OR($M$37="REGION 2",$M$37="REGION 2A",$M$37="REGION 2B",$M$37="REGION 3",$M$37="REGION 3A",$M$37="REGION 3B",$M$37="REGION 3C",$M$37="REGION 4",$M$37="REGION 4B",$M$37="REGION 4C",$M$37="REGION 5",$M$37="REGION 5A")),((0.059228/(B162/100))-(0.4980013/(SQRT(B162/100)))+2.137988),HLOOKUP(MONTH(A162),ScalarTable,28))))</f>
        <v> </v>
      </c>
      <c r="D162" s="398" t="str">
        <f aca="false">IF(A162="N/A"," ",C162*B162)</f>
        <v> </v>
      </c>
      <c r="E162" s="396" t="str">
        <f aca="false">IF(A162="N/A"," ",IF(ISERROR(O162),E150*Pwresc,O162)*VLOOKUP(MONTH(A162),Curveadj,3))</f>
        <v> </v>
      </c>
      <c r="F162" s="398" t="str">
        <f aca="false">IF(A162="N/A"," ",E162*C162)</f>
        <v> </v>
      </c>
      <c r="G162" s="396" t="str">
        <f aca="false">IF(A162="N/A"," ",IF(ISERROR(P162),G150*Pwresc,P162)*VLOOKUP(MONTH(A162),Curveadj,3))</f>
        <v> </v>
      </c>
      <c r="H162" s="398" t="str">
        <f aca="false">IF(A162="N/A"," ",G162*C162)</f>
        <v> </v>
      </c>
      <c r="I162" s="398" t="str">
        <f aca="false">IF(A162="N/A"," ",IF(ISERROR(Q162),I150*Pwresc,Q162))</f>
        <v> </v>
      </c>
      <c r="J162" s="398"/>
      <c r="K162" s="399"/>
      <c r="L162" s="399"/>
      <c r="M162" s="404"/>
      <c r="N162" s="401" t="str">
        <f aca="false">IF(A162="N/A"," ",VLOOKUP(A162,PeakPowerCurves,(IF(BMO2=2,3,IF(BMO2=1,2,4))),FALSE()))</f>
        <v> </v>
      </c>
      <c r="O162" s="401" t="str">
        <f aca="false">IF(A162="N/A"," ",VLOOKUP(A162,SatSunPeakPwr,(IF(BMO2=2,3,IF(BMO2=1,2,4))),FALSE()))</f>
        <v> </v>
      </c>
      <c r="P162" s="401" t="str">
        <f aca="false">IF(A162="N/A"," ",VLOOKUP(A162,SatSunPeakPwr,(IF(BMO2=2,7,IF(BMO2=1,6,8))),FALSE()))</f>
        <v> </v>
      </c>
      <c r="Q162" s="402" t="str">
        <f aca="false">IF(A162="N/A"," ",(VLOOKUP(A162,OPPowerPrices,(IF(BMO2=2,7,IF(BMO2=1,6,8))),FALSE())))</f>
        <v> </v>
      </c>
      <c r="R162" s="403" t="str">
        <f aca="false">IF(A162="N/A"," ",(VLOOKUP($A162,IRTable,2)))</f>
        <v> </v>
      </c>
      <c r="AF162" s="352" t="n">
        <v>41365</v>
      </c>
      <c r="AG162" s="311" t="n">
        <v>22</v>
      </c>
      <c r="AH162" s="311" t="n">
        <v>4</v>
      </c>
      <c r="AI162" s="311" t="n">
        <v>4</v>
      </c>
      <c r="AJ162" s="311" t="n">
        <v>0</v>
      </c>
      <c r="AK162" s="311" t="n">
        <v>30</v>
      </c>
      <c r="AU162" s="406"/>
    </row>
    <row r="163" customFormat="false" ht="12.75" hidden="false" customHeight="false" outlineLevel="0" collapsed="false">
      <c r="A163" s="352" t="str">
        <f aca="false">Option2!A130</f>
        <v>N/A</v>
      </c>
      <c r="B163" s="396" t="str">
        <f aca="false">IF(A163="N/A"," ",IF(ISERROR(N163),B151*Pwresc,N163)*VLOOKUP(MONTH(A163),Curveadj,3))</f>
        <v> </v>
      </c>
      <c r="C163" s="397" t="str">
        <f aca="false">IF(A163="N/A"," ",(IF(AND(Scaler2=1,MONTH(A163)&gt;=6,MONTH(A163)&lt;=8,OR($M$37="REGION 2",$M$37="REGION 2A",$M$37="REGION 2B",$M$37="REGION 3",$M$37="REGION 3A",$M$37="REGION 3B",$M$37="REGION 3C",$M$37="REGION 4",$M$37="REGION 4B",$M$37="REGION 4C",$M$37="REGION 5",$M$37="REGION 5A")),((0.059228/(B163/100))-(0.4980013/(SQRT(B163/100)))+2.137988),HLOOKUP(MONTH(A163),ScalarTable,28))))</f>
        <v> </v>
      </c>
      <c r="D163" s="398" t="str">
        <f aca="false">IF(A163="N/A"," ",C163*B163)</f>
        <v> </v>
      </c>
      <c r="E163" s="396" t="str">
        <f aca="false">IF(A163="N/A"," ",IF(ISERROR(O163),E151*Pwresc,O163)*VLOOKUP(MONTH(A163),Curveadj,3))</f>
        <v> </v>
      </c>
      <c r="F163" s="398" t="str">
        <f aca="false">IF(A163="N/A"," ",E163*C163)</f>
        <v> </v>
      </c>
      <c r="G163" s="396" t="str">
        <f aca="false">IF(A163="N/A"," ",IF(ISERROR(P163),G151*Pwresc,P163)*VLOOKUP(MONTH(A163),Curveadj,3))</f>
        <v> </v>
      </c>
      <c r="H163" s="398" t="str">
        <f aca="false">IF(A163="N/A"," ",G163*C163)</f>
        <v> </v>
      </c>
      <c r="I163" s="398" t="str">
        <f aca="false">IF(A163="N/A"," ",IF(ISERROR(Q163),I151*Pwresc,Q163))</f>
        <v> </v>
      </c>
      <c r="J163" s="398"/>
      <c r="K163" s="399"/>
      <c r="L163" s="399"/>
      <c r="M163" s="404"/>
      <c r="N163" s="401" t="str">
        <f aca="false">IF(A163="N/A"," ",VLOOKUP(A163,PeakPowerCurves,(IF(BMO2=2,3,IF(BMO2=1,2,4))),FALSE()))</f>
        <v> </v>
      </c>
      <c r="O163" s="401" t="str">
        <f aca="false">IF(A163="N/A"," ",VLOOKUP(A163,SatSunPeakPwr,(IF(BMO2=2,3,IF(BMO2=1,2,4))),FALSE()))</f>
        <v> </v>
      </c>
      <c r="P163" s="401" t="str">
        <f aca="false">IF(A163="N/A"," ",VLOOKUP(A163,SatSunPeakPwr,(IF(BMO2=2,7,IF(BMO2=1,6,8))),FALSE()))</f>
        <v> </v>
      </c>
      <c r="Q163" s="402" t="str">
        <f aca="false">IF(A163="N/A"," ",(VLOOKUP(A163,OPPowerPrices,(IF(BMO2=2,7,IF(BMO2=1,6,8))),FALSE())))</f>
        <v> </v>
      </c>
      <c r="R163" s="403" t="str">
        <f aca="false">IF(A163="N/A"," ",(VLOOKUP($A163,IRTable,2)))</f>
        <v> </v>
      </c>
      <c r="AF163" s="352" t="n">
        <v>41395</v>
      </c>
      <c r="AG163" s="311" t="n">
        <v>22</v>
      </c>
      <c r="AH163" s="311" t="n">
        <v>4</v>
      </c>
      <c r="AI163" s="311" t="n">
        <v>5</v>
      </c>
      <c r="AJ163" s="311" t="n">
        <v>1</v>
      </c>
      <c r="AK163" s="311" t="n">
        <v>31</v>
      </c>
      <c r="AU163" s="406"/>
    </row>
    <row r="164" customFormat="false" ht="12.75" hidden="false" customHeight="false" outlineLevel="0" collapsed="false">
      <c r="A164" s="352" t="str">
        <f aca="false">Option2!A131</f>
        <v>N/A</v>
      </c>
      <c r="B164" s="396" t="str">
        <f aca="false">IF(A164="N/A"," ",IF(ISERROR(N164),B152*Pwresc,N164)*VLOOKUP(MONTH(A164),Curveadj,3))</f>
        <v> </v>
      </c>
      <c r="C164" s="397" t="str">
        <f aca="false">IF(A164="N/A"," ",(IF(AND(Scaler2=1,MONTH(A164)&gt;=6,MONTH(A164)&lt;=8,OR($M$37="REGION 2",$M$37="REGION 2A",$M$37="REGION 2B",$M$37="REGION 3",$M$37="REGION 3A",$M$37="REGION 3B",$M$37="REGION 3C",$M$37="REGION 4",$M$37="REGION 4B",$M$37="REGION 4C",$M$37="REGION 5",$M$37="REGION 5A")),((0.059228/(B164/100))-(0.4980013/(SQRT(B164/100)))+2.137988),HLOOKUP(MONTH(A164),ScalarTable,28))))</f>
        <v> </v>
      </c>
      <c r="D164" s="398" t="str">
        <f aca="false">IF(A164="N/A"," ",C164*B164)</f>
        <v> </v>
      </c>
      <c r="E164" s="396" t="str">
        <f aca="false">IF(A164="N/A"," ",IF(ISERROR(O164),E152*Pwresc,O164)*VLOOKUP(MONTH(A164),Curveadj,3))</f>
        <v> </v>
      </c>
      <c r="F164" s="398" t="str">
        <f aca="false">IF(A164="N/A"," ",E164*C164)</f>
        <v> </v>
      </c>
      <c r="G164" s="396" t="str">
        <f aca="false">IF(A164="N/A"," ",IF(ISERROR(P164),G152*Pwresc,P164)*VLOOKUP(MONTH(A164),Curveadj,3))</f>
        <v> </v>
      </c>
      <c r="H164" s="398" t="str">
        <f aca="false">IF(A164="N/A"," ",G164*C164)</f>
        <v> </v>
      </c>
      <c r="I164" s="398" t="str">
        <f aca="false">IF(A164="N/A"," ",IF(ISERROR(Q164),I152*Pwresc,Q164))</f>
        <v> </v>
      </c>
      <c r="J164" s="398"/>
      <c r="K164" s="399"/>
      <c r="L164" s="399"/>
      <c r="M164" s="404"/>
      <c r="N164" s="401" t="str">
        <f aca="false">IF(A164="N/A"," ",VLOOKUP(A164,PeakPowerCurves,(IF(BMO2=2,3,IF(BMO2=1,2,4))),FALSE()))</f>
        <v> </v>
      </c>
      <c r="O164" s="401" t="str">
        <f aca="false">IF(A164="N/A"," ",VLOOKUP(A164,SatSunPeakPwr,(IF(BMO2=2,3,IF(BMO2=1,2,4))),FALSE()))</f>
        <v> </v>
      </c>
      <c r="P164" s="401" t="str">
        <f aca="false">IF(A164="N/A"," ",VLOOKUP(A164,SatSunPeakPwr,(IF(BMO2=2,7,IF(BMO2=1,6,8))),FALSE()))</f>
        <v> </v>
      </c>
      <c r="Q164" s="402" t="str">
        <f aca="false">IF(A164="N/A"," ",(VLOOKUP(A164,OPPowerPrices,(IF(BMO2=2,7,IF(BMO2=1,6,8))),FALSE())))</f>
        <v> </v>
      </c>
      <c r="R164" s="403" t="str">
        <f aca="false">IF(A164="N/A"," ",(VLOOKUP($A164,IRTable,2)))</f>
        <v> </v>
      </c>
      <c r="AF164" s="352" t="n">
        <v>41426</v>
      </c>
      <c r="AG164" s="311" t="n">
        <v>20</v>
      </c>
      <c r="AH164" s="311" t="n">
        <v>5</v>
      </c>
      <c r="AI164" s="311" t="n">
        <v>5</v>
      </c>
      <c r="AJ164" s="311" t="n">
        <v>0</v>
      </c>
      <c r="AK164" s="311" t="n">
        <v>30</v>
      </c>
      <c r="AU164" s="406"/>
    </row>
    <row r="165" customFormat="false" ht="12.75" hidden="false" customHeight="false" outlineLevel="0" collapsed="false">
      <c r="A165" s="352" t="str">
        <f aca="false">Option2!A132</f>
        <v>N/A</v>
      </c>
      <c r="B165" s="396" t="str">
        <f aca="false">IF(A165="N/A"," ",IF(ISERROR(N165),B153*Pwresc,N165)*VLOOKUP(MONTH(A165),Curveadj,3))</f>
        <v> </v>
      </c>
      <c r="C165" s="397" t="str">
        <f aca="false">IF(A165="N/A"," ",(IF(AND(Scaler2=1,MONTH(A165)&gt;=6,MONTH(A165)&lt;=8,OR($M$37="REGION 2",$M$37="REGION 2A",$M$37="REGION 2B",$M$37="REGION 3",$M$37="REGION 3A",$M$37="REGION 3B",$M$37="REGION 3C",$M$37="REGION 4",$M$37="REGION 4B",$M$37="REGION 4C",$M$37="REGION 5",$M$37="REGION 5A")),((0.059228/(B165/100))-(0.4980013/(SQRT(B165/100)))+2.137988),HLOOKUP(MONTH(A165),ScalarTable,28))))</f>
        <v> </v>
      </c>
      <c r="D165" s="398" t="str">
        <f aca="false">IF(A165="N/A"," ",C165*B165)</f>
        <v> </v>
      </c>
      <c r="E165" s="396" t="str">
        <f aca="false">IF(A165="N/A"," ",IF(ISERROR(O165),E153*Pwresc,O165)*VLOOKUP(MONTH(A165),Curveadj,3))</f>
        <v> </v>
      </c>
      <c r="F165" s="398" t="str">
        <f aca="false">IF(A165="N/A"," ",E165*C165)</f>
        <v> </v>
      </c>
      <c r="G165" s="396" t="str">
        <f aca="false">IF(A165="N/A"," ",IF(ISERROR(P165),G153*Pwresc,P165)*VLOOKUP(MONTH(A165),Curveadj,3))</f>
        <v> </v>
      </c>
      <c r="H165" s="398" t="str">
        <f aca="false">IF(A165="N/A"," ",G165*C165)</f>
        <v> </v>
      </c>
      <c r="I165" s="398" t="str">
        <f aca="false">IF(A165="N/A"," ",IF(ISERROR(Q165),I153*Pwresc,Q165))</f>
        <v> </v>
      </c>
      <c r="J165" s="398"/>
      <c r="K165" s="399"/>
      <c r="L165" s="399"/>
      <c r="M165" s="404"/>
      <c r="N165" s="401" t="str">
        <f aca="false">IF(A165="N/A"," ",VLOOKUP(A165,PeakPowerCurves,(IF(BMO2=2,3,IF(BMO2=1,2,4))),FALSE()))</f>
        <v> </v>
      </c>
      <c r="O165" s="401" t="str">
        <f aca="false">IF(A165="N/A"," ",VLOOKUP(A165,SatSunPeakPwr,(IF(BMO2=2,3,IF(BMO2=1,2,4))),FALSE()))</f>
        <v> </v>
      </c>
      <c r="P165" s="401" t="str">
        <f aca="false">IF(A165="N/A"," ",VLOOKUP(A165,SatSunPeakPwr,(IF(BMO2=2,7,IF(BMO2=1,6,8))),FALSE()))</f>
        <v> </v>
      </c>
      <c r="Q165" s="402" t="str">
        <f aca="false">IF(A165="N/A"," ",(VLOOKUP(A165,OPPowerPrices,(IF(BMO2=2,7,IF(BMO2=1,6,8))),FALSE())))</f>
        <v> </v>
      </c>
      <c r="R165" s="403" t="str">
        <f aca="false">IF(A165="N/A"," ",(VLOOKUP($A165,IRTable,2)))</f>
        <v> </v>
      </c>
      <c r="AF165" s="352" t="n">
        <v>41456</v>
      </c>
      <c r="AG165" s="311" t="n">
        <v>22</v>
      </c>
      <c r="AH165" s="311" t="n">
        <v>4</v>
      </c>
      <c r="AI165" s="311" t="n">
        <v>5</v>
      </c>
      <c r="AJ165" s="311" t="n">
        <v>1</v>
      </c>
      <c r="AK165" s="311" t="n">
        <v>31</v>
      </c>
      <c r="AU165" s="406"/>
    </row>
    <row r="166" customFormat="false" ht="12.75" hidden="false" customHeight="false" outlineLevel="0" collapsed="false">
      <c r="A166" s="352" t="str">
        <f aca="false">Option2!A133</f>
        <v>N/A</v>
      </c>
      <c r="B166" s="396" t="str">
        <f aca="false">IF(A166="N/A"," ",IF(ISERROR(N166),B154*Pwresc,N166)*VLOOKUP(MONTH(A166),Curveadj,3))</f>
        <v> </v>
      </c>
      <c r="C166" s="397" t="str">
        <f aca="false">IF(A166="N/A"," ",(IF(AND(Scaler2=1,MONTH(A166)&gt;=6,MONTH(A166)&lt;=8,OR($M$37="REGION 2",$M$37="REGION 2A",$M$37="REGION 2B",$M$37="REGION 3",$M$37="REGION 3A",$M$37="REGION 3B",$M$37="REGION 3C",$M$37="REGION 4",$M$37="REGION 4B",$M$37="REGION 4C",$M$37="REGION 5",$M$37="REGION 5A")),((0.059228/(B166/100))-(0.4980013/(SQRT(B166/100)))+2.137988),HLOOKUP(MONTH(A166),ScalarTable,28))))</f>
        <v> </v>
      </c>
      <c r="D166" s="398" t="str">
        <f aca="false">IF(A166="N/A"," ",C166*B166)</f>
        <v> </v>
      </c>
      <c r="E166" s="396" t="str">
        <f aca="false">IF(A166="N/A"," ",IF(ISERROR(O166),E154*Pwresc,O166)*VLOOKUP(MONTH(A166),Curveadj,3))</f>
        <v> </v>
      </c>
      <c r="F166" s="398" t="str">
        <f aca="false">IF(A166="N/A"," ",E166*C166)</f>
        <v> </v>
      </c>
      <c r="G166" s="396" t="str">
        <f aca="false">IF(A166="N/A"," ",IF(ISERROR(P166),G154*Pwresc,P166)*VLOOKUP(MONTH(A166),Curveadj,3))</f>
        <v> </v>
      </c>
      <c r="H166" s="398" t="str">
        <f aca="false">IF(A166="N/A"," ",G166*C166)</f>
        <v> </v>
      </c>
      <c r="I166" s="398" t="str">
        <f aca="false">IF(A166="N/A"," ",IF(ISERROR(Q166),I154*Pwresc,Q166))</f>
        <v> </v>
      </c>
      <c r="J166" s="398"/>
      <c r="K166" s="399"/>
      <c r="L166" s="399"/>
      <c r="M166" s="404"/>
      <c r="N166" s="401" t="str">
        <f aca="false">IF(A166="N/A"," ",VLOOKUP(A166,PeakPowerCurves,(IF(BMO2=2,3,IF(BMO2=1,2,4))),FALSE()))</f>
        <v> </v>
      </c>
      <c r="O166" s="401" t="str">
        <f aca="false">IF(A166="N/A"," ",VLOOKUP(A166,SatSunPeakPwr,(IF(BMO2=2,3,IF(BMO2=1,2,4))),FALSE()))</f>
        <v> </v>
      </c>
      <c r="P166" s="401" t="str">
        <f aca="false">IF(A166="N/A"," ",VLOOKUP(A166,SatSunPeakPwr,(IF(BMO2=2,7,IF(BMO2=1,6,8))),FALSE()))</f>
        <v> </v>
      </c>
      <c r="Q166" s="402" t="str">
        <f aca="false">IF(A166="N/A"," ",(VLOOKUP(A166,OPPowerPrices,(IF(BMO2=2,7,IF(BMO2=1,6,8))),FALSE())))</f>
        <v> </v>
      </c>
      <c r="R166" s="403" t="str">
        <f aca="false">IF(A166="N/A"," ",(VLOOKUP($A166,IRTable,2)))</f>
        <v> </v>
      </c>
      <c r="AF166" s="352" t="n">
        <v>41487</v>
      </c>
      <c r="AG166" s="311" t="n">
        <v>22</v>
      </c>
      <c r="AH166" s="311" t="n">
        <v>5</v>
      </c>
      <c r="AI166" s="311" t="n">
        <v>4</v>
      </c>
      <c r="AJ166" s="311" t="n">
        <v>0</v>
      </c>
      <c r="AK166" s="311" t="n">
        <v>31</v>
      </c>
      <c r="AU166" s="406"/>
    </row>
    <row r="167" customFormat="false" ht="12.75" hidden="false" customHeight="false" outlineLevel="0" collapsed="false">
      <c r="A167" s="352" t="str">
        <f aca="false">Option2!A134</f>
        <v>N/A</v>
      </c>
      <c r="B167" s="396" t="str">
        <f aca="false">IF(A167="N/A"," ",IF(ISERROR(N167),B155*Pwresc,N167)*VLOOKUP(MONTH(A167),Curveadj,3))</f>
        <v> </v>
      </c>
      <c r="C167" s="397" t="str">
        <f aca="false">IF(A167="N/A"," ",(IF(AND(Scaler2=1,MONTH(A167)&gt;=6,MONTH(A167)&lt;=8,OR($M$37="REGION 2",$M$37="REGION 2A",$M$37="REGION 2B",$M$37="REGION 3",$M$37="REGION 3A",$M$37="REGION 3B",$M$37="REGION 3C",$M$37="REGION 4",$M$37="REGION 4B",$M$37="REGION 4C",$M$37="REGION 5",$M$37="REGION 5A")),((0.059228/(B167/100))-(0.4980013/(SQRT(B167/100)))+2.137988),HLOOKUP(MONTH(A167),ScalarTable,28))))</f>
        <v> </v>
      </c>
      <c r="D167" s="398" t="str">
        <f aca="false">IF(A167="N/A"," ",C167*B167)</f>
        <v> </v>
      </c>
      <c r="E167" s="396" t="str">
        <f aca="false">IF(A167="N/A"," ",IF(ISERROR(O167),E155*Pwresc,O167)*VLOOKUP(MONTH(A167),Curveadj,3))</f>
        <v> </v>
      </c>
      <c r="F167" s="398" t="str">
        <f aca="false">IF(A167="N/A"," ",E167*C167)</f>
        <v> </v>
      </c>
      <c r="G167" s="396" t="str">
        <f aca="false">IF(A167="N/A"," ",IF(ISERROR(P167),G155*Pwresc,P167)*VLOOKUP(MONTH(A167),Curveadj,3))</f>
        <v> </v>
      </c>
      <c r="H167" s="398" t="str">
        <f aca="false">IF(A167="N/A"," ",G167*C167)</f>
        <v> </v>
      </c>
      <c r="I167" s="398" t="str">
        <f aca="false">IF(A167="N/A"," ",IF(ISERROR(Q167),I155*Pwresc,Q167))</f>
        <v> </v>
      </c>
      <c r="J167" s="398"/>
      <c r="K167" s="399"/>
      <c r="L167" s="399"/>
      <c r="M167" s="404"/>
      <c r="N167" s="401" t="str">
        <f aca="false">IF(A167="N/A"," ",VLOOKUP(A167,PeakPowerCurves,(IF(BMO2=2,3,IF(BMO2=1,2,4))),FALSE()))</f>
        <v> </v>
      </c>
      <c r="O167" s="401" t="str">
        <f aca="false">IF(A167="N/A"," ",VLOOKUP(A167,SatSunPeakPwr,(IF(BMO2=2,3,IF(BMO2=1,2,4))),FALSE()))</f>
        <v> </v>
      </c>
      <c r="P167" s="401" t="str">
        <f aca="false">IF(A167="N/A"," ",VLOOKUP(A167,SatSunPeakPwr,(IF(BMO2=2,7,IF(BMO2=1,6,8))),FALSE()))</f>
        <v> </v>
      </c>
      <c r="Q167" s="402" t="str">
        <f aca="false">IF(A167="N/A"," ",(VLOOKUP(A167,OPPowerPrices,(IF(BMO2=2,7,IF(BMO2=1,6,8))),FALSE())))</f>
        <v> </v>
      </c>
      <c r="R167" s="403" t="str">
        <f aca="false">IF(A167="N/A"," ",(VLOOKUP($A167,IRTable,2)))</f>
        <v> </v>
      </c>
      <c r="AF167" s="352" t="n">
        <v>41518</v>
      </c>
      <c r="AG167" s="311" t="n">
        <v>20</v>
      </c>
      <c r="AH167" s="311" t="n">
        <v>4</v>
      </c>
      <c r="AI167" s="311" t="n">
        <v>6</v>
      </c>
      <c r="AJ167" s="311" t="n">
        <v>1</v>
      </c>
      <c r="AK167" s="311" t="n">
        <v>30</v>
      </c>
      <c r="AU167" s="406"/>
    </row>
    <row r="168" customFormat="false" ht="12.75" hidden="false" customHeight="false" outlineLevel="0" collapsed="false">
      <c r="A168" s="352" t="str">
        <f aca="false">Option2!A135</f>
        <v>N/A</v>
      </c>
      <c r="B168" s="396" t="str">
        <f aca="false">IF(A168="N/A"," ",IF(ISERROR(N168),B156*Pwresc,N168)*VLOOKUP(MONTH(A168),Curveadj,3))</f>
        <v> </v>
      </c>
      <c r="C168" s="397" t="str">
        <f aca="false">IF(A168="N/A"," ",(IF(AND(Scaler2=1,MONTH(A168)&gt;=6,MONTH(A168)&lt;=8,OR($M$37="REGION 2",$M$37="REGION 2A",$M$37="REGION 2B",$M$37="REGION 3",$M$37="REGION 3A",$M$37="REGION 3B",$M$37="REGION 3C",$M$37="REGION 4",$M$37="REGION 4B",$M$37="REGION 4C",$M$37="REGION 5",$M$37="REGION 5A")),((0.059228/(B168/100))-(0.4980013/(SQRT(B168/100)))+2.137988),HLOOKUP(MONTH(A168),ScalarTable,28))))</f>
        <v> </v>
      </c>
      <c r="D168" s="398" t="str">
        <f aca="false">IF(A168="N/A"," ",C168*B168)</f>
        <v> </v>
      </c>
      <c r="E168" s="396" t="str">
        <f aca="false">IF(A168="N/A"," ",IF(ISERROR(O168),E156*Pwresc,O168)*VLOOKUP(MONTH(A168),Curveadj,3))</f>
        <v> </v>
      </c>
      <c r="F168" s="398" t="str">
        <f aca="false">IF(A168="N/A"," ",E168*C168)</f>
        <v> </v>
      </c>
      <c r="G168" s="396" t="str">
        <f aca="false">IF(A168="N/A"," ",IF(ISERROR(P168),G156*Pwresc,P168)*VLOOKUP(MONTH(A168),Curveadj,3))</f>
        <v> </v>
      </c>
      <c r="H168" s="398" t="str">
        <f aca="false">IF(A168="N/A"," ",G168*C168)</f>
        <v> </v>
      </c>
      <c r="I168" s="398" t="str">
        <f aca="false">IF(A168="N/A"," ",IF(ISERROR(Q168),I156*Pwresc,Q168))</f>
        <v> </v>
      </c>
      <c r="J168" s="398"/>
      <c r="K168" s="399"/>
      <c r="L168" s="399"/>
      <c r="M168" s="404"/>
      <c r="N168" s="401" t="str">
        <f aca="false">IF(A168="N/A"," ",VLOOKUP(A168,PeakPowerCurves,(IF(BMO2=2,3,IF(BMO2=1,2,4))),FALSE()))</f>
        <v> </v>
      </c>
      <c r="O168" s="401" t="str">
        <f aca="false">IF(A168="N/A"," ",VLOOKUP(A168,SatSunPeakPwr,(IF(BMO2=2,3,IF(BMO2=1,2,4))),FALSE()))</f>
        <v> </v>
      </c>
      <c r="P168" s="401" t="str">
        <f aca="false">IF(A168="N/A"," ",VLOOKUP(A168,SatSunPeakPwr,(IF(BMO2=2,7,IF(BMO2=1,6,8))),FALSE()))</f>
        <v> </v>
      </c>
      <c r="Q168" s="402" t="str">
        <f aca="false">IF(A168="N/A"," ",(VLOOKUP(A168,OPPowerPrices,(IF(BMO2=2,7,IF(BMO2=1,6,8))),FALSE())))</f>
        <v> </v>
      </c>
      <c r="R168" s="403" t="str">
        <f aca="false">IF(A168="N/A"," ",(VLOOKUP($A168,IRTable,2)))</f>
        <v> </v>
      </c>
      <c r="AF168" s="352" t="n">
        <v>41548</v>
      </c>
      <c r="AG168" s="311" t="n">
        <v>23</v>
      </c>
      <c r="AH168" s="311" t="n">
        <v>4</v>
      </c>
      <c r="AI168" s="311" t="n">
        <v>4</v>
      </c>
      <c r="AJ168" s="311" t="n">
        <v>0</v>
      </c>
      <c r="AK168" s="311" t="n">
        <v>31</v>
      </c>
      <c r="AU168" s="406"/>
    </row>
    <row r="169" customFormat="false" ht="12.75" hidden="false" customHeight="false" outlineLevel="0" collapsed="false">
      <c r="A169" s="352" t="str">
        <f aca="false">Option2!A136</f>
        <v>N/A</v>
      </c>
      <c r="B169" s="396" t="str">
        <f aca="false">IF(A169="N/A"," ",IF(ISERROR(N169),B157*Pwresc,N169)*VLOOKUP(MONTH(A169),Curveadj,3))</f>
        <v> </v>
      </c>
      <c r="C169" s="397" t="str">
        <f aca="false">IF(A169="N/A"," ",(IF(AND(Scaler2=1,MONTH(A169)&gt;=6,MONTH(A169)&lt;=8,OR($M$37="REGION 2",$M$37="REGION 2A",$M$37="REGION 2B",$M$37="REGION 3",$M$37="REGION 3A",$M$37="REGION 3B",$M$37="REGION 3C",$M$37="REGION 4",$M$37="REGION 4B",$M$37="REGION 4C",$M$37="REGION 5",$M$37="REGION 5A")),((0.059228/(B169/100))-(0.4980013/(SQRT(B169/100)))+2.137988),HLOOKUP(MONTH(A169),ScalarTable,28))))</f>
        <v> </v>
      </c>
      <c r="D169" s="398" t="str">
        <f aca="false">IF(A169="N/A"," ",C169*B169)</f>
        <v> </v>
      </c>
      <c r="E169" s="396" t="str">
        <f aca="false">IF(A169="N/A"," ",IF(ISERROR(O169),E157*Pwresc,O169)*VLOOKUP(MONTH(A169),Curveadj,3))</f>
        <v> </v>
      </c>
      <c r="F169" s="398" t="str">
        <f aca="false">IF(A169="N/A"," ",E169*C169)</f>
        <v> </v>
      </c>
      <c r="G169" s="396" t="str">
        <f aca="false">IF(A169="N/A"," ",IF(ISERROR(P169),G157*Pwresc,P169)*VLOOKUP(MONTH(A169),Curveadj,3))</f>
        <v> </v>
      </c>
      <c r="H169" s="398" t="str">
        <f aca="false">IF(A169="N/A"," ",G169*C169)</f>
        <v> </v>
      </c>
      <c r="I169" s="398" t="str">
        <f aca="false">IF(A169="N/A"," ",IF(ISERROR(Q169),I157*Pwresc,Q169))</f>
        <v> </v>
      </c>
      <c r="J169" s="398"/>
      <c r="K169" s="399"/>
      <c r="L169" s="399"/>
      <c r="M169" s="404"/>
      <c r="N169" s="401" t="str">
        <f aca="false">IF(A169="N/A"," ",VLOOKUP(A169,PeakPowerCurves,(IF(BMO2=2,3,IF(BMO2=1,2,4))),FALSE()))</f>
        <v> </v>
      </c>
      <c r="O169" s="401" t="str">
        <f aca="false">IF(A169="N/A"," ",VLOOKUP(A169,SatSunPeakPwr,(IF(BMO2=2,3,IF(BMO2=1,2,4))),FALSE()))</f>
        <v> </v>
      </c>
      <c r="P169" s="401" t="str">
        <f aca="false">IF(A169="N/A"," ",VLOOKUP(A169,SatSunPeakPwr,(IF(BMO2=2,7,IF(BMO2=1,6,8))),FALSE()))</f>
        <v> </v>
      </c>
      <c r="Q169" s="402" t="str">
        <f aca="false">IF(A169="N/A"," ",(VLOOKUP(A169,OPPowerPrices,(IF(BMO2=2,7,IF(BMO2=1,6,8))),FALSE())))</f>
        <v> </v>
      </c>
      <c r="R169" s="403" t="str">
        <f aca="false">IF(A169="N/A"," ",(VLOOKUP($A169,IRTable,2)))</f>
        <v> </v>
      </c>
      <c r="AF169" s="352" t="n">
        <v>41579</v>
      </c>
      <c r="AG169" s="311" t="n">
        <v>20</v>
      </c>
      <c r="AH169" s="311" t="n">
        <v>5</v>
      </c>
      <c r="AI169" s="311" t="n">
        <v>5</v>
      </c>
      <c r="AJ169" s="311" t="n">
        <v>1</v>
      </c>
      <c r="AK169" s="311" t="n">
        <v>30</v>
      </c>
      <c r="AU169" s="406"/>
    </row>
    <row r="170" customFormat="false" ht="12.75" hidden="false" customHeight="false" outlineLevel="0" collapsed="false">
      <c r="A170" s="352" t="str">
        <f aca="false">Option2!A137</f>
        <v>N/A</v>
      </c>
      <c r="B170" s="396" t="str">
        <f aca="false">IF(A170="N/A"," ",IF(ISERROR(N170),B158*Pwresc,N170)*VLOOKUP(MONTH(A170),Curveadj,3))</f>
        <v> </v>
      </c>
      <c r="C170" s="397" t="str">
        <f aca="false">IF(A170="N/A"," ",(IF(AND(Scaler2=1,MONTH(A170)&gt;=6,MONTH(A170)&lt;=8,OR($M$37="REGION 2",$M$37="REGION 2A",$M$37="REGION 2B",$M$37="REGION 3",$M$37="REGION 3A",$M$37="REGION 3B",$M$37="REGION 3C",$M$37="REGION 4",$M$37="REGION 4B",$M$37="REGION 4C",$M$37="REGION 5",$M$37="REGION 5A")),((0.059228/(B170/100))-(0.4980013/(SQRT(B170/100)))+2.137988),HLOOKUP(MONTH(A170),ScalarTable,28))))</f>
        <v> </v>
      </c>
      <c r="D170" s="398" t="str">
        <f aca="false">IF(A170="N/A"," ",C170*B170)</f>
        <v> </v>
      </c>
      <c r="E170" s="396" t="str">
        <f aca="false">IF(A170="N/A"," ",IF(ISERROR(O170),E158*Pwresc,O170)*VLOOKUP(MONTH(A170),Curveadj,3))</f>
        <v> </v>
      </c>
      <c r="F170" s="398" t="str">
        <f aca="false">IF(A170="N/A"," ",E170*C170)</f>
        <v> </v>
      </c>
      <c r="G170" s="396" t="str">
        <f aca="false">IF(A170="N/A"," ",IF(ISERROR(P170),G158*Pwresc,P170)*VLOOKUP(MONTH(A170),Curveadj,3))</f>
        <v> </v>
      </c>
      <c r="H170" s="398" t="str">
        <f aca="false">IF(A170="N/A"," ",G170*C170)</f>
        <v> </v>
      </c>
      <c r="I170" s="398" t="str">
        <f aca="false">IF(A170="N/A"," ",IF(ISERROR(Q170),I158*Pwresc,Q170))</f>
        <v> </v>
      </c>
      <c r="J170" s="398"/>
      <c r="K170" s="399"/>
      <c r="L170" s="399"/>
      <c r="M170" s="404"/>
      <c r="N170" s="401" t="str">
        <f aca="false">IF(A170="N/A"," ",VLOOKUP(A170,PeakPowerCurves,(IF(BMO2=2,3,IF(BMO2=1,2,4))),FALSE()))</f>
        <v> </v>
      </c>
      <c r="O170" s="401" t="str">
        <f aca="false">IF(A170="N/A"," ",VLOOKUP(A170,SatSunPeakPwr,(IF(BMO2=2,3,IF(BMO2=1,2,4))),FALSE()))</f>
        <v> </v>
      </c>
      <c r="P170" s="401" t="str">
        <f aca="false">IF(A170="N/A"," ",VLOOKUP(A170,SatSunPeakPwr,(IF(BMO2=2,7,IF(BMO2=1,6,8))),FALSE()))</f>
        <v> </v>
      </c>
      <c r="Q170" s="402" t="str">
        <f aca="false">IF(A170="N/A"," ",(VLOOKUP(A170,OPPowerPrices,(IF(BMO2=2,7,IF(BMO2=1,6,8))),FALSE())))</f>
        <v> </v>
      </c>
      <c r="R170" s="403" t="str">
        <f aca="false">IF(A170="N/A"," ",(VLOOKUP($A170,IRTable,2)))</f>
        <v> </v>
      </c>
      <c r="AF170" s="352" t="n">
        <v>41609</v>
      </c>
      <c r="AG170" s="311" t="n">
        <v>21</v>
      </c>
      <c r="AH170" s="311" t="n">
        <v>4</v>
      </c>
      <c r="AI170" s="311" t="n">
        <v>6</v>
      </c>
      <c r="AJ170" s="311" t="n">
        <v>1</v>
      </c>
      <c r="AK170" s="311" t="n">
        <v>31</v>
      </c>
      <c r="AU170" s="406"/>
    </row>
    <row r="171" customFormat="false" ht="12.75" hidden="false" customHeight="false" outlineLevel="0" collapsed="false">
      <c r="A171" s="352" t="str">
        <f aca="false">Option2!A138</f>
        <v>N/A</v>
      </c>
      <c r="B171" s="396" t="str">
        <f aca="false">IF(A171="N/A"," ",IF(ISERROR(N171),B159*Pwresc,N171)*VLOOKUP(MONTH(A171),Curveadj,3))</f>
        <v> </v>
      </c>
      <c r="C171" s="397" t="str">
        <f aca="false">IF(A171="N/A"," ",(IF(AND(Scaler2=1,MONTH(A171)&gt;=6,MONTH(A171)&lt;=8,OR($M$37="REGION 2",$M$37="REGION 2A",$M$37="REGION 2B",$M$37="REGION 3",$M$37="REGION 3A",$M$37="REGION 3B",$M$37="REGION 3C",$M$37="REGION 4",$M$37="REGION 4B",$M$37="REGION 4C",$M$37="REGION 5",$M$37="REGION 5A")),((0.059228/(B171/100))-(0.4980013/(SQRT(B171/100)))+2.137988),HLOOKUP(MONTH(A171),ScalarTable,28))))</f>
        <v> </v>
      </c>
      <c r="D171" s="398" t="str">
        <f aca="false">IF(A171="N/A"," ",C171*B171)</f>
        <v> </v>
      </c>
      <c r="E171" s="396" t="str">
        <f aca="false">IF(A171="N/A"," ",IF(ISERROR(O171),E159*Pwresc,O171)*VLOOKUP(MONTH(A171),Curveadj,3))</f>
        <v> </v>
      </c>
      <c r="F171" s="398" t="str">
        <f aca="false">IF(A171="N/A"," ",E171*C171)</f>
        <v> </v>
      </c>
      <c r="G171" s="396" t="str">
        <f aca="false">IF(A171="N/A"," ",IF(ISERROR(P171),G159*Pwresc,P171)*VLOOKUP(MONTH(A171),Curveadj,3))</f>
        <v> </v>
      </c>
      <c r="H171" s="398" t="str">
        <f aca="false">IF(A171="N/A"," ",G171*C171)</f>
        <v> </v>
      </c>
      <c r="I171" s="398" t="str">
        <f aca="false">IF(A171="N/A"," ",IF(ISERROR(Q171),I159*Pwresc,Q171))</f>
        <v> </v>
      </c>
      <c r="J171" s="398"/>
      <c r="K171" s="399"/>
      <c r="L171" s="399"/>
      <c r="M171" s="404"/>
      <c r="N171" s="401" t="str">
        <f aca="false">IF(A171="N/A"," ",VLOOKUP(A171,PeakPowerCurves,(IF(BMO2=2,3,IF(BMO2=1,2,4))),FALSE()))</f>
        <v> </v>
      </c>
      <c r="O171" s="401" t="str">
        <f aca="false">IF(A171="N/A"," ",VLOOKUP(A171,SatSunPeakPwr,(IF(BMO2=2,3,IF(BMO2=1,2,4))),FALSE()))</f>
        <v> </v>
      </c>
      <c r="P171" s="401" t="str">
        <f aca="false">IF(A171="N/A"," ",VLOOKUP(A171,SatSunPeakPwr,(IF(BMO2=2,7,IF(BMO2=1,6,8))),FALSE()))</f>
        <v> </v>
      </c>
      <c r="Q171" s="402" t="str">
        <f aca="false">IF(A171="N/A"," ",(VLOOKUP(A171,OPPowerPrices,(IF(BMO2=2,7,IF(BMO2=1,6,8))),FALSE())))</f>
        <v> </v>
      </c>
      <c r="R171" s="403" t="str">
        <f aca="false">IF(A171="N/A"," ",(VLOOKUP($A171,IRTable,2)))</f>
        <v> </v>
      </c>
      <c r="AF171" s="352" t="n">
        <v>41640</v>
      </c>
      <c r="AG171" s="311" t="n">
        <v>22</v>
      </c>
      <c r="AH171" s="311" t="n">
        <v>4</v>
      </c>
      <c r="AI171" s="311" t="n">
        <v>5</v>
      </c>
      <c r="AJ171" s="311" t="n">
        <v>1</v>
      </c>
      <c r="AK171" s="311" t="n">
        <v>31</v>
      </c>
      <c r="AU171" s="406"/>
    </row>
    <row r="172" customFormat="false" ht="12.75" hidden="false" customHeight="false" outlineLevel="0" collapsed="false">
      <c r="A172" s="352" t="str">
        <f aca="false">Option2!A139</f>
        <v>N/A</v>
      </c>
      <c r="B172" s="396" t="str">
        <f aca="false">IF(A172="N/A"," ",IF(ISERROR(N172),B160*Pwresc,N172)*VLOOKUP(MONTH(A172),Curveadj,3))</f>
        <v> </v>
      </c>
      <c r="C172" s="397" t="str">
        <f aca="false">IF(A172="N/A"," ",(IF(AND(Scaler2=1,MONTH(A172)&gt;=6,MONTH(A172)&lt;=8,OR($M$37="REGION 2",$M$37="REGION 2A",$M$37="REGION 2B",$M$37="REGION 3",$M$37="REGION 3A",$M$37="REGION 3B",$M$37="REGION 3C",$M$37="REGION 4",$M$37="REGION 4B",$M$37="REGION 4C",$M$37="REGION 5",$M$37="REGION 5A")),((0.059228/(B172/100))-(0.4980013/(SQRT(B172/100)))+2.137988),HLOOKUP(MONTH(A172),ScalarTable,28))))</f>
        <v> </v>
      </c>
      <c r="D172" s="398" t="str">
        <f aca="false">IF(A172="N/A"," ",C172*B172)</f>
        <v> </v>
      </c>
      <c r="E172" s="396" t="str">
        <f aca="false">IF(A172="N/A"," ",IF(ISERROR(O172),E160*Pwresc,O172)*VLOOKUP(MONTH(A172),Curveadj,3))</f>
        <v> </v>
      </c>
      <c r="F172" s="398" t="str">
        <f aca="false">IF(A172="N/A"," ",E172*C172)</f>
        <v> </v>
      </c>
      <c r="G172" s="396" t="str">
        <f aca="false">IF(A172="N/A"," ",IF(ISERROR(P172),G160*Pwresc,P172)*VLOOKUP(MONTH(A172),Curveadj,3))</f>
        <v> </v>
      </c>
      <c r="H172" s="398" t="str">
        <f aca="false">IF(A172="N/A"," ",G172*C172)</f>
        <v> </v>
      </c>
      <c r="I172" s="398" t="str">
        <f aca="false">IF(A172="N/A"," ",IF(ISERROR(Q172),I160*Pwresc,Q172))</f>
        <v> </v>
      </c>
      <c r="J172" s="398"/>
      <c r="K172" s="399"/>
      <c r="L172" s="399"/>
      <c r="M172" s="404"/>
      <c r="N172" s="401" t="str">
        <f aca="false">IF(A172="N/A"," ",VLOOKUP(A172,PeakPowerCurves,(IF(BMO2=2,3,IF(BMO2=1,2,4))),FALSE()))</f>
        <v> </v>
      </c>
      <c r="O172" s="401" t="str">
        <f aca="false">IF(A172="N/A"," ",VLOOKUP(A172,SatSunPeakPwr,(IF(BMO2=2,3,IF(BMO2=1,2,4))),FALSE()))</f>
        <v> </v>
      </c>
      <c r="P172" s="401" t="str">
        <f aca="false">IF(A172="N/A"," ",VLOOKUP(A172,SatSunPeakPwr,(IF(BMO2=2,7,IF(BMO2=1,6,8))),FALSE()))</f>
        <v> </v>
      </c>
      <c r="Q172" s="402" t="str">
        <f aca="false">IF(A172="N/A"," ",(VLOOKUP(A172,OPPowerPrices,(IF(BMO2=2,7,IF(BMO2=1,6,8))),FALSE())))</f>
        <v> </v>
      </c>
      <c r="R172" s="403" t="str">
        <f aca="false">IF(A172="N/A"," ",(VLOOKUP($A172,IRTable,2)))</f>
        <v> </v>
      </c>
      <c r="AF172" s="352" t="n">
        <v>41671</v>
      </c>
      <c r="AG172" s="311" t="n">
        <v>20</v>
      </c>
      <c r="AH172" s="311" t="n">
        <v>4</v>
      </c>
      <c r="AI172" s="311" t="n">
        <v>4</v>
      </c>
      <c r="AJ172" s="311" t="n">
        <v>0</v>
      </c>
      <c r="AK172" s="311" t="n">
        <v>28</v>
      </c>
      <c r="AU172" s="406"/>
    </row>
    <row r="173" customFormat="false" ht="12.75" hidden="false" customHeight="false" outlineLevel="0" collapsed="false">
      <c r="A173" s="352" t="str">
        <f aca="false">Option2!A140</f>
        <v>N/A</v>
      </c>
      <c r="B173" s="396" t="str">
        <f aca="false">IF(A173="N/A"," ",IF(ISERROR(N173),B161*Pwresc,N173)*VLOOKUP(MONTH(A173),Curveadj,3))</f>
        <v> </v>
      </c>
      <c r="C173" s="397" t="str">
        <f aca="false">IF(A173="N/A"," ",(IF(AND(Scaler2=1,MONTH(A173)&gt;=6,MONTH(A173)&lt;=8,OR($M$37="REGION 2",$M$37="REGION 2A",$M$37="REGION 2B",$M$37="REGION 3",$M$37="REGION 3A",$M$37="REGION 3B",$M$37="REGION 3C",$M$37="REGION 4",$M$37="REGION 4B",$M$37="REGION 4C",$M$37="REGION 5",$M$37="REGION 5A")),((0.059228/(B173/100))-(0.4980013/(SQRT(B173/100)))+2.137988),HLOOKUP(MONTH(A173),ScalarTable,28))))</f>
        <v> </v>
      </c>
      <c r="D173" s="398" t="str">
        <f aca="false">IF(A173="N/A"," ",C173*B173)</f>
        <v> </v>
      </c>
      <c r="E173" s="396" t="str">
        <f aca="false">IF(A173="N/A"," ",IF(ISERROR(O173),E161*Pwresc,O173)*VLOOKUP(MONTH(A173),Curveadj,3))</f>
        <v> </v>
      </c>
      <c r="F173" s="398" t="str">
        <f aca="false">IF(A173="N/A"," ",E173*C173)</f>
        <v> </v>
      </c>
      <c r="G173" s="396" t="str">
        <f aca="false">IF(A173="N/A"," ",IF(ISERROR(P173),G161*Pwresc,P173)*VLOOKUP(MONTH(A173),Curveadj,3))</f>
        <v> </v>
      </c>
      <c r="H173" s="398" t="str">
        <f aca="false">IF(A173="N/A"," ",G173*C173)</f>
        <v> </v>
      </c>
      <c r="I173" s="398" t="str">
        <f aca="false">IF(A173="N/A"," ",IF(ISERROR(Q173),I161*Pwresc,Q173))</f>
        <v> </v>
      </c>
      <c r="J173" s="398"/>
      <c r="K173" s="399"/>
      <c r="L173" s="399"/>
      <c r="M173" s="404"/>
      <c r="N173" s="401" t="str">
        <f aca="false">IF(A173="N/A"," ",VLOOKUP(A173,PeakPowerCurves,(IF(BMO2=2,3,IF(BMO2=1,2,4))),FALSE()))</f>
        <v> </v>
      </c>
      <c r="O173" s="401" t="str">
        <f aca="false">IF(A173="N/A"," ",VLOOKUP(A173,SatSunPeakPwr,(IF(BMO2=2,3,IF(BMO2=1,2,4))),FALSE()))</f>
        <v> </v>
      </c>
      <c r="P173" s="401" t="str">
        <f aca="false">IF(A173="N/A"," ",VLOOKUP(A173,SatSunPeakPwr,(IF(BMO2=2,7,IF(BMO2=1,6,8))),FALSE()))</f>
        <v> </v>
      </c>
      <c r="Q173" s="402" t="str">
        <f aca="false">IF(A173="N/A"," ",(VLOOKUP(A173,OPPowerPrices,(IF(BMO2=2,7,IF(BMO2=1,6,8))),FALSE())))</f>
        <v> </v>
      </c>
      <c r="R173" s="403" t="str">
        <f aca="false">IF(A173="N/A"," ",(VLOOKUP($A173,IRTable,2)))</f>
        <v> </v>
      </c>
      <c r="AF173" s="352" t="n">
        <v>41699</v>
      </c>
      <c r="AG173" s="311" t="n">
        <v>21</v>
      </c>
      <c r="AH173" s="311" t="n">
        <v>5</v>
      </c>
      <c r="AI173" s="311" t="n">
        <v>5</v>
      </c>
      <c r="AJ173" s="311" t="n">
        <v>0</v>
      </c>
      <c r="AK173" s="311" t="n">
        <v>31</v>
      </c>
      <c r="AU173" s="406"/>
    </row>
    <row r="174" customFormat="false" ht="12.75" hidden="false" customHeight="false" outlineLevel="0" collapsed="false">
      <c r="A174" s="352" t="str">
        <f aca="false">Option2!A141</f>
        <v>N/A</v>
      </c>
      <c r="B174" s="396" t="str">
        <f aca="false">IF(A174="N/A"," ",IF(ISERROR(N174),B162*Pwresc,N174)*VLOOKUP(MONTH(A174),Curveadj,3))</f>
        <v> </v>
      </c>
      <c r="C174" s="397" t="str">
        <f aca="false">IF(A174="N/A"," ",(IF(AND(Scaler2=1,MONTH(A174)&gt;=6,MONTH(A174)&lt;=8,OR($M$37="REGION 2",$M$37="REGION 2A",$M$37="REGION 2B",$M$37="REGION 3",$M$37="REGION 3A",$M$37="REGION 3B",$M$37="REGION 3C",$M$37="REGION 4",$M$37="REGION 4B",$M$37="REGION 4C",$M$37="REGION 5",$M$37="REGION 5A")),((0.059228/(B174/100))-(0.4980013/(SQRT(B174/100)))+2.137988),HLOOKUP(MONTH(A174),ScalarTable,28))))</f>
        <v> </v>
      </c>
      <c r="D174" s="398" t="str">
        <f aca="false">IF(A174="N/A"," ",C174*B174)</f>
        <v> </v>
      </c>
      <c r="E174" s="396" t="str">
        <f aca="false">IF(A174="N/A"," ",IF(ISERROR(O174),E162*Pwresc,O174)*VLOOKUP(MONTH(A174),Curveadj,3))</f>
        <v> </v>
      </c>
      <c r="F174" s="398" t="str">
        <f aca="false">IF(A174="N/A"," ",E174*C174)</f>
        <v> </v>
      </c>
      <c r="G174" s="396" t="str">
        <f aca="false">IF(A174="N/A"," ",IF(ISERROR(P174),G162*Pwresc,P174)*VLOOKUP(MONTH(A174),Curveadj,3))</f>
        <v> </v>
      </c>
      <c r="H174" s="398" t="str">
        <f aca="false">IF(A174="N/A"," ",G174*C174)</f>
        <v> </v>
      </c>
      <c r="I174" s="398" t="str">
        <f aca="false">IF(A174="N/A"," ",IF(ISERROR(Q174),I162*Pwresc,Q174))</f>
        <v> </v>
      </c>
      <c r="J174" s="398"/>
      <c r="K174" s="399"/>
      <c r="L174" s="399"/>
      <c r="M174" s="404"/>
      <c r="N174" s="401" t="str">
        <f aca="false">IF(A174="N/A"," ",VLOOKUP(A174,PeakPowerCurves,(IF(BMO2=2,3,IF(BMO2=1,2,4))),FALSE()))</f>
        <v> </v>
      </c>
      <c r="O174" s="401" t="str">
        <f aca="false">IF(A174="N/A"," ",VLOOKUP(A174,SatSunPeakPwr,(IF(BMO2=2,3,IF(BMO2=1,2,4))),FALSE()))</f>
        <v> </v>
      </c>
      <c r="P174" s="401" t="str">
        <f aca="false">IF(A174="N/A"," ",VLOOKUP(A174,SatSunPeakPwr,(IF(BMO2=2,7,IF(BMO2=1,6,8))),FALSE()))</f>
        <v> </v>
      </c>
      <c r="Q174" s="402" t="str">
        <f aca="false">IF(A174="N/A"," ",(VLOOKUP(A174,OPPowerPrices,(IF(BMO2=2,7,IF(BMO2=1,6,8))),FALSE())))</f>
        <v> </v>
      </c>
      <c r="R174" s="403" t="str">
        <f aca="false">IF(A174="N/A"," ",(VLOOKUP($A174,IRTable,2)))</f>
        <v> </v>
      </c>
      <c r="AF174" s="352" t="n">
        <v>41730</v>
      </c>
      <c r="AG174" s="311" t="n">
        <v>22</v>
      </c>
      <c r="AH174" s="311" t="n">
        <v>4</v>
      </c>
      <c r="AI174" s="311" t="n">
        <v>4</v>
      </c>
      <c r="AJ174" s="311" t="n">
        <v>0</v>
      </c>
      <c r="AK174" s="311" t="n">
        <v>30</v>
      </c>
      <c r="AU174" s="406"/>
    </row>
    <row r="175" customFormat="false" ht="12.75" hidden="false" customHeight="false" outlineLevel="0" collapsed="false">
      <c r="A175" s="352" t="str">
        <f aca="false">Option2!A142</f>
        <v>N/A</v>
      </c>
      <c r="B175" s="396" t="str">
        <f aca="false">IF(A175="N/A"," ",IF(ISERROR(N175),B163*Pwresc,N175)*VLOOKUP(MONTH(A175),Curveadj,3))</f>
        <v> </v>
      </c>
      <c r="C175" s="397" t="str">
        <f aca="false">IF(A175="N/A"," ",(IF(AND(Scaler2=1,MONTH(A175)&gt;=6,MONTH(A175)&lt;=8,OR($M$37="REGION 2",$M$37="REGION 2A",$M$37="REGION 2B",$M$37="REGION 3",$M$37="REGION 3A",$M$37="REGION 3B",$M$37="REGION 3C",$M$37="REGION 4",$M$37="REGION 4B",$M$37="REGION 4C",$M$37="REGION 5",$M$37="REGION 5A")),((0.059228/(B175/100))-(0.4980013/(SQRT(B175/100)))+2.137988),HLOOKUP(MONTH(A175),ScalarTable,28))))</f>
        <v> </v>
      </c>
      <c r="D175" s="398" t="str">
        <f aca="false">IF(A175="N/A"," ",C175*B175)</f>
        <v> </v>
      </c>
      <c r="E175" s="396" t="str">
        <f aca="false">IF(A175="N/A"," ",IF(ISERROR(O175),E163*Pwresc,O175)*VLOOKUP(MONTH(A175),Curveadj,3))</f>
        <v> </v>
      </c>
      <c r="F175" s="398" t="str">
        <f aca="false">IF(A175="N/A"," ",E175*C175)</f>
        <v> </v>
      </c>
      <c r="G175" s="396" t="str">
        <f aca="false">IF(A175="N/A"," ",IF(ISERROR(P175),G163*Pwresc,P175)*VLOOKUP(MONTH(A175),Curveadj,3))</f>
        <v> </v>
      </c>
      <c r="H175" s="398" t="str">
        <f aca="false">IF(A175="N/A"," ",G175*C175)</f>
        <v> </v>
      </c>
      <c r="I175" s="398" t="str">
        <f aca="false">IF(A175="N/A"," ",IF(ISERROR(Q175),I163*Pwresc,Q175))</f>
        <v> </v>
      </c>
      <c r="J175" s="398"/>
      <c r="K175" s="399"/>
      <c r="L175" s="399"/>
      <c r="M175" s="404"/>
      <c r="N175" s="401" t="str">
        <f aca="false">IF(A175="N/A"," ",VLOOKUP(A175,PeakPowerCurves,(IF(BMO2=2,3,IF(BMO2=1,2,4))),FALSE()))</f>
        <v> </v>
      </c>
      <c r="O175" s="401" t="str">
        <f aca="false">IF(A175="N/A"," ",VLOOKUP(A175,SatSunPeakPwr,(IF(BMO2=2,3,IF(BMO2=1,2,4))),FALSE()))</f>
        <v> </v>
      </c>
      <c r="P175" s="401" t="str">
        <f aca="false">IF(A175="N/A"," ",VLOOKUP(A175,SatSunPeakPwr,(IF(BMO2=2,7,IF(BMO2=1,6,8))),FALSE()))</f>
        <v> </v>
      </c>
      <c r="Q175" s="402" t="str">
        <f aca="false">IF(A175="N/A"," ",(VLOOKUP(A175,OPPowerPrices,(IF(BMO2=2,7,IF(BMO2=1,6,8))),FALSE())))</f>
        <v> </v>
      </c>
      <c r="R175" s="403" t="str">
        <f aca="false">IF(A175="N/A"," ",(VLOOKUP($A175,IRTable,2)))</f>
        <v> </v>
      </c>
      <c r="AF175" s="352" t="n">
        <v>41760</v>
      </c>
      <c r="AG175" s="311" t="n">
        <v>21</v>
      </c>
      <c r="AH175" s="311" t="n">
        <v>5</v>
      </c>
      <c r="AI175" s="311" t="n">
        <v>5</v>
      </c>
      <c r="AJ175" s="311" t="n">
        <v>1</v>
      </c>
      <c r="AK175" s="311" t="n">
        <v>31</v>
      </c>
      <c r="AU175" s="406"/>
    </row>
    <row r="176" customFormat="false" ht="12.75" hidden="false" customHeight="false" outlineLevel="0" collapsed="false">
      <c r="A176" s="352" t="str">
        <f aca="false">Option2!A143</f>
        <v>N/A</v>
      </c>
      <c r="B176" s="396" t="str">
        <f aca="false">IF(A176="N/A"," ",IF(ISERROR(N176),B164*Pwresc,N176)*VLOOKUP(MONTH(A176),Curveadj,3))</f>
        <v> </v>
      </c>
      <c r="C176" s="397" t="str">
        <f aca="false">IF(A176="N/A"," ",(IF(AND(Scaler2=1,MONTH(A176)&gt;=6,MONTH(A176)&lt;=8,OR($M$37="REGION 2",$M$37="REGION 2A",$M$37="REGION 2B",$M$37="REGION 3",$M$37="REGION 3A",$M$37="REGION 3B",$M$37="REGION 3C",$M$37="REGION 4",$M$37="REGION 4B",$M$37="REGION 4C",$M$37="REGION 5",$M$37="REGION 5A")),((0.059228/(B176/100))-(0.4980013/(SQRT(B176/100)))+2.137988),HLOOKUP(MONTH(A176),ScalarTable,28))))</f>
        <v> </v>
      </c>
      <c r="D176" s="398" t="str">
        <f aca="false">IF(A176="N/A"," ",C176*B176)</f>
        <v> </v>
      </c>
      <c r="E176" s="396" t="str">
        <f aca="false">IF(A176="N/A"," ",IF(ISERROR(O176),E164*Pwresc,O176)*VLOOKUP(MONTH(A176),Curveadj,3))</f>
        <v> </v>
      </c>
      <c r="F176" s="398" t="str">
        <f aca="false">IF(A176="N/A"," ",E176*C176)</f>
        <v> </v>
      </c>
      <c r="G176" s="396" t="str">
        <f aca="false">IF(A176="N/A"," ",IF(ISERROR(P176),G164*Pwresc,P176)*VLOOKUP(MONTH(A176),Curveadj,3))</f>
        <v> </v>
      </c>
      <c r="H176" s="398" t="str">
        <f aca="false">IF(A176="N/A"," ",G176*C176)</f>
        <v> </v>
      </c>
      <c r="I176" s="398" t="str">
        <f aca="false">IF(A176="N/A"," ",IF(ISERROR(Q176),I164*Pwresc,Q176))</f>
        <v> </v>
      </c>
      <c r="J176" s="398"/>
      <c r="K176" s="399"/>
      <c r="L176" s="399"/>
      <c r="M176" s="404"/>
      <c r="N176" s="401" t="str">
        <f aca="false">IF(A176="N/A"," ",VLOOKUP(A176,PeakPowerCurves,(IF(BMO2=2,3,IF(BMO2=1,2,4))),FALSE()))</f>
        <v> </v>
      </c>
      <c r="O176" s="401" t="str">
        <f aca="false">IF(A176="N/A"," ",VLOOKUP(A176,SatSunPeakPwr,(IF(BMO2=2,3,IF(BMO2=1,2,4))),FALSE()))</f>
        <v> </v>
      </c>
      <c r="P176" s="401" t="str">
        <f aca="false">IF(A176="N/A"," ",VLOOKUP(A176,SatSunPeakPwr,(IF(BMO2=2,7,IF(BMO2=1,6,8))),FALSE()))</f>
        <v> </v>
      </c>
      <c r="Q176" s="402" t="str">
        <f aca="false">IF(A176="N/A"," ",(VLOOKUP(A176,OPPowerPrices,(IF(BMO2=2,7,IF(BMO2=1,6,8))),FALSE())))</f>
        <v> </v>
      </c>
      <c r="R176" s="403" t="str">
        <f aca="false">IF(A176="N/A"," ",(VLOOKUP($A176,IRTable,2)))</f>
        <v> </v>
      </c>
      <c r="AF176" s="352" t="n">
        <v>41791</v>
      </c>
      <c r="AG176" s="311" t="n">
        <v>21</v>
      </c>
      <c r="AH176" s="311" t="n">
        <v>4</v>
      </c>
      <c r="AI176" s="311" t="n">
        <v>5</v>
      </c>
      <c r="AJ176" s="311" t="n">
        <v>0</v>
      </c>
      <c r="AK176" s="311" t="n">
        <v>30</v>
      </c>
      <c r="AU176" s="406"/>
    </row>
    <row r="177" customFormat="false" ht="12.75" hidden="false" customHeight="false" outlineLevel="0" collapsed="false">
      <c r="A177" s="352" t="str">
        <f aca="false">Option2!A144</f>
        <v>N/A</v>
      </c>
      <c r="B177" s="396" t="str">
        <f aca="false">IF(A177="N/A"," ",IF(ISERROR(N177),B165*Pwresc,N177)*VLOOKUP(MONTH(A177),Curveadj,3))</f>
        <v> </v>
      </c>
      <c r="C177" s="397" t="str">
        <f aca="false">IF(A177="N/A"," ",(IF(AND(Scaler2=1,MONTH(A177)&gt;=6,MONTH(A177)&lt;=8,OR($M$37="REGION 2",$M$37="REGION 2A",$M$37="REGION 2B",$M$37="REGION 3",$M$37="REGION 3A",$M$37="REGION 3B",$M$37="REGION 3C",$M$37="REGION 4",$M$37="REGION 4B",$M$37="REGION 4C",$M$37="REGION 5",$M$37="REGION 5A")),((0.059228/(B177/100))-(0.4980013/(SQRT(B177/100)))+2.137988),HLOOKUP(MONTH(A177),ScalarTable,28))))</f>
        <v> </v>
      </c>
      <c r="D177" s="398" t="str">
        <f aca="false">IF(A177="N/A"," ",C177*B177)</f>
        <v> </v>
      </c>
      <c r="E177" s="396" t="str">
        <f aca="false">IF(A177="N/A"," ",IF(ISERROR(O177),E165*Pwresc,O177)*VLOOKUP(MONTH(A177),Curveadj,3))</f>
        <v> </v>
      </c>
      <c r="F177" s="398" t="str">
        <f aca="false">IF(A177="N/A"," ",E177*C177)</f>
        <v> </v>
      </c>
      <c r="G177" s="396" t="str">
        <f aca="false">IF(A177="N/A"," ",IF(ISERROR(P177),G165*Pwresc,P177)*VLOOKUP(MONTH(A177),Curveadj,3))</f>
        <v> </v>
      </c>
      <c r="H177" s="398" t="str">
        <f aca="false">IF(A177="N/A"," ",G177*C177)</f>
        <v> </v>
      </c>
      <c r="I177" s="398" t="str">
        <f aca="false">IF(A177="N/A"," ",IF(ISERROR(Q177),I165*Pwresc,Q177))</f>
        <v> </v>
      </c>
      <c r="J177" s="398"/>
      <c r="K177" s="399"/>
      <c r="L177" s="399"/>
      <c r="M177" s="404"/>
      <c r="N177" s="401" t="str">
        <f aca="false">IF(A177="N/A"," ",VLOOKUP(A177,PeakPowerCurves,(IF(BMO2=2,3,IF(BMO2=1,2,4))),FALSE()))</f>
        <v> </v>
      </c>
      <c r="O177" s="401" t="str">
        <f aca="false">IF(A177="N/A"," ",VLOOKUP(A177,SatSunPeakPwr,(IF(BMO2=2,3,IF(BMO2=1,2,4))),FALSE()))</f>
        <v> </v>
      </c>
      <c r="P177" s="401" t="str">
        <f aca="false">IF(A177="N/A"," ",VLOOKUP(A177,SatSunPeakPwr,(IF(BMO2=2,7,IF(BMO2=1,6,8))),FALSE()))</f>
        <v> </v>
      </c>
      <c r="Q177" s="402" t="str">
        <f aca="false">IF(A177="N/A"," ",(VLOOKUP(A177,OPPowerPrices,(IF(BMO2=2,7,IF(BMO2=1,6,8))),FALSE())))</f>
        <v> </v>
      </c>
      <c r="R177" s="403" t="str">
        <f aca="false">IF(A177="N/A"," ",(VLOOKUP($A177,IRTable,2)))</f>
        <v> </v>
      </c>
      <c r="AF177" s="352" t="n">
        <v>41821</v>
      </c>
      <c r="AG177" s="311" t="n">
        <v>22</v>
      </c>
      <c r="AH177" s="311" t="n">
        <v>4</v>
      </c>
      <c r="AI177" s="311" t="n">
        <v>5</v>
      </c>
      <c r="AJ177" s="311" t="n">
        <v>1</v>
      </c>
      <c r="AK177" s="311" t="n">
        <v>31</v>
      </c>
      <c r="AU177" s="406"/>
    </row>
    <row r="178" customFormat="false" ht="12.75" hidden="false" customHeight="false" outlineLevel="0" collapsed="false">
      <c r="A178" s="352" t="str">
        <f aca="false">Option2!A145</f>
        <v>N/A</v>
      </c>
      <c r="B178" s="396" t="str">
        <f aca="false">IF(A178="N/A"," ",IF(ISERROR(N178),B166*Pwresc,N178)*VLOOKUP(MONTH(A178),Curveadj,3))</f>
        <v> </v>
      </c>
      <c r="C178" s="397" t="str">
        <f aca="false">IF(A178="N/A"," ",(IF(AND(Scaler2=1,MONTH(A178)&gt;=6,MONTH(A178)&lt;=8,OR($M$37="REGION 2",$M$37="REGION 2A",$M$37="REGION 2B",$M$37="REGION 3",$M$37="REGION 3A",$M$37="REGION 3B",$M$37="REGION 3C",$M$37="REGION 4",$M$37="REGION 4B",$M$37="REGION 4C",$M$37="REGION 5",$M$37="REGION 5A")),((0.059228/(B178/100))-(0.4980013/(SQRT(B178/100)))+2.137988),HLOOKUP(MONTH(A178),ScalarTable,28))))</f>
        <v> </v>
      </c>
      <c r="D178" s="398" t="str">
        <f aca="false">IF(A178="N/A"," ",C178*B178)</f>
        <v> </v>
      </c>
      <c r="E178" s="396" t="str">
        <f aca="false">IF(A178="N/A"," ",IF(ISERROR(O178),E166*Pwresc,O178)*VLOOKUP(MONTH(A178),Curveadj,3))</f>
        <v> </v>
      </c>
      <c r="F178" s="398" t="str">
        <f aca="false">IF(A178="N/A"," ",E178*C178)</f>
        <v> </v>
      </c>
      <c r="G178" s="396" t="str">
        <f aca="false">IF(A178="N/A"," ",IF(ISERROR(P178),G166*Pwresc,P178)*VLOOKUP(MONTH(A178),Curveadj,3))</f>
        <v> </v>
      </c>
      <c r="H178" s="398" t="str">
        <f aca="false">IF(A178="N/A"," ",G178*C178)</f>
        <v> </v>
      </c>
      <c r="I178" s="398" t="str">
        <f aca="false">IF(A178="N/A"," ",IF(ISERROR(Q178),I166*Pwresc,Q178))</f>
        <v> </v>
      </c>
      <c r="J178" s="398"/>
      <c r="K178" s="399"/>
      <c r="L178" s="399"/>
      <c r="M178" s="404"/>
      <c r="N178" s="401" t="str">
        <f aca="false">IF(A178="N/A"," ",VLOOKUP(A178,PeakPowerCurves,(IF(BMO2=2,3,IF(BMO2=1,2,4))),FALSE()))</f>
        <v> </v>
      </c>
      <c r="O178" s="401" t="str">
        <f aca="false">IF(A178="N/A"," ",VLOOKUP(A178,SatSunPeakPwr,(IF(BMO2=2,3,IF(BMO2=1,2,4))),FALSE()))</f>
        <v> </v>
      </c>
      <c r="P178" s="401" t="str">
        <f aca="false">IF(A178="N/A"," ",VLOOKUP(A178,SatSunPeakPwr,(IF(BMO2=2,7,IF(BMO2=1,6,8))),FALSE()))</f>
        <v> </v>
      </c>
      <c r="Q178" s="402" t="str">
        <f aca="false">IF(A178="N/A"," ",(VLOOKUP(A178,OPPowerPrices,(IF(BMO2=2,7,IF(BMO2=1,6,8))),FALSE())))</f>
        <v> </v>
      </c>
      <c r="R178" s="403" t="str">
        <f aca="false">IF(A178="N/A"," ",(VLOOKUP($A178,IRTable,2)))</f>
        <v> </v>
      </c>
      <c r="AF178" s="352" t="n">
        <v>41852</v>
      </c>
      <c r="AG178" s="311" t="n">
        <v>21</v>
      </c>
      <c r="AH178" s="311" t="n">
        <v>5</v>
      </c>
      <c r="AI178" s="311" t="n">
        <v>5</v>
      </c>
      <c r="AJ178" s="311" t="n">
        <v>0</v>
      </c>
      <c r="AK178" s="311" t="n">
        <v>31</v>
      </c>
      <c r="AU178" s="406"/>
    </row>
    <row r="179" customFormat="false" ht="12.75" hidden="false" customHeight="false" outlineLevel="0" collapsed="false">
      <c r="A179" s="352" t="str">
        <f aca="false">Option2!A146</f>
        <v>N/A</v>
      </c>
      <c r="B179" s="396" t="str">
        <f aca="false">IF(A179="N/A"," ",IF(ISERROR(N179),B167*Pwresc,N179)*VLOOKUP(MONTH(A179),Curveadj,3))</f>
        <v> </v>
      </c>
      <c r="C179" s="397" t="str">
        <f aca="false">IF(A179="N/A"," ",(IF(AND(Scaler2=1,MONTH(A179)&gt;=6,MONTH(A179)&lt;=8,OR($M$37="REGION 2",$M$37="REGION 2A",$M$37="REGION 2B",$M$37="REGION 3",$M$37="REGION 3A",$M$37="REGION 3B",$M$37="REGION 3C",$M$37="REGION 4",$M$37="REGION 4B",$M$37="REGION 4C",$M$37="REGION 5",$M$37="REGION 5A")),((0.059228/(B179/100))-(0.4980013/(SQRT(B179/100)))+2.137988),HLOOKUP(MONTH(A179),ScalarTable,28))))</f>
        <v> </v>
      </c>
      <c r="D179" s="398" t="str">
        <f aca="false">IF(A179="N/A"," ",C179*B179)</f>
        <v> </v>
      </c>
      <c r="E179" s="396" t="str">
        <f aca="false">IF(A179="N/A"," ",IF(ISERROR(O179),E167*Pwresc,O179)*VLOOKUP(MONTH(A179),Curveadj,3))</f>
        <v> </v>
      </c>
      <c r="F179" s="398" t="str">
        <f aca="false">IF(A179="N/A"," ",E179*C179)</f>
        <v> </v>
      </c>
      <c r="G179" s="396" t="str">
        <f aca="false">IF(A179="N/A"," ",IF(ISERROR(P179),G167*Pwresc,P179)*VLOOKUP(MONTH(A179),Curveadj,3))</f>
        <v> </v>
      </c>
      <c r="H179" s="398" t="str">
        <f aca="false">IF(A179="N/A"," ",G179*C179)</f>
        <v> </v>
      </c>
      <c r="I179" s="398" t="str">
        <f aca="false">IF(A179="N/A"," ",IF(ISERROR(Q179),I167*Pwresc,Q179))</f>
        <v> </v>
      </c>
      <c r="J179" s="398"/>
      <c r="K179" s="399"/>
      <c r="L179" s="399"/>
      <c r="M179" s="404"/>
      <c r="N179" s="401" t="str">
        <f aca="false">IF(A179="N/A"," ",VLOOKUP(A179,PeakPowerCurves,(IF(BMO2=2,3,IF(BMO2=1,2,4))),FALSE()))</f>
        <v> </v>
      </c>
      <c r="O179" s="401" t="str">
        <f aca="false">IF(A179="N/A"," ",VLOOKUP(A179,SatSunPeakPwr,(IF(BMO2=2,3,IF(BMO2=1,2,4))),FALSE()))</f>
        <v> </v>
      </c>
      <c r="P179" s="401" t="str">
        <f aca="false">IF(A179="N/A"," ",VLOOKUP(A179,SatSunPeakPwr,(IF(BMO2=2,7,IF(BMO2=1,6,8))),FALSE()))</f>
        <v> </v>
      </c>
      <c r="Q179" s="402" t="str">
        <f aca="false">IF(A179="N/A"," ",(VLOOKUP(A179,OPPowerPrices,(IF(BMO2=2,7,IF(BMO2=1,6,8))),FALSE())))</f>
        <v> </v>
      </c>
      <c r="R179" s="403" t="str">
        <f aca="false">IF(A179="N/A"," ",(VLOOKUP($A179,IRTable,2)))</f>
        <v> </v>
      </c>
      <c r="AF179" s="352" t="n">
        <v>41883</v>
      </c>
      <c r="AG179" s="311" t="n">
        <v>21</v>
      </c>
      <c r="AH179" s="311" t="n">
        <v>4</v>
      </c>
      <c r="AI179" s="311" t="n">
        <v>5</v>
      </c>
      <c r="AJ179" s="311" t="n">
        <v>1</v>
      </c>
      <c r="AK179" s="311" t="n">
        <v>30</v>
      </c>
      <c r="AU179" s="406"/>
    </row>
    <row r="180" customFormat="false" ht="12.75" hidden="false" customHeight="false" outlineLevel="0" collapsed="false">
      <c r="A180" s="352" t="str">
        <f aca="false">Option2!A147</f>
        <v>N/A</v>
      </c>
      <c r="B180" s="396" t="str">
        <f aca="false">IF(A180="N/A"," ",IF(ISERROR(N180),B168*Pwresc,N180)*VLOOKUP(MONTH(A180),Curveadj,3))</f>
        <v> </v>
      </c>
      <c r="C180" s="397" t="str">
        <f aca="false">IF(A180="N/A"," ",(IF(AND(Scaler2=1,MONTH(A180)&gt;=6,MONTH(A180)&lt;=8,OR($M$37="REGION 2",$M$37="REGION 2A",$M$37="REGION 2B",$M$37="REGION 3",$M$37="REGION 3A",$M$37="REGION 3B",$M$37="REGION 3C",$M$37="REGION 4",$M$37="REGION 4B",$M$37="REGION 4C",$M$37="REGION 5",$M$37="REGION 5A")),((0.059228/(B180/100))-(0.4980013/(SQRT(B180/100)))+2.137988),HLOOKUP(MONTH(A180),ScalarTable,28))))</f>
        <v> </v>
      </c>
      <c r="D180" s="398" t="str">
        <f aca="false">IF(A180="N/A"," ",C180*B180)</f>
        <v> </v>
      </c>
      <c r="E180" s="396" t="str">
        <f aca="false">IF(A180="N/A"," ",IF(ISERROR(O180),E168*Pwresc,O180)*VLOOKUP(MONTH(A180),Curveadj,3))</f>
        <v> </v>
      </c>
      <c r="F180" s="398" t="str">
        <f aca="false">IF(A180="N/A"," ",E180*C180)</f>
        <v> </v>
      </c>
      <c r="G180" s="396" t="str">
        <f aca="false">IF(A180="N/A"," ",IF(ISERROR(P180),G168*Pwresc,P180)*VLOOKUP(MONTH(A180),Curveadj,3))</f>
        <v> </v>
      </c>
      <c r="H180" s="398" t="str">
        <f aca="false">IF(A180="N/A"," ",G180*C180)</f>
        <v> </v>
      </c>
      <c r="I180" s="398" t="str">
        <f aca="false">IF(A180="N/A"," ",IF(ISERROR(Q180),I168*Pwresc,Q180))</f>
        <v> </v>
      </c>
      <c r="J180" s="398"/>
      <c r="K180" s="399"/>
      <c r="L180" s="399"/>
      <c r="M180" s="404"/>
      <c r="N180" s="401" t="str">
        <f aca="false">IF(A180="N/A"," ",VLOOKUP(A180,PeakPowerCurves,(IF(BMO2=2,3,IF(BMO2=1,2,4))),FALSE()))</f>
        <v> </v>
      </c>
      <c r="O180" s="401" t="str">
        <f aca="false">IF(A180="N/A"," ",VLOOKUP(A180,SatSunPeakPwr,(IF(BMO2=2,3,IF(BMO2=1,2,4))),FALSE()))</f>
        <v> </v>
      </c>
      <c r="P180" s="401" t="str">
        <f aca="false">IF(A180="N/A"," ",VLOOKUP(A180,SatSunPeakPwr,(IF(BMO2=2,7,IF(BMO2=1,6,8))),FALSE()))</f>
        <v> </v>
      </c>
      <c r="Q180" s="402" t="str">
        <f aca="false">IF(A180="N/A"," ",(VLOOKUP(A180,OPPowerPrices,(IF(BMO2=2,7,IF(BMO2=1,6,8))),FALSE())))</f>
        <v> </v>
      </c>
      <c r="R180" s="403" t="str">
        <f aca="false">IF(A180="N/A"," ",(VLOOKUP($A180,IRTable,2)))</f>
        <v> </v>
      </c>
      <c r="AF180" s="352" t="n">
        <v>41913</v>
      </c>
      <c r="AG180" s="311" t="n">
        <v>23</v>
      </c>
      <c r="AH180" s="311" t="n">
        <v>4</v>
      </c>
      <c r="AI180" s="311" t="n">
        <v>4</v>
      </c>
      <c r="AJ180" s="311" t="n">
        <v>0</v>
      </c>
      <c r="AK180" s="311" t="n">
        <v>31</v>
      </c>
      <c r="AU180" s="406"/>
    </row>
    <row r="181" customFormat="false" ht="12.75" hidden="false" customHeight="false" outlineLevel="0" collapsed="false">
      <c r="A181" s="352" t="str">
        <f aca="false">Option2!A148</f>
        <v>N/A</v>
      </c>
      <c r="B181" s="396" t="str">
        <f aca="false">IF(A181="N/A"," ",IF(ISERROR(N181),B169*Pwresc,N181)*VLOOKUP(MONTH(A181),Curveadj,3))</f>
        <v> </v>
      </c>
      <c r="C181" s="397" t="str">
        <f aca="false">IF(A181="N/A"," ",(IF(AND(Scaler2=1,MONTH(A181)&gt;=6,MONTH(A181)&lt;=8,OR($M$37="REGION 2",$M$37="REGION 2A",$M$37="REGION 2B",$M$37="REGION 3",$M$37="REGION 3A",$M$37="REGION 3B",$M$37="REGION 3C",$M$37="REGION 4",$M$37="REGION 4B",$M$37="REGION 4C",$M$37="REGION 5",$M$37="REGION 5A")),((0.059228/(B181/100))-(0.4980013/(SQRT(B181/100)))+2.137988),HLOOKUP(MONTH(A181),ScalarTable,28))))</f>
        <v> </v>
      </c>
      <c r="D181" s="398" t="str">
        <f aca="false">IF(A181="N/A"," ",C181*B181)</f>
        <v> </v>
      </c>
      <c r="E181" s="396" t="str">
        <f aca="false">IF(A181="N/A"," ",IF(ISERROR(O181),E169*Pwresc,O181)*VLOOKUP(MONTH(A181),Curveadj,3))</f>
        <v> </v>
      </c>
      <c r="F181" s="398" t="str">
        <f aca="false">IF(A181="N/A"," ",E181*C181)</f>
        <v> </v>
      </c>
      <c r="G181" s="396" t="str">
        <f aca="false">IF(A181="N/A"," ",IF(ISERROR(P181),G169*Pwresc,P181)*VLOOKUP(MONTH(A181),Curveadj,3))</f>
        <v> </v>
      </c>
      <c r="H181" s="398" t="str">
        <f aca="false">IF(A181="N/A"," ",G181*C181)</f>
        <v> </v>
      </c>
      <c r="I181" s="398" t="str">
        <f aca="false">IF(A181="N/A"," ",IF(ISERROR(Q181),I169*Pwresc,Q181))</f>
        <v> </v>
      </c>
      <c r="J181" s="398"/>
      <c r="K181" s="399"/>
      <c r="L181" s="399"/>
      <c r="M181" s="404"/>
      <c r="N181" s="401" t="str">
        <f aca="false">IF(A181="N/A"," ",VLOOKUP(A181,PeakPowerCurves,(IF(BMO2=2,3,IF(BMO2=1,2,4))),FALSE()))</f>
        <v> </v>
      </c>
      <c r="O181" s="401" t="str">
        <f aca="false">IF(A181="N/A"," ",VLOOKUP(A181,SatSunPeakPwr,(IF(BMO2=2,3,IF(BMO2=1,2,4))),FALSE()))</f>
        <v> </v>
      </c>
      <c r="P181" s="401" t="str">
        <f aca="false">IF(A181="N/A"," ",VLOOKUP(A181,SatSunPeakPwr,(IF(BMO2=2,7,IF(BMO2=1,6,8))),FALSE()))</f>
        <v> </v>
      </c>
      <c r="Q181" s="402" t="str">
        <f aca="false">IF(A181="N/A"," ",(VLOOKUP(A181,OPPowerPrices,(IF(BMO2=2,7,IF(BMO2=1,6,8))),FALSE())))</f>
        <v> </v>
      </c>
      <c r="R181" s="403" t="str">
        <f aca="false">IF(A181="N/A"," ",(VLOOKUP($A181,IRTable,2)))</f>
        <v> </v>
      </c>
      <c r="AF181" s="352" t="n">
        <v>41944</v>
      </c>
      <c r="AG181" s="311" t="n">
        <v>19</v>
      </c>
      <c r="AH181" s="311" t="n">
        <v>5</v>
      </c>
      <c r="AI181" s="311" t="n">
        <v>6</v>
      </c>
      <c r="AJ181" s="311" t="n">
        <v>1</v>
      </c>
      <c r="AK181" s="311" t="n">
        <v>30</v>
      </c>
      <c r="AU181" s="406"/>
    </row>
    <row r="182" customFormat="false" ht="12.75" hidden="false" customHeight="false" outlineLevel="0" collapsed="false">
      <c r="A182" s="352" t="str">
        <f aca="false">Option2!A149</f>
        <v>N/A</v>
      </c>
      <c r="B182" s="396" t="str">
        <f aca="false">IF(A182="N/A"," ",IF(ISERROR(N182),B170*Pwresc,N182)*VLOOKUP(MONTH(A182),Curveadj,3))</f>
        <v> </v>
      </c>
      <c r="C182" s="397" t="str">
        <f aca="false">IF(A182="N/A"," ",(IF(AND(Scaler2=1,MONTH(A182)&gt;=6,MONTH(A182)&lt;=8,OR($M$37="REGION 2",$M$37="REGION 2A",$M$37="REGION 2B",$M$37="REGION 3",$M$37="REGION 3A",$M$37="REGION 3B",$M$37="REGION 3C",$M$37="REGION 4",$M$37="REGION 4B",$M$37="REGION 4C",$M$37="REGION 5",$M$37="REGION 5A")),((0.059228/(B182/100))-(0.4980013/(SQRT(B182/100)))+2.137988),HLOOKUP(MONTH(A182),ScalarTable,28))))</f>
        <v> </v>
      </c>
      <c r="D182" s="398" t="str">
        <f aca="false">IF(A182="N/A"," ",C182*B182)</f>
        <v> </v>
      </c>
      <c r="E182" s="396" t="str">
        <f aca="false">IF(A182="N/A"," ",IF(ISERROR(O182),E170*Pwresc,O182)*VLOOKUP(MONTH(A182),Curveadj,3))</f>
        <v> </v>
      </c>
      <c r="F182" s="398" t="str">
        <f aca="false">IF(A182="N/A"," ",E182*C182)</f>
        <v> </v>
      </c>
      <c r="G182" s="396" t="str">
        <f aca="false">IF(A182="N/A"," ",IF(ISERROR(P182),G170*Pwresc,P182)*VLOOKUP(MONTH(A182),Curveadj,3))</f>
        <v> </v>
      </c>
      <c r="H182" s="398" t="str">
        <f aca="false">IF(A182="N/A"," ",G182*C182)</f>
        <v> </v>
      </c>
      <c r="I182" s="398" t="str">
        <f aca="false">IF(A182="N/A"," ",IF(ISERROR(Q182),I170*Pwresc,Q182))</f>
        <v> </v>
      </c>
      <c r="J182" s="398"/>
      <c r="K182" s="399"/>
      <c r="L182" s="399"/>
      <c r="M182" s="404"/>
      <c r="N182" s="401" t="str">
        <f aca="false">IF(A182="N/A"," ",VLOOKUP(A182,PeakPowerCurves,(IF(BMO2=2,3,IF(BMO2=1,2,4))),FALSE()))</f>
        <v> </v>
      </c>
      <c r="O182" s="401" t="str">
        <f aca="false">IF(A182="N/A"," ",VLOOKUP(A182,SatSunPeakPwr,(IF(BMO2=2,3,IF(BMO2=1,2,4))),FALSE()))</f>
        <v> </v>
      </c>
      <c r="P182" s="401" t="str">
        <f aca="false">IF(A182="N/A"," ",VLOOKUP(A182,SatSunPeakPwr,(IF(BMO2=2,7,IF(BMO2=1,6,8))),FALSE()))</f>
        <v> </v>
      </c>
      <c r="Q182" s="402" t="str">
        <f aca="false">IF(A182="N/A"," ",(VLOOKUP(A182,OPPowerPrices,(IF(BMO2=2,7,IF(BMO2=1,6,8))),FALSE())))</f>
        <v> </v>
      </c>
      <c r="R182" s="403" t="str">
        <f aca="false">IF(A182="N/A"," ",(VLOOKUP($A182,IRTable,2)))</f>
        <v> </v>
      </c>
      <c r="AF182" s="352" t="n">
        <v>41974</v>
      </c>
      <c r="AG182" s="311" t="n">
        <v>22</v>
      </c>
      <c r="AH182" s="311" t="n">
        <v>4</v>
      </c>
      <c r="AI182" s="311" t="n">
        <v>5</v>
      </c>
      <c r="AJ182" s="311" t="n">
        <v>1</v>
      </c>
      <c r="AK182" s="311" t="n">
        <v>31</v>
      </c>
      <c r="AU182" s="406"/>
    </row>
    <row r="183" customFormat="false" ht="12.75" hidden="false" customHeight="false" outlineLevel="0" collapsed="false">
      <c r="A183" s="352" t="str">
        <f aca="false">Option2!A150</f>
        <v>N/A</v>
      </c>
      <c r="B183" s="396" t="str">
        <f aca="false">IF(A183="N/A"," ",IF(ISERROR(N183),B171*Pwresc,N183)*VLOOKUP(MONTH(A183),Curveadj,3))</f>
        <v> </v>
      </c>
      <c r="C183" s="397" t="str">
        <f aca="false">IF(A183="N/A"," ",(IF(AND(Scaler2=1,MONTH(A183)&gt;=6,MONTH(A183)&lt;=8,OR($M$37="REGION 2",$M$37="REGION 2A",$M$37="REGION 2B",$M$37="REGION 3",$M$37="REGION 3A",$M$37="REGION 3B",$M$37="REGION 3C",$M$37="REGION 4",$M$37="REGION 4B",$M$37="REGION 4C",$M$37="REGION 5",$M$37="REGION 5A")),((0.059228/(B183/100))-(0.4980013/(SQRT(B183/100)))+2.137988),HLOOKUP(MONTH(A183),ScalarTable,28))))</f>
        <v> </v>
      </c>
      <c r="D183" s="398" t="str">
        <f aca="false">IF(A183="N/A"," ",C183*B183)</f>
        <v> </v>
      </c>
      <c r="E183" s="396" t="str">
        <f aca="false">IF(A183="N/A"," ",IF(ISERROR(O183),E171*Pwresc,O183)*VLOOKUP(MONTH(A183),Curveadj,3))</f>
        <v> </v>
      </c>
      <c r="F183" s="398" t="str">
        <f aca="false">IF(A183="N/A"," ",E183*C183)</f>
        <v> </v>
      </c>
      <c r="G183" s="396" t="str">
        <f aca="false">IF(A183="N/A"," ",IF(ISERROR(P183),G171*Pwresc,P183)*VLOOKUP(MONTH(A183),Curveadj,3))</f>
        <v> </v>
      </c>
      <c r="H183" s="398" t="str">
        <f aca="false">IF(A183="N/A"," ",G183*C183)</f>
        <v> </v>
      </c>
      <c r="I183" s="398" t="str">
        <f aca="false">IF(A183="N/A"," ",IF(ISERROR(Q183),I171*Pwresc,Q183))</f>
        <v> </v>
      </c>
      <c r="J183" s="398"/>
      <c r="K183" s="399"/>
      <c r="L183" s="399"/>
      <c r="M183" s="404"/>
      <c r="N183" s="401" t="str">
        <f aca="false">IF(A183="N/A"," ",VLOOKUP(A183,PeakPowerCurves,(IF(BMO2=2,3,IF(BMO2=1,2,4))),FALSE()))</f>
        <v> </v>
      </c>
      <c r="O183" s="401" t="str">
        <f aca="false">IF(A183="N/A"," ",VLOOKUP(A183,SatSunPeakPwr,(IF(BMO2=2,3,IF(BMO2=1,2,4))),FALSE()))</f>
        <v> </v>
      </c>
      <c r="P183" s="401" t="str">
        <f aca="false">IF(A183="N/A"," ",VLOOKUP(A183,SatSunPeakPwr,(IF(BMO2=2,7,IF(BMO2=1,6,8))),FALSE()))</f>
        <v> </v>
      </c>
      <c r="Q183" s="402" t="str">
        <f aca="false">IF(A183="N/A"," ",(VLOOKUP(A183,OPPowerPrices,(IF(BMO2=2,7,IF(BMO2=1,6,8))),FALSE())))</f>
        <v> </v>
      </c>
      <c r="R183" s="403" t="str">
        <f aca="false">IF(A183="N/A"," ",(VLOOKUP($A183,IRTable,2)))</f>
        <v> </v>
      </c>
      <c r="AF183" s="352" t="n">
        <v>42005</v>
      </c>
      <c r="AG183" s="311" t="n">
        <v>21</v>
      </c>
      <c r="AH183" s="311" t="n">
        <v>5</v>
      </c>
      <c r="AI183" s="311" t="n">
        <v>5</v>
      </c>
      <c r="AJ183" s="311" t="n">
        <v>1</v>
      </c>
      <c r="AK183" s="311" t="n">
        <v>31</v>
      </c>
      <c r="AU183" s="406"/>
    </row>
    <row r="184" customFormat="false" ht="12.75" hidden="false" customHeight="false" outlineLevel="0" collapsed="false">
      <c r="A184" s="352" t="str">
        <f aca="false">Option2!A151</f>
        <v>N/A</v>
      </c>
      <c r="B184" s="396" t="str">
        <f aca="false">IF(A184="N/A"," ",IF(ISERROR(N184),B172*Pwresc,N184)*VLOOKUP(MONTH(A184),Curveadj,3))</f>
        <v> </v>
      </c>
      <c r="C184" s="397" t="str">
        <f aca="false">IF(A184="N/A"," ",(IF(AND(Scaler2=1,MONTH(A184)&gt;=6,MONTH(A184)&lt;=8,OR($M$37="REGION 2",$M$37="REGION 2A",$M$37="REGION 2B",$M$37="REGION 3",$M$37="REGION 3A",$M$37="REGION 3B",$M$37="REGION 3C",$M$37="REGION 4",$M$37="REGION 4B",$M$37="REGION 4C",$M$37="REGION 5",$M$37="REGION 5A")),((0.059228/(B184/100))-(0.4980013/(SQRT(B184/100)))+2.137988),HLOOKUP(MONTH(A184),ScalarTable,28))))</f>
        <v> </v>
      </c>
      <c r="D184" s="398" t="str">
        <f aca="false">IF(A184="N/A"," ",C184*B184)</f>
        <v> </v>
      </c>
      <c r="E184" s="396" t="str">
        <f aca="false">IF(A184="N/A"," ",IF(ISERROR(O184),E172*Pwresc,O184)*VLOOKUP(MONTH(A184),Curveadj,3))</f>
        <v> </v>
      </c>
      <c r="F184" s="398" t="str">
        <f aca="false">IF(A184="N/A"," ",E184*C184)</f>
        <v> </v>
      </c>
      <c r="G184" s="396" t="str">
        <f aca="false">IF(A184="N/A"," ",IF(ISERROR(P184),G172*Pwresc,P184)*VLOOKUP(MONTH(A184),Curveadj,3))</f>
        <v> </v>
      </c>
      <c r="H184" s="398" t="str">
        <f aca="false">IF(A184="N/A"," ",G184*C184)</f>
        <v> </v>
      </c>
      <c r="I184" s="398" t="str">
        <f aca="false">IF(A184="N/A"," ",IF(ISERROR(Q184),I172*Pwresc,Q184))</f>
        <v> </v>
      </c>
      <c r="J184" s="398"/>
      <c r="K184" s="399"/>
      <c r="L184" s="399"/>
      <c r="M184" s="404"/>
      <c r="N184" s="401" t="str">
        <f aca="false">IF(A184="N/A"," ",VLOOKUP(A184,PeakPowerCurves,(IF(BMO2=2,3,IF(BMO2=1,2,4))),FALSE()))</f>
        <v> </v>
      </c>
      <c r="O184" s="401" t="str">
        <f aca="false">IF(A184="N/A"," ",VLOOKUP(A184,SatSunPeakPwr,(IF(BMO2=2,3,IF(BMO2=1,2,4))),FALSE()))</f>
        <v> </v>
      </c>
      <c r="P184" s="401" t="str">
        <f aca="false">IF(A184="N/A"," ",VLOOKUP(A184,SatSunPeakPwr,(IF(BMO2=2,7,IF(BMO2=1,6,8))),FALSE()))</f>
        <v> </v>
      </c>
      <c r="Q184" s="402" t="str">
        <f aca="false">IF(A184="N/A"," ",(VLOOKUP(A184,OPPowerPrices,(IF(BMO2=2,7,IF(BMO2=1,6,8))),FALSE())))</f>
        <v> </v>
      </c>
      <c r="R184" s="403" t="str">
        <f aca="false">IF(A184="N/A"," ",(VLOOKUP($A184,IRTable,2)))</f>
        <v> </v>
      </c>
      <c r="AF184" s="352" t="n">
        <v>42036</v>
      </c>
      <c r="AG184" s="311" t="n">
        <v>20</v>
      </c>
      <c r="AH184" s="311" t="n">
        <v>4</v>
      </c>
      <c r="AI184" s="311" t="n">
        <v>4</v>
      </c>
      <c r="AJ184" s="311" t="n">
        <v>0</v>
      </c>
      <c r="AK184" s="311" t="n">
        <v>28</v>
      </c>
      <c r="AU184" s="406"/>
    </row>
    <row r="185" customFormat="false" ht="12.75" hidden="false" customHeight="false" outlineLevel="0" collapsed="false">
      <c r="A185" s="352" t="str">
        <f aca="false">Option2!A152</f>
        <v>N/A</v>
      </c>
      <c r="B185" s="396" t="str">
        <f aca="false">IF(A185="N/A"," ",IF(ISERROR(N185),B173*Pwresc,N185)*VLOOKUP(MONTH(A185),Curveadj,3))</f>
        <v> </v>
      </c>
      <c r="C185" s="397" t="str">
        <f aca="false">IF(A185="N/A"," ",(IF(AND(Scaler2=1,MONTH(A185)&gt;=6,MONTH(A185)&lt;=8,OR($M$37="REGION 2",$M$37="REGION 2A",$M$37="REGION 2B",$M$37="REGION 3",$M$37="REGION 3A",$M$37="REGION 3B",$M$37="REGION 3C",$M$37="REGION 4",$M$37="REGION 4B",$M$37="REGION 4C",$M$37="REGION 5",$M$37="REGION 5A")),((0.059228/(B185/100))-(0.4980013/(SQRT(B185/100)))+2.137988),HLOOKUP(MONTH(A185),ScalarTable,28))))</f>
        <v> </v>
      </c>
      <c r="D185" s="398" t="str">
        <f aca="false">IF(A185="N/A"," ",C185*B185)</f>
        <v> </v>
      </c>
      <c r="E185" s="396" t="str">
        <f aca="false">IF(A185="N/A"," ",IF(ISERROR(O185),E173*Pwresc,O185)*VLOOKUP(MONTH(A185),Curveadj,3))</f>
        <v> </v>
      </c>
      <c r="F185" s="398" t="str">
        <f aca="false">IF(A185="N/A"," ",E185*C185)</f>
        <v> </v>
      </c>
      <c r="G185" s="396" t="str">
        <f aca="false">IF(A185="N/A"," ",IF(ISERROR(P185),G173*Pwresc,P185)*VLOOKUP(MONTH(A185),Curveadj,3))</f>
        <v> </v>
      </c>
      <c r="H185" s="398" t="str">
        <f aca="false">IF(A185="N/A"," ",G185*C185)</f>
        <v> </v>
      </c>
      <c r="I185" s="398" t="str">
        <f aca="false">IF(A185="N/A"," ",IF(ISERROR(Q185),I173*Pwresc,Q185))</f>
        <v> </v>
      </c>
      <c r="J185" s="398"/>
      <c r="K185" s="399"/>
      <c r="L185" s="399"/>
      <c r="M185" s="404"/>
      <c r="N185" s="401" t="str">
        <f aca="false">IF(A185="N/A"," ",VLOOKUP(A185,PeakPowerCurves,(IF(BMO2=2,3,IF(BMO2=1,2,4))),FALSE()))</f>
        <v> </v>
      </c>
      <c r="O185" s="401" t="str">
        <f aca="false">IF(A185="N/A"," ",VLOOKUP(A185,SatSunPeakPwr,(IF(BMO2=2,3,IF(BMO2=1,2,4))),FALSE()))</f>
        <v> </v>
      </c>
      <c r="P185" s="401" t="str">
        <f aca="false">IF(A185="N/A"," ",VLOOKUP(A185,SatSunPeakPwr,(IF(BMO2=2,7,IF(BMO2=1,6,8))),FALSE()))</f>
        <v> </v>
      </c>
      <c r="Q185" s="402" t="str">
        <f aca="false">IF(A185="N/A"," ",(VLOOKUP(A185,OPPowerPrices,(IF(BMO2=2,7,IF(BMO2=1,6,8))),FALSE())))</f>
        <v> </v>
      </c>
      <c r="R185" s="403" t="str">
        <f aca="false">IF(A185="N/A"," ",(VLOOKUP($A185,IRTable,2)))</f>
        <v> </v>
      </c>
      <c r="AF185" s="352" t="n">
        <v>42064</v>
      </c>
      <c r="AG185" s="311" t="n">
        <v>22</v>
      </c>
      <c r="AH185" s="311" t="n">
        <v>4</v>
      </c>
      <c r="AI185" s="311" t="n">
        <v>5</v>
      </c>
      <c r="AJ185" s="311" t="n">
        <v>0</v>
      </c>
      <c r="AK185" s="311" t="n">
        <v>31</v>
      </c>
      <c r="AU185" s="406"/>
    </row>
    <row r="186" customFormat="false" ht="12.75" hidden="false" customHeight="false" outlineLevel="0" collapsed="false">
      <c r="A186" s="352" t="str">
        <f aca="false">Option2!A153</f>
        <v>N/A</v>
      </c>
      <c r="B186" s="396" t="str">
        <f aca="false">IF(A186="N/A"," ",IF(ISERROR(N186),B174*Pwresc,N186)*VLOOKUP(MONTH(A186),Curveadj,3))</f>
        <v> </v>
      </c>
      <c r="C186" s="397" t="str">
        <f aca="false">IF(A186="N/A"," ",(IF(AND(Scaler2=1,MONTH(A186)&gt;=6,MONTH(A186)&lt;=8,OR($M$37="REGION 2",$M$37="REGION 2A",$M$37="REGION 2B",$M$37="REGION 3",$M$37="REGION 3A",$M$37="REGION 3B",$M$37="REGION 3C",$M$37="REGION 4",$M$37="REGION 4B",$M$37="REGION 4C",$M$37="REGION 5",$M$37="REGION 5A")),((0.059228/(B186/100))-(0.4980013/(SQRT(B186/100)))+2.137988),HLOOKUP(MONTH(A186),ScalarTable,28))))</f>
        <v> </v>
      </c>
      <c r="D186" s="398" t="str">
        <f aca="false">IF(A186="N/A"," ",C186*B186)</f>
        <v> </v>
      </c>
      <c r="E186" s="396" t="str">
        <f aca="false">IF(A186="N/A"," ",IF(ISERROR(O186),E174*Pwresc,O186)*VLOOKUP(MONTH(A186),Curveadj,3))</f>
        <v> </v>
      </c>
      <c r="F186" s="398" t="str">
        <f aca="false">IF(A186="N/A"," ",E186*C186)</f>
        <v> </v>
      </c>
      <c r="G186" s="396" t="str">
        <f aca="false">IF(A186="N/A"," ",IF(ISERROR(P186),G174*Pwresc,P186)*VLOOKUP(MONTH(A186),Curveadj,3))</f>
        <v> </v>
      </c>
      <c r="H186" s="398" t="str">
        <f aca="false">IF(A186="N/A"," ",G186*C186)</f>
        <v> </v>
      </c>
      <c r="I186" s="398" t="str">
        <f aca="false">IF(A186="N/A"," ",IF(ISERROR(Q186),I174*Pwresc,Q186))</f>
        <v> </v>
      </c>
      <c r="J186" s="398"/>
      <c r="K186" s="399"/>
      <c r="L186" s="399"/>
      <c r="M186" s="404"/>
      <c r="N186" s="401" t="str">
        <f aca="false">IF(A186="N/A"," ",VLOOKUP(A186,PeakPowerCurves,(IF(BMO2=2,3,IF(BMO2=1,2,4))),FALSE()))</f>
        <v> </v>
      </c>
      <c r="O186" s="401" t="str">
        <f aca="false">IF(A186="N/A"," ",VLOOKUP(A186,SatSunPeakPwr,(IF(BMO2=2,3,IF(BMO2=1,2,4))),FALSE()))</f>
        <v> </v>
      </c>
      <c r="P186" s="401" t="str">
        <f aca="false">IF(A186="N/A"," ",VLOOKUP(A186,SatSunPeakPwr,(IF(BMO2=2,7,IF(BMO2=1,6,8))),FALSE()))</f>
        <v> </v>
      </c>
      <c r="Q186" s="402" t="str">
        <f aca="false">IF(A186="N/A"," ",(VLOOKUP(A186,OPPowerPrices,(IF(BMO2=2,7,IF(BMO2=1,6,8))),FALSE())))</f>
        <v> </v>
      </c>
      <c r="R186" s="403" t="str">
        <f aca="false">IF(A186="N/A"," ",(VLOOKUP($A186,IRTable,2)))</f>
        <v> </v>
      </c>
      <c r="AF186" s="352" t="n">
        <v>42095</v>
      </c>
      <c r="AG186" s="311" t="n">
        <v>22</v>
      </c>
      <c r="AH186" s="311" t="n">
        <v>4</v>
      </c>
      <c r="AI186" s="311" t="n">
        <v>4</v>
      </c>
      <c r="AJ186" s="311" t="n">
        <v>0</v>
      </c>
      <c r="AK186" s="311" t="n">
        <v>30</v>
      </c>
      <c r="AU186" s="406"/>
    </row>
    <row r="187" customFormat="false" ht="12.75" hidden="false" customHeight="false" outlineLevel="0" collapsed="false">
      <c r="A187" s="352" t="str">
        <f aca="false">Option2!A154</f>
        <v>N/A</v>
      </c>
      <c r="B187" s="396" t="str">
        <f aca="false">IF(A187="N/A"," ",IF(ISERROR(N187),B175*Pwresc,N187)*VLOOKUP(MONTH(A187),Curveadj,3))</f>
        <v> </v>
      </c>
      <c r="C187" s="397" t="str">
        <f aca="false">IF(A187="N/A"," ",(IF(AND(Scaler2=1,MONTH(A187)&gt;=6,MONTH(A187)&lt;=8,OR($M$37="REGION 2",$M$37="REGION 2A",$M$37="REGION 2B",$M$37="REGION 3",$M$37="REGION 3A",$M$37="REGION 3B",$M$37="REGION 3C",$M$37="REGION 4",$M$37="REGION 4B",$M$37="REGION 4C",$M$37="REGION 5",$M$37="REGION 5A")),((0.059228/(B187/100))-(0.4980013/(SQRT(B187/100)))+2.137988),HLOOKUP(MONTH(A187),ScalarTable,28))))</f>
        <v> </v>
      </c>
      <c r="D187" s="398" t="str">
        <f aca="false">IF(A187="N/A"," ",C187*B187)</f>
        <v> </v>
      </c>
      <c r="E187" s="396" t="str">
        <f aca="false">IF(A187="N/A"," ",IF(ISERROR(O187),E175*Pwresc,O187)*VLOOKUP(MONTH(A187),Curveadj,3))</f>
        <v> </v>
      </c>
      <c r="F187" s="398" t="str">
        <f aca="false">IF(A187="N/A"," ",E187*C187)</f>
        <v> </v>
      </c>
      <c r="G187" s="396" t="str">
        <f aca="false">IF(A187="N/A"," ",IF(ISERROR(P187),G175*Pwresc,P187)*VLOOKUP(MONTH(A187),Curveadj,3))</f>
        <v> </v>
      </c>
      <c r="H187" s="398" t="str">
        <f aca="false">IF(A187="N/A"," ",G187*C187)</f>
        <v> </v>
      </c>
      <c r="I187" s="398" t="str">
        <f aca="false">IF(A187="N/A"," ",IF(ISERROR(Q187),I175*Pwresc,Q187))</f>
        <v> </v>
      </c>
      <c r="J187" s="398"/>
      <c r="K187" s="399"/>
      <c r="L187" s="399"/>
      <c r="M187" s="404"/>
      <c r="N187" s="401" t="str">
        <f aca="false">IF(A187="N/A"," ",VLOOKUP(A187,PeakPowerCurves,(IF(BMO2=2,3,IF(BMO2=1,2,4))),FALSE()))</f>
        <v> </v>
      </c>
      <c r="O187" s="401" t="str">
        <f aca="false">IF(A187="N/A"," ",VLOOKUP(A187,SatSunPeakPwr,(IF(BMO2=2,3,IF(BMO2=1,2,4))),FALSE()))</f>
        <v> </v>
      </c>
      <c r="P187" s="401" t="str">
        <f aca="false">IF(A187="N/A"," ",VLOOKUP(A187,SatSunPeakPwr,(IF(BMO2=2,7,IF(BMO2=1,6,8))),FALSE()))</f>
        <v> </v>
      </c>
      <c r="Q187" s="402" t="str">
        <f aca="false">IF(A187="N/A"," ",(VLOOKUP(A187,OPPowerPrices,(IF(BMO2=2,7,IF(BMO2=1,6,8))),FALSE())))</f>
        <v> </v>
      </c>
      <c r="R187" s="403" t="str">
        <f aca="false">IF(A187="N/A"," ",(VLOOKUP($A187,IRTable,2)))</f>
        <v> </v>
      </c>
      <c r="AF187" s="352" t="n">
        <v>42125</v>
      </c>
      <c r="AG187" s="311" t="n">
        <v>20</v>
      </c>
      <c r="AH187" s="311" t="n">
        <v>5</v>
      </c>
      <c r="AI187" s="311" t="n">
        <v>6</v>
      </c>
      <c r="AJ187" s="311" t="n">
        <v>1</v>
      </c>
      <c r="AK187" s="311" t="n">
        <v>31</v>
      </c>
      <c r="AU187" s="406"/>
    </row>
    <row r="188" customFormat="false" ht="12.75" hidden="false" customHeight="false" outlineLevel="0" collapsed="false">
      <c r="A188" s="352" t="str">
        <f aca="false">Option2!A155</f>
        <v>N/A</v>
      </c>
      <c r="B188" s="396" t="str">
        <f aca="false">IF(A188="N/A"," ",IF(ISERROR(N188),B176*Pwresc,N188)*VLOOKUP(MONTH(A188),Curveadj,3))</f>
        <v> </v>
      </c>
      <c r="C188" s="397" t="str">
        <f aca="false">IF(A188="N/A"," ",(IF(AND(Scaler2=1,MONTH(A188)&gt;=6,MONTH(A188)&lt;=8,OR($M$37="REGION 2",$M$37="REGION 2A",$M$37="REGION 2B",$M$37="REGION 3",$M$37="REGION 3A",$M$37="REGION 3B",$M$37="REGION 3C",$M$37="REGION 4",$M$37="REGION 4B",$M$37="REGION 4C",$M$37="REGION 5",$M$37="REGION 5A")),((0.059228/(B188/100))-(0.4980013/(SQRT(B188/100)))+2.137988),HLOOKUP(MONTH(A188),ScalarTable,28))))</f>
        <v> </v>
      </c>
      <c r="D188" s="398" t="str">
        <f aca="false">IF(A188="N/A"," ",C188*B188)</f>
        <v> </v>
      </c>
      <c r="E188" s="396" t="str">
        <f aca="false">IF(A188="N/A"," ",IF(ISERROR(O188),E176*Pwresc,O188)*VLOOKUP(MONTH(A188),Curveadj,3))</f>
        <v> </v>
      </c>
      <c r="F188" s="398" t="str">
        <f aca="false">IF(A188="N/A"," ",E188*C188)</f>
        <v> </v>
      </c>
      <c r="G188" s="396" t="str">
        <f aca="false">IF(A188="N/A"," ",IF(ISERROR(P188),G176*Pwresc,P188)*VLOOKUP(MONTH(A188),Curveadj,3))</f>
        <v> </v>
      </c>
      <c r="H188" s="398" t="str">
        <f aca="false">IF(A188="N/A"," ",G188*C188)</f>
        <v> </v>
      </c>
      <c r="I188" s="398" t="str">
        <f aca="false">IF(A188="N/A"," ",IF(ISERROR(Q188),I176*Pwresc,Q188))</f>
        <v> </v>
      </c>
      <c r="J188" s="398"/>
      <c r="K188" s="399"/>
      <c r="L188" s="399"/>
      <c r="M188" s="404"/>
      <c r="N188" s="401" t="str">
        <f aca="false">IF(A188="N/A"," ",VLOOKUP(A188,PeakPowerCurves,(IF(BMO2=2,3,IF(BMO2=1,2,4))),FALSE()))</f>
        <v> </v>
      </c>
      <c r="O188" s="401" t="str">
        <f aca="false">IF(A188="N/A"," ",VLOOKUP(A188,SatSunPeakPwr,(IF(BMO2=2,3,IF(BMO2=1,2,4))),FALSE()))</f>
        <v> </v>
      </c>
      <c r="P188" s="401" t="str">
        <f aca="false">IF(A188="N/A"," ",VLOOKUP(A188,SatSunPeakPwr,(IF(BMO2=2,7,IF(BMO2=1,6,8))),FALSE()))</f>
        <v> </v>
      </c>
      <c r="Q188" s="402" t="str">
        <f aca="false">IF(A188="N/A"," ",(VLOOKUP(A188,OPPowerPrices,(IF(BMO2=2,7,IF(BMO2=1,6,8))),FALSE())))</f>
        <v> </v>
      </c>
      <c r="R188" s="403" t="str">
        <f aca="false">IF(A188="N/A"," ",(VLOOKUP($A188,IRTable,2)))</f>
        <v> </v>
      </c>
      <c r="AF188" s="352" t="n">
        <v>42156</v>
      </c>
      <c r="AG188" s="311" t="n">
        <v>22</v>
      </c>
      <c r="AH188" s="311" t="n">
        <v>4</v>
      </c>
      <c r="AI188" s="311" t="n">
        <v>4</v>
      </c>
      <c r="AJ188" s="311" t="n">
        <v>0</v>
      </c>
      <c r="AK188" s="311" t="n">
        <v>30</v>
      </c>
      <c r="AU188" s="406"/>
    </row>
    <row r="189" customFormat="false" ht="12.75" hidden="false" customHeight="false" outlineLevel="0" collapsed="false">
      <c r="A189" s="352" t="str">
        <f aca="false">Option2!A156</f>
        <v>N/A</v>
      </c>
      <c r="B189" s="396" t="str">
        <f aca="false">IF(A189="N/A"," ",IF(ISERROR(N189),B177*Pwresc,N189)*VLOOKUP(MONTH(A189),Curveadj,3))</f>
        <v> </v>
      </c>
      <c r="C189" s="397" t="str">
        <f aca="false">IF(A189="N/A"," ",(IF(AND(Scaler2=1,MONTH(A189)&gt;=6,MONTH(A189)&lt;=8,OR($M$37="REGION 2",$M$37="REGION 2A",$M$37="REGION 2B",$M$37="REGION 3",$M$37="REGION 3A",$M$37="REGION 3B",$M$37="REGION 3C",$M$37="REGION 4",$M$37="REGION 4B",$M$37="REGION 4C",$M$37="REGION 5",$M$37="REGION 5A")),((0.059228/(B189/100))-(0.4980013/(SQRT(B189/100)))+2.137988),HLOOKUP(MONTH(A189),ScalarTable,28))))</f>
        <v> </v>
      </c>
      <c r="D189" s="398" t="str">
        <f aca="false">IF(A189="N/A"," ",C189*B189)</f>
        <v> </v>
      </c>
      <c r="E189" s="396" t="str">
        <f aca="false">IF(A189="N/A"," ",IF(ISERROR(O189),E177*Pwresc,O189)*VLOOKUP(MONTH(A189),Curveadj,3))</f>
        <v> </v>
      </c>
      <c r="F189" s="398" t="str">
        <f aca="false">IF(A189="N/A"," ",E189*C189)</f>
        <v> </v>
      </c>
      <c r="G189" s="396" t="str">
        <f aca="false">IF(A189="N/A"," ",IF(ISERROR(P189),G177*Pwresc,P189)*VLOOKUP(MONTH(A189),Curveadj,3))</f>
        <v> </v>
      </c>
      <c r="H189" s="398" t="str">
        <f aca="false">IF(A189="N/A"," ",G189*C189)</f>
        <v> </v>
      </c>
      <c r="I189" s="398" t="str">
        <f aca="false">IF(A189="N/A"," ",IF(ISERROR(Q189),I177*Pwresc,Q189))</f>
        <v> </v>
      </c>
      <c r="J189" s="398"/>
      <c r="K189" s="399"/>
      <c r="L189" s="399"/>
      <c r="M189" s="404"/>
      <c r="N189" s="401" t="str">
        <f aca="false">IF(A189="N/A"," ",VLOOKUP(A189,PeakPowerCurves,(IF(BMO2=2,3,IF(BMO2=1,2,4))),FALSE()))</f>
        <v> </v>
      </c>
      <c r="O189" s="401" t="str">
        <f aca="false">IF(A189="N/A"," ",VLOOKUP(A189,SatSunPeakPwr,(IF(BMO2=2,3,IF(BMO2=1,2,4))),FALSE()))</f>
        <v> </v>
      </c>
      <c r="P189" s="401" t="str">
        <f aca="false">IF(A189="N/A"," ",VLOOKUP(A189,SatSunPeakPwr,(IF(BMO2=2,7,IF(BMO2=1,6,8))),FALSE()))</f>
        <v> </v>
      </c>
      <c r="Q189" s="402" t="str">
        <f aca="false">IF(A189="N/A"," ",(VLOOKUP(A189,OPPowerPrices,(IF(BMO2=2,7,IF(BMO2=1,6,8))),FALSE())))</f>
        <v> </v>
      </c>
      <c r="R189" s="403" t="str">
        <f aca="false">IF(A189="N/A"," ",(VLOOKUP($A189,IRTable,2)))</f>
        <v> </v>
      </c>
      <c r="AF189" s="352" t="n">
        <v>42186</v>
      </c>
      <c r="AG189" s="311" t="n">
        <v>23</v>
      </c>
      <c r="AH189" s="311" t="n">
        <v>3</v>
      </c>
      <c r="AI189" s="311" t="n">
        <v>5</v>
      </c>
      <c r="AJ189" s="311" t="n">
        <v>1</v>
      </c>
      <c r="AK189" s="311" t="n">
        <v>31</v>
      </c>
      <c r="AU189" s="406"/>
    </row>
    <row r="190" customFormat="false" ht="12.75" hidden="false" customHeight="false" outlineLevel="0" collapsed="false">
      <c r="A190" s="352" t="str">
        <f aca="false">Option2!A157</f>
        <v>N/A</v>
      </c>
      <c r="B190" s="396" t="str">
        <f aca="false">IF(A190="N/A"," ",IF(ISERROR(N190),B178*Pwresc,N190)*VLOOKUP(MONTH(A190),Curveadj,3))</f>
        <v> </v>
      </c>
      <c r="C190" s="397" t="str">
        <f aca="false">IF(A190="N/A"," ",(IF(AND(Scaler2=1,MONTH(A190)&gt;=6,MONTH(A190)&lt;=8,OR($M$37="REGION 2",$M$37="REGION 2A",$M$37="REGION 2B",$M$37="REGION 3",$M$37="REGION 3A",$M$37="REGION 3B",$M$37="REGION 3C",$M$37="REGION 4",$M$37="REGION 4B",$M$37="REGION 4C",$M$37="REGION 5",$M$37="REGION 5A")),((0.059228/(B190/100))-(0.4980013/(SQRT(B190/100)))+2.137988),HLOOKUP(MONTH(A190),ScalarTable,28))))</f>
        <v> </v>
      </c>
      <c r="D190" s="398" t="str">
        <f aca="false">IF(A190="N/A"," ",C190*B190)</f>
        <v> </v>
      </c>
      <c r="E190" s="396" t="str">
        <f aca="false">IF(A190="N/A"," ",IF(ISERROR(O190),E178*Pwresc,O190)*VLOOKUP(MONTH(A190),Curveadj,3))</f>
        <v> </v>
      </c>
      <c r="F190" s="398" t="str">
        <f aca="false">IF(A190="N/A"," ",E190*C190)</f>
        <v> </v>
      </c>
      <c r="G190" s="396" t="str">
        <f aca="false">IF(A190="N/A"," ",IF(ISERROR(P190),G178*Pwresc,P190)*VLOOKUP(MONTH(A190),Curveadj,3))</f>
        <v> </v>
      </c>
      <c r="H190" s="398" t="str">
        <f aca="false">IF(A190="N/A"," ",G190*C190)</f>
        <v> </v>
      </c>
      <c r="I190" s="398" t="str">
        <f aca="false">IF(A190="N/A"," ",IF(ISERROR(Q190),I178*Pwresc,Q190))</f>
        <v> </v>
      </c>
      <c r="J190" s="398"/>
      <c r="K190" s="399"/>
      <c r="L190" s="399"/>
      <c r="M190" s="404"/>
      <c r="N190" s="401" t="str">
        <f aca="false">IF(A190="N/A"," ",VLOOKUP(A190,PeakPowerCurves,(IF(BMO2=2,3,IF(BMO2=1,2,4))),FALSE()))</f>
        <v> </v>
      </c>
      <c r="O190" s="401" t="str">
        <f aca="false">IF(A190="N/A"," ",VLOOKUP(A190,SatSunPeakPwr,(IF(BMO2=2,3,IF(BMO2=1,2,4))),FALSE()))</f>
        <v> </v>
      </c>
      <c r="P190" s="401" t="str">
        <f aca="false">IF(A190="N/A"," ",VLOOKUP(A190,SatSunPeakPwr,(IF(BMO2=2,7,IF(BMO2=1,6,8))),FALSE()))</f>
        <v> </v>
      </c>
      <c r="Q190" s="402" t="str">
        <f aca="false">IF(A190="N/A"," ",(VLOOKUP(A190,OPPowerPrices,(IF(BMO2=2,7,IF(BMO2=1,6,8))),FALSE())))</f>
        <v> </v>
      </c>
      <c r="R190" s="403" t="str">
        <f aca="false">IF(A190="N/A"," ",(VLOOKUP($A190,IRTable,2)))</f>
        <v> </v>
      </c>
      <c r="AF190" s="352" t="n">
        <v>42217</v>
      </c>
      <c r="AG190" s="311" t="n">
        <v>21</v>
      </c>
      <c r="AH190" s="311" t="n">
        <v>5</v>
      </c>
      <c r="AI190" s="311" t="n">
        <v>5</v>
      </c>
      <c r="AJ190" s="311" t="n">
        <v>0</v>
      </c>
      <c r="AK190" s="311" t="n">
        <v>31</v>
      </c>
      <c r="AU190" s="406"/>
    </row>
    <row r="191" customFormat="false" ht="12.75" hidden="false" customHeight="false" outlineLevel="0" collapsed="false">
      <c r="A191" s="352" t="str">
        <f aca="false">Option2!A158</f>
        <v>N/A</v>
      </c>
      <c r="B191" s="396" t="str">
        <f aca="false">IF(A191="N/A"," ",IF(ISERROR(N191),B179*Pwresc,N191)*VLOOKUP(MONTH(A191),Curveadj,3))</f>
        <v> </v>
      </c>
      <c r="C191" s="397" t="str">
        <f aca="false">IF(A191="N/A"," ",(IF(AND(Scaler2=1,MONTH(A191)&gt;=6,MONTH(A191)&lt;=8,OR($M$37="REGION 2",$M$37="REGION 2A",$M$37="REGION 2B",$M$37="REGION 3",$M$37="REGION 3A",$M$37="REGION 3B",$M$37="REGION 3C",$M$37="REGION 4",$M$37="REGION 4B",$M$37="REGION 4C",$M$37="REGION 5",$M$37="REGION 5A")),((0.059228/(B191/100))-(0.4980013/(SQRT(B191/100)))+2.137988),HLOOKUP(MONTH(A191),ScalarTable,28))))</f>
        <v> </v>
      </c>
      <c r="D191" s="398" t="str">
        <f aca="false">IF(A191="N/A"," ",C191*B191)</f>
        <v> </v>
      </c>
      <c r="E191" s="396" t="str">
        <f aca="false">IF(A191="N/A"," ",IF(ISERROR(O191),E179*Pwresc,O191)*VLOOKUP(MONTH(A191),Curveadj,3))</f>
        <v> </v>
      </c>
      <c r="F191" s="398" t="str">
        <f aca="false">IF(A191="N/A"," ",E191*C191)</f>
        <v> </v>
      </c>
      <c r="G191" s="396" t="str">
        <f aca="false">IF(A191="N/A"," ",IF(ISERROR(P191),G179*Pwresc,P191)*VLOOKUP(MONTH(A191),Curveadj,3))</f>
        <v> </v>
      </c>
      <c r="H191" s="398" t="str">
        <f aca="false">IF(A191="N/A"," ",G191*C191)</f>
        <v> </v>
      </c>
      <c r="I191" s="398" t="str">
        <f aca="false">IF(A191="N/A"," ",IF(ISERROR(Q191),I179*Pwresc,Q191))</f>
        <v> </v>
      </c>
      <c r="J191" s="398"/>
      <c r="K191" s="399"/>
      <c r="L191" s="399"/>
      <c r="M191" s="404"/>
      <c r="N191" s="401" t="str">
        <f aca="false">IF(A191="N/A"," ",VLOOKUP(A191,PeakPowerCurves,(IF(BMO2=2,3,IF(BMO2=1,2,4))),FALSE()))</f>
        <v> </v>
      </c>
      <c r="O191" s="401" t="str">
        <f aca="false">IF(A191="N/A"," ",VLOOKUP(A191,SatSunPeakPwr,(IF(BMO2=2,3,IF(BMO2=1,2,4))),FALSE()))</f>
        <v> </v>
      </c>
      <c r="P191" s="401" t="str">
        <f aca="false">IF(A191="N/A"," ",VLOOKUP(A191,SatSunPeakPwr,(IF(BMO2=2,7,IF(BMO2=1,6,8))),FALSE()))</f>
        <v> </v>
      </c>
      <c r="Q191" s="402" t="str">
        <f aca="false">IF(A191="N/A"," ",(VLOOKUP(A191,OPPowerPrices,(IF(BMO2=2,7,IF(BMO2=1,6,8))),FALSE())))</f>
        <v> </v>
      </c>
      <c r="R191" s="403" t="str">
        <f aca="false">IF(A191="N/A"," ",(VLOOKUP($A191,IRTable,2)))</f>
        <v> </v>
      </c>
      <c r="AF191" s="352" t="n">
        <v>42248</v>
      </c>
      <c r="AG191" s="311" t="n">
        <v>21</v>
      </c>
      <c r="AH191" s="311" t="n">
        <v>4</v>
      </c>
      <c r="AI191" s="311" t="n">
        <v>5</v>
      </c>
      <c r="AJ191" s="311" t="n">
        <v>1</v>
      </c>
      <c r="AK191" s="311" t="n">
        <v>30</v>
      </c>
      <c r="AU191" s="406"/>
    </row>
    <row r="192" customFormat="false" ht="12.75" hidden="false" customHeight="false" outlineLevel="0" collapsed="false">
      <c r="A192" s="352" t="str">
        <f aca="false">Option2!A159</f>
        <v>N/A</v>
      </c>
      <c r="B192" s="396" t="str">
        <f aca="false">IF(A192="N/A"," ",IF(ISERROR(N192),B180*Pwresc,N192)*VLOOKUP(MONTH(A192),Curveadj,3))</f>
        <v> </v>
      </c>
      <c r="C192" s="397" t="str">
        <f aca="false">IF(A192="N/A"," ",(IF(AND(Scaler2=1,MONTH(A192)&gt;=6,MONTH(A192)&lt;=8,OR($M$37="REGION 2",$M$37="REGION 2A",$M$37="REGION 2B",$M$37="REGION 3",$M$37="REGION 3A",$M$37="REGION 3B",$M$37="REGION 3C",$M$37="REGION 4",$M$37="REGION 4B",$M$37="REGION 4C",$M$37="REGION 5",$M$37="REGION 5A")),((0.059228/(B192/100))-(0.4980013/(SQRT(B192/100)))+2.137988),HLOOKUP(MONTH(A192),ScalarTable,28))))</f>
        <v> </v>
      </c>
      <c r="D192" s="398" t="str">
        <f aca="false">IF(A192="N/A"," ",C192*B192)</f>
        <v> </v>
      </c>
      <c r="E192" s="396" t="str">
        <f aca="false">IF(A192="N/A"," ",IF(ISERROR(O192),E180*Pwresc,O192)*VLOOKUP(MONTH(A192),Curveadj,3))</f>
        <v> </v>
      </c>
      <c r="F192" s="398" t="str">
        <f aca="false">IF(A192="N/A"," ",E192*C192)</f>
        <v> </v>
      </c>
      <c r="G192" s="396" t="str">
        <f aca="false">IF(A192="N/A"," ",IF(ISERROR(P192),G180*Pwresc,P192)*VLOOKUP(MONTH(A192),Curveadj,3))</f>
        <v> </v>
      </c>
      <c r="H192" s="398" t="str">
        <f aca="false">IF(A192="N/A"," ",G192*C192)</f>
        <v> </v>
      </c>
      <c r="I192" s="398" t="str">
        <f aca="false">IF(A192="N/A"," ",IF(ISERROR(Q192),I180*Pwresc,Q192))</f>
        <v> </v>
      </c>
      <c r="J192" s="398"/>
      <c r="K192" s="399"/>
      <c r="L192" s="399"/>
      <c r="M192" s="404"/>
      <c r="N192" s="401" t="str">
        <f aca="false">IF(A192="N/A"," ",VLOOKUP(A192,PeakPowerCurves,(IF(BMO2=2,3,IF(BMO2=1,2,4))),FALSE()))</f>
        <v> </v>
      </c>
      <c r="O192" s="401" t="str">
        <f aca="false">IF(A192="N/A"," ",VLOOKUP(A192,SatSunPeakPwr,(IF(BMO2=2,3,IF(BMO2=1,2,4))),FALSE()))</f>
        <v> </v>
      </c>
      <c r="P192" s="401" t="str">
        <f aca="false">IF(A192="N/A"," ",VLOOKUP(A192,SatSunPeakPwr,(IF(BMO2=2,7,IF(BMO2=1,6,8))),FALSE()))</f>
        <v> </v>
      </c>
      <c r="Q192" s="402" t="str">
        <f aca="false">IF(A192="N/A"," ",(VLOOKUP(A192,OPPowerPrices,(IF(BMO2=2,7,IF(BMO2=1,6,8))),FALSE())))</f>
        <v> </v>
      </c>
      <c r="R192" s="403" t="str">
        <f aca="false">IF(A192="N/A"," ",(VLOOKUP($A192,IRTable,2)))</f>
        <v> </v>
      </c>
      <c r="AF192" s="352" t="n">
        <v>42278</v>
      </c>
      <c r="AG192" s="311" t="n">
        <v>22</v>
      </c>
      <c r="AH192" s="311" t="n">
        <v>5</v>
      </c>
      <c r="AI192" s="311" t="n">
        <v>4</v>
      </c>
      <c r="AJ192" s="311" t="n">
        <v>0</v>
      </c>
      <c r="AK192" s="311" t="n">
        <v>31</v>
      </c>
      <c r="AU192" s="406"/>
    </row>
    <row r="193" customFormat="false" ht="12.75" hidden="false" customHeight="false" outlineLevel="0" collapsed="false">
      <c r="A193" s="352" t="str">
        <f aca="false">Option2!A160</f>
        <v>N/A</v>
      </c>
      <c r="B193" s="396" t="str">
        <f aca="false">IF(A193="N/A"," ",IF(ISERROR(N193),B181*Pwresc,N193)*VLOOKUP(MONTH(A193),Curveadj,3))</f>
        <v> </v>
      </c>
      <c r="C193" s="397" t="str">
        <f aca="false">IF(A193="N/A"," ",(IF(AND(Scaler2=1,MONTH(A193)&gt;=6,MONTH(A193)&lt;=8,OR($M$37="REGION 2",$M$37="REGION 2A",$M$37="REGION 2B",$M$37="REGION 3",$M$37="REGION 3A",$M$37="REGION 3B",$M$37="REGION 3C",$M$37="REGION 4",$M$37="REGION 4B",$M$37="REGION 4C",$M$37="REGION 5",$M$37="REGION 5A")),((0.059228/(B193/100))-(0.4980013/(SQRT(B193/100)))+2.137988),HLOOKUP(MONTH(A193),ScalarTable,28))))</f>
        <v> </v>
      </c>
      <c r="D193" s="398" t="str">
        <f aca="false">IF(A193="N/A"," ",C193*B193)</f>
        <v> </v>
      </c>
      <c r="E193" s="396" t="str">
        <f aca="false">IF(A193="N/A"," ",IF(ISERROR(O193),E181*Pwresc,O193)*VLOOKUP(MONTH(A193),Curveadj,3))</f>
        <v> </v>
      </c>
      <c r="F193" s="398" t="str">
        <f aca="false">IF(A193="N/A"," ",E193*C193)</f>
        <v> </v>
      </c>
      <c r="G193" s="396" t="str">
        <f aca="false">IF(A193="N/A"," ",IF(ISERROR(P193),G181*Pwresc,P193)*VLOOKUP(MONTH(A193),Curveadj,3))</f>
        <v> </v>
      </c>
      <c r="H193" s="398" t="str">
        <f aca="false">IF(A193="N/A"," ",G193*C193)</f>
        <v> </v>
      </c>
      <c r="I193" s="398" t="str">
        <f aca="false">IF(A193="N/A"," ",IF(ISERROR(Q193),I181*Pwresc,Q193))</f>
        <v> </v>
      </c>
      <c r="J193" s="398"/>
      <c r="K193" s="399"/>
      <c r="L193" s="399"/>
      <c r="M193" s="404"/>
      <c r="N193" s="401" t="str">
        <f aca="false">IF(A193="N/A"," ",VLOOKUP(A193,PeakPowerCurves,(IF(BMO2=2,3,IF(BMO2=1,2,4))),FALSE()))</f>
        <v> </v>
      </c>
      <c r="O193" s="401" t="str">
        <f aca="false">IF(A193="N/A"," ",VLOOKUP(A193,SatSunPeakPwr,(IF(BMO2=2,3,IF(BMO2=1,2,4))),FALSE()))</f>
        <v> </v>
      </c>
      <c r="P193" s="401" t="str">
        <f aca="false">IF(A193="N/A"," ",VLOOKUP(A193,SatSunPeakPwr,(IF(BMO2=2,7,IF(BMO2=1,6,8))),FALSE()))</f>
        <v> </v>
      </c>
      <c r="Q193" s="402" t="str">
        <f aca="false">IF(A193="N/A"," ",(VLOOKUP(A193,OPPowerPrices,(IF(BMO2=2,7,IF(BMO2=1,6,8))),FALSE())))</f>
        <v> </v>
      </c>
      <c r="R193" s="403" t="str">
        <f aca="false">IF(A193="N/A"," ",(VLOOKUP($A193,IRTable,2)))</f>
        <v> </v>
      </c>
      <c r="AF193" s="352" t="n">
        <v>42309</v>
      </c>
      <c r="AG193" s="311" t="n">
        <v>20</v>
      </c>
      <c r="AH193" s="311" t="n">
        <v>4</v>
      </c>
      <c r="AI193" s="311" t="n">
        <v>6</v>
      </c>
      <c r="AJ193" s="311" t="n">
        <v>1</v>
      </c>
      <c r="AK193" s="311" t="n">
        <v>30</v>
      </c>
      <c r="AU193" s="406"/>
    </row>
    <row r="194" customFormat="false" ht="12.75" hidden="false" customHeight="false" outlineLevel="0" collapsed="false">
      <c r="A194" s="352" t="str">
        <f aca="false">Option2!A161</f>
        <v>N/A</v>
      </c>
      <c r="B194" s="396" t="str">
        <f aca="false">IF(A194="N/A"," ",IF(ISERROR(N194),B182*Pwresc,N194)*VLOOKUP(MONTH(A194),Curveadj,3))</f>
        <v> </v>
      </c>
      <c r="C194" s="397" t="str">
        <f aca="false">IF(A194="N/A"," ",(IF(AND(Scaler2=1,MONTH(A194)&gt;=6,MONTH(A194)&lt;=8,OR($M$37="REGION 2",$M$37="REGION 2A",$M$37="REGION 2B",$M$37="REGION 3",$M$37="REGION 3A",$M$37="REGION 3B",$M$37="REGION 3C",$M$37="REGION 4",$M$37="REGION 4B",$M$37="REGION 4C",$M$37="REGION 5",$M$37="REGION 5A")),((0.059228/(B194/100))-(0.4980013/(SQRT(B194/100)))+2.137988),HLOOKUP(MONTH(A194),ScalarTable,28))))</f>
        <v> </v>
      </c>
      <c r="D194" s="398" t="str">
        <f aca="false">IF(A194="N/A"," ",C194*B194)</f>
        <v> </v>
      </c>
      <c r="E194" s="396" t="str">
        <f aca="false">IF(A194="N/A"," ",IF(ISERROR(O194),E182*Pwresc,O194)*VLOOKUP(MONTH(A194),Curveadj,3))</f>
        <v> </v>
      </c>
      <c r="F194" s="398" t="str">
        <f aca="false">IF(A194="N/A"," ",E194*C194)</f>
        <v> </v>
      </c>
      <c r="G194" s="396" t="str">
        <f aca="false">IF(A194="N/A"," ",IF(ISERROR(P194),G182*Pwresc,P194)*VLOOKUP(MONTH(A194),Curveadj,3))</f>
        <v> </v>
      </c>
      <c r="H194" s="398" t="str">
        <f aca="false">IF(A194="N/A"," ",G194*C194)</f>
        <v> </v>
      </c>
      <c r="I194" s="398" t="str">
        <f aca="false">IF(A194="N/A"," ",IF(ISERROR(Q194),I182*Pwresc,Q194))</f>
        <v> </v>
      </c>
      <c r="J194" s="398"/>
      <c r="K194" s="399"/>
      <c r="L194" s="399"/>
      <c r="M194" s="404"/>
      <c r="N194" s="401" t="str">
        <f aca="false">IF(A194="N/A"," ",VLOOKUP(A194,PeakPowerCurves,(IF(BMO2=2,3,IF(BMO2=1,2,4))),FALSE()))</f>
        <v> </v>
      </c>
      <c r="O194" s="401" t="str">
        <f aca="false">IF(A194="N/A"," ",VLOOKUP(A194,SatSunPeakPwr,(IF(BMO2=2,3,IF(BMO2=1,2,4))),FALSE()))</f>
        <v> </v>
      </c>
      <c r="P194" s="401" t="str">
        <f aca="false">IF(A194="N/A"," ",VLOOKUP(A194,SatSunPeakPwr,(IF(BMO2=2,7,IF(BMO2=1,6,8))),FALSE()))</f>
        <v> </v>
      </c>
      <c r="Q194" s="402" t="str">
        <f aca="false">IF(A194="N/A"," ",(VLOOKUP(A194,OPPowerPrices,(IF(BMO2=2,7,IF(BMO2=1,6,8))),FALSE())))</f>
        <v> </v>
      </c>
      <c r="R194" s="403" t="str">
        <f aca="false">IF(A194="N/A"," ",(VLOOKUP($A194,IRTable,2)))</f>
        <v> </v>
      </c>
      <c r="AF194" s="352" t="n">
        <v>42339</v>
      </c>
      <c r="AG194" s="311" t="n">
        <v>22</v>
      </c>
      <c r="AH194" s="311" t="n">
        <v>4</v>
      </c>
      <c r="AI194" s="311" t="n">
        <v>5</v>
      </c>
      <c r="AJ194" s="311" t="n">
        <v>1</v>
      </c>
      <c r="AK194" s="311" t="n">
        <v>31</v>
      </c>
      <c r="AU194" s="406"/>
    </row>
    <row r="195" customFormat="false" ht="12.75" hidden="false" customHeight="false" outlineLevel="0" collapsed="false">
      <c r="A195" s="352" t="str">
        <f aca="false">Option2!A162</f>
        <v>N/A</v>
      </c>
      <c r="B195" s="396" t="str">
        <f aca="false">IF(A195="N/A"," ",IF(ISERROR(N195),B183*Pwresc,N195)*VLOOKUP(MONTH(A195),Curveadj,3))</f>
        <v> </v>
      </c>
      <c r="C195" s="397" t="str">
        <f aca="false">IF(A195="N/A"," ",(IF(AND(Scaler2=1,MONTH(A195)&gt;=6,MONTH(A195)&lt;=8,OR($M$37="REGION 2",$M$37="REGION 2A",$M$37="REGION 2B",$M$37="REGION 3",$M$37="REGION 3A",$M$37="REGION 3B",$M$37="REGION 3C",$M$37="REGION 4",$M$37="REGION 4B",$M$37="REGION 4C",$M$37="REGION 5",$M$37="REGION 5A")),((0.059228/(B195/100))-(0.4980013/(SQRT(B195/100)))+2.137988),HLOOKUP(MONTH(A195),ScalarTable,28))))</f>
        <v> </v>
      </c>
      <c r="D195" s="398" t="str">
        <f aca="false">IF(A195="N/A"," ",C195*B195)</f>
        <v> </v>
      </c>
      <c r="E195" s="396" t="str">
        <f aca="false">IF(A195="N/A"," ",IF(ISERROR(O195),E183*Pwresc,O195)*VLOOKUP(MONTH(A195),Curveadj,3))</f>
        <v> </v>
      </c>
      <c r="F195" s="398" t="str">
        <f aca="false">IF(A195="N/A"," ",E195*C195)</f>
        <v> </v>
      </c>
      <c r="G195" s="396" t="str">
        <f aca="false">IF(A195="N/A"," ",IF(ISERROR(P195),G183*Pwresc,P195)*VLOOKUP(MONTH(A195),Curveadj,3))</f>
        <v> </v>
      </c>
      <c r="H195" s="398" t="str">
        <f aca="false">IF(A195="N/A"," ",G195*C195)</f>
        <v> </v>
      </c>
      <c r="I195" s="398" t="str">
        <f aca="false">IF(A195="N/A"," ",IF(ISERROR(Q195),I183*Pwresc,Q195))</f>
        <v> </v>
      </c>
      <c r="J195" s="398"/>
      <c r="K195" s="399"/>
      <c r="L195" s="399"/>
      <c r="M195" s="404"/>
      <c r="N195" s="401" t="str">
        <f aca="false">IF(A195="N/A"," ",VLOOKUP(A195,PeakPowerCurves,(IF(BMO2=2,3,IF(BMO2=1,2,4))),FALSE()))</f>
        <v> </v>
      </c>
      <c r="O195" s="401" t="str">
        <f aca="false">IF(A195="N/A"," ",VLOOKUP(A195,SatSunPeakPwr,(IF(BMO2=2,3,IF(BMO2=1,2,4))),FALSE()))</f>
        <v> </v>
      </c>
      <c r="P195" s="401" t="str">
        <f aca="false">IF(A195="N/A"," ",VLOOKUP(A195,SatSunPeakPwr,(IF(BMO2=2,7,IF(BMO2=1,6,8))),FALSE()))</f>
        <v> </v>
      </c>
      <c r="Q195" s="402" t="str">
        <f aca="false">IF(A195="N/A"," ",(VLOOKUP(A195,OPPowerPrices,(IF(BMO2=2,7,IF(BMO2=1,6,8))),FALSE())))</f>
        <v> </v>
      </c>
      <c r="R195" s="403" t="str">
        <f aca="false">IF(A195="N/A"," ",(VLOOKUP($A195,IRTable,2)))</f>
        <v> </v>
      </c>
      <c r="AF195" s="352" t="n">
        <v>42370</v>
      </c>
      <c r="AG195" s="311" t="n">
        <v>20</v>
      </c>
      <c r="AH195" s="311" t="n">
        <v>5</v>
      </c>
      <c r="AI195" s="311" t="n">
        <v>6</v>
      </c>
      <c r="AJ195" s="311" t="n">
        <v>1</v>
      </c>
      <c r="AK195" s="311" t="n">
        <v>31</v>
      </c>
      <c r="AU195" s="406"/>
    </row>
    <row r="196" customFormat="false" ht="12.75" hidden="false" customHeight="false" outlineLevel="0" collapsed="false">
      <c r="A196" s="352" t="str">
        <f aca="false">Option2!A163</f>
        <v>N/A</v>
      </c>
      <c r="B196" s="396" t="str">
        <f aca="false">IF(A196="N/A"," ",IF(ISERROR(N196),B184*Pwresc,N196)*VLOOKUP(MONTH(A196),Curveadj,3))</f>
        <v> </v>
      </c>
      <c r="C196" s="397" t="str">
        <f aca="false">IF(A196="N/A"," ",(IF(AND(Scaler2=1,MONTH(A196)&gt;=6,MONTH(A196)&lt;=8,OR($M$37="REGION 2",$M$37="REGION 2A",$M$37="REGION 2B",$M$37="REGION 3",$M$37="REGION 3A",$M$37="REGION 3B",$M$37="REGION 3C",$M$37="REGION 4",$M$37="REGION 4B",$M$37="REGION 4C",$M$37="REGION 5",$M$37="REGION 5A")),((0.059228/(B196/100))-(0.4980013/(SQRT(B196/100)))+2.137988),HLOOKUP(MONTH(A196),ScalarTable,28))))</f>
        <v> </v>
      </c>
      <c r="D196" s="398" t="str">
        <f aca="false">IF(A196="N/A"," ",C196*B196)</f>
        <v> </v>
      </c>
      <c r="E196" s="396" t="str">
        <f aca="false">IF(A196="N/A"," ",IF(ISERROR(O196),E184*Pwresc,O196)*VLOOKUP(MONTH(A196),Curveadj,3))</f>
        <v> </v>
      </c>
      <c r="F196" s="398" t="str">
        <f aca="false">IF(A196="N/A"," ",E196*C196)</f>
        <v> </v>
      </c>
      <c r="G196" s="396" t="str">
        <f aca="false">IF(A196="N/A"," ",IF(ISERROR(P196),G184*Pwresc,P196)*VLOOKUP(MONTH(A196),Curveadj,3))</f>
        <v> </v>
      </c>
      <c r="H196" s="398" t="str">
        <f aca="false">IF(A196="N/A"," ",G196*C196)</f>
        <v> </v>
      </c>
      <c r="I196" s="398" t="str">
        <f aca="false">IF(A196="N/A"," ",IF(ISERROR(Q196),I184*Pwresc,Q196))</f>
        <v> </v>
      </c>
      <c r="J196" s="398"/>
      <c r="K196" s="399"/>
      <c r="L196" s="399"/>
      <c r="M196" s="404"/>
      <c r="N196" s="401" t="str">
        <f aca="false">IF(A196="N/A"," ",VLOOKUP(A196,PeakPowerCurves,(IF(BMO2=2,3,IF(BMO2=1,2,4))),FALSE()))</f>
        <v> </v>
      </c>
      <c r="O196" s="401" t="str">
        <f aca="false">IF(A196="N/A"," ",VLOOKUP(A196,SatSunPeakPwr,(IF(BMO2=2,3,IF(BMO2=1,2,4))),FALSE()))</f>
        <v> </v>
      </c>
      <c r="P196" s="401" t="str">
        <f aca="false">IF(A196="N/A"," ",VLOOKUP(A196,SatSunPeakPwr,(IF(BMO2=2,7,IF(BMO2=1,6,8))),FALSE()))</f>
        <v> </v>
      </c>
      <c r="Q196" s="402" t="str">
        <f aca="false">IF(A196="N/A"," ",(VLOOKUP(A196,OPPowerPrices,(IF(BMO2=2,7,IF(BMO2=1,6,8))),FALSE())))</f>
        <v> </v>
      </c>
      <c r="R196" s="403" t="str">
        <f aca="false">IF(A196="N/A"," ",(VLOOKUP($A196,IRTable,2)))</f>
        <v> </v>
      </c>
      <c r="AF196" s="352" t="n">
        <v>42401</v>
      </c>
      <c r="AG196" s="311" t="n">
        <v>21</v>
      </c>
      <c r="AH196" s="311" t="n">
        <v>4</v>
      </c>
      <c r="AI196" s="311" t="n">
        <v>4</v>
      </c>
      <c r="AJ196" s="311" t="n">
        <v>0</v>
      </c>
      <c r="AK196" s="311" t="n">
        <v>29</v>
      </c>
      <c r="AU196" s="406"/>
    </row>
    <row r="197" customFormat="false" ht="12.75" hidden="false" customHeight="false" outlineLevel="0" collapsed="false">
      <c r="A197" s="352" t="str">
        <f aca="false">Option2!A164</f>
        <v>N/A</v>
      </c>
      <c r="B197" s="396" t="str">
        <f aca="false">IF(A197="N/A"," ",IF(ISERROR(N197),B185*Pwresc,N197)*VLOOKUP(MONTH(A197),Curveadj,3))</f>
        <v> </v>
      </c>
      <c r="C197" s="397" t="str">
        <f aca="false">IF(A197="N/A"," ",(IF(AND(Scaler2=1,MONTH(A197)&gt;=6,MONTH(A197)&lt;=8,OR($M$37="REGION 2",$M$37="REGION 2A",$M$37="REGION 2B",$M$37="REGION 3",$M$37="REGION 3A",$M$37="REGION 3B",$M$37="REGION 3C",$M$37="REGION 4",$M$37="REGION 4B",$M$37="REGION 4C",$M$37="REGION 5",$M$37="REGION 5A")),((0.059228/(B197/100))-(0.4980013/(SQRT(B197/100)))+2.137988),HLOOKUP(MONTH(A197),ScalarTable,28))))</f>
        <v> </v>
      </c>
      <c r="D197" s="398" t="str">
        <f aca="false">IF(A197="N/A"," ",C197*B197)</f>
        <v> </v>
      </c>
      <c r="E197" s="396" t="str">
        <f aca="false">IF(A197="N/A"," ",IF(ISERROR(O197),E185*Pwresc,O197)*VLOOKUP(MONTH(A197),Curveadj,3))</f>
        <v> </v>
      </c>
      <c r="F197" s="398" t="str">
        <f aca="false">IF(A197="N/A"," ",E197*C197)</f>
        <v> </v>
      </c>
      <c r="G197" s="396" t="str">
        <f aca="false">IF(A197="N/A"," ",IF(ISERROR(P197),G185*Pwresc,P197)*VLOOKUP(MONTH(A197),Curveadj,3))</f>
        <v> </v>
      </c>
      <c r="H197" s="398" t="str">
        <f aca="false">IF(A197="N/A"," ",G197*C197)</f>
        <v> </v>
      </c>
      <c r="I197" s="398" t="str">
        <f aca="false">IF(A197="N/A"," ",IF(ISERROR(Q197),I185*Pwresc,Q197))</f>
        <v> </v>
      </c>
      <c r="J197" s="398"/>
      <c r="K197" s="399"/>
      <c r="L197" s="399"/>
      <c r="M197" s="404"/>
      <c r="N197" s="401" t="str">
        <f aca="false">IF(A197="N/A"," ",VLOOKUP(A197,PeakPowerCurves,(IF(BMO2=2,3,IF(BMO2=1,2,4))),FALSE()))</f>
        <v> </v>
      </c>
      <c r="O197" s="401" t="str">
        <f aca="false">IF(A197="N/A"," ",VLOOKUP(A197,SatSunPeakPwr,(IF(BMO2=2,3,IF(BMO2=1,2,4))),FALSE()))</f>
        <v> </v>
      </c>
      <c r="P197" s="401" t="str">
        <f aca="false">IF(A197="N/A"," ",VLOOKUP(A197,SatSunPeakPwr,(IF(BMO2=2,7,IF(BMO2=1,6,8))),FALSE()))</f>
        <v> </v>
      </c>
      <c r="Q197" s="402" t="str">
        <f aca="false">IF(A197="N/A"," ",(VLOOKUP(A197,OPPowerPrices,(IF(BMO2=2,7,IF(BMO2=1,6,8))),FALSE())))</f>
        <v> </v>
      </c>
      <c r="R197" s="403" t="str">
        <f aca="false">IF(A197="N/A"," ",(VLOOKUP($A197,IRTable,2)))</f>
        <v> </v>
      </c>
      <c r="AF197" s="352" t="n">
        <v>42430</v>
      </c>
      <c r="AG197" s="311" t="n">
        <v>23</v>
      </c>
      <c r="AH197" s="311" t="n">
        <v>4</v>
      </c>
      <c r="AI197" s="311" t="n">
        <v>4</v>
      </c>
      <c r="AJ197" s="311" t="n">
        <v>0</v>
      </c>
      <c r="AK197" s="311" t="n">
        <v>31</v>
      </c>
      <c r="AU197" s="406"/>
    </row>
    <row r="198" customFormat="false" ht="12.75" hidden="false" customHeight="false" outlineLevel="0" collapsed="false">
      <c r="A198" s="352" t="str">
        <f aca="false">Option2!A165</f>
        <v>N/A</v>
      </c>
      <c r="B198" s="396" t="str">
        <f aca="false">IF(A198="N/A"," ",IF(ISERROR(N198),B186*Pwresc,N198)*VLOOKUP(MONTH(A198),Curveadj,3))</f>
        <v> </v>
      </c>
      <c r="C198" s="397" t="str">
        <f aca="false">IF(A198="N/A"," ",(IF(AND(Scaler2=1,MONTH(A198)&gt;=6,MONTH(A198)&lt;=8,OR($M$37="REGION 2",$M$37="REGION 2A",$M$37="REGION 2B",$M$37="REGION 3",$M$37="REGION 3A",$M$37="REGION 3B",$M$37="REGION 3C",$M$37="REGION 4",$M$37="REGION 4B",$M$37="REGION 4C",$M$37="REGION 5",$M$37="REGION 5A")),((0.059228/(B198/100))-(0.4980013/(SQRT(B198/100)))+2.137988),HLOOKUP(MONTH(A198),ScalarTable,28))))</f>
        <v> </v>
      </c>
      <c r="D198" s="398" t="str">
        <f aca="false">IF(A198="N/A"," ",C198*B198)</f>
        <v> </v>
      </c>
      <c r="E198" s="396" t="str">
        <f aca="false">IF(A198="N/A"," ",IF(ISERROR(O198),E186*Pwresc,O198)*VLOOKUP(MONTH(A198),Curveadj,3))</f>
        <v> </v>
      </c>
      <c r="F198" s="398" t="str">
        <f aca="false">IF(A198="N/A"," ",E198*C198)</f>
        <v> </v>
      </c>
      <c r="G198" s="396" t="str">
        <f aca="false">IF(A198="N/A"," ",IF(ISERROR(P198),G186*Pwresc,P198)*VLOOKUP(MONTH(A198),Curveadj,3))</f>
        <v> </v>
      </c>
      <c r="H198" s="398" t="str">
        <f aca="false">IF(A198="N/A"," ",G198*C198)</f>
        <v> </v>
      </c>
      <c r="I198" s="398" t="str">
        <f aca="false">IF(A198="N/A"," ",IF(ISERROR(Q198),I186*Pwresc,Q198))</f>
        <v> </v>
      </c>
      <c r="J198" s="398"/>
      <c r="K198" s="399"/>
      <c r="L198" s="399"/>
      <c r="M198" s="404"/>
      <c r="N198" s="401" t="str">
        <f aca="false">IF(A198="N/A"," ",VLOOKUP(A198,PeakPowerCurves,(IF(BMO2=2,3,IF(BMO2=1,2,4))),FALSE()))</f>
        <v> </v>
      </c>
      <c r="O198" s="401" t="str">
        <f aca="false">IF(A198="N/A"," ",VLOOKUP(A198,SatSunPeakPwr,(IF(BMO2=2,3,IF(BMO2=1,2,4))),FALSE()))</f>
        <v> </v>
      </c>
      <c r="P198" s="401" t="str">
        <f aca="false">IF(A198="N/A"," ",VLOOKUP(A198,SatSunPeakPwr,(IF(BMO2=2,7,IF(BMO2=1,6,8))),FALSE()))</f>
        <v> </v>
      </c>
      <c r="Q198" s="402" t="str">
        <f aca="false">IF(A198="N/A"," ",(VLOOKUP(A198,OPPowerPrices,(IF(BMO2=2,7,IF(BMO2=1,6,8))),FALSE())))</f>
        <v> </v>
      </c>
      <c r="R198" s="403" t="str">
        <f aca="false">IF(A198="N/A"," ",(VLOOKUP($A198,IRTable,2)))</f>
        <v> </v>
      </c>
      <c r="AF198" s="352" t="n">
        <v>42461</v>
      </c>
      <c r="AG198" s="311" t="n">
        <v>21</v>
      </c>
      <c r="AH198" s="311" t="n">
        <v>5</v>
      </c>
      <c r="AI198" s="311" t="n">
        <v>4</v>
      </c>
      <c r="AJ198" s="311" t="n">
        <v>0</v>
      </c>
      <c r="AK198" s="311" t="n">
        <v>30</v>
      </c>
      <c r="AU198" s="406"/>
    </row>
    <row r="199" customFormat="false" ht="12.75" hidden="false" customHeight="false" outlineLevel="0" collapsed="false">
      <c r="A199" s="352" t="str">
        <f aca="false">Option2!A166</f>
        <v>N/A</v>
      </c>
      <c r="B199" s="396" t="str">
        <f aca="false">IF(A199="N/A"," ",IF(ISERROR(N199),B187*Pwresc,N199)*VLOOKUP(MONTH(A199),Curveadj,3))</f>
        <v> </v>
      </c>
      <c r="C199" s="397" t="str">
        <f aca="false">IF(A199="N/A"," ",(IF(AND(Scaler2=1,MONTH(A199)&gt;=6,MONTH(A199)&lt;=8,OR($M$37="REGION 2",$M$37="REGION 2A",$M$37="REGION 2B",$M$37="REGION 3",$M$37="REGION 3A",$M$37="REGION 3B",$M$37="REGION 3C",$M$37="REGION 4",$M$37="REGION 4B",$M$37="REGION 4C",$M$37="REGION 5",$M$37="REGION 5A")),((0.059228/(B199/100))-(0.4980013/(SQRT(B199/100)))+2.137988),HLOOKUP(MONTH(A199),ScalarTable,28))))</f>
        <v> </v>
      </c>
      <c r="D199" s="398" t="str">
        <f aca="false">IF(A199="N/A"," ",C199*B199)</f>
        <v> </v>
      </c>
      <c r="E199" s="396" t="str">
        <f aca="false">IF(A199="N/A"," ",IF(ISERROR(O199),E187*Pwresc,O199)*VLOOKUP(MONTH(A199),Curveadj,3))</f>
        <v> </v>
      </c>
      <c r="F199" s="398" t="str">
        <f aca="false">IF(A199="N/A"," ",E199*C199)</f>
        <v> </v>
      </c>
      <c r="G199" s="396" t="str">
        <f aca="false">IF(A199="N/A"," ",IF(ISERROR(P199),G187*Pwresc,P199)*VLOOKUP(MONTH(A199),Curveadj,3))</f>
        <v> </v>
      </c>
      <c r="H199" s="398" t="str">
        <f aca="false">IF(A199="N/A"," ",G199*C199)</f>
        <v> </v>
      </c>
      <c r="I199" s="398" t="str">
        <f aca="false">IF(A199="N/A"," ",IF(ISERROR(Q199),I187*Pwresc,Q199))</f>
        <v> </v>
      </c>
      <c r="J199" s="398"/>
      <c r="K199" s="399"/>
      <c r="L199" s="399"/>
      <c r="M199" s="404"/>
      <c r="N199" s="401" t="str">
        <f aca="false">IF(A199="N/A"," ",VLOOKUP(A199,PeakPowerCurves,(IF(BMO2=2,3,IF(BMO2=1,2,4))),FALSE()))</f>
        <v> </v>
      </c>
      <c r="O199" s="401" t="str">
        <f aca="false">IF(A199="N/A"," ",VLOOKUP(A199,SatSunPeakPwr,(IF(BMO2=2,3,IF(BMO2=1,2,4))),FALSE()))</f>
        <v> </v>
      </c>
      <c r="P199" s="401" t="str">
        <f aca="false">IF(A199="N/A"," ",VLOOKUP(A199,SatSunPeakPwr,(IF(BMO2=2,7,IF(BMO2=1,6,8))),FALSE()))</f>
        <v> </v>
      </c>
      <c r="Q199" s="402" t="str">
        <f aca="false">IF(A199="N/A"," ",(VLOOKUP(A199,OPPowerPrices,(IF(BMO2=2,7,IF(BMO2=1,6,8))),FALSE())))</f>
        <v> </v>
      </c>
      <c r="R199" s="403" t="str">
        <f aca="false">IF(A199="N/A"," ",(VLOOKUP($A199,IRTable,2)))</f>
        <v> </v>
      </c>
      <c r="AF199" s="352" t="n">
        <v>42491</v>
      </c>
      <c r="AG199" s="311" t="n">
        <v>21</v>
      </c>
      <c r="AH199" s="311" t="n">
        <v>4</v>
      </c>
      <c r="AI199" s="311" t="n">
        <v>6</v>
      </c>
      <c r="AJ199" s="311" t="n">
        <v>1</v>
      </c>
      <c r="AK199" s="311" t="n">
        <v>31</v>
      </c>
      <c r="AU199" s="406"/>
    </row>
    <row r="200" customFormat="false" ht="12.75" hidden="false" customHeight="false" outlineLevel="0" collapsed="false">
      <c r="A200" s="352" t="str">
        <f aca="false">Option2!A167</f>
        <v>N/A</v>
      </c>
      <c r="B200" s="396" t="str">
        <f aca="false">IF(A200="N/A"," ",IF(ISERROR(N200),B188*Pwresc,N200)*VLOOKUP(MONTH(A200),Curveadj,3))</f>
        <v> </v>
      </c>
      <c r="C200" s="397" t="str">
        <f aca="false">IF(A200="N/A"," ",(IF(AND(Scaler2=1,MONTH(A200)&gt;=6,MONTH(A200)&lt;=8,OR($M$37="REGION 2",$M$37="REGION 2A",$M$37="REGION 2B",$M$37="REGION 3",$M$37="REGION 3A",$M$37="REGION 3B",$M$37="REGION 3C",$M$37="REGION 4",$M$37="REGION 4B",$M$37="REGION 4C",$M$37="REGION 5",$M$37="REGION 5A")),((0.059228/(B200/100))-(0.4980013/(SQRT(B200/100)))+2.137988),HLOOKUP(MONTH(A200),ScalarTable,28))))</f>
        <v> </v>
      </c>
      <c r="D200" s="398" t="str">
        <f aca="false">IF(A200="N/A"," ",C200*B200)</f>
        <v> </v>
      </c>
      <c r="E200" s="396" t="str">
        <f aca="false">IF(A200="N/A"," ",IF(ISERROR(O200),E188*Pwresc,O200)*VLOOKUP(MONTH(A200),Curveadj,3))</f>
        <v> </v>
      </c>
      <c r="F200" s="398" t="str">
        <f aca="false">IF(A200="N/A"," ",E200*C200)</f>
        <v> </v>
      </c>
      <c r="G200" s="396" t="str">
        <f aca="false">IF(A200="N/A"," ",IF(ISERROR(P200),G188*Pwresc,P200)*VLOOKUP(MONTH(A200),Curveadj,3))</f>
        <v> </v>
      </c>
      <c r="H200" s="398" t="str">
        <f aca="false">IF(A200="N/A"," ",G200*C200)</f>
        <v> </v>
      </c>
      <c r="I200" s="398" t="str">
        <f aca="false">IF(A200="N/A"," ",IF(ISERROR(Q200),I188*Pwresc,Q200))</f>
        <v> </v>
      </c>
      <c r="J200" s="398"/>
      <c r="K200" s="399"/>
      <c r="L200" s="399"/>
      <c r="M200" s="404"/>
      <c r="N200" s="401" t="str">
        <f aca="false">IF(A200="N/A"," ",VLOOKUP(A200,PeakPowerCurves,(IF(BMO2=2,3,IF(BMO2=1,2,4))),FALSE()))</f>
        <v> </v>
      </c>
      <c r="O200" s="401" t="str">
        <f aca="false">IF(A200="N/A"," ",VLOOKUP(A200,SatSunPeakPwr,(IF(BMO2=2,3,IF(BMO2=1,2,4))),FALSE()))</f>
        <v> </v>
      </c>
      <c r="P200" s="401" t="str">
        <f aca="false">IF(A200="N/A"," ",VLOOKUP(A200,SatSunPeakPwr,(IF(BMO2=2,7,IF(BMO2=1,6,8))),FALSE()))</f>
        <v> </v>
      </c>
      <c r="Q200" s="402" t="str">
        <f aca="false">IF(A200="N/A"," ",(VLOOKUP(A200,OPPowerPrices,(IF(BMO2=2,7,IF(BMO2=1,6,8))),FALSE())))</f>
        <v> </v>
      </c>
      <c r="R200" s="403" t="str">
        <f aca="false">IF(A200="N/A"," ",(VLOOKUP($A200,IRTable,2)))</f>
        <v> </v>
      </c>
      <c r="AF200" s="352" t="n">
        <v>42522</v>
      </c>
      <c r="AG200" s="311" t="n">
        <v>22</v>
      </c>
      <c r="AH200" s="311" t="n">
        <v>4</v>
      </c>
      <c r="AI200" s="311" t="n">
        <v>4</v>
      </c>
      <c r="AJ200" s="311" t="n">
        <v>0</v>
      </c>
      <c r="AK200" s="311" t="n">
        <v>30</v>
      </c>
      <c r="AU200" s="406"/>
    </row>
    <row r="201" customFormat="false" ht="12.75" hidden="false" customHeight="false" outlineLevel="0" collapsed="false">
      <c r="A201" s="352" t="str">
        <f aca="false">Option2!A168</f>
        <v>N/A</v>
      </c>
      <c r="B201" s="396" t="str">
        <f aca="false">IF(A201="N/A"," ",IF(ISERROR(N201),B189*Pwresc,N201)*VLOOKUP(MONTH(A201),Curveadj,3))</f>
        <v> </v>
      </c>
      <c r="C201" s="397" t="str">
        <f aca="false">IF(A201="N/A"," ",(IF(AND(Scaler2=1,MONTH(A201)&gt;=6,MONTH(A201)&lt;=8,OR($M$37="REGION 2",$M$37="REGION 2A",$M$37="REGION 2B",$M$37="REGION 3",$M$37="REGION 3A",$M$37="REGION 3B",$M$37="REGION 3C",$M$37="REGION 4",$M$37="REGION 4B",$M$37="REGION 4C",$M$37="REGION 5",$M$37="REGION 5A")),((0.059228/(B201/100))-(0.4980013/(SQRT(B201/100)))+2.137988),HLOOKUP(MONTH(A201),ScalarTable,28))))</f>
        <v> </v>
      </c>
      <c r="D201" s="398" t="str">
        <f aca="false">IF(A201="N/A"," ",C201*B201)</f>
        <v> </v>
      </c>
      <c r="E201" s="396" t="str">
        <f aca="false">IF(A201="N/A"," ",IF(ISERROR(O201),E189*Pwresc,O201)*VLOOKUP(MONTH(A201),Curveadj,3))</f>
        <v> </v>
      </c>
      <c r="F201" s="398" t="str">
        <f aca="false">IF(A201="N/A"," ",E201*C201)</f>
        <v> </v>
      </c>
      <c r="G201" s="396" t="str">
        <f aca="false">IF(A201="N/A"," ",IF(ISERROR(P201),G189*Pwresc,P201)*VLOOKUP(MONTH(A201),Curveadj,3))</f>
        <v> </v>
      </c>
      <c r="H201" s="398" t="str">
        <f aca="false">IF(A201="N/A"," ",G201*C201)</f>
        <v> </v>
      </c>
      <c r="I201" s="398" t="str">
        <f aca="false">IF(A201="N/A"," ",IF(ISERROR(Q201),I189*Pwresc,Q201))</f>
        <v> </v>
      </c>
      <c r="J201" s="398"/>
      <c r="K201" s="399"/>
      <c r="L201" s="399"/>
      <c r="M201" s="404"/>
      <c r="N201" s="401" t="str">
        <f aca="false">IF(A201="N/A"," ",VLOOKUP(A201,PeakPowerCurves,(IF(BMO2=2,3,IF(BMO2=1,2,4))),FALSE()))</f>
        <v> </v>
      </c>
      <c r="O201" s="401" t="str">
        <f aca="false">IF(A201="N/A"," ",VLOOKUP(A201,SatSunPeakPwr,(IF(BMO2=2,3,IF(BMO2=1,2,4))),FALSE()))</f>
        <v> </v>
      </c>
      <c r="P201" s="401" t="str">
        <f aca="false">IF(A201="N/A"," ",VLOOKUP(A201,SatSunPeakPwr,(IF(BMO2=2,7,IF(BMO2=1,6,8))),FALSE()))</f>
        <v> </v>
      </c>
      <c r="Q201" s="402" t="str">
        <f aca="false">IF(A201="N/A"," ",(VLOOKUP(A201,OPPowerPrices,(IF(BMO2=2,7,IF(BMO2=1,6,8))),FALSE())))</f>
        <v> </v>
      </c>
      <c r="R201" s="403" t="str">
        <f aca="false">IF(A201="N/A"," ",(VLOOKUP($A201,IRTable,2)))</f>
        <v> </v>
      </c>
      <c r="AF201" s="352" t="n">
        <v>42552</v>
      </c>
      <c r="AG201" s="311" t="n">
        <v>20</v>
      </c>
      <c r="AH201" s="311" t="n">
        <v>5</v>
      </c>
      <c r="AI201" s="311" t="n">
        <v>6</v>
      </c>
      <c r="AJ201" s="311" t="n">
        <v>1</v>
      </c>
      <c r="AK201" s="311" t="n">
        <v>31</v>
      </c>
      <c r="AU201" s="406"/>
    </row>
    <row r="202" customFormat="false" ht="12.75" hidden="false" customHeight="false" outlineLevel="0" collapsed="false">
      <c r="A202" s="352" t="str">
        <f aca="false">Option2!A169</f>
        <v>N/A</v>
      </c>
      <c r="B202" s="396" t="str">
        <f aca="false">IF(A202="N/A"," ",IF(ISERROR(N202),B190*Pwresc,N202)*VLOOKUP(MONTH(A202),Curveadj,3))</f>
        <v> </v>
      </c>
      <c r="C202" s="397" t="str">
        <f aca="false">IF(A202="N/A"," ",(IF(AND(Scaler2=1,MONTH(A202)&gt;=6,MONTH(A202)&lt;=8,OR($M$37="REGION 2",$M$37="REGION 2A",$M$37="REGION 2B",$M$37="REGION 3",$M$37="REGION 3A",$M$37="REGION 3B",$M$37="REGION 3C",$M$37="REGION 4",$M$37="REGION 4B",$M$37="REGION 4C",$M$37="REGION 5",$M$37="REGION 5A")),((0.059228/(B202/100))-(0.4980013/(SQRT(B202/100)))+2.137988),HLOOKUP(MONTH(A202),ScalarTable,28))))</f>
        <v> </v>
      </c>
      <c r="D202" s="398" t="str">
        <f aca="false">IF(A202="N/A"," ",C202*B202)</f>
        <v> </v>
      </c>
      <c r="E202" s="396" t="str">
        <f aca="false">IF(A202="N/A"," ",IF(ISERROR(O202),E190*Pwresc,O202)*VLOOKUP(MONTH(A202),Curveadj,3))</f>
        <v> </v>
      </c>
      <c r="F202" s="398" t="str">
        <f aca="false">IF(A202="N/A"," ",E202*C202)</f>
        <v> </v>
      </c>
      <c r="G202" s="396" t="str">
        <f aca="false">IF(A202="N/A"," ",IF(ISERROR(P202),G190*Pwresc,P202)*VLOOKUP(MONTH(A202),Curveadj,3))</f>
        <v> </v>
      </c>
      <c r="H202" s="398" t="str">
        <f aca="false">IF(A202="N/A"," ",G202*C202)</f>
        <v> </v>
      </c>
      <c r="I202" s="398" t="str">
        <f aca="false">IF(A202="N/A"," ",IF(ISERROR(Q202),I190*Pwresc,Q202))</f>
        <v> </v>
      </c>
      <c r="J202" s="398"/>
      <c r="K202" s="399"/>
      <c r="L202" s="399"/>
      <c r="M202" s="404"/>
      <c r="N202" s="401" t="str">
        <f aca="false">IF(A202="N/A"," ",VLOOKUP(A202,PeakPowerCurves,(IF(BMO2=2,3,IF(BMO2=1,2,4))),FALSE()))</f>
        <v> </v>
      </c>
      <c r="O202" s="401" t="str">
        <f aca="false">IF(A202="N/A"," ",VLOOKUP(A202,SatSunPeakPwr,(IF(BMO2=2,3,IF(BMO2=1,2,4))),FALSE()))</f>
        <v> </v>
      </c>
      <c r="P202" s="401" t="str">
        <f aca="false">IF(A202="N/A"," ",VLOOKUP(A202,SatSunPeakPwr,(IF(BMO2=2,7,IF(BMO2=1,6,8))),FALSE()))</f>
        <v> </v>
      </c>
      <c r="Q202" s="402" t="str">
        <f aca="false">IF(A202="N/A"," ",(VLOOKUP(A202,OPPowerPrices,(IF(BMO2=2,7,IF(BMO2=1,6,8))),FALSE())))</f>
        <v> </v>
      </c>
      <c r="R202" s="403" t="str">
        <f aca="false">IF(A202="N/A"," ",(VLOOKUP($A202,IRTable,2)))</f>
        <v> </v>
      </c>
      <c r="AF202" s="352" t="n">
        <v>42583</v>
      </c>
      <c r="AG202" s="311" t="n">
        <v>23</v>
      </c>
      <c r="AH202" s="311" t="n">
        <v>4</v>
      </c>
      <c r="AI202" s="311" t="n">
        <v>4</v>
      </c>
      <c r="AJ202" s="311" t="n">
        <v>0</v>
      </c>
      <c r="AK202" s="311" t="n">
        <v>31</v>
      </c>
      <c r="AU202" s="406"/>
    </row>
    <row r="203" customFormat="false" ht="12.75" hidden="false" customHeight="false" outlineLevel="0" collapsed="false">
      <c r="A203" s="352" t="str">
        <f aca="false">Option2!A170</f>
        <v>N/A</v>
      </c>
      <c r="B203" s="396" t="str">
        <f aca="false">IF(A203="N/A"," ",IF(ISERROR(N203),B191*Pwresc,N203)*VLOOKUP(MONTH(A203),Curveadj,3))</f>
        <v> </v>
      </c>
      <c r="C203" s="397" t="str">
        <f aca="false">IF(A203="N/A"," ",(IF(AND(Scaler2=1,MONTH(A203)&gt;=6,MONTH(A203)&lt;=8,OR($M$37="REGION 2",$M$37="REGION 2A",$M$37="REGION 2B",$M$37="REGION 3",$M$37="REGION 3A",$M$37="REGION 3B",$M$37="REGION 3C",$M$37="REGION 4",$M$37="REGION 4B",$M$37="REGION 4C",$M$37="REGION 5",$M$37="REGION 5A")),((0.059228/(B203/100))-(0.4980013/(SQRT(B203/100)))+2.137988),HLOOKUP(MONTH(A203),ScalarTable,28))))</f>
        <v> </v>
      </c>
      <c r="D203" s="398" t="str">
        <f aca="false">IF(A203="N/A"," ",C203*B203)</f>
        <v> </v>
      </c>
      <c r="E203" s="396" t="str">
        <f aca="false">IF(A203="N/A"," ",IF(ISERROR(O203),E191*Pwresc,O203)*VLOOKUP(MONTH(A203),Curveadj,3))</f>
        <v> </v>
      </c>
      <c r="F203" s="398" t="str">
        <f aca="false">IF(A203="N/A"," ",E203*C203)</f>
        <v> </v>
      </c>
      <c r="G203" s="396" t="str">
        <f aca="false">IF(A203="N/A"," ",IF(ISERROR(P203),G191*Pwresc,P203)*VLOOKUP(MONTH(A203),Curveadj,3))</f>
        <v> </v>
      </c>
      <c r="H203" s="398" t="str">
        <f aca="false">IF(A203="N/A"," ",G203*C203)</f>
        <v> </v>
      </c>
      <c r="I203" s="398" t="str">
        <f aca="false">IF(A203="N/A"," ",IF(ISERROR(Q203),I191*Pwresc,Q203))</f>
        <v> </v>
      </c>
      <c r="J203" s="398"/>
      <c r="K203" s="399"/>
      <c r="L203" s="399"/>
      <c r="M203" s="404"/>
      <c r="N203" s="401" t="str">
        <f aca="false">IF(A203="N/A"," ",VLOOKUP(A203,PeakPowerCurves,(IF(BMO2=2,3,IF(BMO2=1,2,4))),FALSE()))</f>
        <v> </v>
      </c>
      <c r="O203" s="401" t="str">
        <f aca="false">IF(A203="N/A"," ",VLOOKUP(A203,SatSunPeakPwr,(IF(BMO2=2,3,IF(BMO2=1,2,4))),FALSE()))</f>
        <v> </v>
      </c>
      <c r="P203" s="401" t="str">
        <f aca="false">IF(A203="N/A"," ",VLOOKUP(A203,SatSunPeakPwr,(IF(BMO2=2,7,IF(BMO2=1,6,8))),FALSE()))</f>
        <v> </v>
      </c>
      <c r="Q203" s="402" t="str">
        <f aca="false">IF(A203="N/A"," ",(VLOOKUP(A203,OPPowerPrices,(IF(BMO2=2,7,IF(BMO2=1,6,8))),FALSE())))</f>
        <v> </v>
      </c>
      <c r="R203" s="403" t="str">
        <f aca="false">IF(A203="N/A"," ",(VLOOKUP($A203,IRTable,2)))</f>
        <v> </v>
      </c>
      <c r="AF203" s="352" t="n">
        <v>42614</v>
      </c>
      <c r="AG203" s="311" t="n">
        <v>21</v>
      </c>
      <c r="AH203" s="311" t="n">
        <v>4</v>
      </c>
      <c r="AI203" s="311" t="n">
        <v>5</v>
      </c>
      <c r="AJ203" s="311" t="n">
        <v>1</v>
      </c>
      <c r="AK203" s="311" t="n">
        <v>30</v>
      </c>
      <c r="AU203" s="406"/>
    </row>
    <row r="204" customFormat="false" ht="12.75" hidden="false" customHeight="false" outlineLevel="0" collapsed="false">
      <c r="A204" s="352" t="str">
        <f aca="false">Option2!A171</f>
        <v>N/A</v>
      </c>
      <c r="B204" s="396" t="str">
        <f aca="false">IF(A204="N/A"," ",IF(ISERROR(N204),B192*Pwresc,N204)*VLOOKUP(MONTH(A204),Curveadj,3))</f>
        <v> </v>
      </c>
      <c r="C204" s="397" t="str">
        <f aca="false">IF(A204="N/A"," ",(IF(AND(Scaler2=1,MONTH(A204)&gt;=6,MONTH(A204)&lt;=8,OR($M$37="REGION 2",$M$37="REGION 2A",$M$37="REGION 2B",$M$37="REGION 3",$M$37="REGION 3A",$M$37="REGION 3B",$M$37="REGION 3C",$M$37="REGION 4",$M$37="REGION 4B",$M$37="REGION 4C",$M$37="REGION 5",$M$37="REGION 5A")),((0.059228/(B204/100))-(0.4980013/(SQRT(B204/100)))+2.137988),HLOOKUP(MONTH(A204),ScalarTable,28))))</f>
        <v> </v>
      </c>
      <c r="D204" s="398" t="str">
        <f aca="false">IF(A204="N/A"," ",C204*B204)</f>
        <v> </v>
      </c>
      <c r="E204" s="396" t="str">
        <f aca="false">IF(A204="N/A"," ",IF(ISERROR(O204),E192*Pwresc,O204)*VLOOKUP(MONTH(A204),Curveadj,3))</f>
        <v> </v>
      </c>
      <c r="F204" s="398" t="str">
        <f aca="false">IF(A204="N/A"," ",E204*C204)</f>
        <v> </v>
      </c>
      <c r="G204" s="396" t="str">
        <f aca="false">IF(A204="N/A"," ",IF(ISERROR(P204),G192*Pwresc,P204)*VLOOKUP(MONTH(A204),Curveadj,3))</f>
        <v> </v>
      </c>
      <c r="H204" s="398" t="str">
        <f aca="false">IF(A204="N/A"," ",G204*C204)</f>
        <v> </v>
      </c>
      <c r="I204" s="398" t="str">
        <f aca="false">IF(A204="N/A"," ",IF(ISERROR(Q204),I192*Pwresc,Q204))</f>
        <v> </v>
      </c>
      <c r="J204" s="398"/>
      <c r="K204" s="399"/>
      <c r="L204" s="399"/>
      <c r="M204" s="404"/>
      <c r="N204" s="401" t="str">
        <f aca="false">IF(A204="N/A"," ",VLOOKUP(A204,PeakPowerCurves,(IF(BMO2=2,3,IF(BMO2=1,2,4))),FALSE()))</f>
        <v> </v>
      </c>
      <c r="O204" s="401" t="str">
        <f aca="false">IF(A204="N/A"," ",VLOOKUP(A204,SatSunPeakPwr,(IF(BMO2=2,3,IF(BMO2=1,2,4))),FALSE()))</f>
        <v> </v>
      </c>
      <c r="P204" s="401" t="str">
        <f aca="false">IF(A204="N/A"," ",VLOOKUP(A204,SatSunPeakPwr,(IF(BMO2=2,7,IF(BMO2=1,6,8))),FALSE()))</f>
        <v> </v>
      </c>
      <c r="Q204" s="402" t="str">
        <f aca="false">IF(A204="N/A"," ",(VLOOKUP(A204,OPPowerPrices,(IF(BMO2=2,7,IF(BMO2=1,6,8))),FALSE())))</f>
        <v> </v>
      </c>
      <c r="R204" s="403" t="str">
        <f aca="false">IF(A204="N/A"," ",(VLOOKUP($A204,IRTable,2)))</f>
        <v> </v>
      </c>
      <c r="AF204" s="352" t="n">
        <v>42644</v>
      </c>
      <c r="AG204" s="311" t="n">
        <v>21</v>
      </c>
      <c r="AH204" s="311" t="n">
        <v>5</v>
      </c>
      <c r="AI204" s="311" t="n">
        <v>5</v>
      </c>
      <c r="AJ204" s="311" t="n">
        <v>0</v>
      </c>
      <c r="AK204" s="311" t="n">
        <v>31</v>
      </c>
      <c r="AU204" s="406"/>
    </row>
    <row r="205" customFormat="false" ht="12.75" hidden="false" customHeight="false" outlineLevel="0" collapsed="false">
      <c r="A205" s="352" t="str">
        <f aca="false">Option2!A172</f>
        <v>N/A</v>
      </c>
      <c r="B205" s="396" t="str">
        <f aca="false">IF(A205="N/A"," ",IF(ISERROR(N205),B193*Pwresc,N205)*VLOOKUP(MONTH(A205),Curveadj,3))</f>
        <v> </v>
      </c>
      <c r="C205" s="397" t="str">
        <f aca="false">IF(A205="N/A"," ",(IF(AND(Scaler2=1,MONTH(A205)&gt;=6,MONTH(A205)&lt;=8,OR($M$37="REGION 2",$M$37="REGION 2A",$M$37="REGION 2B",$M$37="REGION 3",$M$37="REGION 3A",$M$37="REGION 3B",$M$37="REGION 3C",$M$37="REGION 4",$M$37="REGION 4B",$M$37="REGION 4C",$M$37="REGION 5",$M$37="REGION 5A")),((0.059228/(B205/100))-(0.4980013/(SQRT(B205/100)))+2.137988),HLOOKUP(MONTH(A205),ScalarTable,28))))</f>
        <v> </v>
      </c>
      <c r="D205" s="398" t="str">
        <f aca="false">IF(A205="N/A"," ",C205*B205)</f>
        <v> </v>
      </c>
      <c r="E205" s="396" t="str">
        <f aca="false">IF(A205="N/A"," ",IF(ISERROR(O205),E193*Pwresc,O205)*VLOOKUP(MONTH(A205),Curveadj,3))</f>
        <v> </v>
      </c>
      <c r="F205" s="398" t="str">
        <f aca="false">IF(A205="N/A"," ",E205*C205)</f>
        <v> </v>
      </c>
      <c r="G205" s="396" t="str">
        <f aca="false">IF(A205="N/A"," ",IF(ISERROR(P205),G193*Pwresc,P205)*VLOOKUP(MONTH(A205),Curveadj,3))</f>
        <v> </v>
      </c>
      <c r="H205" s="398" t="str">
        <f aca="false">IF(A205="N/A"," ",G205*C205)</f>
        <v> </v>
      </c>
      <c r="I205" s="398" t="str">
        <f aca="false">IF(A205="N/A"," ",IF(ISERROR(Q205),I193*Pwresc,Q205))</f>
        <v> </v>
      </c>
      <c r="J205" s="398"/>
      <c r="K205" s="399"/>
      <c r="L205" s="399"/>
      <c r="M205" s="404"/>
      <c r="N205" s="401" t="str">
        <f aca="false">IF(A205="N/A"," ",VLOOKUP(A205,PeakPowerCurves,(IF(BMO2=2,3,IF(BMO2=1,2,4))),FALSE()))</f>
        <v> </v>
      </c>
      <c r="O205" s="401" t="str">
        <f aca="false">IF(A205="N/A"," ",VLOOKUP(A205,SatSunPeakPwr,(IF(BMO2=2,3,IF(BMO2=1,2,4))),FALSE()))</f>
        <v> </v>
      </c>
      <c r="P205" s="401" t="str">
        <f aca="false">IF(A205="N/A"," ",VLOOKUP(A205,SatSunPeakPwr,(IF(BMO2=2,7,IF(BMO2=1,6,8))),FALSE()))</f>
        <v> </v>
      </c>
      <c r="Q205" s="402" t="str">
        <f aca="false">IF(A205="N/A"," ",(VLOOKUP(A205,OPPowerPrices,(IF(BMO2=2,7,IF(BMO2=1,6,8))),FALSE())))</f>
        <v> </v>
      </c>
      <c r="R205" s="403" t="str">
        <f aca="false">IF(A205="N/A"," ",(VLOOKUP($A205,IRTable,2)))</f>
        <v> </v>
      </c>
      <c r="AF205" s="352" t="n">
        <v>42675</v>
      </c>
      <c r="AG205" s="311" t="n">
        <v>21</v>
      </c>
      <c r="AH205" s="311" t="n">
        <v>4</v>
      </c>
      <c r="AI205" s="311" t="n">
        <v>5</v>
      </c>
      <c r="AJ205" s="311" t="n">
        <v>1</v>
      </c>
      <c r="AK205" s="311" t="n">
        <v>30</v>
      </c>
      <c r="AU205" s="406"/>
    </row>
    <row r="206" customFormat="false" ht="12.75" hidden="false" customHeight="false" outlineLevel="0" collapsed="false">
      <c r="A206" s="352" t="str">
        <f aca="false">Option2!A173</f>
        <v>N/A</v>
      </c>
      <c r="B206" s="396" t="str">
        <f aca="false">IF(A206="N/A"," ",IF(ISERROR(N206),B194*Pwresc,N206)*VLOOKUP(MONTH(A206),Curveadj,3))</f>
        <v> </v>
      </c>
      <c r="C206" s="397" t="str">
        <f aca="false">IF(A206="N/A"," ",(IF(AND(Scaler2=1,MONTH(A206)&gt;=6,MONTH(A206)&lt;=8,OR($M$37="REGION 2",$M$37="REGION 2A",$M$37="REGION 2B",$M$37="REGION 3",$M$37="REGION 3A",$M$37="REGION 3B",$M$37="REGION 3C",$M$37="REGION 4",$M$37="REGION 4B",$M$37="REGION 4C",$M$37="REGION 5",$M$37="REGION 5A")),((0.059228/(B206/100))-(0.4980013/(SQRT(B206/100)))+2.137988),HLOOKUP(MONTH(A206),ScalarTable,28))))</f>
        <v> </v>
      </c>
      <c r="D206" s="398" t="str">
        <f aca="false">IF(A206="N/A"," ",C206*B206)</f>
        <v> </v>
      </c>
      <c r="E206" s="396" t="str">
        <f aca="false">IF(A206="N/A"," ",IF(ISERROR(O206),E194*Pwresc,O206)*VLOOKUP(MONTH(A206),Curveadj,3))</f>
        <v> </v>
      </c>
      <c r="F206" s="398" t="str">
        <f aca="false">IF(A206="N/A"," ",E206*C206)</f>
        <v> </v>
      </c>
      <c r="G206" s="396" t="str">
        <f aca="false">IF(A206="N/A"," ",IF(ISERROR(P206),G194*Pwresc,P206)*VLOOKUP(MONTH(A206),Curveadj,3))</f>
        <v> </v>
      </c>
      <c r="H206" s="398" t="str">
        <f aca="false">IF(A206="N/A"," ",G206*C206)</f>
        <v> </v>
      </c>
      <c r="I206" s="398" t="str">
        <f aca="false">IF(A206="N/A"," ",IF(ISERROR(Q206),I194*Pwresc,Q206))</f>
        <v> </v>
      </c>
      <c r="J206" s="398"/>
      <c r="K206" s="399"/>
      <c r="L206" s="399"/>
      <c r="M206" s="404"/>
      <c r="N206" s="401" t="str">
        <f aca="false">IF(A206="N/A"," ",VLOOKUP(A206,PeakPowerCurves,(IF(BMO2=2,3,IF(BMO2=1,2,4))),FALSE()))</f>
        <v> </v>
      </c>
      <c r="O206" s="401" t="str">
        <f aca="false">IF(A206="N/A"," ",VLOOKUP(A206,SatSunPeakPwr,(IF(BMO2=2,3,IF(BMO2=1,2,4))),FALSE()))</f>
        <v> </v>
      </c>
      <c r="P206" s="401" t="str">
        <f aca="false">IF(A206="N/A"," ",VLOOKUP(A206,SatSunPeakPwr,(IF(BMO2=2,7,IF(BMO2=1,6,8))),FALSE()))</f>
        <v> </v>
      </c>
      <c r="Q206" s="402" t="str">
        <f aca="false">IF(A206="N/A"," ",(VLOOKUP(A206,OPPowerPrices,(IF(BMO2=2,7,IF(BMO2=1,6,8))),FALSE())))</f>
        <v> </v>
      </c>
      <c r="R206" s="403" t="str">
        <f aca="false">IF(A206="N/A"," ",(VLOOKUP($A206,IRTable,2)))</f>
        <v> </v>
      </c>
      <c r="AF206" s="352" t="n">
        <v>42705</v>
      </c>
      <c r="AG206" s="311" t="n">
        <v>21</v>
      </c>
      <c r="AH206" s="311" t="n">
        <v>5</v>
      </c>
      <c r="AI206" s="311" t="n">
        <v>5</v>
      </c>
      <c r="AJ206" s="311" t="n">
        <v>1</v>
      </c>
      <c r="AK206" s="311" t="n">
        <v>31</v>
      </c>
      <c r="AU206" s="406"/>
    </row>
    <row r="207" customFormat="false" ht="12.75" hidden="false" customHeight="false" outlineLevel="0" collapsed="false">
      <c r="A207" s="352" t="str">
        <f aca="false">Option2!A174</f>
        <v>N/A</v>
      </c>
      <c r="B207" s="396" t="str">
        <f aca="false">IF(A207="N/A"," ",IF(ISERROR(N207),B195*Pwresc,N207)*VLOOKUP(MONTH(A207),Curveadj,3))</f>
        <v> </v>
      </c>
      <c r="C207" s="397" t="str">
        <f aca="false">IF(A207="N/A"," ",(IF(AND(Scaler2=1,MONTH(A207)&gt;=6,MONTH(A207)&lt;=8,OR($M$37="REGION 2",$M$37="REGION 2A",$M$37="REGION 2B",$M$37="REGION 3",$M$37="REGION 3A",$M$37="REGION 3B",$M$37="REGION 3C",$M$37="REGION 4",$M$37="REGION 4B",$M$37="REGION 4C",$M$37="REGION 5",$M$37="REGION 5A")),((0.059228/(B207/100))-(0.4980013/(SQRT(B207/100)))+2.137988),HLOOKUP(MONTH(A207),ScalarTable,28))))</f>
        <v> </v>
      </c>
      <c r="D207" s="398" t="str">
        <f aca="false">IF(A207="N/A"," ",C207*B207)</f>
        <v> </v>
      </c>
      <c r="E207" s="396" t="str">
        <f aca="false">IF(A207="N/A"," ",IF(ISERROR(O207),E195*Pwresc,O207)*VLOOKUP(MONTH(A207),Curveadj,3))</f>
        <v> </v>
      </c>
      <c r="F207" s="398" t="str">
        <f aca="false">IF(A207="N/A"," ",E207*C207)</f>
        <v> </v>
      </c>
      <c r="G207" s="396" t="str">
        <f aca="false">IF(A207="N/A"," ",IF(ISERROR(P207),G195*Pwresc,P207)*VLOOKUP(MONTH(A207),Curveadj,3))</f>
        <v> </v>
      </c>
      <c r="H207" s="398" t="str">
        <f aca="false">IF(A207="N/A"," ",G207*C207)</f>
        <v> </v>
      </c>
      <c r="I207" s="398" t="str">
        <f aca="false">IF(A207="N/A"," ",IF(ISERROR(Q207),I195*Pwresc,Q207))</f>
        <v> </v>
      </c>
      <c r="J207" s="398"/>
      <c r="K207" s="399"/>
      <c r="L207" s="399"/>
      <c r="M207" s="404"/>
      <c r="N207" s="401" t="str">
        <f aca="false">IF(A207="N/A"," ",VLOOKUP(A207,PeakPowerCurves,(IF(BMO2=2,3,IF(BMO2=1,2,4))),FALSE()))</f>
        <v> </v>
      </c>
      <c r="O207" s="401" t="str">
        <f aca="false">IF(A207="N/A"," ",VLOOKUP(A207,SatSunPeakPwr,(IF(BMO2=2,3,IF(BMO2=1,2,4))),FALSE()))</f>
        <v> </v>
      </c>
      <c r="P207" s="401" t="str">
        <f aca="false">IF(A207="N/A"," ",VLOOKUP(A207,SatSunPeakPwr,(IF(BMO2=2,7,IF(BMO2=1,6,8))),FALSE()))</f>
        <v> </v>
      </c>
      <c r="Q207" s="402" t="str">
        <f aca="false">IF(A207="N/A"," ",(VLOOKUP(A207,OPPowerPrices,(IF(BMO2=2,7,IF(BMO2=1,6,8))),FALSE())))</f>
        <v> </v>
      </c>
      <c r="R207" s="403" t="str">
        <f aca="false">IF(A207="N/A"," ",(VLOOKUP($A207,IRTable,2)))</f>
        <v> </v>
      </c>
      <c r="AF207" s="352" t="n">
        <v>42736</v>
      </c>
      <c r="AG207" s="311" t="n">
        <v>21</v>
      </c>
      <c r="AH207" s="311" t="n">
        <v>4</v>
      </c>
      <c r="AI207" s="311" t="n">
        <v>6</v>
      </c>
      <c r="AJ207" s="311" t="n">
        <v>1</v>
      </c>
      <c r="AK207" s="311" t="n">
        <v>31</v>
      </c>
      <c r="AU207" s="406"/>
    </row>
    <row r="208" customFormat="false" ht="12.75" hidden="false" customHeight="false" outlineLevel="0" collapsed="false">
      <c r="A208" s="352" t="str">
        <f aca="false">Option2!A175</f>
        <v>N/A</v>
      </c>
      <c r="B208" s="396" t="str">
        <f aca="false">IF(A208="N/A"," ",IF(ISERROR(N208),B196*Pwresc,N208)*VLOOKUP(MONTH(A208),Curveadj,3))</f>
        <v> </v>
      </c>
      <c r="C208" s="397" t="str">
        <f aca="false">IF(A208="N/A"," ",(IF(AND(Scaler2=1,MONTH(A208)&gt;=6,MONTH(A208)&lt;=8,OR($M$37="REGION 2",$M$37="REGION 2A",$M$37="REGION 2B",$M$37="REGION 3",$M$37="REGION 3A",$M$37="REGION 3B",$M$37="REGION 3C",$M$37="REGION 4",$M$37="REGION 4B",$M$37="REGION 4C",$M$37="REGION 5",$M$37="REGION 5A")),((0.059228/(B208/100))-(0.4980013/(SQRT(B208/100)))+2.137988),HLOOKUP(MONTH(A208),ScalarTable,28))))</f>
        <v> </v>
      </c>
      <c r="D208" s="398" t="str">
        <f aca="false">IF(A208="N/A"," ",C208*B208)</f>
        <v> </v>
      </c>
      <c r="E208" s="396" t="str">
        <f aca="false">IF(A208="N/A"," ",IF(ISERROR(O208),E196*Pwresc,O208)*VLOOKUP(MONTH(A208),Curveadj,3))</f>
        <v> </v>
      </c>
      <c r="F208" s="398" t="str">
        <f aca="false">IF(A208="N/A"," ",E208*C208)</f>
        <v> </v>
      </c>
      <c r="G208" s="396" t="str">
        <f aca="false">IF(A208="N/A"," ",IF(ISERROR(P208),G196*Pwresc,P208)*VLOOKUP(MONTH(A208),Curveadj,3))</f>
        <v> </v>
      </c>
      <c r="H208" s="398" t="str">
        <f aca="false">IF(A208="N/A"," ",G208*C208)</f>
        <v> </v>
      </c>
      <c r="I208" s="398" t="str">
        <f aca="false">IF(A208="N/A"," ",IF(ISERROR(Q208),I196*Pwresc,Q208))</f>
        <v> </v>
      </c>
      <c r="J208" s="398"/>
      <c r="K208" s="399"/>
      <c r="L208" s="399"/>
      <c r="M208" s="404"/>
      <c r="N208" s="401" t="str">
        <f aca="false">IF(A208="N/A"," ",VLOOKUP(A208,PeakPowerCurves,(IF(BMO2=2,3,IF(BMO2=1,2,4))),FALSE()))</f>
        <v> </v>
      </c>
      <c r="O208" s="401" t="str">
        <f aca="false">IF(A208="N/A"," ",VLOOKUP(A208,SatSunPeakPwr,(IF(BMO2=2,3,IF(BMO2=1,2,4))),FALSE()))</f>
        <v> </v>
      </c>
      <c r="P208" s="401" t="str">
        <f aca="false">IF(A208="N/A"," ",VLOOKUP(A208,SatSunPeakPwr,(IF(BMO2=2,7,IF(BMO2=1,6,8))),FALSE()))</f>
        <v> </v>
      </c>
      <c r="Q208" s="402" t="str">
        <f aca="false">IF(A208="N/A"," ",(VLOOKUP(A208,OPPowerPrices,(IF(BMO2=2,7,IF(BMO2=1,6,8))),FALSE())))</f>
        <v> </v>
      </c>
      <c r="R208" s="403" t="str">
        <f aca="false">IF(A208="N/A"," ",(VLOOKUP($A208,IRTable,2)))</f>
        <v> </v>
      </c>
      <c r="AF208" s="352" t="n">
        <v>42767</v>
      </c>
      <c r="AG208" s="311" t="n">
        <v>20</v>
      </c>
      <c r="AH208" s="311" t="n">
        <v>4</v>
      </c>
      <c r="AI208" s="311" t="n">
        <v>4</v>
      </c>
      <c r="AJ208" s="311" t="n">
        <v>0</v>
      </c>
      <c r="AK208" s="311" t="n">
        <v>28</v>
      </c>
      <c r="AU208" s="406"/>
    </row>
    <row r="209" customFormat="false" ht="12.75" hidden="false" customHeight="false" outlineLevel="0" collapsed="false">
      <c r="A209" s="352" t="str">
        <f aca="false">Option2!A176</f>
        <v>N/A</v>
      </c>
      <c r="B209" s="396" t="str">
        <f aca="false">IF(A209="N/A"," ",IF(ISERROR(N209),B197*Pwresc,N209)*VLOOKUP(MONTH(A209),Curveadj,3))</f>
        <v> </v>
      </c>
      <c r="C209" s="397" t="str">
        <f aca="false">IF(A209="N/A"," ",(IF(AND(Scaler2=1,MONTH(A209)&gt;=6,MONTH(A209)&lt;=8,OR($M$37="REGION 2",$M$37="REGION 2A",$M$37="REGION 2B",$M$37="REGION 3",$M$37="REGION 3A",$M$37="REGION 3B",$M$37="REGION 3C",$M$37="REGION 4",$M$37="REGION 4B",$M$37="REGION 4C",$M$37="REGION 5",$M$37="REGION 5A")),((0.059228/(B209/100))-(0.4980013/(SQRT(B209/100)))+2.137988),HLOOKUP(MONTH(A209),ScalarTable,28))))</f>
        <v> </v>
      </c>
      <c r="D209" s="398" t="str">
        <f aca="false">IF(A209="N/A"," ",C209*B209)</f>
        <v> </v>
      </c>
      <c r="E209" s="396" t="str">
        <f aca="false">IF(A209="N/A"," ",IF(ISERROR(O209),E197*Pwresc,O209)*VLOOKUP(MONTH(A209),Curveadj,3))</f>
        <v> </v>
      </c>
      <c r="F209" s="398" t="str">
        <f aca="false">IF(A209="N/A"," ",E209*C209)</f>
        <v> </v>
      </c>
      <c r="G209" s="396" t="str">
        <f aca="false">IF(A209="N/A"," ",IF(ISERROR(P209),G197*Pwresc,P209)*VLOOKUP(MONTH(A209),Curveadj,3))</f>
        <v> </v>
      </c>
      <c r="H209" s="398" t="str">
        <f aca="false">IF(A209="N/A"," ",G209*C209)</f>
        <v> </v>
      </c>
      <c r="I209" s="398" t="str">
        <f aca="false">IF(A209="N/A"," ",IF(ISERROR(Q209),I197*Pwresc,Q209))</f>
        <v> </v>
      </c>
      <c r="J209" s="398"/>
      <c r="K209" s="399"/>
      <c r="L209" s="399"/>
      <c r="M209" s="404"/>
      <c r="N209" s="401" t="str">
        <f aca="false">IF(A209="N/A"," ",VLOOKUP(A209,PeakPowerCurves,(IF(BMO2=2,3,IF(BMO2=1,2,4))),FALSE()))</f>
        <v> </v>
      </c>
      <c r="O209" s="401" t="str">
        <f aca="false">IF(A209="N/A"," ",VLOOKUP(A209,SatSunPeakPwr,(IF(BMO2=2,3,IF(BMO2=1,2,4))),FALSE()))</f>
        <v> </v>
      </c>
      <c r="P209" s="401" t="str">
        <f aca="false">IF(A209="N/A"," ",VLOOKUP(A209,SatSunPeakPwr,(IF(BMO2=2,7,IF(BMO2=1,6,8))),FALSE()))</f>
        <v> </v>
      </c>
      <c r="Q209" s="402" t="str">
        <f aca="false">IF(A209="N/A"," ",(VLOOKUP(A209,OPPowerPrices,(IF(BMO2=2,7,IF(BMO2=1,6,8))),FALSE())))</f>
        <v> </v>
      </c>
      <c r="R209" s="403" t="str">
        <f aca="false">IF(A209="N/A"," ",(VLOOKUP($A209,IRTable,2)))</f>
        <v> </v>
      </c>
      <c r="AF209" s="352" t="n">
        <v>42795</v>
      </c>
      <c r="AG209" s="311" t="n">
        <v>23</v>
      </c>
      <c r="AH209" s="311" t="n">
        <v>4</v>
      </c>
      <c r="AI209" s="311" t="n">
        <v>4</v>
      </c>
      <c r="AJ209" s="311" t="n">
        <v>0</v>
      </c>
      <c r="AK209" s="311" t="n">
        <v>31</v>
      </c>
      <c r="AU209" s="406"/>
    </row>
    <row r="210" customFormat="false" ht="12.75" hidden="false" customHeight="false" outlineLevel="0" collapsed="false">
      <c r="A210" s="352" t="str">
        <f aca="false">Option2!A177</f>
        <v>N/A</v>
      </c>
      <c r="B210" s="396" t="str">
        <f aca="false">IF(A210="N/A"," ",IF(ISERROR(N210),B198*Pwresc,N210)*VLOOKUP(MONTH(A210),Curveadj,3))</f>
        <v> </v>
      </c>
      <c r="C210" s="397" t="str">
        <f aca="false">IF(A210="N/A"," ",(IF(AND(Scaler2=1,MONTH(A210)&gt;=6,MONTH(A210)&lt;=8,OR($M$37="REGION 2",$M$37="REGION 2A",$M$37="REGION 2B",$M$37="REGION 3",$M$37="REGION 3A",$M$37="REGION 3B",$M$37="REGION 3C",$M$37="REGION 4",$M$37="REGION 4B",$M$37="REGION 4C",$M$37="REGION 5",$M$37="REGION 5A")),((0.059228/(B210/100))-(0.4980013/(SQRT(B210/100)))+2.137988),HLOOKUP(MONTH(A210),ScalarTable,28))))</f>
        <v> </v>
      </c>
      <c r="D210" s="398" t="str">
        <f aca="false">IF(A210="N/A"," ",C210*B210)</f>
        <v> </v>
      </c>
      <c r="E210" s="396" t="str">
        <f aca="false">IF(A210="N/A"," ",IF(ISERROR(O210),E198*Pwresc,O210)*VLOOKUP(MONTH(A210),Curveadj,3))</f>
        <v> </v>
      </c>
      <c r="F210" s="398" t="str">
        <f aca="false">IF(A210="N/A"," ",E210*C210)</f>
        <v> </v>
      </c>
      <c r="G210" s="396" t="str">
        <f aca="false">IF(A210="N/A"," ",IF(ISERROR(P210),G198*Pwresc,P210)*VLOOKUP(MONTH(A210),Curveadj,3))</f>
        <v> </v>
      </c>
      <c r="H210" s="398" t="str">
        <f aca="false">IF(A210="N/A"," ",G210*C210)</f>
        <v> </v>
      </c>
      <c r="I210" s="398" t="str">
        <f aca="false">IF(A210="N/A"," ",IF(ISERROR(Q210),I198*Pwresc,Q210))</f>
        <v> </v>
      </c>
      <c r="J210" s="398"/>
      <c r="K210" s="399"/>
      <c r="L210" s="399"/>
      <c r="M210" s="404"/>
      <c r="N210" s="401" t="str">
        <f aca="false">IF(A210="N/A"," ",VLOOKUP(A210,PeakPowerCurves,(IF(BMO2=2,3,IF(BMO2=1,2,4))),FALSE()))</f>
        <v> </v>
      </c>
      <c r="O210" s="401" t="str">
        <f aca="false">IF(A210="N/A"," ",VLOOKUP(A210,SatSunPeakPwr,(IF(BMO2=2,3,IF(BMO2=1,2,4))),FALSE()))</f>
        <v> </v>
      </c>
      <c r="P210" s="401" t="str">
        <f aca="false">IF(A210="N/A"," ",VLOOKUP(A210,SatSunPeakPwr,(IF(BMO2=2,7,IF(BMO2=1,6,8))),FALSE()))</f>
        <v> </v>
      </c>
      <c r="Q210" s="402" t="str">
        <f aca="false">IF(A210="N/A"," ",(VLOOKUP(A210,OPPowerPrices,(IF(BMO2=2,7,IF(BMO2=1,6,8))),FALSE())))</f>
        <v> </v>
      </c>
      <c r="R210" s="403" t="str">
        <f aca="false">IF(A210="N/A"," ",(VLOOKUP($A210,IRTable,2)))</f>
        <v> </v>
      </c>
      <c r="AF210" s="352" t="n">
        <v>42826</v>
      </c>
      <c r="AG210" s="311" t="n">
        <v>20</v>
      </c>
      <c r="AH210" s="311" t="n">
        <v>5</v>
      </c>
      <c r="AI210" s="311" t="n">
        <v>5</v>
      </c>
      <c r="AJ210" s="311" t="n">
        <v>0</v>
      </c>
      <c r="AK210" s="311" t="n">
        <v>30</v>
      </c>
      <c r="AU210" s="406"/>
    </row>
    <row r="211" customFormat="false" ht="12.75" hidden="false" customHeight="false" outlineLevel="0" collapsed="false">
      <c r="A211" s="352" t="str">
        <f aca="false">Option2!A178</f>
        <v>N/A</v>
      </c>
      <c r="B211" s="396" t="str">
        <f aca="false">IF(A211="N/A"," ",IF(ISERROR(N211),B199*Pwresc,N211)*VLOOKUP(MONTH(A211),Curveadj,3))</f>
        <v> </v>
      </c>
      <c r="C211" s="397" t="str">
        <f aca="false">IF(A211="N/A"," ",(IF(AND(Scaler2=1,MONTH(A211)&gt;=6,MONTH(A211)&lt;=8,OR($M$37="REGION 2",$M$37="REGION 2A",$M$37="REGION 2B",$M$37="REGION 3",$M$37="REGION 3A",$M$37="REGION 3B",$M$37="REGION 3C",$M$37="REGION 4",$M$37="REGION 4B",$M$37="REGION 4C",$M$37="REGION 5",$M$37="REGION 5A")),((0.059228/(B211/100))-(0.4980013/(SQRT(B211/100)))+2.137988),HLOOKUP(MONTH(A211),ScalarTable,28))))</f>
        <v> </v>
      </c>
      <c r="D211" s="398" t="str">
        <f aca="false">IF(A211="N/A"," ",C211*B211)</f>
        <v> </v>
      </c>
      <c r="E211" s="396" t="str">
        <f aca="false">IF(A211="N/A"," ",IF(ISERROR(O211),E199*Pwresc,O211)*VLOOKUP(MONTH(A211),Curveadj,3))</f>
        <v> </v>
      </c>
      <c r="F211" s="398" t="str">
        <f aca="false">IF(A211="N/A"," ",E211*C211)</f>
        <v> </v>
      </c>
      <c r="G211" s="396" t="str">
        <f aca="false">IF(A211="N/A"," ",IF(ISERROR(P211),G199*Pwresc,P211)*VLOOKUP(MONTH(A211),Curveadj,3))</f>
        <v> </v>
      </c>
      <c r="H211" s="398" t="str">
        <f aca="false">IF(A211="N/A"," ",G211*C211)</f>
        <v> </v>
      </c>
      <c r="I211" s="398" t="str">
        <f aca="false">IF(A211="N/A"," ",IF(ISERROR(Q211),I199*Pwresc,Q211))</f>
        <v> </v>
      </c>
      <c r="J211" s="398"/>
      <c r="K211" s="399"/>
      <c r="L211" s="399"/>
      <c r="M211" s="404"/>
      <c r="N211" s="401" t="str">
        <f aca="false">IF(A211="N/A"," ",VLOOKUP(A211,PeakPowerCurves,(IF(BMO2=2,3,IF(BMO2=1,2,4))),FALSE()))</f>
        <v> </v>
      </c>
      <c r="O211" s="401" t="str">
        <f aca="false">IF(A211="N/A"," ",VLOOKUP(A211,SatSunPeakPwr,(IF(BMO2=2,3,IF(BMO2=1,2,4))),FALSE()))</f>
        <v> </v>
      </c>
      <c r="P211" s="401" t="str">
        <f aca="false">IF(A211="N/A"," ",VLOOKUP(A211,SatSunPeakPwr,(IF(BMO2=2,7,IF(BMO2=1,6,8))),FALSE()))</f>
        <v> </v>
      </c>
      <c r="Q211" s="402" t="str">
        <f aca="false">IF(A211="N/A"," ",(VLOOKUP(A211,OPPowerPrices,(IF(BMO2=2,7,IF(BMO2=1,6,8))),FALSE())))</f>
        <v> </v>
      </c>
      <c r="R211" s="403" t="str">
        <f aca="false">IF(A211="N/A"," ",(VLOOKUP($A211,IRTable,2)))</f>
        <v> </v>
      </c>
      <c r="AF211" s="352" t="n">
        <v>42856</v>
      </c>
      <c r="AG211" s="311" t="n">
        <v>22</v>
      </c>
      <c r="AH211" s="311" t="n">
        <v>4</v>
      </c>
      <c r="AI211" s="311" t="n">
        <v>5</v>
      </c>
      <c r="AJ211" s="311" t="n">
        <v>1</v>
      </c>
      <c r="AK211" s="311" t="n">
        <v>31</v>
      </c>
      <c r="AU211" s="406"/>
    </row>
    <row r="212" customFormat="false" ht="12.75" hidden="false" customHeight="false" outlineLevel="0" collapsed="false">
      <c r="A212" s="352" t="str">
        <f aca="false">Option2!A179</f>
        <v>N/A</v>
      </c>
      <c r="B212" s="396" t="str">
        <f aca="false">IF(A212="N/A"," ",IF(ISERROR(N212),B200*Pwresc,N212)*VLOOKUP(MONTH(A212),Curveadj,3))</f>
        <v> </v>
      </c>
      <c r="C212" s="397" t="str">
        <f aca="false">IF(A212="N/A"," ",(IF(AND(Scaler2=1,MONTH(A212)&gt;=6,MONTH(A212)&lt;=8,OR($M$37="REGION 2",$M$37="REGION 2A",$M$37="REGION 2B",$M$37="REGION 3",$M$37="REGION 3A",$M$37="REGION 3B",$M$37="REGION 3C",$M$37="REGION 4",$M$37="REGION 4B",$M$37="REGION 4C",$M$37="REGION 5",$M$37="REGION 5A")),((0.059228/(B212/100))-(0.4980013/(SQRT(B212/100)))+2.137988),HLOOKUP(MONTH(A212),ScalarTable,28))))</f>
        <v> </v>
      </c>
      <c r="D212" s="398" t="str">
        <f aca="false">IF(A212="N/A"," ",C212*B212)</f>
        <v> </v>
      </c>
      <c r="E212" s="396" t="str">
        <f aca="false">IF(A212="N/A"," ",IF(ISERROR(O212),E200*Pwresc,O212)*VLOOKUP(MONTH(A212),Curveadj,3))</f>
        <v> </v>
      </c>
      <c r="F212" s="398" t="str">
        <f aca="false">IF(A212="N/A"," ",E212*C212)</f>
        <v> </v>
      </c>
      <c r="G212" s="396" t="str">
        <f aca="false">IF(A212="N/A"," ",IF(ISERROR(P212),G200*Pwresc,P212)*VLOOKUP(MONTH(A212),Curveadj,3))</f>
        <v> </v>
      </c>
      <c r="H212" s="398" t="str">
        <f aca="false">IF(A212="N/A"," ",G212*C212)</f>
        <v> </v>
      </c>
      <c r="I212" s="398" t="str">
        <f aca="false">IF(A212="N/A"," ",IF(ISERROR(Q212),I200*Pwresc,Q212))</f>
        <v> </v>
      </c>
      <c r="J212" s="398"/>
      <c r="K212" s="399"/>
      <c r="L212" s="399"/>
      <c r="M212" s="404"/>
      <c r="N212" s="401" t="str">
        <f aca="false">IF(A212="N/A"," ",VLOOKUP(A212,PeakPowerCurves,(IF(BMO2=2,3,IF(BMO2=1,2,4))),FALSE()))</f>
        <v> </v>
      </c>
      <c r="O212" s="401" t="str">
        <f aca="false">IF(A212="N/A"," ",VLOOKUP(A212,SatSunPeakPwr,(IF(BMO2=2,3,IF(BMO2=1,2,4))),FALSE()))</f>
        <v> </v>
      </c>
      <c r="P212" s="401" t="str">
        <f aca="false">IF(A212="N/A"," ",VLOOKUP(A212,SatSunPeakPwr,(IF(BMO2=2,7,IF(BMO2=1,6,8))),FALSE()))</f>
        <v> </v>
      </c>
      <c r="Q212" s="402" t="str">
        <f aca="false">IF(A212="N/A"," ",(VLOOKUP(A212,OPPowerPrices,(IF(BMO2=2,7,IF(BMO2=1,6,8))),FALSE())))</f>
        <v> </v>
      </c>
      <c r="R212" s="403" t="str">
        <f aca="false">IF(A212="N/A"," ",(VLOOKUP($A212,IRTable,2)))</f>
        <v> </v>
      </c>
      <c r="AF212" s="352" t="n">
        <v>42887</v>
      </c>
      <c r="AG212" s="311" t="n">
        <v>22</v>
      </c>
      <c r="AH212" s="311" t="n">
        <v>4</v>
      </c>
      <c r="AI212" s="311" t="n">
        <v>4</v>
      </c>
      <c r="AJ212" s="311" t="n">
        <v>0</v>
      </c>
      <c r="AK212" s="311" t="n">
        <v>30</v>
      </c>
      <c r="AU212" s="406"/>
    </row>
    <row r="213" customFormat="false" ht="12.75" hidden="false" customHeight="false" outlineLevel="0" collapsed="false">
      <c r="A213" s="352" t="str">
        <f aca="false">Option2!A180</f>
        <v>N/A</v>
      </c>
      <c r="B213" s="396" t="str">
        <f aca="false">IF(A213="N/A"," ",IF(ISERROR(N213),B201*Pwresc,N213)*VLOOKUP(MONTH(A213),Curveadj,3))</f>
        <v> </v>
      </c>
      <c r="C213" s="397" t="str">
        <f aca="false">IF(A213="N/A"," ",(IF(AND(Scaler2=1,MONTH(A213)&gt;=6,MONTH(A213)&lt;=8,OR($M$37="REGION 2",$M$37="REGION 2A",$M$37="REGION 2B",$M$37="REGION 3",$M$37="REGION 3A",$M$37="REGION 3B",$M$37="REGION 3C",$M$37="REGION 4",$M$37="REGION 4B",$M$37="REGION 4C",$M$37="REGION 5",$M$37="REGION 5A")),((0.059228/(B213/100))-(0.4980013/(SQRT(B213/100)))+2.137988),HLOOKUP(MONTH(A213),ScalarTable,28))))</f>
        <v> </v>
      </c>
      <c r="D213" s="398" t="str">
        <f aca="false">IF(A213="N/A"," ",C213*B213)</f>
        <v> </v>
      </c>
      <c r="E213" s="396" t="str">
        <f aca="false">IF(A213="N/A"," ",IF(ISERROR(O213),E201*Pwresc,O213)*VLOOKUP(MONTH(A213),Curveadj,3))</f>
        <v> </v>
      </c>
      <c r="F213" s="398" t="str">
        <f aca="false">IF(A213="N/A"," ",E213*C213)</f>
        <v> </v>
      </c>
      <c r="G213" s="396" t="str">
        <f aca="false">IF(A213="N/A"," ",IF(ISERROR(P213),G201*Pwresc,P213)*VLOOKUP(MONTH(A213),Curveadj,3))</f>
        <v> </v>
      </c>
      <c r="H213" s="398" t="str">
        <f aca="false">IF(A213="N/A"," ",G213*C213)</f>
        <v> </v>
      </c>
      <c r="I213" s="398" t="str">
        <f aca="false">IF(A213="N/A"," ",IF(ISERROR(Q213),I201*Pwresc,Q213))</f>
        <v> </v>
      </c>
      <c r="J213" s="398"/>
      <c r="K213" s="399"/>
      <c r="L213" s="399"/>
      <c r="M213" s="404"/>
      <c r="N213" s="401" t="str">
        <f aca="false">IF(A213="N/A"," ",VLOOKUP(A213,PeakPowerCurves,(IF(BMO2=2,3,IF(BMO2=1,2,4))),FALSE()))</f>
        <v> </v>
      </c>
      <c r="O213" s="401" t="str">
        <f aca="false">IF(A213="N/A"," ",VLOOKUP(A213,SatSunPeakPwr,(IF(BMO2=2,3,IF(BMO2=1,2,4))),FALSE()))</f>
        <v> </v>
      </c>
      <c r="P213" s="401" t="str">
        <f aca="false">IF(A213="N/A"," ",VLOOKUP(A213,SatSunPeakPwr,(IF(BMO2=2,7,IF(BMO2=1,6,8))),FALSE()))</f>
        <v> </v>
      </c>
      <c r="Q213" s="402" t="str">
        <f aca="false">IF(A213="N/A"," ",(VLOOKUP(A213,OPPowerPrices,(IF(BMO2=2,7,IF(BMO2=1,6,8))),FALSE())))</f>
        <v> </v>
      </c>
      <c r="R213" s="403" t="str">
        <f aca="false">IF(A213="N/A"," ",(VLOOKUP($A213,IRTable,2)))</f>
        <v> </v>
      </c>
      <c r="AF213" s="352" t="n">
        <v>42917</v>
      </c>
      <c r="AG213" s="311" t="n">
        <v>20</v>
      </c>
      <c r="AH213" s="311" t="n">
        <v>5</v>
      </c>
      <c r="AI213" s="311" t="n">
        <v>6</v>
      </c>
      <c r="AJ213" s="311" t="n">
        <v>1</v>
      </c>
      <c r="AK213" s="311" t="n">
        <v>31</v>
      </c>
      <c r="AU213" s="406"/>
    </row>
    <row r="214" customFormat="false" ht="12.75" hidden="false" customHeight="false" outlineLevel="0" collapsed="false">
      <c r="A214" s="352" t="str">
        <f aca="false">Option2!A181</f>
        <v>N/A</v>
      </c>
      <c r="B214" s="396" t="str">
        <f aca="false">IF(A214="N/A"," ",IF(ISERROR(N214),B202*Pwresc,N214)*VLOOKUP(MONTH(A214),Curveadj,3))</f>
        <v> </v>
      </c>
      <c r="C214" s="397" t="str">
        <f aca="false">IF(A214="N/A"," ",(IF(AND(Scaler2=1,MONTH(A214)&gt;=6,MONTH(A214)&lt;=8,OR($M$37="REGION 2",$M$37="REGION 2A",$M$37="REGION 2B",$M$37="REGION 3",$M$37="REGION 3A",$M$37="REGION 3B",$M$37="REGION 3C",$M$37="REGION 4",$M$37="REGION 4B",$M$37="REGION 4C",$M$37="REGION 5",$M$37="REGION 5A")),((0.059228/(B214/100))-(0.4980013/(SQRT(B214/100)))+2.137988),HLOOKUP(MONTH(A214),ScalarTable,28))))</f>
        <v> </v>
      </c>
      <c r="D214" s="398" t="str">
        <f aca="false">IF(A214="N/A"," ",C214*B214)</f>
        <v> </v>
      </c>
      <c r="E214" s="396" t="str">
        <f aca="false">IF(A214="N/A"," ",IF(ISERROR(O214),E202*Pwresc,O214)*VLOOKUP(MONTH(A214),Curveadj,3))</f>
        <v> </v>
      </c>
      <c r="F214" s="398" t="str">
        <f aca="false">IF(A214="N/A"," ",E214*C214)</f>
        <v> </v>
      </c>
      <c r="G214" s="396" t="str">
        <f aca="false">IF(A214="N/A"," ",IF(ISERROR(P214),G202*Pwresc,P214)*VLOOKUP(MONTH(A214),Curveadj,3))</f>
        <v> </v>
      </c>
      <c r="H214" s="398" t="str">
        <f aca="false">IF(A214="N/A"," ",G214*C214)</f>
        <v> </v>
      </c>
      <c r="I214" s="398" t="str">
        <f aca="false">IF(A214="N/A"," ",IF(ISERROR(Q214),I202*Pwresc,Q214))</f>
        <v> </v>
      </c>
      <c r="J214" s="398"/>
      <c r="K214" s="399"/>
      <c r="L214" s="399"/>
      <c r="M214" s="404"/>
      <c r="N214" s="401" t="str">
        <f aca="false">IF(A214="N/A"," ",VLOOKUP(A214,PeakPowerCurves,(IF(BMO2=2,3,IF(BMO2=1,2,4))),FALSE()))</f>
        <v> </v>
      </c>
      <c r="O214" s="401" t="str">
        <f aca="false">IF(A214="N/A"," ",VLOOKUP(A214,SatSunPeakPwr,(IF(BMO2=2,3,IF(BMO2=1,2,4))),FALSE()))</f>
        <v> </v>
      </c>
      <c r="P214" s="401" t="str">
        <f aca="false">IF(A214="N/A"," ",VLOOKUP(A214,SatSunPeakPwr,(IF(BMO2=2,7,IF(BMO2=1,6,8))),FALSE()))</f>
        <v> </v>
      </c>
      <c r="Q214" s="402" t="str">
        <f aca="false">IF(A214="N/A"," ",(VLOOKUP(A214,OPPowerPrices,(IF(BMO2=2,7,IF(BMO2=1,6,8))),FALSE())))</f>
        <v> </v>
      </c>
      <c r="R214" s="403" t="str">
        <f aca="false">IF(A214="N/A"," ",(VLOOKUP($A214,IRTable,2)))</f>
        <v> </v>
      </c>
      <c r="AF214" s="352" t="n">
        <v>42948</v>
      </c>
      <c r="AG214" s="311" t="n">
        <v>23</v>
      </c>
      <c r="AH214" s="311" t="n">
        <v>4</v>
      </c>
      <c r="AI214" s="311" t="n">
        <v>4</v>
      </c>
      <c r="AJ214" s="311" t="n">
        <v>0</v>
      </c>
      <c r="AK214" s="311" t="n">
        <v>31</v>
      </c>
      <c r="AU214" s="406"/>
    </row>
    <row r="215" customFormat="false" ht="12.75" hidden="false" customHeight="false" outlineLevel="0" collapsed="false">
      <c r="A215" s="352" t="str">
        <f aca="false">Option2!A182</f>
        <v>N/A</v>
      </c>
      <c r="B215" s="396" t="str">
        <f aca="false">IF(A215="N/A"," ",IF(ISERROR(N215),B203*Pwresc,N215)*VLOOKUP(MONTH(A215),Curveadj,3))</f>
        <v> </v>
      </c>
      <c r="C215" s="397" t="str">
        <f aca="false">IF(A215="N/A"," ",(IF(AND(Scaler2=1,MONTH(A215)&gt;=6,MONTH(A215)&lt;=8,OR($M$37="REGION 2",$M$37="REGION 2A",$M$37="REGION 2B",$M$37="REGION 3",$M$37="REGION 3A",$M$37="REGION 3B",$M$37="REGION 3C",$M$37="REGION 4",$M$37="REGION 4B",$M$37="REGION 4C",$M$37="REGION 5",$M$37="REGION 5A")),((0.059228/(B215/100))-(0.4980013/(SQRT(B215/100)))+2.137988),HLOOKUP(MONTH(A215),ScalarTable,28))))</f>
        <v> </v>
      </c>
      <c r="D215" s="398" t="str">
        <f aca="false">IF(A215="N/A"," ",C215*B215)</f>
        <v> </v>
      </c>
      <c r="E215" s="396" t="str">
        <f aca="false">IF(A215="N/A"," ",IF(ISERROR(O215),E203*Pwresc,O215)*VLOOKUP(MONTH(A215),Curveadj,3))</f>
        <v> </v>
      </c>
      <c r="F215" s="398" t="str">
        <f aca="false">IF(A215="N/A"," ",E215*C215)</f>
        <v> </v>
      </c>
      <c r="G215" s="396" t="str">
        <f aca="false">IF(A215="N/A"," ",IF(ISERROR(P215),G203*Pwresc,P215)*VLOOKUP(MONTH(A215),Curveadj,3))</f>
        <v> </v>
      </c>
      <c r="H215" s="398" t="str">
        <f aca="false">IF(A215="N/A"," ",G215*C215)</f>
        <v> </v>
      </c>
      <c r="I215" s="398" t="str">
        <f aca="false">IF(A215="N/A"," ",IF(ISERROR(Q215),I203*Pwresc,Q215))</f>
        <v> </v>
      </c>
      <c r="J215" s="398"/>
      <c r="K215" s="399"/>
      <c r="L215" s="399"/>
      <c r="M215" s="404"/>
      <c r="N215" s="401" t="str">
        <f aca="false">IF(A215="N/A"," ",VLOOKUP(A215,PeakPowerCurves,(IF(BMO2=2,3,IF(BMO2=1,2,4))),FALSE()))</f>
        <v> </v>
      </c>
      <c r="O215" s="401" t="str">
        <f aca="false">IF(A215="N/A"," ",VLOOKUP(A215,SatSunPeakPwr,(IF(BMO2=2,3,IF(BMO2=1,2,4))),FALSE()))</f>
        <v> </v>
      </c>
      <c r="P215" s="401" t="str">
        <f aca="false">IF(A215="N/A"," ",VLOOKUP(A215,SatSunPeakPwr,(IF(BMO2=2,7,IF(BMO2=1,6,8))),FALSE()))</f>
        <v> </v>
      </c>
      <c r="Q215" s="402" t="str">
        <f aca="false">IF(A215="N/A"," ",(VLOOKUP(A215,OPPowerPrices,(IF(BMO2=2,7,IF(BMO2=1,6,8))),FALSE())))</f>
        <v> </v>
      </c>
      <c r="R215" s="403" t="str">
        <f aca="false">IF(A215="N/A"," ",(VLOOKUP($A215,IRTable,2)))</f>
        <v> </v>
      </c>
      <c r="AF215" s="352" t="n">
        <v>42979</v>
      </c>
      <c r="AG215" s="311" t="n">
        <v>20</v>
      </c>
      <c r="AH215" s="311" t="n">
        <v>5</v>
      </c>
      <c r="AI215" s="311" t="n">
        <v>5</v>
      </c>
      <c r="AJ215" s="311" t="n">
        <v>1</v>
      </c>
      <c r="AK215" s="311" t="n">
        <v>30</v>
      </c>
      <c r="AU215" s="406"/>
    </row>
    <row r="216" customFormat="false" ht="12.75" hidden="false" customHeight="false" outlineLevel="0" collapsed="false">
      <c r="A216" s="352" t="str">
        <f aca="false">Option2!A183</f>
        <v>N/A</v>
      </c>
      <c r="B216" s="396" t="str">
        <f aca="false">IF(A216="N/A"," ",IF(ISERROR(N216),B204*Pwresc,N216)*VLOOKUP(MONTH(A216),Curveadj,3))</f>
        <v> </v>
      </c>
      <c r="C216" s="397" t="str">
        <f aca="false">IF(A216="N/A"," ",(IF(AND(Scaler2=1,MONTH(A216)&gt;=6,MONTH(A216)&lt;=8,OR($M$37="REGION 2",$M$37="REGION 2A",$M$37="REGION 2B",$M$37="REGION 3",$M$37="REGION 3A",$M$37="REGION 3B",$M$37="REGION 3C",$M$37="REGION 4",$M$37="REGION 4B",$M$37="REGION 4C",$M$37="REGION 5",$M$37="REGION 5A")),((0.059228/(B216/100))-(0.4980013/(SQRT(B216/100)))+2.137988),HLOOKUP(MONTH(A216),ScalarTable,28))))</f>
        <v> </v>
      </c>
      <c r="D216" s="398" t="str">
        <f aca="false">IF(A216="N/A"," ",C216*B216)</f>
        <v> </v>
      </c>
      <c r="E216" s="396" t="str">
        <f aca="false">IF(A216="N/A"," ",IF(ISERROR(O216),E204*Pwresc,O216)*VLOOKUP(MONTH(A216),Curveadj,3))</f>
        <v> </v>
      </c>
      <c r="F216" s="398" t="str">
        <f aca="false">IF(A216="N/A"," ",E216*C216)</f>
        <v> </v>
      </c>
      <c r="G216" s="396" t="str">
        <f aca="false">IF(A216="N/A"," ",IF(ISERROR(P216),G204*Pwresc,P216)*VLOOKUP(MONTH(A216),Curveadj,3))</f>
        <v> </v>
      </c>
      <c r="H216" s="398" t="str">
        <f aca="false">IF(A216="N/A"," ",G216*C216)</f>
        <v> </v>
      </c>
      <c r="I216" s="398" t="str">
        <f aca="false">IF(A216="N/A"," ",IF(ISERROR(Q216),I204*Pwresc,Q216))</f>
        <v> </v>
      </c>
      <c r="J216" s="398"/>
      <c r="K216" s="399"/>
      <c r="L216" s="399"/>
      <c r="M216" s="404"/>
      <c r="N216" s="401" t="str">
        <f aca="false">IF(A216="N/A"," ",VLOOKUP(A216,PeakPowerCurves,(IF(BMO2=2,3,IF(BMO2=1,2,4))),FALSE()))</f>
        <v> </v>
      </c>
      <c r="O216" s="401" t="str">
        <f aca="false">IF(A216="N/A"," ",VLOOKUP(A216,SatSunPeakPwr,(IF(BMO2=2,3,IF(BMO2=1,2,4))),FALSE()))</f>
        <v> </v>
      </c>
      <c r="P216" s="401" t="str">
        <f aca="false">IF(A216="N/A"," ",VLOOKUP(A216,SatSunPeakPwr,(IF(BMO2=2,7,IF(BMO2=1,6,8))),FALSE()))</f>
        <v> </v>
      </c>
      <c r="Q216" s="402" t="str">
        <f aca="false">IF(A216="N/A"," ",(VLOOKUP(A216,OPPowerPrices,(IF(BMO2=2,7,IF(BMO2=1,6,8))),FALSE())))</f>
        <v> </v>
      </c>
      <c r="R216" s="403" t="str">
        <f aca="false">IF(A216="N/A"," ",(VLOOKUP($A216,IRTable,2)))</f>
        <v> </v>
      </c>
      <c r="AF216" s="352" t="n">
        <v>43009</v>
      </c>
      <c r="AG216" s="311" t="n">
        <v>22</v>
      </c>
      <c r="AH216" s="311" t="n">
        <v>4</v>
      </c>
      <c r="AI216" s="311" t="n">
        <v>5</v>
      </c>
      <c r="AJ216" s="311" t="n">
        <v>0</v>
      </c>
      <c r="AK216" s="311" t="n">
        <v>31</v>
      </c>
      <c r="AU216" s="406"/>
    </row>
    <row r="217" customFormat="false" ht="12.75" hidden="false" customHeight="false" outlineLevel="0" collapsed="false">
      <c r="A217" s="352" t="str">
        <f aca="false">Option2!A184</f>
        <v>N/A</v>
      </c>
      <c r="B217" s="396" t="str">
        <f aca="false">IF(A217="N/A"," ",IF(ISERROR(N217),B205*Pwresc,N217)*VLOOKUP(MONTH(A217),Curveadj,3))</f>
        <v> </v>
      </c>
      <c r="C217" s="397" t="str">
        <f aca="false">IF(A217="N/A"," ",(IF(AND(Scaler2=1,MONTH(A217)&gt;=6,MONTH(A217)&lt;=8,OR($M$37="REGION 2",$M$37="REGION 2A",$M$37="REGION 2B",$M$37="REGION 3",$M$37="REGION 3A",$M$37="REGION 3B",$M$37="REGION 3C",$M$37="REGION 4",$M$37="REGION 4B",$M$37="REGION 4C",$M$37="REGION 5",$M$37="REGION 5A")),((0.059228/(B217/100))-(0.4980013/(SQRT(B217/100)))+2.137988),HLOOKUP(MONTH(A217),ScalarTable,28))))</f>
        <v> </v>
      </c>
      <c r="D217" s="398" t="str">
        <f aca="false">IF(A217="N/A"," ",C217*B217)</f>
        <v> </v>
      </c>
      <c r="E217" s="396" t="str">
        <f aca="false">IF(A217="N/A"," ",IF(ISERROR(O217),E205*Pwresc,O217)*VLOOKUP(MONTH(A217),Curveadj,3))</f>
        <v> </v>
      </c>
      <c r="F217" s="398" t="str">
        <f aca="false">IF(A217="N/A"," ",E217*C217)</f>
        <v> </v>
      </c>
      <c r="G217" s="396" t="str">
        <f aca="false">IF(A217="N/A"," ",IF(ISERROR(P217),G205*Pwresc,P217)*VLOOKUP(MONTH(A217),Curveadj,3))</f>
        <v> </v>
      </c>
      <c r="H217" s="398" t="str">
        <f aca="false">IF(A217="N/A"," ",G217*C217)</f>
        <v> </v>
      </c>
      <c r="I217" s="398" t="str">
        <f aca="false">IF(A217="N/A"," ",IF(ISERROR(Q217),I205*Pwresc,Q217))</f>
        <v> </v>
      </c>
      <c r="J217" s="398"/>
      <c r="K217" s="399"/>
      <c r="L217" s="399"/>
      <c r="M217" s="404"/>
      <c r="N217" s="401" t="str">
        <f aca="false">IF(A217="N/A"," ",VLOOKUP(A217,PeakPowerCurves,(IF(BMO2=2,3,IF(BMO2=1,2,4))),FALSE()))</f>
        <v> </v>
      </c>
      <c r="O217" s="401" t="str">
        <f aca="false">IF(A217="N/A"," ",VLOOKUP(A217,SatSunPeakPwr,(IF(BMO2=2,3,IF(BMO2=1,2,4))),FALSE()))</f>
        <v> </v>
      </c>
      <c r="P217" s="401" t="str">
        <f aca="false">IF(A217="N/A"," ",VLOOKUP(A217,SatSunPeakPwr,(IF(BMO2=2,7,IF(BMO2=1,6,8))),FALSE()))</f>
        <v> </v>
      </c>
      <c r="Q217" s="402" t="str">
        <f aca="false">IF(A217="N/A"," ",(VLOOKUP(A217,OPPowerPrices,(IF(BMO2=2,7,IF(BMO2=1,6,8))),FALSE())))</f>
        <v> </v>
      </c>
      <c r="R217" s="403" t="str">
        <f aca="false">IF(A217="N/A"," ",(VLOOKUP($A217,IRTable,2)))</f>
        <v> </v>
      </c>
      <c r="AF217" s="352" t="n">
        <v>43040</v>
      </c>
      <c r="AG217" s="311" t="n">
        <v>21</v>
      </c>
      <c r="AH217" s="311" t="n">
        <v>4</v>
      </c>
      <c r="AI217" s="311" t="n">
        <v>5</v>
      </c>
      <c r="AJ217" s="311" t="n">
        <v>1</v>
      </c>
      <c r="AK217" s="311" t="n">
        <v>30</v>
      </c>
      <c r="AU217" s="406"/>
    </row>
    <row r="218" customFormat="false" ht="12.75" hidden="false" customHeight="false" outlineLevel="0" collapsed="false">
      <c r="A218" s="352" t="str">
        <f aca="false">Option2!A185</f>
        <v>N/A</v>
      </c>
      <c r="B218" s="396" t="str">
        <f aca="false">IF(A218="N/A"," ",IF(ISERROR(N218),B206*Pwresc,N218)*VLOOKUP(MONTH(A218),Curveadj,3))</f>
        <v> </v>
      </c>
      <c r="C218" s="397" t="str">
        <f aca="false">IF(A218="N/A"," ",(IF(AND(Scaler2=1,MONTH(A218)&gt;=6,MONTH(A218)&lt;=8,OR($M$37="REGION 2",$M$37="REGION 2A",$M$37="REGION 2B",$M$37="REGION 3",$M$37="REGION 3A",$M$37="REGION 3B",$M$37="REGION 3C",$M$37="REGION 4",$M$37="REGION 4B",$M$37="REGION 4C",$M$37="REGION 5",$M$37="REGION 5A")),((0.059228/(B218/100))-(0.4980013/(SQRT(B218/100)))+2.137988),HLOOKUP(MONTH(A218),ScalarTable,28))))</f>
        <v> </v>
      </c>
      <c r="D218" s="398" t="str">
        <f aca="false">IF(A218="N/A"," ",C218*B218)</f>
        <v> </v>
      </c>
      <c r="E218" s="396" t="str">
        <f aca="false">IF(A218="N/A"," ",IF(ISERROR(O218),E206*Pwresc,O218)*VLOOKUP(MONTH(A218),Curveadj,3))</f>
        <v> </v>
      </c>
      <c r="F218" s="398" t="str">
        <f aca="false">IF(A218="N/A"," ",E218*C218)</f>
        <v> </v>
      </c>
      <c r="G218" s="396" t="str">
        <f aca="false">IF(A218="N/A"," ",IF(ISERROR(P218),G206*Pwresc,P218)*VLOOKUP(MONTH(A218),Curveadj,3))</f>
        <v> </v>
      </c>
      <c r="H218" s="398" t="str">
        <f aca="false">IF(A218="N/A"," ",G218*C218)</f>
        <v> </v>
      </c>
      <c r="I218" s="398" t="str">
        <f aca="false">IF(A218="N/A"," ",IF(ISERROR(Q218),I206*Pwresc,Q218))</f>
        <v> </v>
      </c>
      <c r="J218" s="398"/>
      <c r="K218" s="399"/>
      <c r="L218" s="399"/>
      <c r="M218" s="404"/>
      <c r="N218" s="401" t="str">
        <f aca="false">IF(A218="N/A"," ",VLOOKUP(A218,PeakPowerCurves,(IF(BMO2=2,3,IF(BMO2=1,2,4))),FALSE()))</f>
        <v> </v>
      </c>
      <c r="O218" s="401" t="str">
        <f aca="false">IF(A218="N/A"," ",VLOOKUP(A218,SatSunPeakPwr,(IF(BMO2=2,3,IF(BMO2=1,2,4))),FALSE()))</f>
        <v> </v>
      </c>
      <c r="P218" s="401" t="str">
        <f aca="false">IF(A218="N/A"," ",VLOOKUP(A218,SatSunPeakPwr,(IF(BMO2=2,7,IF(BMO2=1,6,8))),FALSE()))</f>
        <v> </v>
      </c>
      <c r="Q218" s="402" t="str">
        <f aca="false">IF(A218="N/A"," ",(VLOOKUP(A218,OPPowerPrices,(IF(BMO2=2,7,IF(BMO2=1,6,8))),FALSE())))</f>
        <v> </v>
      </c>
      <c r="R218" s="403" t="str">
        <f aca="false">IF(A218="N/A"," ",(VLOOKUP($A218,IRTable,2)))</f>
        <v> </v>
      </c>
      <c r="AF218" s="352" t="n">
        <v>43070</v>
      </c>
      <c r="AG218" s="311" t="n">
        <v>20</v>
      </c>
      <c r="AH218" s="311" t="n">
        <v>5</v>
      </c>
      <c r="AI218" s="311" t="n">
        <v>6</v>
      </c>
      <c r="AJ218" s="311" t="n">
        <v>1</v>
      </c>
      <c r="AK218" s="311" t="n">
        <v>31</v>
      </c>
      <c r="AU218" s="406"/>
    </row>
    <row r="219" customFormat="false" ht="12.75" hidden="false" customHeight="false" outlineLevel="0" collapsed="false">
      <c r="A219" s="352" t="str">
        <f aca="false">Option2!A186</f>
        <v>N/A</v>
      </c>
      <c r="B219" s="396" t="str">
        <f aca="false">IF(A219="N/A"," ",IF(ISERROR(N219),B207*Pwresc,N219)*VLOOKUP(MONTH(A219),Curveadj,3))</f>
        <v> </v>
      </c>
      <c r="C219" s="397" t="str">
        <f aca="false">IF(A219="N/A"," ",(IF(AND(Scaler2=1,MONTH(A219)&gt;=6,MONTH(A219)&lt;=8,OR($M$37="REGION 2",$M$37="REGION 2A",$M$37="REGION 2B",$M$37="REGION 3",$M$37="REGION 3A",$M$37="REGION 3B",$M$37="REGION 3C",$M$37="REGION 4",$M$37="REGION 4B",$M$37="REGION 4C",$M$37="REGION 5",$M$37="REGION 5A")),((0.059228/(B219/100))-(0.4980013/(SQRT(B219/100)))+2.137988),HLOOKUP(MONTH(A219),ScalarTable,28))))</f>
        <v> </v>
      </c>
      <c r="D219" s="398" t="str">
        <f aca="false">IF(A219="N/A"," ",C219*B219)</f>
        <v> </v>
      </c>
      <c r="E219" s="396" t="str">
        <f aca="false">IF(A219="N/A"," ",IF(ISERROR(O219),E207*Pwresc,O219)*VLOOKUP(MONTH(A219),Curveadj,3))</f>
        <v> </v>
      </c>
      <c r="F219" s="398" t="str">
        <f aca="false">IF(A219="N/A"," ",E219*C219)</f>
        <v> </v>
      </c>
      <c r="G219" s="396" t="str">
        <f aca="false">IF(A219="N/A"," ",IF(ISERROR(P219),G207*Pwresc,P219)*VLOOKUP(MONTH(A219),Curveadj,3))</f>
        <v> </v>
      </c>
      <c r="H219" s="398" t="str">
        <f aca="false">IF(A219="N/A"," ",G219*C219)</f>
        <v> </v>
      </c>
      <c r="I219" s="398" t="str">
        <f aca="false">IF(A219="N/A"," ",IF(ISERROR(Q219),I207*Pwresc,Q219))</f>
        <v> </v>
      </c>
      <c r="J219" s="398"/>
      <c r="K219" s="399"/>
      <c r="L219" s="399"/>
      <c r="M219" s="404"/>
      <c r="N219" s="401" t="str">
        <f aca="false">IF(A219="N/A"," ",VLOOKUP(A219,PeakPowerCurves,(IF(BMO2=2,3,IF(BMO2=1,2,4))),FALSE()))</f>
        <v> </v>
      </c>
      <c r="O219" s="401" t="str">
        <f aca="false">IF(A219="N/A"," ",VLOOKUP(A219,SatSunPeakPwr,(IF(BMO2=2,3,IF(BMO2=1,2,4))),FALSE()))</f>
        <v> </v>
      </c>
      <c r="P219" s="401" t="str">
        <f aca="false">IF(A219="N/A"," ",VLOOKUP(A219,SatSunPeakPwr,(IF(BMO2=2,7,IF(BMO2=1,6,8))),FALSE()))</f>
        <v> </v>
      </c>
      <c r="Q219" s="402" t="str">
        <f aca="false">IF(A219="N/A"," ",(VLOOKUP(A219,OPPowerPrices,(IF(BMO2=2,7,IF(BMO2=1,6,8))),FALSE())))</f>
        <v> </v>
      </c>
      <c r="R219" s="403" t="str">
        <f aca="false">IF(A219="N/A"," ",(VLOOKUP($A219,IRTable,2)))</f>
        <v> </v>
      </c>
      <c r="AF219" s="352" t="n">
        <v>43101</v>
      </c>
      <c r="AG219" s="311" t="n">
        <v>22</v>
      </c>
      <c r="AH219" s="311" t="n">
        <v>4</v>
      </c>
      <c r="AI219" s="311" t="n">
        <v>5</v>
      </c>
      <c r="AJ219" s="311" t="n">
        <v>1</v>
      </c>
      <c r="AK219" s="311" t="n">
        <v>31</v>
      </c>
      <c r="AU219" s="406"/>
    </row>
    <row r="220" customFormat="false" ht="12.75" hidden="false" customHeight="false" outlineLevel="0" collapsed="false">
      <c r="A220" s="352" t="str">
        <f aca="false">Option2!A187</f>
        <v>N/A</v>
      </c>
      <c r="B220" s="396" t="str">
        <f aca="false">IF(A220="N/A"," ",IF(ISERROR(N220),B208*Pwresc,N220)*VLOOKUP(MONTH(A220),Curveadj,3))</f>
        <v> </v>
      </c>
      <c r="C220" s="397" t="str">
        <f aca="false">IF(A220="N/A"," ",(IF(AND(Scaler2=1,MONTH(A220)&gt;=6,MONTH(A220)&lt;=8,OR($M$37="REGION 2",$M$37="REGION 2A",$M$37="REGION 2B",$M$37="REGION 3",$M$37="REGION 3A",$M$37="REGION 3B",$M$37="REGION 3C",$M$37="REGION 4",$M$37="REGION 4B",$M$37="REGION 4C",$M$37="REGION 5",$M$37="REGION 5A")),((0.059228/(B220/100))-(0.4980013/(SQRT(B220/100)))+2.137988),HLOOKUP(MONTH(A220),ScalarTable,28))))</f>
        <v> </v>
      </c>
      <c r="D220" s="398" t="str">
        <f aca="false">IF(A220="N/A"," ",C220*B220)</f>
        <v> </v>
      </c>
      <c r="E220" s="396" t="str">
        <f aca="false">IF(A220="N/A"," ",IF(ISERROR(O220),E208*Pwresc,O220)*VLOOKUP(MONTH(A220),Curveadj,3))</f>
        <v> </v>
      </c>
      <c r="F220" s="398" t="str">
        <f aca="false">IF(A220="N/A"," ",E220*C220)</f>
        <v> </v>
      </c>
      <c r="G220" s="396" t="str">
        <f aca="false">IF(A220="N/A"," ",IF(ISERROR(P220),G208*Pwresc,P220)*VLOOKUP(MONTH(A220),Curveadj,3))</f>
        <v> </v>
      </c>
      <c r="H220" s="398" t="str">
        <f aca="false">IF(A220="N/A"," ",G220*C220)</f>
        <v> </v>
      </c>
      <c r="I220" s="398" t="str">
        <f aca="false">IF(A220="N/A"," ",IF(ISERROR(Q220),I208*Pwresc,Q220))</f>
        <v> </v>
      </c>
      <c r="J220" s="398"/>
      <c r="K220" s="399"/>
      <c r="L220" s="399"/>
      <c r="M220" s="404"/>
      <c r="N220" s="401" t="str">
        <f aca="false">IF(A220="N/A"," ",VLOOKUP(A220,PeakPowerCurves,(IF(BMO2=2,3,IF(BMO2=1,2,4))),FALSE()))</f>
        <v> </v>
      </c>
      <c r="O220" s="401" t="str">
        <f aca="false">IF(A220="N/A"," ",VLOOKUP(A220,SatSunPeakPwr,(IF(BMO2=2,3,IF(BMO2=1,2,4))),FALSE()))</f>
        <v> </v>
      </c>
      <c r="P220" s="401" t="str">
        <f aca="false">IF(A220="N/A"," ",VLOOKUP(A220,SatSunPeakPwr,(IF(BMO2=2,7,IF(BMO2=1,6,8))),FALSE()))</f>
        <v> </v>
      </c>
      <c r="Q220" s="402" t="str">
        <f aca="false">IF(A220="N/A"," ",(VLOOKUP(A220,OPPowerPrices,(IF(BMO2=2,7,IF(BMO2=1,6,8))),FALSE())))</f>
        <v> </v>
      </c>
      <c r="R220" s="403" t="str">
        <f aca="false">IF(A220="N/A"," ",(VLOOKUP($A220,IRTable,2)))</f>
        <v> </v>
      </c>
      <c r="AF220" s="352" t="n">
        <v>43132</v>
      </c>
      <c r="AG220" s="311" t="n">
        <v>20</v>
      </c>
      <c r="AH220" s="311" t="n">
        <v>4</v>
      </c>
      <c r="AI220" s="311" t="n">
        <v>4</v>
      </c>
      <c r="AJ220" s="311" t="n">
        <v>0</v>
      </c>
      <c r="AK220" s="311" t="n">
        <v>28</v>
      </c>
      <c r="AU220" s="406"/>
    </row>
    <row r="221" customFormat="false" ht="12.75" hidden="false" customHeight="false" outlineLevel="0" collapsed="false">
      <c r="A221" s="352" t="str">
        <f aca="false">Option2!A188</f>
        <v>N/A</v>
      </c>
      <c r="B221" s="396" t="str">
        <f aca="false">IF(A221="N/A"," ",IF(ISERROR(N221),B209*Pwresc,N221)*VLOOKUP(MONTH(A221),Curveadj,3))</f>
        <v> </v>
      </c>
      <c r="C221" s="397" t="str">
        <f aca="false">IF(A221="N/A"," ",(IF(AND(Scaler2=1,MONTH(A221)&gt;=6,MONTH(A221)&lt;=8,OR($M$37="REGION 2",$M$37="REGION 2A",$M$37="REGION 2B",$M$37="REGION 3",$M$37="REGION 3A",$M$37="REGION 3B",$M$37="REGION 3C",$M$37="REGION 4",$M$37="REGION 4B",$M$37="REGION 4C",$M$37="REGION 5",$M$37="REGION 5A")),((0.059228/(B221/100))-(0.4980013/(SQRT(B221/100)))+2.137988),HLOOKUP(MONTH(A221),ScalarTable,28))))</f>
        <v> </v>
      </c>
      <c r="D221" s="398" t="str">
        <f aca="false">IF(A221="N/A"," ",C221*B221)</f>
        <v> </v>
      </c>
      <c r="E221" s="396" t="str">
        <f aca="false">IF(A221="N/A"," ",IF(ISERROR(O221),E209*Pwresc,O221)*VLOOKUP(MONTH(A221),Curveadj,3))</f>
        <v> </v>
      </c>
      <c r="F221" s="398" t="str">
        <f aca="false">IF(A221="N/A"," ",E221*C221)</f>
        <v> </v>
      </c>
      <c r="G221" s="396" t="str">
        <f aca="false">IF(A221="N/A"," ",IF(ISERROR(P221),G209*Pwresc,P221)*VLOOKUP(MONTH(A221),Curveadj,3))</f>
        <v> </v>
      </c>
      <c r="H221" s="398" t="str">
        <f aca="false">IF(A221="N/A"," ",G221*C221)</f>
        <v> </v>
      </c>
      <c r="I221" s="398" t="str">
        <f aca="false">IF(A221="N/A"," ",IF(ISERROR(Q221),I209*Pwresc,Q221))</f>
        <v> </v>
      </c>
      <c r="J221" s="398"/>
      <c r="K221" s="399"/>
      <c r="L221" s="399"/>
      <c r="M221" s="404"/>
      <c r="N221" s="401" t="str">
        <f aca="false">IF(A221="N/A"," ",VLOOKUP(A221,PeakPowerCurves,(IF(BMO2=2,3,IF(BMO2=1,2,4))),FALSE()))</f>
        <v> </v>
      </c>
      <c r="O221" s="401" t="str">
        <f aca="false">IF(A221="N/A"," ",VLOOKUP(A221,SatSunPeakPwr,(IF(BMO2=2,3,IF(BMO2=1,2,4))),FALSE()))</f>
        <v> </v>
      </c>
      <c r="P221" s="401" t="str">
        <f aca="false">IF(A221="N/A"," ",VLOOKUP(A221,SatSunPeakPwr,(IF(BMO2=2,7,IF(BMO2=1,6,8))),FALSE()))</f>
        <v> </v>
      </c>
      <c r="Q221" s="402" t="str">
        <f aca="false">IF(A221="N/A"," ",(VLOOKUP(A221,OPPowerPrices,(IF(BMO2=2,7,IF(BMO2=1,6,8))),FALSE())))</f>
        <v> </v>
      </c>
      <c r="R221" s="403" t="str">
        <f aca="false">IF(A221="N/A"," ",(VLOOKUP($A221,IRTable,2)))</f>
        <v> </v>
      </c>
      <c r="AF221" s="352" t="n">
        <v>43160</v>
      </c>
      <c r="AG221" s="311" t="n">
        <v>22</v>
      </c>
      <c r="AH221" s="311" t="n">
        <v>5</v>
      </c>
      <c r="AI221" s="311" t="n">
        <v>4</v>
      </c>
      <c r="AJ221" s="311" t="n">
        <v>0</v>
      </c>
      <c r="AK221" s="311" t="n">
        <v>31</v>
      </c>
      <c r="AU221" s="406"/>
    </row>
    <row r="222" customFormat="false" ht="12.75" hidden="false" customHeight="false" outlineLevel="0" collapsed="false">
      <c r="A222" s="352" t="str">
        <f aca="false">Option2!A189</f>
        <v>N/A</v>
      </c>
      <c r="B222" s="396" t="str">
        <f aca="false">IF(A222="N/A"," ",IF(ISERROR(N222),B210*Pwresc,N222)*VLOOKUP(MONTH(A222),Curveadj,3))</f>
        <v> </v>
      </c>
      <c r="C222" s="397" t="str">
        <f aca="false">IF(A222="N/A"," ",(IF(AND(Scaler2=1,MONTH(A222)&gt;=6,MONTH(A222)&lt;=8,OR($M$37="REGION 2",$M$37="REGION 2A",$M$37="REGION 2B",$M$37="REGION 3",$M$37="REGION 3A",$M$37="REGION 3B",$M$37="REGION 3C",$M$37="REGION 4",$M$37="REGION 4B",$M$37="REGION 4C",$M$37="REGION 5",$M$37="REGION 5A")),((0.059228/(B222/100))-(0.4980013/(SQRT(B222/100)))+2.137988),HLOOKUP(MONTH(A222),ScalarTable,28))))</f>
        <v> </v>
      </c>
      <c r="D222" s="398" t="str">
        <f aca="false">IF(A222="N/A"," ",C222*B222)</f>
        <v> </v>
      </c>
      <c r="E222" s="396" t="str">
        <f aca="false">IF(A222="N/A"," ",IF(ISERROR(O222),E210*Pwresc,O222)*VLOOKUP(MONTH(A222),Curveadj,3))</f>
        <v> </v>
      </c>
      <c r="F222" s="398" t="str">
        <f aca="false">IF(A222="N/A"," ",E222*C222)</f>
        <v> </v>
      </c>
      <c r="G222" s="396" t="str">
        <f aca="false">IF(A222="N/A"," ",IF(ISERROR(P222),G210*Pwresc,P222)*VLOOKUP(MONTH(A222),Curveadj,3))</f>
        <v> </v>
      </c>
      <c r="H222" s="398" t="str">
        <f aca="false">IF(A222="N/A"," ",G222*C222)</f>
        <v> </v>
      </c>
      <c r="I222" s="398" t="str">
        <f aca="false">IF(A222="N/A"," ",IF(ISERROR(Q222),I210*Pwresc,Q222))</f>
        <v> </v>
      </c>
      <c r="J222" s="398"/>
      <c r="K222" s="399"/>
      <c r="L222" s="399"/>
      <c r="M222" s="404"/>
      <c r="N222" s="401" t="str">
        <f aca="false">IF(A222="N/A"," ",VLOOKUP(A222,PeakPowerCurves,(IF(BMO2=2,3,IF(BMO2=1,2,4))),FALSE()))</f>
        <v> </v>
      </c>
      <c r="O222" s="401" t="str">
        <f aca="false">IF(A222="N/A"," ",VLOOKUP(A222,SatSunPeakPwr,(IF(BMO2=2,3,IF(BMO2=1,2,4))),FALSE()))</f>
        <v> </v>
      </c>
      <c r="P222" s="401" t="str">
        <f aca="false">IF(A222="N/A"," ",VLOOKUP(A222,SatSunPeakPwr,(IF(BMO2=2,7,IF(BMO2=1,6,8))),FALSE()))</f>
        <v> </v>
      </c>
      <c r="Q222" s="402" t="str">
        <f aca="false">IF(A222="N/A"," ",(VLOOKUP(A222,OPPowerPrices,(IF(BMO2=2,7,IF(BMO2=1,6,8))),FALSE())))</f>
        <v> </v>
      </c>
      <c r="R222" s="403" t="str">
        <f aca="false">IF(A222="N/A"," ",(VLOOKUP($A222,IRTable,2)))</f>
        <v> </v>
      </c>
      <c r="AF222" s="352" t="n">
        <v>43191</v>
      </c>
      <c r="AG222" s="311" t="n">
        <v>21</v>
      </c>
      <c r="AH222" s="311" t="n">
        <v>4</v>
      </c>
      <c r="AI222" s="311" t="n">
        <v>5</v>
      </c>
      <c r="AJ222" s="311" t="n">
        <v>0</v>
      </c>
      <c r="AK222" s="311" t="n">
        <v>30</v>
      </c>
      <c r="AU222" s="406"/>
    </row>
    <row r="223" customFormat="false" ht="12.75" hidden="false" customHeight="false" outlineLevel="0" collapsed="false">
      <c r="A223" s="352" t="str">
        <f aca="false">Option2!A190</f>
        <v>N/A</v>
      </c>
      <c r="B223" s="396" t="str">
        <f aca="false">IF(A223="N/A"," ",IF(ISERROR(N223),B211*Pwresc,N223)*VLOOKUP(MONTH(A223),Curveadj,3))</f>
        <v> </v>
      </c>
      <c r="C223" s="397" t="str">
        <f aca="false">IF(A223="N/A"," ",(IF(AND(Scaler2=1,MONTH(A223)&gt;=6,MONTH(A223)&lt;=8,OR($M$37="REGION 2",$M$37="REGION 2A",$M$37="REGION 2B",$M$37="REGION 3",$M$37="REGION 3A",$M$37="REGION 3B",$M$37="REGION 3C",$M$37="REGION 4",$M$37="REGION 4B",$M$37="REGION 4C",$M$37="REGION 5",$M$37="REGION 5A")),((0.059228/(B223/100))-(0.4980013/(SQRT(B223/100)))+2.137988),HLOOKUP(MONTH(A223),ScalarTable,28))))</f>
        <v> </v>
      </c>
      <c r="D223" s="398" t="str">
        <f aca="false">IF(A223="N/A"," ",C223*B223)</f>
        <v> </v>
      </c>
      <c r="E223" s="396" t="str">
        <f aca="false">IF(A223="N/A"," ",IF(ISERROR(O223),E211*Pwresc,O223)*VLOOKUP(MONTH(A223),Curveadj,3))</f>
        <v> </v>
      </c>
      <c r="F223" s="398" t="str">
        <f aca="false">IF(A223="N/A"," ",E223*C223)</f>
        <v> </v>
      </c>
      <c r="G223" s="396" t="str">
        <f aca="false">IF(A223="N/A"," ",IF(ISERROR(P223),G211*Pwresc,P223)*VLOOKUP(MONTH(A223),Curveadj,3))</f>
        <v> </v>
      </c>
      <c r="H223" s="398" t="str">
        <f aca="false">IF(A223="N/A"," ",G223*C223)</f>
        <v> </v>
      </c>
      <c r="I223" s="398" t="str">
        <f aca="false">IF(A223="N/A"," ",IF(ISERROR(Q223),I211*Pwresc,Q223))</f>
        <v> </v>
      </c>
      <c r="J223" s="398"/>
      <c r="K223" s="399"/>
      <c r="L223" s="399"/>
      <c r="M223" s="404"/>
      <c r="N223" s="401" t="str">
        <f aca="false">IF(A223="N/A"," ",VLOOKUP(A223,PeakPowerCurves,(IF(BMO2=2,3,IF(BMO2=1,2,4))),FALSE()))</f>
        <v> </v>
      </c>
      <c r="O223" s="401" t="str">
        <f aca="false">IF(A223="N/A"," ",VLOOKUP(A223,SatSunPeakPwr,(IF(BMO2=2,3,IF(BMO2=1,2,4))),FALSE()))</f>
        <v> </v>
      </c>
      <c r="P223" s="401" t="str">
        <f aca="false">IF(A223="N/A"," ",VLOOKUP(A223,SatSunPeakPwr,(IF(BMO2=2,7,IF(BMO2=1,6,8))),FALSE()))</f>
        <v> </v>
      </c>
      <c r="Q223" s="402" t="str">
        <f aca="false">IF(A223="N/A"," ",(VLOOKUP(A223,OPPowerPrices,(IF(BMO2=2,7,IF(BMO2=1,6,8))),FALSE())))</f>
        <v> </v>
      </c>
      <c r="R223" s="403" t="str">
        <f aca="false">IF(A223="N/A"," ",(VLOOKUP($A223,IRTable,2)))</f>
        <v> </v>
      </c>
      <c r="AF223" s="352" t="n">
        <v>43221</v>
      </c>
      <c r="AG223" s="311" t="n">
        <v>22</v>
      </c>
      <c r="AH223" s="311" t="n">
        <v>4</v>
      </c>
      <c r="AI223" s="311" t="n">
        <v>5</v>
      </c>
      <c r="AJ223" s="311" t="n">
        <v>1</v>
      </c>
      <c r="AK223" s="311" t="n">
        <v>31</v>
      </c>
      <c r="AU223" s="406"/>
    </row>
    <row r="224" customFormat="false" ht="12.75" hidden="false" customHeight="false" outlineLevel="0" collapsed="false">
      <c r="A224" s="352" t="str">
        <f aca="false">Option2!A191</f>
        <v>N/A</v>
      </c>
      <c r="B224" s="396" t="str">
        <f aca="false">IF(A224="N/A"," ",IF(ISERROR(N224),B212*Pwresc,N224)*VLOOKUP(MONTH(A224),Curveadj,3))</f>
        <v> </v>
      </c>
      <c r="C224" s="397" t="str">
        <f aca="false">IF(A224="N/A"," ",(IF(AND(Scaler2=1,MONTH(A224)&gt;=6,MONTH(A224)&lt;=8,OR($M$37="REGION 2",$M$37="REGION 2A",$M$37="REGION 2B",$M$37="REGION 3",$M$37="REGION 3A",$M$37="REGION 3B",$M$37="REGION 3C",$M$37="REGION 4",$M$37="REGION 4B",$M$37="REGION 4C",$M$37="REGION 5",$M$37="REGION 5A")),((0.059228/(B224/100))-(0.4980013/(SQRT(B224/100)))+2.137988),HLOOKUP(MONTH(A224),ScalarTable,28))))</f>
        <v> </v>
      </c>
      <c r="D224" s="398" t="str">
        <f aca="false">IF(A224="N/A"," ",C224*B224)</f>
        <v> </v>
      </c>
      <c r="E224" s="396" t="str">
        <f aca="false">IF(A224="N/A"," ",IF(ISERROR(O224),E212*Pwresc,O224)*VLOOKUP(MONTH(A224),Curveadj,3))</f>
        <v> </v>
      </c>
      <c r="F224" s="398" t="str">
        <f aca="false">IF(A224="N/A"," ",E224*C224)</f>
        <v> </v>
      </c>
      <c r="G224" s="396" t="str">
        <f aca="false">IF(A224="N/A"," ",IF(ISERROR(P224),G212*Pwresc,P224)*VLOOKUP(MONTH(A224),Curveadj,3))</f>
        <v> </v>
      </c>
      <c r="H224" s="398" t="str">
        <f aca="false">IF(A224="N/A"," ",G224*C224)</f>
        <v> </v>
      </c>
      <c r="I224" s="398" t="str">
        <f aca="false">IF(A224="N/A"," ",IF(ISERROR(Q224),I212*Pwresc,Q224))</f>
        <v> </v>
      </c>
      <c r="J224" s="398"/>
      <c r="K224" s="399"/>
      <c r="L224" s="399"/>
      <c r="M224" s="404"/>
      <c r="N224" s="401" t="str">
        <f aca="false">IF(A224="N/A"," ",VLOOKUP(A224,PeakPowerCurves,(IF(BMO2=2,3,IF(BMO2=1,2,4))),FALSE()))</f>
        <v> </v>
      </c>
      <c r="O224" s="401" t="str">
        <f aca="false">IF(A224="N/A"," ",VLOOKUP(A224,SatSunPeakPwr,(IF(BMO2=2,3,IF(BMO2=1,2,4))),FALSE()))</f>
        <v> </v>
      </c>
      <c r="P224" s="401" t="str">
        <f aca="false">IF(A224="N/A"," ",VLOOKUP(A224,SatSunPeakPwr,(IF(BMO2=2,7,IF(BMO2=1,6,8))),FALSE()))</f>
        <v> </v>
      </c>
      <c r="Q224" s="402" t="str">
        <f aca="false">IF(A224="N/A"," ",(VLOOKUP(A224,OPPowerPrices,(IF(BMO2=2,7,IF(BMO2=1,6,8))),FALSE())))</f>
        <v> </v>
      </c>
      <c r="R224" s="403" t="str">
        <f aca="false">IF(A224="N/A"," ",(VLOOKUP($A224,IRTable,2)))</f>
        <v> </v>
      </c>
      <c r="AF224" s="352" t="n">
        <v>43252</v>
      </c>
      <c r="AG224" s="311" t="n">
        <v>21</v>
      </c>
      <c r="AH224" s="311" t="n">
        <v>5</v>
      </c>
      <c r="AI224" s="311" t="n">
        <v>4</v>
      </c>
      <c r="AJ224" s="311" t="n">
        <v>0</v>
      </c>
      <c r="AK224" s="311" t="n">
        <v>30</v>
      </c>
      <c r="AU224" s="406"/>
    </row>
    <row r="225" customFormat="false" ht="12.75" hidden="false" customHeight="false" outlineLevel="0" collapsed="false">
      <c r="A225" s="352" t="str">
        <f aca="false">Option2!A192</f>
        <v>N/A</v>
      </c>
      <c r="B225" s="396" t="str">
        <f aca="false">IF(A225="N/A"," ",IF(ISERROR(N225),B213*Pwresc,N225)*VLOOKUP(MONTH(A225),Curveadj,3))</f>
        <v> </v>
      </c>
      <c r="C225" s="397" t="str">
        <f aca="false">IF(A225="N/A"," ",(IF(AND(Scaler2=1,MONTH(A225)&gt;=6,MONTH(A225)&lt;=8,OR($M$37="REGION 2",$M$37="REGION 2A",$M$37="REGION 2B",$M$37="REGION 3",$M$37="REGION 3A",$M$37="REGION 3B",$M$37="REGION 3C",$M$37="REGION 4",$M$37="REGION 4B",$M$37="REGION 4C",$M$37="REGION 5",$M$37="REGION 5A")),((0.059228/(B225/100))-(0.4980013/(SQRT(B225/100)))+2.137988),HLOOKUP(MONTH(A225),ScalarTable,28))))</f>
        <v> </v>
      </c>
      <c r="D225" s="398" t="str">
        <f aca="false">IF(A225="N/A"," ",C225*B225)</f>
        <v> </v>
      </c>
      <c r="E225" s="396" t="str">
        <f aca="false">IF(A225="N/A"," ",IF(ISERROR(O225),E213*Pwresc,O225)*VLOOKUP(MONTH(A225),Curveadj,3))</f>
        <v> </v>
      </c>
      <c r="F225" s="398" t="str">
        <f aca="false">IF(A225="N/A"," ",E225*C225)</f>
        <v> </v>
      </c>
      <c r="G225" s="396" t="str">
        <f aca="false">IF(A225="N/A"," ",IF(ISERROR(P225),G213*Pwresc,P225)*VLOOKUP(MONTH(A225),Curveadj,3))</f>
        <v> </v>
      </c>
      <c r="H225" s="398" t="str">
        <f aca="false">IF(A225="N/A"," ",G225*C225)</f>
        <v> </v>
      </c>
      <c r="I225" s="398" t="str">
        <f aca="false">IF(A225="N/A"," ",IF(ISERROR(Q225),I213*Pwresc,Q225))</f>
        <v> </v>
      </c>
      <c r="J225" s="398"/>
      <c r="K225" s="399"/>
      <c r="L225" s="399"/>
      <c r="M225" s="404"/>
      <c r="N225" s="401" t="str">
        <f aca="false">IF(A225="N/A"," ",VLOOKUP(A225,PeakPowerCurves,(IF(BMO2=2,3,IF(BMO2=1,2,4))),FALSE()))</f>
        <v> </v>
      </c>
      <c r="O225" s="401" t="str">
        <f aca="false">IF(A225="N/A"," ",VLOOKUP(A225,SatSunPeakPwr,(IF(BMO2=2,3,IF(BMO2=1,2,4))),FALSE()))</f>
        <v> </v>
      </c>
      <c r="P225" s="401" t="str">
        <f aca="false">IF(A225="N/A"," ",VLOOKUP(A225,SatSunPeakPwr,(IF(BMO2=2,7,IF(BMO2=1,6,8))),FALSE()))</f>
        <v> </v>
      </c>
      <c r="Q225" s="402" t="str">
        <f aca="false">IF(A225="N/A"," ",(VLOOKUP(A225,OPPowerPrices,(IF(BMO2=2,7,IF(BMO2=1,6,8))),FALSE())))</f>
        <v> </v>
      </c>
      <c r="R225" s="403" t="str">
        <f aca="false">IF(A225="N/A"," ",(VLOOKUP($A225,IRTable,2)))</f>
        <v> </v>
      </c>
      <c r="AF225" s="352" t="n">
        <v>43282</v>
      </c>
      <c r="AG225" s="311" t="n">
        <v>21</v>
      </c>
      <c r="AH225" s="311" t="n">
        <v>4</v>
      </c>
      <c r="AI225" s="311" t="n">
        <v>6</v>
      </c>
      <c r="AJ225" s="311" t="n">
        <v>1</v>
      </c>
      <c r="AK225" s="311" t="n">
        <v>31</v>
      </c>
      <c r="AU225" s="406"/>
    </row>
    <row r="226" customFormat="false" ht="12.75" hidden="false" customHeight="false" outlineLevel="0" collapsed="false">
      <c r="A226" s="352" t="str">
        <f aca="false">Option2!A193</f>
        <v>N/A</v>
      </c>
      <c r="B226" s="396" t="str">
        <f aca="false">IF(A226="N/A"," ",IF(ISERROR(N226),B214*Pwresc,N226)*VLOOKUP(MONTH(A226),Curveadj,3))</f>
        <v> </v>
      </c>
      <c r="C226" s="397" t="str">
        <f aca="false">IF(A226="N/A"," ",(IF(AND(Scaler2=1,MONTH(A226)&gt;=6,MONTH(A226)&lt;=8,OR($M$37="REGION 2",$M$37="REGION 2A",$M$37="REGION 2B",$M$37="REGION 3",$M$37="REGION 3A",$M$37="REGION 3B",$M$37="REGION 3C",$M$37="REGION 4",$M$37="REGION 4B",$M$37="REGION 4C",$M$37="REGION 5",$M$37="REGION 5A")),((0.059228/(B226/100))-(0.4980013/(SQRT(B226/100)))+2.137988),HLOOKUP(MONTH(A226),ScalarTable,28))))</f>
        <v> </v>
      </c>
      <c r="D226" s="398" t="str">
        <f aca="false">IF(A226="N/A"," ",C226*B226)</f>
        <v> </v>
      </c>
      <c r="E226" s="396" t="str">
        <f aca="false">IF(A226="N/A"," ",IF(ISERROR(O226),E214*Pwresc,O226)*VLOOKUP(MONTH(A226),Curveadj,3))</f>
        <v> </v>
      </c>
      <c r="F226" s="398" t="str">
        <f aca="false">IF(A226="N/A"," ",E226*C226)</f>
        <v> </v>
      </c>
      <c r="G226" s="396" t="str">
        <f aca="false">IF(A226="N/A"," ",IF(ISERROR(P226),G214*Pwresc,P226)*VLOOKUP(MONTH(A226),Curveadj,3))</f>
        <v> </v>
      </c>
      <c r="H226" s="398" t="str">
        <f aca="false">IF(A226="N/A"," ",G226*C226)</f>
        <v> </v>
      </c>
      <c r="I226" s="398" t="str">
        <f aca="false">IF(A226="N/A"," ",IF(ISERROR(Q226),I214*Pwresc,Q226))</f>
        <v> </v>
      </c>
      <c r="J226" s="398"/>
      <c r="K226" s="399"/>
      <c r="L226" s="399"/>
      <c r="M226" s="404"/>
      <c r="N226" s="401" t="str">
        <f aca="false">IF(A226="N/A"," ",VLOOKUP(A226,PeakPowerCurves,(IF(BMO2=2,3,IF(BMO2=1,2,4))),FALSE()))</f>
        <v> </v>
      </c>
      <c r="O226" s="401" t="str">
        <f aca="false">IF(A226="N/A"," ",VLOOKUP(A226,SatSunPeakPwr,(IF(BMO2=2,3,IF(BMO2=1,2,4))),FALSE()))</f>
        <v> </v>
      </c>
      <c r="P226" s="401" t="str">
        <f aca="false">IF(A226="N/A"," ",VLOOKUP(A226,SatSunPeakPwr,(IF(BMO2=2,7,IF(BMO2=1,6,8))),FALSE()))</f>
        <v> </v>
      </c>
      <c r="Q226" s="402" t="str">
        <f aca="false">IF(A226="N/A"," ",(VLOOKUP(A226,OPPowerPrices,(IF(BMO2=2,7,IF(BMO2=1,6,8))),FALSE())))</f>
        <v> </v>
      </c>
      <c r="R226" s="403" t="str">
        <f aca="false">IF(A226="N/A"," ",(VLOOKUP($A226,IRTable,2)))</f>
        <v> </v>
      </c>
      <c r="AF226" s="352" t="n">
        <v>43313</v>
      </c>
      <c r="AG226" s="311" t="n">
        <v>23</v>
      </c>
      <c r="AH226" s="311" t="n">
        <v>4</v>
      </c>
      <c r="AI226" s="311" t="n">
        <v>4</v>
      </c>
      <c r="AJ226" s="311" t="n">
        <v>0</v>
      </c>
      <c r="AK226" s="311" t="n">
        <v>31</v>
      </c>
      <c r="AU226" s="406"/>
    </row>
    <row r="227" customFormat="false" ht="12.75" hidden="false" customHeight="false" outlineLevel="0" collapsed="false">
      <c r="A227" s="352" t="str">
        <f aca="false">Option2!A194</f>
        <v>N/A</v>
      </c>
      <c r="B227" s="396" t="str">
        <f aca="false">IF(A227="N/A"," ",IF(ISERROR(N227),B215*Pwresc,N227)*VLOOKUP(MONTH(A227),Curveadj,3))</f>
        <v> </v>
      </c>
      <c r="C227" s="397" t="str">
        <f aca="false">IF(A227="N/A"," ",(IF(AND(Scaler2=1,MONTH(A227)&gt;=6,MONTH(A227)&lt;=8,OR($M$37="REGION 2",$M$37="REGION 2A",$M$37="REGION 2B",$M$37="REGION 3",$M$37="REGION 3A",$M$37="REGION 3B",$M$37="REGION 3C",$M$37="REGION 4",$M$37="REGION 4B",$M$37="REGION 4C",$M$37="REGION 5",$M$37="REGION 5A")),((0.059228/(B227/100))-(0.4980013/(SQRT(B227/100)))+2.137988),HLOOKUP(MONTH(A227),ScalarTable,28))))</f>
        <v> </v>
      </c>
      <c r="D227" s="398" t="str">
        <f aca="false">IF(A227="N/A"," ",C227*B227)</f>
        <v> </v>
      </c>
      <c r="E227" s="396" t="str">
        <f aca="false">IF(A227="N/A"," ",IF(ISERROR(O227),E215*Pwresc,O227)*VLOOKUP(MONTH(A227),Curveadj,3))</f>
        <v> </v>
      </c>
      <c r="F227" s="398" t="str">
        <f aca="false">IF(A227="N/A"," ",E227*C227)</f>
        <v> </v>
      </c>
      <c r="G227" s="396" t="str">
        <f aca="false">IF(A227="N/A"," ",IF(ISERROR(P227),G215*Pwresc,P227)*VLOOKUP(MONTH(A227),Curveadj,3))</f>
        <v> </v>
      </c>
      <c r="H227" s="398" t="str">
        <f aca="false">IF(A227="N/A"," ",G227*C227)</f>
        <v> </v>
      </c>
      <c r="I227" s="398" t="str">
        <f aca="false">IF(A227="N/A"," ",IF(ISERROR(Q227),I215*Pwresc,Q227))</f>
        <v> </v>
      </c>
      <c r="J227" s="398"/>
      <c r="K227" s="399"/>
      <c r="L227" s="399"/>
      <c r="M227" s="404"/>
      <c r="N227" s="401" t="str">
        <f aca="false">IF(A227="N/A"," ",VLOOKUP(A227,PeakPowerCurves,(IF(BMO2=2,3,IF(BMO2=1,2,4))),FALSE()))</f>
        <v> </v>
      </c>
      <c r="O227" s="401" t="str">
        <f aca="false">IF(A227="N/A"," ",VLOOKUP(A227,SatSunPeakPwr,(IF(BMO2=2,3,IF(BMO2=1,2,4))),FALSE()))</f>
        <v> </v>
      </c>
      <c r="P227" s="401" t="str">
        <f aca="false">IF(A227="N/A"," ",VLOOKUP(A227,SatSunPeakPwr,(IF(BMO2=2,7,IF(BMO2=1,6,8))),FALSE()))</f>
        <v> </v>
      </c>
      <c r="Q227" s="402" t="str">
        <f aca="false">IF(A227="N/A"," ",(VLOOKUP(A227,OPPowerPrices,(IF(BMO2=2,7,IF(BMO2=1,6,8))),FALSE())))</f>
        <v> </v>
      </c>
      <c r="R227" s="403" t="str">
        <f aca="false">IF(A227="N/A"," ",(VLOOKUP($A227,IRTable,2)))</f>
        <v> </v>
      </c>
      <c r="AF227" s="352" t="n">
        <v>43344</v>
      </c>
      <c r="AG227" s="311" t="n">
        <v>19</v>
      </c>
      <c r="AH227" s="311" t="n">
        <v>5</v>
      </c>
      <c r="AI227" s="311" t="n">
        <v>6</v>
      </c>
      <c r="AJ227" s="311" t="n">
        <v>1</v>
      </c>
      <c r="AK227" s="311" t="n">
        <v>30</v>
      </c>
      <c r="AU227" s="406"/>
    </row>
    <row r="228" customFormat="false" ht="12.75" hidden="false" customHeight="false" outlineLevel="0" collapsed="false">
      <c r="A228" s="352" t="str">
        <f aca="false">Option2!A195</f>
        <v>N/A</v>
      </c>
      <c r="B228" s="396" t="str">
        <f aca="false">IF(A228="N/A"," ",IF(ISERROR(N228),B216*Pwresc,N228)*VLOOKUP(MONTH(A228),Curveadj,3))</f>
        <v> </v>
      </c>
      <c r="C228" s="397" t="str">
        <f aca="false">IF(A228="N/A"," ",(IF(AND(Scaler2=1,MONTH(A228)&gt;=6,MONTH(A228)&lt;=8,OR($M$37="REGION 2",$M$37="REGION 2A",$M$37="REGION 2B",$M$37="REGION 3",$M$37="REGION 3A",$M$37="REGION 3B",$M$37="REGION 3C",$M$37="REGION 4",$M$37="REGION 4B",$M$37="REGION 4C",$M$37="REGION 5",$M$37="REGION 5A")),((0.059228/(B228/100))-(0.4980013/(SQRT(B228/100)))+2.137988),HLOOKUP(MONTH(A228),ScalarTable,28))))</f>
        <v> </v>
      </c>
      <c r="D228" s="398" t="str">
        <f aca="false">IF(A228="N/A"," ",C228*B228)</f>
        <v> </v>
      </c>
      <c r="E228" s="396" t="str">
        <f aca="false">IF(A228="N/A"," ",IF(ISERROR(O228),E216*Pwresc,O228)*VLOOKUP(MONTH(A228),Curveadj,3))</f>
        <v> </v>
      </c>
      <c r="F228" s="398" t="str">
        <f aca="false">IF(A228="N/A"," ",E228*C228)</f>
        <v> </v>
      </c>
      <c r="G228" s="396" t="str">
        <f aca="false">IF(A228="N/A"," ",IF(ISERROR(P228),G216*Pwresc,P228)*VLOOKUP(MONTH(A228),Curveadj,3))</f>
        <v> </v>
      </c>
      <c r="H228" s="398" t="str">
        <f aca="false">IF(A228="N/A"," ",G228*C228)</f>
        <v> </v>
      </c>
      <c r="I228" s="398" t="str">
        <f aca="false">IF(A228="N/A"," ",IF(ISERROR(Q228),I216*Pwresc,Q228))</f>
        <v> </v>
      </c>
      <c r="J228" s="398"/>
      <c r="K228" s="399"/>
      <c r="L228" s="399"/>
      <c r="M228" s="404"/>
      <c r="N228" s="401" t="str">
        <f aca="false">IF(A228="N/A"," ",VLOOKUP(A228,PeakPowerCurves,(IF(BMO2=2,3,IF(BMO2=1,2,4))),FALSE()))</f>
        <v> </v>
      </c>
      <c r="O228" s="401" t="str">
        <f aca="false">IF(A228="N/A"," ",VLOOKUP(A228,SatSunPeakPwr,(IF(BMO2=2,3,IF(BMO2=1,2,4))),FALSE()))</f>
        <v> </v>
      </c>
      <c r="P228" s="401" t="str">
        <f aca="false">IF(A228="N/A"," ",VLOOKUP(A228,SatSunPeakPwr,(IF(BMO2=2,7,IF(BMO2=1,6,8))),FALSE()))</f>
        <v> </v>
      </c>
      <c r="Q228" s="402" t="str">
        <f aca="false">IF(A228="N/A"," ",(VLOOKUP(A228,OPPowerPrices,(IF(BMO2=2,7,IF(BMO2=1,6,8))),FALSE())))</f>
        <v> </v>
      </c>
      <c r="R228" s="403" t="str">
        <f aca="false">IF(A228="N/A"," ",(VLOOKUP($A228,IRTable,2)))</f>
        <v> </v>
      </c>
      <c r="AF228" s="352" t="n">
        <v>43374</v>
      </c>
      <c r="AG228" s="311" t="n">
        <v>23</v>
      </c>
      <c r="AH228" s="311" t="n">
        <v>4</v>
      </c>
      <c r="AI228" s="311" t="n">
        <v>4</v>
      </c>
      <c r="AJ228" s="311" t="n">
        <v>0</v>
      </c>
      <c r="AK228" s="311" t="n">
        <v>31</v>
      </c>
      <c r="AU228" s="406"/>
    </row>
    <row r="229" customFormat="false" ht="12.75" hidden="false" customHeight="false" outlineLevel="0" collapsed="false">
      <c r="A229" s="352" t="str">
        <f aca="false">Option2!A196</f>
        <v>N/A</v>
      </c>
      <c r="B229" s="396" t="str">
        <f aca="false">IF(A229="N/A"," ",IF(ISERROR(N229),B217*Pwresc,N229)*VLOOKUP(MONTH(A229),Curveadj,3))</f>
        <v> </v>
      </c>
      <c r="C229" s="397" t="str">
        <f aca="false">IF(A229="N/A"," ",(IF(AND(Scaler2=1,MONTH(A229)&gt;=6,MONTH(A229)&lt;=8,OR($M$37="REGION 2",$M$37="REGION 2A",$M$37="REGION 2B",$M$37="REGION 3",$M$37="REGION 3A",$M$37="REGION 3B",$M$37="REGION 3C",$M$37="REGION 4",$M$37="REGION 4B",$M$37="REGION 4C",$M$37="REGION 5",$M$37="REGION 5A")),((0.059228/(B229/100))-(0.4980013/(SQRT(B229/100)))+2.137988),HLOOKUP(MONTH(A229),ScalarTable,28))))</f>
        <v> </v>
      </c>
      <c r="D229" s="398" t="str">
        <f aca="false">IF(A229="N/A"," ",C229*B229)</f>
        <v> </v>
      </c>
      <c r="E229" s="396" t="str">
        <f aca="false">IF(A229="N/A"," ",IF(ISERROR(O229),E217*Pwresc,O229)*VLOOKUP(MONTH(A229),Curveadj,3))</f>
        <v> </v>
      </c>
      <c r="F229" s="398" t="str">
        <f aca="false">IF(A229="N/A"," ",E229*C229)</f>
        <v> </v>
      </c>
      <c r="G229" s="396" t="str">
        <f aca="false">IF(A229="N/A"," ",IF(ISERROR(P229),G217*Pwresc,P229)*VLOOKUP(MONTH(A229),Curveadj,3))</f>
        <v> </v>
      </c>
      <c r="H229" s="398" t="str">
        <f aca="false">IF(A229="N/A"," ",G229*C229)</f>
        <v> </v>
      </c>
      <c r="I229" s="398" t="str">
        <f aca="false">IF(A229="N/A"," ",IF(ISERROR(Q229),I217*Pwresc,Q229))</f>
        <v> </v>
      </c>
      <c r="J229" s="398"/>
      <c r="K229" s="399"/>
      <c r="L229" s="399"/>
      <c r="M229" s="404"/>
      <c r="N229" s="401" t="str">
        <f aca="false">IF(A229="N/A"," ",VLOOKUP(A229,PeakPowerCurves,(IF(BMO2=2,3,IF(BMO2=1,2,4))),FALSE()))</f>
        <v> </v>
      </c>
      <c r="O229" s="401" t="str">
        <f aca="false">IF(A229="N/A"," ",VLOOKUP(A229,SatSunPeakPwr,(IF(BMO2=2,3,IF(BMO2=1,2,4))),FALSE()))</f>
        <v> </v>
      </c>
      <c r="P229" s="401" t="str">
        <f aca="false">IF(A229="N/A"," ",VLOOKUP(A229,SatSunPeakPwr,(IF(BMO2=2,7,IF(BMO2=1,6,8))),FALSE()))</f>
        <v> </v>
      </c>
      <c r="Q229" s="402" t="str">
        <f aca="false">IF(A229="N/A"," ",(VLOOKUP(A229,OPPowerPrices,(IF(BMO2=2,7,IF(BMO2=1,6,8))),FALSE())))</f>
        <v> </v>
      </c>
      <c r="R229" s="403" t="str">
        <f aca="false">IF(A229="N/A"," ",(VLOOKUP($A229,IRTable,2)))</f>
        <v> </v>
      </c>
      <c r="AF229" s="352" t="n">
        <v>43405</v>
      </c>
      <c r="AG229" s="311" t="n">
        <v>21</v>
      </c>
      <c r="AH229" s="311" t="n">
        <v>4</v>
      </c>
      <c r="AI229" s="311" t="n">
        <v>5</v>
      </c>
      <c r="AJ229" s="311" t="n">
        <v>1</v>
      </c>
      <c r="AK229" s="311" t="n">
        <v>30</v>
      </c>
      <c r="AU229" s="406"/>
    </row>
    <row r="230" customFormat="false" ht="12.75" hidden="false" customHeight="false" outlineLevel="0" collapsed="false">
      <c r="A230" s="352" t="str">
        <f aca="false">Option2!A197</f>
        <v>N/A</v>
      </c>
      <c r="B230" s="396" t="str">
        <f aca="false">IF(A230="N/A"," ",IF(ISERROR(N230),B218*Pwresc,N230)*VLOOKUP(MONTH(A230),Curveadj,3))</f>
        <v> </v>
      </c>
      <c r="C230" s="397" t="str">
        <f aca="false">IF(A230="N/A"," ",(IF(AND(Scaler2=1,MONTH(A230)&gt;=6,MONTH(A230)&lt;=8,OR($M$37="REGION 2",$M$37="REGION 2A",$M$37="REGION 2B",$M$37="REGION 3",$M$37="REGION 3A",$M$37="REGION 3B",$M$37="REGION 3C",$M$37="REGION 4",$M$37="REGION 4B",$M$37="REGION 4C",$M$37="REGION 5",$M$37="REGION 5A")),((0.059228/(B230/100))-(0.4980013/(SQRT(B230/100)))+2.137988),HLOOKUP(MONTH(A230),ScalarTable,28))))</f>
        <v> </v>
      </c>
      <c r="D230" s="398" t="str">
        <f aca="false">IF(A230="N/A"," ",C230*B230)</f>
        <v> </v>
      </c>
      <c r="E230" s="396" t="str">
        <f aca="false">IF(A230="N/A"," ",IF(ISERROR(O230),E218*Pwresc,O230)*VLOOKUP(MONTH(A230),Curveadj,3))</f>
        <v> </v>
      </c>
      <c r="F230" s="398" t="str">
        <f aca="false">IF(A230="N/A"," ",E230*C230)</f>
        <v> </v>
      </c>
      <c r="G230" s="396" t="str">
        <f aca="false">IF(A230="N/A"," ",IF(ISERROR(P230),G218*Pwresc,P230)*VLOOKUP(MONTH(A230),Curveadj,3))</f>
        <v> </v>
      </c>
      <c r="H230" s="398" t="str">
        <f aca="false">IF(A230="N/A"," ",G230*C230)</f>
        <v> </v>
      </c>
      <c r="I230" s="398" t="str">
        <f aca="false">IF(A230="N/A"," ",IF(ISERROR(Q230),I218*Pwresc,Q230))</f>
        <v> </v>
      </c>
      <c r="J230" s="398"/>
      <c r="K230" s="399"/>
      <c r="L230" s="399"/>
      <c r="M230" s="404"/>
      <c r="N230" s="401" t="str">
        <f aca="false">IF(A230="N/A"," ",VLOOKUP(A230,PeakPowerCurves,(IF(BMO2=2,3,IF(BMO2=1,2,4))),FALSE()))</f>
        <v> </v>
      </c>
      <c r="O230" s="401" t="str">
        <f aca="false">IF(A230="N/A"," ",VLOOKUP(A230,SatSunPeakPwr,(IF(BMO2=2,3,IF(BMO2=1,2,4))),FALSE()))</f>
        <v> </v>
      </c>
      <c r="P230" s="401" t="str">
        <f aca="false">IF(A230="N/A"," ",VLOOKUP(A230,SatSunPeakPwr,(IF(BMO2=2,7,IF(BMO2=1,6,8))),FALSE()))</f>
        <v> </v>
      </c>
      <c r="Q230" s="402" t="str">
        <f aca="false">IF(A230="N/A"," ",(VLOOKUP(A230,OPPowerPrices,(IF(BMO2=2,7,IF(BMO2=1,6,8))),FALSE())))</f>
        <v> </v>
      </c>
      <c r="R230" s="403" t="str">
        <f aca="false">IF(A230="N/A"," ",(VLOOKUP($A230,IRTable,2)))</f>
        <v> </v>
      </c>
      <c r="AF230" s="352" t="n">
        <v>43435</v>
      </c>
      <c r="AG230" s="311" t="n">
        <v>20</v>
      </c>
      <c r="AH230" s="311" t="n">
        <v>5</v>
      </c>
      <c r="AI230" s="311" t="n">
        <v>6</v>
      </c>
      <c r="AJ230" s="311" t="n">
        <v>1</v>
      </c>
      <c r="AK230" s="311" t="n">
        <v>31</v>
      </c>
      <c r="AU230" s="406"/>
    </row>
    <row r="231" customFormat="false" ht="12.75" hidden="false" customHeight="false" outlineLevel="0" collapsed="false">
      <c r="A231" s="352" t="str">
        <f aca="false">Option2!A198</f>
        <v>N/A</v>
      </c>
      <c r="B231" s="396" t="str">
        <f aca="false">IF(A231="N/A"," ",IF(ISERROR(N231),B219*Pwresc,N231)*VLOOKUP(MONTH(A231),Curveadj,3))</f>
        <v> </v>
      </c>
      <c r="C231" s="397" t="str">
        <f aca="false">IF(A231="N/A"," ",(IF(AND(Scaler2=1,MONTH(A231)&gt;=6,MONTH(A231)&lt;=8,OR($M$37="REGION 2",$M$37="REGION 2A",$M$37="REGION 2B",$M$37="REGION 3",$M$37="REGION 3A",$M$37="REGION 3B",$M$37="REGION 3C",$M$37="REGION 4",$M$37="REGION 4B",$M$37="REGION 4C",$M$37="REGION 5",$M$37="REGION 5A")),((0.059228/(B231/100))-(0.4980013/(SQRT(B231/100)))+2.137988),HLOOKUP(MONTH(A231),ScalarTable,28))))</f>
        <v> </v>
      </c>
      <c r="D231" s="398" t="str">
        <f aca="false">IF(A231="N/A"," ",C231*B231)</f>
        <v> </v>
      </c>
      <c r="E231" s="396" t="str">
        <f aca="false">IF(A231="N/A"," ",IF(ISERROR(O231),E219*Pwresc,O231)*VLOOKUP(MONTH(A231),Curveadj,3))</f>
        <v> </v>
      </c>
      <c r="F231" s="398" t="str">
        <f aca="false">IF(A231="N/A"," ",E231*C231)</f>
        <v> </v>
      </c>
      <c r="G231" s="396" t="str">
        <f aca="false">IF(A231="N/A"," ",IF(ISERROR(P231),G219*Pwresc,P231)*VLOOKUP(MONTH(A231),Curveadj,3))</f>
        <v> </v>
      </c>
      <c r="H231" s="398" t="str">
        <f aca="false">IF(A231="N/A"," ",G231*C231)</f>
        <v> </v>
      </c>
      <c r="I231" s="398" t="str">
        <f aca="false">IF(A231="N/A"," ",IF(ISERROR(Q231),I219*Pwresc,Q231))</f>
        <v> </v>
      </c>
      <c r="J231" s="398"/>
      <c r="K231" s="399"/>
      <c r="L231" s="399"/>
      <c r="M231" s="404"/>
      <c r="N231" s="401" t="str">
        <f aca="false">IF(A231="N/A"," ",VLOOKUP(A231,PeakPowerCurves,(IF(BMO2=2,3,IF(BMO2=1,2,4))),FALSE()))</f>
        <v> </v>
      </c>
      <c r="O231" s="401" t="str">
        <f aca="false">IF(A231="N/A"," ",VLOOKUP(A231,SatSunPeakPwr,(IF(BMO2=2,3,IF(BMO2=1,2,4))),FALSE()))</f>
        <v> </v>
      </c>
      <c r="P231" s="401" t="str">
        <f aca="false">IF(A231="N/A"," ",VLOOKUP(A231,SatSunPeakPwr,(IF(BMO2=2,7,IF(BMO2=1,6,8))),FALSE()))</f>
        <v> </v>
      </c>
      <c r="Q231" s="402" t="str">
        <f aca="false">IF(A231="N/A"," ",(VLOOKUP(A231,OPPowerPrices,(IF(BMO2=2,7,IF(BMO2=1,6,8))),FALSE())))</f>
        <v> </v>
      </c>
      <c r="R231" s="403" t="str">
        <f aca="false">IF(A231="N/A"," ",(VLOOKUP($A231,IRTable,2)))</f>
        <v> </v>
      </c>
      <c r="AF231" s="352" t="n">
        <v>43466</v>
      </c>
      <c r="AG231" s="311" t="n">
        <v>22</v>
      </c>
      <c r="AH231" s="311" t="n">
        <v>4</v>
      </c>
      <c r="AI231" s="311" t="n">
        <v>5</v>
      </c>
      <c r="AJ231" s="311" t="n">
        <v>1</v>
      </c>
      <c r="AK231" s="311" t="n">
        <v>31</v>
      </c>
      <c r="AU231" s="406"/>
    </row>
    <row r="232" customFormat="false" ht="12.75" hidden="false" customHeight="false" outlineLevel="0" collapsed="false">
      <c r="A232" s="352" t="str">
        <f aca="false">Option2!A199</f>
        <v>N/A</v>
      </c>
      <c r="B232" s="396" t="str">
        <f aca="false">IF(A232="N/A"," ",IF(ISERROR(N232),B220*Pwresc,N232)*VLOOKUP(MONTH(A232),Curveadj,3))</f>
        <v> </v>
      </c>
      <c r="C232" s="397" t="str">
        <f aca="false">IF(A232="N/A"," ",(IF(AND(Scaler2=1,MONTH(A232)&gt;=6,MONTH(A232)&lt;=8,OR($M$37="REGION 2",$M$37="REGION 2A",$M$37="REGION 2B",$M$37="REGION 3",$M$37="REGION 3A",$M$37="REGION 3B",$M$37="REGION 3C",$M$37="REGION 4",$M$37="REGION 4B",$M$37="REGION 4C",$M$37="REGION 5",$M$37="REGION 5A")),((0.059228/(B232/100))-(0.4980013/(SQRT(B232/100)))+2.137988),HLOOKUP(MONTH(A232),ScalarTable,28))))</f>
        <v> </v>
      </c>
      <c r="D232" s="398" t="str">
        <f aca="false">IF(A232="N/A"," ",C232*B232)</f>
        <v> </v>
      </c>
      <c r="E232" s="396" t="str">
        <f aca="false">IF(A232="N/A"," ",IF(ISERROR(O232),E220*Pwresc,O232)*VLOOKUP(MONTH(A232),Curveadj,3))</f>
        <v> </v>
      </c>
      <c r="F232" s="398" t="str">
        <f aca="false">IF(A232="N/A"," ",E232*C232)</f>
        <v> </v>
      </c>
      <c r="G232" s="396" t="str">
        <f aca="false">IF(A232="N/A"," ",IF(ISERROR(P232),G220*Pwresc,P232)*VLOOKUP(MONTH(A232),Curveadj,3))</f>
        <v> </v>
      </c>
      <c r="H232" s="398" t="str">
        <f aca="false">IF(A232="N/A"," ",G232*C232)</f>
        <v> </v>
      </c>
      <c r="I232" s="398" t="str">
        <f aca="false">IF(A232="N/A"," ",IF(ISERROR(Q232),I220*Pwresc,Q232))</f>
        <v> </v>
      </c>
      <c r="J232" s="398"/>
      <c r="K232" s="399"/>
      <c r="L232" s="399"/>
      <c r="M232" s="404"/>
      <c r="N232" s="401" t="str">
        <f aca="false">IF(A232="N/A"," ",VLOOKUP(A232,PeakPowerCurves,(IF(BMO2=2,3,IF(BMO2=1,2,4))),FALSE()))</f>
        <v> </v>
      </c>
      <c r="O232" s="401" t="str">
        <f aca="false">IF(A232="N/A"," ",VLOOKUP(A232,SatSunPeakPwr,(IF(BMO2=2,3,IF(BMO2=1,2,4))),FALSE()))</f>
        <v> </v>
      </c>
      <c r="P232" s="401" t="str">
        <f aca="false">IF(A232="N/A"," ",VLOOKUP(A232,SatSunPeakPwr,(IF(BMO2=2,7,IF(BMO2=1,6,8))),FALSE()))</f>
        <v> </v>
      </c>
      <c r="Q232" s="402" t="str">
        <f aca="false">IF(A232="N/A"," ",(VLOOKUP(A232,OPPowerPrices,(IF(BMO2=2,7,IF(BMO2=1,6,8))),FALSE())))</f>
        <v> </v>
      </c>
      <c r="R232" s="403" t="str">
        <f aca="false">IF(A232="N/A"," ",(VLOOKUP($A232,IRTable,2)))</f>
        <v> </v>
      </c>
      <c r="AF232" s="352" t="n">
        <v>43497</v>
      </c>
      <c r="AG232" s="311" t="n">
        <v>20</v>
      </c>
      <c r="AH232" s="311" t="n">
        <v>4</v>
      </c>
      <c r="AI232" s="311" t="n">
        <v>4</v>
      </c>
      <c r="AJ232" s="311" t="n">
        <v>0</v>
      </c>
      <c r="AK232" s="311" t="n">
        <v>28</v>
      </c>
      <c r="AU232" s="406"/>
    </row>
    <row r="233" customFormat="false" ht="12.75" hidden="false" customHeight="false" outlineLevel="0" collapsed="false">
      <c r="A233" s="352" t="str">
        <f aca="false">Option2!A200</f>
        <v>N/A</v>
      </c>
      <c r="B233" s="396" t="str">
        <f aca="false">IF(A233="N/A"," ",IF(ISERROR(N233),B221*Pwresc,N233)*VLOOKUP(MONTH(A233),Curveadj,3))</f>
        <v> </v>
      </c>
      <c r="C233" s="397" t="str">
        <f aca="false">IF(A233="N/A"," ",(IF(AND(Scaler2=1,MONTH(A233)&gt;=6,MONTH(A233)&lt;=8,OR($M$37="REGION 2",$M$37="REGION 2A",$M$37="REGION 2B",$M$37="REGION 3",$M$37="REGION 3A",$M$37="REGION 3B",$M$37="REGION 3C",$M$37="REGION 4",$M$37="REGION 4B",$M$37="REGION 4C",$M$37="REGION 5",$M$37="REGION 5A")),((0.059228/(B233/100))-(0.4980013/(SQRT(B233/100)))+2.137988),HLOOKUP(MONTH(A233),ScalarTable,28))))</f>
        <v> </v>
      </c>
      <c r="D233" s="398" t="str">
        <f aca="false">IF(A233="N/A"," ",C233*B233)</f>
        <v> </v>
      </c>
      <c r="E233" s="396" t="str">
        <f aca="false">IF(A233="N/A"," ",IF(ISERROR(O233),E221*Pwresc,O233)*VLOOKUP(MONTH(A233),Curveadj,3))</f>
        <v> </v>
      </c>
      <c r="F233" s="398" t="str">
        <f aca="false">IF(A233="N/A"," ",E233*C233)</f>
        <v> </v>
      </c>
      <c r="G233" s="396" t="str">
        <f aca="false">IF(A233="N/A"," ",IF(ISERROR(P233),G221*Pwresc,P233)*VLOOKUP(MONTH(A233),Curveadj,3))</f>
        <v> </v>
      </c>
      <c r="H233" s="398" t="str">
        <f aca="false">IF(A233="N/A"," ",G233*C233)</f>
        <v> </v>
      </c>
      <c r="I233" s="398" t="str">
        <f aca="false">IF(A233="N/A"," ",IF(ISERROR(Q233),I221*Pwresc,Q233))</f>
        <v> </v>
      </c>
      <c r="J233" s="398"/>
      <c r="K233" s="399"/>
      <c r="L233" s="399"/>
      <c r="M233" s="404"/>
      <c r="N233" s="401" t="str">
        <f aca="false">IF(A233="N/A"," ",VLOOKUP(A233,PeakPowerCurves,(IF(BMO2=2,3,IF(BMO2=1,2,4))),FALSE()))</f>
        <v> </v>
      </c>
      <c r="O233" s="401" t="str">
        <f aca="false">IF(A233="N/A"," ",VLOOKUP(A233,SatSunPeakPwr,(IF(BMO2=2,3,IF(BMO2=1,2,4))),FALSE()))</f>
        <v> </v>
      </c>
      <c r="P233" s="401" t="str">
        <f aca="false">IF(A233="N/A"," ",VLOOKUP(A233,SatSunPeakPwr,(IF(BMO2=2,7,IF(BMO2=1,6,8))),FALSE()))</f>
        <v> </v>
      </c>
      <c r="Q233" s="402" t="str">
        <f aca="false">IF(A233="N/A"," ",(VLOOKUP(A233,OPPowerPrices,(IF(BMO2=2,7,IF(BMO2=1,6,8))),FALSE())))</f>
        <v> </v>
      </c>
      <c r="R233" s="403" t="str">
        <f aca="false">IF(A233="N/A"," ",(VLOOKUP($A233,IRTable,2)))</f>
        <v> </v>
      </c>
      <c r="AF233" s="352" t="n">
        <v>43525</v>
      </c>
      <c r="AG233" s="311" t="n">
        <v>21</v>
      </c>
      <c r="AH233" s="311" t="n">
        <v>5</v>
      </c>
      <c r="AI233" s="311" t="n">
        <v>5</v>
      </c>
      <c r="AJ233" s="311" t="n">
        <v>0</v>
      </c>
      <c r="AK233" s="311" t="n">
        <v>31</v>
      </c>
      <c r="AU233" s="406"/>
    </row>
    <row r="234" customFormat="false" ht="12.75" hidden="false" customHeight="false" outlineLevel="0" collapsed="false">
      <c r="A234" s="352" t="str">
        <f aca="false">Option2!A201</f>
        <v>N/A</v>
      </c>
      <c r="B234" s="396" t="str">
        <f aca="false">IF(A234="N/A"," ",IF(ISERROR(N234),B222*Pwresc,N234)*VLOOKUP(MONTH(A234),Curveadj,3))</f>
        <v> </v>
      </c>
      <c r="C234" s="397" t="str">
        <f aca="false">IF(A234="N/A"," ",(IF(AND(Scaler2=1,MONTH(A234)&gt;=6,MONTH(A234)&lt;=8,OR($M$37="REGION 2",$M$37="REGION 2A",$M$37="REGION 2B",$M$37="REGION 3",$M$37="REGION 3A",$M$37="REGION 3B",$M$37="REGION 3C",$M$37="REGION 4",$M$37="REGION 4B",$M$37="REGION 4C",$M$37="REGION 5",$M$37="REGION 5A")),((0.059228/(B234/100))-(0.4980013/(SQRT(B234/100)))+2.137988),HLOOKUP(MONTH(A234),ScalarTable,28))))</f>
        <v> </v>
      </c>
      <c r="D234" s="398" t="str">
        <f aca="false">IF(A234="N/A"," ",C234*B234)</f>
        <v> </v>
      </c>
      <c r="E234" s="396" t="str">
        <f aca="false">IF(A234="N/A"," ",IF(ISERROR(O234),E222*Pwresc,O234)*VLOOKUP(MONTH(A234),Curveadj,3))</f>
        <v> </v>
      </c>
      <c r="F234" s="398" t="str">
        <f aca="false">IF(A234="N/A"," ",E234*C234)</f>
        <v> </v>
      </c>
      <c r="G234" s="396" t="str">
        <f aca="false">IF(A234="N/A"," ",IF(ISERROR(P234),G222*Pwresc,P234)*VLOOKUP(MONTH(A234),Curveadj,3))</f>
        <v> </v>
      </c>
      <c r="H234" s="398" t="str">
        <f aca="false">IF(A234="N/A"," ",G234*C234)</f>
        <v> </v>
      </c>
      <c r="I234" s="398" t="str">
        <f aca="false">IF(A234="N/A"," ",IF(ISERROR(Q234),I222*Pwresc,Q234))</f>
        <v> </v>
      </c>
      <c r="J234" s="398"/>
      <c r="K234" s="399"/>
      <c r="L234" s="399"/>
      <c r="M234" s="404"/>
      <c r="N234" s="401" t="str">
        <f aca="false">IF(A234="N/A"," ",VLOOKUP(A234,PeakPowerCurves,(IF(BMO2=2,3,IF(BMO2=1,2,4))),FALSE()))</f>
        <v> </v>
      </c>
      <c r="O234" s="401" t="str">
        <f aca="false">IF(A234="N/A"," ",VLOOKUP(A234,SatSunPeakPwr,(IF(BMO2=2,3,IF(BMO2=1,2,4))),FALSE()))</f>
        <v> </v>
      </c>
      <c r="P234" s="401" t="str">
        <f aca="false">IF(A234="N/A"," ",VLOOKUP(A234,SatSunPeakPwr,(IF(BMO2=2,7,IF(BMO2=1,6,8))),FALSE()))</f>
        <v> </v>
      </c>
      <c r="Q234" s="402" t="str">
        <f aca="false">IF(A234="N/A"," ",(VLOOKUP(A234,OPPowerPrices,(IF(BMO2=2,7,IF(BMO2=1,6,8))),FALSE())))</f>
        <v> </v>
      </c>
      <c r="R234" s="403" t="str">
        <f aca="false">IF(A234="N/A"," ",(VLOOKUP($A234,IRTable,2)))</f>
        <v> </v>
      </c>
      <c r="AF234" s="352" t="n">
        <v>43556</v>
      </c>
      <c r="AG234" s="311" t="n">
        <v>22</v>
      </c>
      <c r="AH234" s="311" t="n">
        <v>4</v>
      </c>
      <c r="AI234" s="311" t="n">
        <v>4</v>
      </c>
      <c r="AJ234" s="311" t="n">
        <v>0</v>
      </c>
      <c r="AK234" s="311" t="n">
        <v>30</v>
      </c>
      <c r="AU234" s="406"/>
    </row>
    <row r="235" customFormat="false" ht="12.75" hidden="false" customHeight="false" outlineLevel="0" collapsed="false">
      <c r="A235" s="352" t="str">
        <f aca="false">Option2!A202</f>
        <v>N/A</v>
      </c>
      <c r="B235" s="396" t="str">
        <f aca="false">IF(A235="N/A"," ",IF(ISERROR(N235),B223*Pwresc,N235)*VLOOKUP(MONTH(A235),Curveadj,3))</f>
        <v> </v>
      </c>
      <c r="C235" s="397" t="str">
        <f aca="false">IF(A235="N/A"," ",(IF(AND(Scaler2=1,MONTH(A235)&gt;=6,MONTH(A235)&lt;=8,OR($M$37="REGION 2",$M$37="REGION 2A",$M$37="REGION 2B",$M$37="REGION 3",$M$37="REGION 3A",$M$37="REGION 3B",$M$37="REGION 3C",$M$37="REGION 4",$M$37="REGION 4B",$M$37="REGION 4C",$M$37="REGION 5",$M$37="REGION 5A")),((0.059228/(B235/100))-(0.4980013/(SQRT(B235/100)))+2.137988),HLOOKUP(MONTH(A235),ScalarTable,28))))</f>
        <v> </v>
      </c>
      <c r="D235" s="398" t="str">
        <f aca="false">IF(A235="N/A"," ",C235*B235)</f>
        <v> </v>
      </c>
      <c r="E235" s="396" t="str">
        <f aca="false">IF(A235="N/A"," ",IF(ISERROR(O235),E223*Pwresc,O235)*VLOOKUP(MONTH(A235),Curveadj,3))</f>
        <v> </v>
      </c>
      <c r="F235" s="398" t="str">
        <f aca="false">IF(A235="N/A"," ",E235*C235)</f>
        <v> </v>
      </c>
      <c r="G235" s="396" t="str">
        <f aca="false">IF(A235="N/A"," ",IF(ISERROR(P235),G223*Pwresc,P235)*VLOOKUP(MONTH(A235),Curveadj,3))</f>
        <v> </v>
      </c>
      <c r="H235" s="398" t="str">
        <f aca="false">IF(A235="N/A"," ",G235*C235)</f>
        <v> </v>
      </c>
      <c r="I235" s="398" t="str">
        <f aca="false">IF(A235="N/A"," ",IF(ISERROR(Q235),I223*Pwresc,Q235))</f>
        <v> </v>
      </c>
      <c r="J235" s="398"/>
      <c r="K235" s="399"/>
      <c r="L235" s="399"/>
      <c r="M235" s="404"/>
      <c r="N235" s="401" t="str">
        <f aca="false">IF(A235="N/A"," ",VLOOKUP(A235,PeakPowerCurves,(IF(BMO2=2,3,IF(BMO2=1,2,4))),FALSE()))</f>
        <v> </v>
      </c>
      <c r="O235" s="401" t="str">
        <f aca="false">IF(A235="N/A"," ",VLOOKUP(A235,SatSunPeakPwr,(IF(BMO2=2,3,IF(BMO2=1,2,4))),FALSE()))</f>
        <v> </v>
      </c>
      <c r="P235" s="401" t="str">
        <f aca="false">IF(A235="N/A"," ",VLOOKUP(A235,SatSunPeakPwr,(IF(BMO2=2,7,IF(BMO2=1,6,8))),FALSE()))</f>
        <v> </v>
      </c>
      <c r="Q235" s="402" t="str">
        <f aca="false">IF(A235="N/A"," ",(VLOOKUP(A235,OPPowerPrices,(IF(BMO2=2,7,IF(BMO2=1,6,8))),FALSE())))</f>
        <v> </v>
      </c>
      <c r="R235" s="403" t="str">
        <f aca="false">IF(A235="N/A"," ",(VLOOKUP($A235,IRTable,2)))</f>
        <v> </v>
      </c>
      <c r="AF235" s="352" t="n">
        <v>43586</v>
      </c>
      <c r="AG235" s="311" t="n">
        <v>22</v>
      </c>
      <c r="AH235" s="311" t="n">
        <v>4</v>
      </c>
      <c r="AI235" s="311" t="n">
        <v>5</v>
      </c>
      <c r="AJ235" s="311" t="n">
        <v>1</v>
      </c>
      <c r="AK235" s="311" t="n">
        <v>31</v>
      </c>
      <c r="AU235" s="406"/>
    </row>
    <row r="236" customFormat="false" ht="12.75" hidden="false" customHeight="false" outlineLevel="0" collapsed="false">
      <c r="A236" s="352" t="str">
        <f aca="false">Option2!A203</f>
        <v>N/A</v>
      </c>
      <c r="B236" s="396" t="str">
        <f aca="false">IF(A236="N/A"," ",IF(ISERROR(N236),B224*Pwresc,N236)*VLOOKUP(MONTH(A236),Curveadj,3))</f>
        <v> </v>
      </c>
      <c r="C236" s="397" t="str">
        <f aca="false">IF(A236="N/A"," ",(IF(AND(Scaler2=1,MONTH(A236)&gt;=6,MONTH(A236)&lt;=8,OR($M$37="REGION 2",$M$37="REGION 2A",$M$37="REGION 2B",$M$37="REGION 3",$M$37="REGION 3A",$M$37="REGION 3B",$M$37="REGION 3C",$M$37="REGION 4",$M$37="REGION 4B",$M$37="REGION 4C",$M$37="REGION 5",$M$37="REGION 5A")),((0.059228/(B236/100))-(0.4980013/(SQRT(B236/100)))+2.137988),HLOOKUP(MONTH(A236),ScalarTable,28))))</f>
        <v> </v>
      </c>
      <c r="D236" s="398" t="str">
        <f aca="false">IF(A236="N/A"," ",C236*B236)</f>
        <v> </v>
      </c>
      <c r="E236" s="396" t="str">
        <f aca="false">IF(A236="N/A"," ",IF(ISERROR(O236),E224*Pwresc,O236)*VLOOKUP(MONTH(A236),Curveadj,3))</f>
        <v> </v>
      </c>
      <c r="F236" s="398" t="str">
        <f aca="false">IF(A236="N/A"," ",E236*C236)</f>
        <v> </v>
      </c>
      <c r="G236" s="396" t="str">
        <f aca="false">IF(A236="N/A"," ",IF(ISERROR(P236),G224*Pwresc,P236)*VLOOKUP(MONTH(A236),Curveadj,3))</f>
        <v> </v>
      </c>
      <c r="H236" s="398" t="str">
        <f aca="false">IF(A236="N/A"," ",G236*C236)</f>
        <v> </v>
      </c>
      <c r="I236" s="398" t="str">
        <f aca="false">IF(A236="N/A"," ",IF(ISERROR(Q236),I224*Pwresc,Q236))</f>
        <v> </v>
      </c>
      <c r="J236" s="398"/>
      <c r="K236" s="399"/>
      <c r="L236" s="399"/>
      <c r="M236" s="404"/>
      <c r="N236" s="401" t="str">
        <f aca="false">IF(A236="N/A"," ",VLOOKUP(A236,PeakPowerCurves,(IF(BMO2=2,3,IF(BMO2=1,2,4))),FALSE()))</f>
        <v> </v>
      </c>
      <c r="O236" s="401" t="str">
        <f aca="false">IF(A236="N/A"," ",VLOOKUP(A236,SatSunPeakPwr,(IF(BMO2=2,3,IF(BMO2=1,2,4))),FALSE()))</f>
        <v> </v>
      </c>
      <c r="P236" s="401" t="str">
        <f aca="false">IF(A236="N/A"," ",VLOOKUP(A236,SatSunPeakPwr,(IF(BMO2=2,7,IF(BMO2=1,6,8))),FALSE()))</f>
        <v> </v>
      </c>
      <c r="Q236" s="402" t="str">
        <f aca="false">IF(A236="N/A"," ",(VLOOKUP(A236,OPPowerPrices,(IF(BMO2=2,7,IF(BMO2=1,6,8))),FALSE())))</f>
        <v> </v>
      </c>
      <c r="R236" s="403" t="str">
        <f aca="false">IF(A236="N/A"," ",(VLOOKUP($A236,IRTable,2)))</f>
        <v> </v>
      </c>
      <c r="AF236" s="352" t="n">
        <v>43617</v>
      </c>
      <c r="AG236" s="311" t="n">
        <v>20</v>
      </c>
      <c r="AH236" s="311" t="n">
        <v>5</v>
      </c>
      <c r="AI236" s="311" t="n">
        <v>5</v>
      </c>
      <c r="AJ236" s="311" t="n">
        <v>0</v>
      </c>
      <c r="AK236" s="311" t="n">
        <v>30</v>
      </c>
      <c r="AU236" s="406"/>
    </row>
    <row r="237" customFormat="false" ht="12.75" hidden="false" customHeight="false" outlineLevel="0" collapsed="false">
      <c r="A237" s="352" t="str">
        <f aca="false">Option2!A204</f>
        <v>N/A</v>
      </c>
      <c r="B237" s="396" t="str">
        <f aca="false">IF(A237="N/A"," ",IF(ISERROR(N237),B225*Pwresc,N237)*VLOOKUP(MONTH(A237),Curveadj,3))</f>
        <v> </v>
      </c>
      <c r="C237" s="397" t="str">
        <f aca="false">IF(A237="N/A"," ",(IF(AND(Scaler2=1,MONTH(A237)&gt;=6,MONTH(A237)&lt;=8,OR($M$37="REGION 2",$M$37="REGION 2A",$M$37="REGION 2B",$M$37="REGION 3",$M$37="REGION 3A",$M$37="REGION 3B",$M$37="REGION 3C",$M$37="REGION 4",$M$37="REGION 4B",$M$37="REGION 4C",$M$37="REGION 5",$M$37="REGION 5A")),((0.059228/(B237/100))-(0.4980013/(SQRT(B237/100)))+2.137988),HLOOKUP(MONTH(A237),ScalarTable,28))))</f>
        <v> </v>
      </c>
      <c r="D237" s="398" t="str">
        <f aca="false">IF(A237="N/A"," ",C237*B237)</f>
        <v> </v>
      </c>
      <c r="E237" s="396" t="str">
        <f aca="false">IF(A237="N/A"," ",IF(ISERROR(O237),E225*Pwresc,O237)*VLOOKUP(MONTH(A237),Curveadj,3))</f>
        <v> </v>
      </c>
      <c r="F237" s="398" t="str">
        <f aca="false">IF(A237="N/A"," ",E237*C237)</f>
        <v> </v>
      </c>
      <c r="G237" s="396" t="str">
        <f aca="false">IF(A237="N/A"," ",IF(ISERROR(P237),G225*Pwresc,P237)*VLOOKUP(MONTH(A237),Curveadj,3))</f>
        <v> </v>
      </c>
      <c r="H237" s="398" t="str">
        <f aca="false">IF(A237="N/A"," ",G237*C237)</f>
        <v> </v>
      </c>
      <c r="I237" s="398" t="str">
        <f aca="false">IF(A237="N/A"," ",IF(ISERROR(Q237),I225*Pwresc,Q237))</f>
        <v> </v>
      </c>
      <c r="J237" s="398"/>
      <c r="K237" s="399"/>
      <c r="L237" s="399"/>
      <c r="M237" s="404"/>
      <c r="N237" s="401" t="str">
        <f aca="false">IF(A237="N/A"," ",VLOOKUP(A237,PeakPowerCurves,(IF(BMO2=2,3,IF(BMO2=1,2,4))),FALSE()))</f>
        <v> </v>
      </c>
      <c r="O237" s="401" t="str">
        <f aca="false">IF(A237="N/A"," ",VLOOKUP(A237,SatSunPeakPwr,(IF(BMO2=2,3,IF(BMO2=1,2,4))),FALSE()))</f>
        <v> </v>
      </c>
      <c r="P237" s="401" t="str">
        <f aca="false">IF(A237="N/A"," ",VLOOKUP(A237,SatSunPeakPwr,(IF(BMO2=2,7,IF(BMO2=1,6,8))),FALSE()))</f>
        <v> </v>
      </c>
      <c r="Q237" s="402" t="str">
        <f aca="false">IF(A237="N/A"," ",(VLOOKUP(A237,OPPowerPrices,(IF(BMO2=2,7,IF(BMO2=1,6,8))),FALSE())))</f>
        <v> </v>
      </c>
      <c r="R237" s="403" t="str">
        <f aca="false">IF(A237="N/A"," ",(VLOOKUP($A237,IRTable,2)))</f>
        <v> </v>
      </c>
      <c r="AF237" s="352" t="n">
        <v>43647</v>
      </c>
      <c r="AG237" s="311" t="n">
        <v>22</v>
      </c>
      <c r="AH237" s="311" t="n">
        <v>4</v>
      </c>
      <c r="AI237" s="311" t="n">
        <v>5</v>
      </c>
      <c r="AJ237" s="311" t="n">
        <v>1</v>
      </c>
      <c r="AK237" s="311" t="n">
        <v>31</v>
      </c>
      <c r="AU237" s="406"/>
    </row>
    <row r="238" customFormat="false" ht="12.75" hidden="false" customHeight="false" outlineLevel="0" collapsed="false">
      <c r="A238" s="352" t="str">
        <f aca="false">Option2!A205</f>
        <v>N/A</v>
      </c>
      <c r="B238" s="396" t="str">
        <f aca="false">IF(A238="N/A"," ",IF(ISERROR(N238),B226*Pwresc,N238)*VLOOKUP(MONTH(A238),Curveadj,3))</f>
        <v> </v>
      </c>
      <c r="C238" s="397" t="str">
        <f aca="false">IF(A238="N/A"," ",(IF(AND(Scaler2=1,MONTH(A238)&gt;=6,MONTH(A238)&lt;=8,OR($M$37="REGION 2",$M$37="REGION 2A",$M$37="REGION 2B",$M$37="REGION 3",$M$37="REGION 3A",$M$37="REGION 3B",$M$37="REGION 3C",$M$37="REGION 4",$M$37="REGION 4B",$M$37="REGION 4C",$M$37="REGION 5",$M$37="REGION 5A")),((0.059228/(B238/100))-(0.4980013/(SQRT(B238/100)))+2.137988),HLOOKUP(MONTH(A238),ScalarTable,28))))</f>
        <v> </v>
      </c>
      <c r="D238" s="398" t="str">
        <f aca="false">IF(A238="N/A"," ",C238*B238)</f>
        <v> </v>
      </c>
      <c r="E238" s="396" t="str">
        <f aca="false">IF(A238="N/A"," ",IF(ISERROR(O238),E226*Pwresc,O238)*VLOOKUP(MONTH(A238),Curveadj,3))</f>
        <v> </v>
      </c>
      <c r="F238" s="398" t="str">
        <f aca="false">IF(A238="N/A"," ",E238*C238)</f>
        <v> </v>
      </c>
      <c r="G238" s="396" t="str">
        <f aca="false">IF(A238="N/A"," ",IF(ISERROR(P238),G226*Pwresc,P238)*VLOOKUP(MONTH(A238),Curveadj,3))</f>
        <v> </v>
      </c>
      <c r="H238" s="398" t="str">
        <f aca="false">IF(A238="N/A"," ",G238*C238)</f>
        <v> </v>
      </c>
      <c r="I238" s="398" t="str">
        <f aca="false">IF(A238="N/A"," ",IF(ISERROR(Q238),I226*Pwresc,Q238))</f>
        <v> </v>
      </c>
      <c r="J238" s="398"/>
      <c r="K238" s="399"/>
      <c r="L238" s="399"/>
      <c r="M238" s="404"/>
      <c r="N238" s="401" t="str">
        <f aca="false">IF(A238="N/A"," ",VLOOKUP(A238,PeakPowerCurves,(IF(BMO2=2,3,IF(BMO2=1,2,4))),FALSE()))</f>
        <v> </v>
      </c>
      <c r="O238" s="401" t="str">
        <f aca="false">IF(A238="N/A"," ",VLOOKUP(A238,SatSunPeakPwr,(IF(BMO2=2,3,IF(BMO2=1,2,4))),FALSE()))</f>
        <v> </v>
      </c>
      <c r="P238" s="401" t="str">
        <f aca="false">IF(A238="N/A"," ",VLOOKUP(A238,SatSunPeakPwr,(IF(BMO2=2,7,IF(BMO2=1,6,8))),FALSE()))</f>
        <v> </v>
      </c>
      <c r="Q238" s="402" t="str">
        <f aca="false">IF(A238="N/A"," ",(VLOOKUP(A238,OPPowerPrices,(IF(BMO2=2,7,IF(BMO2=1,6,8))),FALSE())))</f>
        <v> </v>
      </c>
      <c r="R238" s="403" t="str">
        <f aca="false">IF(A238="N/A"," ",(VLOOKUP($A238,IRTable,2)))</f>
        <v> </v>
      </c>
      <c r="AF238" s="352" t="n">
        <v>43678</v>
      </c>
      <c r="AG238" s="311" t="n">
        <v>22</v>
      </c>
      <c r="AH238" s="311" t="n">
        <v>5</v>
      </c>
      <c r="AI238" s="311" t="n">
        <v>4</v>
      </c>
      <c r="AJ238" s="311" t="n">
        <v>0</v>
      </c>
      <c r="AK238" s="311" t="n">
        <v>31</v>
      </c>
      <c r="AU238" s="406"/>
    </row>
    <row r="239" customFormat="false" ht="12.75" hidden="false" customHeight="false" outlineLevel="0" collapsed="false">
      <c r="A239" s="352" t="str">
        <f aca="false">Option2!A206</f>
        <v>N/A</v>
      </c>
      <c r="B239" s="396" t="str">
        <f aca="false">IF(A239="N/A"," ",IF(ISERROR(N239),B227*Pwresc,N239)*VLOOKUP(MONTH(A239),Curveadj,3))</f>
        <v> </v>
      </c>
      <c r="C239" s="397" t="str">
        <f aca="false">IF(A239="N/A"," ",(IF(AND(Scaler2=1,MONTH(A239)&gt;=6,MONTH(A239)&lt;=8,OR($M$37="REGION 2",$M$37="REGION 2A",$M$37="REGION 2B",$M$37="REGION 3",$M$37="REGION 3A",$M$37="REGION 3B",$M$37="REGION 3C",$M$37="REGION 4",$M$37="REGION 4B",$M$37="REGION 4C",$M$37="REGION 5",$M$37="REGION 5A")),((0.059228/(B239/100))-(0.4980013/(SQRT(B239/100)))+2.137988),HLOOKUP(MONTH(A239),ScalarTable,28))))</f>
        <v> </v>
      </c>
      <c r="D239" s="398" t="str">
        <f aca="false">IF(A239="N/A"," ",C239*B239)</f>
        <v> </v>
      </c>
      <c r="E239" s="396" t="str">
        <f aca="false">IF(A239="N/A"," ",IF(ISERROR(O239),E227*Pwresc,O239)*VLOOKUP(MONTH(A239),Curveadj,3))</f>
        <v> </v>
      </c>
      <c r="F239" s="398" t="str">
        <f aca="false">IF(A239="N/A"," ",E239*C239)</f>
        <v> </v>
      </c>
      <c r="G239" s="396" t="str">
        <f aca="false">IF(A239="N/A"," ",IF(ISERROR(P239),G227*Pwresc,P239)*VLOOKUP(MONTH(A239),Curveadj,3))</f>
        <v> </v>
      </c>
      <c r="H239" s="398" t="str">
        <f aca="false">IF(A239="N/A"," ",G239*C239)</f>
        <v> </v>
      </c>
      <c r="I239" s="398" t="str">
        <f aca="false">IF(A239="N/A"," ",IF(ISERROR(Q239),I227*Pwresc,Q239))</f>
        <v> </v>
      </c>
      <c r="J239" s="398"/>
      <c r="K239" s="399"/>
      <c r="L239" s="399"/>
      <c r="M239" s="404"/>
      <c r="N239" s="401" t="str">
        <f aca="false">IF(A239="N/A"," ",VLOOKUP(A239,PeakPowerCurves,(IF(BMO2=2,3,IF(BMO2=1,2,4))),FALSE()))</f>
        <v> </v>
      </c>
      <c r="O239" s="401" t="str">
        <f aca="false">IF(A239="N/A"," ",VLOOKUP(A239,SatSunPeakPwr,(IF(BMO2=2,3,IF(BMO2=1,2,4))),FALSE()))</f>
        <v> </v>
      </c>
      <c r="P239" s="401" t="str">
        <f aca="false">IF(A239="N/A"," ",VLOOKUP(A239,SatSunPeakPwr,(IF(BMO2=2,7,IF(BMO2=1,6,8))),FALSE()))</f>
        <v> </v>
      </c>
      <c r="Q239" s="402" t="str">
        <f aca="false">IF(A239="N/A"," ",(VLOOKUP(A239,OPPowerPrices,(IF(BMO2=2,7,IF(BMO2=1,6,8))),FALSE())))</f>
        <v> </v>
      </c>
      <c r="R239" s="403" t="str">
        <f aca="false">IF(A239="N/A"," ",(VLOOKUP($A239,IRTable,2)))</f>
        <v> </v>
      </c>
      <c r="AF239" s="352" t="n">
        <v>43709</v>
      </c>
      <c r="AG239" s="311" t="n">
        <v>20</v>
      </c>
      <c r="AH239" s="311" t="n">
        <v>4</v>
      </c>
      <c r="AI239" s="311" t="n">
        <v>6</v>
      </c>
      <c r="AJ239" s="311" t="n">
        <v>1</v>
      </c>
      <c r="AK239" s="311" t="n">
        <v>30</v>
      </c>
      <c r="AU239" s="406"/>
    </row>
    <row r="240" customFormat="false" ht="12.75" hidden="false" customHeight="false" outlineLevel="0" collapsed="false">
      <c r="A240" s="352" t="str">
        <f aca="false">Option2!A207</f>
        <v>N/A</v>
      </c>
      <c r="B240" s="396" t="str">
        <f aca="false">IF(A240="N/A"," ",IF(ISERROR(N240),B228*Pwresc,N240)*VLOOKUP(MONTH(A240),Curveadj,3))</f>
        <v> </v>
      </c>
      <c r="C240" s="397" t="str">
        <f aca="false">IF(A240="N/A"," ",(IF(AND(Scaler2=1,MONTH(A240)&gt;=6,MONTH(A240)&lt;=8,OR($M$37="REGION 2",$M$37="REGION 2A",$M$37="REGION 2B",$M$37="REGION 3",$M$37="REGION 3A",$M$37="REGION 3B",$M$37="REGION 3C",$M$37="REGION 4",$M$37="REGION 4B",$M$37="REGION 4C",$M$37="REGION 5",$M$37="REGION 5A")),((0.059228/(B240/100))-(0.4980013/(SQRT(B240/100)))+2.137988),HLOOKUP(MONTH(A240),ScalarTable,28))))</f>
        <v> </v>
      </c>
      <c r="D240" s="398" t="str">
        <f aca="false">IF(A240="N/A"," ",C240*B240)</f>
        <v> </v>
      </c>
      <c r="E240" s="396" t="str">
        <f aca="false">IF(A240="N/A"," ",IF(ISERROR(O240),E228*Pwresc,O240)*VLOOKUP(MONTH(A240),Curveadj,3))</f>
        <v> </v>
      </c>
      <c r="F240" s="398" t="str">
        <f aca="false">IF(A240="N/A"," ",E240*C240)</f>
        <v> </v>
      </c>
      <c r="G240" s="396" t="str">
        <f aca="false">IF(A240="N/A"," ",IF(ISERROR(P240),G228*Pwresc,P240)*VLOOKUP(MONTH(A240),Curveadj,3))</f>
        <v> </v>
      </c>
      <c r="H240" s="398" t="str">
        <f aca="false">IF(A240="N/A"," ",G240*C240)</f>
        <v> </v>
      </c>
      <c r="I240" s="398" t="str">
        <f aca="false">IF(A240="N/A"," ",IF(ISERROR(Q240),I228*Pwresc,Q240))</f>
        <v> </v>
      </c>
      <c r="J240" s="398"/>
      <c r="K240" s="399"/>
      <c r="L240" s="399"/>
      <c r="M240" s="404"/>
      <c r="N240" s="401" t="str">
        <f aca="false">IF(A240="N/A"," ",VLOOKUP(A240,PeakPowerCurves,(IF(BMO2=2,3,IF(BMO2=1,2,4))),FALSE()))</f>
        <v> </v>
      </c>
      <c r="O240" s="401" t="str">
        <f aca="false">IF(A240="N/A"," ",VLOOKUP(A240,SatSunPeakPwr,(IF(BMO2=2,3,IF(BMO2=1,2,4))),FALSE()))</f>
        <v> </v>
      </c>
      <c r="P240" s="401" t="str">
        <f aca="false">IF(A240="N/A"," ",VLOOKUP(A240,SatSunPeakPwr,(IF(BMO2=2,7,IF(BMO2=1,6,8))),FALSE()))</f>
        <v> </v>
      </c>
      <c r="Q240" s="402" t="str">
        <f aca="false">IF(A240="N/A"," ",(VLOOKUP(A240,OPPowerPrices,(IF(BMO2=2,7,IF(BMO2=1,6,8))),FALSE())))</f>
        <v> </v>
      </c>
      <c r="R240" s="403" t="str">
        <f aca="false">IF(A240="N/A"," ",(VLOOKUP($A240,IRTable,2)))</f>
        <v> </v>
      </c>
      <c r="AF240" s="352" t="n">
        <v>43739</v>
      </c>
      <c r="AG240" s="311" t="n">
        <v>23</v>
      </c>
      <c r="AH240" s="311" t="n">
        <v>4</v>
      </c>
      <c r="AI240" s="311" t="n">
        <v>4</v>
      </c>
      <c r="AJ240" s="311" t="n">
        <v>0</v>
      </c>
      <c r="AK240" s="311" t="n">
        <v>31</v>
      </c>
      <c r="AU240" s="406"/>
    </row>
    <row r="241" customFormat="false" ht="12.75" hidden="false" customHeight="false" outlineLevel="0" collapsed="false">
      <c r="A241" s="352" t="str">
        <f aca="false">Option2!A208</f>
        <v>N/A</v>
      </c>
      <c r="B241" s="396" t="str">
        <f aca="false">IF(A241="N/A"," ",IF(ISERROR(N241),B229*Pwresc,N241)*VLOOKUP(MONTH(A241),Curveadj,3))</f>
        <v> </v>
      </c>
      <c r="C241" s="397" t="str">
        <f aca="false">IF(A241="N/A"," ",(IF(AND(Scaler2=1,MONTH(A241)&gt;=6,MONTH(A241)&lt;=8,OR($M$37="REGION 2",$M$37="REGION 2A",$M$37="REGION 2B",$M$37="REGION 3",$M$37="REGION 3A",$M$37="REGION 3B",$M$37="REGION 3C",$M$37="REGION 4",$M$37="REGION 4B",$M$37="REGION 4C",$M$37="REGION 5",$M$37="REGION 5A")),((0.059228/(B241/100))-(0.4980013/(SQRT(B241/100)))+2.137988),HLOOKUP(MONTH(A241),ScalarTable,28))))</f>
        <v> </v>
      </c>
      <c r="D241" s="398" t="str">
        <f aca="false">IF(A241="N/A"," ",C241*B241)</f>
        <v> </v>
      </c>
      <c r="E241" s="396" t="str">
        <f aca="false">IF(A241="N/A"," ",IF(ISERROR(O241),E229*Pwresc,O241)*VLOOKUP(MONTH(A241),Curveadj,3))</f>
        <v> </v>
      </c>
      <c r="F241" s="398" t="str">
        <f aca="false">IF(A241="N/A"," ",E241*C241)</f>
        <v> </v>
      </c>
      <c r="G241" s="396" t="str">
        <f aca="false">IF(A241="N/A"," ",IF(ISERROR(P241),G229*Pwresc,P241)*VLOOKUP(MONTH(A241),Curveadj,3))</f>
        <v> </v>
      </c>
      <c r="H241" s="398" t="str">
        <f aca="false">IF(A241="N/A"," ",G241*C241)</f>
        <v> </v>
      </c>
      <c r="I241" s="398" t="str">
        <f aca="false">IF(A241="N/A"," ",IF(ISERROR(Q241),I229*Pwresc,Q241))</f>
        <v> </v>
      </c>
      <c r="J241" s="398"/>
      <c r="K241" s="399"/>
      <c r="L241" s="399"/>
      <c r="M241" s="404"/>
      <c r="N241" s="401" t="str">
        <f aca="false">IF(A241="N/A"," ",VLOOKUP(A241,PeakPowerCurves,(IF(BMO2=2,3,IF(BMO2=1,2,4))),FALSE()))</f>
        <v> </v>
      </c>
      <c r="O241" s="401" t="str">
        <f aca="false">IF(A241="N/A"," ",VLOOKUP(A241,SatSunPeakPwr,(IF(BMO2=2,3,IF(BMO2=1,2,4))),FALSE()))</f>
        <v> </v>
      </c>
      <c r="P241" s="401" t="str">
        <f aca="false">IF(A241="N/A"," ",VLOOKUP(A241,SatSunPeakPwr,(IF(BMO2=2,7,IF(BMO2=1,6,8))),FALSE()))</f>
        <v> </v>
      </c>
      <c r="Q241" s="402" t="str">
        <f aca="false">IF(A241="N/A"," ",(VLOOKUP(A241,OPPowerPrices,(IF(BMO2=2,7,IF(BMO2=1,6,8))),FALSE())))</f>
        <v> </v>
      </c>
      <c r="R241" s="403" t="str">
        <f aca="false">IF(A241="N/A"," ",(VLOOKUP($A241,IRTable,2)))</f>
        <v> </v>
      </c>
      <c r="AF241" s="352" t="n">
        <v>43770</v>
      </c>
      <c r="AG241" s="311" t="n">
        <v>20</v>
      </c>
      <c r="AH241" s="311" t="n">
        <v>5</v>
      </c>
      <c r="AI241" s="311" t="n">
        <v>5</v>
      </c>
      <c r="AJ241" s="311" t="n">
        <v>1</v>
      </c>
      <c r="AK241" s="311" t="n">
        <v>30</v>
      </c>
      <c r="AU241" s="406"/>
    </row>
    <row r="242" customFormat="false" ht="12.75" hidden="false" customHeight="false" outlineLevel="0" collapsed="false">
      <c r="A242" s="352" t="str">
        <f aca="false">Option2!A209</f>
        <v>N/A</v>
      </c>
      <c r="B242" s="396" t="str">
        <f aca="false">IF(A242="N/A"," ",IF(ISERROR(N242),B230*Pwresc,N242)*VLOOKUP(MONTH(A242),Curveadj,3))</f>
        <v> </v>
      </c>
      <c r="C242" s="397" t="str">
        <f aca="false">IF(A242="N/A"," ",(IF(AND(Scaler2=1,MONTH(A242)&gt;=6,MONTH(A242)&lt;=8,OR($M$37="REGION 2",$M$37="REGION 2A",$M$37="REGION 2B",$M$37="REGION 3",$M$37="REGION 3A",$M$37="REGION 3B",$M$37="REGION 3C",$M$37="REGION 4",$M$37="REGION 4B",$M$37="REGION 4C",$M$37="REGION 5",$M$37="REGION 5A")),((0.059228/(B242/100))-(0.4980013/(SQRT(B242/100)))+2.137988),HLOOKUP(MONTH(A242),ScalarTable,28))))</f>
        <v> </v>
      </c>
      <c r="D242" s="398" t="str">
        <f aca="false">IF(A242="N/A"," ",C242*B242)</f>
        <v> </v>
      </c>
      <c r="E242" s="396" t="str">
        <f aca="false">IF(A242="N/A"," ",IF(ISERROR(O242),E230*Pwresc,O242)*VLOOKUP(MONTH(A242),Curveadj,3))</f>
        <v> </v>
      </c>
      <c r="F242" s="398" t="str">
        <f aca="false">IF(A242="N/A"," ",E242*C242)</f>
        <v> </v>
      </c>
      <c r="G242" s="396" t="str">
        <f aca="false">IF(A242="N/A"," ",IF(ISERROR(P242),G230*Pwresc,P242)*VLOOKUP(MONTH(A242),Curveadj,3))</f>
        <v> </v>
      </c>
      <c r="H242" s="398" t="str">
        <f aca="false">IF(A242="N/A"," ",G242*C242)</f>
        <v> </v>
      </c>
      <c r="I242" s="398" t="str">
        <f aca="false">IF(A242="N/A"," ",IF(ISERROR(Q242),I230*Pwresc,Q242))</f>
        <v> </v>
      </c>
      <c r="J242" s="398"/>
      <c r="K242" s="399"/>
      <c r="L242" s="399"/>
      <c r="M242" s="404"/>
      <c r="N242" s="401" t="str">
        <f aca="false">IF(A242="N/A"," ",VLOOKUP(A242,PeakPowerCurves,(IF(BMO2=2,3,IF(BMO2=1,2,4))),FALSE()))</f>
        <v> </v>
      </c>
      <c r="O242" s="401" t="str">
        <f aca="false">IF(A242="N/A"," ",VLOOKUP(A242,SatSunPeakPwr,(IF(BMO2=2,3,IF(BMO2=1,2,4))),FALSE()))</f>
        <v> </v>
      </c>
      <c r="P242" s="401" t="str">
        <f aca="false">IF(A242="N/A"," ",VLOOKUP(A242,SatSunPeakPwr,(IF(BMO2=2,7,IF(BMO2=1,6,8))),FALSE()))</f>
        <v> </v>
      </c>
      <c r="Q242" s="402" t="str">
        <f aca="false">IF(A242="N/A"," ",(VLOOKUP(A242,OPPowerPrices,(IF(BMO2=2,7,IF(BMO2=1,6,8))),FALSE())))</f>
        <v> </v>
      </c>
      <c r="R242" s="403" t="str">
        <f aca="false">IF(A242="N/A"," ",(VLOOKUP($A242,IRTable,2)))</f>
        <v> </v>
      </c>
      <c r="AF242" s="352" t="n">
        <v>43800</v>
      </c>
      <c r="AG242" s="311" t="n">
        <v>21</v>
      </c>
      <c r="AH242" s="311" t="n">
        <v>4</v>
      </c>
      <c r="AI242" s="311" t="n">
        <v>6</v>
      </c>
      <c r="AJ242" s="311" t="n">
        <v>1</v>
      </c>
      <c r="AK242" s="311" t="n">
        <v>31</v>
      </c>
      <c r="AU242" s="406"/>
    </row>
    <row r="243" customFormat="false" ht="12.75" hidden="false" customHeight="false" outlineLevel="0" collapsed="false">
      <c r="A243" s="352" t="str">
        <f aca="false">Option2!A210</f>
        <v>N/A</v>
      </c>
      <c r="B243" s="396" t="str">
        <f aca="false">IF(A243="N/A"," ",IF(ISERROR(N243),B231*Pwresc,N243)*VLOOKUP(MONTH(A243),Curveadj,3))</f>
        <v> </v>
      </c>
      <c r="C243" s="397" t="str">
        <f aca="false">IF(A243="N/A"," ",(IF(AND(Scaler2=1,MONTH(A243)&gt;=6,MONTH(A243)&lt;=8,OR($M$37="REGION 2",$M$37="REGION 2A",$M$37="REGION 2B",$M$37="REGION 3",$M$37="REGION 3A",$M$37="REGION 3B",$M$37="REGION 3C",$M$37="REGION 4",$M$37="REGION 4B",$M$37="REGION 4C",$M$37="REGION 5",$M$37="REGION 5A")),((0.059228/(B243/100))-(0.4980013/(SQRT(B243/100)))+2.137988),HLOOKUP(MONTH(A243),ScalarTable,28))))</f>
        <v> </v>
      </c>
      <c r="D243" s="398" t="str">
        <f aca="false">IF(A243="N/A"," ",C243*B243)</f>
        <v> </v>
      </c>
      <c r="E243" s="396" t="str">
        <f aca="false">IF(A243="N/A"," ",IF(ISERROR(O243),E231*Pwresc,O243)*VLOOKUP(MONTH(A243),Curveadj,3))</f>
        <v> </v>
      </c>
      <c r="F243" s="398" t="str">
        <f aca="false">IF(A243="N/A"," ",E243*C243)</f>
        <v> </v>
      </c>
      <c r="G243" s="396" t="str">
        <f aca="false">IF(A243="N/A"," ",IF(ISERROR(P243),G231*Pwresc,P243)*VLOOKUP(MONTH(A243),Curveadj,3))</f>
        <v> </v>
      </c>
      <c r="H243" s="398" t="str">
        <f aca="false">IF(A243="N/A"," ",G243*C243)</f>
        <v> </v>
      </c>
      <c r="I243" s="398" t="str">
        <f aca="false">IF(A243="N/A"," ",IF(ISERROR(Q243),I231*Pwresc,Q243))</f>
        <v> </v>
      </c>
      <c r="J243" s="398"/>
      <c r="K243" s="399"/>
      <c r="L243" s="399"/>
      <c r="M243" s="404"/>
      <c r="N243" s="401" t="str">
        <f aca="false">IF(A243="N/A"," ",VLOOKUP(A243,PeakPowerCurves,(IF(BMO2=2,3,IF(BMO2=1,2,4))),FALSE()))</f>
        <v> </v>
      </c>
      <c r="O243" s="401" t="str">
        <f aca="false">IF(A243="N/A"," ",VLOOKUP(A243,SatSunPeakPwr,(IF(BMO2=2,3,IF(BMO2=1,2,4))),FALSE()))</f>
        <v> </v>
      </c>
      <c r="P243" s="401" t="str">
        <f aca="false">IF(A243="N/A"," ",VLOOKUP(A243,SatSunPeakPwr,(IF(BMO2=2,7,IF(BMO2=1,6,8))),FALSE()))</f>
        <v> </v>
      </c>
      <c r="Q243" s="402" t="str">
        <f aca="false">IF(A243="N/A"," ",(VLOOKUP(A243,OPPowerPrices,(IF(BMO2=2,7,IF(BMO2=1,6,8))),FALSE())))</f>
        <v> </v>
      </c>
      <c r="R243" s="403" t="str">
        <f aca="false">IF(A243="N/A"," ",(VLOOKUP($A243,IRTable,2)))</f>
        <v> </v>
      </c>
      <c r="AF243" s="352" t="n">
        <v>43831</v>
      </c>
      <c r="AG243" s="311" t="n">
        <v>22</v>
      </c>
      <c r="AH243" s="311" t="n">
        <v>4</v>
      </c>
      <c r="AI243" s="311" t="n">
        <v>5</v>
      </c>
      <c r="AJ243" s="311" t="n">
        <v>1</v>
      </c>
      <c r="AK243" s="311" t="n">
        <v>31</v>
      </c>
      <c r="AU243" s="406"/>
    </row>
    <row r="244" customFormat="false" ht="12.75" hidden="false" customHeight="false" outlineLevel="0" collapsed="false">
      <c r="A244" s="352" t="str">
        <f aca="false">Option2!A211</f>
        <v>N/A</v>
      </c>
      <c r="B244" s="396" t="str">
        <f aca="false">IF(A244="N/A"," ",IF(ISERROR(N244),B232*Pwresc,N244)*VLOOKUP(MONTH(A244),Curveadj,3))</f>
        <v> </v>
      </c>
      <c r="C244" s="397" t="str">
        <f aca="false">IF(A244="N/A"," ",(IF(AND(Scaler2=1,MONTH(A244)&gt;=6,MONTH(A244)&lt;=8,OR($M$37="REGION 2",$M$37="REGION 2A",$M$37="REGION 2B",$M$37="REGION 3",$M$37="REGION 3A",$M$37="REGION 3B",$M$37="REGION 3C",$M$37="REGION 4",$M$37="REGION 4B",$M$37="REGION 4C",$M$37="REGION 5",$M$37="REGION 5A")),((0.059228/(B244/100))-(0.4980013/(SQRT(B244/100)))+2.137988),HLOOKUP(MONTH(A244),ScalarTable,28))))</f>
        <v> </v>
      </c>
      <c r="D244" s="398" t="str">
        <f aca="false">IF(A244="N/A"," ",C244*B244)</f>
        <v> </v>
      </c>
      <c r="E244" s="396" t="str">
        <f aca="false">IF(A244="N/A"," ",IF(ISERROR(O244),E232*Pwresc,O244)*VLOOKUP(MONTH(A244),Curveadj,3))</f>
        <v> </v>
      </c>
      <c r="F244" s="398" t="str">
        <f aca="false">IF(A244="N/A"," ",E244*C244)</f>
        <v> </v>
      </c>
      <c r="G244" s="396" t="str">
        <f aca="false">IF(A244="N/A"," ",IF(ISERROR(P244),G232*Pwresc,P244)*VLOOKUP(MONTH(A244),Curveadj,3))</f>
        <v> </v>
      </c>
      <c r="H244" s="398" t="str">
        <f aca="false">IF(A244="N/A"," ",G244*C244)</f>
        <v> </v>
      </c>
      <c r="I244" s="398" t="str">
        <f aca="false">IF(A244="N/A"," ",IF(ISERROR(Q244),I232*Pwresc,Q244))</f>
        <v> </v>
      </c>
      <c r="J244" s="398"/>
      <c r="K244" s="399"/>
      <c r="L244" s="399"/>
      <c r="M244" s="404"/>
      <c r="N244" s="401" t="str">
        <f aca="false">IF(A244="N/A"," ",VLOOKUP(A244,PeakPowerCurves,(IF(BMO2=2,3,IF(BMO2=1,2,4))),FALSE()))</f>
        <v> </v>
      </c>
      <c r="O244" s="401" t="str">
        <f aca="false">IF(A244="N/A"," ",VLOOKUP(A244,SatSunPeakPwr,(IF(BMO2=2,3,IF(BMO2=1,2,4))),FALSE()))</f>
        <v> </v>
      </c>
      <c r="P244" s="401" t="str">
        <f aca="false">IF(A244="N/A"," ",VLOOKUP(A244,SatSunPeakPwr,(IF(BMO2=2,7,IF(BMO2=1,6,8))),FALSE()))</f>
        <v> </v>
      </c>
      <c r="Q244" s="402" t="str">
        <f aca="false">IF(A244="N/A"," ",(VLOOKUP(A244,OPPowerPrices,(IF(BMO2=2,7,IF(BMO2=1,6,8))),FALSE())))</f>
        <v> </v>
      </c>
      <c r="R244" s="403" t="str">
        <f aca="false">IF(A244="N/A"," ",(VLOOKUP($A244,IRTable,2)))</f>
        <v> </v>
      </c>
      <c r="AF244" s="352" t="n">
        <v>43862</v>
      </c>
      <c r="AG244" s="311" t="n">
        <v>20</v>
      </c>
      <c r="AH244" s="311" t="n">
        <v>5</v>
      </c>
      <c r="AI244" s="311" t="n">
        <v>4</v>
      </c>
      <c r="AJ244" s="311" t="n">
        <v>0</v>
      </c>
      <c r="AK244" s="311" t="n">
        <v>29</v>
      </c>
      <c r="AU244" s="406"/>
    </row>
    <row r="245" customFormat="false" ht="12.75" hidden="false" customHeight="false" outlineLevel="0" collapsed="false">
      <c r="A245" s="352" t="str">
        <f aca="false">Option2!A212</f>
        <v>N/A</v>
      </c>
      <c r="B245" s="396" t="str">
        <f aca="false">IF(A245="N/A"," ",IF(ISERROR(N245),B233*Pwresc,N245)*VLOOKUP(MONTH(A245),Curveadj,3))</f>
        <v> </v>
      </c>
      <c r="C245" s="397" t="str">
        <f aca="false">IF(A245="N/A"," ",(IF(AND(Scaler2=1,MONTH(A245)&gt;=6,MONTH(A245)&lt;=8,OR($M$37="REGION 2",$M$37="REGION 2A",$M$37="REGION 2B",$M$37="REGION 3",$M$37="REGION 3A",$M$37="REGION 3B",$M$37="REGION 3C",$M$37="REGION 4",$M$37="REGION 4B",$M$37="REGION 4C",$M$37="REGION 5",$M$37="REGION 5A")),((0.059228/(B245/100))-(0.4980013/(SQRT(B245/100)))+2.137988),HLOOKUP(MONTH(A245),ScalarTable,28))))</f>
        <v> </v>
      </c>
      <c r="D245" s="398" t="str">
        <f aca="false">IF(A245="N/A"," ",C245*B245)</f>
        <v> </v>
      </c>
      <c r="E245" s="396" t="str">
        <f aca="false">IF(A245="N/A"," ",IF(ISERROR(O245),E233*Pwresc,O245)*VLOOKUP(MONTH(A245),Curveadj,3))</f>
        <v> </v>
      </c>
      <c r="F245" s="398" t="str">
        <f aca="false">IF(A245="N/A"," ",E245*C245)</f>
        <v> </v>
      </c>
      <c r="G245" s="396" t="str">
        <f aca="false">IF(A245="N/A"," ",IF(ISERROR(P245),G233*Pwresc,P245)*VLOOKUP(MONTH(A245),Curveadj,3))</f>
        <v> </v>
      </c>
      <c r="H245" s="398" t="str">
        <f aca="false">IF(A245="N/A"," ",G245*C245)</f>
        <v> </v>
      </c>
      <c r="I245" s="398" t="str">
        <f aca="false">IF(A245="N/A"," ",IF(ISERROR(Q245),I233*Pwresc,Q245))</f>
        <v> </v>
      </c>
      <c r="J245" s="398"/>
      <c r="K245" s="399"/>
      <c r="L245" s="399"/>
      <c r="M245" s="404"/>
      <c r="N245" s="401" t="str">
        <f aca="false">IF(A245="N/A"," ",VLOOKUP(A245,PeakPowerCurves,(IF(BMO2=2,3,IF(BMO2=1,2,4))),FALSE()))</f>
        <v> </v>
      </c>
      <c r="O245" s="401" t="str">
        <f aca="false">IF(A245="N/A"," ",VLOOKUP(A245,SatSunPeakPwr,(IF(BMO2=2,3,IF(BMO2=1,2,4))),FALSE()))</f>
        <v> </v>
      </c>
      <c r="P245" s="401" t="str">
        <f aca="false">IF(A245="N/A"," ",VLOOKUP(A245,SatSunPeakPwr,(IF(BMO2=2,7,IF(BMO2=1,6,8))),FALSE()))</f>
        <v> </v>
      </c>
      <c r="Q245" s="402" t="str">
        <f aca="false">IF(A245="N/A"," ",(VLOOKUP(A245,OPPowerPrices,(IF(BMO2=2,7,IF(BMO2=1,6,8))),FALSE())))</f>
        <v> </v>
      </c>
      <c r="R245" s="403" t="str">
        <f aca="false">IF(A245="N/A"," ",(VLOOKUP($A245,IRTable,2)))</f>
        <v> </v>
      </c>
      <c r="AF245" s="352" t="n">
        <v>43891</v>
      </c>
      <c r="AG245" s="311" t="n">
        <v>22</v>
      </c>
      <c r="AH245" s="311" t="n">
        <v>4</v>
      </c>
      <c r="AI245" s="311" t="n">
        <v>5</v>
      </c>
      <c r="AJ245" s="311" t="n">
        <v>0</v>
      </c>
      <c r="AK245" s="311" t="n">
        <v>31</v>
      </c>
      <c r="AU245" s="406"/>
    </row>
    <row r="246" customFormat="false" ht="12.75" hidden="false" customHeight="false" outlineLevel="0" collapsed="false">
      <c r="A246" s="352" t="str">
        <f aca="false">Option2!A213</f>
        <v>N/A</v>
      </c>
      <c r="B246" s="396" t="str">
        <f aca="false">IF(A246="N/A"," ",IF(ISERROR(N246),B234*Pwresc,N246)*VLOOKUP(MONTH(A246),Curveadj,3))</f>
        <v> </v>
      </c>
      <c r="C246" s="397" t="str">
        <f aca="false">IF(A246="N/A"," ",(IF(AND(Scaler2=1,MONTH(A246)&gt;=6,MONTH(A246)&lt;=8,OR($M$37="REGION 2",$M$37="REGION 2A",$M$37="REGION 2B",$M$37="REGION 3",$M$37="REGION 3A",$M$37="REGION 3B",$M$37="REGION 3C",$M$37="REGION 4",$M$37="REGION 4B",$M$37="REGION 4C",$M$37="REGION 5",$M$37="REGION 5A")),((0.059228/(B246/100))-(0.4980013/(SQRT(B246/100)))+2.137988),HLOOKUP(MONTH(A246),ScalarTable,28))))</f>
        <v> </v>
      </c>
      <c r="D246" s="398" t="str">
        <f aca="false">IF(A246="N/A"," ",C246*B246)</f>
        <v> </v>
      </c>
      <c r="E246" s="396" t="str">
        <f aca="false">IF(A246="N/A"," ",IF(ISERROR(O246),E234*Pwresc,O246)*VLOOKUP(MONTH(A246),Curveadj,3))</f>
        <v> </v>
      </c>
      <c r="F246" s="398" t="str">
        <f aca="false">IF(A246="N/A"," ",E246*C246)</f>
        <v> </v>
      </c>
      <c r="G246" s="396" t="str">
        <f aca="false">IF(A246="N/A"," ",IF(ISERROR(P246),G234*Pwresc,P246)*VLOOKUP(MONTH(A246),Curveadj,3))</f>
        <v> </v>
      </c>
      <c r="H246" s="398" t="str">
        <f aca="false">IF(A246="N/A"," ",G246*C246)</f>
        <v> </v>
      </c>
      <c r="I246" s="398" t="str">
        <f aca="false">IF(A246="N/A"," ",IF(ISERROR(Q246),I234*Pwresc,Q246))</f>
        <v> </v>
      </c>
      <c r="J246" s="398"/>
      <c r="K246" s="399"/>
      <c r="L246" s="399"/>
      <c r="M246" s="404"/>
      <c r="N246" s="401" t="str">
        <f aca="false">IF(A246="N/A"," ",VLOOKUP(A246,PeakPowerCurves,(IF(BMO2=2,3,IF(BMO2=1,2,4))),FALSE()))</f>
        <v> </v>
      </c>
      <c r="O246" s="401" t="str">
        <f aca="false">IF(A246="N/A"," ",VLOOKUP(A246,SatSunPeakPwr,(IF(BMO2=2,3,IF(BMO2=1,2,4))),FALSE()))</f>
        <v> </v>
      </c>
      <c r="P246" s="401" t="str">
        <f aca="false">IF(A246="N/A"," ",VLOOKUP(A246,SatSunPeakPwr,(IF(BMO2=2,7,IF(BMO2=1,6,8))),FALSE()))</f>
        <v> </v>
      </c>
      <c r="Q246" s="402" t="str">
        <f aca="false">IF(A246="N/A"," ",(VLOOKUP(A246,OPPowerPrices,(IF(BMO2=2,7,IF(BMO2=1,6,8))),FALSE())))</f>
        <v> </v>
      </c>
      <c r="R246" s="403" t="str">
        <f aca="false">IF(A246="N/A"," ",(VLOOKUP($A246,IRTable,2)))</f>
        <v> </v>
      </c>
      <c r="AF246" s="352" t="n">
        <v>43922</v>
      </c>
      <c r="AG246" s="311" t="n">
        <v>22</v>
      </c>
      <c r="AH246" s="311" t="n">
        <v>4</v>
      </c>
      <c r="AI246" s="311" t="n">
        <v>4</v>
      </c>
      <c r="AJ246" s="311" t="n">
        <v>0</v>
      </c>
      <c r="AK246" s="311" t="n">
        <v>30</v>
      </c>
      <c r="AU246" s="406"/>
    </row>
    <row r="247" customFormat="false" ht="12.75" hidden="false" customHeight="false" outlineLevel="0" collapsed="false">
      <c r="A247" s="352" t="str">
        <f aca="false">Option2!A214</f>
        <v>N/A</v>
      </c>
      <c r="B247" s="396" t="str">
        <f aca="false">IF(A247="N/A"," ",IF(ISERROR(N247),B235*Pwresc,N247)*VLOOKUP(MONTH(A247),Curveadj,3))</f>
        <v> </v>
      </c>
      <c r="C247" s="397" t="str">
        <f aca="false">IF(A247="N/A"," ",(IF(AND(Scaler2=1,MONTH(A247)&gt;=6,MONTH(A247)&lt;=8,OR($M$37="REGION 2",$M$37="REGION 2A",$M$37="REGION 2B",$M$37="REGION 3",$M$37="REGION 3A",$M$37="REGION 3B",$M$37="REGION 3C",$M$37="REGION 4",$M$37="REGION 4B",$M$37="REGION 4C",$M$37="REGION 5",$M$37="REGION 5A")),((0.059228/(B247/100))-(0.4980013/(SQRT(B247/100)))+2.137988),HLOOKUP(MONTH(A247),ScalarTable,28))))</f>
        <v> </v>
      </c>
      <c r="D247" s="398" t="str">
        <f aca="false">IF(A247="N/A"," ",C247*B247)</f>
        <v> </v>
      </c>
      <c r="E247" s="396" t="str">
        <f aca="false">IF(A247="N/A"," ",IF(ISERROR(O247),E235*Pwresc,O247)*VLOOKUP(MONTH(A247),Curveadj,3))</f>
        <v> </v>
      </c>
      <c r="F247" s="398" t="str">
        <f aca="false">IF(A247="N/A"," ",E247*C247)</f>
        <v> </v>
      </c>
      <c r="G247" s="396" t="str">
        <f aca="false">IF(A247="N/A"," ",IF(ISERROR(P247),G235*Pwresc,P247)*VLOOKUP(MONTH(A247),Curveadj,3))</f>
        <v> </v>
      </c>
      <c r="H247" s="398" t="str">
        <f aca="false">IF(A247="N/A"," ",G247*C247)</f>
        <v> </v>
      </c>
      <c r="I247" s="398" t="str">
        <f aca="false">IF(A247="N/A"," ",IF(ISERROR(Q247),I235*Pwresc,Q247))</f>
        <v> </v>
      </c>
      <c r="J247" s="398"/>
      <c r="K247" s="399"/>
      <c r="L247" s="399"/>
      <c r="M247" s="404"/>
      <c r="N247" s="401" t="str">
        <f aca="false">IF(A247="N/A"," ",VLOOKUP(A247,PeakPowerCurves,(IF(BMO2=2,3,IF(BMO2=1,2,4))),FALSE()))</f>
        <v> </v>
      </c>
      <c r="O247" s="401" t="str">
        <f aca="false">IF(A247="N/A"," ",VLOOKUP(A247,SatSunPeakPwr,(IF(BMO2=2,3,IF(BMO2=1,2,4))),FALSE()))</f>
        <v> </v>
      </c>
      <c r="P247" s="401" t="str">
        <f aca="false">IF(A247="N/A"," ",VLOOKUP(A247,SatSunPeakPwr,(IF(BMO2=2,7,IF(BMO2=1,6,8))),FALSE()))</f>
        <v> </v>
      </c>
      <c r="Q247" s="402" t="str">
        <f aca="false">IF(A247="N/A"," ",(VLOOKUP(A247,OPPowerPrices,(IF(BMO2=2,7,IF(BMO2=1,6,8))),FALSE())))</f>
        <v> </v>
      </c>
      <c r="R247" s="403" t="str">
        <f aca="false">IF(A247="N/A"," ",(VLOOKUP($A247,IRTable,2)))</f>
        <v> </v>
      </c>
      <c r="AF247" s="352" t="n">
        <v>43952</v>
      </c>
      <c r="AG247" s="311" t="n">
        <v>20</v>
      </c>
      <c r="AH247" s="311" t="n">
        <v>5</v>
      </c>
      <c r="AI247" s="311" t="n">
        <v>6</v>
      </c>
      <c r="AJ247" s="311" t="n">
        <v>1</v>
      </c>
      <c r="AK247" s="311" t="n">
        <v>31</v>
      </c>
      <c r="AU247" s="406"/>
    </row>
    <row r="248" customFormat="false" ht="12.75" hidden="false" customHeight="false" outlineLevel="0" collapsed="false">
      <c r="A248" s="352" t="str">
        <f aca="false">Option2!A215</f>
        <v>N/A</v>
      </c>
      <c r="B248" s="396" t="str">
        <f aca="false">IF(A248="N/A"," ",IF(ISERROR(N248),B236*Pwresc,N248)*VLOOKUP(MONTH(A248),Curveadj,3))</f>
        <v> </v>
      </c>
      <c r="C248" s="397" t="str">
        <f aca="false">IF(A248="N/A"," ",(IF(AND(Scaler2=1,MONTH(A248)&gt;=6,MONTH(A248)&lt;=8,OR($M$37="REGION 2",$M$37="REGION 2A",$M$37="REGION 2B",$M$37="REGION 3",$M$37="REGION 3A",$M$37="REGION 3B",$M$37="REGION 3C",$M$37="REGION 4",$M$37="REGION 4B",$M$37="REGION 4C",$M$37="REGION 5",$M$37="REGION 5A")),((0.059228/(B248/100))-(0.4980013/(SQRT(B248/100)))+2.137988),HLOOKUP(MONTH(A248),ScalarTable,28))))</f>
        <v> </v>
      </c>
      <c r="D248" s="398" t="str">
        <f aca="false">IF(A248="N/A"," ",C248*B248)</f>
        <v> </v>
      </c>
      <c r="E248" s="396" t="str">
        <f aca="false">IF(A248="N/A"," ",IF(ISERROR(O248),E236*Pwresc,O248)*VLOOKUP(MONTH(A248),Curveadj,3))</f>
        <v> </v>
      </c>
      <c r="F248" s="398" t="str">
        <f aca="false">IF(A248="N/A"," ",E248*C248)</f>
        <v> </v>
      </c>
      <c r="G248" s="396" t="str">
        <f aca="false">IF(A248="N/A"," ",IF(ISERROR(P248),G236*Pwresc,P248)*VLOOKUP(MONTH(A248),Curveadj,3))</f>
        <v> </v>
      </c>
      <c r="H248" s="398" t="str">
        <f aca="false">IF(A248="N/A"," ",G248*C248)</f>
        <v> </v>
      </c>
      <c r="I248" s="398" t="str">
        <f aca="false">IF(A248="N/A"," ",IF(ISERROR(Q248),I236*Pwresc,Q248))</f>
        <v> </v>
      </c>
      <c r="J248" s="398"/>
      <c r="K248" s="399"/>
      <c r="L248" s="399"/>
      <c r="M248" s="404"/>
      <c r="N248" s="401" t="str">
        <f aca="false">IF(A248="N/A"," ",VLOOKUP(A248,PeakPowerCurves,(IF(BMO2=2,3,IF(BMO2=1,2,4))),FALSE()))</f>
        <v> </v>
      </c>
      <c r="O248" s="401" t="str">
        <f aca="false">IF(A248="N/A"," ",VLOOKUP(A248,SatSunPeakPwr,(IF(BMO2=2,3,IF(BMO2=1,2,4))),FALSE()))</f>
        <v> </v>
      </c>
      <c r="P248" s="401" t="str">
        <f aca="false">IF(A248="N/A"," ",VLOOKUP(A248,SatSunPeakPwr,(IF(BMO2=2,7,IF(BMO2=1,6,8))),FALSE()))</f>
        <v> </v>
      </c>
      <c r="Q248" s="402" t="str">
        <f aca="false">IF(A248="N/A"," ",(VLOOKUP(A248,OPPowerPrices,(IF(BMO2=2,7,IF(BMO2=1,6,8))),FALSE())))</f>
        <v> </v>
      </c>
      <c r="R248" s="403" t="str">
        <f aca="false">IF(A248="N/A"," ",(VLOOKUP($A248,IRTable,2)))</f>
        <v> </v>
      </c>
      <c r="AF248" s="352" t="n">
        <v>43983</v>
      </c>
      <c r="AG248" s="311" t="n">
        <v>22</v>
      </c>
      <c r="AH248" s="311" t="n">
        <v>4</v>
      </c>
      <c r="AI248" s="311" t="n">
        <v>4</v>
      </c>
      <c r="AJ248" s="311" t="n">
        <v>0</v>
      </c>
      <c r="AK248" s="311" t="n">
        <v>30</v>
      </c>
      <c r="AU248" s="406"/>
    </row>
    <row r="249" customFormat="false" ht="12.75" hidden="false" customHeight="false" outlineLevel="0" collapsed="false">
      <c r="A249" s="352" t="str">
        <f aca="false">Option2!A216</f>
        <v>N/A</v>
      </c>
      <c r="B249" s="396" t="str">
        <f aca="false">IF(A249="N/A"," ",IF(ISERROR(N249),B237*Pwresc,N249)*VLOOKUP(MONTH(A249),Curveadj,3))</f>
        <v> </v>
      </c>
      <c r="C249" s="397" t="str">
        <f aca="false">IF(A249="N/A"," ",(IF(AND(Scaler2=1,MONTH(A249)&gt;=6,MONTH(A249)&lt;=8,OR($M$37="REGION 2",$M$37="REGION 2A",$M$37="REGION 2B",$M$37="REGION 3",$M$37="REGION 3A",$M$37="REGION 3B",$M$37="REGION 3C",$M$37="REGION 4",$M$37="REGION 4B",$M$37="REGION 4C",$M$37="REGION 5",$M$37="REGION 5A")),((0.059228/(B249/100))-(0.4980013/(SQRT(B249/100)))+2.137988),HLOOKUP(MONTH(A249),ScalarTable,28))))</f>
        <v> </v>
      </c>
      <c r="D249" s="398" t="str">
        <f aca="false">IF(A249="N/A"," ",C249*B249)</f>
        <v> </v>
      </c>
      <c r="E249" s="396" t="str">
        <f aca="false">IF(A249="N/A"," ",IF(ISERROR(O249),E237*Pwresc,O249)*VLOOKUP(MONTH(A249),Curveadj,3))</f>
        <v> </v>
      </c>
      <c r="F249" s="398" t="str">
        <f aca="false">IF(A249="N/A"," ",E249*C249)</f>
        <v> </v>
      </c>
      <c r="G249" s="396" t="str">
        <f aca="false">IF(A249="N/A"," ",IF(ISERROR(P249),G237*Pwresc,P249)*VLOOKUP(MONTH(A249),Curveadj,3))</f>
        <v> </v>
      </c>
      <c r="H249" s="398" t="str">
        <f aca="false">IF(A249="N/A"," ",G249*C249)</f>
        <v> </v>
      </c>
      <c r="I249" s="398" t="str">
        <f aca="false">IF(A249="N/A"," ",IF(ISERROR(Q249),I237*Pwresc,Q249))</f>
        <v> </v>
      </c>
      <c r="J249" s="398"/>
      <c r="K249" s="399"/>
      <c r="L249" s="399"/>
      <c r="M249" s="404"/>
      <c r="N249" s="401" t="str">
        <f aca="false">IF(A249="N/A"," ",VLOOKUP(A249,PeakPowerCurves,(IF(BMO2=2,3,IF(BMO2=1,2,4))),FALSE()))</f>
        <v> </v>
      </c>
      <c r="O249" s="401" t="str">
        <f aca="false">IF(A249="N/A"," ",VLOOKUP(A249,SatSunPeakPwr,(IF(BMO2=2,3,IF(BMO2=1,2,4))),FALSE()))</f>
        <v> </v>
      </c>
      <c r="P249" s="401" t="str">
        <f aca="false">IF(A249="N/A"," ",VLOOKUP(A249,SatSunPeakPwr,(IF(BMO2=2,7,IF(BMO2=1,6,8))),FALSE()))</f>
        <v> </v>
      </c>
      <c r="Q249" s="402" t="str">
        <f aca="false">IF(A249="N/A"," ",(VLOOKUP(A249,OPPowerPrices,(IF(BMO2=2,7,IF(BMO2=1,6,8))),FALSE())))</f>
        <v> </v>
      </c>
      <c r="R249" s="403" t="str">
        <f aca="false">IF(A249="N/A"," ",(VLOOKUP($A249,IRTable,2)))</f>
        <v> </v>
      </c>
      <c r="AF249" s="352" t="n">
        <v>44013</v>
      </c>
      <c r="AG249" s="311" t="n">
        <v>23</v>
      </c>
      <c r="AH249" s="311" t="n">
        <v>3</v>
      </c>
      <c r="AI249" s="311" t="n">
        <v>5</v>
      </c>
      <c r="AJ249" s="311" t="n">
        <v>1</v>
      </c>
      <c r="AK249" s="311" t="n">
        <v>31</v>
      </c>
      <c r="AU249" s="406"/>
    </row>
    <row r="250" customFormat="false" ht="12.75" hidden="false" customHeight="false" outlineLevel="0" collapsed="false">
      <c r="A250" s="352" t="str">
        <f aca="false">Option2!A217</f>
        <v>N/A</v>
      </c>
      <c r="B250" s="396" t="str">
        <f aca="false">IF(A250="N/A"," ",IF(ISERROR(N250),B238*Pwresc,N250)*VLOOKUP(MONTH(A250),Curveadj,3))</f>
        <v> </v>
      </c>
      <c r="C250" s="397" t="str">
        <f aca="false">IF(A250="N/A"," ",(IF(AND(Scaler2=1,MONTH(A250)&gt;=6,MONTH(A250)&lt;=8,OR($M$37="REGION 2",$M$37="REGION 2A",$M$37="REGION 2B",$M$37="REGION 3",$M$37="REGION 3A",$M$37="REGION 3B",$M$37="REGION 3C",$M$37="REGION 4",$M$37="REGION 4B",$M$37="REGION 4C",$M$37="REGION 5",$M$37="REGION 5A")),((0.059228/(B250/100))-(0.4980013/(SQRT(B250/100)))+2.137988),HLOOKUP(MONTH(A250),ScalarTable,28))))</f>
        <v> </v>
      </c>
      <c r="D250" s="398" t="str">
        <f aca="false">IF(A250="N/A"," ",C250*B250)</f>
        <v> </v>
      </c>
      <c r="E250" s="396" t="str">
        <f aca="false">IF(A250="N/A"," ",IF(ISERROR(O250),E238*Pwresc,O250)*VLOOKUP(MONTH(A250),Curveadj,3))</f>
        <v> </v>
      </c>
      <c r="F250" s="398" t="str">
        <f aca="false">IF(A250="N/A"," ",E250*C250)</f>
        <v> </v>
      </c>
      <c r="G250" s="396" t="str">
        <f aca="false">IF(A250="N/A"," ",IF(ISERROR(P250),G238*Pwresc,P250)*VLOOKUP(MONTH(A250),Curveadj,3))</f>
        <v> </v>
      </c>
      <c r="H250" s="398" t="str">
        <f aca="false">IF(A250="N/A"," ",G250*C250)</f>
        <v> </v>
      </c>
      <c r="I250" s="398" t="str">
        <f aca="false">IF(A250="N/A"," ",IF(ISERROR(Q250),I238*Pwresc,Q250))</f>
        <v> </v>
      </c>
      <c r="J250" s="398"/>
      <c r="K250" s="399"/>
      <c r="L250" s="399"/>
      <c r="M250" s="404"/>
      <c r="N250" s="401" t="str">
        <f aca="false">IF(A250="N/A"," ",VLOOKUP(A250,PeakPowerCurves,(IF(BMO2=2,3,IF(BMO2=1,2,4))),FALSE()))</f>
        <v> </v>
      </c>
      <c r="O250" s="401" t="str">
        <f aca="false">IF(A250="N/A"," ",VLOOKUP(A250,SatSunPeakPwr,(IF(BMO2=2,3,IF(BMO2=1,2,4))),FALSE()))</f>
        <v> </v>
      </c>
      <c r="P250" s="401" t="str">
        <f aca="false">IF(A250="N/A"," ",VLOOKUP(A250,SatSunPeakPwr,(IF(BMO2=2,7,IF(BMO2=1,6,8))),FALSE()))</f>
        <v> </v>
      </c>
      <c r="Q250" s="402" t="str">
        <f aca="false">IF(A250="N/A"," ",(VLOOKUP(A250,OPPowerPrices,(IF(BMO2=2,7,IF(BMO2=1,6,8))),FALSE())))</f>
        <v> </v>
      </c>
      <c r="R250" s="403" t="str">
        <f aca="false">IF(A250="N/A"," ",(VLOOKUP($A250,IRTable,2)))</f>
        <v> </v>
      </c>
      <c r="AF250" s="352" t="n">
        <v>44044</v>
      </c>
      <c r="AG250" s="311" t="n">
        <v>21</v>
      </c>
      <c r="AH250" s="311" t="n">
        <v>5</v>
      </c>
      <c r="AI250" s="311" t="n">
        <v>5</v>
      </c>
      <c r="AJ250" s="311" t="n">
        <v>0</v>
      </c>
      <c r="AK250" s="311" t="n">
        <v>31</v>
      </c>
      <c r="AU250" s="406"/>
    </row>
    <row r="251" customFormat="false" ht="12.75" hidden="false" customHeight="false" outlineLevel="0" collapsed="false">
      <c r="A251" s="352" t="str">
        <f aca="false">Option2!A218</f>
        <v>N/A</v>
      </c>
      <c r="B251" s="396" t="str">
        <f aca="false">IF(A251="N/A"," ",IF(ISERROR(N251),B239*Pwresc,N251)*VLOOKUP(MONTH(A251),Curveadj,3))</f>
        <v> </v>
      </c>
      <c r="C251" s="397" t="str">
        <f aca="false">IF(A251="N/A"," ",(IF(AND(Scaler2=1,MONTH(A251)&gt;=6,MONTH(A251)&lt;=8,OR($M$37="REGION 2",$M$37="REGION 2A",$M$37="REGION 2B",$M$37="REGION 3",$M$37="REGION 3A",$M$37="REGION 3B",$M$37="REGION 3C",$M$37="REGION 4",$M$37="REGION 4B",$M$37="REGION 4C",$M$37="REGION 5",$M$37="REGION 5A")),((0.059228/(B251/100))-(0.4980013/(SQRT(B251/100)))+2.137988),HLOOKUP(MONTH(A251),ScalarTable,28))))</f>
        <v> </v>
      </c>
      <c r="D251" s="398" t="str">
        <f aca="false">IF(A251="N/A"," ",C251*B251)</f>
        <v> </v>
      </c>
      <c r="E251" s="396" t="str">
        <f aca="false">IF(A251="N/A"," ",IF(ISERROR(O251),E239*Pwresc,O251)*VLOOKUP(MONTH(A251),Curveadj,3))</f>
        <v> </v>
      </c>
      <c r="F251" s="398" t="str">
        <f aca="false">IF(A251="N/A"," ",E251*C251)</f>
        <v> </v>
      </c>
      <c r="G251" s="396" t="str">
        <f aca="false">IF(A251="N/A"," ",IF(ISERROR(P251),G239*Pwresc,P251)*VLOOKUP(MONTH(A251),Curveadj,3))</f>
        <v> </v>
      </c>
      <c r="H251" s="398" t="str">
        <f aca="false">IF(A251="N/A"," ",G251*C251)</f>
        <v> </v>
      </c>
      <c r="I251" s="398" t="str">
        <f aca="false">IF(A251="N/A"," ",IF(ISERROR(Q251),I239*Pwresc,Q251))</f>
        <v> </v>
      </c>
      <c r="J251" s="398"/>
      <c r="K251" s="399"/>
      <c r="L251" s="399"/>
      <c r="M251" s="404"/>
      <c r="N251" s="401" t="str">
        <f aca="false">IF(A251="N/A"," ",VLOOKUP(A251,PeakPowerCurves,(IF(BMO2=2,3,IF(BMO2=1,2,4))),FALSE()))</f>
        <v> </v>
      </c>
      <c r="O251" s="401" t="str">
        <f aca="false">IF(A251="N/A"," ",VLOOKUP(A251,SatSunPeakPwr,(IF(BMO2=2,3,IF(BMO2=1,2,4))),FALSE()))</f>
        <v> </v>
      </c>
      <c r="P251" s="401" t="str">
        <f aca="false">IF(A251="N/A"," ",VLOOKUP(A251,SatSunPeakPwr,(IF(BMO2=2,7,IF(BMO2=1,6,8))),FALSE()))</f>
        <v> </v>
      </c>
      <c r="Q251" s="402" t="str">
        <f aca="false">IF(A251="N/A"," ",(VLOOKUP(A251,OPPowerPrices,(IF(BMO2=2,7,IF(BMO2=1,6,8))),FALSE())))</f>
        <v> </v>
      </c>
      <c r="R251" s="403" t="str">
        <f aca="false">IF(A251="N/A"," ",(VLOOKUP($A251,IRTable,2)))</f>
        <v> </v>
      </c>
      <c r="AF251" s="352" t="n">
        <v>44075</v>
      </c>
      <c r="AG251" s="311" t="n">
        <v>21</v>
      </c>
      <c r="AH251" s="311" t="n">
        <v>4</v>
      </c>
      <c r="AI251" s="311" t="n">
        <v>5</v>
      </c>
      <c r="AJ251" s="311" t="n">
        <v>1</v>
      </c>
      <c r="AK251" s="311" t="n">
        <v>30</v>
      </c>
      <c r="AU251" s="406"/>
    </row>
    <row r="252" customFormat="false" ht="12.75" hidden="false" customHeight="false" outlineLevel="0" collapsed="false">
      <c r="A252" s="352" t="str">
        <f aca="false">Option2!A219</f>
        <v>N/A</v>
      </c>
      <c r="B252" s="396" t="str">
        <f aca="false">IF(A252="N/A"," ",IF(ISERROR(N252),B240*Pwresc,N252)*VLOOKUP(MONTH(A252),Curveadj,3))</f>
        <v> </v>
      </c>
      <c r="C252" s="397" t="str">
        <f aca="false">IF(A252="N/A"," ",(IF(AND(Scaler2=1,MONTH(A252)&gt;=6,MONTH(A252)&lt;=8,OR($M$37="REGION 2",$M$37="REGION 2A",$M$37="REGION 2B",$M$37="REGION 3",$M$37="REGION 3A",$M$37="REGION 3B",$M$37="REGION 3C",$M$37="REGION 4",$M$37="REGION 4B",$M$37="REGION 4C",$M$37="REGION 5",$M$37="REGION 5A")),((0.059228/(B252/100))-(0.4980013/(SQRT(B252/100)))+2.137988),HLOOKUP(MONTH(A252),ScalarTable,28))))</f>
        <v> </v>
      </c>
      <c r="D252" s="398" t="str">
        <f aca="false">IF(A252="N/A"," ",C252*B252)</f>
        <v> </v>
      </c>
      <c r="E252" s="396" t="str">
        <f aca="false">IF(A252="N/A"," ",IF(ISERROR(O252),E240*Pwresc,O252)*VLOOKUP(MONTH(A252),Curveadj,3))</f>
        <v> </v>
      </c>
      <c r="F252" s="398" t="str">
        <f aca="false">IF(A252="N/A"," ",E252*C252)</f>
        <v> </v>
      </c>
      <c r="G252" s="396" t="str">
        <f aca="false">IF(A252="N/A"," ",IF(ISERROR(P252),G240*Pwresc,P252)*VLOOKUP(MONTH(A252),Curveadj,3))</f>
        <v> </v>
      </c>
      <c r="H252" s="398" t="str">
        <f aca="false">IF(A252="N/A"," ",G252*C252)</f>
        <v> </v>
      </c>
      <c r="I252" s="398" t="str">
        <f aca="false">IF(A252="N/A"," ",IF(ISERROR(Q252),I240*Pwresc,Q252))</f>
        <v> </v>
      </c>
      <c r="J252" s="398"/>
      <c r="K252" s="399"/>
      <c r="L252" s="399"/>
      <c r="M252" s="404"/>
      <c r="N252" s="401" t="str">
        <f aca="false">IF(A252="N/A"," ",VLOOKUP(A252,PeakPowerCurves,(IF(BMO2=2,3,IF(BMO2=1,2,4))),FALSE()))</f>
        <v> </v>
      </c>
      <c r="O252" s="401" t="str">
        <f aca="false">IF(A252="N/A"," ",VLOOKUP(A252,SatSunPeakPwr,(IF(BMO2=2,3,IF(BMO2=1,2,4))),FALSE()))</f>
        <v> </v>
      </c>
      <c r="P252" s="401" t="str">
        <f aca="false">IF(A252="N/A"," ",VLOOKUP(A252,SatSunPeakPwr,(IF(BMO2=2,7,IF(BMO2=1,6,8))),FALSE()))</f>
        <v> </v>
      </c>
      <c r="Q252" s="402" t="str">
        <f aca="false">IF(A252="N/A"," ",(VLOOKUP(A252,OPPowerPrices,(IF(BMO2=2,7,IF(BMO2=1,6,8))),FALSE())))</f>
        <v> </v>
      </c>
      <c r="R252" s="403" t="str">
        <f aca="false">IF(A252="N/A"," ",(VLOOKUP($A252,IRTable,2)))</f>
        <v> </v>
      </c>
      <c r="AF252" s="352" t="n">
        <v>44105</v>
      </c>
      <c r="AG252" s="311" t="n">
        <v>22</v>
      </c>
      <c r="AH252" s="311" t="n">
        <v>5</v>
      </c>
      <c r="AI252" s="311" t="n">
        <v>4</v>
      </c>
      <c r="AJ252" s="311" t="n">
        <v>0</v>
      </c>
      <c r="AK252" s="311" t="n">
        <v>31</v>
      </c>
      <c r="AU252" s="406"/>
    </row>
    <row r="253" customFormat="false" ht="12.75" hidden="false" customHeight="false" outlineLevel="0" collapsed="false">
      <c r="A253" s="352" t="str">
        <f aca="false">Option2!A220</f>
        <v>N/A</v>
      </c>
      <c r="B253" s="396" t="str">
        <f aca="false">IF(A253="N/A"," ",IF(ISERROR(N253),B241*Pwresc,N253)*VLOOKUP(MONTH(A253),Curveadj,3))</f>
        <v> </v>
      </c>
      <c r="C253" s="397" t="str">
        <f aca="false">IF(A253="N/A"," ",(IF(AND(Scaler2=1,MONTH(A253)&gt;=6,MONTH(A253)&lt;=8,OR($M$37="REGION 2",$M$37="REGION 2A",$M$37="REGION 2B",$M$37="REGION 3",$M$37="REGION 3A",$M$37="REGION 3B",$M$37="REGION 3C",$M$37="REGION 4",$M$37="REGION 4B",$M$37="REGION 4C",$M$37="REGION 5",$M$37="REGION 5A")),((0.059228/(B253/100))-(0.4980013/(SQRT(B253/100)))+2.137988),HLOOKUP(MONTH(A253),ScalarTable,28))))</f>
        <v> </v>
      </c>
      <c r="D253" s="398" t="str">
        <f aca="false">IF(A253="N/A"," ",C253*B253)</f>
        <v> </v>
      </c>
      <c r="E253" s="396" t="str">
        <f aca="false">IF(A253="N/A"," ",IF(ISERROR(O253),E241*Pwresc,O253)*VLOOKUP(MONTH(A253),Curveadj,3))</f>
        <v> </v>
      </c>
      <c r="F253" s="398" t="str">
        <f aca="false">IF(A253="N/A"," ",E253*C253)</f>
        <v> </v>
      </c>
      <c r="G253" s="396" t="str">
        <f aca="false">IF(A253="N/A"," ",IF(ISERROR(P253),G241*Pwresc,P253)*VLOOKUP(MONTH(A253),Curveadj,3))</f>
        <v> </v>
      </c>
      <c r="H253" s="398" t="str">
        <f aca="false">IF(A253="N/A"," ",G253*C253)</f>
        <v> </v>
      </c>
      <c r="I253" s="398" t="str">
        <f aca="false">IF(A253="N/A"," ",IF(ISERROR(Q253),I241*Pwresc,Q253))</f>
        <v> </v>
      </c>
      <c r="J253" s="398"/>
      <c r="K253" s="399"/>
      <c r="L253" s="399"/>
      <c r="M253" s="404"/>
      <c r="N253" s="401" t="str">
        <f aca="false">IF(A253="N/A"," ",VLOOKUP(A253,PeakPowerCurves,(IF(BMO2=2,3,IF(BMO2=1,2,4))),FALSE()))</f>
        <v> </v>
      </c>
      <c r="O253" s="401" t="str">
        <f aca="false">IF(A253="N/A"," ",VLOOKUP(A253,SatSunPeakPwr,(IF(BMO2=2,3,IF(BMO2=1,2,4))),FALSE()))</f>
        <v> </v>
      </c>
      <c r="P253" s="401" t="str">
        <f aca="false">IF(A253="N/A"," ",VLOOKUP(A253,SatSunPeakPwr,(IF(BMO2=2,7,IF(BMO2=1,6,8))),FALSE()))</f>
        <v> </v>
      </c>
      <c r="Q253" s="402" t="str">
        <f aca="false">IF(A253="N/A"," ",(VLOOKUP(A253,OPPowerPrices,(IF(BMO2=2,7,IF(BMO2=1,6,8))),FALSE())))</f>
        <v> </v>
      </c>
      <c r="R253" s="403" t="str">
        <f aca="false">IF(A253="N/A"," ",(VLOOKUP($A253,IRTable,2)))</f>
        <v> </v>
      </c>
      <c r="AF253" s="352" t="n">
        <v>44136</v>
      </c>
      <c r="AG253" s="311" t="n">
        <v>20</v>
      </c>
      <c r="AH253" s="311" t="n">
        <v>4</v>
      </c>
      <c r="AI253" s="311" t="n">
        <v>6</v>
      </c>
      <c r="AJ253" s="311" t="n">
        <v>1</v>
      </c>
      <c r="AK253" s="311" t="n">
        <v>30</v>
      </c>
      <c r="AU253" s="406"/>
    </row>
    <row r="254" customFormat="false" ht="12.75" hidden="false" customHeight="false" outlineLevel="0" collapsed="false">
      <c r="A254" s="352" t="str">
        <f aca="false">Option2!A221</f>
        <v>N/A</v>
      </c>
      <c r="B254" s="396" t="str">
        <f aca="false">IF(A254="N/A"," ",IF(ISERROR(N254),B242*Pwresc,N254)*VLOOKUP(MONTH(A254),Curveadj,3))</f>
        <v> </v>
      </c>
      <c r="C254" s="397" t="str">
        <f aca="false">IF(A254="N/A"," ",(IF(AND(Scaler2=1,MONTH(A254)&gt;=6,MONTH(A254)&lt;=8,OR($M$37="REGION 2",$M$37="REGION 2A",$M$37="REGION 2B",$M$37="REGION 3",$M$37="REGION 3A",$M$37="REGION 3B",$M$37="REGION 3C",$M$37="REGION 4",$M$37="REGION 4B",$M$37="REGION 4C",$M$37="REGION 5",$M$37="REGION 5A")),((0.059228/(B254/100))-(0.4980013/(SQRT(B254/100)))+2.137988),HLOOKUP(MONTH(A254),ScalarTable,28))))</f>
        <v> </v>
      </c>
      <c r="D254" s="398" t="str">
        <f aca="false">IF(A254="N/A"," ",C254*B254)</f>
        <v> </v>
      </c>
      <c r="E254" s="396" t="str">
        <f aca="false">IF(A254="N/A"," ",IF(ISERROR(O254),E242*Pwresc,O254)*VLOOKUP(MONTH(A254),Curveadj,3))</f>
        <v> </v>
      </c>
      <c r="F254" s="398" t="str">
        <f aca="false">IF(A254="N/A"," ",E254*C254)</f>
        <v> </v>
      </c>
      <c r="G254" s="396" t="str">
        <f aca="false">IF(A254="N/A"," ",IF(ISERROR(P254),G242*Pwresc,P254)*VLOOKUP(MONTH(A254),Curveadj,3))</f>
        <v> </v>
      </c>
      <c r="H254" s="398" t="str">
        <f aca="false">IF(A254="N/A"," ",G254*C254)</f>
        <v> </v>
      </c>
      <c r="I254" s="398" t="str">
        <f aca="false">IF(A254="N/A"," ",IF(ISERROR(Q254),I242*Pwresc,Q254))</f>
        <v> </v>
      </c>
      <c r="J254" s="398"/>
      <c r="K254" s="399"/>
      <c r="L254" s="399"/>
      <c r="M254" s="404"/>
      <c r="N254" s="401" t="str">
        <f aca="false">IF(A254="N/A"," ",VLOOKUP(A254,PeakPowerCurves,(IF(BMO2=2,3,IF(BMO2=1,2,4))),FALSE()))</f>
        <v> </v>
      </c>
      <c r="O254" s="401" t="str">
        <f aca="false">IF(A254="N/A"," ",VLOOKUP(A254,SatSunPeakPwr,(IF(BMO2=2,3,IF(BMO2=1,2,4))),FALSE()))</f>
        <v> </v>
      </c>
      <c r="P254" s="401" t="str">
        <f aca="false">IF(A254="N/A"," ",VLOOKUP(A254,SatSunPeakPwr,(IF(BMO2=2,7,IF(BMO2=1,6,8))),FALSE()))</f>
        <v> </v>
      </c>
      <c r="Q254" s="402" t="str">
        <f aca="false">IF(A254="N/A"," ",(VLOOKUP(A254,OPPowerPrices,(IF(BMO2=2,7,IF(BMO2=1,6,8))),FALSE())))</f>
        <v> </v>
      </c>
      <c r="R254" s="403" t="str">
        <f aca="false">IF(A254="N/A"," ",(VLOOKUP($A254,IRTable,2)))</f>
        <v> </v>
      </c>
      <c r="AF254" s="352" t="n">
        <v>44166</v>
      </c>
      <c r="AG254" s="311" t="n">
        <v>22</v>
      </c>
      <c r="AH254" s="311" t="n">
        <v>4</v>
      </c>
      <c r="AI254" s="311" t="n">
        <v>5</v>
      </c>
      <c r="AJ254" s="311" t="n">
        <v>1</v>
      </c>
      <c r="AK254" s="311" t="n">
        <v>31</v>
      </c>
      <c r="AU254" s="406"/>
    </row>
    <row r="255" customFormat="false" ht="12.75" hidden="false" customHeight="false" outlineLevel="0" collapsed="false">
      <c r="A255" s="352" t="str">
        <f aca="false">Option2!A222</f>
        <v>N/A</v>
      </c>
      <c r="B255" s="396" t="str">
        <f aca="false">IF(A255="N/A"," ",IF(ISERROR(N255),B243*Pwresc,N255)*VLOOKUP(MONTH(A255),Curveadj,3))</f>
        <v> </v>
      </c>
      <c r="C255" s="397" t="str">
        <f aca="false">IF(A255="N/A"," ",(IF(AND(Scaler2=1,MONTH(A255)&gt;=6,MONTH(A255)&lt;=8,OR($M$37="REGION 2",$M$37="REGION 2A",$M$37="REGION 2B",$M$37="REGION 3",$M$37="REGION 3A",$M$37="REGION 3B",$M$37="REGION 3C",$M$37="REGION 4",$M$37="REGION 4B",$M$37="REGION 4C",$M$37="REGION 5",$M$37="REGION 5A")),((0.059228/(B255/100))-(0.4980013/(SQRT(B255/100)))+2.137988),HLOOKUP(MONTH(A255),ScalarTable,28))))</f>
        <v> </v>
      </c>
      <c r="D255" s="398" t="str">
        <f aca="false">IF(A255="N/A"," ",C255*B255)</f>
        <v> </v>
      </c>
      <c r="E255" s="396" t="str">
        <f aca="false">IF(A255="N/A"," ",IF(ISERROR(O255),E243*Pwresc,O255)*VLOOKUP(MONTH(A255),Curveadj,3))</f>
        <v> </v>
      </c>
      <c r="F255" s="398" t="str">
        <f aca="false">IF(A255="N/A"," ",E255*C255)</f>
        <v> </v>
      </c>
      <c r="G255" s="396" t="str">
        <f aca="false">IF(A255="N/A"," ",IF(ISERROR(P255),G243*Pwresc,P255)*VLOOKUP(MONTH(A255),Curveadj,3))</f>
        <v> </v>
      </c>
      <c r="H255" s="398" t="str">
        <f aca="false">IF(A255="N/A"," ",G255*C255)</f>
        <v> </v>
      </c>
      <c r="I255" s="398" t="str">
        <f aca="false">IF(A255="N/A"," ",IF(ISERROR(Q255),I243*Pwresc,Q255))</f>
        <v> </v>
      </c>
      <c r="J255" s="398"/>
      <c r="K255" s="399"/>
      <c r="L255" s="399"/>
      <c r="M255" s="404"/>
      <c r="N255" s="401" t="str">
        <f aca="false">IF(A255="N/A"," ",VLOOKUP(A255,PeakPowerCurves,(IF(BMO2=2,3,IF(BMO2=1,2,4))),FALSE()))</f>
        <v> </v>
      </c>
      <c r="O255" s="401" t="str">
        <f aca="false">IF(A255="N/A"," ",VLOOKUP(A255,SatSunPeakPwr,(IF(BMO2=2,3,IF(BMO2=1,2,4))),FALSE()))</f>
        <v> </v>
      </c>
      <c r="P255" s="401" t="str">
        <f aca="false">IF(A255="N/A"," ",VLOOKUP(A255,SatSunPeakPwr,(IF(BMO2=2,7,IF(BMO2=1,6,8))),FALSE()))</f>
        <v> </v>
      </c>
      <c r="Q255" s="402" t="str">
        <f aca="false">IF(A255="N/A"," ",(VLOOKUP(A255,OPPowerPrices,(IF(BMO2=2,7,IF(BMO2=1,6,8))),FALSE())))</f>
        <v> </v>
      </c>
      <c r="R255" s="403" t="str">
        <f aca="false">IF(A255="N/A"," ",(VLOOKUP($A255,IRTable,2)))</f>
        <v> </v>
      </c>
      <c r="AF255" s="352" t="n">
        <f aca="false">EOMONTH(AF254,0)+1</f>
        <v>44197</v>
      </c>
      <c r="AG255" s="311" t="n">
        <v>22</v>
      </c>
      <c r="AH255" s="311" t="n">
        <v>4</v>
      </c>
      <c r="AI255" s="311" t="n">
        <v>5</v>
      </c>
      <c r="AJ255" s="311" t="n">
        <v>1</v>
      </c>
      <c r="AK255" s="311" t="n">
        <v>31</v>
      </c>
      <c r="AU255" s="406"/>
    </row>
    <row r="256" customFormat="false" ht="12.75" hidden="false" customHeight="false" outlineLevel="0" collapsed="false">
      <c r="A256" s="352" t="str">
        <f aca="false">Option2!A223</f>
        <v>N/A</v>
      </c>
      <c r="B256" s="396" t="str">
        <f aca="false">IF(A256="N/A"," ",IF(ISERROR(N256),B244*Pwresc,N256)*VLOOKUP(MONTH(A256),Curveadj,3))</f>
        <v> </v>
      </c>
      <c r="C256" s="397" t="str">
        <f aca="false">IF(A256="N/A"," ",(IF(AND(Scaler2=1,MONTH(A256)&gt;=6,MONTH(A256)&lt;=8,OR($M$37="REGION 2",$M$37="REGION 2A",$M$37="REGION 2B",$M$37="REGION 3",$M$37="REGION 3A",$M$37="REGION 3B",$M$37="REGION 3C",$M$37="REGION 4",$M$37="REGION 4B",$M$37="REGION 4C",$M$37="REGION 5",$M$37="REGION 5A")),((0.059228/(B256/100))-(0.4980013/(SQRT(B256/100)))+2.137988),HLOOKUP(MONTH(A256),ScalarTable,28))))</f>
        <v> </v>
      </c>
      <c r="D256" s="398" t="str">
        <f aca="false">IF(A256="N/A"," ",C256*B256)</f>
        <v> </v>
      </c>
      <c r="E256" s="396" t="str">
        <f aca="false">IF(A256="N/A"," ",IF(ISERROR(O256),E244*Pwresc,O256)*VLOOKUP(MONTH(A256),Curveadj,3))</f>
        <v> </v>
      </c>
      <c r="F256" s="398" t="str">
        <f aca="false">IF(A256="N/A"," ",E256*C256)</f>
        <v> </v>
      </c>
      <c r="G256" s="396" t="str">
        <f aca="false">IF(A256="N/A"," ",IF(ISERROR(P256),G244*Pwresc,P256)*VLOOKUP(MONTH(A256),Curveadj,3))</f>
        <v> </v>
      </c>
      <c r="H256" s="398" t="str">
        <f aca="false">IF(A256="N/A"," ",G256*C256)</f>
        <v> </v>
      </c>
      <c r="I256" s="398" t="str">
        <f aca="false">IF(A256="N/A"," ",IF(ISERROR(Q256),I244*Pwresc,Q256))</f>
        <v> </v>
      </c>
      <c r="J256" s="398"/>
      <c r="K256" s="399"/>
      <c r="L256" s="399"/>
      <c r="M256" s="404"/>
      <c r="N256" s="401" t="str">
        <f aca="false">IF(A256="N/A"," ",VLOOKUP(A256,PeakPowerCurves,(IF(BMO2=2,3,IF(BMO2=1,2,4))),FALSE()))</f>
        <v> </v>
      </c>
      <c r="O256" s="401" t="str">
        <f aca="false">IF(A256="N/A"," ",VLOOKUP(A256,SatSunPeakPwr,(IF(BMO2=2,3,IF(BMO2=1,2,4))),FALSE()))</f>
        <v> </v>
      </c>
      <c r="P256" s="401" t="str">
        <f aca="false">IF(A256="N/A"," ",VLOOKUP(A256,SatSunPeakPwr,(IF(BMO2=2,7,IF(BMO2=1,6,8))),FALSE()))</f>
        <v> </v>
      </c>
      <c r="Q256" s="402" t="str">
        <f aca="false">IF(A256="N/A"," ",(VLOOKUP(A256,OPPowerPrices,(IF(BMO2=2,7,IF(BMO2=1,6,8))),FALSE())))</f>
        <v> </v>
      </c>
      <c r="R256" s="403" t="str">
        <f aca="false">IF(A256="N/A"," ",(VLOOKUP($A256,IRTable,2)))</f>
        <v> </v>
      </c>
      <c r="AF256" s="352" t="n">
        <f aca="false">EOMONTH(AF255,0)+1</f>
        <v>44228</v>
      </c>
      <c r="AG256" s="311" t="n">
        <v>20</v>
      </c>
      <c r="AH256" s="311" t="n">
        <v>4</v>
      </c>
      <c r="AI256" s="311" t="n">
        <v>4</v>
      </c>
      <c r="AJ256" s="311" t="n">
        <v>0</v>
      </c>
      <c r="AK256" s="311" t="n">
        <v>28</v>
      </c>
      <c r="AU256" s="406"/>
    </row>
    <row r="257" customFormat="false" ht="12.75" hidden="false" customHeight="false" outlineLevel="0" collapsed="false">
      <c r="A257" s="352" t="str">
        <f aca="false">Option2!A224</f>
        <v>N/A</v>
      </c>
      <c r="B257" s="396" t="str">
        <f aca="false">IF(A257="N/A"," ",IF(ISERROR(N257),B245*Pwresc,N257)*VLOOKUP(MONTH(A257),Curveadj,3))</f>
        <v> </v>
      </c>
      <c r="C257" s="397" t="str">
        <f aca="false">IF(A257="N/A"," ",(IF(AND(Scaler2=1,MONTH(A257)&gt;=6,MONTH(A257)&lt;=8,OR($M$37="REGION 2",$M$37="REGION 2A",$M$37="REGION 2B",$M$37="REGION 3",$M$37="REGION 3A",$M$37="REGION 3B",$M$37="REGION 3C",$M$37="REGION 4",$M$37="REGION 4B",$M$37="REGION 4C",$M$37="REGION 5",$M$37="REGION 5A")),((0.059228/(B257/100))-(0.4980013/(SQRT(B257/100)))+2.137988),HLOOKUP(MONTH(A257),ScalarTable,28))))</f>
        <v> </v>
      </c>
      <c r="D257" s="398" t="str">
        <f aca="false">IF(A257="N/A"," ",C257*B257)</f>
        <v> </v>
      </c>
      <c r="E257" s="396" t="str">
        <f aca="false">IF(A257="N/A"," ",IF(ISERROR(O257),E245*Pwresc,O257)*VLOOKUP(MONTH(A257),Curveadj,3))</f>
        <v> </v>
      </c>
      <c r="F257" s="398" t="str">
        <f aca="false">IF(A257="N/A"," ",E257*C257)</f>
        <v> </v>
      </c>
      <c r="G257" s="396" t="str">
        <f aca="false">IF(A257="N/A"," ",IF(ISERROR(P257),G245*Pwresc,P257)*VLOOKUP(MONTH(A257),Curveadj,3))</f>
        <v> </v>
      </c>
      <c r="H257" s="398" t="str">
        <f aca="false">IF(A257="N/A"," ",G257*C257)</f>
        <v> </v>
      </c>
      <c r="I257" s="398" t="str">
        <f aca="false">IF(A257="N/A"," ",IF(ISERROR(Q257),I245*Pwresc,Q257))</f>
        <v> </v>
      </c>
      <c r="J257" s="398"/>
      <c r="K257" s="399"/>
      <c r="L257" s="399"/>
      <c r="M257" s="404"/>
      <c r="N257" s="401" t="str">
        <f aca="false">IF(A257="N/A"," ",VLOOKUP(A257,PeakPowerCurves,(IF(BMO2=2,3,IF(BMO2=1,2,4))),FALSE()))</f>
        <v> </v>
      </c>
      <c r="O257" s="401" t="str">
        <f aca="false">IF(A257="N/A"," ",VLOOKUP(A257,SatSunPeakPwr,(IF(BMO2=2,3,IF(BMO2=1,2,4))),FALSE()))</f>
        <v> </v>
      </c>
      <c r="P257" s="401" t="str">
        <f aca="false">IF(A257="N/A"," ",VLOOKUP(A257,SatSunPeakPwr,(IF(BMO2=2,7,IF(BMO2=1,6,8))),FALSE()))</f>
        <v> </v>
      </c>
      <c r="Q257" s="402" t="str">
        <f aca="false">IF(A257="N/A"," ",(VLOOKUP(A257,OPPowerPrices,(IF(BMO2=2,7,IF(BMO2=1,6,8))),FALSE())))</f>
        <v> </v>
      </c>
      <c r="R257" s="403" t="str">
        <f aca="false">IF(A257="N/A"," ",(VLOOKUP($A257,IRTable,2)))</f>
        <v> </v>
      </c>
      <c r="AF257" s="352" t="n">
        <f aca="false">EOMONTH(AF256,0)+1</f>
        <v>44256</v>
      </c>
      <c r="AG257" s="311" t="n">
        <v>21</v>
      </c>
      <c r="AH257" s="311" t="n">
        <v>5</v>
      </c>
      <c r="AI257" s="311" t="n">
        <v>5</v>
      </c>
      <c r="AJ257" s="311" t="n">
        <v>0</v>
      </c>
      <c r="AK257" s="311" t="n">
        <v>31</v>
      </c>
      <c r="AU257" s="406"/>
    </row>
    <row r="258" customFormat="false" ht="12.75" hidden="false" customHeight="false" outlineLevel="0" collapsed="false">
      <c r="A258" s="352" t="str">
        <f aca="false">Option2!A225</f>
        <v>N/A</v>
      </c>
      <c r="B258" s="396" t="str">
        <f aca="false">IF(A258="N/A"," ",IF(ISERROR(N258),B246*Pwresc,N258)*VLOOKUP(MONTH(A258),Curveadj,3))</f>
        <v> </v>
      </c>
      <c r="C258" s="397" t="str">
        <f aca="false">IF(A258="N/A"," ",(IF(AND(Scaler2=1,MONTH(A258)&gt;=6,MONTH(A258)&lt;=8,OR($M$37="REGION 2",$M$37="REGION 2A",$M$37="REGION 2B",$M$37="REGION 3",$M$37="REGION 3A",$M$37="REGION 3B",$M$37="REGION 3C",$M$37="REGION 4",$M$37="REGION 4B",$M$37="REGION 4C",$M$37="REGION 5",$M$37="REGION 5A")),((0.059228/(B258/100))-(0.4980013/(SQRT(B258/100)))+2.137988),HLOOKUP(MONTH(A258),ScalarTable,28))))</f>
        <v> </v>
      </c>
      <c r="D258" s="398" t="str">
        <f aca="false">IF(A258="N/A"," ",C258*B258)</f>
        <v> </v>
      </c>
      <c r="E258" s="396" t="str">
        <f aca="false">IF(A258="N/A"," ",IF(ISERROR(O258),E246*Pwresc,O258)*VLOOKUP(MONTH(A258),Curveadj,3))</f>
        <v> </v>
      </c>
      <c r="F258" s="398" t="str">
        <f aca="false">IF(A258="N/A"," ",E258*C258)</f>
        <v> </v>
      </c>
      <c r="G258" s="396" t="str">
        <f aca="false">IF(A258="N/A"," ",IF(ISERROR(P258),G246*Pwresc,P258)*VLOOKUP(MONTH(A258),Curveadj,3))</f>
        <v> </v>
      </c>
      <c r="H258" s="398" t="str">
        <f aca="false">IF(A258="N/A"," ",G258*C258)</f>
        <v> </v>
      </c>
      <c r="I258" s="398" t="str">
        <f aca="false">IF(A258="N/A"," ",IF(ISERROR(Q258),I246*Pwresc,Q258))</f>
        <v> </v>
      </c>
      <c r="J258" s="398"/>
      <c r="K258" s="399"/>
      <c r="L258" s="399"/>
      <c r="M258" s="404"/>
      <c r="N258" s="401" t="str">
        <f aca="false">IF(A258="N/A"," ",VLOOKUP(A258,PeakPowerCurves,(IF(BMO2=2,3,IF(BMO2=1,2,4))),FALSE()))</f>
        <v> </v>
      </c>
      <c r="O258" s="401" t="str">
        <f aca="false">IF(A258="N/A"," ",VLOOKUP(A258,SatSunPeakPwr,(IF(BMO2=2,3,IF(BMO2=1,2,4))),FALSE()))</f>
        <v> </v>
      </c>
      <c r="P258" s="401" t="str">
        <f aca="false">IF(A258="N/A"," ",VLOOKUP(A258,SatSunPeakPwr,(IF(BMO2=2,7,IF(BMO2=1,6,8))),FALSE()))</f>
        <v> </v>
      </c>
      <c r="Q258" s="402" t="str">
        <f aca="false">IF(A258="N/A"," ",(VLOOKUP(A258,OPPowerPrices,(IF(BMO2=2,7,IF(BMO2=1,6,8))),FALSE())))</f>
        <v> </v>
      </c>
      <c r="R258" s="403" t="str">
        <f aca="false">IF(A258="N/A"," ",(VLOOKUP($A258,IRTable,2)))</f>
        <v> </v>
      </c>
      <c r="AF258" s="352" t="n">
        <f aca="false">EOMONTH(AF257,0)+1</f>
        <v>44287</v>
      </c>
      <c r="AG258" s="311" t="n">
        <v>22</v>
      </c>
      <c r="AH258" s="311" t="n">
        <v>4</v>
      </c>
      <c r="AI258" s="311" t="n">
        <v>4</v>
      </c>
      <c r="AJ258" s="311" t="n">
        <v>0</v>
      </c>
      <c r="AK258" s="311" t="n">
        <v>30</v>
      </c>
      <c r="AU258" s="406"/>
    </row>
    <row r="259" customFormat="false" ht="12.75" hidden="false" customHeight="false" outlineLevel="0" collapsed="false">
      <c r="A259" s="352" t="str">
        <f aca="false">Option2!A226</f>
        <v>N/A</v>
      </c>
      <c r="B259" s="396" t="str">
        <f aca="false">IF(A259="N/A"," ",IF(ISERROR(N259),B247*Pwresc,N259)*VLOOKUP(MONTH(A259),Curveadj,3))</f>
        <v> </v>
      </c>
      <c r="C259" s="397" t="str">
        <f aca="false">IF(A259="N/A"," ",(IF(AND(Scaler2=1,MONTH(A259)&gt;=6,MONTH(A259)&lt;=8,OR($M$37="REGION 2",$M$37="REGION 2A",$M$37="REGION 2B",$M$37="REGION 3",$M$37="REGION 3A",$M$37="REGION 3B",$M$37="REGION 3C",$M$37="REGION 4",$M$37="REGION 4B",$M$37="REGION 4C",$M$37="REGION 5",$M$37="REGION 5A")),((0.059228/(B259/100))-(0.4980013/(SQRT(B259/100)))+2.137988),HLOOKUP(MONTH(A259),ScalarTable,28))))</f>
        <v> </v>
      </c>
      <c r="D259" s="398" t="str">
        <f aca="false">IF(A259="N/A"," ",C259*B259)</f>
        <v> </v>
      </c>
      <c r="E259" s="396" t="str">
        <f aca="false">IF(A259="N/A"," ",IF(ISERROR(O259),E247*Pwresc,O259)*VLOOKUP(MONTH(A259),Curveadj,3))</f>
        <v> </v>
      </c>
      <c r="F259" s="398" t="str">
        <f aca="false">IF(A259="N/A"," ",E259*C259)</f>
        <v> </v>
      </c>
      <c r="G259" s="396" t="str">
        <f aca="false">IF(A259="N/A"," ",IF(ISERROR(P259),G247*Pwresc,P259)*VLOOKUP(MONTH(A259),Curveadj,3))</f>
        <v> </v>
      </c>
      <c r="H259" s="398" t="str">
        <f aca="false">IF(A259="N/A"," ",G259*C259)</f>
        <v> </v>
      </c>
      <c r="I259" s="398" t="str">
        <f aca="false">IF(A259="N/A"," ",IF(ISERROR(Q259),I247*Pwresc,Q259))</f>
        <v> </v>
      </c>
      <c r="J259" s="398"/>
      <c r="K259" s="399"/>
      <c r="L259" s="399"/>
      <c r="M259" s="404"/>
      <c r="N259" s="401" t="str">
        <f aca="false">IF(A259="N/A"," ",VLOOKUP(A259,PeakPowerCurves,(IF(BMO2=2,3,IF(BMO2=1,2,4))),FALSE()))</f>
        <v> </v>
      </c>
      <c r="O259" s="401" t="str">
        <f aca="false">IF(A259="N/A"," ",VLOOKUP(A259,SatSunPeakPwr,(IF(BMO2=2,3,IF(BMO2=1,2,4))),FALSE()))</f>
        <v> </v>
      </c>
      <c r="P259" s="401" t="str">
        <f aca="false">IF(A259="N/A"," ",VLOOKUP(A259,SatSunPeakPwr,(IF(BMO2=2,7,IF(BMO2=1,6,8))),FALSE()))</f>
        <v> </v>
      </c>
      <c r="Q259" s="402" t="str">
        <f aca="false">IF(A259="N/A"," ",(VLOOKUP(A259,OPPowerPrices,(IF(BMO2=2,7,IF(BMO2=1,6,8))),FALSE())))</f>
        <v> </v>
      </c>
      <c r="R259" s="403" t="str">
        <f aca="false">IF(A259="N/A"," ",(VLOOKUP($A259,IRTable,2)))</f>
        <v> </v>
      </c>
      <c r="AF259" s="352" t="n">
        <f aca="false">EOMONTH(AF258,0)+1</f>
        <v>44317</v>
      </c>
      <c r="AG259" s="311" t="n">
        <v>22</v>
      </c>
      <c r="AH259" s="311" t="n">
        <v>4</v>
      </c>
      <c r="AI259" s="311" t="n">
        <v>5</v>
      </c>
      <c r="AJ259" s="311" t="n">
        <v>1</v>
      </c>
      <c r="AK259" s="311" t="n">
        <v>31</v>
      </c>
      <c r="AU259" s="406"/>
    </row>
    <row r="260" customFormat="false" ht="12.75" hidden="false" customHeight="false" outlineLevel="0" collapsed="false">
      <c r="A260" s="352" t="str">
        <f aca="false">Option2!A227</f>
        <v>N/A</v>
      </c>
      <c r="B260" s="396" t="str">
        <f aca="false">IF(A260="N/A"," ",IF(ISERROR(N260),B248*Pwresc,N260)*VLOOKUP(MONTH(A260),Curveadj,3))</f>
        <v> </v>
      </c>
      <c r="C260" s="397" t="str">
        <f aca="false">IF(A260="N/A"," ",(IF(AND(Scaler2=1,MONTH(A260)&gt;=6,MONTH(A260)&lt;=8,OR($M$37="REGION 2",$M$37="REGION 2A",$M$37="REGION 2B",$M$37="REGION 3",$M$37="REGION 3A",$M$37="REGION 3B",$M$37="REGION 3C",$M$37="REGION 4",$M$37="REGION 4B",$M$37="REGION 4C",$M$37="REGION 5",$M$37="REGION 5A")),((0.059228/(B260/100))-(0.4980013/(SQRT(B260/100)))+2.137988),HLOOKUP(MONTH(A260),ScalarTable,28))))</f>
        <v> </v>
      </c>
      <c r="D260" s="398" t="str">
        <f aca="false">IF(A260="N/A"," ",C260*B260)</f>
        <v> </v>
      </c>
      <c r="E260" s="396" t="str">
        <f aca="false">IF(A260="N/A"," ",IF(ISERROR(O260),E248*Pwresc,O260)*VLOOKUP(MONTH(A260),Curveadj,3))</f>
        <v> </v>
      </c>
      <c r="F260" s="398" t="str">
        <f aca="false">IF(A260="N/A"," ",E260*C260)</f>
        <v> </v>
      </c>
      <c r="G260" s="396" t="str">
        <f aca="false">IF(A260="N/A"," ",IF(ISERROR(P260),G248*Pwresc,P260)*VLOOKUP(MONTH(A260),Curveadj,3))</f>
        <v> </v>
      </c>
      <c r="H260" s="398" t="str">
        <f aca="false">IF(A260="N/A"," ",G260*C260)</f>
        <v> </v>
      </c>
      <c r="I260" s="398" t="str">
        <f aca="false">IF(A260="N/A"," ",IF(ISERROR(Q260),I248*Pwresc,Q260))</f>
        <v> </v>
      </c>
      <c r="J260" s="398"/>
      <c r="K260" s="399"/>
      <c r="L260" s="399"/>
      <c r="M260" s="404"/>
      <c r="N260" s="401" t="str">
        <f aca="false">IF(A260="N/A"," ",VLOOKUP(A260,PeakPowerCurves,(IF(BMO2=2,3,IF(BMO2=1,2,4))),FALSE()))</f>
        <v> </v>
      </c>
      <c r="O260" s="401" t="str">
        <f aca="false">IF(A260="N/A"," ",VLOOKUP(A260,SatSunPeakPwr,(IF(BMO2=2,3,IF(BMO2=1,2,4))),FALSE()))</f>
        <v> </v>
      </c>
      <c r="P260" s="401" t="str">
        <f aca="false">IF(A260="N/A"," ",VLOOKUP(A260,SatSunPeakPwr,(IF(BMO2=2,7,IF(BMO2=1,6,8))),FALSE()))</f>
        <v> </v>
      </c>
      <c r="Q260" s="402" t="str">
        <f aca="false">IF(A260="N/A"," ",(VLOOKUP(A260,OPPowerPrices,(IF(BMO2=2,7,IF(BMO2=1,6,8))),FALSE())))</f>
        <v> </v>
      </c>
      <c r="R260" s="403" t="str">
        <f aca="false">IF(A260="N/A"," ",(VLOOKUP($A260,IRTable,2)))</f>
        <v> </v>
      </c>
      <c r="AF260" s="352" t="n">
        <f aca="false">EOMONTH(AF259,0)+1</f>
        <v>44348</v>
      </c>
      <c r="AG260" s="311" t="n">
        <v>20</v>
      </c>
      <c r="AH260" s="311" t="n">
        <v>5</v>
      </c>
      <c r="AI260" s="311" t="n">
        <v>5</v>
      </c>
      <c r="AJ260" s="311" t="n">
        <v>0</v>
      </c>
      <c r="AK260" s="311" t="n">
        <v>30</v>
      </c>
      <c r="AU260" s="406"/>
    </row>
    <row r="261" customFormat="false" ht="12.75" hidden="false" customHeight="false" outlineLevel="0" collapsed="false">
      <c r="A261" s="352" t="str">
        <f aca="false">Option2!A228</f>
        <v>N/A</v>
      </c>
      <c r="B261" s="396" t="str">
        <f aca="false">IF(A261="N/A"," ",IF(ISERROR(N261),B249*Pwresc,N261)*VLOOKUP(MONTH(A261),Curveadj,3))</f>
        <v> </v>
      </c>
      <c r="C261" s="397" t="str">
        <f aca="false">IF(A261="N/A"," ",(IF(AND(Scaler2=1,MONTH(A261)&gt;=6,MONTH(A261)&lt;=8,OR($M$37="REGION 2",$M$37="REGION 2A",$M$37="REGION 2B",$M$37="REGION 3",$M$37="REGION 3A",$M$37="REGION 3B",$M$37="REGION 3C",$M$37="REGION 4",$M$37="REGION 4B",$M$37="REGION 4C",$M$37="REGION 5",$M$37="REGION 5A")),((0.059228/(B261/100))-(0.4980013/(SQRT(B261/100)))+2.137988),HLOOKUP(MONTH(A261),ScalarTable,28))))</f>
        <v> </v>
      </c>
      <c r="D261" s="398" t="str">
        <f aca="false">IF(A261="N/A"," ",C261*B261)</f>
        <v> </v>
      </c>
      <c r="E261" s="396" t="str">
        <f aca="false">IF(A261="N/A"," ",IF(ISERROR(O261),E249*Pwresc,O261)*VLOOKUP(MONTH(A261),Curveadj,3))</f>
        <v> </v>
      </c>
      <c r="F261" s="398" t="str">
        <f aca="false">IF(A261="N/A"," ",E261*C261)</f>
        <v> </v>
      </c>
      <c r="G261" s="396" t="str">
        <f aca="false">IF(A261="N/A"," ",IF(ISERROR(P261),G249*Pwresc,P261)*VLOOKUP(MONTH(A261),Curveadj,3))</f>
        <v> </v>
      </c>
      <c r="H261" s="398" t="str">
        <f aca="false">IF(A261="N/A"," ",G261*C261)</f>
        <v> </v>
      </c>
      <c r="I261" s="398" t="str">
        <f aca="false">IF(A261="N/A"," ",IF(ISERROR(Q261),I249*Pwresc,Q261))</f>
        <v> </v>
      </c>
      <c r="J261" s="398"/>
      <c r="K261" s="399"/>
      <c r="L261" s="399"/>
      <c r="M261" s="404"/>
      <c r="N261" s="401" t="str">
        <f aca="false">IF(A261="N/A"," ",VLOOKUP(A261,PeakPowerCurves,(IF(BMO2=2,3,IF(BMO2=1,2,4))),FALSE()))</f>
        <v> </v>
      </c>
      <c r="O261" s="401" t="str">
        <f aca="false">IF(A261="N/A"," ",VLOOKUP(A261,SatSunPeakPwr,(IF(BMO2=2,3,IF(BMO2=1,2,4))),FALSE()))</f>
        <v> </v>
      </c>
      <c r="P261" s="401" t="str">
        <f aca="false">IF(A261="N/A"," ",VLOOKUP(A261,SatSunPeakPwr,(IF(BMO2=2,7,IF(BMO2=1,6,8))),FALSE()))</f>
        <v> </v>
      </c>
      <c r="Q261" s="402" t="str">
        <f aca="false">IF(A261="N/A"," ",(VLOOKUP(A261,OPPowerPrices,(IF(BMO2=2,7,IF(BMO2=1,6,8))),FALSE())))</f>
        <v> </v>
      </c>
      <c r="R261" s="403" t="str">
        <f aca="false">IF(A261="N/A"," ",(VLOOKUP($A261,IRTable,2)))</f>
        <v> </v>
      </c>
      <c r="AF261" s="352" t="n">
        <f aca="false">EOMONTH(AF260,0)+1</f>
        <v>44378</v>
      </c>
      <c r="AG261" s="311" t="n">
        <v>22</v>
      </c>
      <c r="AH261" s="311" t="n">
        <v>4</v>
      </c>
      <c r="AI261" s="311" t="n">
        <v>5</v>
      </c>
      <c r="AJ261" s="311" t="n">
        <v>1</v>
      </c>
      <c r="AK261" s="311" t="n">
        <v>31</v>
      </c>
      <c r="AU261" s="406"/>
    </row>
    <row r="262" customFormat="false" ht="12.75" hidden="false" customHeight="false" outlineLevel="0" collapsed="false">
      <c r="A262" s="352" t="str">
        <f aca="false">Option2!A229</f>
        <v>N/A</v>
      </c>
      <c r="B262" s="396" t="str">
        <f aca="false">IF(A262="N/A"," ",IF(ISERROR(N262),B250*Pwresc,N262)*VLOOKUP(MONTH(A262),Curveadj,3))</f>
        <v> </v>
      </c>
      <c r="C262" s="397" t="str">
        <f aca="false">IF(A262="N/A"," ",(IF(AND(Scaler2=1,MONTH(A262)&gt;=6,MONTH(A262)&lt;=8,OR($M$37="REGION 2",$M$37="REGION 2A",$M$37="REGION 2B",$M$37="REGION 3",$M$37="REGION 3A",$M$37="REGION 3B",$M$37="REGION 3C",$M$37="REGION 4",$M$37="REGION 4B",$M$37="REGION 4C",$M$37="REGION 5",$M$37="REGION 5A")),((0.059228/(B262/100))-(0.4980013/(SQRT(B262/100)))+2.137988),HLOOKUP(MONTH(A262),ScalarTable,28))))</f>
        <v> </v>
      </c>
      <c r="D262" s="398" t="str">
        <f aca="false">IF(A262="N/A"," ",C262*B262)</f>
        <v> </v>
      </c>
      <c r="E262" s="396" t="str">
        <f aca="false">IF(A262="N/A"," ",IF(ISERROR(O262),E250*Pwresc,O262)*VLOOKUP(MONTH(A262),Curveadj,3))</f>
        <v> </v>
      </c>
      <c r="F262" s="398" t="str">
        <f aca="false">IF(A262="N/A"," ",E262*C262)</f>
        <v> </v>
      </c>
      <c r="G262" s="396" t="str">
        <f aca="false">IF(A262="N/A"," ",IF(ISERROR(P262),G250*Pwresc,P262)*VLOOKUP(MONTH(A262),Curveadj,3))</f>
        <v> </v>
      </c>
      <c r="H262" s="398" t="str">
        <f aca="false">IF(A262="N/A"," ",G262*C262)</f>
        <v> </v>
      </c>
      <c r="I262" s="398" t="str">
        <f aca="false">IF(A262="N/A"," ",IF(ISERROR(Q262),I250*Pwresc,Q262))</f>
        <v> </v>
      </c>
      <c r="J262" s="398"/>
      <c r="K262" s="399"/>
      <c r="L262" s="399"/>
      <c r="M262" s="404"/>
      <c r="N262" s="401" t="str">
        <f aca="false">IF(A262="N/A"," ",VLOOKUP(A262,PeakPowerCurves,(IF(BMO2=2,3,IF(BMO2=1,2,4))),FALSE()))</f>
        <v> </v>
      </c>
      <c r="O262" s="401" t="str">
        <f aca="false">IF(A262="N/A"," ",VLOOKUP(A262,SatSunPeakPwr,(IF(BMO2=2,3,IF(BMO2=1,2,4))),FALSE()))</f>
        <v> </v>
      </c>
      <c r="P262" s="401" t="str">
        <f aca="false">IF(A262="N/A"," ",VLOOKUP(A262,SatSunPeakPwr,(IF(BMO2=2,7,IF(BMO2=1,6,8))),FALSE()))</f>
        <v> </v>
      </c>
      <c r="Q262" s="402" t="str">
        <f aca="false">IF(A262="N/A"," ",(VLOOKUP(A262,OPPowerPrices,(IF(BMO2=2,7,IF(BMO2=1,6,8))),FALSE())))</f>
        <v> </v>
      </c>
      <c r="R262" s="403" t="str">
        <f aca="false">IF(A262="N/A"," ",(VLOOKUP($A262,IRTable,2)))</f>
        <v> </v>
      </c>
      <c r="AF262" s="352" t="n">
        <f aca="false">EOMONTH(AF261,0)+1</f>
        <v>44409</v>
      </c>
      <c r="AG262" s="311" t="n">
        <v>22</v>
      </c>
      <c r="AH262" s="311" t="n">
        <v>5</v>
      </c>
      <c r="AI262" s="311" t="n">
        <v>4</v>
      </c>
      <c r="AJ262" s="311" t="n">
        <v>0</v>
      </c>
      <c r="AK262" s="311" t="n">
        <v>31</v>
      </c>
      <c r="AU262" s="406"/>
    </row>
    <row r="263" customFormat="false" ht="12.75" hidden="false" customHeight="false" outlineLevel="0" collapsed="false">
      <c r="A263" s="352" t="str">
        <f aca="false">Option2!A230</f>
        <v>N/A</v>
      </c>
      <c r="B263" s="396" t="str">
        <f aca="false">IF(A263="N/A"," ",IF(ISERROR(N263),B251*Pwresc,N263)*VLOOKUP(MONTH(A263),Curveadj,3))</f>
        <v> </v>
      </c>
      <c r="C263" s="397" t="str">
        <f aca="false">IF(A263="N/A"," ",(IF(AND(Scaler2=1,MONTH(A263)&gt;=6,MONTH(A263)&lt;=8,OR($M$37="REGION 2",$M$37="REGION 2A",$M$37="REGION 2B",$M$37="REGION 3",$M$37="REGION 3A",$M$37="REGION 3B",$M$37="REGION 3C",$M$37="REGION 4",$M$37="REGION 4B",$M$37="REGION 4C",$M$37="REGION 5",$M$37="REGION 5A")),((0.059228/(B263/100))-(0.4980013/(SQRT(B263/100)))+2.137988),HLOOKUP(MONTH(A263),ScalarTable,28))))</f>
        <v> </v>
      </c>
      <c r="D263" s="398" t="str">
        <f aca="false">IF(A263="N/A"," ",C263*B263)</f>
        <v> </v>
      </c>
      <c r="E263" s="396" t="str">
        <f aca="false">IF(A263="N/A"," ",IF(ISERROR(O263),E251*Pwresc,O263)*VLOOKUP(MONTH(A263),Curveadj,3))</f>
        <v> </v>
      </c>
      <c r="F263" s="398" t="str">
        <f aca="false">IF(A263="N/A"," ",E263*C263)</f>
        <v> </v>
      </c>
      <c r="G263" s="396" t="str">
        <f aca="false">IF(A263="N/A"," ",IF(ISERROR(P263),G251*Pwresc,P263)*VLOOKUP(MONTH(A263),Curveadj,3))</f>
        <v> </v>
      </c>
      <c r="H263" s="398" t="str">
        <f aca="false">IF(A263="N/A"," ",G263*C263)</f>
        <v> </v>
      </c>
      <c r="I263" s="398" t="str">
        <f aca="false">IF(A263="N/A"," ",IF(ISERROR(Q263),I251*Pwresc,Q263))</f>
        <v> </v>
      </c>
      <c r="J263" s="398"/>
      <c r="K263" s="399"/>
      <c r="L263" s="399"/>
      <c r="M263" s="404"/>
      <c r="N263" s="401" t="str">
        <f aca="false">IF(A263="N/A"," ",VLOOKUP(A263,PeakPowerCurves,(IF(BMO2=2,3,IF(BMO2=1,2,4))),FALSE()))</f>
        <v> </v>
      </c>
      <c r="O263" s="401" t="str">
        <f aca="false">IF(A263="N/A"," ",VLOOKUP(A263,SatSunPeakPwr,(IF(BMO2=2,3,IF(BMO2=1,2,4))),FALSE()))</f>
        <v> </v>
      </c>
      <c r="P263" s="401" t="str">
        <f aca="false">IF(A263="N/A"," ",VLOOKUP(A263,SatSunPeakPwr,(IF(BMO2=2,7,IF(BMO2=1,6,8))),FALSE()))</f>
        <v> </v>
      </c>
      <c r="Q263" s="402" t="str">
        <f aca="false">IF(A263="N/A"," ",(VLOOKUP(A263,OPPowerPrices,(IF(BMO2=2,7,IF(BMO2=1,6,8))),FALSE())))</f>
        <v> </v>
      </c>
      <c r="R263" s="403" t="str">
        <f aca="false">IF(A263="N/A"," ",(VLOOKUP($A263,IRTable,2)))</f>
        <v> </v>
      </c>
      <c r="AF263" s="352" t="n">
        <f aca="false">EOMONTH(AF262,0)+1</f>
        <v>44440</v>
      </c>
      <c r="AG263" s="311" t="n">
        <v>20</v>
      </c>
      <c r="AH263" s="311" t="n">
        <v>4</v>
      </c>
      <c r="AI263" s="311" t="n">
        <v>6</v>
      </c>
      <c r="AJ263" s="311" t="n">
        <v>1</v>
      </c>
      <c r="AK263" s="311" t="n">
        <v>30</v>
      </c>
      <c r="AU263" s="406"/>
    </row>
    <row r="264" customFormat="false" ht="12.75" hidden="false" customHeight="false" outlineLevel="0" collapsed="false">
      <c r="A264" s="352" t="str">
        <f aca="false">Option2!A231</f>
        <v>N/A</v>
      </c>
      <c r="B264" s="396" t="str">
        <f aca="false">IF(A264="N/A"," ",IF(ISERROR(N264),B252*Pwresc,N264)*VLOOKUP(MONTH(A264),Curveadj,3))</f>
        <v> </v>
      </c>
      <c r="C264" s="397" t="str">
        <f aca="false">IF(A264="N/A"," ",(IF(AND(Scaler2=1,MONTH(A264)&gt;=6,MONTH(A264)&lt;=8,OR($M$37="REGION 2",$M$37="REGION 2A",$M$37="REGION 2B",$M$37="REGION 3",$M$37="REGION 3A",$M$37="REGION 3B",$M$37="REGION 3C",$M$37="REGION 4",$M$37="REGION 4B",$M$37="REGION 4C",$M$37="REGION 5",$M$37="REGION 5A")),((0.059228/(B264/100))-(0.4980013/(SQRT(B264/100)))+2.137988),HLOOKUP(MONTH(A264),ScalarTable,28))))</f>
        <v> </v>
      </c>
      <c r="D264" s="398" t="str">
        <f aca="false">IF(A264="N/A"," ",C264*B264)</f>
        <v> </v>
      </c>
      <c r="E264" s="396" t="str">
        <f aca="false">IF(A264="N/A"," ",IF(ISERROR(O264),E252*Pwresc,O264)*VLOOKUP(MONTH(A264),Curveadj,3))</f>
        <v> </v>
      </c>
      <c r="F264" s="398" t="str">
        <f aca="false">IF(A264="N/A"," ",E264*C264)</f>
        <v> </v>
      </c>
      <c r="G264" s="396" t="str">
        <f aca="false">IF(A264="N/A"," ",IF(ISERROR(P264),G252*Pwresc,P264)*VLOOKUP(MONTH(A264),Curveadj,3))</f>
        <v> </v>
      </c>
      <c r="H264" s="398" t="str">
        <f aca="false">IF(A264="N/A"," ",G264*C264)</f>
        <v> </v>
      </c>
      <c r="I264" s="398" t="str">
        <f aca="false">IF(A264="N/A"," ",IF(ISERROR(Q264),I252*Pwresc,Q264))</f>
        <v> </v>
      </c>
      <c r="J264" s="398"/>
      <c r="K264" s="399"/>
      <c r="L264" s="399"/>
      <c r="M264" s="404"/>
      <c r="N264" s="401" t="str">
        <f aca="false">IF(A264="N/A"," ",VLOOKUP(A264,PeakPowerCurves,(IF(BMO2=2,3,IF(BMO2=1,2,4))),FALSE()))</f>
        <v> </v>
      </c>
      <c r="O264" s="401" t="str">
        <f aca="false">IF(A264="N/A"," ",VLOOKUP(A264,SatSunPeakPwr,(IF(BMO2=2,3,IF(BMO2=1,2,4))),FALSE()))</f>
        <v> </v>
      </c>
      <c r="P264" s="401" t="str">
        <f aca="false">IF(A264="N/A"," ",VLOOKUP(A264,SatSunPeakPwr,(IF(BMO2=2,7,IF(BMO2=1,6,8))),FALSE()))</f>
        <v> </v>
      </c>
      <c r="Q264" s="402" t="str">
        <f aca="false">IF(A264="N/A"," ",(VLOOKUP(A264,OPPowerPrices,(IF(BMO2=2,7,IF(BMO2=1,6,8))),FALSE())))</f>
        <v> </v>
      </c>
      <c r="R264" s="403" t="str">
        <f aca="false">IF(A264="N/A"," ",(VLOOKUP($A264,IRTable,2)))</f>
        <v> </v>
      </c>
      <c r="AF264" s="352" t="n">
        <f aca="false">EOMONTH(AF263,0)+1</f>
        <v>44470</v>
      </c>
      <c r="AG264" s="311" t="n">
        <v>23</v>
      </c>
      <c r="AH264" s="311" t="n">
        <v>4</v>
      </c>
      <c r="AI264" s="311" t="n">
        <v>4</v>
      </c>
      <c r="AJ264" s="311" t="n">
        <v>0</v>
      </c>
      <c r="AK264" s="311" t="n">
        <v>31</v>
      </c>
      <c r="AU264" s="406"/>
    </row>
    <row r="265" customFormat="false" ht="12.75" hidden="false" customHeight="false" outlineLevel="0" collapsed="false">
      <c r="A265" s="352" t="str">
        <f aca="false">Option2!A232</f>
        <v>N/A</v>
      </c>
      <c r="B265" s="396" t="str">
        <f aca="false">IF(A265="N/A"," ",IF(ISERROR(N265),B253*Pwresc,N265)*VLOOKUP(MONTH(A265),Curveadj,3))</f>
        <v> </v>
      </c>
      <c r="C265" s="397" t="str">
        <f aca="false">IF(A265="N/A"," ",(IF(AND(Scaler2=1,MONTH(A265)&gt;=6,MONTH(A265)&lt;=8,OR($M$37="REGION 2",$M$37="REGION 2A",$M$37="REGION 2B",$M$37="REGION 3",$M$37="REGION 3A",$M$37="REGION 3B",$M$37="REGION 3C",$M$37="REGION 4",$M$37="REGION 4B",$M$37="REGION 4C",$M$37="REGION 5",$M$37="REGION 5A")),((0.059228/(B265/100))-(0.4980013/(SQRT(B265/100)))+2.137988),HLOOKUP(MONTH(A265),ScalarTable,28))))</f>
        <v> </v>
      </c>
      <c r="D265" s="398" t="str">
        <f aca="false">IF(A265="N/A"," ",C265*B265)</f>
        <v> </v>
      </c>
      <c r="E265" s="396" t="str">
        <f aca="false">IF(A265="N/A"," ",IF(ISERROR(O265),E253*Pwresc,O265)*VLOOKUP(MONTH(A265),Curveadj,3))</f>
        <v> </v>
      </c>
      <c r="F265" s="398" t="str">
        <f aca="false">IF(A265="N/A"," ",E265*C265)</f>
        <v> </v>
      </c>
      <c r="G265" s="396" t="str">
        <f aca="false">IF(A265="N/A"," ",IF(ISERROR(P265),G253*Pwresc,P265)*VLOOKUP(MONTH(A265),Curveadj,3))</f>
        <v> </v>
      </c>
      <c r="H265" s="398" t="str">
        <f aca="false">IF(A265="N/A"," ",G265*C265)</f>
        <v> </v>
      </c>
      <c r="I265" s="398" t="str">
        <f aca="false">IF(A265="N/A"," ",IF(ISERROR(Q265),I253*Pwresc,Q265))</f>
        <v> </v>
      </c>
      <c r="J265" s="398"/>
      <c r="K265" s="399"/>
      <c r="L265" s="399"/>
      <c r="M265" s="404"/>
      <c r="N265" s="401" t="str">
        <f aca="false">IF(A265="N/A"," ",VLOOKUP(A265,PeakPowerCurves,(IF(BMO2=2,3,IF(BMO2=1,2,4))),FALSE()))</f>
        <v> </v>
      </c>
      <c r="O265" s="401" t="str">
        <f aca="false">IF(A265="N/A"," ",VLOOKUP(A265,SatSunPeakPwr,(IF(BMO2=2,3,IF(BMO2=1,2,4))),FALSE()))</f>
        <v> </v>
      </c>
      <c r="P265" s="401" t="str">
        <f aca="false">IF(A265="N/A"," ",VLOOKUP(A265,SatSunPeakPwr,(IF(BMO2=2,7,IF(BMO2=1,6,8))),FALSE()))</f>
        <v> </v>
      </c>
      <c r="Q265" s="402" t="str">
        <f aca="false">IF(A265="N/A"," ",(VLOOKUP(A265,OPPowerPrices,(IF(BMO2=2,7,IF(BMO2=1,6,8))),FALSE())))</f>
        <v> </v>
      </c>
      <c r="R265" s="403" t="str">
        <f aca="false">IF(A265="N/A"," ",(VLOOKUP($A265,IRTable,2)))</f>
        <v> </v>
      </c>
      <c r="AF265" s="352" t="n">
        <f aca="false">EOMONTH(AF264,0)+1</f>
        <v>44501</v>
      </c>
      <c r="AG265" s="311" t="n">
        <v>20</v>
      </c>
      <c r="AH265" s="311" t="n">
        <v>5</v>
      </c>
      <c r="AI265" s="311" t="n">
        <v>5</v>
      </c>
      <c r="AJ265" s="311" t="n">
        <v>1</v>
      </c>
      <c r="AK265" s="311" t="n">
        <v>30</v>
      </c>
      <c r="AU265" s="406"/>
    </row>
    <row r="266" customFormat="false" ht="12.75" hidden="false" customHeight="false" outlineLevel="0" collapsed="false">
      <c r="A266" s="352" t="str">
        <f aca="false">Option2!A233</f>
        <v>N/A</v>
      </c>
      <c r="B266" s="396" t="str">
        <f aca="false">IF(A266="N/A"," ",IF(ISERROR(N266),B254*Pwresc,N266)*VLOOKUP(MONTH(A266),Curveadj,3))</f>
        <v> </v>
      </c>
      <c r="C266" s="397" t="str">
        <f aca="false">IF(A266="N/A"," ",(IF(AND(Scaler2=1,MONTH(A266)&gt;=6,MONTH(A266)&lt;=8,OR($M$37="REGION 2",$M$37="REGION 2A",$M$37="REGION 2B",$M$37="REGION 3",$M$37="REGION 3A",$M$37="REGION 3B",$M$37="REGION 3C",$M$37="REGION 4",$M$37="REGION 4B",$M$37="REGION 4C",$M$37="REGION 5",$M$37="REGION 5A")),((0.059228/(B266/100))-(0.4980013/(SQRT(B266/100)))+2.137988),HLOOKUP(MONTH(A266),ScalarTable,28))))</f>
        <v> </v>
      </c>
      <c r="D266" s="398" t="str">
        <f aca="false">IF(A266="N/A"," ",C266*B266)</f>
        <v> </v>
      </c>
      <c r="E266" s="396" t="str">
        <f aca="false">IF(A266="N/A"," ",IF(ISERROR(O266),E254*Pwresc,O266)*VLOOKUP(MONTH(A266),Curveadj,3))</f>
        <v> </v>
      </c>
      <c r="F266" s="398" t="str">
        <f aca="false">IF(A266="N/A"," ",E266*C266)</f>
        <v> </v>
      </c>
      <c r="G266" s="396" t="str">
        <f aca="false">IF(A266="N/A"," ",IF(ISERROR(P266),G254*Pwresc,P266)*VLOOKUP(MONTH(A266),Curveadj,3))</f>
        <v> </v>
      </c>
      <c r="H266" s="398" t="str">
        <f aca="false">IF(A266="N/A"," ",G266*C266)</f>
        <v> </v>
      </c>
      <c r="I266" s="398" t="str">
        <f aca="false">IF(A266="N/A"," ",IF(ISERROR(Q266),I254*Pwresc,Q266))</f>
        <v> </v>
      </c>
      <c r="J266" s="398"/>
      <c r="K266" s="399"/>
      <c r="L266" s="399"/>
      <c r="M266" s="404"/>
      <c r="N266" s="401" t="str">
        <f aca="false">IF(A266="N/A"," ",VLOOKUP(A266,PeakPowerCurves,(IF(BMO2=2,3,IF(BMO2=1,2,4))),FALSE()))</f>
        <v> </v>
      </c>
      <c r="O266" s="401" t="str">
        <f aca="false">IF(A266="N/A"," ",VLOOKUP(A266,SatSunPeakPwr,(IF(BMO2=2,3,IF(BMO2=1,2,4))),FALSE()))</f>
        <v> </v>
      </c>
      <c r="P266" s="401" t="str">
        <f aca="false">IF(A266="N/A"," ",VLOOKUP(A266,SatSunPeakPwr,(IF(BMO2=2,7,IF(BMO2=1,6,8))),FALSE()))</f>
        <v> </v>
      </c>
      <c r="Q266" s="402" t="str">
        <f aca="false">IF(A266="N/A"," ",(VLOOKUP(A266,OPPowerPrices,(IF(BMO2=2,7,IF(BMO2=1,6,8))),FALSE())))</f>
        <v> </v>
      </c>
      <c r="R266" s="403" t="str">
        <f aca="false">IF(A266="N/A"," ",(VLOOKUP($A266,IRTable,2)))</f>
        <v> </v>
      </c>
      <c r="AF266" s="352" t="n">
        <f aca="false">EOMONTH(AF265,0)+1</f>
        <v>44531</v>
      </c>
      <c r="AG266" s="311" t="n">
        <v>21</v>
      </c>
      <c r="AH266" s="311" t="n">
        <v>4</v>
      </c>
      <c r="AI266" s="311" t="n">
        <v>6</v>
      </c>
      <c r="AJ266" s="311" t="n">
        <v>1</v>
      </c>
      <c r="AK266" s="311" t="n">
        <v>31</v>
      </c>
      <c r="AU266" s="406"/>
    </row>
    <row r="267" customFormat="false" ht="12.75" hidden="false" customHeight="false" outlineLevel="0" collapsed="false">
      <c r="A267" s="352" t="str">
        <f aca="false">Option2!A234</f>
        <v>N/A</v>
      </c>
      <c r="B267" s="396" t="str">
        <f aca="false">IF(A267="N/A"," ",IF(ISERROR(N267),B255*Pwresc,N267)*VLOOKUP(MONTH(A267),Curveadj,3))</f>
        <v> </v>
      </c>
      <c r="C267" s="397" t="str">
        <f aca="false">IF(A267="N/A"," ",(IF(AND(Scaler2=1,MONTH(A267)&gt;=6,MONTH(A267)&lt;=8,OR($M$37="REGION 2",$M$37="REGION 2A",$M$37="REGION 2B",$M$37="REGION 3",$M$37="REGION 3A",$M$37="REGION 3B",$M$37="REGION 3C",$M$37="REGION 4",$M$37="REGION 4B",$M$37="REGION 4C",$M$37="REGION 5",$M$37="REGION 5A")),((0.059228/(B267/100))-(0.4980013/(SQRT(B267/100)))+2.137988),HLOOKUP(MONTH(A267),ScalarTable,28))))</f>
        <v> </v>
      </c>
      <c r="D267" s="398" t="str">
        <f aca="false">IF(A267="N/A"," ",C267*B267)</f>
        <v> </v>
      </c>
      <c r="E267" s="396" t="str">
        <f aca="false">IF(A267="N/A"," ",IF(ISERROR(O267),E255*Pwresc,O267)*VLOOKUP(MONTH(A267),Curveadj,3))</f>
        <v> </v>
      </c>
      <c r="F267" s="398" t="str">
        <f aca="false">IF(A267="N/A"," ",E267*C267)</f>
        <v> </v>
      </c>
      <c r="G267" s="396" t="str">
        <f aca="false">IF(A267="N/A"," ",IF(ISERROR(P267),G255*Pwresc,P267)*VLOOKUP(MONTH(A267),Curveadj,3))</f>
        <v> </v>
      </c>
      <c r="H267" s="398" t="str">
        <f aca="false">IF(A267="N/A"," ",G267*C267)</f>
        <v> </v>
      </c>
      <c r="I267" s="398" t="str">
        <f aca="false">IF(A267="N/A"," ",IF(ISERROR(Q267),I255*Pwresc,Q267))</f>
        <v> </v>
      </c>
      <c r="J267" s="398"/>
      <c r="K267" s="399"/>
      <c r="L267" s="399"/>
      <c r="M267" s="404"/>
      <c r="N267" s="401" t="str">
        <f aca="false">IF(A267="N/A"," ",VLOOKUP(A267,PeakPowerCurves,(IF(BMO2=2,3,IF(BMO2=1,2,4))),FALSE()))</f>
        <v> </v>
      </c>
      <c r="O267" s="401" t="str">
        <f aca="false">IF(A267="N/A"," ",VLOOKUP(A267,SatSunPeakPwr,(IF(BMO2=2,3,IF(BMO2=1,2,4))),FALSE()))</f>
        <v> </v>
      </c>
      <c r="P267" s="401" t="str">
        <f aca="false">IF(A267="N/A"," ",VLOOKUP(A267,SatSunPeakPwr,(IF(BMO2=2,7,IF(BMO2=1,6,8))),FALSE()))</f>
        <v> </v>
      </c>
      <c r="Q267" s="402" t="str">
        <f aca="false">IF(A267="N/A"," ",(VLOOKUP(A267,OPPowerPrices,(IF(BMO2=2,7,IF(BMO2=1,6,8))),FALSE())))</f>
        <v> </v>
      </c>
      <c r="R267" s="403" t="str">
        <f aca="false">IF(A267="N/A"," ",(VLOOKUP($A267,IRTable,2)))</f>
        <v> </v>
      </c>
      <c r="AF267" s="352" t="n">
        <f aca="false">EOMONTH(AF266,0)+1</f>
        <v>44562</v>
      </c>
      <c r="AG267" s="311" t="n">
        <v>22</v>
      </c>
      <c r="AH267" s="311" t="n">
        <v>4</v>
      </c>
      <c r="AI267" s="311" t="n">
        <v>5</v>
      </c>
      <c r="AJ267" s="311" t="n">
        <v>1</v>
      </c>
      <c r="AK267" s="311" t="n">
        <v>31</v>
      </c>
      <c r="AU267" s="406"/>
    </row>
    <row r="268" customFormat="false" ht="12.75" hidden="false" customHeight="false" outlineLevel="0" collapsed="false">
      <c r="A268" s="352" t="str">
        <f aca="false">Option2!A235</f>
        <v>N/A</v>
      </c>
      <c r="B268" s="396" t="str">
        <f aca="false">IF(A268="N/A"," ",IF(ISERROR(N268),B256*Pwresc,N268)*VLOOKUP(MONTH(A268),Curveadj,3))</f>
        <v> </v>
      </c>
      <c r="C268" s="397" t="str">
        <f aca="false">IF(A268="N/A"," ",(IF(AND(Scaler2=1,MONTH(A268)&gt;=6,MONTH(A268)&lt;=8,OR($M$37="REGION 2",$M$37="REGION 2A",$M$37="REGION 2B",$M$37="REGION 3",$M$37="REGION 3A",$M$37="REGION 3B",$M$37="REGION 3C",$M$37="REGION 4",$M$37="REGION 4B",$M$37="REGION 4C",$M$37="REGION 5",$M$37="REGION 5A")),((0.059228/(B268/100))-(0.4980013/(SQRT(B268/100)))+2.137988),HLOOKUP(MONTH(A268),ScalarTable,28))))</f>
        <v> </v>
      </c>
      <c r="D268" s="398" t="str">
        <f aca="false">IF(A268="N/A"," ",C268*B268)</f>
        <v> </v>
      </c>
      <c r="E268" s="396" t="str">
        <f aca="false">IF(A268="N/A"," ",IF(ISERROR(O268),E256*Pwresc,O268)*VLOOKUP(MONTH(A268),Curveadj,3))</f>
        <v> </v>
      </c>
      <c r="F268" s="398" t="str">
        <f aca="false">IF(A268="N/A"," ",E268*C268)</f>
        <v> </v>
      </c>
      <c r="G268" s="396" t="str">
        <f aca="false">IF(A268="N/A"," ",IF(ISERROR(P268),G256*Pwresc,P268)*VLOOKUP(MONTH(A268),Curveadj,3))</f>
        <v> </v>
      </c>
      <c r="H268" s="398" t="str">
        <f aca="false">IF(A268="N/A"," ",G268*C268)</f>
        <v> </v>
      </c>
      <c r="I268" s="398" t="str">
        <f aca="false">IF(A268="N/A"," ",IF(ISERROR(Q268),I256*Pwresc,Q268))</f>
        <v> </v>
      </c>
      <c r="J268" s="398"/>
      <c r="K268" s="399"/>
      <c r="L268" s="399"/>
      <c r="M268" s="404"/>
      <c r="N268" s="401" t="str">
        <f aca="false">IF(A268="N/A"," ",VLOOKUP(A268,PeakPowerCurves,(IF(BMO2=2,3,IF(BMO2=1,2,4))),FALSE()))</f>
        <v> </v>
      </c>
      <c r="O268" s="401" t="str">
        <f aca="false">IF(A268="N/A"," ",VLOOKUP(A268,SatSunPeakPwr,(IF(BMO2=2,3,IF(BMO2=1,2,4))),FALSE()))</f>
        <v> </v>
      </c>
      <c r="P268" s="401" t="str">
        <f aca="false">IF(A268="N/A"," ",VLOOKUP(A268,SatSunPeakPwr,(IF(BMO2=2,7,IF(BMO2=1,6,8))),FALSE()))</f>
        <v> </v>
      </c>
      <c r="Q268" s="402" t="str">
        <f aca="false">IF(A268="N/A"," ",(VLOOKUP(A268,OPPowerPrices,(IF(BMO2=2,7,IF(BMO2=1,6,8))),FALSE())))</f>
        <v> </v>
      </c>
      <c r="R268" s="403" t="str">
        <f aca="false">IF(A268="N/A"," ",(VLOOKUP($A268,IRTable,2)))</f>
        <v> </v>
      </c>
      <c r="AF268" s="352" t="n">
        <f aca="false">EOMONTH(AF267,0)+1</f>
        <v>44593</v>
      </c>
      <c r="AG268" s="311" t="n">
        <v>20</v>
      </c>
      <c r="AH268" s="311" t="n">
        <v>4</v>
      </c>
      <c r="AI268" s="311" t="n">
        <v>4</v>
      </c>
      <c r="AJ268" s="311" t="n">
        <v>0</v>
      </c>
      <c r="AK268" s="311" t="n">
        <v>28</v>
      </c>
      <c r="AU268" s="406"/>
    </row>
    <row r="269" customFormat="false" ht="12.75" hidden="false" customHeight="false" outlineLevel="0" collapsed="false">
      <c r="A269" s="352" t="str">
        <f aca="false">Option2!A236</f>
        <v>N/A</v>
      </c>
      <c r="B269" s="396" t="str">
        <f aca="false">IF(A269="N/A"," ",IF(ISERROR(N269),B257*Pwresc,N269)*VLOOKUP(MONTH(A269),Curveadj,3))</f>
        <v> </v>
      </c>
      <c r="C269" s="397" t="str">
        <f aca="false">IF(A269="N/A"," ",(IF(AND(Scaler2=1,MONTH(A269)&gt;=6,MONTH(A269)&lt;=8,OR($M$37="REGION 2",$M$37="REGION 2A",$M$37="REGION 2B",$M$37="REGION 3",$M$37="REGION 3A",$M$37="REGION 3B",$M$37="REGION 3C",$M$37="REGION 4",$M$37="REGION 4B",$M$37="REGION 4C",$M$37="REGION 5",$M$37="REGION 5A")),((0.059228/(B269/100))-(0.4980013/(SQRT(B269/100)))+2.137988),HLOOKUP(MONTH(A269),ScalarTable,28))))</f>
        <v> </v>
      </c>
      <c r="D269" s="398" t="str">
        <f aca="false">IF(A269="N/A"," ",C269*B269)</f>
        <v> </v>
      </c>
      <c r="E269" s="396" t="str">
        <f aca="false">IF(A269="N/A"," ",IF(ISERROR(O269),E257*Pwresc,O269)*VLOOKUP(MONTH(A269),Curveadj,3))</f>
        <v> </v>
      </c>
      <c r="F269" s="398" t="str">
        <f aca="false">IF(A269="N/A"," ",E269*C269)</f>
        <v> </v>
      </c>
      <c r="G269" s="396" t="str">
        <f aca="false">IF(A269="N/A"," ",IF(ISERROR(P269),G257*Pwresc,P269)*VLOOKUP(MONTH(A269),Curveadj,3))</f>
        <v> </v>
      </c>
      <c r="H269" s="398" t="str">
        <f aca="false">IF(A269="N/A"," ",G269*C269)</f>
        <v> </v>
      </c>
      <c r="I269" s="398" t="str">
        <f aca="false">IF(A269="N/A"," ",IF(ISERROR(Q269),I257*Pwresc,Q269))</f>
        <v> </v>
      </c>
      <c r="J269" s="398"/>
      <c r="K269" s="399"/>
      <c r="L269" s="399"/>
      <c r="M269" s="404"/>
      <c r="N269" s="401" t="str">
        <f aca="false">IF(A269="N/A"," ",VLOOKUP(A269,PeakPowerCurves,(IF(BMO2=2,3,IF(BMO2=1,2,4))),FALSE()))</f>
        <v> </v>
      </c>
      <c r="O269" s="401" t="str">
        <f aca="false">IF(A269="N/A"," ",VLOOKUP(A269,SatSunPeakPwr,(IF(BMO2=2,3,IF(BMO2=1,2,4))),FALSE()))</f>
        <v> </v>
      </c>
      <c r="P269" s="401" t="str">
        <f aca="false">IF(A269="N/A"," ",VLOOKUP(A269,SatSunPeakPwr,(IF(BMO2=2,7,IF(BMO2=1,6,8))),FALSE()))</f>
        <v> </v>
      </c>
      <c r="Q269" s="402" t="str">
        <f aca="false">IF(A269="N/A"," ",(VLOOKUP(A269,OPPowerPrices,(IF(BMO2=2,7,IF(BMO2=1,6,8))),FALSE())))</f>
        <v> </v>
      </c>
      <c r="R269" s="403" t="str">
        <f aca="false">IF(A269="N/A"," ",(VLOOKUP($A269,IRTable,2)))</f>
        <v> </v>
      </c>
      <c r="AF269" s="352" t="n">
        <f aca="false">EOMONTH(AF268,0)+1</f>
        <v>44621</v>
      </c>
      <c r="AG269" s="311" t="n">
        <v>21</v>
      </c>
      <c r="AH269" s="311" t="n">
        <v>5</v>
      </c>
      <c r="AI269" s="311" t="n">
        <v>5</v>
      </c>
      <c r="AJ269" s="311" t="n">
        <v>0</v>
      </c>
      <c r="AK269" s="311" t="n">
        <v>31</v>
      </c>
      <c r="AU269" s="406"/>
    </row>
    <row r="270" customFormat="false" ht="12.75" hidden="false" customHeight="false" outlineLevel="0" collapsed="false">
      <c r="A270" s="352" t="str">
        <f aca="false">Option2!A237</f>
        <v>N/A</v>
      </c>
      <c r="B270" s="396" t="str">
        <f aca="false">IF(A270="N/A"," ",IF(ISERROR(N270),B258*Pwresc,N270)*VLOOKUP(MONTH(A270),Curveadj,3))</f>
        <v> </v>
      </c>
      <c r="C270" s="397" t="str">
        <f aca="false">IF(A270="N/A"," ",(IF(AND(Scaler2=1,MONTH(A270)&gt;=6,MONTH(A270)&lt;=8,OR($M$37="REGION 2",$M$37="REGION 2A",$M$37="REGION 2B",$M$37="REGION 3",$M$37="REGION 3A",$M$37="REGION 3B",$M$37="REGION 3C",$M$37="REGION 4",$M$37="REGION 4B",$M$37="REGION 4C",$M$37="REGION 5",$M$37="REGION 5A")),((0.059228/(B270/100))-(0.4980013/(SQRT(B270/100)))+2.137988),HLOOKUP(MONTH(A270),ScalarTable,28))))</f>
        <v> </v>
      </c>
      <c r="D270" s="398" t="str">
        <f aca="false">IF(A270="N/A"," ",C270*B270)</f>
        <v> </v>
      </c>
      <c r="E270" s="396" t="str">
        <f aca="false">IF(A270="N/A"," ",IF(ISERROR(O270),E258*Pwresc,O270)*VLOOKUP(MONTH(A270),Curveadj,3))</f>
        <v> </v>
      </c>
      <c r="F270" s="398" t="str">
        <f aca="false">IF(A270="N/A"," ",E270*C270)</f>
        <v> </v>
      </c>
      <c r="G270" s="396" t="str">
        <f aca="false">IF(A270="N/A"," ",IF(ISERROR(P270),G258*Pwresc,P270)*VLOOKUP(MONTH(A270),Curveadj,3))</f>
        <v> </v>
      </c>
      <c r="H270" s="398" t="str">
        <f aca="false">IF(A270="N/A"," ",G270*C270)</f>
        <v> </v>
      </c>
      <c r="I270" s="398" t="str">
        <f aca="false">IF(A270="N/A"," ",IF(ISERROR(Q270),I258*Pwresc,Q270))</f>
        <v> </v>
      </c>
      <c r="J270" s="398"/>
      <c r="K270" s="399"/>
      <c r="L270" s="399"/>
      <c r="M270" s="404"/>
      <c r="N270" s="401" t="str">
        <f aca="false">IF(A270="N/A"," ",VLOOKUP(A270,PeakPowerCurves,(IF(BMO2=2,3,IF(BMO2=1,2,4))),FALSE()))</f>
        <v> </v>
      </c>
      <c r="O270" s="401" t="str">
        <f aca="false">IF(A270="N/A"," ",VLOOKUP(A270,SatSunPeakPwr,(IF(BMO2=2,3,IF(BMO2=1,2,4))),FALSE()))</f>
        <v> </v>
      </c>
      <c r="P270" s="401" t="str">
        <f aca="false">IF(A270="N/A"," ",VLOOKUP(A270,SatSunPeakPwr,(IF(BMO2=2,7,IF(BMO2=1,6,8))),FALSE()))</f>
        <v> </v>
      </c>
      <c r="Q270" s="402" t="str">
        <f aca="false">IF(A270="N/A"," ",(VLOOKUP(A270,OPPowerPrices,(IF(BMO2=2,7,IF(BMO2=1,6,8))),FALSE())))</f>
        <v> </v>
      </c>
      <c r="R270" s="403" t="str">
        <f aca="false">IF(A270="N/A"," ",(VLOOKUP($A270,IRTable,2)))</f>
        <v> </v>
      </c>
      <c r="AF270" s="352" t="n">
        <f aca="false">EOMONTH(AF269,0)+1</f>
        <v>44652</v>
      </c>
      <c r="AG270" s="311" t="n">
        <v>22</v>
      </c>
      <c r="AH270" s="311" t="n">
        <v>4</v>
      </c>
      <c r="AI270" s="311" t="n">
        <v>4</v>
      </c>
      <c r="AJ270" s="311" t="n">
        <v>0</v>
      </c>
      <c r="AK270" s="311" t="n">
        <v>30</v>
      </c>
      <c r="AU270" s="406"/>
    </row>
    <row r="271" customFormat="false" ht="12.75" hidden="false" customHeight="false" outlineLevel="0" collapsed="false">
      <c r="A271" s="352" t="str">
        <f aca="false">Option2!A238</f>
        <v>N/A</v>
      </c>
      <c r="B271" s="396" t="str">
        <f aca="false">IF(A271="N/A"," ",IF(ISERROR(N271),B259*Pwresc,N271)*VLOOKUP(MONTH(A271),Curveadj,3))</f>
        <v> </v>
      </c>
      <c r="C271" s="397" t="str">
        <f aca="false">IF(A271="N/A"," ",(IF(AND(Scaler2=1,MONTH(A271)&gt;=6,MONTH(A271)&lt;=8,OR($M$37="REGION 2",$M$37="REGION 2A",$M$37="REGION 2B",$M$37="REGION 3",$M$37="REGION 3A",$M$37="REGION 3B",$M$37="REGION 3C",$M$37="REGION 4",$M$37="REGION 4B",$M$37="REGION 4C",$M$37="REGION 5",$M$37="REGION 5A")),((0.059228/(B271/100))-(0.4980013/(SQRT(B271/100)))+2.137988),HLOOKUP(MONTH(A271),ScalarTable,28))))</f>
        <v> </v>
      </c>
      <c r="D271" s="398" t="str">
        <f aca="false">IF(A271="N/A"," ",C271*B271)</f>
        <v> </v>
      </c>
      <c r="E271" s="396" t="str">
        <f aca="false">IF(A271="N/A"," ",IF(ISERROR(O271),E259*Pwresc,O271)*VLOOKUP(MONTH(A271),Curveadj,3))</f>
        <v> </v>
      </c>
      <c r="F271" s="398" t="str">
        <f aca="false">IF(A271="N/A"," ",E271*C271)</f>
        <v> </v>
      </c>
      <c r="G271" s="396" t="str">
        <f aca="false">IF(A271="N/A"," ",IF(ISERROR(P271),G259*Pwresc,P271)*VLOOKUP(MONTH(A271),Curveadj,3))</f>
        <v> </v>
      </c>
      <c r="H271" s="398" t="str">
        <f aca="false">IF(A271="N/A"," ",G271*C271)</f>
        <v> </v>
      </c>
      <c r="I271" s="398" t="str">
        <f aca="false">IF(A271="N/A"," ",IF(ISERROR(Q271),I259*Pwresc,Q271))</f>
        <v> </v>
      </c>
      <c r="J271" s="398"/>
      <c r="K271" s="399"/>
      <c r="L271" s="399"/>
      <c r="M271" s="404"/>
      <c r="N271" s="401" t="str">
        <f aca="false">IF(A271="N/A"," ",VLOOKUP(A271,PeakPowerCurves,(IF(BMO2=2,3,IF(BMO2=1,2,4))),FALSE()))</f>
        <v> </v>
      </c>
      <c r="O271" s="401" t="str">
        <f aca="false">IF(A271="N/A"," ",VLOOKUP(A271,SatSunPeakPwr,(IF(BMO2=2,3,IF(BMO2=1,2,4))),FALSE()))</f>
        <v> </v>
      </c>
      <c r="P271" s="401" t="str">
        <f aca="false">IF(A271="N/A"," ",VLOOKUP(A271,SatSunPeakPwr,(IF(BMO2=2,7,IF(BMO2=1,6,8))),FALSE()))</f>
        <v> </v>
      </c>
      <c r="Q271" s="402" t="str">
        <f aca="false">IF(A271="N/A"," ",(VLOOKUP(A271,OPPowerPrices,(IF(BMO2=2,7,IF(BMO2=1,6,8))),FALSE())))</f>
        <v> </v>
      </c>
      <c r="R271" s="403" t="str">
        <f aca="false">IF(A271="N/A"," ",(VLOOKUP($A271,IRTable,2)))</f>
        <v> </v>
      </c>
      <c r="AF271" s="352" t="n">
        <f aca="false">EOMONTH(AF270,0)+1</f>
        <v>44682</v>
      </c>
      <c r="AG271" s="311" t="n">
        <v>22</v>
      </c>
      <c r="AH271" s="311" t="n">
        <v>4</v>
      </c>
      <c r="AI271" s="311" t="n">
        <v>5</v>
      </c>
      <c r="AJ271" s="311" t="n">
        <v>1</v>
      </c>
      <c r="AK271" s="311" t="n">
        <v>31</v>
      </c>
      <c r="AU271" s="406"/>
    </row>
    <row r="272" customFormat="false" ht="12.75" hidden="false" customHeight="false" outlineLevel="0" collapsed="false">
      <c r="A272" s="352" t="str">
        <f aca="false">Option2!A239</f>
        <v>N/A</v>
      </c>
      <c r="B272" s="396" t="str">
        <f aca="false">IF(A272="N/A"," ",IF(ISERROR(N272),B260*Pwresc,N272)*VLOOKUP(MONTH(A272),Curveadj,3))</f>
        <v> </v>
      </c>
      <c r="C272" s="397" t="str">
        <f aca="false">IF(A272="N/A"," ",(IF(AND(Scaler2=1,MONTH(A272)&gt;=6,MONTH(A272)&lt;=8,OR($M$37="REGION 2",$M$37="REGION 2A",$M$37="REGION 2B",$M$37="REGION 3",$M$37="REGION 3A",$M$37="REGION 3B",$M$37="REGION 3C",$M$37="REGION 4",$M$37="REGION 4B",$M$37="REGION 4C",$M$37="REGION 5",$M$37="REGION 5A")),((0.059228/(B272/100))-(0.4980013/(SQRT(B272/100)))+2.137988),HLOOKUP(MONTH(A272),ScalarTable,28))))</f>
        <v> </v>
      </c>
      <c r="D272" s="398" t="str">
        <f aca="false">IF(A272="N/A"," ",C272*B272)</f>
        <v> </v>
      </c>
      <c r="E272" s="396" t="str">
        <f aca="false">IF(A272="N/A"," ",IF(ISERROR(O272),E260*Pwresc,O272)*VLOOKUP(MONTH(A272),Curveadj,3))</f>
        <v> </v>
      </c>
      <c r="F272" s="398" t="str">
        <f aca="false">IF(A272="N/A"," ",E272*C272)</f>
        <v> </v>
      </c>
      <c r="G272" s="396" t="str">
        <f aca="false">IF(A272="N/A"," ",IF(ISERROR(P272),G260*Pwresc,P272)*VLOOKUP(MONTH(A272),Curveadj,3))</f>
        <v> </v>
      </c>
      <c r="H272" s="398" t="str">
        <f aca="false">IF(A272="N/A"," ",G272*C272)</f>
        <v> </v>
      </c>
      <c r="I272" s="398" t="str">
        <f aca="false">IF(A272="N/A"," ",IF(ISERROR(Q272),I260*Pwresc,Q272))</f>
        <v> </v>
      </c>
      <c r="J272" s="398"/>
      <c r="K272" s="399"/>
      <c r="L272" s="399"/>
      <c r="M272" s="404"/>
      <c r="N272" s="401" t="str">
        <f aca="false">IF(A272="N/A"," ",VLOOKUP(A272,PeakPowerCurves,(IF(BMO2=2,3,IF(BMO2=1,2,4))),FALSE()))</f>
        <v> </v>
      </c>
      <c r="O272" s="401" t="str">
        <f aca="false">IF(A272="N/A"," ",VLOOKUP(A272,SatSunPeakPwr,(IF(BMO2=2,3,IF(BMO2=1,2,4))),FALSE()))</f>
        <v> </v>
      </c>
      <c r="P272" s="401" t="str">
        <f aca="false">IF(A272="N/A"," ",VLOOKUP(A272,SatSunPeakPwr,(IF(BMO2=2,7,IF(BMO2=1,6,8))),FALSE()))</f>
        <v> </v>
      </c>
      <c r="Q272" s="402" t="str">
        <f aca="false">IF(A272="N/A"," ",(VLOOKUP(A272,OPPowerPrices,(IF(BMO2=2,7,IF(BMO2=1,6,8))),FALSE())))</f>
        <v> </v>
      </c>
      <c r="R272" s="403" t="str">
        <f aca="false">IF(A272="N/A"," ",(VLOOKUP($A272,IRTable,2)))</f>
        <v> </v>
      </c>
      <c r="AF272" s="352" t="n">
        <f aca="false">EOMONTH(AF271,0)+1</f>
        <v>44713</v>
      </c>
      <c r="AG272" s="311" t="n">
        <v>20</v>
      </c>
      <c r="AH272" s="311" t="n">
        <v>5</v>
      </c>
      <c r="AI272" s="311" t="n">
        <v>5</v>
      </c>
      <c r="AJ272" s="311" t="n">
        <v>0</v>
      </c>
      <c r="AK272" s="311" t="n">
        <v>30</v>
      </c>
      <c r="AU272" s="406"/>
    </row>
    <row r="273" customFormat="false" ht="12.75" hidden="false" customHeight="false" outlineLevel="0" collapsed="false">
      <c r="A273" s="352" t="str">
        <f aca="false">Option2!A240</f>
        <v>N/A</v>
      </c>
      <c r="B273" s="396" t="str">
        <f aca="false">IF(A273="N/A"," ",IF(ISERROR(N273),B261*Pwresc,N273)*VLOOKUP(MONTH(A273),Curveadj,3))</f>
        <v> </v>
      </c>
      <c r="C273" s="397" t="str">
        <f aca="false">IF(A273="N/A"," ",(IF(AND(Scaler2=1,MONTH(A273)&gt;=6,MONTH(A273)&lt;=8,OR($M$37="REGION 2",$M$37="REGION 2A",$M$37="REGION 2B",$M$37="REGION 3",$M$37="REGION 3A",$M$37="REGION 3B",$M$37="REGION 3C",$M$37="REGION 4",$M$37="REGION 4B",$M$37="REGION 4C",$M$37="REGION 5",$M$37="REGION 5A")),((0.059228/(B273/100))-(0.4980013/(SQRT(B273/100)))+2.137988),HLOOKUP(MONTH(A273),ScalarTable,28))))</f>
        <v> </v>
      </c>
      <c r="D273" s="398" t="str">
        <f aca="false">IF(A273="N/A"," ",C273*B273)</f>
        <v> </v>
      </c>
      <c r="E273" s="396" t="str">
        <f aca="false">IF(A273="N/A"," ",IF(ISERROR(O273),E261*Pwresc,O273)*VLOOKUP(MONTH(A273),Curveadj,3))</f>
        <v> </v>
      </c>
      <c r="F273" s="398" t="str">
        <f aca="false">IF(A273="N/A"," ",E273*C273)</f>
        <v> </v>
      </c>
      <c r="G273" s="396" t="str">
        <f aca="false">IF(A273="N/A"," ",IF(ISERROR(P273),G261*Pwresc,P273)*VLOOKUP(MONTH(A273),Curveadj,3))</f>
        <v> </v>
      </c>
      <c r="H273" s="398" t="str">
        <f aca="false">IF(A273="N/A"," ",G273*C273)</f>
        <v> </v>
      </c>
      <c r="I273" s="398" t="str">
        <f aca="false">IF(A273="N/A"," ",IF(ISERROR(Q273),I261*Pwresc,Q273))</f>
        <v> </v>
      </c>
      <c r="J273" s="398"/>
      <c r="K273" s="399"/>
      <c r="L273" s="399"/>
      <c r="M273" s="404"/>
      <c r="N273" s="401" t="str">
        <f aca="false">IF(A273="N/A"," ",VLOOKUP(A273,PeakPowerCurves,(IF(BMO2=2,3,IF(BMO2=1,2,4))),FALSE()))</f>
        <v> </v>
      </c>
      <c r="O273" s="401" t="str">
        <f aca="false">IF(A273="N/A"," ",VLOOKUP(A273,SatSunPeakPwr,(IF(BMO2=2,3,IF(BMO2=1,2,4))),FALSE()))</f>
        <v> </v>
      </c>
      <c r="P273" s="401" t="str">
        <f aca="false">IF(A273="N/A"," ",VLOOKUP(A273,SatSunPeakPwr,(IF(BMO2=2,7,IF(BMO2=1,6,8))),FALSE()))</f>
        <v> </v>
      </c>
      <c r="Q273" s="402" t="str">
        <f aca="false">IF(A273="N/A"," ",(VLOOKUP(A273,OPPowerPrices,(IF(BMO2=2,7,IF(BMO2=1,6,8))),FALSE())))</f>
        <v> </v>
      </c>
      <c r="R273" s="403" t="str">
        <f aca="false">IF(A273="N/A"," ",(VLOOKUP($A273,IRTable,2)))</f>
        <v> </v>
      </c>
      <c r="AF273" s="352" t="n">
        <f aca="false">EOMONTH(AF272,0)+1</f>
        <v>44743</v>
      </c>
      <c r="AG273" s="311" t="n">
        <v>22</v>
      </c>
      <c r="AH273" s="311" t="n">
        <v>4</v>
      </c>
      <c r="AI273" s="311" t="n">
        <v>5</v>
      </c>
      <c r="AJ273" s="311" t="n">
        <v>1</v>
      </c>
      <c r="AK273" s="311" t="n">
        <v>31</v>
      </c>
      <c r="AU273" s="406"/>
    </row>
    <row r="274" customFormat="false" ht="12.75" hidden="false" customHeight="false" outlineLevel="0" collapsed="false">
      <c r="A274" s="352" t="str">
        <f aca="false">Option2!A241</f>
        <v>N/A</v>
      </c>
      <c r="B274" s="396" t="str">
        <f aca="false">IF(A274="N/A"," ",IF(ISERROR(N274),B262*Pwresc,N274)*VLOOKUP(MONTH(A274),Curveadj,3))</f>
        <v> </v>
      </c>
      <c r="C274" s="397" t="str">
        <f aca="false">IF(A274="N/A"," ",(IF(AND(Scaler2=1,MONTH(A274)&gt;=6,MONTH(A274)&lt;=8,OR($M$37="REGION 2",$M$37="REGION 2A",$M$37="REGION 2B",$M$37="REGION 3",$M$37="REGION 3A",$M$37="REGION 3B",$M$37="REGION 3C",$M$37="REGION 4",$M$37="REGION 4B",$M$37="REGION 4C",$M$37="REGION 5",$M$37="REGION 5A")),((0.059228/(B274/100))-(0.4980013/(SQRT(B274/100)))+2.137988),HLOOKUP(MONTH(A274),ScalarTable,28))))</f>
        <v> </v>
      </c>
      <c r="D274" s="398" t="str">
        <f aca="false">IF(A274="N/A"," ",C274*B274)</f>
        <v> </v>
      </c>
      <c r="E274" s="396" t="str">
        <f aca="false">IF(A274="N/A"," ",IF(ISERROR(O274),E262*Pwresc,O274)*VLOOKUP(MONTH(A274),Curveadj,3))</f>
        <v> </v>
      </c>
      <c r="F274" s="398" t="str">
        <f aca="false">IF(A274="N/A"," ",E274*C274)</f>
        <v> </v>
      </c>
      <c r="G274" s="396" t="str">
        <f aca="false">IF(A274="N/A"," ",IF(ISERROR(P274),G262*Pwresc,P274)*VLOOKUP(MONTH(A274),Curveadj,3))</f>
        <v> </v>
      </c>
      <c r="H274" s="398" t="str">
        <f aca="false">IF(A274="N/A"," ",G274*C274)</f>
        <v> </v>
      </c>
      <c r="I274" s="398" t="str">
        <f aca="false">IF(A274="N/A"," ",IF(ISERROR(Q274),I262*Pwresc,Q274))</f>
        <v> </v>
      </c>
      <c r="J274" s="398"/>
      <c r="K274" s="399"/>
      <c r="L274" s="399"/>
      <c r="M274" s="404"/>
      <c r="N274" s="401" t="str">
        <f aca="false">IF(A274="N/A"," ",VLOOKUP(A274,PeakPowerCurves,(IF(BMO2=2,3,IF(BMO2=1,2,4))),FALSE()))</f>
        <v> </v>
      </c>
      <c r="O274" s="401" t="str">
        <f aca="false">IF(A274="N/A"," ",VLOOKUP(A274,SatSunPeakPwr,(IF(BMO2=2,3,IF(BMO2=1,2,4))),FALSE()))</f>
        <v> </v>
      </c>
      <c r="P274" s="401" t="str">
        <f aca="false">IF(A274="N/A"," ",VLOOKUP(A274,SatSunPeakPwr,(IF(BMO2=2,7,IF(BMO2=1,6,8))),FALSE()))</f>
        <v> </v>
      </c>
      <c r="Q274" s="402" t="str">
        <f aca="false">IF(A274="N/A"," ",(VLOOKUP(A274,OPPowerPrices,(IF(BMO2=2,7,IF(BMO2=1,6,8))),FALSE())))</f>
        <v> </v>
      </c>
      <c r="R274" s="403" t="str">
        <f aca="false">IF(A274="N/A"," ",(VLOOKUP($A274,IRTable,2)))</f>
        <v> </v>
      </c>
      <c r="AF274" s="352" t="n">
        <f aca="false">EOMONTH(AF273,0)+1</f>
        <v>44774</v>
      </c>
      <c r="AG274" s="311" t="n">
        <v>22</v>
      </c>
      <c r="AH274" s="311" t="n">
        <v>5</v>
      </c>
      <c r="AI274" s="311" t="n">
        <v>4</v>
      </c>
      <c r="AJ274" s="311" t="n">
        <v>0</v>
      </c>
      <c r="AK274" s="311" t="n">
        <v>31</v>
      </c>
      <c r="AU274" s="406"/>
    </row>
    <row r="275" customFormat="false" ht="12.75" hidden="false" customHeight="false" outlineLevel="0" collapsed="false">
      <c r="A275" s="352" t="str">
        <f aca="false">Option2!A242</f>
        <v>N/A</v>
      </c>
      <c r="B275" s="396" t="str">
        <f aca="false">IF(A275="N/A"," ",IF(ISERROR(N275),B263*Pwresc,N275)*VLOOKUP(MONTH(A275),Curveadj,3))</f>
        <v> </v>
      </c>
      <c r="C275" s="397" t="str">
        <f aca="false">IF(A275="N/A"," ",(IF(AND(Scaler2=1,MONTH(A275)&gt;=6,MONTH(A275)&lt;=8,OR($M$37="REGION 2",$M$37="REGION 2A",$M$37="REGION 2B",$M$37="REGION 3",$M$37="REGION 3A",$M$37="REGION 3B",$M$37="REGION 3C",$M$37="REGION 4",$M$37="REGION 4B",$M$37="REGION 4C",$M$37="REGION 5",$M$37="REGION 5A")),((0.059228/(B275/100))-(0.4980013/(SQRT(B275/100)))+2.137988),HLOOKUP(MONTH(A275),ScalarTable,28))))</f>
        <v> </v>
      </c>
      <c r="D275" s="398" t="str">
        <f aca="false">IF(A275="N/A"," ",C275*B275)</f>
        <v> </v>
      </c>
      <c r="E275" s="396" t="str">
        <f aca="false">IF(A275="N/A"," ",IF(ISERROR(O275),E263*Pwresc,O275)*VLOOKUP(MONTH(A275),Curveadj,3))</f>
        <v> </v>
      </c>
      <c r="F275" s="398" t="str">
        <f aca="false">IF(A275="N/A"," ",E275*C275)</f>
        <v> </v>
      </c>
      <c r="G275" s="396" t="str">
        <f aca="false">IF(A275="N/A"," ",IF(ISERROR(P275),G263*Pwresc,P275)*VLOOKUP(MONTH(A275),Curveadj,3))</f>
        <v> </v>
      </c>
      <c r="H275" s="398" t="str">
        <f aca="false">IF(A275="N/A"," ",G275*C275)</f>
        <v> </v>
      </c>
      <c r="I275" s="398" t="str">
        <f aca="false">IF(A275="N/A"," ",IF(ISERROR(Q275),I263*Pwresc,Q275))</f>
        <v> </v>
      </c>
      <c r="J275" s="398"/>
      <c r="K275" s="399"/>
      <c r="L275" s="399"/>
      <c r="M275" s="404"/>
      <c r="N275" s="401" t="str">
        <f aca="false">IF(A275="N/A"," ",VLOOKUP(A275,PeakPowerCurves,(IF(BMO2=2,3,IF(BMO2=1,2,4))),FALSE()))</f>
        <v> </v>
      </c>
      <c r="O275" s="401" t="str">
        <f aca="false">IF(A275="N/A"," ",VLOOKUP(A275,SatSunPeakPwr,(IF(BMO2=2,3,IF(BMO2=1,2,4))),FALSE()))</f>
        <v> </v>
      </c>
      <c r="P275" s="401" t="str">
        <f aca="false">IF(A275="N/A"," ",VLOOKUP(A275,SatSunPeakPwr,(IF(BMO2=2,7,IF(BMO2=1,6,8))),FALSE()))</f>
        <v> </v>
      </c>
      <c r="Q275" s="402" t="str">
        <f aca="false">IF(A275="N/A"," ",(VLOOKUP(A275,OPPowerPrices,(IF(BMO2=2,7,IF(BMO2=1,6,8))),FALSE())))</f>
        <v> </v>
      </c>
      <c r="R275" s="403" t="str">
        <f aca="false">IF(A275="N/A"," ",(VLOOKUP($A275,IRTable,2)))</f>
        <v> </v>
      </c>
      <c r="AF275" s="352" t="n">
        <f aca="false">EOMONTH(AF274,0)+1</f>
        <v>44805</v>
      </c>
      <c r="AG275" s="311" t="n">
        <v>20</v>
      </c>
      <c r="AH275" s="311" t="n">
        <v>4</v>
      </c>
      <c r="AI275" s="311" t="n">
        <v>6</v>
      </c>
      <c r="AJ275" s="311" t="n">
        <v>1</v>
      </c>
      <c r="AK275" s="311" t="n">
        <v>30</v>
      </c>
      <c r="AU275" s="406"/>
    </row>
    <row r="276" customFormat="false" ht="12.75" hidden="false" customHeight="false" outlineLevel="0" collapsed="false">
      <c r="A276" s="352" t="str">
        <f aca="false">Option2!A243</f>
        <v>N/A</v>
      </c>
      <c r="B276" s="396" t="str">
        <f aca="false">IF(A276="N/A"," ",IF(ISERROR(N276),B264*Pwresc,N276)*VLOOKUP(MONTH(A276),Curveadj,3))</f>
        <v> </v>
      </c>
      <c r="C276" s="397" t="str">
        <f aca="false">IF(A276="N/A"," ",(IF(AND(Scaler2=1,MONTH(A276)&gt;=6,MONTH(A276)&lt;=8,OR($M$37="REGION 2",$M$37="REGION 2A",$M$37="REGION 2B",$M$37="REGION 3",$M$37="REGION 3A",$M$37="REGION 3B",$M$37="REGION 3C",$M$37="REGION 4",$M$37="REGION 4B",$M$37="REGION 4C",$M$37="REGION 5",$M$37="REGION 5A")),((0.059228/(B276/100))-(0.4980013/(SQRT(B276/100)))+2.137988),HLOOKUP(MONTH(A276),ScalarTable,28))))</f>
        <v> </v>
      </c>
      <c r="D276" s="398" t="str">
        <f aca="false">IF(A276="N/A"," ",C276*B276)</f>
        <v> </v>
      </c>
      <c r="E276" s="396" t="str">
        <f aca="false">IF(A276="N/A"," ",IF(ISERROR(O276),E264*Pwresc,O276)*VLOOKUP(MONTH(A276),Curveadj,3))</f>
        <v> </v>
      </c>
      <c r="F276" s="398" t="str">
        <f aca="false">IF(A276="N/A"," ",E276*C276)</f>
        <v> </v>
      </c>
      <c r="G276" s="396" t="str">
        <f aca="false">IF(A276="N/A"," ",IF(ISERROR(P276),G264*Pwresc,P276)*VLOOKUP(MONTH(A276),Curveadj,3))</f>
        <v> </v>
      </c>
      <c r="H276" s="398" t="str">
        <f aca="false">IF(A276="N/A"," ",G276*C276)</f>
        <v> </v>
      </c>
      <c r="I276" s="398" t="str">
        <f aca="false">IF(A276="N/A"," ",IF(ISERROR(Q276),I264*Pwresc,Q276))</f>
        <v> </v>
      </c>
      <c r="J276" s="398"/>
      <c r="K276" s="399"/>
      <c r="L276" s="399"/>
      <c r="M276" s="404"/>
      <c r="N276" s="401" t="str">
        <f aca="false">IF(A276="N/A"," ",VLOOKUP(A276,PeakPowerCurves,(IF(BMO2=2,3,IF(BMO2=1,2,4))),FALSE()))</f>
        <v> </v>
      </c>
      <c r="O276" s="401" t="str">
        <f aca="false">IF(A276="N/A"," ",VLOOKUP(A276,SatSunPeakPwr,(IF(BMO2=2,3,IF(BMO2=1,2,4))),FALSE()))</f>
        <v> </v>
      </c>
      <c r="P276" s="401" t="str">
        <f aca="false">IF(A276="N/A"," ",VLOOKUP(A276,SatSunPeakPwr,(IF(BMO2=2,7,IF(BMO2=1,6,8))),FALSE()))</f>
        <v> </v>
      </c>
      <c r="Q276" s="402" t="str">
        <f aca="false">IF(A276="N/A"," ",(VLOOKUP(A276,OPPowerPrices,(IF(BMO2=2,7,IF(BMO2=1,6,8))),FALSE())))</f>
        <v> </v>
      </c>
      <c r="R276" s="403" t="str">
        <f aca="false">IF(A276="N/A"," ",(VLOOKUP($A276,IRTable,2)))</f>
        <v> </v>
      </c>
      <c r="AF276" s="352" t="n">
        <f aca="false">EOMONTH(AF275,0)+1</f>
        <v>44835</v>
      </c>
      <c r="AG276" s="311" t="n">
        <v>23</v>
      </c>
      <c r="AH276" s="311" t="n">
        <v>4</v>
      </c>
      <c r="AI276" s="311" t="n">
        <v>4</v>
      </c>
      <c r="AJ276" s="311" t="n">
        <v>0</v>
      </c>
      <c r="AK276" s="311" t="n">
        <v>31</v>
      </c>
      <c r="AU276" s="406"/>
    </row>
    <row r="277" customFormat="false" ht="12.75" hidden="false" customHeight="false" outlineLevel="0" collapsed="false">
      <c r="A277" s="352" t="str">
        <f aca="false">Option2!A244</f>
        <v>N/A</v>
      </c>
      <c r="B277" s="396" t="str">
        <f aca="false">IF(A277="N/A"," ",IF(ISERROR(N277),B265*Pwresc,N277)*VLOOKUP(MONTH(A277),Curveadj,3))</f>
        <v> </v>
      </c>
      <c r="C277" s="397" t="str">
        <f aca="false">IF(A277="N/A"," ",(IF(AND(Scaler2=1,MONTH(A277)&gt;=6,MONTH(A277)&lt;=8,OR($M$37="REGION 2",$M$37="REGION 2A",$M$37="REGION 2B",$M$37="REGION 3",$M$37="REGION 3A",$M$37="REGION 3B",$M$37="REGION 3C",$M$37="REGION 4",$M$37="REGION 4B",$M$37="REGION 4C",$M$37="REGION 5",$M$37="REGION 5A")),((0.059228/(B277/100))-(0.4980013/(SQRT(B277/100)))+2.137988),HLOOKUP(MONTH(A277),ScalarTable,28))))</f>
        <v> </v>
      </c>
      <c r="D277" s="398" t="str">
        <f aca="false">IF(A277="N/A"," ",C277*B277)</f>
        <v> </v>
      </c>
      <c r="E277" s="396" t="str">
        <f aca="false">IF(A277="N/A"," ",IF(ISERROR(O277),E265*Pwresc,O277)*VLOOKUP(MONTH(A277),Curveadj,3))</f>
        <v> </v>
      </c>
      <c r="F277" s="398" t="str">
        <f aca="false">IF(A277="N/A"," ",E277*C277)</f>
        <v> </v>
      </c>
      <c r="G277" s="396" t="str">
        <f aca="false">IF(A277="N/A"," ",IF(ISERROR(P277),G265*Pwresc,P277)*VLOOKUP(MONTH(A277),Curveadj,3))</f>
        <v> </v>
      </c>
      <c r="H277" s="398" t="str">
        <f aca="false">IF(A277="N/A"," ",G277*C277)</f>
        <v> </v>
      </c>
      <c r="I277" s="398" t="str">
        <f aca="false">IF(A277="N/A"," ",IF(ISERROR(Q277),I265*Pwresc,Q277))</f>
        <v> </v>
      </c>
      <c r="J277" s="398"/>
      <c r="K277" s="399"/>
      <c r="L277" s="399"/>
      <c r="M277" s="404"/>
      <c r="N277" s="401" t="str">
        <f aca="false">IF(A277="N/A"," ",VLOOKUP(A277,PeakPowerCurves,(IF(BMO2=2,3,IF(BMO2=1,2,4))),FALSE()))</f>
        <v> </v>
      </c>
      <c r="O277" s="401" t="str">
        <f aca="false">IF(A277="N/A"," ",VLOOKUP(A277,SatSunPeakPwr,(IF(BMO2=2,3,IF(BMO2=1,2,4))),FALSE()))</f>
        <v> </v>
      </c>
      <c r="P277" s="401" t="str">
        <f aca="false">IF(A277="N/A"," ",VLOOKUP(A277,SatSunPeakPwr,(IF(BMO2=2,7,IF(BMO2=1,6,8))),FALSE()))</f>
        <v> </v>
      </c>
      <c r="Q277" s="402" t="str">
        <f aca="false">IF(A277="N/A"," ",(VLOOKUP(A277,OPPowerPrices,(IF(BMO2=2,7,IF(BMO2=1,6,8))),FALSE())))</f>
        <v> </v>
      </c>
      <c r="R277" s="403" t="str">
        <f aca="false">IF(A277="N/A"," ",(VLOOKUP($A277,IRTable,2)))</f>
        <v> </v>
      </c>
      <c r="AF277" s="352" t="n">
        <f aca="false">EOMONTH(AF276,0)+1</f>
        <v>44866</v>
      </c>
      <c r="AG277" s="311" t="n">
        <v>20</v>
      </c>
      <c r="AH277" s="311" t="n">
        <v>5</v>
      </c>
      <c r="AI277" s="311" t="n">
        <v>5</v>
      </c>
      <c r="AJ277" s="311" t="n">
        <v>1</v>
      </c>
      <c r="AK277" s="311" t="n">
        <v>30</v>
      </c>
      <c r="AU277" s="406"/>
    </row>
    <row r="278" customFormat="false" ht="12.75" hidden="false" customHeight="false" outlineLevel="0" collapsed="false">
      <c r="A278" s="352" t="str">
        <f aca="false">Option2!A245</f>
        <v>N/A</v>
      </c>
      <c r="B278" s="396" t="str">
        <f aca="false">IF(A278="N/A"," ",IF(ISERROR(N278),B266*Pwresc,N278)*VLOOKUP(MONTH(A278),Curveadj,3))</f>
        <v> </v>
      </c>
      <c r="C278" s="397" t="str">
        <f aca="false">IF(A278="N/A"," ",(IF(AND(Scaler2=1,MONTH(A278)&gt;=6,MONTH(A278)&lt;=8,OR($M$37="REGION 2",$M$37="REGION 2A",$M$37="REGION 2B",$M$37="REGION 3",$M$37="REGION 3A",$M$37="REGION 3B",$M$37="REGION 3C",$M$37="REGION 4",$M$37="REGION 4B",$M$37="REGION 4C",$M$37="REGION 5",$M$37="REGION 5A")),((0.059228/(B278/100))-(0.4980013/(SQRT(B278/100)))+2.137988),HLOOKUP(MONTH(A278),ScalarTable,28))))</f>
        <v> </v>
      </c>
      <c r="D278" s="398" t="str">
        <f aca="false">IF(A278="N/A"," ",C278*B278)</f>
        <v> </v>
      </c>
      <c r="E278" s="396" t="str">
        <f aca="false">IF(A278="N/A"," ",IF(ISERROR(O278),E266*Pwresc,O278)*VLOOKUP(MONTH(A278),Curveadj,3))</f>
        <v> </v>
      </c>
      <c r="F278" s="398" t="str">
        <f aca="false">IF(A278="N/A"," ",E278*C278)</f>
        <v> </v>
      </c>
      <c r="G278" s="396" t="str">
        <f aca="false">IF(A278="N/A"," ",IF(ISERROR(P278),G266*Pwresc,P278)*VLOOKUP(MONTH(A278),Curveadj,3))</f>
        <v> </v>
      </c>
      <c r="H278" s="398" t="str">
        <f aca="false">IF(A278="N/A"," ",G278*C278)</f>
        <v> </v>
      </c>
      <c r="I278" s="398" t="str">
        <f aca="false">IF(A278="N/A"," ",IF(ISERROR(Q278),I266*Pwresc,Q278))</f>
        <v> </v>
      </c>
      <c r="J278" s="398"/>
      <c r="K278" s="399"/>
      <c r="L278" s="399"/>
      <c r="M278" s="404"/>
      <c r="N278" s="401" t="str">
        <f aca="false">IF(A278="N/A"," ",VLOOKUP(A278,PeakPowerCurves,(IF(BMO2=2,3,IF(BMO2=1,2,4))),FALSE()))</f>
        <v> </v>
      </c>
      <c r="O278" s="401" t="str">
        <f aca="false">IF(A278="N/A"," ",VLOOKUP(A278,SatSunPeakPwr,(IF(BMO2=2,3,IF(BMO2=1,2,4))),FALSE()))</f>
        <v> </v>
      </c>
      <c r="P278" s="401" t="str">
        <f aca="false">IF(A278="N/A"," ",VLOOKUP(A278,SatSunPeakPwr,(IF(BMO2=2,7,IF(BMO2=1,6,8))),FALSE()))</f>
        <v> </v>
      </c>
      <c r="Q278" s="402" t="str">
        <f aca="false">IF(A278="N/A"," ",(VLOOKUP(A278,OPPowerPrices,(IF(BMO2=2,7,IF(BMO2=1,6,8))),FALSE())))</f>
        <v> </v>
      </c>
      <c r="R278" s="403" t="str">
        <f aca="false">IF(A278="N/A"," ",(VLOOKUP($A278,IRTable,2)))</f>
        <v> </v>
      </c>
      <c r="AF278" s="352" t="n">
        <f aca="false">EOMONTH(AF277,0)+1</f>
        <v>44896</v>
      </c>
      <c r="AG278" s="311" t="n">
        <v>21</v>
      </c>
      <c r="AH278" s="311" t="n">
        <v>4</v>
      </c>
      <c r="AI278" s="311" t="n">
        <v>6</v>
      </c>
      <c r="AJ278" s="311" t="n">
        <v>1</v>
      </c>
      <c r="AK278" s="311" t="n">
        <v>31</v>
      </c>
      <c r="AU278" s="406"/>
    </row>
    <row r="279" customFormat="false" ht="12.75" hidden="false" customHeight="false" outlineLevel="0" collapsed="false">
      <c r="A279" s="352" t="str">
        <f aca="false">Option2!A246</f>
        <v>N/A</v>
      </c>
      <c r="B279" s="396" t="str">
        <f aca="false">IF(A279="N/A"," ",IF(ISERROR(N279),B267*Pwresc,N279)*VLOOKUP(MONTH(A279),Curveadj,3))</f>
        <v> </v>
      </c>
      <c r="C279" s="397" t="str">
        <f aca="false">IF(A279="N/A"," ",(IF(AND(Scaler2=1,MONTH(A279)&gt;=6,MONTH(A279)&lt;=8,OR($M$37="REGION 2",$M$37="REGION 2A",$M$37="REGION 2B",$M$37="REGION 3",$M$37="REGION 3A",$M$37="REGION 3B",$M$37="REGION 3C",$M$37="REGION 4",$M$37="REGION 4B",$M$37="REGION 4C",$M$37="REGION 5",$M$37="REGION 5A")),((0.059228/(B279/100))-(0.4980013/(SQRT(B279/100)))+2.137988),HLOOKUP(MONTH(A279),ScalarTable,28))))</f>
        <v> </v>
      </c>
      <c r="D279" s="398" t="str">
        <f aca="false">IF(A279="N/A"," ",C279*B279)</f>
        <v> </v>
      </c>
      <c r="E279" s="396" t="str">
        <f aca="false">IF(A279="N/A"," ",IF(ISERROR(O279),E267*Pwresc,O279)*VLOOKUP(MONTH(A279),Curveadj,3))</f>
        <v> </v>
      </c>
      <c r="F279" s="398" t="str">
        <f aca="false">IF(A279="N/A"," ",E279*C279)</f>
        <v> </v>
      </c>
      <c r="G279" s="396" t="str">
        <f aca="false">IF(A279="N/A"," ",IF(ISERROR(P279),G267*Pwresc,P279)*VLOOKUP(MONTH(A279),Curveadj,3))</f>
        <v> </v>
      </c>
      <c r="H279" s="398" t="str">
        <f aca="false">IF(A279="N/A"," ",G279*C279)</f>
        <v> </v>
      </c>
      <c r="I279" s="398" t="str">
        <f aca="false">IF(A279="N/A"," ",IF(ISERROR(Q279),I267*Pwresc,Q279))</f>
        <v> </v>
      </c>
      <c r="J279" s="398"/>
      <c r="K279" s="399"/>
      <c r="L279" s="399"/>
      <c r="M279" s="404"/>
      <c r="N279" s="401" t="str">
        <f aca="false">IF(A279="N/A"," ",VLOOKUP(A279,PeakPowerCurves,(IF(BMO2=2,3,IF(BMO2=1,2,4))),FALSE()))</f>
        <v> </v>
      </c>
      <c r="O279" s="401" t="str">
        <f aca="false">IF(A279="N/A"," ",VLOOKUP(A279,SatSunPeakPwr,(IF(BMO2=2,3,IF(BMO2=1,2,4))),FALSE()))</f>
        <v> </v>
      </c>
      <c r="P279" s="401" t="str">
        <f aca="false">IF(A279="N/A"," ",VLOOKUP(A279,SatSunPeakPwr,(IF(BMO2=2,7,IF(BMO2=1,6,8))),FALSE()))</f>
        <v> </v>
      </c>
      <c r="Q279" s="402" t="str">
        <f aca="false">IF(A279="N/A"," ",(VLOOKUP(A279,OPPowerPrices,(IF(BMO2=2,7,IF(BMO2=1,6,8))),FALSE())))</f>
        <v> </v>
      </c>
      <c r="R279" s="403" t="str">
        <f aca="false">IF(A279="N/A"," ",(VLOOKUP($A279,IRTable,2)))</f>
        <v> </v>
      </c>
      <c r="AF279" s="352" t="n">
        <f aca="false">EOMONTH(AF278,0)+1</f>
        <v>44927</v>
      </c>
      <c r="AG279" s="311" t="n">
        <v>22</v>
      </c>
      <c r="AH279" s="311" t="n">
        <v>4</v>
      </c>
      <c r="AI279" s="311" t="n">
        <v>5</v>
      </c>
      <c r="AJ279" s="311" t="n">
        <v>1</v>
      </c>
      <c r="AK279" s="311" t="n">
        <v>31</v>
      </c>
      <c r="AU279" s="406"/>
    </row>
    <row r="280" customFormat="false" ht="12.75" hidden="false" customHeight="false" outlineLevel="0" collapsed="false">
      <c r="A280" s="352" t="str">
        <f aca="false">Option2!A247</f>
        <v>N/A</v>
      </c>
      <c r="B280" s="396" t="str">
        <f aca="false">IF(A280="N/A"," ",IF(ISERROR(N280),B268*Pwresc,N280)*VLOOKUP(MONTH(A280),Curveadj,3))</f>
        <v> </v>
      </c>
      <c r="C280" s="397" t="str">
        <f aca="false">IF(A280="N/A"," ",(IF(AND(Scaler2=1,MONTH(A280)&gt;=6,MONTH(A280)&lt;=8,OR($M$37="REGION 2",$M$37="REGION 2A",$M$37="REGION 2B",$M$37="REGION 3",$M$37="REGION 3A",$M$37="REGION 3B",$M$37="REGION 3C",$M$37="REGION 4",$M$37="REGION 4B",$M$37="REGION 4C",$M$37="REGION 5",$M$37="REGION 5A")),((0.059228/(B280/100))-(0.4980013/(SQRT(B280/100)))+2.137988),HLOOKUP(MONTH(A280),ScalarTable,28))))</f>
        <v> </v>
      </c>
      <c r="D280" s="398" t="str">
        <f aca="false">IF(A280="N/A"," ",C280*B280)</f>
        <v> </v>
      </c>
      <c r="E280" s="396" t="str">
        <f aca="false">IF(A280="N/A"," ",IF(ISERROR(O280),E268*Pwresc,O280)*VLOOKUP(MONTH(A280),Curveadj,3))</f>
        <v> </v>
      </c>
      <c r="F280" s="398" t="str">
        <f aca="false">IF(A280="N/A"," ",E280*C280)</f>
        <v> </v>
      </c>
      <c r="G280" s="396" t="str">
        <f aca="false">IF(A280="N/A"," ",IF(ISERROR(P280),G268*Pwresc,P280)*VLOOKUP(MONTH(A280),Curveadj,3))</f>
        <v> </v>
      </c>
      <c r="H280" s="398" t="str">
        <f aca="false">IF(A280="N/A"," ",G280*C280)</f>
        <v> </v>
      </c>
      <c r="I280" s="398" t="str">
        <f aca="false">IF(A280="N/A"," ",IF(ISERROR(Q280),I268*Pwresc,Q280))</f>
        <v> </v>
      </c>
      <c r="J280" s="398"/>
      <c r="K280" s="399"/>
      <c r="L280" s="399"/>
      <c r="M280" s="404"/>
      <c r="N280" s="401" t="str">
        <f aca="false">IF(A280="N/A"," ",VLOOKUP(A280,PeakPowerCurves,(IF(BMO2=2,3,IF(BMO2=1,2,4))),FALSE()))</f>
        <v> </v>
      </c>
      <c r="O280" s="401" t="str">
        <f aca="false">IF(A280="N/A"," ",VLOOKUP(A280,SatSunPeakPwr,(IF(BMO2=2,3,IF(BMO2=1,2,4))),FALSE()))</f>
        <v> </v>
      </c>
      <c r="P280" s="401" t="str">
        <f aca="false">IF(A280="N/A"," ",VLOOKUP(A280,SatSunPeakPwr,(IF(BMO2=2,7,IF(BMO2=1,6,8))),FALSE()))</f>
        <v> </v>
      </c>
      <c r="Q280" s="402" t="str">
        <f aca="false">IF(A280="N/A"," ",(VLOOKUP(A280,OPPowerPrices,(IF(BMO2=2,7,IF(BMO2=1,6,8))),FALSE())))</f>
        <v> </v>
      </c>
      <c r="R280" s="403" t="str">
        <f aca="false">IF(A280="N/A"," ",(VLOOKUP($A280,IRTable,2)))</f>
        <v> </v>
      </c>
      <c r="AF280" s="352" t="n">
        <f aca="false">EOMONTH(AF279,0)+1</f>
        <v>44958</v>
      </c>
      <c r="AG280" s="311" t="n">
        <v>20</v>
      </c>
      <c r="AH280" s="311" t="n">
        <v>4</v>
      </c>
      <c r="AI280" s="311" t="n">
        <v>4</v>
      </c>
      <c r="AJ280" s="311" t="n">
        <v>0</v>
      </c>
      <c r="AK280" s="311" t="n">
        <v>28</v>
      </c>
      <c r="AU280" s="406"/>
    </row>
    <row r="281" customFormat="false" ht="12.75" hidden="false" customHeight="false" outlineLevel="0" collapsed="false">
      <c r="A281" s="352" t="str">
        <f aca="false">Option2!A248</f>
        <v>N/A</v>
      </c>
      <c r="B281" s="396" t="str">
        <f aca="false">IF(A281="N/A"," ",IF(ISERROR(N281),B269*Pwresc,N281)*VLOOKUP(MONTH(A281),Curveadj,3))</f>
        <v> </v>
      </c>
      <c r="C281" s="397" t="str">
        <f aca="false">IF(A281="N/A"," ",(IF(AND(Scaler2=1,MONTH(A281)&gt;=6,MONTH(A281)&lt;=8,OR($M$37="REGION 2",$M$37="REGION 2A",$M$37="REGION 2B",$M$37="REGION 3",$M$37="REGION 3A",$M$37="REGION 3B",$M$37="REGION 3C",$M$37="REGION 4",$M$37="REGION 4B",$M$37="REGION 4C",$M$37="REGION 5",$M$37="REGION 5A")),((0.059228/(B281/100))-(0.4980013/(SQRT(B281/100)))+2.137988),HLOOKUP(MONTH(A281),ScalarTable,28))))</f>
        <v> </v>
      </c>
      <c r="D281" s="398" t="str">
        <f aca="false">IF(A281="N/A"," ",C281*B281)</f>
        <v> </v>
      </c>
      <c r="E281" s="396" t="str">
        <f aca="false">IF(A281="N/A"," ",IF(ISERROR(O281),E269*Pwresc,O281)*VLOOKUP(MONTH(A281),Curveadj,3))</f>
        <v> </v>
      </c>
      <c r="F281" s="398" t="str">
        <f aca="false">IF(A281="N/A"," ",E281*C281)</f>
        <v> </v>
      </c>
      <c r="G281" s="396" t="str">
        <f aca="false">IF(A281="N/A"," ",IF(ISERROR(P281),G269*Pwresc,P281)*VLOOKUP(MONTH(A281),Curveadj,3))</f>
        <v> </v>
      </c>
      <c r="H281" s="398" t="str">
        <f aca="false">IF(A281="N/A"," ",G281*C281)</f>
        <v> </v>
      </c>
      <c r="I281" s="398" t="str">
        <f aca="false">IF(A281="N/A"," ",IF(ISERROR(Q281),I269*Pwresc,Q281))</f>
        <v> </v>
      </c>
      <c r="J281" s="398"/>
      <c r="K281" s="399"/>
      <c r="L281" s="399"/>
      <c r="M281" s="404"/>
      <c r="N281" s="401" t="str">
        <f aca="false">IF(A281="N/A"," ",VLOOKUP(A281,PeakPowerCurves,(IF(BMO2=2,3,IF(BMO2=1,2,4))),FALSE()))</f>
        <v> </v>
      </c>
      <c r="O281" s="401" t="str">
        <f aca="false">IF(A281="N/A"," ",VLOOKUP(A281,SatSunPeakPwr,(IF(BMO2=2,3,IF(BMO2=1,2,4))),FALSE()))</f>
        <v> </v>
      </c>
      <c r="P281" s="401" t="str">
        <f aca="false">IF(A281="N/A"," ",VLOOKUP(A281,SatSunPeakPwr,(IF(BMO2=2,7,IF(BMO2=1,6,8))),FALSE()))</f>
        <v> </v>
      </c>
      <c r="Q281" s="402" t="str">
        <f aca="false">IF(A281="N/A"," ",(VLOOKUP(A281,OPPowerPrices,(IF(BMO2=2,7,IF(BMO2=1,6,8))),FALSE())))</f>
        <v> </v>
      </c>
      <c r="R281" s="403" t="str">
        <f aca="false">IF(A281="N/A"," ",(VLOOKUP($A281,IRTable,2)))</f>
        <v> </v>
      </c>
      <c r="AF281" s="352" t="n">
        <f aca="false">EOMONTH(AF280,0)+1</f>
        <v>44986</v>
      </c>
      <c r="AG281" s="311" t="n">
        <v>21</v>
      </c>
      <c r="AH281" s="311" t="n">
        <v>5</v>
      </c>
      <c r="AI281" s="311" t="n">
        <v>5</v>
      </c>
      <c r="AJ281" s="311" t="n">
        <v>0</v>
      </c>
      <c r="AK281" s="311" t="n">
        <v>31</v>
      </c>
      <c r="AU281" s="406"/>
    </row>
    <row r="282" customFormat="false" ht="12.75" hidden="false" customHeight="false" outlineLevel="0" collapsed="false">
      <c r="A282" s="352" t="str">
        <f aca="false">Option2!A249</f>
        <v>N/A</v>
      </c>
      <c r="B282" s="396" t="str">
        <f aca="false">IF(A282="N/A"," ",IF(ISERROR(N282),B270*Pwresc,N282)*VLOOKUP(MONTH(A282),Curveadj,3))</f>
        <v> </v>
      </c>
      <c r="C282" s="397" t="str">
        <f aca="false">IF(A282="N/A"," ",(IF(AND(Scaler2=1,MONTH(A282)&gt;=6,MONTH(A282)&lt;=8,OR($M$37="REGION 2",$M$37="REGION 2A",$M$37="REGION 2B",$M$37="REGION 3",$M$37="REGION 3A",$M$37="REGION 3B",$M$37="REGION 3C",$M$37="REGION 4",$M$37="REGION 4B",$M$37="REGION 4C",$M$37="REGION 5",$M$37="REGION 5A")),((0.059228/(B282/100))-(0.4980013/(SQRT(B282/100)))+2.137988),HLOOKUP(MONTH(A282),ScalarTable,28))))</f>
        <v> </v>
      </c>
      <c r="D282" s="398" t="str">
        <f aca="false">IF(A282="N/A"," ",C282*B282)</f>
        <v> </v>
      </c>
      <c r="E282" s="396" t="str">
        <f aca="false">IF(A282="N/A"," ",IF(ISERROR(O282),E270*Pwresc,O282)*VLOOKUP(MONTH(A282),Curveadj,3))</f>
        <v> </v>
      </c>
      <c r="F282" s="398" t="str">
        <f aca="false">IF(A282="N/A"," ",E282*C282)</f>
        <v> </v>
      </c>
      <c r="G282" s="396" t="str">
        <f aca="false">IF(A282="N/A"," ",IF(ISERROR(P282),G270*Pwresc,P282)*VLOOKUP(MONTH(A282),Curveadj,3))</f>
        <v> </v>
      </c>
      <c r="H282" s="398" t="str">
        <f aca="false">IF(A282="N/A"," ",G282*C282)</f>
        <v> </v>
      </c>
      <c r="I282" s="398" t="str">
        <f aca="false">IF(A282="N/A"," ",IF(ISERROR(Q282),I270*Pwresc,Q282))</f>
        <v> </v>
      </c>
      <c r="J282" s="398"/>
      <c r="K282" s="399"/>
      <c r="L282" s="399"/>
      <c r="M282" s="404"/>
      <c r="N282" s="401" t="str">
        <f aca="false">IF(A282="N/A"," ",VLOOKUP(A282,PeakPowerCurves,(IF(BMO2=2,3,IF(BMO2=1,2,4))),FALSE()))</f>
        <v> </v>
      </c>
      <c r="O282" s="401" t="str">
        <f aca="false">IF(A282="N/A"," ",VLOOKUP(A282,SatSunPeakPwr,(IF(BMO2=2,3,IF(BMO2=1,2,4))),FALSE()))</f>
        <v> </v>
      </c>
      <c r="P282" s="401" t="str">
        <f aca="false">IF(A282="N/A"," ",VLOOKUP(A282,SatSunPeakPwr,(IF(BMO2=2,7,IF(BMO2=1,6,8))),FALSE()))</f>
        <v> </v>
      </c>
      <c r="Q282" s="402" t="str">
        <f aca="false">IF(A282="N/A"," ",(VLOOKUP(A282,OPPowerPrices,(IF(BMO2=2,7,IF(BMO2=1,6,8))),FALSE())))</f>
        <v> </v>
      </c>
      <c r="R282" s="403" t="str">
        <f aca="false">IF(A282="N/A"," ",(VLOOKUP($A282,IRTable,2)))</f>
        <v> </v>
      </c>
      <c r="AF282" s="352" t="n">
        <f aca="false">EOMONTH(AF281,0)+1</f>
        <v>45017</v>
      </c>
      <c r="AG282" s="311" t="n">
        <v>22</v>
      </c>
      <c r="AH282" s="311" t="n">
        <v>4</v>
      </c>
      <c r="AI282" s="311" t="n">
        <v>4</v>
      </c>
      <c r="AJ282" s="311" t="n">
        <v>0</v>
      </c>
      <c r="AK282" s="311" t="n">
        <v>30</v>
      </c>
      <c r="AU282" s="406"/>
    </row>
    <row r="283" customFormat="false" ht="12.75" hidden="false" customHeight="false" outlineLevel="0" collapsed="false">
      <c r="A283" s="352" t="str">
        <f aca="false">Option2!A250</f>
        <v>N/A</v>
      </c>
      <c r="B283" s="396" t="str">
        <f aca="false">IF(A283="N/A"," ",IF(ISERROR(N283),B271*Pwresc,N283)*VLOOKUP(MONTH(A283),Curveadj,3))</f>
        <v> </v>
      </c>
      <c r="C283" s="397" t="str">
        <f aca="false">IF(A283="N/A"," ",(IF(AND(Scaler2=1,MONTH(A283)&gt;=6,MONTH(A283)&lt;=8,OR($M$37="REGION 2",$M$37="REGION 2A",$M$37="REGION 2B",$M$37="REGION 3",$M$37="REGION 3A",$M$37="REGION 3B",$M$37="REGION 3C",$M$37="REGION 4",$M$37="REGION 4B",$M$37="REGION 4C",$M$37="REGION 5",$M$37="REGION 5A")),((0.059228/(B283/100))-(0.4980013/(SQRT(B283/100)))+2.137988),HLOOKUP(MONTH(A283),ScalarTable,28))))</f>
        <v> </v>
      </c>
      <c r="D283" s="398" t="str">
        <f aca="false">IF(A283="N/A"," ",C283*B283)</f>
        <v> </v>
      </c>
      <c r="E283" s="396" t="str">
        <f aca="false">IF(A283="N/A"," ",IF(ISERROR(O283),E271*Pwresc,O283)*VLOOKUP(MONTH(A283),Curveadj,3))</f>
        <v> </v>
      </c>
      <c r="F283" s="398" t="str">
        <f aca="false">IF(A283="N/A"," ",E283*C283)</f>
        <v> </v>
      </c>
      <c r="G283" s="396" t="str">
        <f aca="false">IF(A283="N/A"," ",IF(ISERROR(P283),G271*Pwresc,P283)*VLOOKUP(MONTH(A283),Curveadj,3))</f>
        <v> </v>
      </c>
      <c r="H283" s="398" t="str">
        <f aca="false">IF(A283="N/A"," ",G283*C283)</f>
        <v> </v>
      </c>
      <c r="I283" s="398" t="str">
        <f aca="false">IF(A283="N/A"," ",IF(ISERROR(Q283),I271*Pwresc,Q283))</f>
        <v> </v>
      </c>
      <c r="J283" s="398"/>
      <c r="K283" s="399"/>
      <c r="L283" s="399"/>
      <c r="M283" s="404"/>
      <c r="N283" s="401" t="str">
        <f aca="false">IF(A283="N/A"," ",VLOOKUP(A283,PeakPowerCurves,(IF(BMO2=2,3,IF(BMO2=1,2,4))),FALSE()))</f>
        <v> </v>
      </c>
      <c r="O283" s="401" t="str">
        <f aca="false">IF(A283="N/A"," ",VLOOKUP(A283,SatSunPeakPwr,(IF(BMO2=2,3,IF(BMO2=1,2,4))),FALSE()))</f>
        <v> </v>
      </c>
      <c r="P283" s="401" t="str">
        <f aca="false">IF(A283="N/A"," ",VLOOKUP(A283,SatSunPeakPwr,(IF(BMO2=2,7,IF(BMO2=1,6,8))),FALSE()))</f>
        <v> </v>
      </c>
      <c r="Q283" s="402" t="str">
        <f aca="false">IF(A283="N/A"," ",(VLOOKUP(A283,OPPowerPrices,(IF(BMO2=2,7,IF(BMO2=1,6,8))),FALSE())))</f>
        <v> </v>
      </c>
      <c r="R283" s="403" t="str">
        <f aca="false">IF(A283="N/A"," ",(VLOOKUP($A283,IRTable,2)))</f>
        <v> </v>
      </c>
      <c r="AF283" s="352" t="n">
        <f aca="false">EOMONTH(AF282,0)+1</f>
        <v>45047</v>
      </c>
      <c r="AG283" s="311" t="n">
        <v>22</v>
      </c>
      <c r="AH283" s="311" t="n">
        <v>4</v>
      </c>
      <c r="AI283" s="311" t="n">
        <v>5</v>
      </c>
      <c r="AJ283" s="311" t="n">
        <v>1</v>
      </c>
      <c r="AK283" s="311" t="n">
        <v>31</v>
      </c>
      <c r="AU283" s="406"/>
    </row>
    <row r="284" customFormat="false" ht="12.75" hidden="false" customHeight="false" outlineLevel="0" collapsed="false">
      <c r="A284" s="352" t="str">
        <f aca="false">Option2!A251</f>
        <v>N/A</v>
      </c>
      <c r="B284" s="396" t="str">
        <f aca="false">IF(A284="N/A"," ",IF(ISERROR(N284),B272*Pwresc,N284)*VLOOKUP(MONTH(A284),Curveadj,3))</f>
        <v> </v>
      </c>
      <c r="C284" s="397" t="str">
        <f aca="false">IF(A284="N/A"," ",(IF(AND(Scaler2=1,MONTH(A284)&gt;=6,MONTH(A284)&lt;=8,OR($M$37="REGION 2",$M$37="REGION 2A",$M$37="REGION 2B",$M$37="REGION 3",$M$37="REGION 3A",$M$37="REGION 3B",$M$37="REGION 3C",$M$37="REGION 4",$M$37="REGION 4B",$M$37="REGION 4C",$M$37="REGION 5",$M$37="REGION 5A")),((0.059228/(B284/100))-(0.4980013/(SQRT(B284/100)))+2.137988),HLOOKUP(MONTH(A284),ScalarTable,28))))</f>
        <v> </v>
      </c>
      <c r="D284" s="398" t="str">
        <f aca="false">IF(A284="N/A"," ",C284*B284)</f>
        <v> </v>
      </c>
      <c r="E284" s="396" t="str">
        <f aca="false">IF(A284="N/A"," ",IF(ISERROR(O284),E272*Pwresc,O284)*VLOOKUP(MONTH(A284),Curveadj,3))</f>
        <v> </v>
      </c>
      <c r="F284" s="398" t="str">
        <f aca="false">IF(A284="N/A"," ",E284*C284)</f>
        <v> </v>
      </c>
      <c r="G284" s="396" t="str">
        <f aca="false">IF(A284="N/A"," ",IF(ISERROR(P284),G272*Pwresc,P284)*VLOOKUP(MONTH(A284),Curveadj,3))</f>
        <v> </v>
      </c>
      <c r="H284" s="398" t="str">
        <f aca="false">IF(A284="N/A"," ",G284*C284)</f>
        <v> </v>
      </c>
      <c r="I284" s="398" t="str">
        <f aca="false">IF(A284="N/A"," ",IF(ISERROR(Q284),I272*Pwresc,Q284))</f>
        <v> </v>
      </c>
      <c r="J284" s="398"/>
      <c r="K284" s="399"/>
      <c r="L284" s="399"/>
      <c r="M284" s="404"/>
      <c r="N284" s="401" t="str">
        <f aca="false">IF(A284="N/A"," ",VLOOKUP(A284,PeakPowerCurves,(IF(BMO2=2,3,IF(BMO2=1,2,4))),FALSE()))</f>
        <v> </v>
      </c>
      <c r="O284" s="401" t="str">
        <f aca="false">IF(A284="N/A"," ",VLOOKUP(A284,SatSunPeakPwr,(IF(BMO2=2,3,IF(BMO2=1,2,4))),FALSE()))</f>
        <v> </v>
      </c>
      <c r="P284" s="401" t="str">
        <f aca="false">IF(A284="N/A"," ",VLOOKUP(A284,SatSunPeakPwr,(IF(BMO2=2,7,IF(BMO2=1,6,8))),FALSE()))</f>
        <v> </v>
      </c>
      <c r="Q284" s="402" t="str">
        <f aca="false">IF(A284="N/A"," ",(VLOOKUP(A284,OPPowerPrices,(IF(BMO2=2,7,IF(BMO2=1,6,8))),FALSE())))</f>
        <v> </v>
      </c>
      <c r="R284" s="403" t="str">
        <f aca="false">IF(A284="N/A"," ",(VLOOKUP($A284,IRTable,2)))</f>
        <v> </v>
      </c>
      <c r="AF284" s="352" t="n">
        <f aca="false">EOMONTH(AF283,0)+1</f>
        <v>45078</v>
      </c>
      <c r="AG284" s="311" t="n">
        <v>20</v>
      </c>
      <c r="AH284" s="311" t="n">
        <v>5</v>
      </c>
      <c r="AI284" s="311" t="n">
        <v>5</v>
      </c>
      <c r="AJ284" s="311" t="n">
        <v>0</v>
      </c>
      <c r="AK284" s="311" t="n">
        <v>30</v>
      </c>
      <c r="AU284" s="406"/>
    </row>
    <row r="285" customFormat="false" ht="12.75" hidden="false" customHeight="false" outlineLevel="0" collapsed="false">
      <c r="A285" s="352" t="str">
        <f aca="false">Option2!A252</f>
        <v>N/A</v>
      </c>
      <c r="B285" s="396" t="str">
        <f aca="false">IF(A285="N/A"," ",IF(ISERROR(N285),B273*Pwresc,N285)*VLOOKUP(MONTH(A285),Curveadj,3))</f>
        <v> </v>
      </c>
      <c r="C285" s="397" t="str">
        <f aca="false">IF(A285="N/A"," ",(IF(AND(Scaler2=1,MONTH(A285)&gt;=6,MONTH(A285)&lt;=8,OR($M$37="REGION 2",$M$37="REGION 2A",$M$37="REGION 2B",$M$37="REGION 3",$M$37="REGION 3A",$M$37="REGION 3B",$M$37="REGION 3C",$M$37="REGION 4",$M$37="REGION 4B",$M$37="REGION 4C",$M$37="REGION 5",$M$37="REGION 5A")),((0.059228/(B285/100))-(0.4980013/(SQRT(B285/100)))+2.137988),HLOOKUP(MONTH(A285),ScalarTable,28))))</f>
        <v> </v>
      </c>
      <c r="D285" s="398" t="str">
        <f aca="false">IF(A285="N/A"," ",C285*B285)</f>
        <v> </v>
      </c>
      <c r="E285" s="396" t="str">
        <f aca="false">IF(A285="N/A"," ",IF(ISERROR(O285),E273*Pwresc,O285)*VLOOKUP(MONTH(A285),Curveadj,3))</f>
        <v> </v>
      </c>
      <c r="F285" s="398" t="str">
        <f aca="false">IF(A285="N/A"," ",E285*C285)</f>
        <v> </v>
      </c>
      <c r="G285" s="396" t="str">
        <f aca="false">IF(A285="N/A"," ",IF(ISERROR(P285),G273*Pwresc,P285)*VLOOKUP(MONTH(A285),Curveadj,3))</f>
        <v> </v>
      </c>
      <c r="H285" s="398" t="str">
        <f aca="false">IF(A285="N/A"," ",G285*C285)</f>
        <v> </v>
      </c>
      <c r="I285" s="398" t="str">
        <f aca="false">IF(A285="N/A"," ",IF(ISERROR(Q285),I273*Pwresc,Q285))</f>
        <v> </v>
      </c>
      <c r="J285" s="398"/>
      <c r="K285" s="399"/>
      <c r="L285" s="399"/>
      <c r="M285" s="404"/>
      <c r="N285" s="401" t="str">
        <f aca="false">IF(A285="N/A"," ",VLOOKUP(A285,PeakPowerCurves,(IF(BMO2=2,3,IF(BMO2=1,2,4))),FALSE()))</f>
        <v> </v>
      </c>
      <c r="O285" s="401" t="str">
        <f aca="false">IF(A285="N/A"," ",VLOOKUP(A285,SatSunPeakPwr,(IF(BMO2=2,3,IF(BMO2=1,2,4))),FALSE()))</f>
        <v> </v>
      </c>
      <c r="P285" s="401" t="str">
        <f aca="false">IF(A285="N/A"," ",VLOOKUP(A285,SatSunPeakPwr,(IF(BMO2=2,7,IF(BMO2=1,6,8))),FALSE()))</f>
        <v> </v>
      </c>
      <c r="Q285" s="402" t="str">
        <f aca="false">IF(A285="N/A"," ",(VLOOKUP(A285,OPPowerPrices,(IF(BMO2=2,7,IF(BMO2=1,6,8))),FALSE())))</f>
        <v> </v>
      </c>
      <c r="R285" s="403" t="str">
        <f aca="false">IF(A285="N/A"," ",(VLOOKUP($A285,IRTable,2)))</f>
        <v> </v>
      </c>
      <c r="AF285" s="352" t="n">
        <f aca="false">EOMONTH(AF284,0)+1</f>
        <v>45108</v>
      </c>
      <c r="AG285" s="311" t="n">
        <v>22</v>
      </c>
      <c r="AH285" s="311" t="n">
        <v>4</v>
      </c>
      <c r="AI285" s="311" t="n">
        <v>5</v>
      </c>
      <c r="AJ285" s="311" t="n">
        <v>1</v>
      </c>
      <c r="AK285" s="311" t="n">
        <v>31</v>
      </c>
      <c r="AU285" s="406"/>
    </row>
    <row r="286" customFormat="false" ht="12.75" hidden="false" customHeight="false" outlineLevel="0" collapsed="false">
      <c r="A286" s="352" t="str">
        <f aca="false">Option2!A253</f>
        <v>N/A</v>
      </c>
      <c r="B286" s="396" t="str">
        <f aca="false">IF(A286="N/A"," ",IF(ISERROR(N286),B274*Pwresc,N286)*VLOOKUP(MONTH(A286),Curveadj,3))</f>
        <v> </v>
      </c>
      <c r="C286" s="397" t="str">
        <f aca="false">IF(A286="N/A"," ",(IF(AND(Scaler2=1,MONTH(A286)&gt;=6,MONTH(A286)&lt;=8,OR($M$37="REGION 2",$M$37="REGION 2A",$M$37="REGION 2B",$M$37="REGION 3",$M$37="REGION 3A",$M$37="REGION 3B",$M$37="REGION 3C",$M$37="REGION 4",$M$37="REGION 4B",$M$37="REGION 4C",$M$37="REGION 5",$M$37="REGION 5A")),((0.059228/(B286/100))-(0.4980013/(SQRT(B286/100)))+2.137988),HLOOKUP(MONTH(A286),ScalarTable,28))))</f>
        <v> </v>
      </c>
      <c r="D286" s="398" t="str">
        <f aca="false">IF(A286="N/A"," ",C286*B286)</f>
        <v> </v>
      </c>
      <c r="E286" s="396" t="str">
        <f aca="false">IF(A286="N/A"," ",IF(ISERROR(O286),E274*Pwresc,O286)*VLOOKUP(MONTH(A286),Curveadj,3))</f>
        <v> </v>
      </c>
      <c r="F286" s="398" t="str">
        <f aca="false">IF(A286="N/A"," ",E286*C286)</f>
        <v> </v>
      </c>
      <c r="G286" s="396" t="str">
        <f aca="false">IF(A286="N/A"," ",IF(ISERROR(P286),G274*Pwresc,P286)*VLOOKUP(MONTH(A286),Curveadj,3))</f>
        <v> </v>
      </c>
      <c r="H286" s="398" t="str">
        <f aca="false">IF(A286="N/A"," ",G286*C286)</f>
        <v> </v>
      </c>
      <c r="I286" s="398" t="str">
        <f aca="false">IF(A286="N/A"," ",IF(ISERROR(Q286),I274*Pwresc,Q286))</f>
        <v> </v>
      </c>
      <c r="J286" s="398"/>
      <c r="K286" s="399"/>
      <c r="L286" s="399"/>
      <c r="M286" s="404"/>
      <c r="N286" s="401" t="str">
        <f aca="false">IF(A286="N/A"," ",VLOOKUP(A286,PeakPowerCurves,(IF(BMO2=2,3,IF(BMO2=1,2,4))),FALSE()))</f>
        <v> </v>
      </c>
      <c r="O286" s="401" t="str">
        <f aca="false">IF(A286="N/A"," ",VLOOKUP(A286,SatSunPeakPwr,(IF(BMO2=2,3,IF(BMO2=1,2,4))),FALSE()))</f>
        <v> </v>
      </c>
      <c r="P286" s="401" t="str">
        <f aca="false">IF(A286="N/A"," ",VLOOKUP(A286,SatSunPeakPwr,(IF(BMO2=2,7,IF(BMO2=1,6,8))),FALSE()))</f>
        <v> </v>
      </c>
      <c r="Q286" s="402" t="str">
        <f aca="false">IF(A286="N/A"," ",(VLOOKUP(A286,OPPowerPrices,(IF(BMO2=2,7,IF(BMO2=1,6,8))),FALSE())))</f>
        <v> </v>
      </c>
      <c r="R286" s="403" t="str">
        <f aca="false">IF(A286="N/A"," ",(VLOOKUP($A286,IRTable,2)))</f>
        <v> </v>
      </c>
      <c r="AF286" s="352" t="n">
        <f aca="false">EOMONTH(AF285,0)+1</f>
        <v>45139</v>
      </c>
      <c r="AG286" s="311" t="n">
        <v>22</v>
      </c>
      <c r="AH286" s="311" t="n">
        <v>5</v>
      </c>
      <c r="AI286" s="311" t="n">
        <v>4</v>
      </c>
      <c r="AJ286" s="311" t="n">
        <v>0</v>
      </c>
      <c r="AK286" s="311" t="n">
        <v>31</v>
      </c>
      <c r="AU286" s="406"/>
    </row>
    <row r="287" customFormat="false" ht="12.75" hidden="false" customHeight="false" outlineLevel="0" collapsed="false">
      <c r="A287" s="352" t="str">
        <f aca="false">Option2!A254</f>
        <v>N/A</v>
      </c>
      <c r="B287" s="396" t="str">
        <f aca="false">IF(A287="N/A"," ",IF(ISERROR(N287),B275*Pwresc,N287)*VLOOKUP(MONTH(A287),Curveadj,3))</f>
        <v> </v>
      </c>
      <c r="C287" s="397" t="str">
        <f aca="false">IF(A287="N/A"," ",(IF(AND(Scaler2=1,MONTH(A287)&gt;=6,MONTH(A287)&lt;=8,OR($M$37="REGION 2",$M$37="REGION 2A",$M$37="REGION 2B",$M$37="REGION 3",$M$37="REGION 3A",$M$37="REGION 3B",$M$37="REGION 3C",$M$37="REGION 4",$M$37="REGION 4B",$M$37="REGION 4C",$M$37="REGION 5",$M$37="REGION 5A")),((0.059228/(B287/100))-(0.4980013/(SQRT(B287/100)))+2.137988),HLOOKUP(MONTH(A287),ScalarTable,28))))</f>
        <v> </v>
      </c>
      <c r="D287" s="398" t="str">
        <f aca="false">IF(A287="N/A"," ",C287*B287)</f>
        <v> </v>
      </c>
      <c r="E287" s="396" t="str">
        <f aca="false">IF(A287="N/A"," ",IF(ISERROR(O287),E275*Pwresc,O287)*VLOOKUP(MONTH(A287),Curveadj,3))</f>
        <v> </v>
      </c>
      <c r="F287" s="398" t="str">
        <f aca="false">IF(A287="N/A"," ",E287*C287)</f>
        <v> </v>
      </c>
      <c r="G287" s="396" t="str">
        <f aca="false">IF(A287="N/A"," ",IF(ISERROR(P287),G275*Pwresc,P287)*VLOOKUP(MONTH(A287),Curveadj,3))</f>
        <v> </v>
      </c>
      <c r="H287" s="398" t="str">
        <f aca="false">IF(A287="N/A"," ",G287*C287)</f>
        <v> </v>
      </c>
      <c r="I287" s="398" t="str">
        <f aca="false">IF(A287="N/A"," ",IF(ISERROR(Q287),I275*Pwresc,Q287))</f>
        <v> </v>
      </c>
      <c r="J287" s="398"/>
      <c r="K287" s="399"/>
      <c r="L287" s="399"/>
      <c r="M287" s="404"/>
      <c r="N287" s="401" t="str">
        <f aca="false">IF(A287="N/A"," ",VLOOKUP(A287,PeakPowerCurves,(IF(BMO2=2,3,IF(BMO2=1,2,4))),FALSE()))</f>
        <v> </v>
      </c>
      <c r="O287" s="401" t="str">
        <f aca="false">IF(A287="N/A"," ",VLOOKUP(A287,SatSunPeakPwr,(IF(BMO2=2,3,IF(BMO2=1,2,4))),FALSE()))</f>
        <v> </v>
      </c>
      <c r="P287" s="401" t="str">
        <f aca="false">IF(A287="N/A"," ",VLOOKUP(A287,SatSunPeakPwr,(IF(BMO2=2,7,IF(BMO2=1,6,8))),FALSE()))</f>
        <v> </v>
      </c>
      <c r="Q287" s="402" t="str">
        <f aca="false">IF(A287="N/A"," ",(VLOOKUP(A287,OPPowerPrices,(IF(BMO2=2,7,IF(BMO2=1,6,8))),FALSE())))</f>
        <v> </v>
      </c>
      <c r="R287" s="403" t="str">
        <f aca="false">IF(A287="N/A"," ",(VLOOKUP($A287,IRTable,2)))</f>
        <v> </v>
      </c>
      <c r="AF287" s="352" t="n">
        <f aca="false">EOMONTH(AF286,0)+1</f>
        <v>45170</v>
      </c>
      <c r="AG287" s="311" t="n">
        <v>20</v>
      </c>
      <c r="AH287" s="311" t="n">
        <v>4</v>
      </c>
      <c r="AI287" s="311" t="n">
        <v>6</v>
      </c>
      <c r="AJ287" s="311" t="n">
        <v>1</v>
      </c>
      <c r="AK287" s="311" t="n">
        <v>30</v>
      </c>
      <c r="AU287" s="406"/>
    </row>
    <row r="288" customFormat="false" ht="12.75" hidden="false" customHeight="false" outlineLevel="0" collapsed="false">
      <c r="A288" s="352" t="str">
        <f aca="false">Option2!A255</f>
        <v>N/A</v>
      </c>
      <c r="B288" s="396" t="str">
        <f aca="false">IF(A288="N/A"," ",IF(ISERROR(N288),B276*Pwresc,N288)*VLOOKUP(MONTH(A288),Curveadj,3))</f>
        <v> </v>
      </c>
      <c r="C288" s="397" t="str">
        <f aca="false">IF(A288="N/A"," ",(IF(AND(Scaler2=1,MONTH(A288)&gt;=6,MONTH(A288)&lt;=8,OR($M$37="REGION 2",$M$37="REGION 2A",$M$37="REGION 2B",$M$37="REGION 3",$M$37="REGION 3A",$M$37="REGION 3B",$M$37="REGION 3C",$M$37="REGION 4",$M$37="REGION 4B",$M$37="REGION 4C",$M$37="REGION 5",$M$37="REGION 5A")),((0.059228/(B288/100))-(0.4980013/(SQRT(B288/100)))+2.137988),HLOOKUP(MONTH(A288),ScalarTable,28))))</f>
        <v> </v>
      </c>
      <c r="D288" s="398" t="str">
        <f aca="false">IF(A288="N/A"," ",C288*B288)</f>
        <v> </v>
      </c>
      <c r="E288" s="396" t="str">
        <f aca="false">IF(A288="N/A"," ",IF(ISERROR(O288),E276*Pwresc,O288)*VLOOKUP(MONTH(A288),Curveadj,3))</f>
        <v> </v>
      </c>
      <c r="F288" s="398" t="str">
        <f aca="false">IF(A288="N/A"," ",E288*C288)</f>
        <v> </v>
      </c>
      <c r="G288" s="396" t="str">
        <f aca="false">IF(A288="N/A"," ",IF(ISERROR(P288),G276*Pwresc,P288)*VLOOKUP(MONTH(A288),Curveadj,3))</f>
        <v> </v>
      </c>
      <c r="H288" s="398" t="str">
        <f aca="false">IF(A288="N/A"," ",G288*C288)</f>
        <v> </v>
      </c>
      <c r="I288" s="398" t="str">
        <f aca="false">IF(A288="N/A"," ",IF(ISERROR(Q288),I276*Pwresc,Q288))</f>
        <v> </v>
      </c>
      <c r="J288" s="398"/>
      <c r="K288" s="399"/>
      <c r="L288" s="399"/>
      <c r="M288" s="404"/>
      <c r="N288" s="401" t="str">
        <f aca="false">IF(A288="N/A"," ",VLOOKUP(A288,PeakPowerCurves,(IF(BMO2=2,3,IF(BMO2=1,2,4))),FALSE()))</f>
        <v> </v>
      </c>
      <c r="O288" s="401" t="str">
        <f aca="false">IF(A288="N/A"," ",VLOOKUP(A288,SatSunPeakPwr,(IF(BMO2=2,3,IF(BMO2=1,2,4))),FALSE()))</f>
        <v> </v>
      </c>
      <c r="P288" s="401" t="str">
        <f aca="false">IF(A288="N/A"," ",VLOOKUP(A288,SatSunPeakPwr,(IF(BMO2=2,7,IF(BMO2=1,6,8))),FALSE()))</f>
        <v> </v>
      </c>
      <c r="Q288" s="402" t="str">
        <f aca="false">IF(A288="N/A"," ",(VLOOKUP(A288,OPPowerPrices,(IF(BMO2=2,7,IF(BMO2=1,6,8))),FALSE())))</f>
        <v> </v>
      </c>
      <c r="R288" s="403" t="str">
        <f aca="false">IF(A288="N/A"," ",(VLOOKUP($A288,IRTable,2)))</f>
        <v> </v>
      </c>
      <c r="AF288" s="352" t="n">
        <f aca="false">EOMONTH(AF287,0)+1</f>
        <v>45200</v>
      </c>
      <c r="AG288" s="311" t="n">
        <v>23</v>
      </c>
      <c r="AH288" s="311" t="n">
        <v>4</v>
      </c>
      <c r="AI288" s="311" t="n">
        <v>4</v>
      </c>
      <c r="AJ288" s="311" t="n">
        <v>0</v>
      </c>
      <c r="AK288" s="311" t="n">
        <v>31</v>
      </c>
      <c r="AU288" s="406"/>
    </row>
    <row r="289" customFormat="false" ht="12.75" hidden="false" customHeight="false" outlineLevel="0" collapsed="false">
      <c r="A289" s="408"/>
      <c r="B289" s="396"/>
      <c r="C289" s="409"/>
      <c r="D289" s="410"/>
      <c r="E289" s="396"/>
      <c r="F289" s="410"/>
      <c r="G289" s="396"/>
      <c r="H289" s="410"/>
      <c r="I289" s="410"/>
      <c r="J289" s="411"/>
      <c r="K289" s="399"/>
      <c r="L289" s="399"/>
      <c r="M289" s="73"/>
      <c r="N289" s="396"/>
      <c r="O289" s="396"/>
      <c r="P289" s="396"/>
      <c r="Q289" s="410"/>
      <c r="R289" s="411"/>
      <c r="S289" s="411"/>
      <c r="T289" s="411"/>
      <c r="AF289" s="352" t="n">
        <f aca="false">EOMONTH(AF288,0)+1</f>
        <v>45231</v>
      </c>
      <c r="AG289" s="311" t="n">
        <v>20</v>
      </c>
      <c r="AH289" s="311" t="n">
        <v>5</v>
      </c>
      <c r="AI289" s="311" t="n">
        <v>5</v>
      </c>
      <c r="AJ289" s="311" t="n">
        <v>1</v>
      </c>
      <c r="AK289" s="311" t="n">
        <v>30</v>
      </c>
      <c r="AL289" s="311"/>
      <c r="AM289" s="336"/>
    </row>
    <row r="290" customFormat="false" ht="12.75" hidden="false" customHeight="false" outlineLevel="0" collapsed="false">
      <c r="A290" s="408"/>
      <c r="B290" s="396"/>
      <c r="C290" s="409"/>
      <c r="D290" s="410"/>
      <c r="E290" s="396"/>
      <c r="F290" s="410"/>
      <c r="G290" s="396"/>
      <c r="H290" s="410"/>
      <c r="I290" s="410"/>
      <c r="J290" s="411"/>
      <c r="K290" s="399"/>
      <c r="L290" s="399"/>
      <c r="M290" s="73"/>
      <c r="N290" s="396"/>
      <c r="O290" s="396"/>
      <c r="P290" s="396"/>
      <c r="Q290" s="410"/>
      <c r="R290" s="411"/>
      <c r="S290" s="411"/>
      <c r="T290" s="411"/>
      <c r="AF290" s="352" t="n">
        <f aca="false">EOMONTH(AF289,0)+1</f>
        <v>45261</v>
      </c>
      <c r="AG290" s="311" t="n">
        <v>21</v>
      </c>
      <c r="AH290" s="311" t="n">
        <v>4</v>
      </c>
      <c r="AI290" s="311" t="n">
        <v>6</v>
      </c>
      <c r="AJ290" s="311" t="n">
        <v>1</v>
      </c>
      <c r="AK290" s="311" t="n">
        <v>31</v>
      </c>
      <c r="AL290" s="311"/>
      <c r="AM290" s="336"/>
    </row>
    <row r="291" customFormat="false" ht="12.75" hidden="false" customHeight="false" outlineLevel="0" collapsed="false">
      <c r="A291" s="408"/>
      <c r="B291" s="396"/>
      <c r="C291" s="409"/>
      <c r="D291" s="410"/>
      <c r="E291" s="396"/>
      <c r="F291" s="410"/>
      <c r="G291" s="396"/>
      <c r="H291" s="410"/>
      <c r="I291" s="410"/>
      <c r="J291" s="411"/>
      <c r="K291" s="399"/>
      <c r="L291" s="399"/>
      <c r="M291" s="73"/>
      <c r="N291" s="396"/>
      <c r="O291" s="396"/>
      <c r="P291" s="396"/>
      <c r="Q291" s="410"/>
      <c r="R291" s="411"/>
      <c r="S291" s="411"/>
      <c r="T291" s="411"/>
      <c r="AF291" s="352" t="n">
        <f aca="false">EOMONTH(AF290,0)+1</f>
        <v>45292</v>
      </c>
      <c r="AG291" s="311" t="n">
        <v>22</v>
      </c>
      <c r="AH291" s="311" t="n">
        <v>4</v>
      </c>
      <c r="AI291" s="311" t="n">
        <v>5</v>
      </c>
      <c r="AJ291" s="311" t="n">
        <v>1</v>
      </c>
      <c r="AK291" s="311" t="n">
        <v>31</v>
      </c>
      <c r="AL291" s="311"/>
      <c r="AM291" s="336"/>
    </row>
    <row r="292" customFormat="false" ht="12.75" hidden="false" customHeight="false" outlineLevel="0" collapsed="false">
      <c r="A292" s="408"/>
      <c r="B292" s="396"/>
      <c r="C292" s="409"/>
      <c r="D292" s="410"/>
      <c r="E292" s="396"/>
      <c r="F292" s="410"/>
      <c r="G292" s="396"/>
      <c r="H292" s="410"/>
      <c r="I292" s="410"/>
      <c r="J292" s="411"/>
      <c r="K292" s="399"/>
      <c r="L292" s="399"/>
      <c r="M292" s="73"/>
      <c r="N292" s="396"/>
      <c r="O292" s="396"/>
      <c r="P292" s="396"/>
      <c r="Q292" s="410"/>
      <c r="R292" s="411"/>
      <c r="S292" s="411"/>
      <c r="T292" s="411"/>
      <c r="AF292" s="352" t="n">
        <f aca="false">EOMONTH(AF291,0)+1</f>
        <v>45323</v>
      </c>
      <c r="AG292" s="311" t="n">
        <v>20</v>
      </c>
      <c r="AH292" s="311" t="n">
        <v>5</v>
      </c>
      <c r="AI292" s="311" t="n">
        <v>4</v>
      </c>
      <c r="AJ292" s="311" t="n">
        <v>0</v>
      </c>
      <c r="AK292" s="311" t="n">
        <v>29</v>
      </c>
      <c r="AL292" s="311"/>
      <c r="AM292" s="336"/>
    </row>
    <row r="293" customFormat="false" ht="12.75" hidden="false" customHeight="false" outlineLevel="0" collapsed="false">
      <c r="A293" s="408"/>
      <c r="B293" s="396"/>
      <c r="C293" s="409"/>
      <c r="D293" s="410"/>
      <c r="E293" s="396"/>
      <c r="F293" s="410"/>
      <c r="G293" s="396"/>
      <c r="H293" s="410"/>
      <c r="I293" s="410"/>
      <c r="J293" s="411"/>
      <c r="K293" s="399"/>
      <c r="L293" s="399"/>
      <c r="M293" s="73"/>
      <c r="N293" s="396"/>
      <c r="O293" s="396"/>
      <c r="P293" s="396"/>
      <c r="Q293" s="410"/>
      <c r="R293" s="411"/>
      <c r="S293" s="411"/>
      <c r="T293" s="411"/>
      <c r="AF293" s="352" t="n">
        <f aca="false">EOMONTH(AF292,0)+1</f>
        <v>45352</v>
      </c>
      <c r="AG293" s="311" t="n">
        <v>22</v>
      </c>
      <c r="AH293" s="311" t="n">
        <v>4</v>
      </c>
      <c r="AI293" s="311" t="n">
        <v>5</v>
      </c>
      <c r="AJ293" s="311" t="n">
        <v>0</v>
      </c>
      <c r="AK293" s="311" t="n">
        <v>31</v>
      </c>
      <c r="AL293" s="311"/>
      <c r="AM293" s="336"/>
    </row>
    <row r="294" customFormat="false" ht="12.75" hidden="false" customHeight="false" outlineLevel="0" collapsed="false">
      <c r="A294" s="408"/>
      <c r="B294" s="396"/>
      <c r="C294" s="409"/>
      <c r="D294" s="410"/>
      <c r="E294" s="396"/>
      <c r="F294" s="410"/>
      <c r="G294" s="396"/>
      <c r="H294" s="410"/>
      <c r="I294" s="410"/>
      <c r="J294" s="411"/>
      <c r="K294" s="399"/>
      <c r="L294" s="399"/>
      <c r="M294" s="73"/>
      <c r="N294" s="396"/>
      <c r="O294" s="396"/>
      <c r="P294" s="396"/>
      <c r="Q294" s="410"/>
      <c r="R294" s="411"/>
      <c r="S294" s="411"/>
      <c r="T294" s="411"/>
      <c r="AF294" s="352" t="n">
        <f aca="false">EOMONTH(AF293,0)+1</f>
        <v>45383</v>
      </c>
      <c r="AG294" s="311" t="n">
        <v>22</v>
      </c>
      <c r="AH294" s="311" t="n">
        <v>4</v>
      </c>
      <c r="AI294" s="311" t="n">
        <v>4</v>
      </c>
      <c r="AJ294" s="311" t="n">
        <v>0</v>
      </c>
      <c r="AK294" s="311" t="n">
        <v>30</v>
      </c>
      <c r="AL294" s="311"/>
      <c r="AM294" s="336"/>
    </row>
    <row r="295" customFormat="false" ht="12.75" hidden="false" customHeight="false" outlineLevel="0" collapsed="false">
      <c r="A295" s="408"/>
      <c r="B295" s="396"/>
      <c r="C295" s="409"/>
      <c r="D295" s="410"/>
      <c r="E295" s="396"/>
      <c r="F295" s="410"/>
      <c r="G295" s="396"/>
      <c r="H295" s="410"/>
      <c r="I295" s="410"/>
      <c r="J295" s="411"/>
      <c r="K295" s="399"/>
      <c r="L295" s="399"/>
      <c r="M295" s="73"/>
      <c r="N295" s="396"/>
      <c r="O295" s="396"/>
      <c r="P295" s="396"/>
      <c r="Q295" s="410"/>
      <c r="R295" s="411"/>
      <c r="S295" s="411"/>
      <c r="T295" s="411"/>
      <c r="AF295" s="352" t="n">
        <f aca="false">EOMONTH(AF294,0)+1</f>
        <v>45413</v>
      </c>
      <c r="AG295" s="311" t="n">
        <v>20</v>
      </c>
      <c r="AH295" s="311" t="n">
        <v>5</v>
      </c>
      <c r="AI295" s="311" t="n">
        <v>6</v>
      </c>
      <c r="AJ295" s="311" t="n">
        <v>1</v>
      </c>
      <c r="AK295" s="311" t="n">
        <v>31</v>
      </c>
      <c r="AL295" s="311"/>
      <c r="AM295" s="336"/>
    </row>
    <row r="296" customFormat="false" ht="12.75" hidden="false" customHeight="false" outlineLevel="0" collapsed="false">
      <c r="A296" s="408"/>
      <c r="B296" s="396"/>
      <c r="C296" s="409"/>
      <c r="D296" s="410"/>
      <c r="E296" s="396"/>
      <c r="F296" s="410"/>
      <c r="G296" s="396"/>
      <c r="H296" s="410"/>
      <c r="I296" s="410"/>
      <c r="J296" s="411"/>
      <c r="K296" s="399"/>
      <c r="L296" s="399"/>
      <c r="M296" s="73"/>
      <c r="N296" s="396"/>
      <c r="O296" s="396"/>
      <c r="P296" s="396"/>
      <c r="Q296" s="410"/>
      <c r="R296" s="411"/>
      <c r="S296" s="411"/>
      <c r="T296" s="411"/>
      <c r="AF296" s="352" t="n">
        <f aca="false">EOMONTH(AF295,0)+1</f>
        <v>45444</v>
      </c>
      <c r="AG296" s="311" t="n">
        <v>22</v>
      </c>
      <c r="AH296" s="311" t="n">
        <v>4</v>
      </c>
      <c r="AI296" s="311" t="n">
        <v>4</v>
      </c>
      <c r="AJ296" s="311" t="n">
        <v>0</v>
      </c>
      <c r="AK296" s="311" t="n">
        <v>30</v>
      </c>
      <c r="AL296" s="311"/>
      <c r="AM296" s="336"/>
    </row>
    <row r="297" customFormat="false" ht="12.75" hidden="false" customHeight="false" outlineLevel="0" collapsed="false">
      <c r="A297" s="408"/>
      <c r="B297" s="396"/>
      <c r="C297" s="409"/>
      <c r="D297" s="410"/>
      <c r="E297" s="396"/>
      <c r="F297" s="410"/>
      <c r="G297" s="396"/>
      <c r="H297" s="410"/>
      <c r="I297" s="410"/>
      <c r="J297" s="411"/>
      <c r="K297" s="399"/>
      <c r="L297" s="399"/>
      <c r="M297" s="73"/>
      <c r="N297" s="396"/>
      <c r="O297" s="396"/>
      <c r="P297" s="396"/>
      <c r="Q297" s="410"/>
      <c r="R297" s="411"/>
      <c r="S297" s="411"/>
      <c r="T297" s="411"/>
      <c r="AF297" s="352" t="n">
        <f aca="false">EOMONTH(AF296,0)+1</f>
        <v>45474</v>
      </c>
      <c r="AG297" s="311" t="n">
        <v>23</v>
      </c>
      <c r="AH297" s="311" t="n">
        <v>3</v>
      </c>
      <c r="AI297" s="311" t="n">
        <v>5</v>
      </c>
      <c r="AJ297" s="311" t="n">
        <v>1</v>
      </c>
      <c r="AK297" s="311" t="n">
        <v>31</v>
      </c>
      <c r="AL297" s="311"/>
      <c r="AM297" s="336"/>
    </row>
    <row r="298" customFormat="false" ht="12.75" hidden="false" customHeight="false" outlineLevel="0" collapsed="false">
      <c r="A298" s="408"/>
      <c r="B298" s="396"/>
      <c r="C298" s="409"/>
      <c r="D298" s="410"/>
      <c r="E298" s="396"/>
      <c r="F298" s="410"/>
      <c r="G298" s="396"/>
      <c r="H298" s="410"/>
      <c r="I298" s="410"/>
      <c r="J298" s="411"/>
      <c r="K298" s="399"/>
      <c r="L298" s="399"/>
      <c r="M298" s="73"/>
      <c r="N298" s="396"/>
      <c r="O298" s="396"/>
      <c r="P298" s="396"/>
      <c r="Q298" s="410"/>
      <c r="R298" s="411"/>
      <c r="S298" s="411"/>
      <c r="T298" s="411"/>
      <c r="AF298" s="352" t="n">
        <f aca="false">EOMONTH(AF297,0)+1</f>
        <v>45505</v>
      </c>
      <c r="AG298" s="311" t="n">
        <v>21</v>
      </c>
      <c r="AH298" s="311" t="n">
        <v>5</v>
      </c>
      <c r="AI298" s="311" t="n">
        <v>5</v>
      </c>
      <c r="AJ298" s="311" t="n">
        <v>0</v>
      </c>
      <c r="AK298" s="311" t="n">
        <v>31</v>
      </c>
      <c r="AL298" s="311"/>
      <c r="AM298" s="336"/>
    </row>
    <row r="299" customFormat="false" ht="12.75" hidden="false" customHeight="false" outlineLevel="0" collapsed="false">
      <c r="A299" s="408"/>
      <c r="B299" s="396"/>
      <c r="C299" s="409"/>
      <c r="D299" s="410"/>
      <c r="E299" s="396"/>
      <c r="F299" s="410"/>
      <c r="G299" s="396"/>
      <c r="H299" s="410"/>
      <c r="I299" s="410"/>
      <c r="J299" s="411"/>
      <c r="K299" s="399"/>
      <c r="L299" s="399"/>
      <c r="M299" s="73"/>
      <c r="N299" s="396"/>
      <c r="O299" s="396"/>
      <c r="P299" s="396"/>
      <c r="Q299" s="410"/>
      <c r="R299" s="411"/>
      <c r="S299" s="411"/>
      <c r="T299" s="411"/>
      <c r="AF299" s="352" t="n">
        <f aca="false">EOMONTH(AF298,0)+1</f>
        <v>45536</v>
      </c>
      <c r="AG299" s="311" t="n">
        <v>21</v>
      </c>
      <c r="AH299" s="311" t="n">
        <v>4</v>
      </c>
      <c r="AI299" s="311" t="n">
        <v>5</v>
      </c>
      <c r="AJ299" s="311" t="n">
        <v>1</v>
      </c>
      <c r="AK299" s="311" t="n">
        <v>30</v>
      </c>
      <c r="AL299" s="311"/>
      <c r="AM299" s="336"/>
    </row>
    <row r="300" customFormat="false" ht="12.75" hidden="false" customHeight="false" outlineLevel="0" collapsed="false">
      <c r="A300" s="408"/>
      <c r="B300" s="396"/>
      <c r="C300" s="409"/>
      <c r="D300" s="410"/>
      <c r="E300" s="396"/>
      <c r="F300" s="410"/>
      <c r="G300" s="396"/>
      <c r="H300" s="410"/>
      <c r="I300" s="410"/>
      <c r="J300" s="411"/>
      <c r="K300" s="399"/>
      <c r="L300" s="399"/>
      <c r="M300" s="73"/>
      <c r="N300" s="396"/>
      <c r="O300" s="396"/>
      <c r="P300" s="396"/>
      <c r="Q300" s="410"/>
      <c r="R300" s="411"/>
      <c r="S300" s="411"/>
      <c r="T300" s="411"/>
      <c r="AF300" s="352" t="n">
        <f aca="false">EOMONTH(AF299,0)+1</f>
        <v>45566</v>
      </c>
      <c r="AG300" s="311" t="n">
        <v>22</v>
      </c>
      <c r="AH300" s="311" t="n">
        <v>5</v>
      </c>
      <c r="AI300" s="311" t="n">
        <v>4</v>
      </c>
      <c r="AJ300" s="311" t="n">
        <v>0</v>
      </c>
      <c r="AK300" s="311" t="n">
        <v>31</v>
      </c>
      <c r="AL300" s="311"/>
      <c r="AM300" s="336"/>
    </row>
    <row r="301" customFormat="false" ht="12.75" hidden="false" customHeight="false" outlineLevel="0" collapsed="false">
      <c r="A301" s="408"/>
      <c r="B301" s="396"/>
      <c r="C301" s="409"/>
      <c r="D301" s="410"/>
      <c r="E301" s="396"/>
      <c r="F301" s="410"/>
      <c r="G301" s="396"/>
      <c r="H301" s="410"/>
      <c r="I301" s="410"/>
      <c r="J301" s="411"/>
      <c r="K301" s="399"/>
      <c r="L301" s="399"/>
      <c r="M301" s="73"/>
      <c r="N301" s="396"/>
      <c r="O301" s="396"/>
      <c r="P301" s="396"/>
      <c r="Q301" s="410"/>
      <c r="R301" s="411"/>
      <c r="S301" s="411"/>
      <c r="T301" s="411"/>
      <c r="AF301" s="352" t="n">
        <f aca="false">EOMONTH(AF300,0)+1</f>
        <v>45597</v>
      </c>
      <c r="AG301" s="311" t="n">
        <v>20</v>
      </c>
      <c r="AH301" s="311" t="n">
        <v>4</v>
      </c>
      <c r="AI301" s="311" t="n">
        <v>6</v>
      </c>
      <c r="AJ301" s="311" t="n">
        <v>1</v>
      </c>
      <c r="AK301" s="311" t="n">
        <v>30</v>
      </c>
      <c r="AL301" s="311"/>
      <c r="AM301" s="336"/>
    </row>
    <row r="302" customFormat="false" ht="12.75" hidden="false" customHeight="false" outlineLevel="0" collapsed="false">
      <c r="A302" s="408"/>
      <c r="B302" s="396"/>
      <c r="C302" s="409"/>
      <c r="D302" s="410"/>
      <c r="E302" s="396"/>
      <c r="F302" s="410"/>
      <c r="G302" s="396"/>
      <c r="H302" s="410"/>
      <c r="I302" s="410"/>
      <c r="J302" s="411"/>
      <c r="K302" s="399"/>
      <c r="L302" s="399"/>
      <c r="M302" s="73"/>
      <c r="N302" s="396"/>
      <c r="O302" s="396"/>
      <c r="P302" s="396"/>
      <c r="Q302" s="410"/>
      <c r="R302" s="411"/>
      <c r="S302" s="411"/>
      <c r="T302" s="411"/>
      <c r="AF302" s="352" t="n">
        <f aca="false">EOMONTH(AF301,0)+1</f>
        <v>45627</v>
      </c>
      <c r="AG302" s="311" t="n">
        <v>22</v>
      </c>
      <c r="AH302" s="311" t="n">
        <v>4</v>
      </c>
      <c r="AI302" s="311" t="n">
        <v>5</v>
      </c>
      <c r="AJ302" s="311" t="n">
        <v>1</v>
      </c>
      <c r="AK302" s="311" t="n">
        <v>31</v>
      </c>
      <c r="AL302" s="311"/>
      <c r="AM302" s="336"/>
    </row>
    <row r="303" customFormat="false" ht="12.75" hidden="false" customHeight="false" outlineLevel="0" collapsed="false">
      <c r="A303" s="408"/>
      <c r="B303" s="396"/>
      <c r="C303" s="409"/>
      <c r="D303" s="410"/>
      <c r="E303" s="396"/>
      <c r="F303" s="410"/>
      <c r="G303" s="396"/>
      <c r="H303" s="410"/>
      <c r="I303" s="410"/>
      <c r="J303" s="411"/>
      <c r="K303" s="399"/>
      <c r="L303" s="399"/>
      <c r="M303" s="73"/>
      <c r="N303" s="396"/>
      <c r="O303" s="396"/>
      <c r="P303" s="396"/>
      <c r="Q303" s="410"/>
      <c r="R303" s="411"/>
      <c r="S303" s="411"/>
      <c r="T303" s="411"/>
      <c r="AF303" s="352" t="n">
        <f aca="false">EOMONTH(AF302,0)+1</f>
        <v>45658</v>
      </c>
      <c r="AG303" s="311" t="n">
        <v>22</v>
      </c>
      <c r="AH303" s="311" t="n">
        <v>4</v>
      </c>
      <c r="AI303" s="311" t="n">
        <v>5</v>
      </c>
      <c r="AJ303" s="311" t="n">
        <v>1</v>
      </c>
      <c r="AK303" s="311" t="n">
        <v>31</v>
      </c>
      <c r="AL303" s="311"/>
      <c r="AM303" s="336"/>
    </row>
    <row r="304" customFormat="false" ht="12.75" hidden="false" customHeight="false" outlineLevel="0" collapsed="false">
      <c r="A304" s="408"/>
      <c r="B304" s="396"/>
      <c r="C304" s="409"/>
      <c r="D304" s="410"/>
      <c r="E304" s="396"/>
      <c r="F304" s="410"/>
      <c r="G304" s="396"/>
      <c r="H304" s="410"/>
      <c r="I304" s="410"/>
      <c r="J304" s="411"/>
      <c r="K304" s="399"/>
      <c r="L304" s="399"/>
      <c r="M304" s="73"/>
      <c r="N304" s="396"/>
      <c r="O304" s="396"/>
      <c r="P304" s="396"/>
      <c r="Q304" s="410"/>
      <c r="R304" s="411"/>
      <c r="S304" s="411"/>
      <c r="T304" s="411"/>
      <c r="AF304" s="352" t="n">
        <f aca="false">EOMONTH(AF303,0)+1</f>
        <v>45689</v>
      </c>
      <c r="AG304" s="311" t="n">
        <v>20</v>
      </c>
      <c r="AH304" s="311" t="n">
        <v>4</v>
      </c>
      <c r="AI304" s="311" t="n">
        <v>4</v>
      </c>
      <c r="AJ304" s="311" t="n">
        <v>0</v>
      </c>
      <c r="AK304" s="311" t="n">
        <v>28</v>
      </c>
      <c r="AL304" s="311"/>
      <c r="AM304" s="336"/>
    </row>
    <row r="305" customFormat="false" ht="12.75" hidden="false" customHeight="false" outlineLevel="0" collapsed="false">
      <c r="A305" s="408"/>
      <c r="B305" s="396"/>
      <c r="C305" s="409"/>
      <c r="D305" s="410"/>
      <c r="E305" s="396"/>
      <c r="F305" s="410"/>
      <c r="G305" s="396"/>
      <c r="H305" s="410"/>
      <c r="I305" s="410"/>
      <c r="J305" s="411"/>
      <c r="K305" s="399"/>
      <c r="L305" s="399"/>
      <c r="M305" s="73"/>
      <c r="N305" s="396"/>
      <c r="O305" s="396"/>
      <c r="P305" s="396"/>
      <c r="Q305" s="410"/>
      <c r="R305" s="411"/>
      <c r="S305" s="411"/>
      <c r="T305" s="411"/>
      <c r="AF305" s="352" t="n">
        <f aca="false">EOMONTH(AF304,0)+1</f>
        <v>45717</v>
      </c>
      <c r="AG305" s="311" t="n">
        <v>21</v>
      </c>
      <c r="AH305" s="311" t="n">
        <v>5</v>
      </c>
      <c r="AI305" s="311" t="n">
        <v>5</v>
      </c>
      <c r="AJ305" s="311" t="n">
        <v>0</v>
      </c>
      <c r="AK305" s="311" t="n">
        <v>31</v>
      </c>
      <c r="AL305" s="311"/>
      <c r="AM305" s="336"/>
    </row>
    <row r="306" customFormat="false" ht="12.75" hidden="false" customHeight="false" outlineLevel="0" collapsed="false">
      <c r="A306" s="408"/>
      <c r="B306" s="396"/>
      <c r="C306" s="409"/>
      <c r="D306" s="410"/>
      <c r="E306" s="396"/>
      <c r="F306" s="410"/>
      <c r="G306" s="396"/>
      <c r="H306" s="410"/>
      <c r="I306" s="410"/>
      <c r="J306" s="411"/>
      <c r="K306" s="399"/>
      <c r="L306" s="399"/>
      <c r="M306" s="73"/>
      <c r="N306" s="396"/>
      <c r="O306" s="396"/>
      <c r="P306" s="396"/>
      <c r="Q306" s="410"/>
      <c r="R306" s="411"/>
      <c r="S306" s="411"/>
      <c r="T306" s="411"/>
      <c r="AF306" s="352" t="n">
        <f aca="false">EOMONTH(AF305,0)+1</f>
        <v>45748</v>
      </c>
      <c r="AG306" s="311" t="n">
        <v>22</v>
      </c>
      <c r="AH306" s="311" t="n">
        <v>4</v>
      </c>
      <c r="AI306" s="311" t="n">
        <v>4</v>
      </c>
      <c r="AJ306" s="311" t="n">
        <v>0</v>
      </c>
      <c r="AK306" s="311" t="n">
        <v>30</v>
      </c>
      <c r="AL306" s="311"/>
      <c r="AM306" s="336"/>
    </row>
    <row r="307" customFormat="false" ht="12.75" hidden="false" customHeight="false" outlineLevel="0" collapsed="false">
      <c r="A307" s="408"/>
      <c r="B307" s="396"/>
      <c r="C307" s="409"/>
      <c r="D307" s="410"/>
      <c r="E307" s="396"/>
      <c r="F307" s="410"/>
      <c r="G307" s="396"/>
      <c r="H307" s="410"/>
      <c r="I307" s="410"/>
      <c r="J307" s="411"/>
      <c r="K307" s="399"/>
      <c r="L307" s="399"/>
      <c r="M307" s="73"/>
      <c r="N307" s="396"/>
      <c r="O307" s="396"/>
      <c r="P307" s="396"/>
      <c r="Q307" s="410"/>
      <c r="R307" s="411"/>
      <c r="S307" s="411"/>
      <c r="T307" s="411"/>
      <c r="AF307" s="352" t="n">
        <f aca="false">EOMONTH(AF306,0)+1</f>
        <v>45778</v>
      </c>
      <c r="AG307" s="311" t="n">
        <v>22</v>
      </c>
      <c r="AH307" s="311" t="n">
        <v>4</v>
      </c>
      <c r="AI307" s="311" t="n">
        <v>5</v>
      </c>
      <c r="AJ307" s="311" t="n">
        <v>1</v>
      </c>
      <c r="AK307" s="311" t="n">
        <v>31</v>
      </c>
      <c r="AL307" s="311"/>
      <c r="AM307" s="336"/>
    </row>
    <row r="308" customFormat="false" ht="12.75" hidden="false" customHeight="false" outlineLevel="0" collapsed="false">
      <c r="A308" s="408"/>
      <c r="B308" s="396"/>
      <c r="C308" s="409"/>
      <c r="D308" s="410"/>
      <c r="E308" s="396"/>
      <c r="F308" s="410"/>
      <c r="G308" s="396"/>
      <c r="H308" s="410"/>
      <c r="I308" s="410"/>
      <c r="J308" s="411"/>
      <c r="K308" s="399"/>
      <c r="L308" s="399"/>
      <c r="M308" s="73"/>
      <c r="N308" s="396"/>
      <c r="O308" s="396"/>
      <c r="P308" s="396"/>
      <c r="Q308" s="410"/>
      <c r="R308" s="411"/>
      <c r="S308" s="411"/>
      <c r="T308" s="411"/>
      <c r="AF308" s="352" t="n">
        <f aca="false">EOMONTH(AF307,0)+1</f>
        <v>45809</v>
      </c>
      <c r="AG308" s="311" t="n">
        <v>20</v>
      </c>
      <c r="AH308" s="311" t="n">
        <v>5</v>
      </c>
      <c r="AI308" s="311" t="n">
        <v>5</v>
      </c>
      <c r="AJ308" s="311" t="n">
        <v>0</v>
      </c>
      <c r="AK308" s="311" t="n">
        <v>30</v>
      </c>
      <c r="AL308" s="311"/>
      <c r="AM308" s="336"/>
    </row>
    <row r="309" customFormat="false" ht="12.75" hidden="false" customHeight="false" outlineLevel="0" collapsed="false">
      <c r="A309" s="408"/>
      <c r="B309" s="396"/>
      <c r="C309" s="409"/>
      <c r="D309" s="410"/>
      <c r="E309" s="396"/>
      <c r="F309" s="410"/>
      <c r="G309" s="396"/>
      <c r="H309" s="410"/>
      <c r="I309" s="410"/>
      <c r="J309" s="411"/>
      <c r="K309" s="399"/>
      <c r="L309" s="399"/>
      <c r="M309" s="73"/>
      <c r="N309" s="396"/>
      <c r="O309" s="396"/>
      <c r="P309" s="396"/>
      <c r="Q309" s="410"/>
      <c r="R309" s="411"/>
      <c r="S309" s="411"/>
      <c r="T309" s="411"/>
      <c r="AF309" s="352" t="n">
        <f aca="false">EOMONTH(AF308,0)+1</f>
        <v>45839</v>
      </c>
      <c r="AG309" s="311" t="n">
        <v>22</v>
      </c>
      <c r="AH309" s="311" t="n">
        <v>4</v>
      </c>
      <c r="AI309" s="311" t="n">
        <v>5</v>
      </c>
      <c r="AJ309" s="311" t="n">
        <v>1</v>
      </c>
      <c r="AK309" s="311" t="n">
        <v>31</v>
      </c>
      <c r="AL309" s="311"/>
      <c r="AM309" s="336"/>
    </row>
    <row r="310" customFormat="false" ht="12.75" hidden="false" customHeight="false" outlineLevel="0" collapsed="false">
      <c r="A310" s="408"/>
      <c r="B310" s="396"/>
      <c r="C310" s="409"/>
      <c r="D310" s="410"/>
      <c r="E310" s="396"/>
      <c r="F310" s="410"/>
      <c r="G310" s="396"/>
      <c r="H310" s="410"/>
      <c r="I310" s="410"/>
      <c r="J310" s="411"/>
      <c r="K310" s="399"/>
      <c r="L310" s="399"/>
      <c r="M310" s="73"/>
      <c r="N310" s="396"/>
      <c r="O310" s="396"/>
      <c r="P310" s="396"/>
      <c r="Q310" s="410"/>
      <c r="R310" s="411"/>
      <c r="S310" s="411"/>
      <c r="T310" s="411"/>
      <c r="AF310" s="352" t="n">
        <f aca="false">EOMONTH(AF309,0)+1</f>
        <v>45870</v>
      </c>
      <c r="AG310" s="311" t="n">
        <v>22</v>
      </c>
      <c r="AH310" s="311" t="n">
        <v>5</v>
      </c>
      <c r="AI310" s="311" t="n">
        <v>4</v>
      </c>
      <c r="AJ310" s="311" t="n">
        <v>0</v>
      </c>
      <c r="AK310" s="311" t="n">
        <v>31</v>
      </c>
      <c r="AL310" s="311"/>
      <c r="AM310" s="336"/>
    </row>
    <row r="311" customFormat="false" ht="12.75" hidden="false" customHeight="false" outlineLevel="0" collapsed="false">
      <c r="A311" s="408"/>
      <c r="B311" s="396"/>
      <c r="C311" s="409"/>
      <c r="D311" s="410"/>
      <c r="E311" s="396"/>
      <c r="F311" s="410"/>
      <c r="G311" s="396"/>
      <c r="H311" s="410"/>
      <c r="I311" s="410"/>
      <c r="J311" s="411"/>
      <c r="K311" s="399"/>
      <c r="L311" s="399"/>
      <c r="M311" s="73"/>
      <c r="N311" s="396"/>
      <c r="O311" s="396"/>
      <c r="P311" s="396"/>
      <c r="Q311" s="410"/>
      <c r="R311" s="411"/>
      <c r="S311" s="411"/>
      <c r="T311" s="411"/>
      <c r="AF311" s="352" t="n">
        <f aca="false">EOMONTH(AF310,0)+1</f>
        <v>45901</v>
      </c>
      <c r="AG311" s="311" t="n">
        <v>20</v>
      </c>
      <c r="AH311" s="311" t="n">
        <v>4</v>
      </c>
      <c r="AI311" s="311" t="n">
        <v>6</v>
      </c>
      <c r="AJ311" s="311" t="n">
        <v>1</v>
      </c>
      <c r="AK311" s="311" t="n">
        <v>30</v>
      </c>
      <c r="AL311" s="311"/>
      <c r="AM311" s="336"/>
    </row>
    <row r="312" customFormat="false" ht="12.75" hidden="false" customHeight="false" outlineLevel="0" collapsed="false">
      <c r="A312" s="408"/>
      <c r="B312" s="396"/>
      <c r="C312" s="409"/>
      <c r="D312" s="410"/>
      <c r="E312" s="396"/>
      <c r="F312" s="410"/>
      <c r="G312" s="396"/>
      <c r="H312" s="410"/>
      <c r="I312" s="410"/>
      <c r="J312" s="411"/>
      <c r="K312" s="399"/>
      <c r="L312" s="399"/>
      <c r="M312" s="73"/>
      <c r="N312" s="396"/>
      <c r="O312" s="396"/>
      <c r="P312" s="396"/>
      <c r="Q312" s="410"/>
      <c r="R312" s="411"/>
      <c r="S312" s="411"/>
      <c r="T312" s="411"/>
      <c r="AF312" s="352" t="n">
        <f aca="false">EOMONTH(AF311,0)+1</f>
        <v>45931</v>
      </c>
      <c r="AG312" s="311" t="n">
        <v>23</v>
      </c>
      <c r="AH312" s="311" t="n">
        <v>4</v>
      </c>
      <c r="AI312" s="311" t="n">
        <v>4</v>
      </c>
      <c r="AJ312" s="311" t="n">
        <v>0</v>
      </c>
      <c r="AK312" s="311" t="n">
        <v>31</v>
      </c>
      <c r="AL312" s="311"/>
      <c r="AM312" s="336"/>
    </row>
    <row r="313" customFormat="false" ht="12.75" hidden="false" customHeight="false" outlineLevel="0" collapsed="false">
      <c r="A313" s="408"/>
      <c r="B313" s="396"/>
      <c r="C313" s="409"/>
      <c r="D313" s="410"/>
      <c r="E313" s="396"/>
      <c r="F313" s="410"/>
      <c r="G313" s="396"/>
      <c r="H313" s="410"/>
      <c r="I313" s="410"/>
      <c r="J313" s="411"/>
      <c r="K313" s="399"/>
      <c r="L313" s="399"/>
      <c r="M313" s="73"/>
      <c r="N313" s="396"/>
      <c r="O313" s="396"/>
      <c r="P313" s="396"/>
      <c r="Q313" s="410"/>
      <c r="R313" s="411"/>
      <c r="S313" s="411"/>
      <c r="T313" s="411"/>
      <c r="AF313" s="352" t="n">
        <f aca="false">EOMONTH(AF312,0)+1</f>
        <v>45962</v>
      </c>
      <c r="AG313" s="311" t="n">
        <v>20</v>
      </c>
      <c r="AH313" s="311" t="n">
        <v>5</v>
      </c>
      <c r="AI313" s="311" t="n">
        <v>5</v>
      </c>
      <c r="AJ313" s="311" t="n">
        <v>1</v>
      </c>
      <c r="AK313" s="311" t="n">
        <v>30</v>
      </c>
      <c r="AL313" s="311"/>
      <c r="AM313" s="336"/>
    </row>
    <row r="314" customFormat="false" ht="12.75" hidden="false" customHeight="false" outlineLevel="0" collapsed="false">
      <c r="A314" s="408"/>
      <c r="B314" s="396"/>
      <c r="C314" s="409"/>
      <c r="D314" s="410"/>
      <c r="E314" s="396"/>
      <c r="F314" s="410"/>
      <c r="G314" s="396"/>
      <c r="H314" s="410"/>
      <c r="I314" s="410"/>
      <c r="J314" s="411"/>
      <c r="K314" s="399"/>
      <c r="L314" s="399"/>
      <c r="M314" s="73"/>
      <c r="N314" s="396"/>
      <c r="O314" s="396"/>
      <c r="P314" s="396"/>
      <c r="Q314" s="410"/>
      <c r="R314" s="411"/>
      <c r="S314" s="411"/>
      <c r="T314" s="411"/>
      <c r="AF314" s="352" t="n">
        <f aca="false">EOMONTH(AF313,0)+1</f>
        <v>45992</v>
      </c>
      <c r="AG314" s="311" t="n">
        <v>21</v>
      </c>
      <c r="AH314" s="311" t="n">
        <v>4</v>
      </c>
      <c r="AI314" s="311" t="n">
        <v>6</v>
      </c>
      <c r="AJ314" s="311" t="n">
        <v>1</v>
      </c>
      <c r="AK314" s="311" t="n">
        <v>31</v>
      </c>
      <c r="AL314" s="311"/>
      <c r="AM314" s="336"/>
    </row>
    <row r="315" customFormat="false" ht="12.75" hidden="false" customHeight="false" outlineLevel="0" collapsed="false">
      <c r="A315" s="408"/>
      <c r="B315" s="396"/>
      <c r="C315" s="409"/>
      <c r="D315" s="410"/>
      <c r="E315" s="396"/>
      <c r="F315" s="410"/>
      <c r="G315" s="396"/>
      <c r="H315" s="410"/>
      <c r="I315" s="410"/>
      <c r="J315" s="411"/>
      <c r="K315" s="399"/>
      <c r="L315" s="399"/>
      <c r="M315" s="73"/>
      <c r="N315" s="396"/>
      <c r="O315" s="396"/>
      <c r="P315" s="396"/>
      <c r="Q315" s="410"/>
      <c r="R315" s="411"/>
      <c r="S315" s="411"/>
      <c r="T315" s="411"/>
      <c r="AF315" s="352" t="n">
        <f aca="false">EOMONTH(AF314,0)+1</f>
        <v>46023</v>
      </c>
      <c r="AG315" s="311" t="n">
        <v>22</v>
      </c>
      <c r="AH315" s="311" t="n">
        <v>4</v>
      </c>
      <c r="AI315" s="311" t="n">
        <v>5</v>
      </c>
      <c r="AJ315" s="311" t="n">
        <v>1</v>
      </c>
      <c r="AK315" s="311" t="n">
        <v>31</v>
      </c>
      <c r="AL315" s="311"/>
      <c r="AM315" s="336"/>
    </row>
    <row r="316" customFormat="false" ht="12.75" hidden="false" customHeight="false" outlineLevel="0" collapsed="false">
      <c r="A316" s="408"/>
      <c r="B316" s="396"/>
      <c r="C316" s="409"/>
      <c r="D316" s="410"/>
      <c r="E316" s="396"/>
      <c r="F316" s="410"/>
      <c r="G316" s="396"/>
      <c r="H316" s="410"/>
      <c r="I316" s="410"/>
      <c r="J316" s="411"/>
      <c r="K316" s="399"/>
      <c r="L316" s="399"/>
      <c r="M316" s="73"/>
      <c r="N316" s="396"/>
      <c r="O316" s="396"/>
      <c r="P316" s="396"/>
      <c r="Q316" s="410"/>
      <c r="R316" s="411"/>
      <c r="S316" s="411"/>
      <c r="T316" s="411"/>
      <c r="AF316" s="352" t="n">
        <f aca="false">EOMONTH(AF315,0)+1</f>
        <v>46054</v>
      </c>
      <c r="AG316" s="311" t="n">
        <v>20</v>
      </c>
      <c r="AH316" s="311" t="n">
        <v>4</v>
      </c>
      <c r="AI316" s="311" t="n">
        <v>4</v>
      </c>
      <c r="AJ316" s="311" t="n">
        <v>0</v>
      </c>
      <c r="AK316" s="311" t="n">
        <v>28</v>
      </c>
      <c r="AL316" s="311"/>
      <c r="AM316" s="336"/>
    </row>
    <row r="317" customFormat="false" ht="12.75" hidden="false" customHeight="false" outlineLevel="0" collapsed="false">
      <c r="A317" s="408"/>
      <c r="B317" s="396"/>
      <c r="C317" s="409"/>
      <c r="D317" s="410"/>
      <c r="E317" s="396"/>
      <c r="F317" s="410"/>
      <c r="G317" s="396"/>
      <c r="H317" s="410"/>
      <c r="I317" s="410"/>
      <c r="J317" s="411"/>
      <c r="K317" s="399"/>
      <c r="L317" s="399"/>
      <c r="M317" s="73"/>
      <c r="N317" s="396"/>
      <c r="O317" s="396"/>
      <c r="P317" s="396"/>
      <c r="Q317" s="410"/>
      <c r="R317" s="411"/>
      <c r="S317" s="411"/>
      <c r="T317" s="411"/>
      <c r="AF317" s="352" t="n">
        <f aca="false">EOMONTH(AF316,0)+1</f>
        <v>46082</v>
      </c>
      <c r="AG317" s="311" t="n">
        <v>21</v>
      </c>
      <c r="AH317" s="311" t="n">
        <v>5</v>
      </c>
      <c r="AI317" s="311" t="n">
        <v>5</v>
      </c>
      <c r="AJ317" s="311" t="n">
        <v>0</v>
      </c>
      <c r="AK317" s="311" t="n">
        <v>31</v>
      </c>
      <c r="AL317" s="311"/>
      <c r="AM317" s="336"/>
    </row>
    <row r="318" customFormat="false" ht="12.75" hidden="false" customHeight="false" outlineLevel="0" collapsed="false">
      <c r="A318" s="408"/>
      <c r="B318" s="396"/>
      <c r="C318" s="409"/>
      <c r="D318" s="410"/>
      <c r="E318" s="396"/>
      <c r="F318" s="410"/>
      <c r="G318" s="396"/>
      <c r="H318" s="410"/>
      <c r="I318" s="410"/>
      <c r="J318" s="411"/>
      <c r="K318" s="399"/>
      <c r="L318" s="399"/>
      <c r="M318" s="73"/>
      <c r="N318" s="396"/>
      <c r="O318" s="396"/>
      <c r="P318" s="396"/>
      <c r="Q318" s="410"/>
      <c r="R318" s="411"/>
      <c r="S318" s="411"/>
      <c r="T318" s="411"/>
      <c r="AF318" s="352" t="n">
        <f aca="false">EOMONTH(AF317,0)+1</f>
        <v>46113</v>
      </c>
      <c r="AG318" s="311" t="n">
        <v>22</v>
      </c>
      <c r="AH318" s="311" t="n">
        <v>4</v>
      </c>
      <c r="AI318" s="311" t="n">
        <v>4</v>
      </c>
      <c r="AJ318" s="311" t="n">
        <v>0</v>
      </c>
      <c r="AK318" s="311" t="n">
        <v>30</v>
      </c>
      <c r="AL318" s="311"/>
      <c r="AM318" s="336"/>
    </row>
    <row r="319" customFormat="false" ht="12.75" hidden="false" customHeight="false" outlineLevel="0" collapsed="false">
      <c r="A319" s="408"/>
      <c r="B319" s="396"/>
      <c r="C319" s="409"/>
      <c r="D319" s="410"/>
      <c r="E319" s="396"/>
      <c r="F319" s="410"/>
      <c r="G319" s="396"/>
      <c r="H319" s="410"/>
      <c r="I319" s="410"/>
      <c r="J319" s="411"/>
      <c r="K319" s="399"/>
      <c r="L319" s="399"/>
      <c r="M319" s="73"/>
      <c r="N319" s="396"/>
      <c r="O319" s="396"/>
      <c r="P319" s="396"/>
      <c r="Q319" s="410"/>
      <c r="R319" s="411"/>
      <c r="S319" s="411"/>
      <c r="T319" s="411"/>
      <c r="AF319" s="352" t="n">
        <f aca="false">EOMONTH(AF318,0)+1</f>
        <v>46143</v>
      </c>
      <c r="AG319" s="311" t="n">
        <v>22</v>
      </c>
      <c r="AH319" s="311" t="n">
        <v>4</v>
      </c>
      <c r="AI319" s="311" t="n">
        <v>5</v>
      </c>
      <c r="AJ319" s="311" t="n">
        <v>1</v>
      </c>
      <c r="AK319" s="311" t="n">
        <v>31</v>
      </c>
      <c r="AL319" s="311"/>
      <c r="AM319" s="336"/>
    </row>
    <row r="320" customFormat="false" ht="12.75" hidden="false" customHeight="false" outlineLevel="0" collapsed="false">
      <c r="A320" s="408"/>
      <c r="B320" s="396"/>
      <c r="C320" s="409"/>
      <c r="D320" s="410"/>
      <c r="E320" s="396"/>
      <c r="F320" s="410"/>
      <c r="G320" s="396"/>
      <c r="H320" s="410"/>
      <c r="I320" s="410"/>
      <c r="J320" s="411"/>
      <c r="K320" s="399"/>
      <c r="L320" s="399"/>
      <c r="M320" s="73"/>
      <c r="N320" s="396"/>
      <c r="O320" s="396"/>
      <c r="P320" s="396"/>
      <c r="Q320" s="410"/>
      <c r="R320" s="411"/>
      <c r="S320" s="411"/>
      <c r="T320" s="411"/>
      <c r="AF320" s="352" t="n">
        <f aca="false">EOMONTH(AF319,0)+1</f>
        <v>46174</v>
      </c>
      <c r="AG320" s="311" t="n">
        <v>20</v>
      </c>
      <c r="AH320" s="311" t="n">
        <v>5</v>
      </c>
      <c r="AI320" s="311" t="n">
        <v>5</v>
      </c>
      <c r="AJ320" s="311" t="n">
        <v>0</v>
      </c>
      <c r="AK320" s="311" t="n">
        <v>30</v>
      </c>
      <c r="AL320" s="311"/>
      <c r="AM320" s="336"/>
    </row>
    <row r="321" customFormat="false" ht="12.75" hidden="false" customHeight="false" outlineLevel="0" collapsed="false">
      <c r="A321" s="408"/>
      <c r="B321" s="396"/>
      <c r="C321" s="409"/>
      <c r="D321" s="410"/>
      <c r="E321" s="396"/>
      <c r="F321" s="410"/>
      <c r="G321" s="396"/>
      <c r="H321" s="410"/>
      <c r="I321" s="410"/>
      <c r="J321" s="411"/>
      <c r="K321" s="399"/>
      <c r="L321" s="399"/>
      <c r="M321" s="73"/>
      <c r="N321" s="396"/>
      <c r="O321" s="396"/>
      <c r="P321" s="396"/>
      <c r="Q321" s="410"/>
      <c r="R321" s="411"/>
      <c r="S321" s="411"/>
      <c r="T321" s="411"/>
      <c r="AF321" s="352" t="n">
        <f aca="false">EOMONTH(AF320,0)+1</f>
        <v>46204</v>
      </c>
      <c r="AG321" s="311" t="n">
        <v>22</v>
      </c>
      <c r="AH321" s="311" t="n">
        <v>4</v>
      </c>
      <c r="AI321" s="311" t="n">
        <v>5</v>
      </c>
      <c r="AJ321" s="311" t="n">
        <v>1</v>
      </c>
      <c r="AK321" s="311" t="n">
        <v>31</v>
      </c>
      <c r="AL321" s="311"/>
      <c r="AM321" s="336"/>
    </row>
    <row r="322" customFormat="false" ht="12.75" hidden="false" customHeight="false" outlineLevel="0" collapsed="false">
      <c r="A322" s="408"/>
      <c r="B322" s="396"/>
      <c r="C322" s="409"/>
      <c r="D322" s="410"/>
      <c r="E322" s="396"/>
      <c r="F322" s="410"/>
      <c r="G322" s="396"/>
      <c r="H322" s="410"/>
      <c r="I322" s="410"/>
      <c r="J322" s="411"/>
      <c r="K322" s="399"/>
      <c r="L322" s="399"/>
      <c r="M322" s="73"/>
      <c r="N322" s="396"/>
      <c r="O322" s="396"/>
      <c r="P322" s="396"/>
      <c r="Q322" s="410"/>
      <c r="R322" s="411"/>
      <c r="S322" s="411"/>
      <c r="T322" s="411"/>
      <c r="AF322" s="352" t="n">
        <f aca="false">EOMONTH(AF321,0)+1</f>
        <v>46235</v>
      </c>
      <c r="AG322" s="311" t="n">
        <v>22</v>
      </c>
      <c r="AH322" s="311" t="n">
        <v>5</v>
      </c>
      <c r="AI322" s="311" t="n">
        <v>4</v>
      </c>
      <c r="AJ322" s="311" t="n">
        <v>0</v>
      </c>
      <c r="AK322" s="311" t="n">
        <v>31</v>
      </c>
      <c r="AL322" s="311"/>
      <c r="AM322" s="336"/>
    </row>
    <row r="323" customFormat="false" ht="12.75" hidden="false" customHeight="false" outlineLevel="0" collapsed="false">
      <c r="A323" s="408"/>
      <c r="B323" s="396"/>
      <c r="C323" s="409"/>
      <c r="D323" s="410"/>
      <c r="E323" s="396"/>
      <c r="F323" s="410"/>
      <c r="G323" s="396"/>
      <c r="H323" s="410"/>
      <c r="I323" s="410"/>
      <c r="J323" s="411"/>
      <c r="K323" s="399"/>
      <c r="L323" s="399"/>
      <c r="M323" s="73"/>
      <c r="N323" s="396"/>
      <c r="O323" s="396"/>
      <c r="P323" s="396"/>
      <c r="Q323" s="410"/>
      <c r="R323" s="411"/>
      <c r="S323" s="411"/>
      <c r="T323" s="411"/>
      <c r="AF323" s="352" t="n">
        <f aca="false">EOMONTH(AF322,0)+1</f>
        <v>46266</v>
      </c>
      <c r="AG323" s="311" t="n">
        <v>20</v>
      </c>
      <c r="AH323" s="311" t="n">
        <v>4</v>
      </c>
      <c r="AI323" s="311" t="n">
        <v>6</v>
      </c>
      <c r="AJ323" s="311" t="n">
        <v>1</v>
      </c>
      <c r="AK323" s="311" t="n">
        <v>30</v>
      </c>
      <c r="AL323" s="311"/>
      <c r="AM323" s="336"/>
    </row>
    <row r="324" customFormat="false" ht="12.75" hidden="false" customHeight="false" outlineLevel="0" collapsed="false">
      <c r="A324" s="408"/>
      <c r="B324" s="396"/>
      <c r="C324" s="409"/>
      <c r="D324" s="410"/>
      <c r="E324" s="396"/>
      <c r="F324" s="410"/>
      <c r="G324" s="396"/>
      <c r="H324" s="410"/>
      <c r="I324" s="410"/>
      <c r="J324" s="411"/>
      <c r="K324" s="399"/>
      <c r="L324" s="399"/>
      <c r="M324" s="73"/>
      <c r="N324" s="396"/>
      <c r="O324" s="396"/>
      <c r="P324" s="396"/>
      <c r="Q324" s="410"/>
      <c r="R324" s="411"/>
      <c r="S324" s="411"/>
      <c r="T324" s="411"/>
      <c r="AF324" s="352" t="n">
        <f aca="false">EOMONTH(AF323,0)+1</f>
        <v>46296</v>
      </c>
      <c r="AG324" s="311" t="n">
        <v>23</v>
      </c>
      <c r="AH324" s="311" t="n">
        <v>4</v>
      </c>
      <c r="AI324" s="311" t="n">
        <v>4</v>
      </c>
      <c r="AJ324" s="311" t="n">
        <v>0</v>
      </c>
      <c r="AK324" s="311" t="n">
        <v>31</v>
      </c>
      <c r="AL324" s="311"/>
      <c r="AM324" s="336"/>
    </row>
    <row r="325" customFormat="false" ht="12.75" hidden="false" customHeight="false" outlineLevel="0" collapsed="false">
      <c r="A325" s="408"/>
      <c r="B325" s="396"/>
      <c r="C325" s="409"/>
      <c r="D325" s="410"/>
      <c r="E325" s="396"/>
      <c r="F325" s="410"/>
      <c r="G325" s="396"/>
      <c r="H325" s="410"/>
      <c r="I325" s="410"/>
      <c r="J325" s="411"/>
      <c r="K325" s="399"/>
      <c r="L325" s="399"/>
      <c r="M325" s="73"/>
      <c r="N325" s="396"/>
      <c r="O325" s="396"/>
      <c r="P325" s="396"/>
      <c r="Q325" s="410"/>
      <c r="R325" s="411"/>
      <c r="S325" s="411"/>
      <c r="T325" s="411"/>
      <c r="AF325" s="352" t="n">
        <f aca="false">EOMONTH(AF324,0)+1</f>
        <v>46327</v>
      </c>
      <c r="AG325" s="311" t="n">
        <v>20</v>
      </c>
      <c r="AH325" s="311" t="n">
        <v>5</v>
      </c>
      <c r="AI325" s="311" t="n">
        <v>5</v>
      </c>
      <c r="AJ325" s="311" t="n">
        <v>1</v>
      </c>
      <c r="AK325" s="311" t="n">
        <v>30</v>
      </c>
      <c r="AL325" s="311"/>
      <c r="AM325" s="336"/>
    </row>
    <row r="326" customFormat="false" ht="12.75" hidden="false" customHeight="false" outlineLevel="0" collapsed="false">
      <c r="A326" s="408"/>
      <c r="B326" s="396"/>
      <c r="C326" s="409"/>
      <c r="D326" s="410"/>
      <c r="E326" s="396"/>
      <c r="F326" s="410"/>
      <c r="G326" s="396"/>
      <c r="H326" s="410"/>
      <c r="I326" s="410"/>
      <c r="J326" s="411"/>
      <c r="K326" s="399"/>
      <c r="L326" s="399"/>
      <c r="M326" s="73"/>
      <c r="N326" s="396"/>
      <c r="O326" s="396"/>
      <c r="P326" s="396"/>
      <c r="Q326" s="410"/>
      <c r="R326" s="411"/>
      <c r="S326" s="411"/>
      <c r="T326" s="411"/>
      <c r="AF326" s="352" t="n">
        <f aca="false">EOMONTH(AF325,0)+1</f>
        <v>46357</v>
      </c>
      <c r="AG326" s="311" t="n">
        <v>21</v>
      </c>
      <c r="AH326" s="311" t="n">
        <v>4</v>
      </c>
      <c r="AI326" s="311" t="n">
        <v>6</v>
      </c>
      <c r="AJ326" s="311" t="n">
        <v>1</v>
      </c>
      <c r="AK326" s="311" t="n">
        <v>31</v>
      </c>
      <c r="AL326" s="311"/>
      <c r="AM326" s="336"/>
    </row>
    <row r="327" customFormat="false" ht="12.75" hidden="false" customHeight="false" outlineLevel="0" collapsed="false">
      <c r="A327" s="408"/>
      <c r="B327" s="396"/>
      <c r="C327" s="409"/>
      <c r="D327" s="410"/>
      <c r="E327" s="396"/>
      <c r="F327" s="410"/>
      <c r="G327" s="396"/>
      <c r="H327" s="410"/>
      <c r="I327" s="410"/>
      <c r="J327" s="411"/>
      <c r="K327" s="399"/>
      <c r="L327" s="399"/>
      <c r="M327" s="73"/>
      <c r="N327" s="396"/>
      <c r="O327" s="396"/>
      <c r="P327" s="396"/>
      <c r="Q327" s="410"/>
      <c r="R327" s="411"/>
      <c r="S327" s="411"/>
      <c r="T327" s="411"/>
      <c r="AF327" s="352" t="n">
        <f aca="false">EOMONTH(AF326,0)+1</f>
        <v>46388</v>
      </c>
      <c r="AG327" s="311" t="n">
        <v>22</v>
      </c>
      <c r="AH327" s="311" t="n">
        <v>4</v>
      </c>
      <c r="AI327" s="311" t="n">
        <v>5</v>
      </c>
      <c r="AJ327" s="311" t="n">
        <v>1</v>
      </c>
      <c r="AK327" s="311" t="n">
        <v>31</v>
      </c>
      <c r="AL327" s="311"/>
      <c r="AM327" s="336"/>
    </row>
    <row r="328" customFormat="false" ht="12.75" hidden="false" customHeight="false" outlineLevel="0" collapsed="false">
      <c r="A328" s="408"/>
      <c r="B328" s="396"/>
      <c r="C328" s="409"/>
      <c r="D328" s="410"/>
      <c r="E328" s="396"/>
      <c r="F328" s="410"/>
      <c r="G328" s="396"/>
      <c r="H328" s="410"/>
      <c r="I328" s="410"/>
      <c r="J328" s="411"/>
      <c r="K328" s="399"/>
      <c r="L328" s="399"/>
      <c r="M328" s="73"/>
      <c r="N328" s="396"/>
      <c r="O328" s="396"/>
      <c r="P328" s="396"/>
      <c r="Q328" s="410"/>
      <c r="R328" s="411"/>
      <c r="S328" s="411"/>
      <c r="T328" s="411"/>
      <c r="AF328" s="352" t="n">
        <f aca="false">EOMONTH(AF327,0)+1</f>
        <v>46419</v>
      </c>
      <c r="AG328" s="311" t="n">
        <v>20</v>
      </c>
      <c r="AH328" s="311" t="n">
        <v>4</v>
      </c>
      <c r="AI328" s="311" t="n">
        <v>4</v>
      </c>
      <c r="AJ328" s="311" t="n">
        <v>0</v>
      </c>
      <c r="AK328" s="311" t="n">
        <v>28</v>
      </c>
      <c r="AL328" s="311"/>
      <c r="AM328" s="336"/>
    </row>
    <row r="329" customFormat="false" ht="12.75" hidden="false" customHeight="false" outlineLevel="0" collapsed="false">
      <c r="A329" s="408"/>
      <c r="B329" s="396"/>
      <c r="C329" s="409"/>
      <c r="D329" s="410"/>
      <c r="E329" s="396"/>
      <c r="F329" s="410"/>
      <c r="G329" s="396"/>
      <c r="H329" s="410"/>
      <c r="I329" s="410"/>
      <c r="J329" s="411"/>
      <c r="K329" s="399"/>
      <c r="L329" s="399"/>
      <c r="M329" s="73"/>
      <c r="N329" s="396"/>
      <c r="O329" s="396"/>
      <c r="P329" s="396"/>
      <c r="Q329" s="410"/>
      <c r="R329" s="411"/>
      <c r="S329" s="411"/>
      <c r="T329" s="411"/>
      <c r="AF329" s="352" t="n">
        <f aca="false">EOMONTH(AF328,0)+1</f>
        <v>46447</v>
      </c>
      <c r="AG329" s="311" t="n">
        <v>21</v>
      </c>
      <c r="AH329" s="311" t="n">
        <v>5</v>
      </c>
      <c r="AI329" s="311" t="n">
        <v>5</v>
      </c>
      <c r="AJ329" s="311" t="n">
        <v>0</v>
      </c>
      <c r="AK329" s="311" t="n">
        <v>31</v>
      </c>
      <c r="AL329" s="311"/>
      <c r="AM329" s="336"/>
    </row>
    <row r="330" customFormat="false" ht="12.75" hidden="false" customHeight="false" outlineLevel="0" collapsed="false">
      <c r="A330" s="408"/>
      <c r="B330" s="396"/>
      <c r="C330" s="409"/>
      <c r="D330" s="410"/>
      <c r="E330" s="396"/>
      <c r="F330" s="410"/>
      <c r="G330" s="396"/>
      <c r="H330" s="410"/>
      <c r="I330" s="410"/>
      <c r="J330" s="411"/>
      <c r="K330" s="399"/>
      <c r="L330" s="399"/>
      <c r="M330" s="73"/>
      <c r="N330" s="396"/>
      <c r="O330" s="396"/>
      <c r="P330" s="396"/>
      <c r="Q330" s="410"/>
      <c r="R330" s="411"/>
      <c r="S330" s="411"/>
      <c r="T330" s="411"/>
      <c r="AF330" s="352" t="n">
        <f aca="false">EOMONTH(AF329,0)+1</f>
        <v>46478</v>
      </c>
      <c r="AG330" s="311" t="n">
        <v>22</v>
      </c>
      <c r="AH330" s="311" t="n">
        <v>4</v>
      </c>
      <c r="AI330" s="311" t="n">
        <v>4</v>
      </c>
      <c r="AJ330" s="311" t="n">
        <v>0</v>
      </c>
      <c r="AK330" s="311" t="n">
        <v>30</v>
      </c>
      <c r="AL330" s="311"/>
      <c r="AM330" s="336"/>
    </row>
    <row r="331" customFormat="false" ht="12.75" hidden="false" customHeight="false" outlineLevel="0" collapsed="false">
      <c r="A331" s="408"/>
      <c r="B331" s="396"/>
      <c r="C331" s="409"/>
      <c r="D331" s="410"/>
      <c r="E331" s="396"/>
      <c r="F331" s="410"/>
      <c r="G331" s="396"/>
      <c r="H331" s="410"/>
      <c r="I331" s="410"/>
      <c r="J331" s="411"/>
      <c r="K331" s="399"/>
      <c r="L331" s="399"/>
      <c r="M331" s="73"/>
      <c r="N331" s="396"/>
      <c r="O331" s="396"/>
      <c r="P331" s="396"/>
      <c r="Q331" s="410"/>
      <c r="R331" s="411"/>
      <c r="S331" s="411"/>
      <c r="T331" s="411"/>
      <c r="AF331" s="352" t="n">
        <f aca="false">EOMONTH(AF330,0)+1</f>
        <v>46508</v>
      </c>
      <c r="AG331" s="311" t="n">
        <v>22</v>
      </c>
      <c r="AH331" s="311" t="n">
        <v>4</v>
      </c>
      <c r="AI331" s="311" t="n">
        <v>5</v>
      </c>
      <c r="AJ331" s="311" t="n">
        <v>1</v>
      </c>
      <c r="AK331" s="311" t="n">
        <v>31</v>
      </c>
      <c r="AL331" s="311"/>
      <c r="AM331" s="336"/>
    </row>
    <row r="332" customFormat="false" ht="12.75" hidden="false" customHeight="false" outlineLevel="0" collapsed="false">
      <c r="A332" s="408"/>
      <c r="B332" s="396"/>
      <c r="C332" s="409"/>
      <c r="D332" s="410"/>
      <c r="E332" s="396"/>
      <c r="F332" s="410"/>
      <c r="G332" s="396"/>
      <c r="H332" s="410"/>
      <c r="I332" s="410"/>
      <c r="J332" s="411"/>
      <c r="K332" s="399"/>
      <c r="L332" s="399"/>
      <c r="M332" s="73"/>
      <c r="N332" s="396"/>
      <c r="O332" s="396"/>
      <c r="P332" s="396"/>
      <c r="Q332" s="410"/>
      <c r="R332" s="411"/>
      <c r="S332" s="411"/>
      <c r="T332" s="411"/>
      <c r="AF332" s="352" t="n">
        <f aca="false">EOMONTH(AF331,0)+1</f>
        <v>46539</v>
      </c>
      <c r="AG332" s="311" t="n">
        <v>20</v>
      </c>
      <c r="AH332" s="311" t="n">
        <v>5</v>
      </c>
      <c r="AI332" s="311" t="n">
        <v>5</v>
      </c>
      <c r="AJ332" s="311" t="n">
        <v>0</v>
      </c>
      <c r="AK332" s="311" t="n">
        <v>30</v>
      </c>
      <c r="AL332" s="311"/>
      <c r="AM332" s="336"/>
    </row>
    <row r="333" customFormat="false" ht="12.75" hidden="false" customHeight="false" outlineLevel="0" collapsed="false">
      <c r="A333" s="408"/>
      <c r="B333" s="396"/>
      <c r="C333" s="409"/>
      <c r="D333" s="410"/>
      <c r="E333" s="396"/>
      <c r="F333" s="410"/>
      <c r="G333" s="396"/>
      <c r="H333" s="410"/>
      <c r="I333" s="410"/>
      <c r="J333" s="411"/>
      <c r="K333" s="399"/>
      <c r="L333" s="399"/>
      <c r="M333" s="73"/>
      <c r="N333" s="396"/>
      <c r="O333" s="396"/>
      <c r="P333" s="396"/>
      <c r="Q333" s="410"/>
      <c r="R333" s="411"/>
      <c r="S333" s="411"/>
      <c r="T333" s="411"/>
      <c r="AF333" s="352" t="n">
        <f aca="false">EOMONTH(AF332,0)+1</f>
        <v>46569</v>
      </c>
      <c r="AG333" s="311" t="n">
        <v>22</v>
      </c>
      <c r="AH333" s="311" t="n">
        <v>4</v>
      </c>
      <c r="AI333" s="311" t="n">
        <v>5</v>
      </c>
      <c r="AJ333" s="311" t="n">
        <v>1</v>
      </c>
      <c r="AK333" s="311" t="n">
        <v>31</v>
      </c>
      <c r="AL333" s="311"/>
      <c r="AM333" s="336"/>
    </row>
    <row r="334" customFormat="false" ht="12.75" hidden="false" customHeight="false" outlineLevel="0" collapsed="false">
      <c r="A334" s="408"/>
      <c r="B334" s="396"/>
      <c r="C334" s="409"/>
      <c r="D334" s="410"/>
      <c r="E334" s="396"/>
      <c r="F334" s="410"/>
      <c r="G334" s="396"/>
      <c r="H334" s="410"/>
      <c r="I334" s="410"/>
      <c r="J334" s="411"/>
      <c r="K334" s="399"/>
      <c r="L334" s="399"/>
      <c r="M334" s="73"/>
      <c r="N334" s="396"/>
      <c r="O334" s="396"/>
      <c r="P334" s="396"/>
      <c r="Q334" s="410"/>
      <c r="R334" s="411"/>
      <c r="S334" s="411"/>
      <c r="T334" s="411"/>
      <c r="AF334" s="352" t="n">
        <f aca="false">EOMONTH(AF333,0)+1</f>
        <v>46600</v>
      </c>
      <c r="AG334" s="311" t="n">
        <v>22</v>
      </c>
      <c r="AH334" s="311" t="n">
        <v>5</v>
      </c>
      <c r="AI334" s="311" t="n">
        <v>4</v>
      </c>
      <c r="AJ334" s="311" t="n">
        <v>0</v>
      </c>
      <c r="AK334" s="311" t="n">
        <v>31</v>
      </c>
      <c r="AL334" s="311"/>
      <c r="AM334" s="336"/>
    </row>
    <row r="335" customFormat="false" ht="12.75" hidden="false" customHeight="false" outlineLevel="0" collapsed="false">
      <c r="A335" s="408"/>
      <c r="B335" s="396"/>
      <c r="C335" s="409"/>
      <c r="D335" s="410"/>
      <c r="E335" s="396"/>
      <c r="F335" s="410"/>
      <c r="G335" s="396"/>
      <c r="H335" s="410"/>
      <c r="I335" s="410"/>
      <c r="J335" s="411"/>
      <c r="K335" s="399"/>
      <c r="L335" s="399"/>
      <c r="M335" s="73"/>
      <c r="N335" s="396"/>
      <c r="O335" s="396"/>
      <c r="P335" s="396"/>
      <c r="Q335" s="410"/>
      <c r="R335" s="411"/>
      <c r="S335" s="411"/>
      <c r="T335" s="411"/>
      <c r="AF335" s="352" t="n">
        <f aca="false">EOMONTH(AF334,0)+1</f>
        <v>46631</v>
      </c>
      <c r="AG335" s="311" t="n">
        <v>20</v>
      </c>
      <c r="AH335" s="311" t="n">
        <v>4</v>
      </c>
      <c r="AI335" s="311" t="n">
        <v>6</v>
      </c>
      <c r="AJ335" s="311" t="n">
        <v>1</v>
      </c>
      <c r="AK335" s="311" t="n">
        <v>30</v>
      </c>
      <c r="AL335" s="311"/>
      <c r="AM335" s="336"/>
    </row>
    <row r="336" customFormat="false" ht="12.75" hidden="false" customHeight="false" outlineLevel="0" collapsed="false">
      <c r="A336" s="408"/>
      <c r="B336" s="396"/>
      <c r="C336" s="409"/>
      <c r="D336" s="410"/>
      <c r="E336" s="396"/>
      <c r="F336" s="410"/>
      <c r="G336" s="396"/>
      <c r="H336" s="410"/>
      <c r="I336" s="410"/>
      <c r="J336" s="411"/>
      <c r="K336" s="399"/>
      <c r="L336" s="399"/>
      <c r="M336" s="73"/>
      <c r="N336" s="396"/>
      <c r="O336" s="396"/>
      <c r="P336" s="396"/>
      <c r="Q336" s="410"/>
      <c r="R336" s="411"/>
      <c r="S336" s="411"/>
      <c r="T336" s="411"/>
      <c r="AF336" s="352" t="n">
        <f aca="false">EOMONTH(AF335,0)+1</f>
        <v>46661</v>
      </c>
      <c r="AG336" s="311" t="n">
        <v>23</v>
      </c>
      <c r="AH336" s="311" t="n">
        <v>4</v>
      </c>
      <c r="AI336" s="311" t="n">
        <v>4</v>
      </c>
      <c r="AJ336" s="311" t="n">
        <v>0</v>
      </c>
      <c r="AK336" s="311" t="n">
        <v>31</v>
      </c>
      <c r="AL336" s="311"/>
      <c r="AM336" s="336"/>
    </row>
    <row r="337" customFormat="false" ht="12.75" hidden="false" customHeight="false" outlineLevel="0" collapsed="false">
      <c r="A337" s="408"/>
      <c r="B337" s="396"/>
      <c r="C337" s="409"/>
      <c r="D337" s="410"/>
      <c r="E337" s="396"/>
      <c r="F337" s="410"/>
      <c r="G337" s="396"/>
      <c r="H337" s="410"/>
      <c r="I337" s="410"/>
      <c r="J337" s="411"/>
      <c r="K337" s="399"/>
      <c r="L337" s="399"/>
      <c r="M337" s="73"/>
      <c r="N337" s="396"/>
      <c r="O337" s="396"/>
      <c r="P337" s="396"/>
      <c r="Q337" s="410"/>
      <c r="R337" s="411"/>
      <c r="S337" s="411"/>
      <c r="T337" s="411"/>
      <c r="AF337" s="352" t="n">
        <f aca="false">EOMONTH(AF336,0)+1</f>
        <v>46692</v>
      </c>
      <c r="AG337" s="311" t="n">
        <v>20</v>
      </c>
      <c r="AH337" s="311" t="n">
        <v>5</v>
      </c>
      <c r="AI337" s="311" t="n">
        <v>5</v>
      </c>
      <c r="AJ337" s="311" t="n">
        <v>1</v>
      </c>
      <c r="AK337" s="311" t="n">
        <v>30</v>
      </c>
      <c r="AL337" s="311"/>
      <c r="AM337" s="336"/>
    </row>
    <row r="338" customFormat="false" ht="12.75" hidden="false" customHeight="false" outlineLevel="0" collapsed="false">
      <c r="A338" s="408"/>
      <c r="B338" s="396"/>
      <c r="C338" s="409"/>
      <c r="D338" s="410"/>
      <c r="E338" s="396"/>
      <c r="F338" s="410"/>
      <c r="G338" s="396"/>
      <c r="H338" s="410"/>
      <c r="I338" s="410"/>
      <c r="J338" s="411"/>
      <c r="K338" s="399"/>
      <c r="L338" s="399"/>
      <c r="M338" s="73"/>
      <c r="N338" s="396"/>
      <c r="O338" s="396"/>
      <c r="P338" s="396"/>
      <c r="Q338" s="410"/>
      <c r="R338" s="411"/>
      <c r="S338" s="411"/>
      <c r="T338" s="411"/>
      <c r="AF338" s="352" t="n">
        <f aca="false">EOMONTH(AF337,0)+1</f>
        <v>46722</v>
      </c>
      <c r="AG338" s="311" t="n">
        <v>21</v>
      </c>
      <c r="AH338" s="311" t="n">
        <v>4</v>
      </c>
      <c r="AI338" s="311" t="n">
        <v>6</v>
      </c>
      <c r="AJ338" s="311" t="n">
        <v>1</v>
      </c>
      <c r="AK338" s="311" t="n">
        <v>31</v>
      </c>
      <c r="AL338" s="311"/>
      <c r="AM338" s="336"/>
    </row>
    <row r="339" customFormat="false" ht="12.75" hidden="false" customHeight="false" outlineLevel="0" collapsed="false">
      <c r="A339" s="408"/>
      <c r="B339" s="396"/>
      <c r="C339" s="409"/>
      <c r="D339" s="410"/>
      <c r="E339" s="396"/>
      <c r="F339" s="410"/>
      <c r="G339" s="396"/>
      <c r="H339" s="410"/>
      <c r="I339" s="410"/>
      <c r="J339" s="411"/>
      <c r="K339" s="399"/>
      <c r="L339" s="399"/>
      <c r="M339" s="73"/>
      <c r="N339" s="396"/>
      <c r="O339" s="396"/>
      <c r="P339" s="396"/>
      <c r="Q339" s="410"/>
      <c r="R339" s="411"/>
      <c r="S339" s="411"/>
      <c r="T339" s="411"/>
      <c r="AF339" s="352" t="n">
        <f aca="false">EOMONTH(AF338,0)+1</f>
        <v>46753</v>
      </c>
      <c r="AG339" s="311" t="n">
        <v>22</v>
      </c>
      <c r="AH339" s="311" t="n">
        <v>4</v>
      </c>
      <c r="AI339" s="311" t="n">
        <v>5</v>
      </c>
      <c r="AJ339" s="311" t="n">
        <v>1</v>
      </c>
      <c r="AK339" s="311" t="n">
        <v>31</v>
      </c>
      <c r="AL339" s="311"/>
      <c r="AM339" s="336"/>
    </row>
    <row r="340" customFormat="false" ht="12.75" hidden="false" customHeight="false" outlineLevel="0" collapsed="false">
      <c r="A340" s="408"/>
      <c r="B340" s="396"/>
      <c r="C340" s="409"/>
      <c r="D340" s="410"/>
      <c r="E340" s="396"/>
      <c r="F340" s="410"/>
      <c r="G340" s="396"/>
      <c r="H340" s="410"/>
      <c r="I340" s="410"/>
      <c r="J340" s="411"/>
      <c r="K340" s="399"/>
      <c r="L340" s="399"/>
      <c r="M340" s="73"/>
      <c r="N340" s="396"/>
      <c r="O340" s="396"/>
      <c r="P340" s="396"/>
      <c r="Q340" s="410"/>
      <c r="R340" s="411"/>
      <c r="S340" s="411"/>
      <c r="T340" s="411"/>
      <c r="AF340" s="352" t="n">
        <f aca="false">EOMONTH(AF339,0)+1</f>
        <v>46784</v>
      </c>
      <c r="AG340" s="311" t="n">
        <v>20</v>
      </c>
      <c r="AH340" s="311" t="n">
        <v>5</v>
      </c>
      <c r="AI340" s="311" t="n">
        <v>4</v>
      </c>
      <c r="AJ340" s="311" t="n">
        <v>0</v>
      </c>
      <c r="AK340" s="311" t="n">
        <v>29</v>
      </c>
      <c r="AL340" s="311"/>
      <c r="AM340" s="336"/>
    </row>
    <row r="341" customFormat="false" ht="12.75" hidden="false" customHeight="false" outlineLevel="0" collapsed="false">
      <c r="A341" s="408"/>
      <c r="B341" s="396"/>
      <c r="C341" s="409"/>
      <c r="D341" s="410"/>
      <c r="E341" s="396"/>
      <c r="F341" s="410"/>
      <c r="G341" s="396"/>
      <c r="H341" s="410"/>
      <c r="I341" s="410"/>
      <c r="J341" s="411"/>
      <c r="K341" s="399"/>
      <c r="L341" s="399"/>
      <c r="M341" s="73"/>
      <c r="N341" s="396"/>
      <c r="O341" s="396"/>
      <c r="P341" s="396"/>
      <c r="Q341" s="410"/>
      <c r="R341" s="411"/>
      <c r="S341" s="411"/>
      <c r="T341" s="411"/>
      <c r="AF341" s="352" t="n">
        <f aca="false">EOMONTH(AF340,0)+1</f>
        <v>46813</v>
      </c>
      <c r="AG341" s="311" t="n">
        <v>22</v>
      </c>
      <c r="AH341" s="311" t="n">
        <v>4</v>
      </c>
      <c r="AI341" s="311" t="n">
        <v>5</v>
      </c>
      <c r="AJ341" s="311" t="n">
        <v>0</v>
      </c>
      <c r="AK341" s="311" t="n">
        <v>31</v>
      </c>
      <c r="AL341" s="311"/>
      <c r="AM341" s="336"/>
    </row>
    <row r="342" customFormat="false" ht="12.75" hidden="false" customHeight="false" outlineLevel="0" collapsed="false">
      <c r="A342" s="408"/>
      <c r="B342" s="396"/>
      <c r="C342" s="409"/>
      <c r="D342" s="410"/>
      <c r="E342" s="396"/>
      <c r="F342" s="410"/>
      <c r="G342" s="396"/>
      <c r="H342" s="410"/>
      <c r="I342" s="410"/>
      <c r="J342" s="411"/>
      <c r="K342" s="399"/>
      <c r="L342" s="399"/>
      <c r="M342" s="73"/>
      <c r="N342" s="396"/>
      <c r="O342" s="396"/>
      <c r="P342" s="396"/>
      <c r="Q342" s="410"/>
      <c r="R342" s="411"/>
      <c r="S342" s="411"/>
      <c r="T342" s="411"/>
      <c r="AF342" s="352" t="n">
        <f aca="false">EOMONTH(AF341,0)+1</f>
        <v>46844</v>
      </c>
      <c r="AG342" s="311" t="n">
        <v>22</v>
      </c>
      <c r="AH342" s="311" t="n">
        <v>4</v>
      </c>
      <c r="AI342" s="311" t="n">
        <v>4</v>
      </c>
      <c r="AJ342" s="311" t="n">
        <v>0</v>
      </c>
      <c r="AK342" s="311" t="n">
        <v>30</v>
      </c>
      <c r="AL342" s="311"/>
      <c r="AM342" s="336"/>
    </row>
    <row r="343" customFormat="false" ht="12.75" hidden="false" customHeight="false" outlineLevel="0" collapsed="false">
      <c r="A343" s="408"/>
      <c r="B343" s="396"/>
      <c r="C343" s="409"/>
      <c r="D343" s="410"/>
      <c r="E343" s="396"/>
      <c r="F343" s="410"/>
      <c r="G343" s="396"/>
      <c r="H343" s="410"/>
      <c r="I343" s="410"/>
      <c r="J343" s="411"/>
      <c r="K343" s="399"/>
      <c r="L343" s="399"/>
      <c r="M343" s="73"/>
      <c r="N343" s="396"/>
      <c r="O343" s="396"/>
      <c r="P343" s="396"/>
      <c r="Q343" s="410"/>
      <c r="R343" s="411"/>
      <c r="S343" s="411"/>
      <c r="T343" s="411"/>
      <c r="AF343" s="352" t="n">
        <f aca="false">EOMONTH(AF342,0)+1</f>
        <v>46874</v>
      </c>
      <c r="AG343" s="311" t="n">
        <v>20</v>
      </c>
      <c r="AH343" s="311" t="n">
        <v>5</v>
      </c>
      <c r="AI343" s="311" t="n">
        <v>6</v>
      </c>
      <c r="AJ343" s="311" t="n">
        <v>1</v>
      </c>
      <c r="AK343" s="311" t="n">
        <v>31</v>
      </c>
      <c r="AL343" s="311"/>
      <c r="AM343" s="336"/>
    </row>
    <row r="344" customFormat="false" ht="12.75" hidden="false" customHeight="false" outlineLevel="0" collapsed="false">
      <c r="A344" s="408"/>
      <c r="B344" s="396"/>
      <c r="C344" s="409"/>
      <c r="D344" s="410"/>
      <c r="E344" s="396"/>
      <c r="F344" s="410"/>
      <c r="G344" s="396"/>
      <c r="H344" s="410"/>
      <c r="I344" s="410"/>
      <c r="J344" s="411"/>
      <c r="K344" s="399"/>
      <c r="L344" s="399"/>
      <c r="M344" s="73"/>
      <c r="N344" s="396"/>
      <c r="O344" s="396"/>
      <c r="P344" s="396"/>
      <c r="Q344" s="410"/>
      <c r="R344" s="411"/>
      <c r="S344" s="411"/>
      <c r="T344" s="411"/>
      <c r="AF344" s="352" t="n">
        <f aca="false">EOMONTH(AF343,0)+1</f>
        <v>46905</v>
      </c>
      <c r="AG344" s="311" t="n">
        <v>22</v>
      </c>
      <c r="AH344" s="311" t="n">
        <v>4</v>
      </c>
      <c r="AI344" s="311" t="n">
        <v>4</v>
      </c>
      <c r="AJ344" s="311" t="n">
        <v>0</v>
      </c>
      <c r="AK344" s="311" t="n">
        <v>30</v>
      </c>
      <c r="AL344" s="311"/>
      <c r="AM344" s="336"/>
    </row>
    <row r="345" customFormat="false" ht="12.75" hidden="false" customHeight="false" outlineLevel="0" collapsed="false">
      <c r="A345" s="408"/>
      <c r="B345" s="396"/>
      <c r="C345" s="409"/>
      <c r="D345" s="410"/>
      <c r="E345" s="396"/>
      <c r="F345" s="410"/>
      <c r="G345" s="396"/>
      <c r="H345" s="410"/>
      <c r="I345" s="410"/>
      <c r="J345" s="411"/>
      <c r="K345" s="399"/>
      <c r="L345" s="399"/>
      <c r="M345" s="73"/>
      <c r="N345" s="396"/>
      <c r="O345" s="396"/>
      <c r="P345" s="396"/>
      <c r="Q345" s="410"/>
      <c r="R345" s="411"/>
      <c r="S345" s="411"/>
      <c r="T345" s="411"/>
      <c r="AF345" s="352" t="n">
        <f aca="false">EOMONTH(AF344,0)+1</f>
        <v>46935</v>
      </c>
      <c r="AG345" s="311" t="n">
        <v>23</v>
      </c>
      <c r="AH345" s="311" t="n">
        <v>3</v>
      </c>
      <c r="AI345" s="311" t="n">
        <v>5</v>
      </c>
      <c r="AJ345" s="311" t="n">
        <v>1</v>
      </c>
      <c r="AK345" s="311" t="n">
        <v>31</v>
      </c>
      <c r="AL345" s="311"/>
      <c r="AM345" s="336"/>
    </row>
    <row r="346" customFormat="false" ht="12.75" hidden="false" customHeight="false" outlineLevel="0" collapsed="false">
      <c r="A346" s="408"/>
      <c r="B346" s="396"/>
      <c r="C346" s="409"/>
      <c r="D346" s="410"/>
      <c r="E346" s="396"/>
      <c r="F346" s="410"/>
      <c r="G346" s="396"/>
      <c r="H346" s="410"/>
      <c r="I346" s="410"/>
      <c r="J346" s="411"/>
      <c r="K346" s="399"/>
      <c r="L346" s="399"/>
      <c r="M346" s="73"/>
      <c r="N346" s="396"/>
      <c r="O346" s="396"/>
      <c r="P346" s="396"/>
      <c r="Q346" s="410"/>
      <c r="R346" s="411"/>
      <c r="S346" s="411"/>
      <c r="T346" s="411"/>
      <c r="AF346" s="352" t="n">
        <f aca="false">EOMONTH(AF345,0)+1</f>
        <v>46966</v>
      </c>
      <c r="AG346" s="311" t="n">
        <v>21</v>
      </c>
      <c r="AH346" s="311" t="n">
        <v>5</v>
      </c>
      <c r="AI346" s="311" t="n">
        <v>5</v>
      </c>
      <c r="AJ346" s="311" t="n">
        <v>0</v>
      </c>
      <c r="AK346" s="311" t="n">
        <v>31</v>
      </c>
      <c r="AL346" s="311"/>
      <c r="AM346" s="336"/>
    </row>
    <row r="347" customFormat="false" ht="12.75" hidden="false" customHeight="false" outlineLevel="0" collapsed="false">
      <c r="A347" s="408"/>
      <c r="B347" s="396"/>
      <c r="C347" s="409"/>
      <c r="D347" s="410"/>
      <c r="E347" s="396"/>
      <c r="F347" s="410"/>
      <c r="G347" s="396"/>
      <c r="H347" s="410"/>
      <c r="I347" s="410"/>
      <c r="J347" s="411"/>
      <c r="K347" s="399"/>
      <c r="L347" s="399"/>
      <c r="M347" s="73"/>
      <c r="N347" s="396"/>
      <c r="O347" s="396"/>
      <c r="P347" s="396"/>
      <c r="Q347" s="410"/>
      <c r="R347" s="411"/>
      <c r="S347" s="411"/>
      <c r="T347" s="411"/>
      <c r="AF347" s="352" t="n">
        <f aca="false">EOMONTH(AF346,0)+1</f>
        <v>46997</v>
      </c>
      <c r="AG347" s="311" t="n">
        <v>21</v>
      </c>
      <c r="AH347" s="311" t="n">
        <v>4</v>
      </c>
      <c r="AI347" s="311" t="n">
        <v>5</v>
      </c>
      <c r="AJ347" s="311" t="n">
        <v>1</v>
      </c>
      <c r="AK347" s="311" t="n">
        <v>30</v>
      </c>
      <c r="AL347" s="311"/>
      <c r="AM347" s="336"/>
    </row>
    <row r="348" customFormat="false" ht="12.75" hidden="false" customHeight="false" outlineLevel="0" collapsed="false">
      <c r="A348" s="408"/>
      <c r="B348" s="396"/>
      <c r="C348" s="409"/>
      <c r="D348" s="410"/>
      <c r="E348" s="396"/>
      <c r="F348" s="410"/>
      <c r="G348" s="396"/>
      <c r="H348" s="410"/>
      <c r="I348" s="410"/>
      <c r="J348" s="411"/>
      <c r="K348" s="399"/>
      <c r="L348" s="399"/>
      <c r="M348" s="73"/>
      <c r="N348" s="396"/>
      <c r="O348" s="396"/>
      <c r="P348" s="396"/>
      <c r="Q348" s="410"/>
      <c r="R348" s="411"/>
      <c r="S348" s="411"/>
      <c r="T348" s="411"/>
      <c r="AF348" s="352" t="n">
        <f aca="false">EOMONTH(AF347,0)+1</f>
        <v>47027</v>
      </c>
      <c r="AG348" s="311" t="n">
        <v>22</v>
      </c>
      <c r="AH348" s="311" t="n">
        <v>5</v>
      </c>
      <c r="AI348" s="311" t="n">
        <v>4</v>
      </c>
      <c r="AJ348" s="311" t="n">
        <v>0</v>
      </c>
      <c r="AK348" s="311" t="n">
        <v>31</v>
      </c>
      <c r="AL348" s="311"/>
      <c r="AM348" s="336"/>
    </row>
    <row r="349" customFormat="false" ht="12.75" hidden="false" customHeight="false" outlineLevel="0" collapsed="false">
      <c r="A349" s="408"/>
      <c r="B349" s="396"/>
      <c r="C349" s="409"/>
      <c r="D349" s="410"/>
      <c r="E349" s="396"/>
      <c r="F349" s="410"/>
      <c r="G349" s="396"/>
      <c r="H349" s="410"/>
      <c r="I349" s="410"/>
      <c r="J349" s="411"/>
      <c r="K349" s="399"/>
      <c r="L349" s="399"/>
      <c r="M349" s="73"/>
      <c r="N349" s="396"/>
      <c r="O349" s="396"/>
      <c r="P349" s="396"/>
      <c r="Q349" s="410"/>
      <c r="R349" s="411"/>
      <c r="S349" s="411"/>
      <c r="T349" s="411"/>
      <c r="AF349" s="352" t="n">
        <f aca="false">EOMONTH(AF348,0)+1</f>
        <v>47058</v>
      </c>
      <c r="AG349" s="311" t="n">
        <v>20</v>
      </c>
      <c r="AH349" s="311" t="n">
        <v>4</v>
      </c>
      <c r="AI349" s="311" t="n">
        <v>6</v>
      </c>
      <c r="AJ349" s="311" t="n">
        <v>1</v>
      </c>
      <c r="AK349" s="311" t="n">
        <v>30</v>
      </c>
      <c r="AL349" s="311"/>
      <c r="AM349" s="336"/>
    </row>
    <row r="350" customFormat="false" ht="12.75" hidden="false" customHeight="false" outlineLevel="0" collapsed="false">
      <c r="A350" s="408"/>
      <c r="B350" s="396"/>
      <c r="C350" s="409"/>
      <c r="D350" s="410"/>
      <c r="E350" s="396"/>
      <c r="F350" s="410"/>
      <c r="G350" s="396"/>
      <c r="H350" s="410"/>
      <c r="I350" s="410"/>
      <c r="J350" s="411"/>
      <c r="K350" s="399"/>
      <c r="L350" s="399"/>
      <c r="M350" s="73"/>
      <c r="N350" s="396"/>
      <c r="O350" s="396"/>
      <c r="P350" s="396"/>
      <c r="Q350" s="410"/>
      <c r="R350" s="411"/>
      <c r="S350" s="411"/>
      <c r="T350" s="411"/>
      <c r="AF350" s="352" t="n">
        <f aca="false">EOMONTH(AF349,0)+1</f>
        <v>47088</v>
      </c>
      <c r="AG350" s="311" t="n">
        <v>22</v>
      </c>
      <c r="AH350" s="311" t="n">
        <v>4</v>
      </c>
      <c r="AI350" s="311" t="n">
        <v>5</v>
      </c>
      <c r="AJ350" s="311" t="n">
        <v>1</v>
      </c>
      <c r="AK350" s="311" t="n">
        <v>31</v>
      </c>
      <c r="AL350" s="311"/>
      <c r="AM350" s="336"/>
    </row>
    <row r="351" customFormat="false" ht="12.75" hidden="false" customHeight="false" outlineLevel="0" collapsed="false">
      <c r="A351" s="408"/>
      <c r="B351" s="396"/>
      <c r="C351" s="409"/>
      <c r="D351" s="410"/>
      <c r="E351" s="396"/>
      <c r="F351" s="410"/>
      <c r="G351" s="396"/>
      <c r="H351" s="410"/>
      <c r="I351" s="410"/>
      <c r="J351" s="411"/>
      <c r="K351" s="399"/>
      <c r="L351" s="399"/>
      <c r="M351" s="73"/>
      <c r="N351" s="396"/>
      <c r="O351" s="396"/>
      <c r="P351" s="396"/>
      <c r="Q351" s="410"/>
      <c r="R351" s="411"/>
      <c r="S351" s="411"/>
      <c r="T351" s="411"/>
      <c r="AF351" s="352" t="n">
        <f aca="false">EOMONTH(AF350,0)+1</f>
        <v>47119</v>
      </c>
      <c r="AG351" s="311" t="n">
        <v>22</v>
      </c>
      <c r="AH351" s="311" t="n">
        <v>4</v>
      </c>
      <c r="AI351" s="311" t="n">
        <v>5</v>
      </c>
      <c r="AJ351" s="311" t="n">
        <v>1</v>
      </c>
      <c r="AK351" s="311" t="n">
        <v>31</v>
      </c>
      <c r="AL351" s="311"/>
      <c r="AM351" s="336"/>
    </row>
    <row r="352" customFormat="false" ht="12.75" hidden="false" customHeight="false" outlineLevel="0" collapsed="false">
      <c r="A352" s="408"/>
      <c r="B352" s="396"/>
      <c r="C352" s="409"/>
      <c r="D352" s="410"/>
      <c r="E352" s="396"/>
      <c r="F352" s="410"/>
      <c r="G352" s="396"/>
      <c r="H352" s="410"/>
      <c r="I352" s="410"/>
      <c r="J352" s="411"/>
      <c r="K352" s="399"/>
      <c r="L352" s="399"/>
      <c r="M352" s="73"/>
      <c r="N352" s="396"/>
      <c r="O352" s="396"/>
      <c r="P352" s="396"/>
      <c r="Q352" s="410"/>
      <c r="R352" s="411"/>
      <c r="S352" s="411"/>
      <c r="T352" s="411"/>
      <c r="AF352" s="352" t="n">
        <f aca="false">EOMONTH(AF351,0)+1</f>
        <v>47150</v>
      </c>
      <c r="AG352" s="311" t="n">
        <v>20</v>
      </c>
      <c r="AH352" s="311" t="n">
        <v>4</v>
      </c>
      <c r="AI352" s="311" t="n">
        <v>4</v>
      </c>
      <c r="AJ352" s="311" t="n">
        <v>0</v>
      </c>
      <c r="AK352" s="311" t="n">
        <v>28</v>
      </c>
      <c r="AL352" s="311"/>
      <c r="AM352" s="336"/>
    </row>
    <row r="353" customFormat="false" ht="12.75" hidden="false" customHeight="false" outlineLevel="0" collapsed="false">
      <c r="A353" s="408"/>
      <c r="B353" s="396"/>
      <c r="C353" s="409"/>
      <c r="D353" s="410"/>
      <c r="E353" s="396"/>
      <c r="F353" s="410"/>
      <c r="G353" s="396"/>
      <c r="H353" s="410"/>
      <c r="I353" s="410"/>
      <c r="J353" s="411"/>
      <c r="K353" s="399"/>
      <c r="L353" s="399"/>
      <c r="M353" s="73"/>
      <c r="N353" s="396"/>
      <c r="O353" s="396"/>
      <c r="P353" s="396"/>
      <c r="Q353" s="410"/>
      <c r="R353" s="411"/>
      <c r="S353" s="411"/>
      <c r="T353" s="411"/>
      <c r="AF353" s="352" t="n">
        <f aca="false">EOMONTH(AF352,0)+1</f>
        <v>47178</v>
      </c>
      <c r="AG353" s="311" t="n">
        <v>21</v>
      </c>
      <c r="AH353" s="311" t="n">
        <v>5</v>
      </c>
      <c r="AI353" s="311" t="n">
        <v>5</v>
      </c>
      <c r="AJ353" s="311" t="n">
        <v>0</v>
      </c>
      <c r="AK353" s="311" t="n">
        <v>31</v>
      </c>
      <c r="AL353" s="311"/>
      <c r="AM353" s="336"/>
    </row>
    <row r="354" customFormat="false" ht="12.75" hidden="false" customHeight="false" outlineLevel="0" collapsed="false">
      <c r="A354" s="408"/>
      <c r="B354" s="396"/>
      <c r="C354" s="409"/>
      <c r="D354" s="410"/>
      <c r="E354" s="396"/>
      <c r="F354" s="410"/>
      <c r="G354" s="396"/>
      <c r="H354" s="410"/>
      <c r="I354" s="410"/>
      <c r="J354" s="411"/>
      <c r="K354" s="399"/>
      <c r="L354" s="399"/>
      <c r="M354" s="73"/>
      <c r="N354" s="396"/>
      <c r="O354" s="396"/>
      <c r="P354" s="396"/>
      <c r="Q354" s="410"/>
      <c r="R354" s="411"/>
      <c r="S354" s="411"/>
      <c r="T354" s="411"/>
      <c r="AF354" s="352" t="n">
        <f aca="false">EOMONTH(AF353,0)+1</f>
        <v>47209</v>
      </c>
      <c r="AG354" s="311" t="n">
        <v>22</v>
      </c>
      <c r="AH354" s="311" t="n">
        <v>4</v>
      </c>
      <c r="AI354" s="311" t="n">
        <v>4</v>
      </c>
      <c r="AJ354" s="311" t="n">
        <v>0</v>
      </c>
      <c r="AK354" s="311" t="n">
        <v>30</v>
      </c>
      <c r="AL354" s="311"/>
      <c r="AM354" s="336"/>
    </row>
    <row r="355" customFormat="false" ht="12.75" hidden="false" customHeight="false" outlineLevel="0" collapsed="false">
      <c r="A355" s="408"/>
      <c r="B355" s="396"/>
      <c r="C355" s="409"/>
      <c r="D355" s="410"/>
      <c r="E355" s="396"/>
      <c r="F355" s="410"/>
      <c r="G355" s="396"/>
      <c r="H355" s="410"/>
      <c r="I355" s="410"/>
      <c r="J355" s="411"/>
      <c r="K355" s="399"/>
      <c r="L355" s="399"/>
      <c r="M355" s="73"/>
      <c r="N355" s="396"/>
      <c r="O355" s="396"/>
      <c r="P355" s="396"/>
      <c r="Q355" s="410"/>
      <c r="R355" s="411"/>
      <c r="S355" s="411"/>
      <c r="T355" s="411"/>
      <c r="AF355" s="352" t="n">
        <f aca="false">EOMONTH(AF354,0)+1</f>
        <v>47239</v>
      </c>
      <c r="AG355" s="311" t="n">
        <v>22</v>
      </c>
      <c r="AH355" s="311" t="n">
        <v>4</v>
      </c>
      <c r="AI355" s="311" t="n">
        <v>5</v>
      </c>
      <c r="AJ355" s="311" t="n">
        <v>1</v>
      </c>
      <c r="AK355" s="311" t="n">
        <v>31</v>
      </c>
      <c r="AL355" s="311"/>
      <c r="AM355" s="336"/>
    </row>
    <row r="356" customFormat="false" ht="12.75" hidden="false" customHeight="false" outlineLevel="0" collapsed="false">
      <c r="A356" s="408"/>
      <c r="B356" s="396"/>
      <c r="C356" s="409"/>
      <c r="D356" s="410"/>
      <c r="E356" s="396"/>
      <c r="F356" s="410"/>
      <c r="G356" s="396"/>
      <c r="H356" s="410"/>
      <c r="I356" s="410"/>
      <c r="J356" s="411"/>
      <c r="K356" s="399"/>
      <c r="L356" s="399"/>
      <c r="M356" s="73"/>
      <c r="N356" s="396"/>
      <c r="O356" s="396"/>
      <c r="P356" s="396"/>
      <c r="Q356" s="410"/>
      <c r="R356" s="411"/>
      <c r="S356" s="411"/>
      <c r="T356" s="411"/>
      <c r="AF356" s="352" t="n">
        <f aca="false">EOMONTH(AF355,0)+1</f>
        <v>47270</v>
      </c>
      <c r="AG356" s="311" t="n">
        <v>20</v>
      </c>
      <c r="AH356" s="311" t="n">
        <v>5</v>
      </c>
      <c r="AI356" s="311" t="n">
        <v>5</v>
      </c>
      <c r="AJ356" s="311" t="n">
        <v>0</v>
      </c>
      <c r="AK356" s="311" t="n">
        <v>30</v>
      </c>
      <c r="AL356" s="311"/>
      <c r="AM356" s="336"/>
    </row>
    <row r="357" customFormat="false" ht="12.75" hidden="false" customHeight="false" outlineLevel="0" collapsed="false">
      <c r="A357" s="408"/>
      <c r="B357" s="396"/>
      <c r="C357" s="409"/>
      <c r="D357" s="410"/>
      <c r="E357" s="396"/>
      <c r="F357" s="410"/>
      <c r="G357" s="396"/>
      <c r="H357" s="410"/>
      <c r="I357" s="410"/>
      <c r="J357" s="411"/>
      <c r="K357" s="399"/>
      <c r="L357" s="399"/>
      <c r="M357" s="73"/>
      <c r="N357" s="396"/>
      <c r="O357" s="396"/>
      <c r="P357" s="396"/>
      <c r="Q357" s="410"/>
      <c r="R357" s="411"/>
      <c r="S357" s="411"/>
      <c r="T357" s="411"/>
      <c r="AF357" s="352" t="n">
        <f aca="false">EOMONTH(AF356,0)+1</f>
        <v>47300</v>
      </c>
      <c r="AG357" s="311" t="n">
        <v>22</v>
      </c>
      <c r="AH357" s="311" t="n">
        <v>4</v>
      </c>
      <c r="AI357" s="311" t="n">
        <v>5</v>
      </c>
      <c r="AJ357" s="311" t="n">
        <v>1</v>
      </c>
      <c r="AK357" s="311" t="n">
        <v>31</v>
      </c>
      <c r="AL357" s="311"/>
      <c r="AM357" s="336"/>
    </row>
    <row r="358" customFormat="false" ht="12.75" hidden="false" customHeight="false" outlineLevel="0" collapsed="false">
      <c r="A358" s="408"/>
      <c r="B358" s="396"/>
      <c r="C358" s="409"/>
      <c r="D358" s="410"/>
      <c r="E358" s="396"/>
      <c r="F358" s="410"/>
      <c r="G358" s="396"/>
      <c r="H358" s="410"/>
      <c r="I358" s="410"/>
      <c r="J358" s="411"/>
      <c r="K358" s="399"/>
      <c r="L358" s="399"/>
      <c r="M358" s="73"/>
      <c r="N358" s="396"/>
      <c r="O358" s="396"/>
      <c r="P358" s="396"/>
      <c r="Q358" s="410"/>
      <c r="R358" s="411"/>
      <c r="S358" s="411"/>
      <c r="T358" s="411"/>
      <c r="AF358" s="352" t="n">
        <f aca="false">EOMONTH(AF357,0)+1</f>
        <v>47331</v>
      </c>
      <c r="AG358" s="311" t="n">
        <v>22</v>
      </c>
      <c r="AH358" s="311" t="n">
        <v>5</v>
      </c>
      <c r="AI358" s="311" t="n">
        <v>4</v>
      </c>
      <c r="AJ358" s="311" t="n">
        <v>0</v>
      </c>
      <c r="AK358" s="311" t="n">
        <v>31</v>
      </c>
      <c r="AL358" s="311"/>
      <c r="AM358" s="336"/>
    </row>
    <row r="359" customFormat="false" ht="12.75" hidden="false" customHeight="false" outlineLevel="0" collapsed="false">
      <c r="A359" s="408"/>
      <c r="B359" s="396"/>
      <c r="C359" s="409"/>
      <c r="D359" s="410"/>
      <c r="E359" s="396"/>
      <c r="F359" s="410"/>
      <c r="G359" s="396"/>
      <c r="H359" s="410"/>
      <c r="I359" s="410"/>
      <c r="J359" s="411"/>
      <c r="K359" s="399"/>
      <c r="L359" s="399"/>
      <c r="M359" s="73"/>
      <c r="N359" s="396"/>
      <c r="O359" s="396"/>
      <c r="P359" s="396"/>
      <c r="Q359" s="410"/>
      <c r="R359" s="411"/>
      <c r="S359" s="411"/>
      <c r="T359" s="411"/>
      <c r="AF359" s="352" t="n">
        <f aca="false">EOMONTH(AF358,0)+1</f>
        <v>47362</v>
      </c>
      <c r="AG359" s="311" t="n">
        <v>20</v>
      </c>
      <c r="AH359" s="311" t="n">
        <v>4</v>
      </c>
      <c r="AI359" s="311" t="n">
        <v>6</v>
      </c>
      <c r="AJ359" s="311" t="n">
        <v>1</v>
      </c>
      <c r="AK359" s="311" t="n">
        <v>30</v>
      </c>
      <c r="AL359" s="311"/>
      <c r="AM359" s="336"/>
    </row>
    <row r="360" customFormat="false" ht="12.75" hidden="false" customHeight="false" outlineLevel="0" collapsed="false">
      <c r="A360" s="408"/>
      <c r="B360" s="396"/>
      <c r="C360" s="409"/>
      <c r="D360" s="410"/>
      <c r="E360" s="396"/>
      <c r="F360" s="410"/>
      <c r="G360" s="396"/>
      <c r="H360" s="410"/>
      <c r="I360" s="410"/>
      <c r="J360" s="411"/>
      <c r="K360" s="399"/>
      <c r="L360" s="399"/>
      <c r="M360" s="73"/>
      <c r="N360" s="396"/>
      <c r="O360" s="396"/>
      <c r="P360" s="396"/>
      <c r="Q360" s="410"/>
      <c r="R360" s="411"/>
      <c r="S360" s="411"/>
      <c r="T360" s="411"/>
      <c r="AF360" s="352" t="n">
        <f aca="false">EOMONTH(AF359,0)+1</f>
        <v>47392</v>
      </c>
      <c r="AG360" s="311" t="n">
        <v>23</v>
      </c>
      <c r="AH360" s="311" t="n">
        <v>4</v>
      </c>
      <c r="AI360" s="311" t="n">
        <v>4</v>
      </c>
      <c r="AJ360" s="311" t="n">
        <v>0</v>
      </c>
      <c r="AK360" s="311" t="n">
        <v>31</v>
      </c>
      <c r="AL360" s="311"/>
      <c r="AM360" s="336"/>
    </row>
    <row r="361" customFormat="false" ht="12.75" hidden="false" customHeight="false" outlineLevel="0" collapsed="false">
      <c r="A361" s="408"/>
      <c r="B361" s="396"/>
      <c r="C361" s="409"/>
      <c r="D361" s="410"/>
      <c r="E361" s="396"/>
      <c r="F361" s="410"/>
      <c r="G361" s="396"/>
      <c r="H361" s="410"/>
      <c r="I361" s="410"/>
      <c r="J361" s="411"/>
      <c r="K361" s="399"/>
      <c r="L361" s="399"/>
      <c r="M361" s="73"/>
      <c r="N361" s="396"/>
      <c r="O361" s="396"/>
      <c r="P361" s="396"/>
      <c r="Q361" s="410"/>
      <c r="R361" s="411"/>
      <c r="S361" s="411"/>
      <c r="T361" s="411"/>
      <c r="AF361" s="352" t="n">
        <f aca="false">EOMONTH(AF360,0)+1</f>
        <v>47423</v>
      </c>
      <c r="AG361" s="311" t="n">
        <v>20</v>
      </c>
      <c r="AH361" s="311" t="n">
        <v>5</v>
      </c>
      <c r="AI361" s="311" t="n">
        <v>5</v>
      </c>
      <c r="AJ361" s="311" t="n">
        <v>1</v>
      </c>
      <c r="AK361" s="311" t="n">
        <v>30</v>
      </c>
      <c r="AL361" s="311"/>
      <c r="AM361" s="336"/>
    </row>
    <row r="362" customFormat="false" ht="12.75" hidden="false" customHeight="false" outlineLevel="0" collapsed="false">
      <c r="A362" s="408"/>
      <c r="B362" s="396"/>
      <c r="C362" s="409"/>
      <c r="D362" s="410"/>
      <c r="E362" s="396"/>
      <c r="F362" s="410"/>
      <c r="G362" s="396"/>
      <c r="H362" s="410"/>
      <c r="I362" s="410"/>
      <c r="J362" s="411"/>
      <c r="K362" s="399"/>
      <c r="L362" s="399"/>
      <c r="M362" s="73"/>
      <c r="N362" s="396"/>
      <c r="O362" s="396"/>
      <c r="P362" s="396"/>
      <c r="Q362" s="410"/>
      <c r="R362" s="411"/>
      <c r="S362" s="411"/>
      <c r="T362" s="411"/>
      <c r="AF362" s="352" t="n">
        <f aca="false">EOMONTH(AF361,0)+1</f>
        <v>47453</v>
      </c>
      <c r="AG362" s="311" t="n">
        <v>21</v>
      </c>
      <c r="AH362" s="311" t="n">
        <v>4</v>
      </c>
      <c r="AI362" s="311" t="n">
        <v>6</v>
      </c>
      <c r="AJ362" s="311" t="n">
        <v>1</v>
      </c>
      <c r="AK362" s="311" t="n">
        <v>31</v>
      </c>
      <c r="AL362" s="311"/>
      <c r="AM362" s="336"/>
    </row>
    <row r="363" customFormat="false" ht="12.75" hidden="false" customHeight="false" outlineLevel="0" collapsed="false">
      <c r="A363" s="408"/>
      <c r="B363" s="396"/>
      <c r="C363" s="409"/>
      <c r="D363" s="410"/>
      <c r="E363" s="396"/>
      <c r="F363" s="410"/>
      <c r="G363" s="396"/>
      <c r="H363" s="410"/>
      <c r="I363" s="410"/>
      <c r="J363" s="411"/>
      <c r="K363" s="399"/>
      <c r="L363" s="399"/>
      <c r="M363" s="73"/>
      <c r="N363" s="396"/>
      <c r="O363" s="396"/>
      <c r="P363" s="396"/>
      <c r="Q363" s="410"/>
      <c r="R363" s="411"/>
      <c r="S363" s="411"/>
      <c r="T363" s="411"/>
      <c r="AF363" s="352" t="n">
        <f aca="false">EOMONTH(AF362,0)+1</f>
        <v>47484</v>
      </c>
      <c r="AG363" s="311" t="n">
        <v>22</v>
      </c>
      <c r="AH363" s="311" t="n">
        <v>4</v>
      </c>
      <c r="AI363" s="311" t="n">
        <v>5</v>
      </c>
      <c r="AJ363" s="311" t="n">
        <v>1</v>
      </c>
      <c r="AK363" s="311" t="n">
        <v>31</v>
      </c>
      <c r="AL363" s="311"/>
      <c r="AM363" s="336"/>
    </row>
    <row r="364" customFormat="false" ht="12.75" hidden="false" customHeight="false" outlineLevel="0" collapsed="false">
      <c r="A364" s="408"/>
      <c r="B364" s="396"/>
      <c r="C364" s="409"/>
      <c r="D364" s="410"/>
      <c r="E364" s="396"/>
      <c r="F364" s="410"/>
      <c r="G364" s="396"/>
      <c r="H364" s="410"/>
      <c r="I364" s="410"/>
      <c r="J364" s="411"/>
      <c r="K364" s="399"/>
      <c r="L364" s="399"/>
      <c r="M364" s="73"/>
      <c r="N364" s="396"/>
      <c r="O364" s="396"/>
      <c r="P364" s="396"/>
      <c r="Q364" s="410"/>
      <c r="R364" s="411"/>
      <c r="S364" s="411"/>
      <c r="T364" s="411"/>
      <c r="AF364" s="352" t="n">
        <f aca="false">EOMONTH(AF363,0)+1</f>
        <v>47515</v>
      </c>
      <c r="AG364" s="311" t="n">
        <v>20</v>
      </c>
      <c r="AH364" s="311" t="n">
        <v>4</v>
      </c>
      <c r="AI364" s="311" t="n">
        <v>4</v>
      </c>
      <c r="AJ364" s="311" t="n">
        <v>0</v>
      </c>
      <c r="AK364" s="311" t="n">
        <v>28</v>
      </c>
      <c r="AL364" s="311"/>
      <c r="AM364" s="336"/>
    </row>
    <row r="365" customFormat="false" ht="12.75" hidden="false" customHeight="false" outlineLevel="0" collapsed="false">
      <c r="A365" s="408"/>
      <c r="B365" s="396"/>
      <c r="C365" s="409"/>
      <c r="D365" s="410"/>
      <c r="E365" s="396"/>
      <c r="F365" s="410"/>
      <c r="G365" s="396"/>
      <c r="H365" s="410"/>
      <c r="I365" s="410"/>
      <c r="J365" s="411"/>
      <c r="K365" s="399"/>
      <c r="L365" s="399"/>
      <c r="M365" s="73"/>
      <c r="N365" s="396"/>
      <c r="O365" s="396"/>
      <c r="P365" s="396"/>
      <c r="Q365" s="410"/>
      <c r="R365" s="411"/>
      <c r="S365" s="411"/>
      <c r="T365" s="411"/>
      <c r="AF365" s="352" t="n">
        <f aca="false">EOMONTH(AF364,0)+1</f>
        <v>47543</v>
      </c>
      <c r="AG365" s="311" t="n">
        <v>21</v>
      </c>
      <c r="AH365" s="311" t="n">
        <v>5</v>
      </c>
      <c r="AI365" s="311" t="n">
        <v>5</v>
      </c>
      <c r="AJ365" s="311" t="n">
        <v>0</v>
      </c>
      <c r="AK365" s="311" t="n">
        <v>31</v>
      </c>
      <c r="AL365" s="311"/>
      <c r="AM365" s="336"/>
    </row>
    <row r="366" customFormat="false" ht="12.75" hidden="false" customHeight="false" outlineLevel="0" collapsed="false">
      <c r="A366" s="408"/>
      <c r="B366" s="396"/>
      <c r="C366" s="409"/>
      <c r="D366" s="410"/>
      <c r="E366" s="396"/>
      <c r="F366" s="410"/>
      <c r="G366" s="396"/>
      <c r="H366" s="410"/>
      <c r="I366" s="410"/>
      <c r="J366" s="411"/>
      <c r="K366" s="399"/>
      <c r="L366" s="399"/>
      <c r="M366" s="73"/>
      <c r="N366" s="396"/>
      <c r="O366" s="396"/>
      <c r="P366" s="396"/>
      <c r="Q366" s="410"/>
      <c r="R366" s="411"/>
      <c r="S366" s="411"/>
      <c r="T366" s="411"/>
      <c r="AF366" s="352" t="n">
        <f aca="false">EOMONTH(AF365,0)+1</f>
        <v>47574</v>
      </c>
      <c r="AG366" s="311" t="n">
        <v>22</v>
      </c>
      <c r="AH366" s="311" t="n">
        <v>4</v>
      </c>
      <c r="AI366" s="311" t="n">
        <v>4</v>
      </c>
      <c r="AJ366" s="311" t="n">
        <v>0</v>
      </c>
      <c r="AK366" s="311" t="n">
        <v>30</v>
      </c>
      <c r="AL366" s="311"/>
      <c r="AM366" s="336"/>
    </row>
    <row r="367" customFormat="false" ht="12.75" hidden="false" customHeight="false" outlineLevel="0" collapsed="false">
      <c r="A367" s="408"/>
      <c r="B367" s="396"/>
      <c r="C367" s="409"/>
      <c r="D367" s="410"/>
      <c r="E367" s="396"/>
      <c r="F367" s="410"/>
      <c r="G367" s="396"/>
      <c r="H367" s="410"/>
      <c r="I367" s="410"/>
      <c r="J367" s="411"/>
      <c r="K367" s="399"/>
      <c r="L367" s="399"/>
      <c r="M367" s="73"/>
      <c r="N367" s="396"/>
      <c r="O367" s="396"/>
      <c r="P367" s="396"/>
      <c r="Q367" s="410"/>
      <c r="R367" s="411"/>
      <c r="S367" s="411"/>
      <c r="T367" s="411"/>
      <c r="AF367" s="352" t="n">
        <f aca="false">EOMONTH(AF366,0)+1</f>
        <v>47604</v>
      </c>
      <c r="AG367" s="311" t="n">
        <v>22</v>
      </c>
      <c r="AH367" s="311" t="n">
        <v>4</v>
      </c>
      <c r="AI367" s="311" t="n">
        <v>5</v>
      </c>
      <c r="AJ367" s="311" t="n">
        <v>1</v>
      </c>
      <c r="AK367" s="311" t="n">
        <v>31</v>
      </c>
      <c r="AL367" s="311"/>
      <c r="AM367" s="336"/>
    </row>
    <row r="368" customFormat="false" ht="12.75" hidden="false" customHeight="false" outlineLevel="0" collapsed="false">
      <c r="A368" s="408"/>
      <c r="B368" s="396"/>
      <c r="C368" s="409"/>
      <c r="D368" s="410"/>
      <c r="E368" s="396"/>
      <c r="F368" s="410"/>
      <c r="G368" s="396"/>
      <c r="H368" s="410"/>
      <c r="I368" s="410"/>
      <c r="J368" s="411"/>
      <c r="K368" s="399"/>
      <c r="L368" s="399"/>
      <c r="M368" s="73"/>
      <c r="N368" s="396"/>
      <c r="O368" s="396"/>
      <c r="P368" s="396"/>
      <c r="Q368" s="410"/>
      <c r="R368" s="411"/>
      <c r="S368" s="411"/>
      <c r="T368" s="411"/>
      <c r="AF368" s="352" t="n">
        <f aca="false">EOMONTH(AF367,0)+1</f>
        <v>47635</v>
      </c>
      <c r="AG368" s="311" t="n">
        <v>20</v>
      </c>
      <c r="AH368" s="311" t="n">
        <v>5</v>
      </c>
      <c r="AI368" s="311" t="n">
        <v>5</v>
      </c>
      <c r="AJ368" s="311" t="n">
        <v>0</v>
      </c>
      <c r="AK368" s="311" t="n">
        <v>30</v>
      </c>
      <c r="AL368" s="311"/>
      <c r="AM368" s="336"/>
    </row>
    <row r="369" customFormat="false" ht="12.75" hidden="false" customHeight="false" outlineLevel="0" collapsed="false">
      <c r="A369" s="408"/>
      <c r="B369" s="396"/>
      <c r="C369" s="409"/>
      <c r="D369" s="410"/>
      <c r="E369" s="396"/>
      <c r="F369" s="410"/>
      <c r="G369" s="396"/>
      <c r="H369" s="410"/>
      <c r="I369" s="410"/>
      <c r="J369" s="411"/>
      <c r="K369" s="399"/>
      <c r="L369" s="399"/>
      <c r="M369" s="73"/>
      <c r="N369" s="396"/>
      <c r="O369" s="396"/>
      <c r="P369" s="396"/>
      <c r="Q369" s="410"/>
      <c r="R369" s="411"/>
      <c r="S369" s="411"/>
      <c r="T369" s="411"/>
      <c r="AF369" s="352" t="n">
        <f aca="false">EOMONTH(AF368,0)+1</f>
        <v>47665</v>
      </c>
      <c r="AG369" s="311" t="n">
        <v>22</v>
      </c>
      <c r="AH369" s="311" t="n">
        <v>4</v>
      </c>
      <c r="AI369" s="311" t="n">
        <v>5</v>
      </c>
      <c r="AJ369" s="311" t="n">
        <v>1</v>
      </c>
      <c r="AK369" s="311" t="n">
        <v>31</v>
      </c>
      <c r="AL369" s="311"/>
      <c r="AM369" s="336"/>
    </row>
    <row r="370" customFormat="false" ht="12.75" hidden="false" customHeight="false" outlineLevel="0" collapsed="false">
      <c r="A370" s="408"/>
      <c r="B370" s="396"/>
      <c r="C370" s="409"/>
      <c r="D370" s="410"/>
      <c r="E370" s="396"/>
      <c r="F370" s="410"/>
      <c r="G370" s="396"/>
      <c r="H370" s="410"/>
      <c r="I370" s="410"/>
      <c r="J370" s="411"/>
      <c r="K370" s="399"/>
      <c r="L370" s="399"/>
      <c r="M370" s="73"/>
      <c r="N370" s="396"/>
      <c r="O370" s="396"/>
      <c r="P370" s="396"/>
      <c r="Q370" s="410"/>
      <c r="R370" s="411"/>
      <c r="S370" s="411"/>
      <c r="T370" s="411"/>
      <c r="AF370" s="352" t="n">
        <f aca="false">EOMONTH(AF369,0)+1</f>
        <v>47696</v>
      </c>
      <c r="AG370" s="311" t="n">
        <v>22</v>
      </c>
      <c r="AH370" s="311" t="n">
        <v>5</v>
      </c>
      <c r="AI370" s="311" t="n">
        <v>4</v>
      </c>
      <c r="AJ370" s="311" t="n">
        <v>0</v>
      </c>
      <c r="AK370" s="311" t="n">
        <v>31</v>
      </c>
      <c r="AL370" s="311"/>
      <c r="AM370" s="336"/>
    </row>
    <row r="371" customFormat="false" ht="12.75" hidden="false" customHeight="false" outlineLevel="0" collapsed="false">
      <c r="A371" s="408"/>
      <c r="B371" s="396"/>
      <c r="C371" s="409"/>
      <c r="D371" s="410"/>
      <c r="E371" s="396"/>
      <c r="F371" s="410"/>
      <c r="G371" s="396"/>
      <c r="H371" s="410"/>
      <c r="I371" s="410"/>
      <c r="J371" s="411"/>
      <c r="K371" s="399"/>
      <c r="L371" s="399"/>
      <c r="M371" s="73"/>
      <c r="N371" s="396"/>
      <c r="O371" s="396"/>
      <c r="P371" s="396"/>
      <c r="Q371" s="410"/>
      <c r="R371" s="411"/>
      <c r="S371" s="411"/>
      <c r="T371" s="411"/>
      <c r="AF371" s="352" t="n">
        <f aca="false">EOMONTH(AF370,0)+1</f>
        <v>47727</v>
      </c>
      <c r="AG371" s="311" t="n">
        <v>20</v>
      </c>
      <c r="AH371" s="311" t="n">
        <v>4</v>
      </c>
      <c r="AI371" s="311" t="n">
        <v>6</v>
      </c>
      <c r="AJ371" s="311" t="n">
        <v>1</v>
      </c>
      <c r="AK371" s="311" t="n">
        <v>30</v>
      </c>
      <c r="AL371" s="311"/>
      <c r="AM371" s="336"/>
    </row>
    <row r="372" customFormat="false" ht="12.75" hidden="false" customHeight="false" outlineLevel="0" collapsed="false">
      <c r="A372" s="408"/>
      <c r="B372" s="396"/>
      <c r="C372" s="409"/>
      <c r="D372" s="410"/>
      <c r="E372" s="396"/>
      <c r="F372" s="410"/>
      <c r="G372" s="396"/>
      <c r="H372" s="410"/>
      <c r="I372" s="410"/>
      <c r="J372" s="411"/>
      <c r="K372" s="399"/>
      <c r="L372" s="399"/>
      <c r="M372" s="73"/>
      <c r="N372" s="396"/>
      <c r="O372" s="396"/>
      <c r="P372" s="396"/>
      <c r="Q372" s="410"/>
      <c r="R372" s="411"/>
      <c r="S372" s="411"/>
      <c r="T372" s="411"/>
      <c r="AF372" s="352" t="n">
        <f aca="false">EOMONTH(AF371,0)+1</f>
        <v>47757</v>
      </c>
      <c r="AG372" s="311" t="n">
        <v>23</v>
      </c>
      <c r="AH372" s="311" t="n">
        <v>4</v>
      </c>
      <c r="AI372" s="311" t="n">
        <v>4</v>
      </c>
      <c r="AJ372" s="311" t="n">
        <v>0</v>
      </c>
      <c r="AK372" s="311" t="n">
        <v>31</v>
      </c>
      <c r="AL372" s="311"/>
      <c r="AM372" s="336"/>
    </row>
    <row r="373" customFormat="false" ht="12.75" hidden="false" customHeight="false" outlineLevel="0" collapsed="false">
      <c r="A373" s="408"/>
      <c r="B373" s="396"/>
      <c r="C373" s="409"/>
      <c r="D373" s="410"/>
      <c r="E373" s="396"/>
      <c r="F373" s="410"/>
      <c r="G373" s="396"/>
      <c r="H373" s="410"/>
      <c r="I373" s="410"/>
      <c r="J373" s="411"/>
      <c r="K373" s="399"/>
      <c r="L373" s="399"/>
      <c r="M373" s="73"/>
      <c r="N373" s="396"/>
      <c r="O373" s="396"/>
      <c r="P373" s="396"/>
      <c r="Q373" s="410"/>
      <c r="R373" s="411"/>
      <c r="S373" s="411"/>
      <c r="T373" s="411"/>
      <c r="AF373" s="352" t="n">
        <f aca="false">EOMONTH(AF372,0)+1</f>
        <v>47788</v>
      </c>
      <c r="AG373" s="311" t="n">
        <v>20</v>
      </c>
      <c r="AH373" s="311" t="n">
        <v>5</v>
      </c>
      <c r="AI373" s="311" t="n">
        <v>5</v>
      </c>
      <c r="AJ373" s="311" t="n">
        <v>1</v>
      </c>
      <c r="AK373" s="311" t="n">
        <v>30</v>
      </c>
      <c r="AL373" s="311"/>
      <c r="AM373" s="336"/>
    </row>
    <row r="374" customFormat="false" ht="12.75" hidden="false" customHeight="false" outlineLevel="0" collapsed="false">
      <c r="A374" s="408"/>
      <c r="B374" s="396"/>
      <c r="C374" s="409"/>
      <c r="D374" s="410"/>
      <c r="E374" s="396"/>
      <c r="F374" s="410"/>
      <c r="G374" s="396"/>
      <c r="H374" s="410"/>
      <c r="I374" s="410"/>
      <c r="J374" s="411"/>
      <c r="K374" s="399"/>
      <c r="L374" s="399"/>
      <c r="M374" s="73"/>
      <c r="N374" s="396"/>
      <c r="O374" s="396"/>
      <c r="P374" s="396"/>
      <c r="Q374" s="410"/>
      <c r="R374" s="411"/>
      <c r="S374" s="411"/>
      <c r="T374" s="411"/>
      <c r="AF374" s="352" t="n">
        <f aca="false">EOMONTH(AF373,0)+1</f>
        <v>47818</v>
      </c>
      <c r="AG374" s="311" t="n">
        <v>21</v>
      </c>
      <c r="AH374" s="311" t="n">
        <v>4</v>
      </c>
      <c r="AI374" s="311" t="n">
        <v>6</v>
      </c>
      <c r="AJ374" s="311" t="n">
        <v>1</v>
      </c>
      <c r="AK374" s="311" t="n">
        <v>31</v>
      </c>
      <c r="AL374" s="311"/>
      <c r="AM374" s="336"/>
    </row>
    <row r="375" customFormat="false" ht="12.75" hidden="false" customHeight="false" outlineLevel="0" collapsed="false">
      <c r="A375" s="408"/>
      <c r="B375" s="396"/>
      <c r="C375" s="409"/>
      <c r="D375" s="410"/>
      <c r="E375" s="396"/>
      <c r="F375" s="410"/>
      <c r="G375" s="396"/>
      <c r="H375" s="410"/>
      <c r="I375" s="410"/>
      <c r="J375" s="411"/>
      <c r="K375" s="399"/>
      <c r="L375" s="399"/>
      <c r="M375" s="73"/>
      <c r="N375" s="396"/>
      <c r="O375" s="396"/>
      <c r="P375" s="396"/>
      <c r="Q375" s="410"/>
      <c r="R375" s="411"/>
      <c r="S375" s="411"/>
      <c r="T375" s="411"/>
      <c r="AF375" s="352" t="n">
        <f aca="false">EOMONTH(AF374,0)+1</f>
        <v>47849</v>
      </c>
      <c r="AG375" s="311" t="n">
        <v>22</v>
      </c>
      <c r="AH375" s="311" t="n">
        <v>4</v>
      </c>
      <c r="AI375" s="311" t="n">
        <v>5</v>
      </c>
      <c r="AJ375" s="311" t="n">
        <v>1</v>
      </c>
      <c r="AK375" s="311" t="n">
        <v>31</v>
      </c>
      <c r="AL375" s="311"/>
      <c r="AM375" s="336"/>
    </row>
    <row r="376" customFormat="false" ht="12.75" hidden="false" customHeight="false" outlineLevel="0" collapsed="false">
      <c r="A376" s="408"/>
      <c r="B376" s="396"/>
      <c r="C376" s="409"/>
      <c r="D376" s="410"/>
      <c r="E376" s="396"/>
      <c r="F376" s="410"/>
      <c r="G376" s="396"/>
      <c r="H376" s="410"/>
      <c r="I376" s="410"/>
      <c r="J376" s="411"/>
      <c r="K376" s="399"/>
      <c r="L376" s="399"/>
      <c r="M376" s="73"/>
      <c r="N376" s="396"/>
      <c r="O376" s="396"/>
      <c r="P376" s="396"/>
      <c r="Q376" s="410"/>
      <c r="R376" s="411"/>
      <c r="S376" s="411"/>
      <c r="T376" s="411"/>
      <c r="AF376" s="352" t="n">
        <f aca="false">EOMONTH(AF375,0)+1</f>
        <v>47880</v>
      </c>
      <c r="AG376" s="311" t="n">
        <v>20</v>
      </c>
      <c r="AH376" s="311" t="n">
        <v>4</v>
      </c>
      <c r="AI376" s="311" t="n">
        <v>4</v>
      </c>
      <c r="AJ376" s="311" t="n">
        <v>0</v>
      </c>
      <c r="AK376" s="311" t="n">
        <v>28</v>
      </c>
      <c r="AL376" s="311"/>
      <c r="AM376" s="336"/>
    </row>
    <row r="377" customFormat="false" ht="12.75" hidden="false" customHeight="false" outlineLevel="0" collapsed="false">
      <c r="A377" s="408"/>
      <c r="B377" s="396"/>
      <c r="C377" s="409"/>
      <c r="D377" s="410"/>
      <c r="E377" s="396"/>
      <c r="F377" s="410"/>
      <c r="G377" s="396"/>
      <c r="H377" s="410"/>
      <c r="I377" s="410"/>
      <c r="J377" s="411"/>
      <c r="K377" s="399"/>
      <c r="L377" s="399"/>
      <c r="M377" s="73"/>
      <c r="N377" s="396"/>
      <c r="O377" s="396"/>
      <c r="P377" s="396"/>
      <c r="Q377" s="410"/>
      <c r="R377" s="411"/>
      <c r="S377" s="411"/>
      <c r="T377" s="411"/>
      <c r="AF377" s="352" t="n">
        <f aca="false">EOMONTH(AF376,0)+1</f>
        <v>47908</v>
      </c>
      <c r="AG377" s="311" t="n">
        <v>21</v>
      </c>
      <c r="AH377" s="311" t="n">
        <v>5</v>
      </c>
      <c r="AI377" s="311" t="n">
        <v>5</v>
      </c>
      <c r="AJ377" s="311" t="n">
        <v>0</v>
      </c>
      <c r="AK377" s="311" t="n">
        <v>31</v>
      </c>
      <c r="AL377" s="311"/>
      <c r="AM377" s="336"/>
    </row>
    <row r="378" customFormat="false" ht="12.75" hidden="false" customHeight="false" outlineLevel="0" collapsed="false">
      <c r="A378" s="408"/>
      <c r="B378" s="396"/>
      <c r="C378" s="409"/>
      <c r="D378" s="410"/>
      <c r="E378" s="396"/>
      <c r="F378" s="410"/>
      <c r="G378" s="396"/>
      <c r="H378" s="410"/>
      <c r="I378" s="410"/>
      <c r="J378" s="411"/>
      <c r="K378" s="399"/>
      <c r="L378" s="399"/>
      <c r="M378" s="73"/>
      <c r="N378" s="396"/>
      <c r="O378" s="396"/>
      <c r="P378" s="396"/>
      <c r="Q378" s="410"/>
      <c r="R378" s="411"/>
      <c r="S378" s="411"/>
      <c r="T378" s="411"/>
      <c r="AF378" s="352" t="n">
        <f aca="false">EOMONTH(AF377,0)+1</f>
        <v>47939</v>
      </c>
      <c r="AG378" s="311" t="n">
        <v>22</v>
      </c>
      <c r="AH378" s="311" t="n">
        <v>4</v>
      </c>
      <c r="AI378" s="311" t="n">
        <v>4</v>
      </c>
      <c r="AJ378" s="311" t="n">
        <v>0</v>
      </c>
      <c r="AK378" s="311" t="n">
        <v>30</v>
      </c>
      <c r="AL378" s="311"/>
      <c r="AM378" s="336"/>
    </row>
    <row r="379" customFormat="false" ht="12.75" hidden="false" customHeight="false" outlineLevel="0" collapsed="false">
      <c r="A379" s="408"/>
      <c r="B379" s="396"/>
      <c r="C379" s="409"/>
      <c r="D379" s="410"/>
      <c r="E379" s="396"/>
      <c r="F379" s="410"/>
      <c r="G379" s="396"/>
      <c r="H379" s="410"/>
      <c r="I379" s="410"/>
      <c r="J379" s="411"/>
      <c r="K379" s="399"/>
      <c r="L379" s="399"/>
      <c r="M379" s="73"/>
      <c r="N379" s="396"/>
      <c r="O379" s="396"/>
      <c r="P379" s="396"/>
      <c r="Q379" s="410"/>
      <c r="R379" s="411"/>
      <c r="S379" s="411"/>
      <c r="T379" s="411"/>
      <c r="AF379" s="352" t="n">
        <f aca="false">EOMONTH(AF378,0)+1</f>
        <v>47969</v>
      </c>
      <c r="AG379" s="311" t="n">
        <v>22</v>
      </c>
      <c r="AH379" s="311" t="n">
        <v>4</v>
      </c>
      <c r="AI379" s="311" t="n">
        <v>5</v>
      </c>
      <c r="AJ379" s="311" t="n">
        <v>1</v>
      </c>
      <c r="AK379" s="311" t="n">
        <v>31</v>
      </c>
      <c r="AL379" s="311"/>
      <c r="AM379" s="336"/>
    </row>
    <row r="380" customFormat="false" ht="12.75" hidden="false" customHeight="false" outlineLevel="0" collapsed="false">
      <c r="A380" s="408"/>
      <c r="B380" s="396"/>
      <c r="C380" s="409"/>
      <c r="D380" s="410"/>
      <c r="E380" s="396"/>
      <c r="F380" s="410"/>
      <c r="G380" s="396"/>
      <c r="H380" s="410"/>
      <c r="I380" s="410"/>
      <c r="J380" s="411"/>
      <c r="K380" s="399"/>
      <c r="L380" s="399"/>
      <c r="M380" s="73"/>
      <c r="N380" s="396"/>
      <c r="O380" s="396"/>
      <c r="P380" s="396"/>
      <c r="Q380" s="410"/>
      <c r="R380" s="411"/>
      <c r="S380" s="411"/>
      <c r="T380" s="411"/>
      <c r="AF380" s="352" t="n">
        <f aca="false">EOMONTH(AF379,0)+1</f>
        <v>48000</v>
      </c>
      <c r="AG380" s="311" t="n">
        <v>20</v>
      </c>
      <c r="AH380" s="311" t="n">
        <v>5</v>
      </c>
      <c r="AI380" s="311" t="n">
        <v>5</v>
      </c>
      <c r="AJ380" s="311" t="n">
        <v>0</v>
      </c>
      <c r="AK380" s="311" t="n">
        <v>30</v>
      </c>
      <c r="AL380" s="311"/>
      <c r="AM380" s="336"/>
    </row>
    <row r="381" customFormat="false" ht="12.75" hidden="false" customHeight="false" outlineLevel="0" collapsed="false">
      <c r="A381" s="408"/>
      <c r="B381" s="396"/>
      <c r="C381" s="409"/>
      <c r="D381" s="410"/>
      <c r="E381" s="396"/>
      <c r="F381" s="410"/>
      <c r="G381" s="396"/>
      <c r="H381" s="410"/>
      <c r="I381" s="410"/>
      <c r="J381" s="411"/>
      <c r="K381" s="399"/>
      <c r="L381" s="399"/>
      <c r="M381" s="73"/>
      <c r="N381" s="396"/>
      <c r="O381" s="396"/>
      <c r="P381" s="396"/>
      <c r="Q381" s="410"/>
      <c r="R381" s="411"/>
      <c r="S381" s="411"/>
      <c r="T381" s="411"/>
      <c r="AF381" s="352" t="n">
        <f aca="false">EOMONTH(AF380,0)+1</f>
        <v>48030</v>
      </c>
      <c r="AG381" s="311" t="n">
        <v>22</v>
      </c>
      <c r="AH381" s="311" t="n">
        <v>4</v>
      </c>
      <c r="AI381" s="311" t="n">
        <v>5</v>
      </c>
      <c r="AJ381" s="311" t="n">
        <v>1</v>
      </c>
      <c r="AK381" s="311" t="n">
        <v>31</v>
      </c>
      <c r="AL381" s="311"/>
      <c r="AM381" s="336"/>
    </row>
    <row r="382" customFormat="false" ht="12.75" hidden="false" customHeight="false" outlineLevel="0" collapsed="false">
      <c r="A382" s="408"/>
      <c r="B382" s="396"/>
      <c r="C382" s="409"/>
      <c r="D382" s="410"/>
      <c r="E382" s="396"/>
      <c r="F382" s="410"/>
      <c r="G382" s="396"/>
      <c r="H382" s="410"/>
      <c r="I382" s="410"/>
      <c r="J382" s="411"/>
      <c r="K382" s="399"/>
      <c r="L382" s="399"/>
      <c r="M382" s="73"/>
      <c r="N382" s="396"/>
      <c r="O382" s="396"/>
      <c r="P382" s="396"/>
      <c r="Q382" s="410"/>
      <c r="R382" s="411"/>
      <c r="S382" s="411"/>
      <c r="T382" s="411"/>
      <c r="AF382" s="352" t="n">
        <f aca="false">EOMONTH(AF381,0)+1</f>
        <v>48061</v>
      </c>
      <c r="AG382" s="311" t="n">
        <v>22</v>
      </c>
      <c r="AH382" s="311" t="n">
        <v>5</v>
      </c>
      <c r="AI382" s="311" t="n">
        <v>4</v>
      </c>
      <c r="AJ382" s="311" t="n">
        <v>0</v>
      </c>
      <c r="AK382" s="311" t="n">
        <v>31</v>
      </c>
      <c r="AL382" s="311"/>
      <c r="AM382" s="336"/>
    </row>
    <row r="383" customFormat="false" ht="12.75" hidden="false" customHeight="false" outlineLevel="0" collapsed="false">
      <c r="A383" s="408"/>
      <c r="B383" s="396"/>
      <c r="C383" s="409"/>
      <c r="D383" s="410"/>
      <c r="E383" s="396"/>
      <c r="F383" s="410"/>
      <c r="G383" s="396"/>
      <c r="H383" s="410"/>
      <c r="I383" s="410"/>
      <c r="J383" s="411"/>
      <c r="K383" s="399"/>
      <c r="L383" s="399"/>
      <c r="M383" s="73"/>
      <c r="N383" s="396"/>
      <c r="O383" s="396"/>
      <c r="P383" s="396"/>
      <c r="Q383" s="410"/>
      <c r="R383" s="411"/>
      <c r="S383" s="411"/>
      <c r="T383" s="411"/>
      <c r="AF383" s="352" t="n">
        <f aca="false">EOMONTH(AF382,0)+1</f>
        <v>48092</v>
      </c>
      <c r="AG383" s="311" t="n">
        <v>20</v>
      </c>
      <c r="AH383" s="311" t="n">
        <v>4</v>
      </c>
      <c r="AI383" s="311" t="n">
        <v>6</v>
      </c>
      <c r="AJ383" s="311" t="n">
        <v>1</v>
      </c>
      <c r="AK383" s="311" t="n">
        <v>30</v>
      </c>
      <c r="AL383" s="311"/>
      <c r="AM383" s="336"/>
    </row>
    <row r="384" customFormat="false" ht="12.75" hidden="false" customHeight="false" outlineLevel="0" collapsed="false">
      <c r="A384" s="408"/>
      <c r="B384" s="396"/>
      <c r="C384" s="409"/>
      <c r="D384" s="410"/>
      <c r="E384" s="396"/>
      <c r="F384" s="410"/>
      <c r="G384" s="396"/>
      <c r="H384" s="410"/>
      <c r="I384" s="410"/>
      <c r="J384" s="411"/>
      <c r="K384" s="399"/>
      <c r="L384" s="399"/>
      <c r="M384" s="73"/>
      <c r="N384" s="396"/>
      <c r="O384" s="396"/>
      <c r="P384" s="396"/>
      <c r="Q384" s="410"/>
      <c r="R384" s="411"/>
      <c r="S384" s="411"/>
      <c r="T384" s="411"/>
      <c r="AF384" s="352" t="n">
        <f aca="false">EOMONTH(AF383,0)+1</f>
        <v>48122</v>
      </c>
      <c r="AG384" s="311" t="n">
        <v>23</v>
      </c>
      <c r="AH384" s="311" t="n">
        <v>4</v>
      </c>
      <c r="AI384" s="311" t="n">
        <v>4</v>
      </c>
      <c r="AJ384" s="311" t="n">
        <v>0</v>
      </c>
      <c r="AK384" s="311" t="n">
        <v>31</v>
      </c>
      <c r="AL384" s="311"/>
      <c r="AM384" s="336"/>
    </row>
    <row r="385" customFormat="false" ht="12.75" hidden="false" customHeight="false" outlineLevel="0" collapsed="false">
      <c r="A385" s="408"/>
      <c r="B385" s="396"/>
      <c r="C385" s="409"/>
      <c r="D385" s="410"/>
      <c r="E385" s="396"/>
      <c r="F385" s="410"/>
      <c r="G385" s="396"/>
      <c r="H385" s="410"/>
      <c r="I385" s="410"/>
      <c r="J385" s="411"/>
      <c r="K385" s="399"/>
      <c r="L385" s="399"/>
      <c r="M385" s="73"/>
      <c r="N385" s="396"/>
      <c r="O385" s="396"/>
      <c r="P385" s="396"/>
      <c r="Q385" s="410"/>
      <c r="R385" s="411"/>
      <c r="S385" s="411"/>
      <c r="T385" s="411"/>
      <c r="AF385" s="352" t="n">
        <f aca="false">EOMONTH(AF384,0)+1</f>
        <v>48153</v>
      </c>
      <c r="AG385" s="311" t="n">
        <v>20</v>
      </c>
      <c r="AH385" s="311" t="n">
        <v>5</v>
      </c>
      <c r="AI385" s="311" t="n">
        <v>5</v>
      </c>
      <c r="AJ385" s="311" t="n">
        <v>1</v>
      </c>
      <c r="AK385" s="311" t="n">
        <v>30</v>
      </c>
      <c r="AL385" s="311"/>
      <c r="AM385" s="336"/>
    </row>
    <row r="386" customFormat="false" ht="12.75" hidden="false" customHeight="false" outlineLevel="0" collapsed="false">
      <c r="A386" s="408"/>
      <c r="B386" s="396"/>
      <c r="C386" s="409"/>
      <c r="D386" s="410"/>
      <c r="E386" s="396"/>
      <c r="F386" s="410"/>
      <c r="G386" s="396"/>
      <c r="H386" s="410"/>
      <c r="I386" s="410"/>
      <c r="J386" s="411"/>
      <c r="K386" s="399"/>
      <c r="L386" s="399"/>
      <c r="M386" s="73"/>
      <c r="N386" s="396"/>
      <c r="O386" s="396"/>
      <c r="P386" s="396"/>
      <c r="Q386" s="410"/>
      <c r="R386" s="411"/>
      <c r="S386" s="411"/>
      <c r="T386" s="411"/>
      <c r="AF386" s="352" t="n">
        <f aca="false">EOMONTH(AF385,0)+1</f>
        <v>48183</v>
      </c>
      <c r="AG386" s="311" t="n">
        <v>21</v>
      </c>
      <c r="AH386" s="311" t="n">
        <v>4</v>
      </c>
      <c r="AI386" s="311" t="n">
        <v>6</v>
      </c>
      <c r="AJ386" s="311" t="n">
        <v>1</v>
      </c>
      <c r="AK386" s="311" t="n">
        <v>31</v>
      </c>
      <c r="AL386" s="311"/>
      <c r="AM386" s="336"/>
    </row>
    <row r="387" customFormat="false" ht="12.75" hidden="false" customHeight="false" outlineLevel="0" collapsed="false">
      <c r="A387" s="408"/>
      <c r="B387" s="396"/>
      <c r="C387" s="409"/>
      <c r="D387" s="410"/>
      <c r="E387" s="396"/>
      <c r="F387" s="410"/>
      <c r="G387" s="396"/>
      <c r="H387" s="410"/>
      <c r="I387" s="410"/>
      <c r="J387" s="411"/>
      <c r="K387" s="399"/>
      <c r="L387" s="399"/>
      <c r="M387" s="73"/>
      <c r="N387" s="396"/>
      <c r="O387" s="396"/>
      <c r="P387" s="396"/>
      <c r="Q387" s="410"/>
      <c r="R387" s="411"/>
      <c r="S387" s="411"/>
      <c r="T387" s="411"/>
      <c r="AF387" s="352" t="n">
        <f aca="false">EOMONTH(AF386,0)+1</f>
        <v>48214</v>
      </c>
      <c r="AG387" s="311" t="n">
        <v>22</v>
      </c>
      <c r="AH387" s="311" t="n">
        <v>4</v>
      </c>
      <c r="AI387" s="311" t="n">
        <v>5</v>
      </c>
      <c r="AJ387" s="311" t="n">
        <v>1</v>
      </c>
      <c r="AK387" s="311" t="n">
        <v>31</v>
      </c>
      <c r="AL387" s="311"/>
      <c r="AM387" s="336"/>
    </row>
    <row r="388" customFormat="false" ht="12.75" hidden="false" customHeight="false" outlineLevel="0" collapsed="false">
      <c r="A388" s="408"/>
      <c r="B388" s="396"/>
      <c r="C388" s="409"/>
      <c r="D388" s="410"/>
      <c r="E388" s="396"/>
      <c r="F388" s="410"/>
      <c r="G388" s="396"/>
      <c r="H388" s="410"/>
      <c r="I388" s="410"/>
      <c r="J388" s="411"/>
      <c r="K388" s="399"/>
      <c r="L388" s="399"/>
      <c r="M388" s="73"/>
      <c r="N388" s="396"/>
      <c r="O388" s="396"/>
      <c r="P388" s="396"/>
      <c r="Q388" s="410"/>
      <c r="R388" s="411"/>
      <c r="S388" s="411"/>
      <c r="T388" s="411"/>
      <c r="AF388" s="352" t="n">
        <f aca="false">EOMONTH(AF387,0)+1</f>
        <v>48245</v>
      </c>
      <c r="AG388" s="311" t="n">
        <v>20</v>
      </c>
      <c r="AH388" s="311" t="n">
        <v>5</v>
      </c>
      <c r="AI388" s="311" t="n">
        <v>4</v>
      </c>
      <c r="AJ388" s="311" t="n">
        <v>0</v>
      </c>
      <c r="AK388" s="311" t="n">
        <v>29</v>
      </c>
      <c r="AL388" s="311"/>
      <c r="AM388" s="336"/>
    </row>
    <row r="389" customFormat="false" ht="12.75" hidden="false" customHeight="false" outlineLevel="0" collapsed="false">
      <c r="A389" s="408"/>
      <c r="B389" s="396"/>
      <c r="C389" s="409"/>
      <c r="D389" s="410"/>
      <c r="E389" s="396"/>
      <c r="F389" s="410"/>
      <c r="G389" s="396"/>
      <c r="H389" s="410"/>
      <c r="I389" s="410"/>
      <c r="J389" s="411"/>
      <c r="K389" s="399"/>
      <c r="L389" s="399"/>
      <c r="M389" s="73"/>
      <c r="N389" s="396"/>
      <c r="O389" s="396"/>
      <c r="P389" s="396"/>
      <c r="Q389" s="410"/>
      <c r="R389" s="411"/>
      <c r="S389" s="411"/>
      <c r="T389" s="411"/>
      <c r="AF389" s="352" t="n">
        <f aca="false">EOMONTH(AF388,0)+1</f>
        <v>48274</v>
      </c>
      <c r="AG389" s="311" t="n">
        <v>22</v>
      </c>
      <c r="AH389" s="311" t="n">
        <v>4</v>
      </c>
      <c r="AI389" s="311" t="n">
        <v>5</v>
      </c>
      <c r="AJ389" s="311" t="n">
        <v>0</v>
      </c>
      <c r="AK389" s="311" t="n">
        <v>31</v>
      </c>
      <c r="AL389" s="311"/>
      <c r="AM389" s="336"/>
    </row>
    <row r="390" customFormat="false" ht="12.75" hidden="false" customHeight="false" outlineLevel="0" collapsed="false">
      <c r="A390" s="408"/>
      <c r="B390" s="396"/>
      <c r="C390" s="409"/>
      <c r="D390" s="410"/>
      <c r="E390" s="396"/>
      <c r="F390" s="410"/>
      <c r="G390" s="396"/>
      <c r="H390" s="410"/>
      <c r="I390" s="410"/>
      <c r="J390" s="411"/>
      <c r="K390" s="399"/>
      <c r="L390" s="399"/>
      <c r="M390" s="73"/>
      <c r="N390" s="396"/>
      <c r="O390" s="396"/>
      <c r="P390" s="396"/>
      <c r="Q390" s="410"/>
      <c r="R390" s="411"/>
      <c r="S390" s="411"/>
      <c r="T390" s="411"/>
      <c r="AF390" s="352" t="n">
        <f aca="false">EOMONTH(AF389,0)+1</f>
        <v>48305</v>
      </c>
      <c r="AG390" s="311" t="n">
        <v>22</v>
      </c>
      <c r="AH390" s="311" t="n">
        <v>4</v>
      </c>
      <c r="AI390" s="311" t="n">
        <v>4</v>
      </c>
      <c r="AJ390" s="311" t="n">
        <v>0</v>
      </c>
      <c r="AK390" s="311" t="n">
        <v>30</v>
      </c>
      <c r="AL390" s="311"/>
      <c r="AM390" s="336"/>
    </row>
    <row r="391" customFormat="false" ht="12.75" hidden="false" customHeight="false" outlineLevel="0" collapsed="false">
      <c r="A391" s="408"/>
      <c r="B391" s="396"/>
      <c r="C391" s="409"/>
      <c r="D391" s="410"/>
      <c r="E391" s="396"/>
      <c r="F391" s="410"/>
      <c r="G391" s="396"/>
      <c r="H391" s="410"/>
      <c r="I391" s="410"/>
      <c r="J391" s="411"/>
      <c r="K391" s="399"/>
      <c r="L391" s="399"/>
      <c r="M391" s="73"/>
      <c r="N391" s="396"/>
      <c r="O391" s="396"/>
      <c r="P391" s="396"/>
      <c r="Q391" s="410"/>
      <c r="R391" s="411"/>
      <c r="S391" s="411"/>
      <c r="T391" s="411"/>
      <c r="AF391" s="352" t="n">
        <f aca="false">EOMONTH(AF390,0)+1</f>
        <v>48335</v>
      </c>
      <c r="AG391" s="311" t="n">
        <v>20</v>
      </c>
      <c r="AH391" s="311" t="n">
        <v>5</v>
      </c>
      <c r="AI391" s="311" t="n">
        <v>6</v>
      </c>
      <c r="AJ391" s="311" t="n">
        <v>1</v>
      </c>
      <c r="AK391" s="311" t="n">
        <v>31</v>
      </c>
      <c r="AL391" s="311"/>
      <c r="AM391" s="336"/>
    </row>
    <row r="392" customFormat="false" ht="12.75" hidden="false" customHeight="false" outlineLevel="0" collapsed="false">
      <c r="A392" s="408"/>
      <c r="B392" s="396"/>
      <c r="C392" s="409"/>
      <c r="D392" s="410"/>
      <c r="E392" s="396"/>
      <c r="F392" s="410"/>
      <c r="G392" s="396"/>
      <c r="H392" s="410"/>
      <c r="I392" s="410"/>
      <c r="J392" s="411"/>
      <c r="K392" s="399"/>
      <c r="L392" s="399"/>
      <c r="M392" s="73"/>
      <c r="N392" s="396"/>
      <c r="O392" s="396"/>
      <c r="P392" s="396"/>
      <c r="Q392" s="410"/>
      <c r="R392" s="411"/>
      <c r="S392" s="411"/>
      <c r="T392" s="411"/>
      <c r="AF392" s="352" t="n">
        <f aca="false">EOMONTH(AF391,0)+1</f>
        <v>48366</v>
      </c>
      <c r="AG392" s="311" t="n">
        <v>22</v>
      </c>
      <c r="AH392" s="311" t="n">
        <v>4</v>
      </c>
      <c r="AI392" s="311" t="n">
        <v>4</v>
      </c>
      <c r="AJ392" s="311" t="n">
        <v>0</v>
      </c>
      <c r="AK392" s="311" t="n">
        <v>30</v>
      </c>
      <c r="AL392" s="311"/>
      <c r="AM392" s="336"/>
    </row>
    <row r="393" customFormat="false" ht="12.75" hidden="false" customHeight="false" outlineLevel="0" collapsed="false">
      <c r="A393" s="408"/>
      <c r="B393" s="396"/>
      <c r="C393" s="409"/>
      <c r="D393" s="410"/>
      <c r="E393" s="396"/>
      <c r="F393" s="410"/>
      <c r="G393" s="396"/>
      <c r="H393" s="410"/>
      <c r="I393" s="410"/>
      <c r="J393" s="411"/>
      <c r="K393" s="399"/>
      <c r="L393" s="399"/>
      <c r="M393" s="73"/>
      <c r="N393" s="396"/>
      <c r="O393" s="396"/>
      <c r="P393" s="396"/>
      <c r="Q393" s="410"/>
      <c r="R393" s="411"/>
      <c r="S393" s="411"/>
      <c r="T393" s="411"/>
      <c r="AF393" s="352" t="n">
        <f aca="false">EOMONTH(AF392,0)+1</f>
        <v>48396</v>
      </c>
      <c r="AG393" s="311" t="n">
        <v>23</v>
      </c>
      <c r="AH393" s="311" t="n">
        <v>3</v>
      </c>
      <c r="AI393" s="311" t="n">
        <v>5</v>
      </c>
      <c r="AJ393" s="311" t="n">
        <v>1</v>
      </c>
      <c r="AK393" s="311" t="n">
        <v>31</v>
      </c>
      <c r="AL393" s="311"/>
      <c r="AM393" s="336"/>
    </row>
    <row r="394" customFormat="false" ht="12.75" hidden="false" customHeight="false" outlineLevel="0" collapsed="false">
      <c r="A394" s="408"/>
      <c r="B394" s="396"/>
      <c r="C394" s="409"/>
      <c r="D394" s="410"/>
      <c r="E394" s="396"/>
      <c r="F394" s="410"/>
      <c r="G394" s="396"/>
      <c r="H394" s="410"/>
      <c r="I394" s="410"/>
      <c r="J394" s="411"/>
      <c r="K394" s="399"/>
      <c r="L394" s="399"/>
      <c r="M394" s="73"/>
      <c r="N394" s="396"/>
      <c r="O394" s="396"/>
      <c r="P394" s="396"/>
      <c r="Q394" s="410"/>
      <c r="R394" s="411"/>
      <c r="S394" s="411"/>
      <c r="T394" s="411"/>
      <c r="AF394" s="352" t="n">
        <f aca="false">EOMONTH(AF393,0)+1</f>
        <v>48427</v>
      </c>
      <c r="AG394" s="311" t="n">
        <v>21</v>
      </c>
      <c r="AH394" s="311" t="n">
        <v>5</v>
      </c>
      <c r="AI394" s="311" t="n">
        <v>5</v>
      </c>
      <c r="AJ394" s="311" t="n">
        <v>0</v>
      </c>
      <c r="AK394" s="311" t="n">
        <v>31</v>
      </c>
      <c r="AL394" s="311"/>
      <c r="AM394" s="336"/>
    </row>
    <row r="395" customFormat="false" ht="12.75" hidden="false" customHeight="false" outlineLevel="0" collapsed="false">
      <c r="A395" s="408"/>
      <c r="B395" s="396"/>
      <c r="C395" s="409"/>
      <c r="D395" s="410"/>
      <c r="E395" s="396"/>
      <c r="F395" s="410"/>
      <c r="G395" s="396"/>
      <c r="H395" s="410"/>
      <c r="I395" s="410"/>
      <c r="J395" s="411"/>
      <c r="K395" s="399"/>
      <c r="L395" s="399"/>
      <c r="M395" s="73"/>
      <c r="N395" s="396"/>
      <c r="O395" s="396"/>
      <c r="P395" s="396"/>
      <c r="Q395" s="410"/>
      <c r="R395" s="411"/>
      <c r="S395" s="411"/>
      <c r="T395" s="411"/>
      <c r="AF395" s="352" t="n">
        <f aca="false">EOMONTH(AF394,0)+1</f>
        <v>48458</v>
      </c>
      <c r="AG395" s="311" t="n">
        <v>21</v>
      </c>
      <c r="AH395" s="311" t="n">
        <v>4</v>
      </c>
      <c r="AI395" s="311" t="n">
        <v>5</v>
      </c>
      <c r="AJ395" s="311" t="n">
        <v>1</v>
      </c>
      <c r="AK395" s="311" t="n">
        <v>30</v>
      </c>
      <c r="AL395" s="311"/>
      <c r="AM395" s="336"/>
    </row>
    <row r="396" customFormat="false" ht="12.75" hidden="false" customHeight="false" outlineLevel="0" collapsed="false">
      <c r="A396" s="408"/>
      <c r="B396" s="396"/>
      <c r="C396" s="409"/>
      <c r="D396" s="410"/>
      <c r="E396" s="396"/>
      <c r="F396" s="410"/>
      <c r="G396" s="396"/>
      <c r="H396" s="410"/>
      <c r="I396" s="410"/>
      <c r="J396" s="411"/>
      <c r="K396" s="399"/>
      <c r="L396" s="399"/>
      <c r="M396" s="73"/>
      <c r="N396" s="396"/>
      <c r="O396" s="396"/>
      <c r="P396" s="396"/>
      <c r="Q396" s="410"/>
      <c r="R396" s="411"/>
      <c r="S396" s="411"/>
      <c r="T396" s="411"/>
      <c r="AF396" s="352" t="n">
        <f aca="false">EOMONTH(AF395,0)+1</f>
        <v>48488</v>
      </c>
      <c r="AG396" s="311" t="n">
        <v>22</v>
      </c>
      <c r="AH396" s="311" t="n">
        <v>5</v>
      </c>
      <c r="AI396" s="311" t="n">
        <v>4</v>
      </c>
      <c r="AJ396" s="311" t="n">
        <v>0</v>
      </c>
      <c r="AK396" s="311" t="n">
        <v>31</v>
      </c>
      <c r="AL396" s="311"/>
      <c r="AM396" s="336"/>
    </row>
    <row r="397" customFormat="false" ht="12.75" hidden="false" customHeight="false" outlineLevel="0" collapsed="false">
      <c r="A397" s="408"/>
      <c r="B397" s="396"/>
      <c r="C397" s="409"/>
      <c r="D397" s="410"/>
      <c r="E397" s="396"/>
      <c r="F397" s="410"/>
      <c r="G397" s="396"/>
      <c r="H397" s="410"/>
      <c r="I397" s="410"/>
      <c r="J397" s="411"/>
      <c r="K397" s="399"/>
      <c r="L397" s="399"/>
      <c r="M397" s="73"/>
      <c r="N397" s="396"/>
      <c r="O397" s="396"/>
      <c r="P397" s="396"/>
      <c r="Q397" s="410"/>
      <c r="R397" s="411"/>
      <c r="S397" s="411"/>
      <c r="T397" s="411"/>
      <c r="AF397" s="352" t="n">
        <f aca="false">EOMONTH(AF396,0)+1</f>
        <v>48519</v>
      </c>
      <c r="AG397" s="311" t="n">
        <v>20</v>
      </c>
      <c r="AH397" s="311" t="n">
        <v>4</v>
      </c>
      <c r="AI397" s="311" t="n">
        <v>6</v>
      </c>
      <c r="AJ397" s="311" t="n">
        <v>1</v>
      </c>
      <c r="AK397" s="311" t="n">
        <v>30</v>
      </c>
      <c r="AL397" s="311"/>
      <c r="AM397" s="336"/>
    </row>
    <row r="398" customFormat="false" ht="12.75" hidden="false" customHeight="false" outlineLevel="0" collapsed="false">
      <c r="A398" s="408"/>
      <c r="B398" s="396"/>
      <c r="C398" s="409"/>
      <c r="D398" s="410"/>
      <c r="E398" s="396"/>
      <c r="F398" s="410"/>
      <c r="G398" s="396"/>
      <c r="H398" s="410"/>
      <c r="I398" s="410"/>
      <c r="J398" s="411"/>
      <c r="K398" s="399"/>
      <c r="L398" s="399"/>
      <c r="M398" s="73"/>
      <c r="N398" s="396"/>
      <c r="O398" s="396"/>
      <c r="P398" s="396"/>
      <c r="Q398" s="410"/>
      <c r="R398" s="411"/>
      <c r="S398" s="411"/>
      <c r="T398" s="411"/>
      <c r="AF398" s="352" t="n">
        <f aca="false">EOMONTH(AF397,0)+1</f>
        <v>48549</v>
      </c>
      <c r="AG398" s="311" t="n">
        <v>22</v>
      </c>
      <c r="AH398" s="311" t="n">
        <v>4</v>
      </c>
      <c r="AI398" s="311" t="n">
        <v>5</v>
      </c>
      <c r="AJ398" s="311" t="n">
        <v>1</v>
      </c>
      <c r="AK398" s="311" t="n">
        <v>31</v>
      </c>
      <c r="AL398" s="311"/>
      <c r="AM398" s="336"/>
    </row>
    <row r="399" customFormat="false" ht="12.75" hidden="false" customHeight="false" outlineLevel="0" collapsed="false">
      <c r="A399" s="408"/>
      <c r="B399" s="396"/>
      <c r="C399" s="409"/>
      <c r="D399" s="410"/>
      <c r="E399" s="396"/>
      <c r="F399" s="410"/>
      <c r="G399" s="396"/>
      <c r="H399" s="410"/>
      <c r="I399" s="410"/>
      <c r="J399" s="411"/>
      <c r="K399" s="399"/>
      <c r="L399" s="399"/>
      <c r="M399" s="73"/>
      <c r="N399" s="396"/>
      <c r="O399" s="396"/>
      <c r="P399" s="396"/>
      <c r="Q399" s="410"/>
      <c r="R399" s="411"/>
      <c r="S399" s="411"/>
      <c r="T399" s="411"/>
      <c r="AF399" s="352" t="n">
        <f aca="false">EOMONTH(AF398,0)+1</f>
        <v>48580</v>
      </c>
      <c r="AG399" s="311" t="n">
        <v>22</v>
      </c>
      <c r="AH399" s="311" t="n">
        <v>4</v>
      </c>
      <c r="AI399" s="311" t="n">
        <v>5</v>
      </c>
      <c r="AJ399" s="311" t="n">
        <v>1</v>
      </c>
      <c r="AK399" s="311" t="n">
        <v>31</v>
      </c>
      <c r="AL399" s="311"/>
      <c r="AM399" s="336"/>
    </row>
    <row r="400" customFormat="false" ht="12.75" hidden="false" customHeight="false" outlineLevel="0" collapsed="false">
      <c r="A400" s="408"/>
      <c r="B400" s="396"/>
      <c r="C400" s="409"/>
      <c r="D400" s="410"/>
      <c r="E400" s="396"/>
      <c r="F400" s="410"/>
      <c r="G400" s="396"/>
      <c r="H400" s="410"/>
      <c r="I400" s="410"/>
      <c r="J400" s="411"/>
      <c r="K400" s="399"/>
      <c r="L400" s="399"/>
      <c r="M400" s="73"/>
      <c r="N400" s="396"/>
      <c r="O400" s="396"/>
      <c r="P400" s="396"/>
      <c r="Q400" s="410"/>
      <c r="R400" s="411"/>
      <c r="S400" s="411"/>
      <c r="T400" s="411"/>
      <c r="AF400" s="352" t="n">
        <f aca="false">EOMONTH(AF399,0)+1</f>
        <v>48611</v>
      </c>
      <c r="AG400" s="311" t="n">
        <v>20</v>
      </c>
      <c r="AH400" s="311" t="n">
        <v>4</v>
      </c>
      <c r="AI400" s="311" t="n">
        <v>4</v>
      </c>
      <c r="AJ400" s="311" t="n">
        <v>0</v>
      </c>
      <c r="AK400" s="311" t="n">
        <v>28</v>
      </c>
      <c r="AL400" s="311"/>
      <c r="AM400" s="336"/>
    </row>
    <row r="401" customFormat="false" ht="12.75" hidden="false" customHeight="false" outlineLevel="0" collapsed="false">
      <c r="A401" s="408"/>
      <c r="B401" s="396"/>
      <c r="C401" s="409"/>
      <c r="D401" s="410"/>
      <c r="E401" s="396"/>
      <c r="F401" s="410"/>
      <c r="G401" s="396"/>
      <c r="H401" s="410"/>
      <c r="I401" s="410"/>
      <c r="J401" s="411"/>
      <c r="K401" s="399"/>
      <c r="L401" s="399"/>
      <c r="M401" s="73"/>
      <c r="N401" s="396"/>
      <c r="O401" s="396"/>
      <c r="P401" s="396"/>
      <c r="Q401" s="410"/>
      <c r="R401" s="411"/>
      <c r="S401" s="411"/>
      <c r="T401" s="411"/>
      <c r="AF401" s="352" t="n">
        <f aca="false">EOMONTH(AF400,0)+1</f>
        <v>48639</v>
      </c>
      <c r="AG401" s="311" t="n">
        <v>21</v>
      </c>
      <c r="AH401" s="311" t="n">
        <v>5</v>
      </c>
      <c r="AI401" s="311" t="n">
        <v>5</v>
      </c>
      <c r="AJ401" s="311" t="n">
        <v>0</v>
      </c>
      <c r="AK401" s="311" t="n">
        <v>31</v>
      </c>
      <c r="AL401" s="311"/>
      <c r="AM401" s="336"/>
    </row>
    <row r="402" customFormat="false" ht="12.75" hidden="false" customHeight="false" outlineLevel="0" collapsed="false">
      <c r="A402" s="408"/>
      <c r="B402" s="396"/>
      <c r="C402" s="409"/>
      <c r="D402" s="410"/>
      <c r="E402" s="396"/>
      <c r="F402" s="410"/>
      <c r="G402" s="396"/>
      <c r="H402" s="410"/>
      <c r="I402" s="410"/>
      <c r="J402" s="411"/>
      <c r="K402" s="399"/>
      <c r="L402" s="399"/>
      <c r="M402" s="73"/>
      <c r="N402" s="396"/>
      <c r="O402" s="396"/>
      <c r="P402" s="396"/>
      <c r="Q402" s="410"/>
      <c r="R402" s="411"/>
      <c r="S402" s="411"/>
      <c r="T402" s="411"/>
      <c r="AF402" s="352" t="n">
        <f aca="false">EOMONTH(AF401,0)+1</f>
        <v>48670</v>
      </c>
      <c r="AG402" s="311" t="n">
        <v>22</v>
      </c>
      <c r="AH402" s="311" t="n">
        <v>4</v>
      </c>
      <c r="AI402" s="311" t="n">
        <v>4</v>
      </c>
      <c r="AJ402" s="311" t="n">
        <v>0</v>
      </c>
      <c r="AK402" s="311" t="n">
        <v>30</v>
      </c>
      <c r="AL402" s="311"/>
      <c r="AM402" s="336"/>
    </row>
    <row r="403" customFormat="false" ht="12.75" hidden="false" customHeight="false" outlineLevel="0" collapsed="false">
      <c r="A403" s="408"/>
      <c r="B403" s="396"/>
      <c r="C403" s="409"/>
      <c r="D403" s="410"/>
      <c r="E403" s="396"/>
      <c r="F403" s="410"/>
      <c r="G403" s="396"/>
      <c r="H403" s="410"/>
      <c r="I403" s="410"/>
      <c r="J403" s="411"/>
      <c r="K403" s="399"/>
      <c r="L403" s="399"/>
      <c r="M403" s="73"/>
      <c r="N403" s="396"/>
      <c r="O403" s="396"/>
      <c r="P403" s="396"/>
      <c r="Q403" s="410"/>
      <c r="R403" s="411"/>
      <c r="S403" s="411"/>
      <c r="T403" s="411"/>
      <c r="AF403" s="352" t="n">
        <f aca="false">EOMONTH(AF402,0)+1</f>
        <v>48700</v>
      </c>
      <c r="AG403" s="311" t="n">
        <v>22</v>
      </c>
      <c r="AH403" s="311" t="n">
        <v>4</v>
      </c>
      <c r="AI403" s="311" t="n">
        <v>5</v>
      </c>
      <c r="AJ403" s="311" t="n">
        <v>1</v>
      </c>
      <c r="AK403" s="311" t="n">
        <v>31</v>
      </c>
      <c r="AL403" s="311"/>
      <c r="AM403" s="336"/>
    </row>
    <row r="404" customFormat="false" ht="12.75" hidden="false" customHeight="false" outlineLevel="0" collapsed="false">
      <c r="A404" s="408"/>
      <c r="B404" s="396"/>
      <c r="C404" s="409"/>
      <c r="D404" s="410"/>
      <c r="E404" s="396"/>
      <c r="F404" s="410"/>
      <c r="G404" s="396"/>
      <c r="H404" s="410"/>
      <c r="I404" s="410"/>
      <c r="J404" s="411"/>
      <c r="K404" s="399"/>
      <c r="L404" s="399"/>
      <c r="M404" s="73"/>
      <c r="N404" s="396"/>
      <c r="O404" s="396"/>
      <c r="P404" s="396"/>
      <c r="Q404" s="410"/>
      <c r="R404" s="411"/>
      <c r="S404" s="411"/>
      <c r="T404" s="411"/>
      <c r="AF404" s="352" t="n">
        <f aca="false">EOMONTH(AF403,0)+1</f>
        <v>48731</v>
      </c>
      <c r="AG404" s="311" t="n">
        <v>20</v>
      </c>
      <c r="AH404" s="311" t="n">
        <v>5</v>
      </c>
      <c r="AI404" s="311" t="n">
        <v>5</v>
      </c>
      <c r="AJ404" s="311" t="n">
        <v>0</v>
      </c>
      <c r="AK404" s="311" t="n">
        <v>30</v>
      </c>
      <c r="AL404" s="311"/>
      <c r="AM404" s="336"/>
    </row>
    <row r="405" customFormat="false" ht="12.75" hidden="false" customHeight="false" outlineLevel="0" collapsed="false">
      <c r="A405" s="408"/>
      <c r="B405" s="396"/>
      <c r="C405" s="409"/>
      <c r="D405" s="410"/>
      <c r="E405" s="396"/>
      <c r="F405" s="410"/>
      <c r="G405" s="396"/>
      <c r="H405" s="410"/>
      <c r="I405" s="410"/>
      <c r="J405" s="411"/>
      <c r="K405" s="399"/>
      <c r="L405" s="399"/>
      <c r="M405" s="73"/>
      <c r="N405" s="396"/>
      <c r="O405" s="396"/>
      <c r="P405" s="396"/>
      <c r="Q405" s="410"/>
      <c r="R405" s="411"/>
      <c r="S405" s="411"/>
      <c r="T405" s="411"/>
      <c r="AF405" s="352" t="n">
        <f aca="false">EOMONTH(AF404,0)+1</f>
        <v>48761</v>
      </c>
      <c r="AG405" s="311" t="n">
        <v>22</v>
      </c>
      <c r="AH405" s="311" t="n">
        <v>4</v>
      </c>
      <c r="AI405" s="311" t="n">
        <v>5</v>
      </c>
      <c r="AJ405" s="311" t="n">
        <v>1</v>
      </c>
      <c r="AK405" s="311" t="n">
        <v>31</v>
      </c>
      <c r="AL405" s="311"/>
      <c r="AM405" s="336"/>
    </row>
    <row r="406" customFormat="false" ht="12.75" hidden="false" customHeight="false" outlineLevel="0" collapsed="false">
      <c r="A406" s="408"/>
      <c r="B406" s="396"/>
      <c r="C406" s="409"/>
      <c r="D406" s="410"/>
      <c r="E406" s="396"/>
      <c r="F406" s="410"/>
      <c r="G406" s="396"/>
      <c r="H406" s="410"/>
      <c r="I406" s="410"/>
      <c r="J406" s="411"/>
      <c r="K406" s="399"/>
      <c r="L406" s="399"/>
      <c r="M406" s="73"/>
      <c r="N406" s="396"/>
      <c r="O406" s="396"/>
      <c r="P406" s="396"/>
      <c r="Q406" s="410"/>
      <c r="R406" s="411"/>
      <c r="S406" s="411"/>
      <c r="T406" s="411"/>
      <c r="AF406" s="352" t="n">
        <f aca="false">EOMONTH(AF405,0)+1</f>
        <v>48792</v>
      </c>
      <c r="AG406" s="311" t="n">
        <v>22</v>
      </c>
      <c r="AH406" s="311" t="n">
        <v>5</v>
      </c>
      <c r="AI406" s="311" t="n">
        <v>4</v>
      </c>
      <c r="AJ406" s="311" t="n">
        <v>0</v>
      </c>
      <c r="AK406" s="311" t="n">
        <v>31</v>
      </c>
      <c r="AL406" s="311"/>
      <c r="AM406" s="336"/>
    </row>
    <row r="407" customFormat="false" ht="12.75" hidden="false" customHeight="false" outlineLevel="0" collapsed="false">
      <c r="A407" s="408"/>
      <c r="B407" s="396"/>
      <c r="C407" s="409"/>
      <c r="D407" s="410"/>
      <c r="E407" s="396"/>
      <c r="F407" s="410"/>
      <c r="G407" s="396"/>
      <c r="H407" s="410"/>
      <c r="I407" s="410"/>
      <c r="J407" s="411"/>
      <c r="K407" s="399"/>
      <c r="L407" s="399"/>
      <c r="M407" s="73"/>
      <c r="N407" s="396"/>
      <c r="O407" s="396"/>
      <c r="P407" s="396"/>
      <c r="Q407" s="410"/>
      <c r="R407" s="411"/>
      <c r="S407" s="411"/>
      <c r="T407" s="411"/>
      <c r="AF407" s="352" t="n">
        <f aca="false">EOMONTH(AF406,0)+1</f>
        <v>48823</v>
      </c>
      <c r="AG407" s="311" t="n">
        <v>20</v>
      </c>
      <c r="AH407" s="311" t="n">
        <v>4</v>
      </c>
      <c r="AI407" s="311" t="n">
        <v>6</v>
      </c>
      <c r="AJ407" s="311" t="n">
        <v>1</v>
      </c>
      <c r="AK407" s="311" t="n">
        <v>30</v>
      </c>
      <c r="AL407" s="311"/>
      <c r="AM407" s="336"/>
    </row>
    <row r="408" customFormat="false" ht="12.75" hidden="false" customHeight="false" outlineLevel="0" collapsed="false">
      <c r="A408" s="408"/>
      <c r="B408" s="396"/>
      <c r="C408" s="409"/>
      <c r="D408" s="410"/>
      <c r="E408" s="396"/>
      <c r="F408" s="410"/>
      <c r="G408" s="396"/>
      <c r="H408" s="410"/>
      <c r="I408" s="410"/>
      <c r="J408" s="411"/>
      <c r="K408" s="399"/>
      <c r="L408" s="399"/>
      <c r="M408" s="73"/>
      <c r="N408" s="396"/>
      <c r="O408" s="396"/>
      <c r="P408" s="396"/>
      <c r="Q408" s="410"/>
      <c r="R408" s="411"/>
      <c r="S408" s="411"/>
      <c r="T408" s="411"/>
      <c r="AF408" s="352" t="n">
        <f aca="false">EOMONTH(AF407,0)+1</f>
        <v>48853</v>
      </c>
      <c r="AG408" s="311" t="n">
        <v>23</v>
      </c>
      <c r="AH408" s="311" t="n">
        <v>4</v>
      </c>
      <c r="AI408" s="311" t="n">
        <v>4</v>
      </c>
      <c r="AJ408" s="311" t="n">
        <v>0</v>
      </c>
      <c r="AK408" s="311" t="n">
        <v>31</v>
      </c>
      <c r="AL408" s="311"/>
      <c r="AM408" s="336"/>
    </row>
    <row r="409" customFormat="false" ht="12.75" hidden="false" customHeight="false" outlineLevel="0" collapsed="false">
      <c r="A409" s="408"/>
      <c r="B409" s="396"/>
      <c r="C409" s="409"/>
      <c r="D409" s="410"/>
      <c r="E409" s="396"/>
      <c r="F409" s="410"/>
      <c r="G409" s="396"/>
      <c r="H409" s="410"/>
      <c r="I409" s="410"/>
      <c r="J409" s="411"/>
      <c r="K409" s="399"/>
      <c r="L409" s="399"/>
      <c r="M409" s="73"/>
      <c r="N409" s="396"/>
      <c r="O409" s="396"/>
      <c r="P409" s="396"/>
      <c r="Q409" s="410"/>
      <c r="R409" s="411"/>
      <c r="S409" s="411"/>
      <c r="T409" s="411"/>
      <c r="AF409" s="352" t="n">
        <f aca="false">EOMONTH(AF408,0)+1</f>
        <v>48884</v>
      </c>
      <c r="AG409" s="311" t="n">
        <v>20</v>
      </c>
      <c r="AH409" s="311" t="n">
        <v>5</v>
      </c>
      <c r="AI409" s="311" t="n">
        <v>5</v>
      </c>
      <c r="AJ409" s="311" t="n">
        <v>1</v>
      </c>
      <c r="AK409" s="311" t="n">
        <v>30</v>
      </c>
      <c r="AL409" s="311"/>
      <c r="AM409" s="336"/>
    </row>
    <row r="410" customFormat="false" ht="12.75" hidden="false" customHeight="false" outlineLevel="0" collapsed="false">
      <c r="A410" s="408"/>
      <c r="B410" s="396"/>
      <c r="C410" s="409"/>
      <c r="D410" s="410"/>
      <c r="E410" s="396"/>
      <c r="F410" s="410"/>
      <c r="G410" s="396"/>
      <c r="H410" s="410"/>
      <c r="I410" s="410"/>
      <c r="J410" s="411"/>
      <c r="K410" s="399"/>
      <c r="L410" s="399"/>
      <c r="M410" s="73"/>
      <c r="N410" s="396"/>
      <c r="O410" s="396"/>
      <c r="P410" s="396"/>
      <c r="Q410" s="410"/>
      <c r="R410" s="411"/>
      <c r="S410" s="411"/>
      <c r="T410" s="411"/>
      <c r="AF410" s="352" t="n">
        <f aca="false">EOMONTH(AF409,0)+1</f>
        <v>48914</v>
      </c>
      <c r="AG410" s="311" t="n">
        <v>21</v>
      </c>
      <c r="AH410" s="311" t="n">
        <v>4</v>
      </c>
      <c r="AI410" s="311" t="n">
        <v>6</v>
      </c>
      <c r="AJ410" s="311" t="n">
        <v>1</v>
      </c>
      <c r="AK410" s="311" t="n">
        <v>31</v>
      </c>
      <c r="AL410" s="311"/>
      <c r="AM410" s="336"/>
    </row>
    <row r="411" customFormat="false" ht="12.75" hidden="false" customHeight="false" outlineLevel="0" collapsed="false">
      <c r="A411" s="408"/>
      <c r="B411" s="396"/>
      <c r="C411" s="409"/>
      <c r="D411" s="410"/>
      <c r="E411" s="396"/>
      <c r="F411" s="410"/>
      <c r="G411" s="396"/>
      <c r="H411" s="410"/>
      <c r="I411" s="410"/>
      <c r="J411" s="411"/>
      <c r="K411" s="399"/>
      <c r="L411" s="399"/>
      <c r="M411" s="73"/>
      <c r="N411" s="396"/>
      <c r="O411" s="396"/>
      <c r="P411" s="396"/>
      <c r="Q411" s="410"/>
      <c r="R411" s="411"/>
      <c r="S411" s="411"/>
      <c r="T411" s="411"/>
      <c r="AF411" s="352" t="n">
        <f aca="false">EOMONTH(AF410,0)+1</f>
        <v>48945</v>
      </c>
      <c r="AG411" s="311" t="n">
        <v>22</v>
      </c>
      <c r="AH411" s="311" t="n">
        <v>4</v>
      </c>
      <c r="AI411" s="311" t="n">
        <v>5</v>
      </c>
      <c r="AJ411" s="311" t="n">
        <v>1</v>
      </c>
      <c r="AK411" s="311" t="n">
        <v>31</v>
      </c>
      <c r="AL411" s="311"/>
      <c r="AM411" s="336"/>
    </row>
    <row r="412" customFormat="false" ht="12.75" hidden="false" customHeight="false" outlineLevel="0" collapsed="false">
      <c r="A412" s="408"/>
      <c r="B412" s="396"/>
      <c r="C412" s="409"/>
      <c r="D412" s="410"/>
      <c r="E412" s="396"/>
      <c r="F412" s="410"/>
      <c r="G412" s="396"/>
      <c r="H412" s="410"/>
      <c r="I412" s="410"/>
      <c r="J412" s="411"/>
      <c r="K412" s="399"/>
      <c r="L412" s="399"/>
      <c r="M412" s="73"/>
      <c r="N412" s="396"/>
      <c r="O412" s="396"/>
      <c r="P412" s="396"/>
      <c r="Q412" s="410"/>
      <c r="R412" s="411"/>
      <c r="S412" s="411"/>
      <c r="T412" s="411"/>
      <c r="AF412" s="352" t="n">
        <f aca="false">EOMONTH(AF411,0)+1</f>
        <v>48976</v>
      </c>
      <c r="AG412" s="311" t="n">
        <v>20</v>
      </c>
      <c r="AH412" s="311" t="n">
        <v>4</v>
      </c>
      <c r="AI412" s="311" t="n">
        <v>4</v>
      </c>
      <c r="AJ412" s="311" t="n">
        <v>0</v>
      </c>
      <c r="AK412" s="311" t="n">
        <v>28</v>
      </c>
      <c r="AL412" s="311"/>
      <c r="AM412" s="336"/>
    </row>
    <row r="413" customFormat="false" ht="12.75" hidden="false" customHeight="false" outlineLevel="0" collapsed="false">
      <c r="A413" s="408"/>
      <c r="B413" s="396"/>
      <c r="C413" s="409"/>
      <c r="D413" s="410"/>
      <c r="E413" s="396"/>
      <c r="F413" s="410"/>
      <c r="G413" s="396"/>
      <c r="H413" s="410"/>
      <c r="I413" s="410"/>
      <c r="J413" s="411"/>
      <c r="K413" s="399"/>
      <c r="L413" s="399"/>
      <c r="M413" s="73"/>
      <c r="N413" s="396"/>
      <c r="O413" s="396"/>
      <c r="P413" s="396"/>
      <c r="Q413" s="410"/>
      <c r="R413" s="411"/>
      <c r="S413" s="411"/>
      <c r="T413" s="411"/>
      <c r="AF413" s="352" t="n">
        <f aca="false">EOMONTH(AF412,0)+1</f>
        <v>49004</v>
      </c>
      <c r="AG413" s="311" t="n">
        <v>21</v>
      </c>
      <c r="AH413" s="311" t="n">
        <v>5</v>
      </c>
      <c r="AI413" s="311" t="n">
        <v>5</v>
      </c>
      <c r="AJ413" s="311" t="n">
        <v>0</v>
      </c>
      <c r="AK413" s="311" t="n">
        <v>31</v>
      </c>
      <c r="AL413" s="311"/>
      <c r="AM413" s="336"/>
    </row>
    <row r="414" customFormat="false" ht="12.75" hidden="false" customHeight="false" outlineLevel="0" collapsed="false">
      <c r="A414" s="408"/>
      <c r="B414" s="396"/>
      <c r="C414" s="409"/>
      <c r="D414" s="410"/>
      <c r="E414" s="396"/>
      <c r="F414" s="410"/>
      <c r="G414" s="396"/>
      <c r="H414" s="410"/>
      <c r="I414" s="410"/>
      <c r="J414" s="411"/>
      <c r="K414" s="399"/>
      <c r="L414" s="399"/>
      <c r="M414" s="73"/>
      <c r="N414" s="396"/>
      <c r="O414" s="396"/>
      <c r="P414" s="396"/>
      <c r="Q414" s="410"/>
      <c r="R414" s="411"/>
      <c r="S414" s="411"/>
      <c r="T414" s="411"/>
      <c r="AF414" s="352" t="n">
        <f aca="false">EOMONTH(AF413,0)+1</f>
        <v>49035</v>
      </c>
      <c r="AG414" s="311" t="n">
        <v>22</v>
      </c>
      <c r="AH414" s="311" t="n">
        <v>4</v>
      </c>
      <c r="AI414" s="311" t="n">
        <v>4</v>
      </c>
      <c r="AJ414" s="311" t="n">
        <v>0</v>
      </c>
      <c r="AK414" s="311" t="n">
        <v>30</v>
      </c>
      <c r="AL414" s="311"/>
      <c r="AM414" s="336"/>
    </row>
    <row r="415" customFormat="false" ht="12.75" hidden="false" customHeight="false" outlineLevel="0" collapsed="false">
      <c r="A415" s="408"/>
      <c r="B415" s="396"/>
      <c r="C415" s="409"/>
      <c r="D415" s="410"/>
      <c r="E415" s="396"/>
      <c r="F415" s="410"/>
      <c r="G415" s="396"/>
      <c r="H415" s="410"/>
      <c r="I415" s="410"/>
      <c r="J415" s="411"/>
      <c r="K415" s="399"/>
      <c r="L415" s="399"/>
      <c r="M415" s="73"/>
      <c r="N415" s="396"/>
      <c r="O415" s="396"/>
      <c r="P415" s="396"/>
      <c r="Q415" s="410"/>
      <c r="R415" s="411"/>
      <c r="S415" s="411"/>
      <c r="T415" s="411"/>
      <c r="AF415" s="352" t="n">
        <f aca="false">EOMONTH(AF414,0)+1</f>
        <v>49065</v>
      </c>
      <c r="AG415" s="311" t="n">
        <v>22</v>
      </c>
      <c r="AH415" s="311" t="n">
        <v>4</v>
      </c>
      <c r="AI415" s="311" t="n">
        <v>5</v>
      </c>
      <c r="AJ415" s="311" t="n">
        <v>1</v>
      </c>
      <c r="AK415" s="311" t="n">
        <v>31</v>
      </c>
      <c r="AL415" s="311"/>
      <c r="AM415" s="336"/>
    </row>
    <row r="416" customFormat="false" ht="12.75" hidden="false" customHeight="false" outlineLevel="0" collapsed="false">
      <c r="A416" s="408"/>
      <c r="B416" s="396"/>
      <c r="C416" s="409"/>
      <c r="D416" s="410"/>
      <c r="E416" s="396"/>
      <c r="F416" s="410"/>
      <c r="G416" s="396"/>
      <c r="H416" s="410"/>
      <c r="I416" s="410"/>
      <c r="J416" s="411"/>
      <c r="K416" s="399"/>
      <c r="L416" s="399"/>
      <c r="M416" s="73"/>
      <c r="N416" s="396"/>
      <c r="O416" s="396"/>
      <c r="P416" s="396"/>
      <c r="Q416" s="410"/>
      <c r="R416" s="411"/>
      <c r="S416" s="411"/>
      <c r="T416" s="411"/>
      <c r="AF416" s="352" t="n">
        <f aca="false">EOMONTH(AF415,0)+1</f>
        <v>49096</v>
      </c>
      <c r="AG416" s="311" t="n">
        <v>20</v>
      </c>
      <c r="AH416" s="311" t="n">
        <v>5</v>
      </c>
      <c r="AI416" s="311" t="n">
        <v>5</v>
      </c>
      <c r="AJ416" s="311" t="n">
        <v>0</v>
      </c>
      <c r="AK416" s="311" t="n">
        <v>30</v>
      </c>
      <c r="AL416" s="311"/>
      <c r="AM416" s="336"/>
    </row>
    <row r="417" customFormat="false" ht="12.75" hidden="false" customHeight="false" outlineLevel="0" collapsed="false">
      <c r="A417" s="408"/>
      <c r="B417" s="396"/>
      <c r="C417" s="409"/>
      <c r="D417" s="410"/>
      <c r="E417" s="396"/>
      <c r="F417" s="410"/>
      <c r="G417" s="396"/>
      <c r="H417" s="410"/>
      <c r="I417" s="410"/>
      <c r="J417" s="411"/>
      <c r="K417" s="399"/>
      <c r="L417" s="399"/>
      <c r="M417" s="73"/>
      <c r="N417" s="396"/>
      <c r="O417" s="396"/>
      <c r="P417" s="396"/>
      <c r="Q417" s="410"/>
      <c r="R417" s="411"/>
      <c r="S417" s="411"/>
      <c r="T417" s="411"/>
      <c r="AF417" s="352" t="n">
        <f aca="false">EOMONTH(AF416,0)+1</f>
        <v>49126</v>
      </c>
      <c r="AG417" s="311" t="n">
        <v>22</v>
      </c>
      <c r="AH417" s="311" t="n">
        <v>4</v>
      </c>
      <c r="AI417" s="311" t="n">
        <v>5</v>
      </c>
      <c r="AJ417" s="311" t="n">
        <v>1</v>
      </c>
      <c r="AK417" s="311" t="n">
        <v>31</v>
      </c>
      <c r="AL417" s="311"/>
      <c r="AM417" s="336"/>
    </row>
    <row r="418" customFormat="false" ht="12.75" hidden="false" customHeight="false" outlineLevel="0" collapsed="false">
      <c r="A418" s="408"/>
      <c r="B418" s="396"/>
      <c r="C418" s="409"/>
      <c r="D418" s="410"/>
      <c r="E418" s="396"/>
      <c r="F418" s="410"/>
      <c r="G418" s="396"/>
      <c r="H418" s="410"/>
      <c r="I418" s="410"/>
      <c r="J418" s="411"/>
      <c r="K418" s="399"/>
      <c r="L418" s="399"/>
      <c r="M418" s="73"/>
      <c r="N418" s="396"/>
      <c r="O418" s="396"/>
      <c r="P418" s="396"/>
      <c r="Q418" s="410"/>
      <c r="R418" s="411"/>
      <c r="S418" s="411"/>
      <c r="T418" s="411"/>
      <c r="AF418" s="352" t="n">
        <f aca="false">EOMONTH(AF417,0)+1</f>
        <v>49157</v>
      </c>
      <c r="AG418" s="311" t="n">
        <v>22</v>
      </c>
      <c r="AH418" s="311" t="n">
        <v>5</v>
      </c>
      <c r="AI418" s="311" t="n">
        <v>4</v>
      </c>
      <c r="AJ418" s="311" t="n">
        <v>0</v>
      </c>
      <c r="AK418" s="311" t="n">
        <v>31</v>
      </c>
      <c r="AL418" s="311"/>
      <c r="AM418" s="336"/>
    </row>
    <row r="419" customFormat="false" ht="12.75" hidden="false" customHeight="false" outlineLevel="0" collapsed="false">
      <c r="A419" s="408"/>
      <c r="B419" s="396"/>
      <c r="C419" s="409"/>
      <c r="D419" s="410"/>
      <c r="E419" s="396"/>
      <c r="F419" s="410"/>
      <c r="G419" s="396"/>
      <c r="H419" s="410"/>
      <c r="I419" s="410"/>
      <c r="J419" s="411"/>
      <c r="K419" s="399"/>
      <c r="L419" s="399"/>
      <c r="M419" s="73"/>
      <c r="N419" s="396"/>
      <c r="O419" s="396"/>
      <c r="P419" s="396"/>
      <c r="Q419" s="410"/>
      <c r="R419" s="411"/>
      <c r="S419" s="411"/>
      <c r="T419" s="411"/>
      <c r="AF419" s="352" t="n">
        <f aca="false">EOMONTH(AF418,0)+1</f>
        <v>49188</v>
      </c>
      <c r="AG419" s="311" t="n">
        <v>20</v>
      </c>
      <c r="AH419" s="311" t="n">
        <v>4</v>
      </c>
      <c r="AI419" s="311" t="n">
        <v>6</v>
      </c>
      <c r="AJ419" s="311" t="n">
        <v>1</v>
      </c>
      <c r="AK419" s="311" t="n">
        <v>30</v>
      </c>
      <c r="AL419" s="311"/>
      <c r="AM419" s="336"/>
    </row>
    <row r="420" customFormat="false" ht="12.75" hidden="false" customHeight="false" outlineLevel="0" collapsed="false">
      <c r="A420" s="408"/>
      <c r="B420" s="396"/>
      <c r="C420" s="409"/>
      <c r="D420" s="410"/>
      <c r="E420" s="396"/>
      <c r="F420" s="410"/>
      <c r="G420" s="396"/>
      <c r="H420" s="410"/>
      <c r="I420" s="410"/>
      <c r="J420" s="411"/>
      <c r="K420" s="399"/>
      <c r="L420" s="399"/>
      <c r="M420" s="73"/>
      <c r="N420" s="396"/>
      <c r="O420" s="396"/>
      <c r="P420" s="396"/>
      <c r="Q420" s="410"/>
      <c r="R420" s="411"/>
      <c r="S420" s="411"/>
      <c r="T420" s="411"/>
      <c r="AF420" s="352" t="n">
        <f aca="false">EOMONTH(AF419,0)+1</f>
        <v>49218</v>
      </c>
      <c r="AG420" s="311" t="n">
        <v>23</v>
      </c>
      <c r="AH420" s="311" t="n">
        <v>4</v>
      </c>
      <c r="AI420" s="311" t="n">
        <v>4</v>
      </c>
      <c r="AJ420" s="311" t="n">
        <v>0</v>
      </c>
      <c r="AK420" s="311" t="n">
        <v>31</v>
      </c>
      <c r="AL420" s="311"/>
      <c r="AM420" s="336"/>
    </row>
    <row r="421" customFormat="false" ht="12.75" hidden="false" customHeight="false" outlineLevel="0" collapsed="false">
      <c r="A421" s="408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AF421" s="352" t="n">
        <f aca="false">EOMONTH(AF420,0)+1</f>
        <v>49249</v>
      </c>
      <c r="AG421" s="311" t="n">
        <v>20</v>
      </c>
      <c r="AH421" s="311" t="n">
        <v>5</v>
      </c>
      <c r="AI421" s="311" t="n">
        <v>5</v>
      </c>
      <c r="AJ421" s="311" t="n">
        <v>1</v>
      </c>
      <c r="AK421" s="311" t="n">
        <v>30</v>
      </c>
      <c r="AL421" s="311"/>
      <c r="AM421" s="336"/>
    </row>
    <row r="422" customFormat="false" ht="12.75" hidden="false" customHeight="false" outlineLevel="0" collapsed="false">
      <c r="A422" s="408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AF422" s="352" t="n">
        <f aca="false">EOMONTH(AF421,0)+1</f>
        <v>49279</v>
      </c>
      <c r="AG422" s="311" t="n">
        <v>21</v>
      </c>
      <c r="AH422" s="311" t="n">
        <v>4</v>
      </c>
      <c r="AI422" s="311" t="n">
        <v>6</v>
      </c>
      <c r="AJ422" s="311" t="n">
        <v>1</v>
      </c>
      <c r="AK422" s="311" t="n">
        <v>31</v>
      </c>
      <c r="AL422" s="311"/>
      <c r="AM422" s="336"/>
    </row>
    <row r="423" customFormat="false" ht="12.75" hidden="false" customHeight="false" outlineLevel="0" collapsed="false">
      <c r="A423" s="408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AF423" s="352" t="n">
        <f aca="false">EOMONTH(AF422,0)+1</f>
        <v>49310</v>
      </c>
      <c r="AG423" s="311" t="n">
        <v>22</v>
      </c>
      <c r="AH423" s="311" t="n">
        <v>4</v>
      </c>
      <c r="AI423" s="311" t="n">
        <v>5</v>
      </c>
      <c r="AJ423" s="311" t="n">
        <v>1</v>
      </c>
      <c r="AK423" s="311" t="n">
        <v>31</v>
      </c>
      <c r="AL423" s="311"/>
      <c r="AM423" s="336"/>
    </row>
    <row r="424" customFormat="false" ht="12.75" hidden="false" customHeight="false" outlineLevel="0" collapsed="false">
      <c r="A424" s="408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AF424" s="352" t="n">
        <f aca="false">EOMONTH(AF423,0)+1</f>
        <v>49341</v>
      </c>
      <c r="AG424" s="311" t="n">
        <v>20</v>
      </c>
      <c r="AH424" s="311" t="n">
        <v>4</v>
      </c>
      <c r="AI424" s="311" t="n">
        <v>4</v>
      </c>
      <c r="AJ424" s="311" t="n">
        <v>0</v>
      </c>
      <c r="AK424" s="311" t="n">
        <v>28</v>
      </c>
      <c r="AL424" s="311"/>
      <c r="AM424" s="336"/>
    </row>
    <row r="425" customFormat="false" ht="12.75" hidden="false" customHeight="false" outlineLevel="0" collapsed="false">
      <c r="A425" s="408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AF425" s="352" t="n">
        <f aca="false">EOMONTH(AF424,0)+1</f>
        <v>49369</v>
      </c>
      <c r="AG425" s="311" t="n">
        <v>21</v>
      </c>
      <c r="AH425" s="311" t="n">
        <v>5</v>
      </c>
      <c r="AI425" s="311" t="n">
        <v>5</v>
      </c>
      <c r="AJ425" s="311" t="n">
        <v>0</v>
      </c>
      <c r="AK425" s="311" t="n">
        <v>31</v>
      </c>
      <c r="AL425" s="311"/>
      <c r="AM425" s="336"/>
    </row>
    <row r="426" customFormat="false" ht="12.75" hidden="false" customHeight="false" outlineLevel="0" collapsed="false">
      <c r="A426" s="408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AF426" s="352" t="n">
        <f aca="false">EOMONTH(AF425,0)+1</f>
        <v>49400</v>
      </c>
      <c r="AG426" s="311" t="n">
        <v>22</v>
      </c>
      <c r="AH426" s="311" t="n">
        <v>4</v>
      </c>
      <c r="AI426" s="311" t="n">
        <v>4</v>
      </c>
      <c r="AJ426" s="311" t="n">
        <v>0</v>
      </c>
      <c r="AK426" s="311" t="n">
        <v>30</v>
      </c>
      <c r="AL426" s="311"/>
      <c r="AM426" s="336"/>
    </row>
    <row r="427" customFormat="false" ht="12.75" hidden="false" customHeight="false" outlineLevel="0" collapsed="false">
      <c r="A427" s="408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AF427" s="352" t="n">
        <f aca="false">EOMONTH(AF426,0)+1</f>
        <v>49430</v>
      </c>
      <c r="AG427" s="311" t="n">
        <v>22</v>
      </c>
      <c r="AH427" s="311" t="n">
        <v>4</v>
      </c>
      <c r="AI427" s="311" t="n">
        <v>5</v>
      </c>
      <c r="AJ427" s="311" t="n">
        <v>1</v>
      </c>
      <c r="AK427" s="311" t="n">
        <v>31</v>
      </c>
      <c r="AL427" s="311"/>
      <c r="AM427" s="336"/>
    </row>
    <row r="428" customFormat="false" ht="12.75" hidden="false" customHeight="false" outlineLevel="0" collapsed="false">
      <c r="A428" s="405"/>
      <c r="AF428" s="352" t="n">
        <f aca="false">EOMONTH(AF427,0)+1</f>
        <v>49461</v>
      </c>
      <c r="AG428" s="311" t="n">
        <v>20</v>
      </c>
      <c r="AH428" s="311" t="n">
        <v>5</v>
      </c>
      <c r="AI428" s="311" t="n">
        <v>5</v>
      </c>
      <c r="AJ428" s="311" t="n">
        <v>0</v>
      </c>
      <c r="AK428" s="311" t="n">
        <v>30</v>
      </c>
      <c r="AL428" s="311"/>
      <c r="AM428" s="336"/>
    </row>
    <row r="429" customFormat="false" ht="12.75" hidden="false" customHeight="false" outlineLevel="0" collapsed="false">
      <c r="A429" s="405"/>
      <c r="AF429" s="352" t="n">
        <f aca="false">EOMONTH(AF428,0)+1</f>
        <v>49491</v>
      </c>
      <c r="AG429" s="311" t="n">
        <v>22</v>
      </c>
      <c r="AH429" s="311" t="n">
        <v>4</v>
      </c>
      <c r="AI429" s="311" t="n">
        <v>5</v>
      </c>
      <c r="AJ429" s="311" t="n">
        <v>1</v>
      </c>
      <c r="AK429" s="311" t="n">
        <v>31</v>
      </c>
      <c r="AL429" s="311"/>
      <c r="AM429" s="336"/>
    </row>
    <row r="430" customFormat="false" ht="12.75" hidden="false" customHeight="false" outlineLevel="0" collapsed="false">
      <c r="A430" s="405"/>
      <c r="AF430" s="352" t="n">
        <f aca="false">EOMONTH(AF429,0)+1</f>
        <v>49522</v>
      </c>
      <c r="AG430" s="311" t="n">
        <v>22</v>
      </c>
      <c r="AH430" s="311" t="n">
        <v>5</v>
      </c>
      <c r="AI430" s="311" t="n">
        <v>4</v>
      </c>
      <c r="AJ430" s="311" t="n">
        <v>0</v>
      </c>
      <c r="AK430" s="311" t="n">
        <v>31</v>
      </c>
      <c r="AL430" s="311"/>
      <c r="AM430" s="336"/>
    </row>
    <row r="431" customFormat="false" ht="12.75" hidden="false" customHeight="false" outlineLevel="0" collapsed="false">
      <c r="A431" s="405"/>
      <c r="AF431" s="352" t="n">
        <f aca="false">EOMONTH(AF430,0)+1</f>
        <v>49553</v>
      </c>
      <c r="AG431" s="311" t="n">
        <v>20</v>
      </c>
      <c r="AH431" s="311" t="n">
        <v>4</v>
      </c>
      <c r="AI431" s="311" t="n">
        <v>6</v>
      </c>
      <c r="AJ431" s="311" t="n">
        <v>1</v>
      </c>
      <c r="AK431" s="311" t="n">
        <v>30</v>
      </c>
      <c r="AL431" s="311"/>
      <c r="AM431" s="336"/>
    </row>
    <row r="432" customFormat="false" ht="12.75" hidden="false" customHeight="false" outlineLevel="0" collapsed="false">
      <c r="A432" s="325"/>
      <c r="AF432" s="352" t="n">
        <f aca="false">EOMONTH(AF431,0)+1</f>
        <v>49583</v>
      </c>
      <c r="AG432" s="311" t="n">
        <v>23</v>
      </c>
      <c r="AH432" s="311" t="n">
        <v>4</v>
      </c>
      <c r="AI432" s="311" t="n">
        <v>4</v>
      </c>
      <c r="AJ432" s="311" t="n">
        <v>0</v>
      </c>
      <c r="AK432" s="311" t="n">
        <v>31</v>
      </c>
      <c r="AL432" s="311"/>
      <c r="AM432" s="336"/>
    </row>
    <row r="433" customFormat="false" ht="12.75" hidden="false" customHeight="false" outlineLevel="0" collapsed="false">
      <c r="A433" s="325"/>
      <c r="AF433" s="352" t="n">
        <f aca="false">EOMONTH(AF432,0)+1</f>
        <v>49614</v>
      </c>
      <c r="AG433" s="311" t="n">
        <v>20</v>
      </c>
      <c r="AH433" s="311" t="n">
        <v>5</v>
      </c>
      <c r="AI433" s="311" t="n">
        <v>5</v>
      </c>
      <c r="AJ433" s="311" t="n">
        <v>1</v>
      </c>
      <c r="AK433" s="311" t="n">
        <v>30</v>
      </c>
      <c r="AL433" s="311"/>
      <c r="AM433" s="336"/>
    </row>
    <row r="434" customFormat="false" ht="12.75" hidden="false" customHeight="false" outlineLevel="0" collapsed="false">
      <c r="A434" s="325"/>
      <c r="AF434" s="352" t="n">
        <f aca="false">EOMONTH(AF433,0)+1</f>
        <v>49644</v>
      </c>
      <c r="AG434" s="311" t="n">
        <v>21</v>
      </c>
      <c r="AH434" s="311" t="n">
        <v>4</v>
      </c>
      <c r="AI434" s="311" t="n">
        <v>6</v>
      </c>
      <c r="AJ434" s="311" t="n">
        <v>1</v>
      </c>
      <c r="AK434" s="311" t="n">
        <v>31</v>
      </c>
      <c r="AL434" s="311"/>
      <c r="AM434" s="336"/>
    </row>
    <row r="435" customFormat="false" ht="12.75" hidden="false" customHeight="false" outlineLevel="0" collapsed="false">
      <c r="A435" s="325"/>
      <c r="AF435" s="352" t="n">
        <f aca="false">EOMONTH(AF434,0)+1</f>
        <v>49675</v>
      </c>
      <c r="AG435" s="311" t="n">
        <v>22</v>
      </c>
      <c r="AH435" s="311" t="n">
        <v>4</v>
      </c>
      <c r="AI435" s="311" t="n">
        <v>5</v>
      </c>
      <c r="AJ435" s="311" t="n">
        <v>1</v>
      </c>
      <c r="AK435" s="311" t="n">
        <v>31</v>
      </c>
      <c r="AL435" s="311"/>
      <c r="AM435" s="336"/>
    </row>
    <row r="436" customFormat="false" ht="12.75" hidden="false" customHeight="false" outlineLevel="0" collapsed="false">
      <c r="A436" s="325"/>
      <c r="AF436" s="352" t="n">
        <f aca="false">EOMONTH(AF435,0)+1</f>
        <v>49706</v>
      </c>
      <c r="AG436" s="311" t="n">
        <v>20</v>
      </c>
      <c r="AH436" s="311" t="n">
        <v>5</v>
      </c>
      <c r="AI436" s="311" t="n">
        <v>4</v>
      </c>
      <c r="AJ436" s="311" t="n">
        <v>0</v>
      </c>
      <c r="AK436" s="311" t="n">
        <v>29</v>
      </c>
      <c r="AL436" s="311"/>
      <c r="AM436" s="336"/>
    </row>
    <row r="437" customFormat="false" ht="12.75" hidden="false" customHeight="false" outlineLevel="0" collapsed="false">
      <c r="A437" s="325"/>
      <c r="AF437" s="352" t="n">
        <f aca="false">EOMONTH(AF436,0)+1</f>
        <v>49735</v>
      </c>
      <c r="AG437" s="311" t="n">
        <v>22</v>
      </c>
      <c r="AH437" s="311" t="n">
        <v>4</v>
      </c>
      <c r="AI437" s="311" t="n">
        <v>5</v>
      </c>
      <c r="AJ437" s="311" t="n">
        <v>0</v>
      </c>
      <c r="AK437" s="311" t="n">
        <v>31</v>
      </c>
      <c r="AL437" s="311"/>
      <c r="AM437" s="336"/>
    </row>
    <row r="438" customFormat="false" ht="12.75" hidden="false" customHeight="false" outlineLevel="0" collapsed="false">
      <c r="A438" s="325"/>
      <c r="AF438" s="352" t="n">
        <f aca="false">EOMONTH(AF437,0)+1</f>
        <v>49766</v>
      </c>
      <c r="AG438" s="311" t="n">
        <v>22</v>
      </c>
      <c r="AH438" s="311" t="n">
        <v>4</v>
      </c>
      <c r="AI438" s="311" t="n">
        <v>4</v>
      </c>
      <c r="AJ438" s="311" t="n">
        <v>0</v>
      </c>
      <c r="AK438" s="311" t="n">
        <v>30</v>
      </c>
      <c r="AL438" s="311"/>
      <c r="AM438" s="336"/>
    </row>
    <row r="439" customFormat="false" ht="12.75" hidden="false" customHeight="false" outlineLevel="0" collapsed="false">
      <c r="A439" s="325"/>
      <c r="AF439" s="352" t="n">
        <f aca="false">EOMONTH(AF438,0)+1</f>
        <v>49796</v>
      </c>
      <c r="AG439" s="311" t="n">
        <v>20</v>
      </c>
      <c r="AH439" s="311" t="n">
        <v>5</v>
      </c>
      <c r="AI439" s="311" t="n">
        <v>6</v>
      </c>
      <c r="AJ439" s="311" t="n">
        <v>1</v>
      </c>
      <c r="AK439" s="311" t="n">
        <v>31</v>
      </c>
      <c r="AL439" s="311"/>
      <c r="AM439" s="336"/>
    </row>
    <row r="440" customFormat="false" ht="12.75" hidden="false" customHeight="false" outlineLevel="0" collapsed="false">
      <c r="A440" s="325"/>
      <c r="AF440" s="352" t="n">
        <f aca="false">EOMONTH(AF439,0)+1</f>
        <v>49827</v>
      </c>
      <c r="AG440" s="311" t="n">
        <v>22</v>
      </c>
      <c r="AH440" s="311" t="n">
        <v>4</v>
      </c>
      <c r="AI440" s="311" t="n">
        <v>4</v>
      </c>
      <c r="AJ440" s="311" t="n">
        <v>0</v>
      </c>
      <c r="AK440" s="311" t="n">
        <v>30</v>
      </c>
      <c r="AL440" s="311"/>
      <c r="AM440" s="336"/>
    </row>
    <row r="441" customFormat="false" ht="12.75" hidden="false" customHeight="false" outlineLevel="0" collapsed="false">
      <c r="A441" s="325"/>
      <c r="AF441" s="352" t="n">
        <f aca="false">EOMONTH(AF440,0)+1</f>
        <v>49857</v>
      </c>
      <c r="AG441" s="311" t="n">
        <v>23</v>
      </c>
      <c r="AH441" s="311" t="n">
        <v>3</v>
      </c>
      <c r="AI441" s="311" t="n">
        <v>5</v>
      </c>
      <c r="AJ441" s="311" t="n">
        <v>1</v>
      </c>
      <c r="AK441" s="311" t="n">
        <v>31</v>
      </c>
      <c r="AL441" s="311"/>
      <c r="AM441" s="336"/>
    </row>
    <row r="442" customFormat="false" ht="12.75" hidden="false" customHeight="false" outlineLevel="0" collapsed="false">
      <c r="A442" s="325"/>
      <c r="AF442" s="352" t="n">
        <f aca="false">EOMONTH(AF441,0)+1</f>
        <v>49888</v>
      </c>
      <c r="AG442" s="311" t="n">
        <v>21</v>
      </c>
      <c r="AH442" s="311" t="n">
        <v>5</v>
      </c>
      <c r="AI442" s="311" t="n">
        <v>5</v>
      </c>
      <c r="AJ442" s="311" t="n">
        <v>0</v>
      </c>
      <c r="AK442" s="311" t="n">
        <v>31</v>
      </c>
      <c r="AL442" s="311"/>
      <c r="AM442" s="336"/>
    </row>
    <row r="443" customFormat="false" ht="12.75" hidden="false" customHeight="false" outlineLevel="0" collapsed="false">
      <c r="A443" s="325"/>
      <c r="AF443" s="352" t="n">
        <f aca="false">EOMONTH(AF442,0)+1</f>
        <v>49919</v>
      </c>
      <c r="AG443" s="311" t="n">
        <v>21</v>
      </c>
      <c r="AH443" s="311" t="n">
        <v>4</v>
      </c>
      <c r="AI443" s="311" t="n">
        <v>5</v>
      </c>
      <c r="AJ443" s="311" t="n">
        <v>1</v>
      </c>
      <c r="AK443" s="311" t="n">
        <v>30</v>
      </c>
      <c r="AL443" s="311"/>
      <c r="AM443" s="336"/>
    </row>
    <row r="444" customFormat="false" ht="12.75" hidden="false" customHeight="false" outlineLevel="0" collapsed="false">
      <c r="A444" s="325"/>
      <c r="AF444" s="352" t="n">
        <f aca="false">EOMONTH(AF443,0)+1</f>
        <v>49949</v>
      </c>
      <c r="AG444" s="311" t="n">
        <v>22</v>
      </c>
      <c r="AH444" s="311" t="n">
        <v>5</v>
      </c>
      <c r="AI444" s="311" t="n">
        <v>4</v>
      </c>
      <c r="AJ444" s="311" t="n">
        <v>0</v>
      </c>
      <c r="AK444" s="311" t="n">
        <v>31</v>
      </c>
      <c r="AL444" s="311"/>
      <c r="AM444" s="336"/>
    </row>
    <row r="445" customFormat="false" ht="12.75" hidden="false" customHeight="false" outlineLevel="0" collapsed="false">
      <c r="A445" s="325"/>
      <c r="AF445" s="352" t="n">
        <f aca="false">EOMONTH(AF444,0)+1</f>
        <v>49980</v>
      </c>
      <c r="AG445" s="311" t="n">
        <v>20</v>
      </c>
      <c r="AH445" s="311" t="n">
        <v>4</v>
      </c>
      <c r="AI445" s="311" t="n">
        <v>6</v>
      </c>
      <c r="AJ445" s="311" t="n">
        <v>1</v>
      </c>
      <c r="AK445" s="311" t="n">
        <v>30</v>
      </c>
      <c r="AL445" s="311"/>
      <c r="AM445" s="336"/>
    </row>
    <row r="446" customFormat="false" ht="12.75" hidden="false" customHeight="false" outlineLevel="0" collapsed="false">
      <c r="A446" s="325"/>
      <c r="AF446" s="352" t="n">
        <f aca="false">EOMONTH(AF445,0)+1</f>
        <v>50010</v>
      </c>
      <c r="AG446" s="311" t="n">
        <v>22</v>
      </c>
      <c r="AH446" s="311" t="n">
        <v>4</v>
      </c>
      <c r="AI446" s="311" t="n">
        <v>5</v>
      </c>
      <c r="AJ446" s="311" t="n">
        <v>1</v>
      </c>
      <c r="AK446" s="311" t="n">
        <v>31</v>
      </c>
      <c r="AL446" s="311"/>
      <c r="AM446" s="336"/>
    </row>
    <row r="447" customFormat="false" ht="12.75" hidden="false" customHeight="false" outlineLevel="0" collapsed="false">
      <c r="A447" s="325"/>
    </row>
    <row r="448" customFormat="false" ht="12.75" hidden="false" customHeight="false" outlineLevel="0" collapsed="false">
      <c r="A448" s="325"/>
    </row>
    <row r="449" customFormat="false" ht="12.75" hidden="false" customHeight="false" outlineLevel="0" collapsed="false">
      <c r="A449" s="325"/>
    </row>
    <row r="450" customFormat="false" ht="12.75" hidden="false" customHeight="false" outlineLevel="0" collapsed="false">
      <c r="A450" s="325"/>
    </row>
    <row r="451" customFormat="false" ht="12.75" hidden="false" customHeight="false" outlineLevel="0" collapsed="false">
      <c r="A451" s="325"/>
    </row>
    <row r="452" customFormat="false" ht="12.75" hidden="false" customHeight="false" outlineLevel="0" collapsed="false">
      <c r="A452" s="325"/>
    </row>
    <row r="453" customFormat="false" ht="12.75" hidden="false" customHeight="false" outlineLevel="0" collapsed="false">
      <c r="A453" s="325"/>
    </row>
    <row r="454" customFormat="false" ht="12.75" hidden="false" customHeight="false" outlineLevel="0" collapsed="false">
      <c r="A454" s="325"/>
    </row>
    <row r="455" customFormat="false" ht="12.75" hidden="false" customHeight="false" outlineLevel="0" collapsed="false">
      <c r="A455" s="325"/>
    </row>
    <row r="456" customFormat="false" ht="12.75" hidden="false" customHeight="false" outlineLevel="0" collapsed="false">
      <c r="A456" s="325"/>
    </row>
    <row r="457" customFormat="false" ht="12.75" hidden="false" customHeight="false" outlineLevel="0" collapsed="false">
      <c r="A457" s="325"/>
    </row>
    <row r="458" customFormat="false" ht="12.75" hidden="false" customHeight="false" outlineLevel="0" collapsed="false">
      <c r="A458" s="325"/>
    </row>
    <row r="459" customFormat="false" ht="12.75" hidden="false" customHeight="false" outlineLevel="0" collapsed="false">
      <c r="A459" s="325"/>
    </row>
    <row r="460" customFormat="false" ht="12.75" hidden="false" customHeight="false" outlineLevel="0" collapsed="false">
      <c r="A460" s="325"/>
    </row>
    <row r="461" customFormat="false" ht="12.75" hidden="false" customHeight="false" outlineLevel="0" collapsed="false">
      <c r="A461" s="325"/>
    </row>
    <row r="462" customFormat="false" ht="12.75" hidden="false" customHeight="false" outlineLevel="0" collapsed="false">
      <c r="A462" s="325"/>
    </row>
    <row r="463" customFormat="false" ht="12.75" hidden="false" customHeight="false" outlineLevel="0" collapsed="false">
      <c r="A463" s="325"/>
    </row>
    <row r="464" customFormat="false" ht="12.75" hidden="false" customHeight="false" outlineLevel="0" collapsed="false">
      <c r="A464" s="325"/>
    </row>
    <row r="465" customFormat="false" ht="12.75" hidden="false" customHeight="false" outlineLevel="0" collapsed="false">
      <c r="A465" s="325"/>
    </row>
    <row r="466" customFormat="false" ht="12.75" hidden="false" customHeight="false" outlineLevel="0" collapsed="false">
      <c r="A466" s="325"/>
    </row>
    <row r="467" customFormat="false" ht="12.75" hidden="false" customHeight="false" outlineLevel="0" collapsed="false">
      <c r="A467" s="325"/>
    </row>
    <row r="468" customFormat="false" ht="12.75" hidden="false" customHeight="false" outlineLevel="0" collapsed="false">
      <c r="A468" s="325"/>
    </row>
    <row r="469" customFormat="false" ht="12.75" hidden="false" customHeight="false" outlineLevel="0" collapsed="false">
      <c r="A469" s="325"/>
    </row>
    <row r="470" customFormat="false" ht="12.75" hidden="false" customHeight="false" outlineLevel="0" collapsed="false">
      <c r="A470" s="325"/>
    </row>
    <row r="471" customFormat="false" ht="12.75" hidden="false" customHeight="false" outlineLevel="0" collapsed="false">
      <c r="A471" s="325"/>
    </row>
    <row r="472" customFormat="false" ht="12.75" hidden="false" customHeight="false" outlineLevel="0" collapsed="false">
      <c r="A472" s="325"/>
    </row>
    <row r="473" customFormat="false" ht="12.75" hidden="false" customHeight="false" outlineLevel="0" collapsed="false">
      <c r="A473" s="325"/>
    </row>
    <row r="474" customFormat="false" ht="12.75" hidden="false" customHeight="false" outlineLevel="0" collapsed="false">
      <c r="A474" s="325"/>
    </row>
    <row r="475" customFormat="false" ht="12.75" hidden="false" customHeight="false" outlineLevel="0" collapsed="false">
      <c r="A475" s="325"/>
    </row>
    <row r="476" customFormat="false" ht="12.75" hidden="false" customHeight="false" outlineLevel="0" collapsed="false">
      <c r="A476" s="325"/>
    </row>
    <row r="477" customFormat="false" ht="12.75" hidden="false" customHeight="false" outlineLevel="0" collapsed="false">
      <c r="A477" s="325"/>
    </row>
    <row r="478" customFormat="false" ht="12.75" hidden="false" customHeight="false" outlineLevel="0" collapsed="false">
      <c r="A478" s="325"/>
    </row>
    <row r="479" customFormat="false" ht="12.75" hidden="false" customHeight="false" outlineLevel="0" collapsed="false">
      <c r="A479" s="325"/>
    </row>
    <row r="480" customFormat="false" ht="12.75" hidden="false" customHeight="false" outlineLevel="0" collapsed="false">
      <c r="A480" s="325"/>
    </row>
    <row r="481" customFormat="false" ht="12.75" hidden="false" customHeight="false" outlineLevel="0" collapsed="false">
      <c r="A481" s="325"/>
    </row>
    <row r="482" customFormat="false" ht="12.75" hidden="false" customHeight="false" outlineLevel="0" collapsed="false">
      <c r="A482" s="325"/>
    </row>
    <row r="483" customFormat="false" ht="12.75" hidden="false" customHeight="false" outlineLevel="0" collapsed="false">
      <c r="A483" s="325"/>
    </row>
    <row r="484" customFormat="false" ht="12.75" hidden="false" customHeight="false" outlineLevel="0" collapsed="false">
      <c r="A484" s="325"/>
    </row>
    <row r="485" customFormat="false" ht="12.75" hidden="false" customHeight="false" outlineLevel="0" collapsed="false">
      <c r="A485" s="325"/>
    </row>
    <row r="486" customFormat="false" ht="12.75" hidden="false" customHeight="false" outlineLevel="0" collapsed="false">
      <c r="A486" s="325"/>
    </row>
    <row r="487" customFormat="false" ht="12.75" hidden="false" customHeight="false" outlineLevel="0" collapsed="false">
      <c r="A487" s="325"/>
    </row>
    <row r="488" customFormat="false" ht="12.75" hidden="false" customHeight="false" outlineLevel="0" collapsed="false">
      <c r="A488" s="325"/>
    </row>
    <row r="489" customFormat="false" ht="12.75" hidden="false" customHeight="false" outlineLevel="0" collapsed="false">
      <c r="A489" s="325"/>
    </row>
    <row r="490" customFormat="false" ht="12.75" hidden="false" customHeight="false" outlineLevel="0" collapsed="false">
      <c r="A490" s="325"/>
    </row>
    <row r="491" customFormat="false" ht="12.75" hidden="false" customHeight="false" outlineLevel="0" collapsed="false">
      <c r="A491" s="325"/>
    </row>
    <row r="492" customFormat="false" ht="12.75" hidden="false" customHeight="false" outlineLevel="0" collapsed="false">
      <c r="A492" s="325"/>
    </row>
    <row r="493" customFormat="false" ht="12.75" hidden="false" customHeight="false" outlineLevel="0" collapsed="false">
      <c r="A493" s="325"/>
    </row>
    <row r="494" customFormat="false" ht="12.75" hidden="false" customHeight="false" outlineLevel="0" collapsed="false">
      <c r="A494" s="325"/>
    </row>
    <row r="495" customFormat="false" ht="12.75" hidden="false" customHeight="false" outlineLevel="0" collapsed="false">
      <c r="A495" s="325"/>
    </row>
    <row r="496" customFormat="false" ht="12.75" hidden="false" customHeight="false" outlineLevel="0" collapsed="false">
      <c r="A496" s="325"/>
    </row>
    <row r="497" customFormat="false" ht="12.75" hidden="false" customHeight="false" outlineLevel="0" collapsed="false">
      <c r="A497" s="325"/>
    </row>
    <row r="498" customFormat="false" ht="12.75" hidden="false" customHeight="false" outlineLevel="0" collapsed="false">
      <c r="A498" s="325"/>
    </row>
    <row r="499" customFormat="false" ht="12.75" hidden="false" customHeight="false" outlineLevel="0" collapsed="false">
      <c r="A499" s="325"/>
    </row>
    <row r="500" customFormat="false" ht="12.75" hidden="false" customHeight="false" outlineLevel="0" collapsed="false">
      <c r="A500" s="325"/>
    </row>
    <row r="501" customFormat="false" ht="12.75" hidden="false" customHeight="false" outlineLevel="0" collapsed="false">
      <c r="A501" s="325"/>
    </row>
    <row r="502" customFormat="false" ht="12.75" hidden="false" customHeight="false" outlineLevel="0" collapsed="false">
      <c r="A502" s="325"/>
    </row>
    <row r="503" customFormat="false" ht="12.75" hidden="false" customHeight="false" outlineLevel="0" collapsed="false">
      <c r="A503" s="325"/>
    </row>
    <row r="504" customFormat="false" ht="12.75" hidden="false" customHeight="false" outlineLevel="0" collapsed="false">
      <c r="A504" s="325"/>
    </row>
    <row r="505" customFormat="false" ht="12.75" hidden="false" customHeight="false" outlineLevel="0" collapsed="false">
      <c r="A505" s="325"/>
    </row>
    <row r="506" customFormat="false" ht="12.75" hidden="false" customHeight="false" outlineLevel="0" collapsed="false">
      <c r="A506" s="325"/>
    </row>
    <row r="507" customFormat="false" ht="12.75" hidden="false" customHeight="false" outlineLevel="0" collapsed="false">
      <c r="A507" s="325"/>
    </row>
    <row r="508" customFormat="false" ht="12.75" hidden="false" customHeight="false" outlineLevel="0" collapsed="false">
      <c r="A508" s="325"/>
    </row>
    <row r="509" customFormat="false" ht="12.75" hidden="false" customHeight="false" outlineLevel="0" collapsed="false">
      <c r="A509" s="325"/>
    </row>
    <row r="510" customFormat="false" ht="12.75" hidden="false" customHeight="false" outlineLevel="0" collapsed="false">
      <c r="A510" s="325"/>
    </row>
    <row r="511" customFormat="false" ht="12.75" hidden="false" customHeight="false" outlineLevel="0" collapsed="false">
      <c r="A511" s="325"/>
    </row>
    <row r="512" customFormat="false" ht="12.75" hidden="false" customHeight="false" outlineLevel="0" collapsed="false">
      <c r="A512" s="325"/>
    </row>
    <row r="513" customFormat="false" ht="12.75" hidden="false" customHeight="false" outlineLevel="0" collapsed="false">
      <c r="A513" s="325"/>
    </row>
    <row r="514" customFormat="false" ht="12.75" hidden="false" customHeight="false" outlineLevel="0" collapsed="false">
      <c r="A514" s="325"/>
    </row>
    <row r="515" customFormat="false" ht="12.75" hidden="false" customHeight="false" outlineLevel="0" collapsed="false">
      <c r="A515" s="325"/>
    </row>
    <row r="516" customFormat="false" ht="12.75" hidden="false" customHeight="false" outlineLevel="0" collapsed="false">
      <c r="A516" s="325"/>
    </row>
    <row r="517" customFormat="false" ht="12.75" hidden="false" customHeight="false" outlineLevel="0" collapsed="false">
      <c r="A517" s="325"/>
    </row>
    <row r="518" customFormat="false" ht="12.75" hidden="false" customHeight="false" outlineLevel="0" collapsed="false">
      <c r="A518" s="325"/>
    </row>
    <row r="519" customFormat="false" ht="12.75" hidden="false" customHeight="false" outlineLevel="0" collapsed="false">
      <c r="A519" s="325"/>
    </row>
    <row r="520" customFormat="false" ht="12.75" hidden="false" customHeight="false" outlineLevel="0" collapsed="false">
      <c r="A520" s="325"/>
    </row>
    <row r="521" customFormat="false" ht="12.75" hidden="false" customHeight="false" outlineLevel="0" collapsed="false">
      <c r="A521" s="325"/>
    </row>
    <row r="522" customFormat="false" ht="12.75" hidden="false" customHeight="false" outlineLevel="0" collapsed="false">
      <c r="A522" s="325"/>
    </row>
    <row r="523" customFormat="false" ht="12.75" hidden="false" customHeight="false" outlineLevel="0" collapsed="false">
      <c r="A523" s="325"/>
    </row>
    <row r="524" customFormat="false" ht="12.75" hidden="false" customHeight="false" outlineLevel="0" collapsed="false">
      <c r="A524" s="325"/>
    </row>
    <row r="525" customFormat="false" ht="12.75" hidden="false" customHeight="false" outlineLevel="0" collapsed="false">
      <c r="A525" s="325"/>
    </row>
    <row r="526" customFormat="false" ht="12.75" hidden="false" customHeight="false" outlineLevel="0" collapsed="false">
      <c r="A526" s="325"/>
    </row>
    <row r="527" customFormat="false" ht="12.75" hidden="false" customHeight="false" outlineLevel="0" collapsed="false">
      <c r="A527" s="325"/>
    </row>
    <row r="528" customFormat="false" ht="12.75" hidden="false" customHeight="false" outlineLevel="0" collapsed="false">
      <c r="A528" s="325"/>
    </row>
    <row r="529" customFormat="false" ht="12.75" hidden="false" customHeight="false" outlineLevel="0" collapsed="false">
      <c r="A529" s="325"/>
    </row>
    <row r="530" customFormat="false" ht="12.75" hidden="false" customHeight="false" outlineLevel="0" collapsed="false">
      <c r="A530" s="325"/>
    </row>
    <row r="531" customFormat="false" ht="12.75" hidden="false" customHeight="false" outlineLevel="0" collapsed="false">
      <c r="A531" s="325"/>
    </row>
    <row r="532" customFormat="false" ht="12.75" hidden="false" customHeight="false" outlineLevel="0" collapsed="false">
      <c r="A532" s="325"/>
    </row>
    <row r="533" customFormat="false" ht="12.75" hidden="false" customHeight="false" outlineLevel="0" collapsed="false">
      <c r="A533" s="325"/>
    </row>
    <row r="534" customFormat="false" ht="12.75" hidden="false" customHeight="false" outlineLevel="0" collapsed="false">
      <c r="A534" s="325"/>
    </row>
    <row r="535" customFormat="false" ht="12.75" hidden="false" customHeight="false" outlineLevel="0" collapsed="false">
      <c r="A535" s="325"/>
    </row>
    <row r="536" customFormat="false" ht="12.75" hidden="false" customHeight="false" outlineLevel="0" collapsed="false">
      <c r="A536" s="325"/>
    </row>
    <row r="537" customFormat="false" ht="12.75" hidden="false" customHeight="false" outlineLevel="0" collapsed="false">
      <c r="A537" s="325"/>
    </row>
    <row r="538" customFormat="false" ht="12.75" hidden="false" customHeight="false" outlineLevel="0" collapsed="false">
      <c r="A538" s="325"/>
    </row>
    <row r="539" customFormat="false" ht="12.75" hidden="false" customHeight="false" outlineLevel="0" collapsed="false">
      <c r="A539" s="325"/>
    </row>
    <row r="540" customFormat="false" ht="12.75" hidden="false" customHeight="false" outlineLevel="0" collapsed="false">
      <c r="A540" s="325"/>
    </row>
    <row r="541" customFormat="false" ht="12.75" hidden="false" customHeight="false" outlineLevel="0" collapsed="false">
      <c r="A541" s="325"/>
    </row>
    <row r="542" customFormat="false" ht="12.75" hidden="false" customHeight="false" outlineLevel="0" collapsed="false">
      <c r="A542" s="325"/>
    </row>
    <row r="543" customFormat="false" ht="12.75" hidden="false" customHeight="false" outlineLevel="0" collapsed="false">
      <c r="A543" s="325"/>
    </row>
    <row r="544" customFormat="false" ht="12.75" hidden="false" customHeight="false" outlineLevel="0" collapsed="false">
      <c r="A544" s="325"/>
    </row>
    <row r="545" customFormat="false" ht="12.75" hidden="false" customHeight="false" outlineLevel="0" collapsed="false">
      <c r="A545" s="325"/>
    </row>
    <row r="546" customFormat="false" ht="12.75" hidden="false" customHeight="false" outlineLevel="0" collapsed="false">
      <c r="A546" s="325"/>
    </row>
    <row r="547" customFormat="false" ht="12.75" hidden="false" customHeight="false" outlineLevel="0" collapsed="false">
      <c r="A547" s="325"/>
    </row>
    <row r="548" customFormat="false" ht="12.75" hidden="false" customHeight="false" outlineLevel="0" collapsed="false">
      <c r="A548" s="325"/>
    </row>
    <row r="549" customFormat="false" ht="12.75" hidden="false" customHeight="false" outlineLevel="0" collapsed="false">
      <c r="A549" s="325"/>
    </row>
    <row r="550" customFormat="false" ht="12.75" hidden="false" customHeight="false" outlineLevel="0" collapsed="false">
      <c r="A550" s="325"/>
    </row>
    <row r="551" customFormat="false" ht="12.75" hidden="false" customHeight="false" outlineLevel="0" collapsed="false">
      <c r="A551" s="325"/>
    </row>
    <row r="552" customFormat="false" ht="12.75" hidden="false" customHeight="false" outlineLevel="0" collapsed="false">
      <c r="A552" s="325"/>
    </row>
    <row r="553" customFormat="false" ht="12.75" hidden="false" customHeight="false" outlineLevel="0" collapsed="false">
      <c r="A553" s="325"/>
    </row>
    <row r="554" customFormat="false" ht="12.75" hidden="false" customHeight="false" outlineLevel="0" collapsed="false">
      <c r="A554" s="325"/>
    </row>
    <row r="555" customFormat="false" ht="12.75" hidden="false" customHeight="false" outlineLevel="0" collapsed="false">
      <c r="A555" s="325"/>
    </row>
    <row r="556" customFormat="false" ht="12.75" hidden="false" customHeight="false" outlineLevel="0" collapsed="false">
      <c r="A556" s="325"/>
    </row>
    <row r="557" customFormat="false" ht="12.75" hidden="false" customHeight="false" outlineLevel="0" collapsed="false">
      <c r="A557" s="325"/>
    </row>
    <row r="558" customFormat="false" ht="12.75" hidden="false" customHeight="false" outlineLevel="0" collapsed="false">
      <c r="A558" s="325"/>
    </row>
    <row r="559" customFormat="false" ht="12.75" hidden="false" customHeight="false" outlineLevel="0" collapsed="false">
      <c r="A559" s="325"/>
    </row>
    <row r="560" customFormat="false" ht="12.75" hidden="false" customHeight="false" outlineLevel="0" collapsed="false">
      <c r="A560" s="325"/>
    </row>
    <row r="561" customFormat="false" ht="12.75" hidden="false" customHeight="false" outlineLevel="0" collapsed="false">
      <c r="A561" s="325"/>
    </row>
    <row r="562" customFormat="false" ht="12.75" hidden="false" customHeight="false" outlineLevel="0" collapsed="false">
      <c r="A562" s="325"/>
    </row>
    <row r="563" customFormat="false" ht="12.75" hidden="false" customHeight="false" outlineLevel="0" collapsed="false">
      <c r="A563" s="325"/>
    </row>
    <row r="564" customFormat="false" ht="12.75" hidden="false" customHeight="false" outlineLevel="0" collapsed="false">
      <c r="A564" s="325"/>
    </row>
    <row r="565" customFormat="false" ht="12.75" hidden="false" customHeight="false" outlineLevel="0" collapsed="false">
      <c r="A565" s="325"/>
    </row>
    <row r="566" customFormat="false" ht="12.75" hidden="false" customHeight="false" outlineLevel="0" collapsed="false">
      <c r="A566" s="325"/>
    </row>
    <row r="567" customFormat="false" ht="12.75" hidden="false" customHeight="false" outlineLevel="0" collapsed="false">
      <c r="A567" s="325"/>
    </row>
    <row r="568" customFormat="false" ht="12.75" hidden="false" customHeight="false" outlineLevel="0" collapsed="false">
      <c r="A568" s="325"/>
    </row>
    <row r="569" customFormat="false" ht="12.75" hidden="false" customHeight="false" outlineLevel="0" collapsed="false">
      <c r="A569" s="325"/>
    </row>
    <row r="570" customFormat="false" ht="12.75" hidden="false" customHeight="false" outlineLevel="0" collapsed="false">
      <c r="A570" s="325"/>
    </row>
    <row r="571" customFormat="false" ht="12.75" hidden="false" customHeight="false" outlineLevel="0" collapsed="false">
      <c r="A571" s="325"/>
    </row>
    <row r="572" customFormat="false" ht="12.75" hidden="false" customHeight="false" outlineLevel="0" collapsed="false">
      <c r="A572" s="325"/>
    </row>
    <row r="573" customFormat="false" ht="12.75" hidden="false" customHeight="false" outlineLevel="0" collapsed="false">
      <c r="A573" s="325"/>
    </row>
    <row r="574" customFormat="false" ht="12.75" hidden="false" customHeight="false" outlineLevel="0" collapsed="false">
      <c r="A574" s="325"/>
    </row>
    <row r="575" customFormat="false" ht="12.75" hidden="false" customHeight="false" outlineLevel="0" collapsed="false">
      <c r="A575" s="325"/>
    </row>
    <row r="576" customFormat="false" ht="12.75" hidden="false" customHeight="false" outlineLevel="0" collapsed="false">
      <c r="A576" s="325"/>
    </row>
    <row r="577" customFormat="false" ht="12.75" hidden="false" customHeight="false" outlineLevel="0" collapsed="false">
      <c r="A577" s="325"/>
    </row>
    <row r="578" customFormat="false" ht="12.75" hidden="false" customHeight="false" outlineLevel="0" collapsed="false">
      <c r="A578" s="325"/>
    </row>
    <row r="579" customFormat="false" ht="12.75" hidden="false" customHeight="false" outlineLevel="0" collapsed="false">
      <c r="A579" s="325"/>
    </row>
    <row r="580" customFormat="false" ht="12.75" hidden="false" customHeight="false" outlineLevel="0" collapsed="false">
      <c r="A580" s="325"/>
    </row>
    <row r="581" customFormat="false" ht="12.75" hidden="false" customHeight="false" outlineLevel="0" collapsed="false">
      <c r="A581" s="325"/>
    </row>
    <row r="582" customFormat="false" ht="12.75" hidden="false" customHeight="false" outlineLevel="0" collapsed="false">
      <c r="A582" s="325"/>
    </row>
    <row r="583" customFormat="false" ht="12.75" hidden="false" customHeight="false" outlineLevel="0" collapsed="false">
      <c r="A583" s="325"/>
    </row>
    <row r="584" customFormat="false" ht="12.75" hidden="false" customHeight="false" outlineLevel="0" collapsed="false">
      <c r="A584" s="325"/>
    </row>
    <row r="585" customFormat="false" ht="12.75" hidden="false" customHeight="false" outlineLevel="0" collapsed="false">
      <c r="A585" s="325"/>
    </row>
    <row r="586" customFormat="false" ht="12.75" hidden="false" customHeight="false" outlineLevel="0" collapsed="false">
      <c r="A586" s="325"/>
    </row>
    <row r="587" customFormat="false" ht="12.75" hidden="false" customHeight="false" outlineLevel="0" collapsed="false">
      <c r="A587" s="325"/>
    </row>
    <row r="588" customFormat="false" ht="12.75" hidden="false" customHeight="false" outlineLevel="0" collapsed="false">
      <c r="A588" s="325"/>
    </row>
    <row r="589" customFormat="false" ht="12.75" hidden="false" customHeight="false" outlineLevel="0" collapsed="false">
      <c r="A589" s="325"/>
    </row>
    <row r="590" customFormat="false" ht="12.75" hidden="false" customHeight="false" outlineLevel="0" collapsed="false">
      <c r="A590" s="325"/>
    </row>
    <row r="591" customFormat="false" ht="12.75" hidden="false" customHeight="false" outlineLevel="0" collapsed="false">
      <c r="A591" s="325"/>
    </row>
    <row r="592" customFormat="false" ht="12.75" hidden="false" customHeight="false" outlineLevel="0" collapsed="false">
      <c r="A592" s="325"/>
    </row>
    <row r="593" customFormat="false" ht="12.75" hidden="false" customHeight="false" outlineLevel="0" collapsed="false">
      <c r="A593" s="325"/>
    </row>
    <row r="594" customFormat="false" ht="12.75" hidden="false" customHeight="false" outlineLevel="0" collapsed="false">
      <c r="A594" s="325"/>
    </row>
    <row r="595" customFormat="false" ht="12.75" hidden="false" customHeight="false" outlineLevel="0" collapsed="false">
      <c r="A595" s="325"/>
    </row>
    <row r="596" customFormat="false" ht="12.75" hidden="false" customHeight="false" outlineLevel="0" collapsed="false">
      <c r="A596" s="325"/>
    </row>
    <row r="597" customFormat="false" ht="12.75" hidden="false" customHeight="false" outlineLevel="0" collapsed="false">
      <c r="A597" s="325"/>
    </row>
    <row r="598" customFormat="false" ht="12.75" hidden="false" customHeight="false" outlineLevel="0" collapsed="false">
      <c r="A598" s="325"/>
    </row>
    <row r="599" customFormat="false" ht="12.75" hidden="false" customHeight="false" outlineLevel="0" collapsed="false">
      <c r="A599" s="325"/>
    </row>
    <row r="600" customFormat="false" ht="12.75" hidden="false" customHeight="false" outlineLevel="0" collapsed="false">
      <c r="A600" s="325"/>
    </row>
    <row r="601" customFormat="false" ht="12.75" hidden="false" customHeight="false" outlineLevel="0" collapsed="false">
      <c r="A601" s="325"/>
    </row>
    <row r="602" customFormat="false" ht="12.75" hidden="false" customHeight="false" outlineLevel="0" collapsed="false">
      <c r="A602" s="325"/>
    </row>
    <row r="603" customFormat="false" ht="12.75" hidden="false" customHeight="false" outlineLevel="0" collapsed="false">
      <c r="A603" s="325"/>
    </row>
    <row r="604" customFormat="false" ht="12.75" hidden="false" customHeight="false" outlineLevel="0" collapsed="false">
      <c r="A604" s="325"/>
    </row>
    <row r="605" customFormat="false" ht="12.75" hidden="false" customHeight="false" outlineLevel="0" collapsed="false">
      <c r="A605" s="325"/>
    </row>
    <row r="606" customFormat="false" ht="12.75" hidden="false" customHeight="false" outlineLevel="0" collapsed="false">
      <c r="A606" s="325"/>
    </row>
    <row r="607" customFormat="false" ht="12.75" hidden="false" customHeight="false" outlineLevel="0" collapsed="false">
      <c r="A607" s="325"/>
    </row>
    <row r="608" customFormat="false" ht="12.75" hidden="false" customHeight="false" outlineLevel="0" collapsed="false">
      <c r="A608" s="325"/>
    </row>
    <row r="609" customFormat="false" ht="12.75" hidden="false" customHeight="false" outlineLevel="0" collapsed="false">
      <c r="A609" s="325"/>
    </row>
    <row r="610" customFormat="false" ht="12.75" hidden="false" customHeight="false" outlineLevel="0" collapsed="false">
      <c r="A610" s="325"/>
    </row>
    <row r="611" customFormat="false" ht="12.75" hidden="false" customHeight="false" outlineLevel="0" collapsed="false">
      <c r="A611" s="325"/>
    </row>
    <row r="612" customFormat="false" ht="12.75" hidden="false" customHeight="false" outlineLevel="0" collapsed="false">
      <c r="A612" s="325"/>
    </row>
    <row r="613" customFormat="false" ht="12.75" hidden="false" customHeight="false" outlineLevel="0" collapsed="false">
      <c r="A613" s="325"/>
    </row>
    <row r="614" customFormat="false" ht="12.75" hidden="false" customHeight="false" outlineLevel="0" collapsed="false">
      <c r="A614" s="325"/>
    </row>
    <row r="615" customFormat="false" ht="12.75" hidden="false" customHeight="false" outlineLevel="0" collapsed="false">
      <c r="A615" s="325"/>
    </row>
    <row r="616" customFormat="false" ht="12.75" hidden="false" customHeight="false" outlineLevel="0" collapsed="false">
      <c r="A616" s="325"/>
    </row>
    <row r="617" customFormat="false" ht="12.75" hidden="false" customHeight="false" outlineLevel="0" collapsed="false">
      <c r="A617" s="325"/>
    </row>
    <row r="618" customFormat="false" ht="12.75" hidden="false" customHeight="false" outlineLevel="0" collapsed="false">
      <c r="A618" s="325"/>
    </row>
    <row r="619" customFormat="false" ht="12.75" hidden="false" customHeight="false" outlineLevel="0" collapsed="false">
      <c r="A619" s="325"/>
    </row>
    <row r="620" customFormat="false" ht="12.75" hidden="false" customHeight="false" outlineLevel="0" collapsed="false">
      <c r="A620" s="325"/>
    </row>
    <row r="621" customFormat="false" ht="12.75" hidden="false" customHeight="false" outlineLevel="0" collapsed="false">
      <c r="A621" s="325"/>
    </row>
    <row r="622" customFormat="false" ht="12.75" hidden="false" customHeight="false" outlineLevel="0" collapsed="false">
      <c r="A622" s="325"/>
    </row>
    <row r="623" customFormat="false" ht="12.75" hidden="false" customHeight="false" outlineLevel="0" collapsed="false">
      <c r="A623" s="325"/>
    </row>
    <row r="624" customFormat="false" ht="12.75" hidden="false" customHeight="false" outlineLevel="0" collapsed="false">
      <c r="A624" s="325"/>
    </row>
    <row r="625" customFormat="false" ht="12.75" hidden="false" customHeight="false" outlineLevel="0" collapsed="false">
      <c r="A625" s="325"/>
    </row>
    <row r="626" customFormat="false" ht="12.75" hidden="false" customHeight="false" outlineLevel="0" collapsed="false">
      <c r="A626" s="325"/>
    </row>
    <row r="627" customFormat="false" ht="12.75" hidden="false" customHeight="false" outlineLevel="0" collapsed="false">
      <c r="A627" s="325"/>
    </row>
    <row r="628" customFormat="false" ht="12.75" hidden="false" customHeight="false" outlineLevel="0" collapsed="false">
      <c r="A628" s="325"/>
    </row>
    <row r="629" customFormat="false" ht="12.75" hidden="false" customHeight="false" outlineLevel="0" collapsed="false">
      <c r="A629" s="325"/>
    </row>
    <row r="630" customFormat="false" ht="12.75" hidden="false" customHeight="false" outlineLevel="0" collapsed="false">
      <c r="A630" s="325"/>
    </row>
    <row r="631" customFormat="false" ht="12.75" hidden="false" customHeight="false" outlineLevel="0" collapsed="false">
      <c r="A631" s="325"/>
    </row>
    <row r="632" customFormat="false" ht="12.75" hidden="false" customHeight="false" outlineLevel="0" collapsed="false">
      <c r="A632" s="325"/>
    </row>
    <row r="633" customFormat="false" ht="12.75" hidden="false" customHeight="false" outlineLevel="0" collapsed="false">
      <c r="A633" s="325"/>
    </row>
    <row r="634" customFormat="false" ht="12.75" hidden="false" customHeight="false" outlineLevel="0" collapsed="false">
      <c r="A634" s="325"/>
    </row>
    <row r="635" customFormat="false" ht="12.75" hidden="false" customHeight="false" outlineLevel="0" collapsed="false">
      <c r="A635" s="325"/>
    </row>
    <row r="636" customFormat="false" ht="12.75" hidden="false" customHeight="false" outlineLevel="0" collapsed="false">
      <c r="A636" s="325"/>
    </row>
    <row r="637" customFormat="false" ht="12.75" hidden="false" customHeight="false" outlineLevel="0" collapsed="false">
      <c r="A637" s="325"/>
    </row>
    <row r="638" customFormat="false" ht="12.75" hidden="false" customHeight="false" outlineLevel="0" collapsed="false">
      <c r="A638" s="325"/>
    </row>
    <row r="639" customFormat="false" ht="12.75" hidden="false" customHeight="false" outlineLevel="0" collapsed="false">
      <c r="A639" s="325"/>
    </row>
    <row r="640" customFormat="false" ht="12.75" hidden="false" customHeight="false" outlineLevel="0" collapsed="false">
      <c r="A640" s="325"/>
    </row>
    <row r="641" customFormat="false" ht="12.75" hidden="false" customHeight="false" outlineLevel="0" collapsed="false">
      <c r="A641" s="325"/>
    </row>
    <row r="642" customFormat="false" ht="12.75" hidden="false" customHeight="false" outlineLevel="0" collapsed="false">
      <c r="A642" s="325"/>
    </row>
    <row r="643" customFormat="false" ht="12.75" hidden="false" customHeight="false" outlineLevel="0" collapsed="false">
      <c r="A643" s="325"/>
    </row>
    <row r="644" customFormat="false" ht="12.75" hidden="false" customHeight="false" outlineLevel="0" collapsed="false">
      <c r="A644" s="325"/>
    </row>
    <row r="645" customFormat="false" ht="12.75" hidden="false" customHeight="false" outlineLevel="0" collapsed="false">
      <c r="A645" s="325"/>
    </row>
    <row r="646" customFormat="false" ht="12.75" hidden="false" customHeight="false" outlineLevel="0" collapsed="false">
      <c r="A646" s="325"/>
    </row>
    <row r="647" customFormat="false" ht="12.75" hidden="false" customHeight="false" outlineLevel="0" collapsed="false">
      <c r="A647" s="325"/>
    </row>
    <row r="648" customFormat="false" ht="12.75" hidden="false" customHeight="false" outlineLevel="0" collapsed="false">
      <c r="A648" s="325"/>
    </row>
    <row r="649" customFormat="false" ht="12.75" hidden="false" customHeight="false" outlineLevel="0" collapsed="false">
      <c r="A649" s="325"/>
    </row>
    <row r="650" customFormat="false" ht="12.75" hidden="false" customHeight="false" outlineLevel="0" collapsed="false">
      <c r="A650" s="325"/>
    </row>
    <row r="651" customFormat="false" ht="12.75" hidden="false" customHeight="false" outlineLevel="0" collapsed="false">
      <c r="A651" s="325"/>
    </row>
    <row r="652" customFormat="false" ht="12.75" hidden="false" customHeight="false" outlineLevel="0" collapsed="false">
      <c r="A652" s="325"/>
    </row>
    <row r="653" customFormat="false" ht="12.75" hidden="false" customHeight="false" outlineLevel="0" collapsed="false">
      <c r="A653" s="325"/>
    </row>
    <row r="654" customFormat="false" ht="12.75" hidden="false" customHeight="false" outlineLevel="0" collapsed="false">
      <c r="A654" s="325"/>
    </row>
    <row r="655" customFormat="false" ht="12.75" hidden="false" customHeight="false" outlineLevel="0" collapsed="false">
      <c r="A655" s="325"/>
    </row>
    <row r="656" customFormat="false" ht="12.75" hidden="false" customHeight="false" outlineLevel="0" collapsed="false">
      <c r="A656" s="325"/>
    </row>
    <row r="657" customFormat="false" ht="12.75" hidden="false" customHeight="false" outlineLevel="0" collapsed="false">
      <c r="A657" s="325"/>
    </row>
    <row r="658" customFormat="false" ht="12.75" hidden="false" customHeight="false" outlineLevel="0" collapsed="false">
      <c r="A658" s="325"/>
    </row>
    <row r="659" customFormat="false" ht="12.75" hidden="false" customHeight="false" outlineLevel="0" collapsed="false">
      <c r="A659" s="325"/>
    </row>
    <row r="660" customFormat="false" ht="12.75" hidden="false" customHeight="false" outlineLevel="0" collapsed="false">
      <c r="A660" s="325"/>
    </row>
    <row r="661" customFormat="false" ht="12.75" hidden="false" customHeight="false" outlineLevel="0" collapsed="false">
      <c r="A661" s="325"/>
    </row>
    <row r="662" customFormat="false" ht="12.75" hidden="false" customHeight="false" outlineLevel="0" collapsed="false">
      <c r="A662" s="325"/>
    </row>
    <row r="663" customFormat="false" ht="12.75" hidden="false" customHeight="false" outlineLevel="0" collapsed="false">
      <c r="A663" s="325"/>
    </row>
    <row r="664" customFormat="false" ht="12.75" hidden="false" customHeight="false" outlineLevel="0" collapsed="false">
      <c r="A664" s="325"/>
    </row>
    <row r="665" customFormat="false" ht="12.75" hidden="false" customHeight="false" outlineLevel="0" collapsed="false">
      <c r="A665" s="325"/>
    </row>
    <row r="666" customFormat="false" ht="12.75" hidden="false" customHeight="false" outlineLevel="0" collapsed="false">
      <c r="A666" s="325"/>
    </row>
    <row r="667" customFormat="false" ht="12.75" hidden="false" customHeight="false" outlineLevel="0" collapsed="false">
      <c r="A667" s="325"/>
    </row>
    <row r="668" customFormat="false" ht="12.75" hidden="false" customHeight="false" outlineLevel="0" collapsed="false">
      <c r="A668" s="325"/>
    </row>
    <row r="669" customFormat="false" ht="12.75" hidden="false" customHeight="false" outlineLevel="0" collapsed="false">
      <c r="A669" s="325"/>
    </row>
    <row r="670" customFormat="false" ht="12.75" hidden="false" customHeight="false" outlineLevel="0" collapsed="false">
      <c r="A670" s="325"/>
    </row>
    <row r="671" customFormat="false" ht="12.75" hidden="false" customHeight="false" outlineLevel="0" collapsed="false">
      <c r="A671" s="325"/>
    </row>
    <row r="672" customFormat="false" ht="12.75" hidden="false" customHeight="false" outlineLevel="0" collapsed="false">
      <c r="A672" s="325"/>
    </row>
    <row r="673" customFormat="false" ht="12.75" hidden="false" customHeight="false" outlineLevel="0" collapsed="false">
      <c r="A673" s="325"/>
    </row>
    <row r="674" customFormat="false" ht="12.75" hidden="false" customHeight="false" outlineLevel="0" collapsed="false">
      <c r="A674" s="325"/>
    </row>
    <row r="675" customFormat="false" ht="12.75" hidden="false" customHeight="false" outlineLevel="0" collapsed="false">
      <c r="A675" s="325"/>
    </row>
    <row r="676" customFormat="false" ht="12.75" hidden="false" customHeight="false" outlineLevel="0" collapsed="false">
      <c r="A676" s="325"/>
    </row>
    <row r="677" customFormat="false" ht="12.75" hidden="false" customHeight="false" outlineLevel="0" collapsed="false">
      <c r="A677" s="325"/>
    </row>
    <row r="678" customFormat="false" ht="12.75" hidden="false" customHeight="false" outlineLevel="0" collapsed="false">
      <c r="A678" s="325"/>
    </row>
    <row r="679" customFormat="false" ht="12.75" hidden="false" customHeight="false" outlineLevel="0" collapsed="false">
      <c r="A679" s="325"/>
    </row>
    <row r="680" customFormat="false" ht="12.75" hidden="false" customHeight="false" outlineLevel="0" collapsed="false">
      <c r="A680" s="325"/>
    </row>
    <row r="681" customFormat="false" ht="12.75" hidden="false" customHeight="false" outlineLevel="0" collapsed="false">
      <c r="A681" s="325"/>
    </row>
    <row r="682" customFormat="false" ht="12.75" hidden="false" customHeight="false" outlineLevel="0" collapsed="false">
      <c r="A682" s="325"/>
    </row>
    <row r="683" customFormat="false" ht="12.75" hidden="false" customHeight="false" outlineLevel="0" collapsed="false">
      <c r="A683" s="325"/>
    </row>
    <row r="684" customFormat="false" ht="12.75" hidden="false" customHeight="false" outlineLevel="0" collapsed="false">
      <c r="A684" s="325"/>
    </row>
    <row r="685" customFormat="false" ht="12.75" hidden="false" customHeight="false" outlineLevel="0" collapsed="false">
      <c r="A685" s="325"/>
    </row>
    <row r="686" customFormat="false" ht="12.75" hidden="false" customHeight="false" outlineLevel="0" collapsed="false">
      <c r="A686" s="325"/>
    </row>
    <row r="687" customFormat="false" ht="12.75" hidden="false" customHeight="false" outlineLevel="0" collapsed="false">
      <c r="A687" s="325"/>
    </row>
    <row r="688" customFormat="false" ht="12.75" hidden="false" customHeight="false" outlineLevel="0" collapsed="false">
      <c r="A688" s="325"/>
    </row>
    <row r="689" customFormat="false" ht="12.75" hidden="false" customHeight="false" outlineLevel="0" collapsed="false">
      <c r="A689" s="325"/>
    </row>
    <row r="690" customFormat="false" ht="12.75" hidden="false" customHeight="false" outlineLevel="0" collapsed="false">
      <c r="A690" s="325"/>
    </row>
    <row r="691" customFormat="false" ht="12.75" hidden="false" customHeight="false" outlineLevel="0" collapsed="false">
      <c r="A691" s="325"/>
    </row>
    <row r="692" customFormat="false" ht="12.75" hidden="false" customHeight="false" outlineLevel="0" collapsed="false">
      <c r="A692" s="325"/>
    </row>
    <row r="693" customFormat="false" ht="12.75" hidden="false" customHeight="false" outlineLevel="0" collapsed="false">
      <c r="A693" s="325"/>
    </row>
    <row r="694" customFormat="false" ht="12.75" hidden="false" customHeight="false" outlineLevel="0" collapsed="false">
      <c r="A694" s="325"/>
    </row>
    <row r="695" customFormat="false" ht="12.75" hidden="false" customHeight="false" outlineLevel="0" collapsed="false">
      <c r="A695" s="325"/>
    </row>
    <row r="696" customFormat="false" ht="12.75" hidden="false" customHeight="false" outlineLevel="0" collapsed="false">
      <c r="A696" s="325"/>
    </row>
    <row r="697" customFormat="false" ht="12.75" hidden="false" customHeight="false" outlineLevel="0" collapsed="false">
      <c r="A697" s="325"/>
    </row>
    <row r="698" customFormat="false" ht="12.75" hidden="false" customHeight="false" outlineLevel="0" collapsed="false">
      <c r="A698" s="325"/>
    </row>
    <row r="699" customFormat="false" ht="12.75" hidden="false" customHeight="false" outlineLevel="0" collapsed="false">
      <c r="A699" s="325"/>
    </row>
    <row r="700" customFormat="false" ht="12.75" hidden="false" customHeight="false" outlineLevel="0" collapsed="false">
      <c r="A700" s="325"/>
    </row>
    <row r="701" customFormat="false" ht="12.75" hidden="false" customHeight="false" outlineLevel="0" collapsed="false">
      <c r="A701" s="325"/>
    </row>
    <row r="702" customFormat="false" ht="12.75" hidden="false" customHeight="false" outlineLevel="0" collapsed="false">
      <c r="A702" s="325"/>
    </row>
    <row r="703" customFormat="false" ht="12.75" hidden="false" customHeight="false" outlineLevel="0" collapsed="false">
      <c r="A703" s="325"/>
    </row>
    <row r="704" customFormat="false" ht="12.75" hidden="false" customHeight="false" outlineLevel="0" collapsed="false">
      <c r="A704" s="325"/>
    </row>
    <row r="705" customFormat="false" ht="12.75" hidden="false" customHeight="false" outlineLevel="0" collapsed="false">
      <c r="A705" s="325"/>
    </row>
    <row r="706" customFormat="false" ht="12.75" hidden="false" customHeight="false" outlineLevel="0" collapsed="false">
      <c r="A706" s="325"/>
    </row>
    <row r="707" customFormat="false" ht="12.75" hidden="false" customHeight="false" outlineLevel="0" collapsed="false">
      <c r="A707" s="325"/>
    </row>
    <row r="708" customFormat="false" ht="12.75" hidden="false" customHeight="false" outlineLevel="0" collapsed="false">
      <c r="A708" s="325"/>
    </row>
    <row r="709" customFormat="false" ht="12.75" hidden="false" customHeight="false" outlineLevel="0" collapsed="false">
      <c r="A709" s="325"/>
    </row>
    <row r="710" customFormat="false" ht="12.75" hidden="false" customHeight="false" outlineLevel="0" collapsed="false">
      <c r="A710" s="325"/>
    </row>
    <row r="711" customFormat="false" ht="12.75" hidden="false" customHeight="false" outlineLevel="0" collapsed="false">
      <c r="A711" s="325"/>
    </row>
    <row r="712" customFormat="false" ht="12.75" hidden="false" customHeight="false" outlineLevel="0" collapsed="false">
      <c r="A712" s="325"/>
    </row>
    <row r="713" customFormat="false" ht="12.75" hidden="false" customHeight="false" outlineLevel="0" collapsed="false">
      <c r="A713" s="325"/>
    </row>
    <row r="714" customFormat="false" ht="12.75" hidden="false" customHeight="false" outlineLevel="0" collapsed="false">
      <c r="A714" s="325"/>
    </row>
    <row r="715" customFormat="false" ht="12.75" hidden="false" customHeight="false" outlineLevel="0" collapsed="false">
      <c r="A715" s="325"/>
    </row>
    <row r="716" customFormat="false" ht="12.75" hidden="false" customHeight="false" outlineLevel="0" collapsed="false">
      <c r="A716" s="325"/>
    </row>
    <row r="717" customFormat="false" ht="12.75" hidden="false" customHeight="false" outlineLevel="0" collapsed="false">
      <c r="A717" s="325"/>
    </row>
    <row r="718" customFormat="false" ht="12.75" hidden="false" customHeight="false" outlineLevel="0" collapsed="false">
      <c r="A718" s="325"/>
    </row>
    <row r="719" customFormat="false" ht="12.75" hidden="false" customHeight="false" outlineLevel="0" collapsed="false">
      <c r="A719" s="325"/>
    </row>
    <row r="720" customFormat="false" ht="12.75" hidden="false" customHeight="false" outlineLevel="0" collapsed="false">
      <c r="A720" s="325"/>
    </row>
    <row r="721" customFormat="false" ht="12.75" hidden="false" customHeight="false" outlineLevel="0" collapsed="false">
      <c r="A721" s="325"/>
    </row>
    <row r="722" customFormat="false" ht="12.75" hidden="false" customHeight="false" outlineLevel="0" collapsed="false">
      <c r="A722" s="325"/>
    </row>
    <row r="723" customFormat="false" ht="12.75" hidden="false" customHeight="false" outlineLevel="0" collapsed="false">
      <c r="A723" s="325"/>
    </row>
    <row r="724" customFormat="false" ht="12.75" hidden="false" customHeight="false" outlineLevel="0" collapsed="false">
      <c r="A724" s="325"/>
    </row>
    <row r="725" customFormat="false" ht="12.75" hidden="false" customHeight="false" outlineLevel="0" collapsed="false">
      <c r="A725" s="325"/>
    </row>
    <row r="726" customFormat="false" ht="12.75" hidden="false" customHeight="false" outlineLevel="0" collapsed="false">
      <c r="A726" s="325"/>
    </row>
    <row r="727" customFormat="false" ht="12.75" hidden="false" customHeight="false" outlineLevel="0" collapsed="false">
      <c r="A727" s="325"/>
    </row>
    <row r="728" customFormat="false" ht="12.75" hidden="false" customHeight="false" outlineLevel="0" collapsed="false">
      <c r="A728" s="325"/>
    </row>
    <row r="729" customFormat="false" ht="12.75" hidden="false" customHeight="false" outlineLevel="0" collapsed="false">
      <c r="A729" s="325"/>
    </row>
    <row r="730" customFormat="false" ht="12.75" hidden="false" customHeight="false" outlineLevel="0" collapsed="false">
      <c r="A730" s="325"/>
    </row>
    <row r="731" customFormat="false" ht="12.75" hidden="false" customHeight="false" outlineLevel="0" collapsed="false">
      <c r="A731" s="325"/>
    </row>
    <row r="732" customFormat="false" ht="12.75" hidden="false" customHeight="false" outlineLevel="0" collapsed="false">
      <c r="A732" s="325"/>
    </row>
    <row r="733" customFormat="false" ht="12.75" hidden="false" customHeight="false" outlineLevel="0" collapsed="false">
      <c r="A733" s="325"/>
    </row>
    <row r="734" customFormat="false" ht="12.75" hidden="false" customHeight="false" outlineLevel="0" collapsed="false">
      <c r="A734" s="325"/>
    </row>
    <row r="735" customFormat="false" ht="12.75" hidden="false" customHeight="false" outlineLevel="0" collapsed="false">
      <c r="A735" s="325"/>
    </row>
    <row r="736" customFormat="false" ht="12.75" hidden="false" customHeight="false" outlineLevel="0" collapsed="false">
      <c r="A736" s="325"/>
    </row>
    <row r="737" customFormat="false" ht="12.75" hidden="false" customHeight="false" outlineLevel="0" collapsed="false">
      <c r="A737" s="325"/>
    </row>
    <row r="738" customFormat="false" ht="12.75" hidden="false" customHeight="false" outlineLevel="0" collapsed="false">
      <c r="A738" s="325"/>
    </row>
    <row r="739" customFormat="false" ht="12.75" hidden="false" customHeight="false" outlineLevel="0" collapsed="false">
      <c r="A739" s="325"/>
    </row>
    <row r="740" customFormat="false" ht="12.75" hidden="false" customHeight="false" outlineLevel="0" collapsed="false">
      <c r="A740" s="325"/>
    </row>
    <row r="741" customFormat="false" ht="12.75" hidden="false" customHeight="false" outlineLevel="0" collapsed="false">
      <c r="A741" s="325"/>
    </row>
    <row r="742" customFormat="false" ht="12.75" hidden="false" customHeight="false" outlineLevel="0" collapsed="false">
      <c r="A742" s="325"/>
    </row>
    <row r="743" customFormat="false" ht="12.75" hidden="false" customHeight="false" outlineLevel="0" collapsed="false">
      <c r="A743" s="325"/>
    </row>
    <row r="744" customFormat="false" ht="12.75" hidden="false" customHeight="false" outlineLevel="0" collapsed="false">
      <c r="A744" s="325"/>
    </row>
    <row r="745" customFormat="false" ht="12.75" hidden="false" customHeight="false" outlineLevel="0" collapsed="false">
      <c r="A745" s="325"/>
    </row>
    <row r="746" customFormat="false" ht="12.75" hidden="false" customHeight="false" outlineLevel="0" collapsed="false">
      <c r="A746" s="325"/>
    </row>
    <row r="747" customFormat="false" ht="12.75" hidden="false" customHeight="false" outlineLevel="0" collapsed="false">
      <c r="A747" s="325"/>
    </row>
    <row r="748" customFormat="false" ht="12.75" hidden="false" customHeight="false" outlineLevel="0" collapsed="false">
      <c r="A748" s="325"/>
    </row>
    <row r="749" customFormat="false" ht="12.75" hidden="false" customHeight="false" outlineLevel="0" collapsed="false">
      <c r="A749" s="325"/>
    </row>
    <row r="750" customFormat="false" ht="12.75" hidden="false" customHeight="false" outlineLevel="0" collapsed="false">
      <c r="A750" s="325"/>
    </row>
    <row r="751" customFormat="false" ht="12.75" hidden="false" customHeight="false" outlineLevel="0" collapsed="false">
      <c r="A751" s="325"/>
    </row>
    <row r="752" customFormat="false" ht="12.75" hidden="false" customHeight="false" outlineLevel="0" collapsed="false">
      <c r="A752" s="325"/>
    </row>
    <row r="753" customFormat="false" ht="12.75" hidden="false" customHeight="false" outlineLevel="0" collapsed="false">
      <c r="A753" s="325"/>
    </row>
    <row r="754" customFormat="false" ht="12.75" hidden="false" customHeight="false" outlineLevel="0" collapsed="false">
      <c r="A754" s="325"/>
    </row>
    <row r="755" customFormat="false" ht="12.75" hidden="false" customHeight="false" outlineLevel="0" collapsed="false">
      <c r="A755" s="325"/>
    </row>
    <row r="756" customFormat="false" ht="12.75" hidden="false" customHeight="false" outlineLevel="0" collapsed="false">
      <c r="A756" s="325"/>
    </row>
    <row r="757" customFormat="false" ht="12.75" hidden="false" customHeight="false" outlineLevel="0" collapsed="false">
      <c r="A757" s="325"/>
    </row>
    <row r="758" customFormat="false" ht="12.75" hidden="false" customHeight="false" outlineLevel="0" collapsed="false">
      <c r="A758" s="325"/>
    </row>
    <row r="759" customFormat="false" ht="12.75" hidden="false" customHeight="false" outlineLevel="0" collapsed="false">
      <c r="A759" s="325"/>
    </row>
    <row r="760" customFormat="false" ht="12.75" hidden="false" customHeight="false" outlineLevel="0" collapsed="false">
      <c r="A760" s="325"/>
    </row>
    <row r="761" customFormat="false" ht="12.75" hidden="false" customHeight="false" outlineLevel="0" collapsed="false">
      <c r="A761" s="325"/>
    </row>
    <row r="762" customFormat="false" ht="12.75" hidden="false" customHeight="false" outlineLevel="0" collapsed="false">
      <c r="A762" s="325"/>
    </row>
    <row r="763" customFormat="false" ht="12.75" hidden="false" customHeight="false" outlineLevel="0" collapsed="false">
      <c r="A763" s="325"/>
    </row>
    <row r="764" customFormat="false" ht="12.75" hidden="false" customHeight="false" outlineLevel="0" collapsed="false">
      <c r="A764" s="325"/>
    </row>
    <row r="765" customFormat="false" ht="12.75" hidden="false" customHeight="false" outlineLevel="0" collapsed="false">
      <c r="A765" s="325"/>
    </row>
    <row r="766" customFormat="false" ht="12.75" hidden="false" customHeight="false" outlineLevel="0" collapsed="false">
      <c r="A766" s="325"/>
    </row>
    <row r="767" customFormat="false" ht="12.75" hidden="false" customHeight="false" outlineLevel="0" collapsed="false">
      <c r="A767" s="325"/>
    </row>
    <row r="768" customFormat="false" ht="12.75" hidden="false" customHeight="false" outlineLevel="0" collapsed="false">
      <c r="A768" s="325"/>
    </row>
    <row r="769" customFormat="false" ht="12.75" hidden="false" customHeight="false" outlineLevel="0" collapsed="false">
      <c r="A769" s="325"/>
    </row>
    <row r="770" customFormat="false" ht="12.75" hidden="false" customHeight="false" outlineLevel="0" collapsed="false">
      <c r="A770" s="325"/>
    </row>
    <row r="771" customFormat="false" ht="12.75" hidden="false" customHeight="false" outlineLevel="0" collapsed="false">
      <c r="A771" s="325"/>
    </row>
    <row r="772" customFormat="false" ht="12.75" hidden="false" customHeight="false" outlineLevel="0" collapsed="false">
      <c r="A772" s="325"/>
    </row>
    <row r="773" customFormat="false" ht="12.75" hidden="false" customHeight="false" outlineLevel="0" collapsed="false">
      <c r="A773" s="325"/>
    </row>
    <row r="774" customFormat="false" ht="12.75" hidden="false" customHeight="false" outlineLevel="0" collapsed="false">
      <c r="A774" s="325"/>
    </row>
    <row r="775" customFormat="false" ht="12.75" hidden="false" customHeight="false" outlineLevel="0" collapsed="false">
      <c r="A775" s="325"/>
    </row>
    <row r="776" customFormat="false" ht="12.75" hidden="false" customHeight="false" outlineLevel="0" collapsed="false">
      <c r="A776" s="325"/>
    </row>
    <row r="777" customFormat="false" ht="12.75" hidden="false" customHeight="false" outlineLevel="0" collapsed="false">
      <c r="A777" s="325"/>
    </row>
    <row r="778" customFormat="false" ht="12.75" hidden="false" customHeight="false" outlineLevel="0" collapsed="false">
      <c r="A778" s="325"/>
    </row>
    <row r="779" customFormat="false" ht="12.75" hidden="false" customHeight="false" outlineLevel="0" collapsed="false">
      <c r="A779" s="325"/>
    </row>
    <row r="780" customFormat="false" ht="12.75" hidden="false" customHeight="false" outlineLevel="0" collapsed="false">
      <c r="A780" s="325"/>
    </row>
    <row r="781" customFormat="false" ht="12.75" hidden="false" customHeight="false" outlineLevel="0" collapsed="false">
      <c r="A781" s="325"/>
    </row>
    <row r="782" customFormat="false" ht="12.75" hidden="false" customHeight="false" outlineLevel="0" collapsed="false">
      <c r="A782" s="325"/>
    </row>
    <row r="783" customFormat="false" ht="12.75" hidden="false" customHeight="false" outlineLevel="0" collapsed="false">
      <c r="A783" s="325"/>
    </row>
    <row r="784" customFormat="false" ht="12.75" hidden="false" customHeight="false" outlineLevel="0" collapsed="false">
      <c r="A784" s="325"/>
    </row>
    <row r="785" customFormat="false" ht="12.75" hidden="false" customHeight="false" outlineLevel="0" collapsed="false">
      <c r="A785" s="325"/>
    </row>
    <row r="786" customFormat="false" ht="12.75" hidden="false" customHeight="false" outlineLevel="0" collapsed="false">
      <c r="A786" s="325"/>
    </row>
    <row r="787" customFormat="false" ht="12.75" hidden="false" customHeight="false" outlineLevel="0" collapsed="false">
      <c r="A787" s="325"/>
    </row>
    <row r="788" customFormat="false" ht="12.75" hidden="false" customHeight="false" outlineLevel="0" collapsed="false">
      <c r="A788" s="325"/>
    </row>
    <row r="789" customFormat="false" ht="12.75" hidden="false" customHeight="false" outlineLevel="0" collapsed="false">
      <c r="A789" s="325"/>
    </row>
    <row r="790" customFormat="false" ht="12.75" hidden="false" customHeight="false" outlineLevel="0" collapsed="false">
      <c r="A790" s="325"/>
    </row>
    <row r="791" customFormat="false" ht="12.75" hidden="false" customHeight="false" outlineLevel="0" collapsed="false">
      <c r="A791" s="325"/>
    </row>
    <row r="792" customFormat="false" ht="12.75" hidden="false" customHeight="false" outlineLevel="0" collapsed="false">
      <c r="A792" s="325"/>
    </row>
    <row r="793" customFormat="false" ht="12.75" hidden="false" customHeight="false" outlineLevel="0" collapsed="false">
      <c r="A793" s="325"/>
    </row>
    <row r="794" customFormat="false" ht="12.75" hidden="false" customHeight="false" outlineLevel="0" collapsed="false">
      <c r="A794" s="325"/>
    </row>
    <row r="795" customFormat="false" ht="12.75" hidden="false" customHeight="false" outlineLevel="0" collapsed="false">
      <c r="A795" s="325"/>
    </row>
    <row r="796" customFormat="false" ht="12.75" hidden="false" customHeight="false" outlineLevel="0" collapsed="false">
      <c r="A796" s="325"/>
    </row>
    <row r="797" customFormat="false" ht="12.75" hidden="false" customHeight="false" outlineLevel="0" collapsed="false">
      <c r="A797" s="325"/>
    </row>
    <row r="798" customFormat="false" ht="12.75" hidden="false" customHeight="false" outlineLevel="0" collapsed="false">
      <c r="A798" s="325"/>
    </row>
    <row r="799" customFormat="false" ht="12.75" hidden="false" customHeight="false" outlineLevel="0" collapsed="false">
      <c r="A799" s="325"/>
    </row>
    <row r="800" customFormat="false" ht="12.75" hidden="false" customHeight="false" outlineLevel="0" collapsed="false">
      <c r="A800" s="325"/>
    </row>
    <row r="801" customFormat="false" ht="12.75" hidden="false" customHeight="false" outlineLevel="0" collapsed="false">
      <c r="A801" s="325"/>
    </row>
    <row r="802" customFormat="false" ht="12.75" hidden="false" customHeight="false" outlineLevel="0" collapsed="false">
      <c r="A802" s="325"/>
    </row>
    <row r="803" customFormat="false" ht="12.75" hidden="false" customHeight="false" outlineLevel="0" collapsed="false">
      <c r="A803" s="325"/>
    </row>
    <row r="804" customFormat="false" ht="12.75" hidden="false" customHeight="false" outlineLevel="0" collapsed="false">
      <c r="A804" s="325"/>
    </row>
    <row r="805" customFormat="false" ht="12.75" hidden="false" customHeight="false" outlineLevel="0" collapsed="false">
      <c r="A805" s="325"/>
    </row>
    <row r="806" customFormat="false" ht="12.75" hidden="false" customHeight="false" outlineLevel="0" collapsed="false">
      <c r="A806" s="325"/>
    </row>
    <row r="807" customFormat="false" ht="12.75" hidden="false" customHeight="false" outlineLevel="0" collapsed="false">
      <c r="A807" s="325"/>
    </row>
    <row r="808" customFormat="false" ht="12.75" hidden="false" customHeight="false" outlineLevel="0" collapsed="false">
      <c r="A808" s="325"/>
    </row>
    <row r="809" customFormat="false" ht="12.75" hidden="false" customHeight="false" outlineLevel="0" collapsed="false">
      <c r="A809" s="325"/>
    </row>
    <row r="810" customFormat="false" ht="12.75" hidden="false" customHeight="false" outlineLevel="0" collapsed="false">
      <c r="A810" s="325"/>
    </row>
    <row r="811" customFormat="false" ht="12.75" hidden="false" customHeight="false" outlineLevel="0" collapsed="false">
      <c r="A811" s="325"/>
    </row>
    <row r="812" customFormat="false" ht="12.75" hidden="false" customHeight="false" outlineLevel="0" collapsed="false">
      <c r="A812" s="325"/>
    </row>
    <row r="813" customFormat="false" ht="12.75" hidden="false" customHeight="false" outlineLevel="0" collapsed="false">
      <c r="A813" s="325"/>
    </row>
    <row r="814" customFormat="false" ht="12.75" hidden="false" customHeight="false" outlineLevel="0" collapsed="false">
      <c r="A814" s="325"/>
    </row>
    <row r="815" customFormat="false" ht="12.75" hidden="false" customHeight="false" outlineLevel="0" collapsed="false">
      <c r="A815" s="325"/>
    </row>
    <row r="816" customFormat="false" ht="12.75" hidden="false" customHeight="false" outlineLevel="0" collapsed="false">
      <c r="A816" s="325"/>
    </row>
    <row r="817" customFormat="false" ht="12.75" hidden="false" customHeight="false" outlineLevel="0" collapsed="false">
      <c r="A817" s="325"/>
    </row>
    <row r="818" customFormat="false" ht="12.75" hidden="false" customHeight="false" outlineLevel="0" collapsed="false">
      <c r="A818" s="325"/>
    </row>
    <row r="819" customFormat="false" ht="12.75" hidden="false" customHeight="false" outlineLevel="0" collapsed="false">
      <c r="A819" s="325"/>
    </row>
    <row r="820" customFormat="false" ht="12.75" hidden="false" customHeight="false" outlineLevel="0" collapsed="false">
      <c r="A820" s="325"/>
    </row>
    <row r="821" customFormat="false" ht="12.75" hidden="false" customHeight="false" outlineLevel="0" collapsed="false">
      <c r="A821" s="325"/>
    </row>
    <row r="822" customFormat="false" ht="12.75" hidden="false" customHeight="false" outlineLevel="0" collapsed="false">
      <c r="A822" s="325"/>
    </row>
    <row r="823" customFormat="false" ht="12.75" hidden="false" customHeight="false" outlineLevel="0" collapsed="false">
      <c r="A823" s="325"/>
    </row>
    <row r="824" customFormat="false" ht="12.75" hidden="false" customHeight="false" outlineLevel="0" collapsed="false">
      <c r="A824" s="325"/>
    </row>
    <row r="825" customFormat="false" ht="12.75" hidden="false" customHeight="false" outlineLevel="0" collapsed="false">
      <c r="A825" s="325"/>
    </row>
    <row r="826" customFormat="false" ht="12.75" hidden="false" customHeight="false" outlineLevel="0" collapsed="false">
      <c r="A826" s="325"/>
    </row>
    <row r="827" customFormat="false" ht="12.75" hidden="false" customHeight="false" outlineLevel="0" collapsed="false">
      <c r="A827" s="325"/>
    </row>
    <row r="828" customFormat="false" ht="12.75" hidden="false" customHeight="false" outlineLevel="0" collapsed="false">
      <c r="A828" s="325"/>
    </row>
    <row r="829" customFormat="false" ht="12.75" hidden="false" customHeight="false" outlineLevel="0" collapsed="false">
      <c r="A829" s="325"/>
    </row>
    <row r="830" customFormat="false" ht="12.75" hidden="false" customHeight="false" outlineLevel="0" collapsed="false">
      <c r="A830" s="325"/>
    </row>
    <row r="831" customFormat="false" ht="12.75" hidden="false" customHeight="false" outlineLevel="0" collapsed="false">
      <c r="A831" s="325"/>
    </row>
    <row r="832" customFormat="false" ht="12.75" hidden="false" customHeight="false" outlineLevel="0" collapsed="false">
      <c r="A832" s="325"/>
    </row>
    <row r="833" customFormat="false" ht="12.75" hidden="false" customHeight="false" outlineLevel="0" collapsed="false">
      <c r="A833" s="325"/>
    </row>
    <row r="834" customFormat="false" ht="12.75" hidden="false" customHeight="false" outlineLevel="0" collapsed="false">
      <c r="A834" s="325"/>
    </row>
    <row r="835" customFormat="false" ht="12.75" hidden="false" customHeight="false" outlineLevel="0" collapsed="false">
      <c r="A835" s="325"/>
    </row>
    <row r="836" customFormat="false" ht="12.75" hidden="false" customHeight="false" outlineLevel="0" collapsed="false">
      <c r="A836" s="325"/>
    </row>
    <row r="837" customFormat="false" ht="12.75" hidden="false" customHeight="false" outlineLevel="0" collapsed="false">
      <c r="A837" s="325"/>
    </row>
    <row r="838" customFormat="false" ht="12.75" hidden="false" customHeight="false" outlineLevel="0" collapsed="false">
      <c r="A838" s="325"/>
    </row>
    <row r="839" customFormat="false" ht="12.75" hidden="false" customHeight="false" outlineLevel="0" collapsed="false">
      <c r="A839" s="325"/>
    </row>
    <row r="840" customFormat="false" ht="12.75" hidden="false" customHeight="false" outlineLevel="0" collapsed="false">
      <c r="A840" s="325"/>
    </row>
    <row r="841" customFormat="false" ht="12.75" hidden="false" customHeight="false" outlineLevel="0" collapsed="false">
      <c r="A841" s="325"/>
    </row>
    <row r="842" customFormat="false" ht="12.75" hidden="false" customHeight="false" outlineLevel="0" collapsed="false">
      <c r="A842" s="325"/>
    </row>
    <row r="843" customFormat="false" ht="12.75" hidden="false" customHeight="false" outlineLevel="0" collapsed="false">
      <c r="A843" s="325"/>
    </row>
    <row r="844" customFormat="false" ht="12.75" hidden="false" customHeight="false" outlineLevel="0" collapsed="false">
      <c r="A844" s="325"/>
    </row>
    <row r="845" customFormat="false" ht="12.75" hidden="false" customHeight="false" outlineLevel="0" collapsed="false">
      <c r="A845" s="325"/>
    </row>
    <row r="846" customFormat="false" ht="12.75" hidden="false" customHeight="false" outlineLevel="0" collapsed="false">
      <c r="A846" s="325"/>
    </row>
    <row r="847" customFormat="false" ht="12.75" hidden="false" customHeight="false" outlineLevel="0" collapsed="false">
      <c r="A847" s="325"/>
    </row>
    <row r="848" customFormat="false" ht="12.75" hidden="false" customHeight="false" outlineLevel="0" collapsed="false">
      <c r="A848" s="325"/>
    </row>
    <row r="849" customFormat="false" ht="12.75" hidden="false" customHeight="false" outlineLevel="0" collapsed="false">
      <c r="A849" s="325"/>
    </row>
    <row r="850" customFormat="false" ht="12.75" hidden="false" customHeight="false" outlineLevel="0" collapsed="false">
      <c r="A850" s="325"/>
    </row>
    <row r="851" customFormat="false" ht="12.75" hidden="false" customHeight="false" outlineLevel="0" collapsed="false">
      <c r="A851" s="325"/>
    </row>
    <row r="852" customFormat="false" ht="12.75" hidden="false" customHeight="false" outlineLevel="0" collapsed="false">
      <c r="A852" s="325"/>
    </row>
    <row r="853" customFormat="false" ht="12.75" hidden="false" customHeight="false" outlineLevel="0" collapsed="false">
      <c r="A853" s="325"/>
    </row>
    <row r="854" customFormat="false" ht="12.75" hidden="false" customHeight="false" outlineLevel="0" collapsed="false">
      <c r="A854" s="325"/>
    </row>
    <row r="855" customFormat="false" ht="12.75" hidden="false" customHeight="false" outlineLevel="0" collapsed="false">
      <c r="A855" s="325"/>
    </row>
    <row r="856" customFormat="false" ht="12.75" hidden="false" customHeight="false" outlineLevel="0" collapsed="false">
      <c r="A856" s="325"/>
    </row>
    <row r="857" customFormat="false" ht="12.75" hidden="false" customHeight="false" outlineLevel="0" collapsed="false">
      <c r="A857" s="325"/>
    </row>
    <row r="858" customFormat="false" ht="12.75" hidden="false" customHeight="false" outlineLevel="0" collapsed="false">
      <c r="A858" s="325"/>
    </row>
    <row r="859" customFormat="false" ht="12.75" hidden="false" customHeight="false" outlineLevel="0" collapsed="false">
      <c r="A859" s="325"/>
    </row>
    <row r="860" customFormat="false" ht="12.75" hidden="false" customHeight="false" outlineLevel="0" collapsed="false">
      <c r="A860" s="325"/>
    </row>
    <row r="861" customFormat="false" ht="12.75" hidden="false" customHeight="false" outlineLevel="0" collapsed="false">
      <c r="A861" s="325"/>
    </row>
    <row r="862" customFormat="false" ht="12.75" hidden="false" customHeight="false" outlineLevel="0" collapsed="false">
      <c r="A862" s="325"/>
    </row>
    <row r="863" customFormat="false" ht="12.75" hidden="false" customHeight="false" outlineLevel="0" collapsed="false">
      <c r="A863" s="325"/>
    </row>
    <row r="864" customFormat="false" ht="12.75" hidden="false" customHeight="false" outlineLevel="0" collapsed="false">
      <c r="A864" s="325"/>
    </row>
    <row r="865" customFormat="false" ht="12.75" hidden="false" customHeight="false" outlineLevel="0" collapsed="false">
      <c r="A865" s="325"/>
    </row>
    <row r="866" customFormat="false" ht="12.75" hidden="false" customHeight="false" outlineLevel="0" collapsed="false">
      <c r="A866" s="325"/>
    </row>
    <row r="867" customFormat="false" ht="12.75" hidden="false" customHeight="false" outlineLevel="0" collapsed="false">
      <c r="A867" s="325"/>
    </row>
    <row r="868" customFormat="false" ht="12.75" hidden="false" customHeight="false" outlineLevel="0" collapsed="false">
      <c r="A868" s="325"/>
    </row>
    <row r="869" customFormat="false" ht="12.75" hidden="false" customHeight="false" outlineLevel="0" collapsed="false">
      <c r="A869" s="325"/>
    </row>
    <row r="870" customFormat="false" ht="12.75" hidden="false" customHeight="false" outlineLevel="0" collapsed="false">
      <c r="A870" s="325"/>
    </row>
    <row r="871" customFormat="false" ht="12.75" hidden="false" customHeight="false" outlineLevel="0" collapsed="false">
      <c r="A871" s="325"/>
    </row>
    <row r="872" customFormat="false" ht="12.75" hidden="false" customHeight="false" outlineLevel="0" collapsed="false">
      <c r="A872" s="325"/>
    </row>
    <row r="873" customFormat="false" ht="12.75" hidden="false" customHeight="false" outlineLevel="0" collapsed="false">
      <c r="A873" s="325"/>
    </row>
    <row r="874" customFormat="false" ht="12.75" hidden="false" customHeight="false" outlineLevel="0" collapsed="false">
      <c r="A874" s="325"/>
    </row>
    <row r="875" customFormat="false" ht="12.75" hidden="false" customHeight="false" outlineLevel="0" collapsed="false">
      <c r="A875" s="325"/>
    </row>
    <row r="876" customFormat="false" ht="12.75" hidden="false" customHeight="false" outlineLevel="0" collapsed="false">
      <c r="A876" s="325"/>
    </row>
    <row r="877" customFormat="false" ht="12.75" hidden="false" customHeight="false" outlineLevel="0" collapsed="false">
      <c r="A877" s="325"/>
    </row>
    <row r="878" customFormat="false" ht="12.75" hidden="false" customHeight="false" outlineLevel="0" collapsed="false">
      <c r="A878" s="325"/>
    </row>
    <row r="879" customFormat="false" ht="12.75" hidden="false" customHeight="false" outlineLevel="0" collapsed="false">
      <c r="A879" s="325"/>
    </row>
    <row r="880" customFormat="false" ht="12.75" hidden="false" customHeight="false" outlineLevel="0" collapsed="false">
      <c r="A880" s="325"/>
    </row>
    <row r="881" customFormat="false" ht="12.75" hidden="false" customHeight="false" outlineLevel="0" collapsed="false">
      <c r="A881" s="325"/>
    </row>
    <row r="882" customFormat="false" ht="12.75" hidden="false" customHeight="false" outlineLevel="0" collapsed="false">
      <c r="A882" s="325"/>
    </row>
    <row r="883" customFormat="false" ht="12.75" hidden="false" customHeight="false" outlineLevel="0" collapsed="false">
      <c r="A883" s="325"/>
    </row>
    <row r="884" customFormat="false" ht="12.75" hidden="false" customHeight="false" outlineLevel="0" collapsed="false">
      <c r="A884" s="325"/>
    </row>
    <row r="885" customFormat="false" ht="12.75" hidden="false" customHeight="false" outlineLevel="0" collapsed="false">
      <c r="A885" s="325"/>
    </row>
    <row r="886" customFormat="false" ht="12.75" hidden="false" customHeight="false" outlineLevel="0" collapsed="false">
      <c r="A886" s="325"/>
    </row>
    <row r="887" customFormat="false" ht="12.75" hidden="false" customHeight="false" outlineLevel="0" collapsed="false">
      <c r="A887" s="325"/>
    </row>
    <row r="888" customFormat="false" ht="12.75" hidden="false" customHeight="false" outlineLevel="0" collapsed="false">
      <c r="A888" s="325"/>
    </row>
    <row r="889" customFormat="false" ht="12.75" hidden="false" customHeight="false" outlineLevel="0" collapsed="false">
      <c r="A889" s="325"/>
    </row>
    <row r="890" customFormat="false" ht="12.75" hidden="false" customHeight="false" outlineLevel="0" collapsed="false">
      <c r="A890" s="325"/>
    </row>
    <row r="891" customFormat="false" ht="12.75" hidden="false" customHeight="false" outlineLevel="0" collapsed="false">
      <c r="A891" s="325"/>
    </row>
    <row r="892" customFormat="false" ht="12.75" hidden="false" customHeight="false" outlineLevel="0" collapsed="false">
      <c r="A892" s="325"/>
    </row>
    <row r="893" customFormat="false" ht="12.75" hidden="false" customHeight="false" outlineLevel="0" collapsed="false">
      <c r="A893" s="325"/>
    </row>
    <row r="894" customFormat="false" ht="12.75" hidden="false" customHeight="false" outlineLevel="0" collapsed="false">
      <c r="A894" s="325"/>
    </row>
    <row r="895" customFormat="false" ht="12.75" hidden="false" customHeight="false" outlineLevel="0" collapsed="false">
      <c r="A895" s="325"/>
    </row>
    <row r="896" customFormat="false" ht="12.75" hidden="false" customHeight="false" outlineLevel="0" collapsed="false">
      <c r="A896" s="325"/>
    </row>
    <row r="897" customFormat="false" ht="12.75" hidden="false" customHeight="false" outlineLevel="0" collapsed="false">
      <c r="A897" s="325"/>
    </row>
    <row r="898" customFormat="false" ht="12.75" hidden="false" customHeight="false" outlineLevel="0" collapsed="false">
      <c r="A898" s="325"/>
    </row>
    <row r="899" customFormat="false" ht="12.75" hidden="false" customHeight="false" outlineLevel="0" collapsed="false">
      <c r="A899" s="325"/>
    </row>
    <row r="900" customFormat="false" ht="12.75" hidden="false" customHeight="false" outlineLevel="0" collapsed="false">
      <c r="A900" s="325"/>
    </row>
    <row r="901" customFormat="false" ht="12.75" hidden="false" customHeight="false" outlineLevel="0" collapsed="false">
      <c r="A901" s="325"/>
    </row>
    <row r="902" customFormat="false" ht="12.75" hidden="false" customHeight="false" outlineLevel="0" collapsed="false">
      <c r="A902" s="325"/>
    </row>
    <row r="903" customFormat="false" ht="12.75" hidden="false" customHeight="false" outlineLevel="0" collapsed="false">
      <c r="A903" s="325"/>
    </row>
    <row r="904" customFormat="false" ht="12.75" hidden="false" customHeight="false" outlineLevel="0" collapsed="false">
      <c r="A904" s="325"/>
    </row>
    <row r="905" customFormat="false" ht="12.75" hidden="false" customHeight="false" outlineLevel="0" collapsed="false">
      <c r="A905" s="325"/>
    </row>
    <row r="906" customFormat="false" ht="12.75" hidden="false" customHeight="false" outlineLevel="0" collapsed="false">
      <c r="A906" s="325"/>
    </row>
    <row r="907" customFormat="false" ht="12.75" hidden="false" customHeight="false" outlineLevel="0" collapsed="false">
      <c r="A907" s="325"/>
    </row>
    <row r="908" customFormat="false" ht="12.75" hidden="false" customHeight="false" outlineLevel="0" collapsed="false">
      <c r="A908" s="325"/>
    </row>
    <row r="909" customFormat="false" ht="12.75" hidden="false" customHeight="false" outlineLevel="0" collapsed="false">
      <c r="A909" s="325"/>
    </row>
    <row r="910" customFormat="false" ht="12.75" hidden="false" customHeight="false" outlineLevel="0" collapsed="false">
      <c r="A910" s="325"/>
    </row>
    <row r="911" customFormat="false" ht="12.75" hidden="false" customHeight="false" outlineLevel="0" collapsed="false">
      <c r="A911" s="325"/>
    </row>
    <row r="912" customFormat="false" ht="12.75" hidden="false" customHeight="false" outlineLevel="0" collapsed="false">
      <c r="A912" s="325"/>
    </row>
    <row r="913" customFormat="false" ht="12.75" hidden="false" customHeight="false" outlineLevel="0" collapsed="false">
      <c r="A913" s="325"/>
    </row>
    <row r="914" customFormat="false" ht="12.75" hidden="false" customHeight="false" outlineLevel="0" collapsed="false">
      <c r="A914" s="325"/>
    </row>
    <row r="915" customFormat="false" ht="12.75" hidden="false" customHeight="false" outlineLevel="0" collapsed="false">
      <c r="A915" s="325"/>
    </row>
    <row r="916" customFormat="false" ht="12.75" hidden="false" customHeight="false" outlineLevel="0" collapsed="false">
      <c r="A916" s="325"/>
    </row>
    <row r="917" customFormat="false" ht="12.75" hidden="false" customHeight="false" outlineLevel="0" collapsed="false">
      <c r="A917" s="325"/>
    </row>
    <row r="918" customFormat="false" ht="12.75" hidden="false" customHeight="false" outlineLevel="0" collapsed="false">
      <c r="A918" s="325"/>
    </row>
    <row r="919" customFormat="false" ht="12.75" hidden="false" customHeight="false" outlineLevel="0" collapsed="false">
      <c r="A919" s="325"/>
    </row>
    <row r="920" customFormat="false" ht="12.75" hidden="false" customHeight="false" outlineLevel="0" collapsed="false">
      <c r="A920" s="325"/>
    </row>
    <row r="921" customFormat="false" ht="12.75" hidden="false" customHeight="false" outlineLevel="0" collapsed="false">
      <c r="A921" s="325"/>
    </row>
    <row r="922" customFormat="false" ht="12.75" hidden="false" customHeight="false" outlineLevel="0" collapsed="false">
      <c r="A922" s="325"/>
    </row>
    <row r="923" customFormat="false" ht="12.75" hidden="false" customHeight="false" outlineLevel="0" collapsed="false">
      <c r="A923" s="325"/>
    </row>
    <row r="924" customFormat="false" ht="12.75" hidden="false" customHeight="false" outlineLevel="0" collapsed="false">
      <c r="A924" s="325"/>
    </row>
    <row r="925" customFormat="false" ht="12.75" hidden="false" customHeight="false" outlineLevel="0" collapsed="false">
      <c r="A925" s="325"/>
    </row>
    <row r="926" customFormat="false" ht="12.75" hidden="false" customHeight="false" outlineLevel="0" collapsed="false">
      <c r="A926" s="325"/>
    </row>
    <row r="927" customFormat="false" ht="12.75" hidden="false" customHeight="false" outlineLevel="0" collapsed="false">
      <c r="A927" s="325"/>
    </row>
    <row r="928" customFormat="false" ht="12.75" hidden="false" customHeight="false" outlineLevel="0" collapsed="false">
      <c r="A928" s="325"/>
    </row>
    <row r="929" customFormat="false" ht="12.75" hidden="false" customHeight="false" outlineLevel="0" collapsed="false">
      <c r="A929" s="325"/>
    </row>
    <row r="930" customFormat="false" ht="12.75" hidden="false" customHeight="false" outlineLevel="0" collapsed="false">
      <c r="A930" s="325"/>
    </row>
    <row r="931" customFormat="false" ht="12.75" hidden="false" customHeight="false" outlineLevel="0" collapsed="false">
      <c r="A931" s="325"/>
    </row>
    <row r="932" customFormat="false" ht="12.75" hidden="false" customHeight="false" outlineLevel="0" collapsed="false">
      <c r="A932" s="325"/>
    </row>
    <row r="933" customFormat="false" ht="12.75" hidden="false" customHeight="false" outlineLevel="0" collapsed="false">
      <c r="A933" s="325"/>
    </row>
    <row r="934" customFormat="false" ht="12.75" hidden="false" customHeight="false" outlineLevel="0" collapsed="false">
      <c r="A934" s="325"/>
    </row>
    <row r="935" customFormat="false" ht="12.75" hidden="false" customHeight="false" outlineLevel="0" collapsed="false">
      <c r="A935" s="325"/>
    </row>
    <row r="936" customFormat="false" ht="12.75" hidden="false" customHeight="false" outlineLevel="0" collapsed="false">
      <c r="A936" s="325"/>
    </row>
    <row r="937" customFormat="false" ht="12.75" hidden="false" customHeight="false" outlineLevel="0" collapsed="false">
      <c r="A937" s="325"/>
    </row>
    <row r="938" customFormat="false" ht="12.75" hidden="false" customHeight="false" outlineLevel="0" collapsed="false">
      <c r="A938" s="325"/>
    </row>
    <row r="939" customFormat="false" ht="12.75" hidden="false" customHeight="false" outlineLevel="0" collapsed="false">
      <c r="A939" s="325"/>
    </row>
    <row r="940" customFormat="false" ht="12.75" hidden="false" customHeight="false" outlineLevel="0" collapsed="false">
      <c r="A940" s="325"/>
    </row>
    <row r="941" customFormat="false" ht="12.75" hidden="false" customHeight="false" outlineLevel="0" collapsed="false">
      <c r="A941" s="325"/>
    </row>
    <row r="942" customFormat="false" ht="12.75" hidden="false" customHeight="false" outlineLevel="0" collapsed="false">
      <c r="A942" s="325"/>
    </row>
    <row r="943" customFormat="false" ht="12.75" hidden="false" customHeight="false" outlineLevel="0" collapsed="false">
      <c r="A943" s="325"/>
    </row>
    <row r="944" customFormat="false" ht="12.75" hidden="false" customHeight="false" outlineLevel="0" collapsed="false">
      <c r="A944" s="325"/>
    </row>
    <row r="945" customFormat="false" ht="12.75" hidden="false" customHeight="false" outlineLevel="0" collapsed="false">
      <c r="A945" s="325"/>
    </row>
    <row r="946" customFormat="false" ht="12.75" hidden="false" customHeight="false" outlineLevel="0" collapsed="false">
      <c r="A946" s="325"/>
    </row>
    <row r="947" customFormat="false" ht="12.75" hidden="false" customHeight="false" outlineLevel="0" collapsed="false">
      <c r="A947" s="325"/>
    </row>
    <row r="948" customFormat="false" ht="12.75" hidden="false" customHeight="false" outlineLevel="0" collapsed="false">
      <c r="A948" s="325"/>
    </row>
    <row r="949" customFormat="false" ht="12.75" hidden="false" customHeight="false" outlineLevel="0" collapsed="false">
      <c r="A949" s="325"/>
    </row>
    <row r="950" customFormat="false" ht="12.75" hidden="false" customHeight="false" outlineLevel="0" collapsed="false">
      <c r="A950" s="325"/>
    </row>
    <row r="951" customFormat="false" ht="12.75" hidden="false" customHeight="false" outlineLevel="0" collapsed="false">
      <c r="A951" s="325"/>
    </row>
    <row r="952" customFormat="false" ht="12.75" hidden="false" customHeight="false" outlineLevel="0" collapsed="false">
      <c r="A952" s="325"/>
    </row>
    <row r="953" customFormat="false" ht="12.75" hidden="false" customHeight="false" outlineLevel="0" collapsed="false">
      <c r="A953" s="325"/>
    </row>
    <row r="954" customFormat="false" ht="12.75" hidden="false" customHeight="false" outlineLevel="0" collapsed="false">
      <c r="A954" s="325"/>
    </row>
    <row r="955" customFormat="false" ht="12.75" hidden="false" customHeight="false" outlineLevel="0" collapsed="false">
      <c r="A955" s="325"/>
    </row>
    <row r="956" customFormat="false" ht="12.75" hidden="false" customHeight="false" outlineLevel="0" collapsed="false">
      <c r="A956" s="325"/>
    </row>
    <row r="957" customFormat="false" ht="12.75" hidden="false" customHeight="false" outlineLevel="0" collapsed="false">
      <c r="A957" s="325"/>
    </row>
    <row r="958" customFormat="false" ht="12.75" hidden="false" customHeight="false" outlineLevel="0" collapsed="false">
      <c r="A958" s="325"/>
    </row>
    <row r="959" customFormat="false" ht="12.75" hidden="false" customHeight="false" outlineLevel="0" collapsed="false">
      <c r="A959" s="325"/>
    </row>
    <row r="960" customFormat="false" ht="12.75" hidden="false" customHeight="false" outlineLevel="0" collapsed="false">
      <c r="A960" s="325"/>
    </row>
    <row r="961" customFormat="false" ht="12.75" hidden="false" customHeight="false" outlineLevel="0" collapsed="false">
      <c r="A961" s="325"/>
    </row>
    <row r="962" customFormat="false" ht="12.75" hidden="false" customHeight="false" outlineLevel="0" collapsed="false">
      <c r="A962" s="325"/>
    </row>
    <row r="963" customFormat="false" ht="12.75" hidden="false" customHeight="false" outlineLevel="0" collapsed="false">
      <c r="A963" s="325"/>
    </row>
    <row r="964" customFormat="false" ht="12.75" hidden="false" customHeight="false" outlineLevel="0" collapsed="false">
      <c r="A964" s="325"/>
    </row>
    <row r="965" customFormat="false" ht="12.75" hidden="false" customHeight="false" outlineLevel="0" collapsed="false">
      <c r="A965" s="325"/>
    </row>
    <row r="966" customFormat="false" ht="12.75" hidden="false" customHeight="false" outlineLevel="0" collapsed="false">
      <c r="A966" s="325"/>
    </row>
    <row r="967" customFormat="false" ht="12.75" hidden="false" customHeight="false" outlineLevel="0" collapsed="false">
      <c r="A967" s="325"/>
    </row>
    <row r="968" customFormat="false" ht="12.75" hidden="false" customHeight="false" outlineLevel="0" collapsed="false">
      <c r="A968" s="325"/>
    </row>
    <row r="969" customFormat="false" ht="12.75" hidden="false" customHeight="false" outlineLevel="0" collapsed="false">
      <c r="A969" s="325"/>
    </row>
    <row r="970" customFormat="false" ht="12.75" hidden="false" customHeight="false" outlineLevel="0" collapsed="false">
      <c r="A970" s="325"/>
    </row>
    <row r="971" customFormat="false" ht="12.75" hidden="false" customHeight="false" outlineLevel="0" collapsed="false">
      <c r="A971" s="325"/>
    </row>
    <row r="972" customFormat="false" ht="12.75" hidden="false" customHeight="false" outlineLevel="0" collapsed="false">
      <c r="A972" s="325"/>
    </row>
    <row r="973" customFormat="false" ht="12.75" hidden="false" customHeight="false" outlineLevel="0" collapsed="false">
      <c r="A973" s="325"/>
    </row>
    <row r="974" customFormat="false" ht="12.75" hidden="false" customHeight="false" outlineLevel="0" collapsed="false">
      <c r="A974" s="325"/>
    </row>
    <row r="975" customFormat="false" ht="12.75" hidden="false" customHeight="false" outlineLevel="0" collapsed="false">
      <c r="A975" s="325"/>
    </row>
    <row r="976" customFormat="false" ht="12.75" hidden="false" customHeight="false" outlineLevel="0" collapsed="false">
      <c r="A976" s="325"/>
    </row>
    <row r="977" customFormat="false" ht="12.75" hidden="false" customHeight="false" outlineLevel="0" collapsed="false">
      <c r="A977" s="325"/>
    </row>
    <row r="978" customFormat="false" ht="12.75" hidden="false" customHeight="false" outlineLevel="0" collapsed="false">
      <c r="A978" s="325"/>
    </row>
    <row r="979" customFormat="false" ht="12.75" hidden="false" customHeight="false" outlineLevel="0" collapsed="false">
      <c r="A979" s="325"/>
    </row>
    <row r="980" customFormat="false" ht="12.75" hidden="false" customHeight="false" outlineLevel="0" collapsed="false">
      <c r="A980" s="325"/>
    </row>
    <row r="981" customFormat="false" ht="12.75" hidden="false" customHeight="false" outlineLevel="0" collapsed="false">
      <c r="A981" s="325"/>
    </row>
    <row r="982" customFormat="false" ht="12.75" hidden="false" customHeight="false" outlineLevel="0" collapsed="false">
      <c r="A982" s="325"/>
    </row>
    <row r="983" customFormat="false" ht="12.75" hidden="false" customHeight="false" outlineLevel="0" collapsed="false">
      <c r="A983" s="325"/>
    </row>
    <row r="984" customFormat="false" ht="12.75" hidden="false" customHeight="false" outlineLevel="0" collapsed="false">
      <c r="A984" s="325"/>
    </row>
    <row r="985" customFormat="false" ht="12.75" hidden="false" customHeight="false" outlineLevel="0" collapsed="false">
      <c r="A985" s="325"/>
    </row>
    <row r="986" customFormat="false" ht="12.75" hidden="false" customHeight="false" outlineLevel="0" collapsed="false">
      <c r="A986" s="325"/>
    </row>
    <row r="987" customFormat="false" ht="12.75" hidden="false" customHeight="false" outlineLevel="0" collapsed="false">
      <c r="A987" s="325"/>
    </row>
    <row r="988" customFormat="false" ht="12.75" hidden="false" customHeight="false" outlineLevel="0" collapsed="false">
      <c r="A988" s="325"/>
    </row>
    <row r="989" customFormat="false" ht="12.75" hidden="false" customHeight="false" outlineLevel="0" collapsed="false">
      <c r="A989" s="325"/>
    </row>
    <row r="990" customFormat="false" ht="12.75" hidden="false" customHeight="false" outlineLevel="0" collapsed="false">
      <c r="A990" s="325"/>
    </row>
    <row r="991" customFormat="false" ht="12.75" hidden="false" customHeight="false" outlineLevel="0" collapsed="false">
      <c r="A991" s="325"/>
    </row>
    <row r="992" customFormat="false" ht="12.75" hidden="false" customHeight="false" outlineLevel="0" collapsed="false">
      <c r="A992" s="325"/>
    </row>
    <row r="993" customFormat="false" ht="12.75" hidden="false" customHeight="false" outlineLevel="0" collapsed="false">
      <c r="A993" s="325"/>
    </row>
    <row r="994" customFormat="false" ht="12.75" hidden="false" customHeight="false" outlineLevel="0" collapsed="false">
      <c r="A994" s="325"/>
    </row>
    <row r="995" customFormat="false" ht="12.75" hidden="false" customHeight="false" outlineLevel="0" collapsed="false">
      <c r="A995" s="325"/>
    </row>
    <row r="996" customFormat="false" ht="12.75" hidden="false" customHeight="false" outlineLevel="0" collapsed="false">
      <c r="A996" s="325"/>
    </row>
    <row r="997" customFormat="false" ht="12.75" hidden="false" customHeight="false" outlineLevel="0" collapsed="false">
      <c r="A997" s="325"/>
    </row>
    <row r="998" customFormat="false" ht="12.75" hidden="false" customHeight="false" outlineLevel="0" collapsed="false">
      <c r="A998" s="325"/>
    </row>
    <row r="999" customFormat="false" ht="12.75" hidden="false" customHeight="false" outlineLevel="0" collapsed="false">
      <c r="A999" s="325"/>
    </row>
    <row r="1000" customFormat="false" ht="12.75" hidden="false" customHeight="false" outlineLevel="0" collapsed="false">
      <c r="A1000" s="325"/>
    </row>
    <row r="1001" customFormat="false" ht="12.75" hidden="false" customHeight="false" outlineLevel="0" collapsed="false">
      <c r="A1001" s="325"/>
    </row>
    <row r="1002" customFormat="false" ht="12.75" hidden="false" customHeight="false" outlineLevel="0" collapsed="false">
      <c r="A1002" s="325"/>
    </row>
    <row r="1003" customFormat="false" ht="12.75" hidden="false" customHeight="false" outlineLevel="0" collapsed="false">
      <c r="A1003" s="325"/>
    </row>
    <row r="1004" customFormat="false" ht="12.75" hidden="false" customHeight="false" outlineLevel="0" collapsed="false">
      <c r="A1004" s="325"/>
    </row>
    <row r="1005" customFormat="false" ht="12.75" hidden="false" customHeight="false" outlineLevel="0" collapsed="false">
      <c r="A1005" s="325"/>
    </row>
    <row r="1006" customFormat="false" ht="12.75" hidden="false" customHeight="false" outlineLevel="0" collapsed="false">
      <c r="A1006" s="325"/>
    </row>
    <row r="1007" customFormat="false" ht="12.75" hidden="false" customHeight="false" outlineLevel="0" collapsed="false">
      <c r="A1007" s="325"/>
    </row>
    <row r="1008" customFormat="false" ht="12.75" hidden="false" customHeight="false" outlineLevel="0" collapsed="false">
      <c r="A1008" s="325"/>
    </row>
    <row r="1009" customFormat="false" ht="12.75" hidden="false" customHeight="false" outlineLevel="0" collapsed="false">
      <c r="A1009" s="325"/>
    </row>
    <row r="1010" customFormat="false" ht="12.75" hidden="false" customHeight="false" outlineLevel="0" collapsed="false">
      <c r="A1010" s="325"/>
    </row>
    <row r="1011" customFormat="false" ht="12.75" hidden="false" customHeight="false" outlineLevel="0" collapsed="false">
      <c r="A1011" s="325"/>
    </row>
    <row r="1012" customFormat="false" ht="12.75" hidden="false" customHeight="false" outlineLevel="0" collapsed="false">
      <c r="A1012" s="325"/>
    </row>
    <row r="1013" customFormat="false" ht="12.75" hidden="false" customHeight="false" outlineLevel="0" collapsed="false">
      <c r="A1013" s="325"/>
    </row>
    <row r="1014" customFormat="false" ht="12.75" hidden="false" customHeight="false" outlineLevel="0" collapsed="false">
      <c r="A1014" s="325"/>
    </row>
    <row r="1015" customFormat="false" ht="12.75" hidden="false" customHeight="false" outlineLevel="0" collapsed="false">
      <c r="A1015" s="325"/>
    </row>
    <row r="1016" customFormat="false" ht="12.75" hidden="false" customHeight="false" outlineLevel="0" collapsed="false">
      <c r="A1016" s="325"/>
    </row>
    <row r="1017" customFormat="false" ht="12.75" hidden="false" customHeight="false" outlineLevel="0" collapsed="false">
      <c r="A1017" s="325"/>
    </row>
    <row r="1018" customFormat="false" ht="12.75" hidden="false" customHeight="false" outlineLevel="0" collapsed="false">
      <c r="A1018" s="325"/>
    </row>
    <row r="1019" customFormat="false" ht="12.75" hidden="false" customHeight="false" outlineLevel="0" collapsed="false">
      <c r="A1019" s="325"/>
    </row>
    <row r="1020" customFormat="false" ht="12.75" hidden="false" customHeight="false" outlineLevel="0" collapsed="false">
      <c r="A1020" s="325"/>
    </row>
    <row r="1021" customFormat="false" ht="12.75" hidden="false" customHeight="false" outlineLevel="0" collapsed="false">
      <c r="A1021" s="325"/>
    </row>
    <row r="1022" customFormat="false" ht="12.75" hidden="false" customHeight="false" outlineLevel="0" collapsed="false">
      <c r="A1022" s="325"/>
    </row>
    <row r="1023" customFormat="false" ht="12.75" hidden="false" customHeight="false" outlineLevel="0" collapsed="false">
      <c r="A1023" s="325"/>
    </row>
    <row r="1024" customFormat="false" ht="12.75" hidden="false" customHeight="false" outlineLevel="0" collapsed="false">
      <c r="A1024" s="325"/>
    </row>
    <row r="1025" customFormat="false" ht="12.75" hidden="false" customHeight="false" outlineLevel="0" collapsed="false">
      <c r="A1025" s="325"/>
    </row>
    <row r="1026" customFormat="false" ht="12.75" hidden="false" customHeight="false" outlineLevel="0" collapsed="false">
      <c r="A1026" s="325"/>
    </row>
    <row r="1027" customFormat="false" ht="12.75" hidden="false" customHeight="false" outlineLevel="0" collapsed="false">
      <c r="A1027" s="325"/>
    </row>
    <row r="1028" customFormat="false" ht="12.75" hidden="false" customHeight="false" outlineLevel="0" collapsed="false">
      <c r="A1028" s="325"/>
    </row>
    <row r="1029" customFormat="false" ht="12.75" hidden="false" customHeight="false" outlineLevel="0" collapsed="false">
      <c r="A1029" s="325"/>
    </row>
    <row r="1030" customFormat="false" ht="12.75" hidden="false" customHeight="false" outlineLevel="0" collapsed="false">
      <c r="A1030" s="325"/>
    </row>
    <row r="1031" customFormat="false" ht="12.75" hidden="false" customHeight="false" outlineLevel="0" collapsed="false">
      <c r="A1031" s="325"/>
    </row>
    <row r="1032" customFormat="false" ht="12.75" hidden="false" customHeight="false" outlineLevel="0" collapsed="false">
      <c r="A1032" s="325"/>
    </row>
    <row r="1033" customFormat="false" ht="12.75" hidden="false" customHeight="false" outlineLevel="0" collapsed="false">
      <c r="A1033" s="325"/>
    </row>
    <row r="1034" customFormat="false" ht="12.75" hidden="false" customHeight="false" outlineLevel="0" collapsed="false">
      <c r="A1034" s="325"/>
    </row>
    <row r="1035" customFormat="false" ht="12.75" hidden="false" customHeight="false" outlineLevel="0" collapsed="false">
      <c r="A1035" s="325"/>
    </row>
    <row r="1036" customFormat="false" ht="12.75" hidden="false" customHeight="false" outlineLevel="0" collapsed="false">
      <c r="A1036" s="325"/>
    </row>
    <row r="1037" customFormat="false" ht="12.75" hidden="false" customHeight="false" outlineLevel="0" collapsed="false">
      <c r="A1037" s="325"/>
    </row>
    <row r="1038" customFormat="false" ht="12.75" hidden="false" customHeight="false" outlineLevel="0" collapsed="false">
      <c r="A1038" s="325"/>
    </row>
    <row r="1039" customFormat="false" ht="12.75" hidden="false" customHeight="false" outlineLevel="0" collapsed="false">
      <c r="A1039" s="325"/>
    </row>
    <row r="1040" customFormat="false" ht="12.75" hidden="false" customHeight="false" outlineLevel="0" collapsed="false">
      <c r="A1040" s="325"/>
    </row>
    <row r="1041" customFormat="false" ht="12.75" hidden="false" customHeight="false" outlineLevel="0" collapsed="false">
      <c r="A1041" s="325"/>
    </row>
    <row r="1042" customFormat="false" ht="12.75" hidden="false" customHeight="false" outlineLevel="0" collapsed="false">
      <c r="A1042" s="325"/>
    </row>
    <row r="1043" customFormat="false" ht="12.75" hidden="false" customHeight="false" outlineLevel="0" collapsed="false">
      <c r="A1043" s="325"/>
    </row>
    <row r="1044" customFormat="false" ht="12.75" hidden="false" customHeight="false" outlineLevel="0" collapsed="false">
      <c r="A1044" s="325"/>
    </row>
    <row r="1045" customFormat="false" ht="12.75" hidden="false" customHeight="false" outlineLevel="0" collapsed="false">
      <c r="A1045" s="325"/>
    </row>
    <row r="1046" customFormat="false" ht="12.75" hidden="false" customHeight="false" outlineLevel="0" collapsed="false">
      <c r="A1046" s="325"/>
    </row>
    <row r="1047" customFormat="false" ht="12.75" hidden="false" customHeight="false" outlineLevel="0" collapsed="false">
      <c r="A1047" s="325"/>
    </row>
    <row r="1048" customFormat="false" ht="12.75" hidden="false" customHeight="false" outlineLevel="0" collapsed="false">
      <c r="A1048" s="325"/>
    </row>
    <row r="1049" customFormat="false" ht="12.75" hidden="false" customHeight="false" outlineLevel="0" collapsed="false">
      <c r="A1049" s="325"/>
    </row>
    <row r="1050" customFormat="false" ht="12.75" hidden="false" customHeight="false" outlineLevel="0" collapsed="false">
      <c r="A1050" s="325"/>
    </row>
    <row r="1051" customFormat="false" ht="12.75" hidden="false" customHeight="false" outlineLevel="0" collapsed="false">
      <c r="A1051" s="325"/>
    </row>
    <row r="1052" customFormat="false" ht="12.75" hidden="false" customHeight="false" outlineLevel="0" collapsed="false">
      <c r="A1052" s="325"/>
    </row>
    <row r="1053" customFormat="false" ht="12.75" hidden="false" customHeight="false" outlineLevel="0" collapsed="false">
      <c r="A1053" s="325"/>
    </row>
    <row r="1054" customFormat="false" ht="12.75" hidden="false" customHeight="false" outlineLevel="0" collapsed="false">
      <c r="A1054" s="325"/>
    </row>
    <row r="1055" customFormat="false" ht="12.75" hidden="false" customHeight="false" outlineLevel="0" collapsed="false">
      <c r="A1055" s="325"/>
    </row>
    <row r="1056" customFormat="false" ht="12.75" hidden="false" customHeight="false" outlineLevel="0" collapsed="false">
      <c r="A1056" s="325"/>
    </row>
    <row r="1057" customFormat="false" ht="12.75" hidden="false" customHeight="false" outlineLevel="0" collapsed="false">
      <c r="A1057" s="325"/>
    </row>
    <row r="1058" customFormat="false" ht="12.75" hidden="false" customHeight="false" outlineLevel="0" collapsed="false">
      <c r="A1058" s="325"/>
    </row>
    <row r="1059" customFormat="false" ht="12.75" hidden="false" customHeight="false" outlineLevel="0" collapsed="false">
      <c r="A1059" s="325"/>
    </row>
    <row r="1060" customFormat="false" ht="12.75" hidden="false" customHeight="false" outlineLevel="0" collapsed="false">
      <c r="A1060" s="325"/>
    </row>
    <row r="1061" customFormat="false" ht="12.75" hidden="false" customHeight="false" outlineLevel="0" collapsed="false">
      <c r="A1061" s="325"/>
    </row>
    <row r="1062" customFormat="false" ht="12.75" hidden="false" customHeight="false" outlineLevel="0" collapsed="false">
      <c r="A1062" s="325"/>
    </row>
    <row r="1063" customFormat="false" ht="12.75" hidden="false" customHeight="false" outlineLevel="0" collapsed="false">
      <c r="A1063" s="325"/>
    </row>
    <row r="1064" customFormat="false" ht="12.75" hidden="false" customHeight="false" outlineLevel="0" collapsed="false">
      <c r="A1064" s="325"/>
    </row>
    <row r="1065" customFormat="false" ht="12.75" hidden="false" customHeight="false" outlineLevel="0" collapsed="false">
      <c r="A1065" s="325"/>
    </row>
    <row r="1066" customFormat="false" ht="12.75" hidden="false" customHeight="false" outlineLevel="0" collapsed="false">
      <c r="A1066" s="325"/>
    </row>
    <row r="1067" customFormat="false" ht="12.75" hidden="false" customHeight="false" outlineLevel="0" collapsed="false">
      <c r="A1067" s="325"/>
    </row>
    <row r="1068" customFormat="false" ht="12.75" hidden="false" customHeight="false" outlineLevel="0" collapsed="false">
      <c r="A1068" s="325"/>
    </row>
    <row r="1069" customFormat="false" ht="12.75" hidden="false" customHeight="false" outlineLevel="0" collapsed="false">
      <c r="A1069" s="325"/>
    </row>
    <row r="1070" customFormat="false" ht="12.75" hidden="false" customHeight="false" outlineLevel="0" collapsed="false">
      <c r="A1070" s="325"/>
    </row>
    <row r="1071" customFormat="false" ht="12.75" hidden="false" customHeight="false" outlineLevel="0" collapsed="false">
      <c r="A1071" s="325"/>
    </row>
    <row r="1072" customFormat="false" ht="12.75" hidden="false" customHeight="false" outlineLevel="0" collapsed="false">
      <c r="A1072" s="325"/>
    </row>
    <row r="1073" customFormat="false" ht="12.75" hidden="false" customHeight="false" outlineLevel="0" collapsed="false">
      <c r="A1073" s="325"/>
    </row>
    <row r="1074" customFormat="false" ht="12.75" hidden="false" customHeight="false" outlineLevel="0" collapsed="false">
      <c r="A1074" s="325"/>
    </row>
    <row r="1075" customFormat="false" ht="12.75" hidden="false" customHeight="false" outlineLevel="0" collapsed="false">
      <c r="A1075" s="325"/>
    </row>
    <row r="1076" customFormat="false" ht="12.75" hidden="false" customHeight="false" outlineLevel="0" collapsed="false">
      <c r="A1076" s="325"/>
    </row>
    <row r="1077" customFormat="false" ht="12.75" hidden="false" customHeight="false" outlineLevel="0" collapsed="false">
      <c r="A1077" s="325"/>
    </row>
    <row r="1078" customFormat="false" ht="12.75" hidden="false" customHeight="false" outlineLevel="0" collapsed="false">
      <c r="A1078" s="325"/>
    </row>
    <row r="1079" customFormat="false" ht="12.75" hidden="false" customHeight="false" outlineLevel="0" collapsed="false">
      <c r="A1079" s="325"/>
    </row>
    <row r="1080" customFormat="false" ht="12.75" hidden="false" customHeight="false" outlineLevel="0" collapsed="false">
      <c r="A1080" s="325"/>
    </row>
    <row r="1081" customFormat="false" ht="12.75" hidden="false" customHeight="false" outlineLevel="0" collapsed="false">
      <c r="A1081" s="325"/>
    </row>
    <row r="1082" customFormat="false" ht="12.75" hidden="false" customHeight="false" outlineLevel="0" collapsed="false">
      <c r="A1082" s="325"/>
    </row>
    <row r="1083" customFormat="false" ht="12.75" hidden="false" customHeight="false" outlineLevel="0" collapsed="false">
      <c r="A1083" s="325"/>
    </row>
    <row r="1084" customFormat="false" ht="12.75" hidden="false" customHeight="false" outlineLevel="0" collapsed="false">
      <c r="A1084" s="325"/>
    </row>
    <row r="1085" customFormat="false" ht="12.75" hidden="false" customHeight="false" outlineLevel="0" collapsed="false">
      <c r="A1085" s="325"/>
    </row>
    <row r="1086" customFormat="false" ht="12.75" hidden="false" customHeight="false" outlineLevel="0" collapsed="false">
      <c r="A1086" s="325"/>
    </row>
    <row r="1087" customFormat="false" ht="12.75" hidden="false" customHeight="false" outlineLevel="0" collapsed="false">
      <c r="A1087" s="325"/>
    </row>
    <row r="1088" customFormat="false" ht="12.75" hidden="false" customHeight="false" outlineLevel="0" collapsed="false">
      <c r="A1088" s="325"/>
    </row>
    <row r="1089" customFormat="false" ht="12.75" hidden="false" customHeight="false" outlineLevel="0" collapsed="false">
      <c r="A1089" s="325"/>
    </row>
    <row r="1090" customFormat="false" ht="12.75" hidden="false" customHeight="false" outlineLevel="0" collapsed="false">
      <c r="A1090" s="325"/>
    </row>
    <row r="1091" customFormat="false" ht="12.75" hidden="false" customHeight="false" outlineLevel="0" collapsed="false">
      <c r="A1091" s="325"/>
    </row>
    <row r="1092" customFormat="false" ht="12.75" hidden="false" customHeight="false" outlineLevel="0" collapsed="false">
      <c r="A1092" s="325"/>
    </row>
    <row r="1093" customFormat="false" ht="12.75" hidden="false" customHeight="false" outlineLevel="0" collapsed="false">
      <c r="A1093" s="325"/>
    </row>
    <row r="1094" customFormat="false" ht="12.75" hidden="false" customHeight="false" outlineLevel="0" collapsed="false">
      <c r="A1094" s="325"/>
    </row>
    <row r="1095" customFormat="false" ht="12.75" hidden="false" customHeight="false" outlineLevel="0" collapsed="false">
      <c r="A1095" s="325"/>
    </row>
    <row r="1096" customFormat="false" ht="12.75" hidden="false" customHeight="false" outlineLevel="0" collapsed="false">
      <c r="A1096" s="325"/>
    </row>
    <row r="1097" customFormat="false" ht="12.75" hidden="false" customHeight="false" outlineLevel="0" collapsed="false">
      <c r="A1097" s="325"/>
    </row>
    <row r="1098" customFormat="false" ht="12.75" hidden="false" customHeight="false" outlineLevel="0" collapsed="false">
      <c r="A1098" s="325"/>
    </row>
    <row r="1099" customFormat="false" ht="12.75" hidden="false" customHeight="false" outlineLevel="0" collapsed="false">
      <c r="A1099" s="325"/>
    </row>
    <row r="1100" customFormat="false" ht="12.75" hidden="false" customHeight="false" outlineLevel="0" collapsed="false">
      <c r="A1100" s="325"/>
    </row>
    <row r="1101" customFormat="false" ht="12.75" hidden="false" customHeight="false" outlineLevel="0" collapsed="false">
      <c r="A1101" s="325"/>
    </row>
    <row r="1102" customFormat="false" ht="12.75" hidden="false" customHeight="false" outlineLevel="0" collapsed="false">
      <c r="A1102" s="325"/>
    </row>
    <row r="1103" customFormat="false" ht="12.75" hidden="false" customHeight="false" outlineLevel="0" collapsed="false">
      <c r="A1103" s="325"/>
    </row>
    <row r="1104" customFormat="false" ht="12.75" hidden="false" customHeight="false" outlineLevel="0" collapsed="false">
      <c r="A1104" s="325"/>
    </row>
    <row r="1105" customFormat="false" ht="12.75" hidden="false" customHeight="false" outlineLevel="0" collapsed="false">
      <c r="A1105" s="325"/>
    </row>
    <row r="1106" customFormat="false" ht="12.75" hidden="false" customHeight="false" outlineLevel="0" collapsed="false">
      <c r="A1106" s="325"/>
    </row>
    <row r="1107" customFormat="false" ht="12.75" hidden="false" customHeight="false" outlineLevel="0" collapsed="false">
      <c r="A1107" s="325"/>
    </row>
    <row r="1108" customFormat="false" ht="12.75" hidden="false" customHeight="false" outlineLevel="0" collapsed="false">
      <c r="A1108" s="325"/>
    </row>
    <row r="1109" customFormat="false" ht="12.75" hidden="false" customHeight="false" outlineLevel="0" collapsed="false">
      <c r="A1109" s="325"/>
    </row>
    <row r="1110" customFormat="false" ht="12.75" hidden="false" customHeight="false" outlineLevel="0" collapsed="false">
      <c r="A1110" s="325"/>
    </row>
    <row r="1111" customFormat="false" ht="12.75" hidden="false" customHeight="false" outlineLevel="0" collapsed="false">
      <c r="A1111" s="325"/>
    </row>
    <row r="1112" customFormat="false" ht="12.75" hidden="false" customHeight="false" outlineLevel="0" collapsed="false">
      <c r="A1112" s="325"/>
    </row>
    <row r="1113" customFormat="false" ht="12.75" hidden="false" customHeight="false" outlineLevel="0" collapsed="false">
      <c r="A1113" s="325"/>
    </row>
    <row r="1114" customFormat="false" ht="12.75" hidden="false" customHeight="false" outlineLevel="0" collapsed="false">
      <c r="A1114" s="325"/>
    </row>
    <row r="1115" customFormat="false" ht="12.75" hidden="false" customHeight="false" outlineLevel="0" collapsed="false">
      <c r="A1115" s="325"/>
    </row>
    <row r="1116" customFormat="false" ht="12.75" hidden="false" customHeight="false" outlineLevel="0" collapsed="false">
      <c r="A1116" s="325"/>
    </row>
    <row r="1117" customFormat="false" ht="12.75" hidden="false" customHeight="false" outlineLevel="0" collapsed="false">
      <c r="A1117" s="325"/>
    </row>
    <row r="1118" customFormat="false" ht="12.75" hidden="false" customHeight="false" outlineLevel="0" collapsed="false">
      <c r="A1118" s="325"/>
    </row>
    <row r="1119" customFormat="false" ht="12.75" hidden="false" customHeight="false" outlineLevel="0" collapsed="false">
      <c r="A1119" s="325"/>
    </row>
    <row r="1120" customFormat="false" ht="12.75" hidden="false" customHeight="false" outlineLevel="0" collapsed="false">
      <c r="A1120" s="325"/>
    </row>
    <row r="1121" customFormat="false" ht="12.75" hidden="false" customHeight="false" outlineLevel="0" collapsed="false">
      <c r="A1121" s="325"/>
    </row>
    <row r="1122" customFormat="false" ht="12.75" hidden="false" customHeight="false" outlineLevel="0" collapsed="false">
      <c r="A1122" s="325"/>
    </row>
    <row r="1123" customFormat="false" ht="12.75" hidden="false" customHeight="false" outlineLevel="0" collapsed="false">
      <c r="A1123" s="325"/>
    </row>
    <row r="1124" customFormat="false" ht="12.75" hidden="false" customHeight="false" outlineLevel="0" collapsed="false">
      <c r="A1124" s="325"/>
    </row>
    <row r="1125" customFormat="false" ht="12.75" hidden="false" customHeight="false" outlineLevel="0" collapsed="false">
      <c r="A1125" s="325"/>
    </row>
    <row r="1126" customFormat="false" ht="12.75" hidden="false" customHeight="false" outlineLevel="0" collapsed="false">
      <c r="A1126" s="325"/>
    </row>
    <row r="1127" customFormat="false" ht="12.75" hidden="false" customHeight="false" outlineLevel="0" collapsed="false">
      <c r="A1127" s="325"/>
    </row>
    <row r="1128" customFormat="false" ht="12.75" hidden="false" customHeight="false" outlineLevel="0" collapsed="false">
      <c r="A1128" s="325"/>
    </row>
    <row r="1129" customFormat="false" ht="12.75" hidden="false" customHeight="false" outlineLevel="0" collapsed="false">
      <c r="A1129" s="325"/>
    </row>
    <row r="1130" customFormat="false" ht="12.75" hidden="false" customHeight="false" outlineLevel="0" collapsed="false">
      <c r="A1130" s="325"/>
    </row>
    <row r="1131" customFormat="false" ht="12.75" hidden="false" customHeight="false" outlineLevel="0" collapsed="false">
      <c r="A1131" s="325"/>
    </row>
    <row r="1132" customFormat="false" ht="12.75" hidden="false" customHeight="false" outlineLevel="0" collapsed="false">
      <c r="A1132" s="325"/>
    </row>
    <row r="1133" customFormat="false" ht="12.75" hidden="false" customHeight="false" outlineLevel="0" collapsed="false">
      <c r="A1133" s="325"/>
    </row>
    <row r="1134" customFormat="false" ht="12.75" hidden="false" customHeight="false" outlineLevel="0" collapsed="false">
      <c r="A1134" s="325"/>
    </row>
    <row r="1135" customFormat="false" ht="12.75" hidden="false" customHeight="false" outlineLevel="0" collapsed="false">
      <c r="A1135" s="325"/>
    </row>
    <row r="1136" customFormat="false" ht="12.75" hidden="false" customHeight="false" outlineLevel="0" collapsed="false">
      <c r="A1136" s="325"/>
    </row>
    <row r="1137" customFormat="false" ht="12.75" hidden="false" customHeight="false" outlineLevel="0" collapsed="false">
      <c r="A1137" s="325"/>
    </row>
    <row r="1138" customFormat="false" ht="12.75" hidden="false" customHeight="false" outlineLevel="0" collapsed="false">
      <c r="A1138" s="325"/>
    </row>
    <row r="1139" customFormat="false" ht="12.75" hidden="false" customHeight="false" outlineLevel="0" collapsed="false">
      <c r="A1139" s="325"/>
    </row>
    <row r="1140" customFormat="false" ht="12.75" hidden="false" customHeight="false" outlineLevel="0" collapsed="false">
      <c r="A1140" s="325"/>
    </row>
    <row r="1141" customFormat="false" ht="12.75" hidden="false" customHeight="false" outlineLevel="0" collapsed="false">
      <c r="A1141" s="325"/>
    </row>
    <row r="1142" customFormat="false" ht="12.75" hidden="false" customHeight="false" outlineLevel="0" collapsed="false">
      <c r="A1142" s="325"/>
    </row>
    <row r="1143" customFormat="false" ht="12.75" hidden="false" customHeight="false" outlineLevel="0" collapsed="false">
      <c r="A1143" s="325"/>
    </row>
    <row r="1144" customFormat="false" ht="12.75" hidden="false" customHeight="false" outlineLevel="0" collapsed="false">
      <c r="A1144" s="325"/>
    </row>
    <row r="1145" customFormat="false" ht="12.75" hidden="false" customHeight="false" outlineLevel="0" collapsed="false">
      <c r="A1145" s="325"/>
    </row>
    <row r="1146" customFormat="false" ht="12.75" hidden="false" customHeight="false" outlineLevel="0" collapsed="false">
      <c r="A1146" s="325"/>
    </row>
    <row r="1147" customFormat="false" ht="12.75" hidden="false" customHeight="false" outlineLevel="0" collapsed="false">
      <c r="A1147" s="325"/>
    </row>
    <row r="1148" customFormat="false" ht="12.75" hidden="false" customHeight="false" outlineLevel="0" collapsed="false">
      <c r="A1148" s="325"/>
    </row>
    <row r="1149" customFormat="false" ht="12.75" hidden="false" customHeight="false" outlineLevel="0" collapsed="false">
      <c r="A1149" s="325"/>
    </row>
    <row r="1150" customFormat="false" ht="12.75" hidden="false" customHeight="false" outlineLevel="0" collapsed="false">
      <c r="A1150" s="325"/>
    </row>
    <row r="1151" customFormat="false" ht="12.75" hidden="false" customHeight="false" outlineLevel="0" collapsed="false">
      <c r="A1151" s="325"/>
    </row>
    <row r="1152" customFormat="false" ht="12.75" hidden="false" customHeight="false" outlineLevel="0" collapsed="false">
      <c r="A1152" s="325"/>
    </row>
    <row r="1153" customFormat="false" ht="12.75" hidden="false" customHeight="false" outlineLevel="0" collapsed="false">
      <c r="A1153" s="325"/>
    </row>
    <row r="1154" customFormat="false" ht="12.75" hidden="false" customHeight="false" outlineLevel="0" collapsed="false">
      <c r="A1154" s="325"/>
    </row>
    <row r="1155" customFormat="false" ht="12.75" hidden="false" customHeight="false" outlineLevel="0" collapsed="false">
      <c r="A1155" s="325"/>
    </row>
    <row r="1156" customFormat="false" ht="12.75" hidden="false" customHeight="false" outlineLevel="0" collapsed="false">
      <c r="A1156" s="325"/>
    </row>
    <row r="1157" customFormat="false" ht="12.75" hidden="false" customHeight="false" outlineLevel="0" collapsed="false">
      <c r="A1157" s="325"/>
    </row>
    <row r="1158" customFormat="false" ht="12.75" hidden="false" customHeight="false" outlineLevel="0" collapsed="false">
      <c r="A1158" s="325"/>
    </row>
    <row r="1159" customFormat="false" ht="12.75" hidden="false" customHeight="false" outlineLevel="0" collapsed="false">
      <c r="A1159" s="325"/>
    </row>
    <row r="1160" customFormat="false" ht="12.75" hidden="false" customHeight="false" outlineLevel="0" collapsed="false">
      <c r="A1160" s="325"/>
    </row>
    <row r="1161" customFormat="false" ht="12.75" hidden="false" customHeight="false" outlineLevel="0" collapsed="false">
      <c r="A1161" s="325"/>
    </row>
    <row r="1162" customFormat="false" ht="12.75" hidden="false" customHeight="false" outlineLevel="0" collapsed="false">
      <c r="A1162" s="325"/>
    </row>
    <row r="1163" customFormat="false" ht="12.75" hidden="false" customHeight="false" outlineLevel="0" collapsed="false">
      <c r="A1163" s="325"/>
    </row>
    <row r="1164" customFormat="false" ht="12.75" hidden="false" customHeight="false" outlineLevel="0" collapsed="false">
      <c r="A1164" s="325"/>
    </row>
    <row r="1165" customFormat="false" ht="12.75" hidden="false" customHeight="false" outlineLevel="0" collapsed="false">
      <c r="A1165" s="325"/>
    </row>
    <row r="1166" customFormat="false" ht="12.75" hidden="false" customHeight="false" outlineLevel="0" collapsed="false">
      <c r="A1166" s="325"/>
    </row>
    <row r="1167" customFormat="false" ht="12.75" hidden="false" customHeight="false" outlineLevel="0" collapsed="false">
      <c r="A1167" s="325"/>
    </row>
    <row r="1168" customFormat="false" ht="12.75" hidden="false" customHeight="false" outlineLevel="0" collapsed="false">
      <c r="A1168" s="325"/>
    </row>
    <row r="1169" customFormat="false" ht="12.75" hidden="false" customHeight="false" outlineLevel="0" collapsed="false">
      <c r="A1169" s="325"/>
    </row>
    <row r="1170" customFormat="false" ht="12.75" hidden="false" customHeight="false" outlineLevel="0" collapsed="false">
      <c r="A1170" s="325"/>
    </row>
    <row r="1171" customFormat="false" ht="12.75" hidden="false" customHeight="false" outlineLevel="0" collapsed="false">
      <c r="A1171" s="325"/>
    </row>
    <row r="1172" customFormat="false" ht="12.75" hidden="false" customHeight="false" outlineLevel="0" collapsed="false">
      <c r="A1172" s="325"/>
    </row>
    <row r="1173" customFormat="false" ht="12.75" hidden="false" customHeight="false" outlineLevel="0" collapsed="false">
      <c r="A1173" s="325"/>
    </row>
    <row r="1174" customFormat="false" ht="12.75" hidden="false" customHeight="false" outlineLevel="0" collapsed="false">
      <c r="A1174" s="325"/>
    </row>
    <row r="1175" customFormat="false" ht="12.75" hidden="false" customHeight="false" outlineLevel="0" collapsed="false">
      <c r="A1175" s="325"/>
    </row>
    <row r="1176" customFormat="false" ht="12.75" hidden="false" customHeight="false" outlineLevel="0" collapsed="false">
      <c r="A1176" s="325"/>
    </row>
    <row r="1177" customFormat="false" ht="12.75" hidden="false" customHeight="false" outlineLevel="0" collapsed="false">
      <c r="A1177" s="325"/>
    </row>
    <row r="1178" customFormat="false" ht="12.75" hidden="false" customHeight="false" outlineLevel="0" collapsed="false">
      <c r="A1178" s="325"/>
    </row>
    <row r="1179" customFormat="false" ht="12.75" hidden="false" customHeight="false" outlineLevel="0" collapsed="false">
      <c r="A1179" s="325"/>
    </row>
    <row r="1180" customFormat="false" ht="12.75" hidden="false" customHeight="false" outlineLevel="0" collapsed="false">
      <c r="A1180" s="325"/>
    </row>
    <row r="1181" customFormat="false" ht="12.75" hidden="false" customHeight="false" outlineLevel="0" collapsed="false">
      <c r="A1181" s="325"/>
    </row>
    <row r="1182" customFormat="false" ht="12.75" hidden="false" customHeight="false" outlineLevel="0" collapsed="false">
      <c r="A1182" s="325"/>
    </row>
    <row r="1183" customFormat="false" ht="12.75" hidden="false" customHeight="false" outlineLevel="0" collapsed="false">
      <c r="A1183" s="325"/>
    </row>
    <row r="1184" customFormat="false" ht="12.75" hidden="false" customHeight="false" outlineLevel="0" collapsed="false">
      <c r="A1184" s="325"/>
    </row>
    <row r="1185" customFormat="false" ht="12.75" hidden="false" customHeight="false" outlineLevel="0" collapsed="false">
      <c r="A1185" s="325"/>
    </row>
    <row r="1186" customFormat="false" ht="12.75" hidden="false" customHeight="false" outlineLevel="0" collapsed="false">
      <c r="A1186" s="325"/>
    </row>
    <row r="1187" customFormat="false" ht="12.75" hidden="false" customHeight="false" outlineLevel="0" collapsed="false">
      <c r="A1187" s="325"/>
    </row>
    <row r="1188" customFormat="false" ht="12.75" hidden="false" customHeight="false" outlineLevel="0" collapsed="false">
      <c r="A1188" s="325"/>
    </row>
    <row r="1189" customFormat="false" ht="12.75" hidden="false" customHeight="false" outlineLevel="0" collapsed="false">
      <c r="A1189" s="325"/>
    </row>
    <row r="1190" customFormat="false" ht="12.75" hidden="false" customHeight="false" outlineLevel="0" collapsed="false">
      <c r="A1190" s="325"/>
    </row>
    <row r="1191" customFormat="false" ht="12.75" hidden="false" customHeight="false" outlineLevel="0" collapsed="false">
      <c r="A1191" s="325"/>
    </row>
    <row r="1192" customFormat="false" ht="12.75" hidden="false" customHeight="false" outlineLevel="0" collapsed="false">
      <c r="A1192" s="325"/>
    </row>
    <row r="1193" customFormat="false" ht="12.75" hidden="false" customHeight="false" outlineLevel="0" collapsed="false">
      <c r="A1193" s="325"/>
    </row>
    <row r="1194" customFormat="false" ht="12.75" hidden="false" customHeight="false" outlineLevel="0" collapsed="false">
      <c r="A1194" s="325"/>
    </row>
    <row r="1195" customFormat="false" ht="12.75" hidden="false" customHeight="false" outlineLevel="0" collapsed="false">
      <c r="A1195" s="325"/>
    </row>
    <row r="1196" customFormat="false" ht="12.75" hidden="false" customHeight="false" outlineLevel="0" collapsed="false">
      <c r="A1196" s="325"/>
    </row>
    <row r="1197" customFormat="false" ht="12.75" hidden="false" customHeight="false" outlineLevel="0" collapsed="false">
      <c r="A1197" s="325"/>
    </row>
    <row r="1198" customFormat="false" ht="12.75" hidden="false" customHeight="false" outlineLevel="0" collapsed="false">
      <c r="A1198" s="325"/>
    </row>
    <row r="1199" customFormat="false" ht="12.75" hidden="false" customHeight="false" outlineLevel="0" collapsed="false">
      <c r="A1199" s="325"/>
    </row>
    <row r="1200" customFormat="false" ht="12.75" hidden="false" customHeight="false" outlineLevel="0" collapsed="false">
      <c r="A1200" s="325"/>
    </row>
    <row r="1201" customFormat="false" ht="12.75" hidden="false" customHeight="false" outlineLevel="0" collapsed="false">
      <c r="A1201" s="325"/>
    </row>
    <row r="1202" customFormat="false" ht="12.75" hidden="false" customHeight="false" outlineLevel="0" collapsed="false">
      <c r="A1202" s="325"/>
    </row>
    <row r="1203" customFormat="false" ht="12.75" hidden="false" customHeight="false" outlineLevel="0" collapsed="false">
      <c r="A1203" s="325"/>
    </row>
    <row r="1204" customFormat="false" ht="12.75" hidden="false" customHeight="false" outlineLevel="0" collapsed="false">
      <c r="A1204" s="325"/>
    </row>
    <row r="1205" customFormat="false" ht="12.75" hidden="false" customHeight="false" outlineLevel="0" collapsed="false">
      <c r="A1205" s="325"/>
    </row>
    <row r="1206" customFormat="false" ht="12.75" hidden="false" customHeight="false" outlineLevel="0" collapsed="false">
      <c r="A1206" s="325"/>
    </row>
    <row r="1207" customFormat="false" ht="12.75" hidden="false" customHeight="false" outlineLevel="0" collapsed="false">
      <c r="A1207" s="325"/>
    </row>
    <row r="1208" customFormat="false" ht="12.75" hidden="false" customHeight="false" outlineLevel="0" collapsed="false">
      <c r="A1208" s="325"/>
    </row>
    <row r="1209" customFormat="false" ht="12.75" hidden="false" customHeight="false" outlineLevel="0" collapsed="false">
      <c r="A1209" s="325"/>
    </row>
    <row r="1210" customFormat="false" ht="12.75" hidden="false" customHeight="false" outlineLevel="0" collapsed="false">
      <c r="A1210" s="325"/>
    </row>
    <row r="1211" customFormat="false" ht="12.75" hidden="false" customHeight="false" outlineLevel="0" collapsed="false">
      <c r="A1211" s="325"/>
    </row>
    <row r="1212" customFormat="false" ht="12.75" hidden="false" customHeight="false" outlineLevel="0" collapsed="false">
      <c r="A1212" s="325"/>
    </row>
    <row r="1213" customFormat="false" ht="12.75" hidden="false" customHeight="false" outlineLevel="0" collapsed="false">
      <c r="A1213" s="325"/>
    </row>
    <row r="1214" customFormat="false" ht="12.75" hidden="false" customHeight="false" outlineLevel="0" collapsed="false">
      <c r="A1214" s="325"/>
    </row>
    <row r="1215" customFormat="false" ht="12.75" hidden="false" customHeight="false" outlineLevel="0" collapsed="false">
      <c r="A1215" s="325"/>
    </row>
    <row r="1216" customFormat="false" ht="12.75" hidden="false" customHeight="false" outlineLevel="0" collapsed="false">
      <c r="A1216" s="325"/>
    </row>
    <row r="1217" customFormat="false" ht="12.75" hidden="false" customHeight="false" outlineLevel="0" collapsed="false">
      <c r="A1217" s="325"/>
    </row>
    <row r="1218" customFormat="false" ht="12.75" hidden="false" customHeight="false" outlineLevel="0" collapsed="false">
      <c r="A1218" s="325"/>
    </row>
    <row r="1219" customFormat="false" ht="12.75" hidden="false" customHeight="false" outlineLevel="0" collapsed="false">
      <c r="A1219" s="325"/>
    </row>
    <row r="1220" customFormat="false" ht="12.75" hidden="false" customHeight="false" outlineLevel="0" collapsed="false">
      <c r="A1220" s="325"/>
    </row>
    <row r="1221" customFormat="false" ht="12.75" hidden="false" customHeight="false" outlineLevel="0" collapsed="false">
      <c r="A1221" s="325"/>
    </row>
    <row r="1222" customFormat="false" ht="12.75" hidden="false" customHeight="false" outlineLevel="0" collapsed="false">
      <c r="A1222" s="325"/>
    </row>
    <row r="1223" customFormat="false" ht="12.75" hidden="false" customHeight="false" outlineLevel="0" collapsed="false">
      <c r="A1223" s="325"/>
    </row>
    <row r="1224" customFormat="false" ht="12.75" hidden="false" customHeight="false" outlineLevel="0" collapsed="false">
      <c r="A1224" s="325"/>
    </row>
    <row r="1225" customFormat="false" ht="12.75" hidden="false" customHeight="false" outlineLevel="0" collapsed="false">
      <c r="A1225" s="325"/>
    </row>
    <row r="1226" customFormat="false" ht="12.75" hidden="false" customHeight="false" outlineLevel="0" collapsed="false">
      <c r="A1226" s="325"/>
    </row>
    <row r="1227" customFormat="false" ht="12.75" hidden="false" customHeight="false" outlineLevel="0" collapsed="false">
      <c r="A1227" s="325"/>
    </row>
    <row r="1228" customFormat="false" ht="12.75" hidden="false" customHeight="false" outlineLevel="0" collapsed="false">
      <c r="A1228" s="325"/>
    </row>
    <row r="1229" customFormat="false" ht="12.75" hidden="false" customHeight="false" outlineLevel="0" collapsed="false">
      <c r="A1229" s="325"/>
    </row>
    <row r="1230" customFormat="false" ht="12.75" hidden="false" customHeight="false" outlineLevel="0" collapsed="false">
      <c r="A1230" s="325"/>
    </row>
    <row r="1231" customFormat="false" ht="12.75" hidden="false" customHeight="false" outlineLevel="0" collapsed="false">
      <c r="A1231" s="325"/>
    </row>
    <row r="1232" customFormat="false" ht="12.75" hidden="false" customHeight="false" outlineLevel="0" collapsed="false">
      <c r="A1232" s="325"/>
    </row>
    <row r="1233" customFormat="false" ht="12.75" hidden="false" customHeight="false" outlineLevel="0" collapsed="false">
      <c r="A1233" s="325"/>
    </row>
    <row r="1234" customFormat="false" ht="12.75" hidden="false" customHeight="false" outlineLevel="0" collapsed="false">
      <c r="A1234" s="325"/>
    </row>
    <row r="1235" customFormat="false" ht="12.75" hidden="false" customHeight="false" outlineLevel="0" collapsed="false">
      <c r="A1235" s="325"/>
    </row>
    <row r="1236" customFormat="false" ht="12.75" hidden="false" customHeight="false" outlineLevel="0" collapsed="false">
      <c r="A1236" s="325"/>
    </row>
    <row r="1237" customFormat="false" ht="12.75" hidden="false" customHeight="false" outlineLevel="0" collapsed="false">
      <c r="A1237" s="325"/>
    </row>
    <row r="1238" customFormat="false" ht="12.75" hidden="false" customHeight="false" outlineLevel="0" collapsed="false">
      <c r="A1238" s="325"/>
    </row>
    <row r="1239" customFormat="false" ht="12.75" hidden="false" customHeight="false" outlineLevel="0" collapsed="false">
      <c r="A1239" s="325"/>
    </row>
    <row r="1240" customFormat="false" ht="12.75" hidden="false" customHeight="false" outlineLevel="0" collapsed="false">
      <c r="A1240" s="325"/>
    </row>
    <row r="1241" customFormat="false" ht="12.75" hidden="false" customHeight="false" outlineLevel="0" collapsed="false">
      <c r="A1241" s="325"/>
    </row>
    <row r="1242" customFormat="false" ht="12.75" hidden="false" customHeight="false" outlineLevel="0" collapsed="false">
      <c r="A1242" s="325"/>
    </row>
    <row r="1243" customFormat="false" ht="12.75" hidden="false" customHeight="false" outlineLevel="0" collapsed="false">
      <c r="A1243" s="325"/>
    </row>
    <row r="1244" customFormat="false" ht="12.75" hidden="false" customHeight="false" outlineLevel="0" collapsed="false">
      <c r="A1244" s="325"/>
    </row>
    <row r="1245" customFormat="false" ht="12.75" hidden="false" customHeight="false" outlineLevel="0" collapsed="false">
      <c r="A1245" s="325"/>
    </row>
    <row r="1246" customFormat="false" ht="12.75" hidden="false" customHeight="false" outlineLevel="0" collapsed="false">
      <c r="A1246" s="325"/>
    </row>
    <row r="1247" customFormat="false" ht="12.75" hidden="false" customHeight="false" outlineLevel="0" collapsed="false">
      <c r="A1247" s="325"/>
    </row>
    <row r="1248" customFormat="false" ht="12.75" hidden="false" customHeight="false" outlineLevel="0" collapsed="false">
      <c r="A1248" s="325"/>
    </row>
    <row r="1249" customFormat="false" ht="12.75" hidden="false" customHeight="false" outlineLevel="0" collapsed="false">
      <c r="A1249" s="325"/>
    </row>
    <row r="1250" customFormat="false" ht="12.75" hidden="false" customHeight="false" outlineLevel="0" collapsed="false">
      <c r="A1250" s="325"/>
    </row>
    <row r="1251" customFormat="false" ht="12.75" hidden="false" customHeight="false" outlineLevel="0" collapsed="false">
      <c r="A1251" s="325"/>
    </row>
    <row r="1252" customFormat="false" ht="12.75" hidden="false" customHeight="false" outlineLevel="0" collapsed="false">
      <c r="A1252" s="325"/>
    </row>
    <row r="1253" customFormat="false" ht="12.75" hidden="false" customHeight="false" outlineLevel="0" collapsed="false">
      <c r="A1253" s="325"/>
    </row>
    <row r="1254" customFormat="false" ht="12.75" hidden="false" customHeight="false" outlineLevel="0" collapsed="false">
      <c r="A1254" s="325"/>
    </row>
    <row r="1255" customFormat="false" ht="12.75" hidden="false" customHeight="false" outlineLevel="0" collapsed="false">
      <c r="A1255" s="325"/>
    </row>
    <row r="1256" customFormat="false" ht="12.75" hidden="false" customHeight="false" outlineLevel="0" collapsed="false">
      <c r="A1256" s="325"/>
    </row>
    <row r="1257" customFormat="false" ht="12.75" hidden="false" customHeight="false" outlineLevel="0" collapsed="false">
      <c r="A1257" s="325"/>
    </row>
    <row r="1258" customFormat="false" ht="12.75" hidden="false" customHeight="false" outlineLevel="0" collapsed="false">
      <c r="A1258" s="325"/>
    </row>
    <row r="1259" customFormat="false" ht="12.75" hidden="false" customHeight="false" outlineLevel="0" collapsed="false">
      <c r="A1259" s="325"/>
    </row>
    <row r="1260" customFormat="false" ht="12.75" hidden="false" customHeight="false" outlineLevel="0" collapsed="false">
      <c r="A1260" s="325"/>
    </row>
    <row r="1261" customFormat="false" ht="12.75" hidden="false" customHeight="false" outlineLevel="0" collapsed="false">
      <c r="A1261" s="325"/>
    </row>
    <row r="1262" customFormat="false" ht="12.75" hidden="false" customHeight="false" outlineLevel="0" collapsed="false">
      <c r="A1262" s="325"/>
    </row>
    <row r="1263" customFormat="false" ht="12.75" hidden="false" customHeight="false" outlineLevel="0" collapsed="false">
      <c r="A1263" s="325"/>
    </row>
    <row r="1264" customFormat="false" ht="12.75" hidden="false" customHeight="false" outlineLevel="0" collapsed="false">
      <c r="A1264" s="325"/>
    </row>
    <row r="1265" customFormat="false" ht="12.75" hidden="false" customHeight="false" outlineLevel="0" collapsed="false">
      <c r="A1265" s="325"/>
    </row>
    <row r="1266" customFormat="false" ht="12.75" hidden="false" customHeight="false" outlineLevel="0" collapsed="false">
      <c r="A1266" s="325"/>
    </row>
    <row r="1267" customFormat="false" ht="12.75" hidden="false" customHeight="false" outlineLevel="0" collapsed="false">
      <c r="A1267" s="325"/>
    </row>
    <row r="1268" customFormat="false" ht="12.75" hidden="false" customHeight="false" outlineLevel="0" collapsed="false">
      <c r="A1268" s="325"/>
    </row>
    <row r="1269" customFormat="false" ht="12.75" hidden="false" customHeight="false" outlineLevel="0" collapsed="false">
      <c r="A1269" s="325"/>
    </row>
    <row r="1270" customFormat="false" ht="12.75" hidden="false" customHeight="false" outlineLevel="0" collapsed="false">
      <c r="A1270" s="325"/>
    </row>
    <row r="1271" customFormat="false" ht="12.75" hidden="false" customHeight="false" outlineLevel="0" collapsed="false">
      <c r="A1271" s="325"/>
    </row>
    <row r="1272" customFormat="false" ht="12.75" hidden="false" customHeight="false" outlineLevel="0" collapsed="false">
      <c r="A1272" s="325"/>
    </row>
    <row r="1273" customFormat="false" ht="12.75" hidden="false" customHeight="false" outlineLevel="0" collapsed="false">
      <c r="A1273" s="325"/>
    </row>
    <row r="1274" customFormat="false" ht="12.75" hidden="false" customHeight="false" outlineLevel="0" collapsed="false">
      <c r="A1274" s="325"/>
    </row>
    <row r="1275" customFormat="false" ht="12.75" hidden="false" customHeight="false" outlineLevel="0" collapsed="false">
      <c r="A1275" s="325"/>
    </row>
    <row r="1276" customFormat="false" ht="12.75" hidden="false" customHeight="false" outlineLevel="0" collapsed="false">
      <c r="A1276" s="325"/>
    </row>
    <row r="1277" customFormat="false" ht="12.75" hidden="false" customHeight="false" outlineLevel="0" collapsed="false">
      <c r="A1277" s="325"/>
    </row>
    <row r="1278" customFormat="false" ht="12.75" hidden="false" customHeight="false" outlineLevel="0" collapsed="false">
      <c r="A1278" s="325"/>
    </row>
    <row r="1279" customFormat="false" ht="12.75" hidden="false" customHeight="false" outlineLevel="0" collapsed="false">
      <c r="A1279" s="325"/>
    </row>
    <row r="1280" customFormat="false" ht="12.75" hidden="false" customHeight="false" outlineLevel="0" collapsed="false">
      <c r="A1280" s="325"/>
    </row>
    <row r="1281" customFormat="false" ht="12.75" hidden="false" customHeight="false" outlineLevel="0" collapsed="false">
      <c r="A1281" s="325"/>
    </row>
    <row r="1282" customFormat="false" ht="12.75" hidden="false" customHeight="false" outlineLevel="0" collapsed="false">
      <c r="A1282" s="325"/>
    </row>
    <row r="1283" customFormat="false" ht="12.75" hidden="false" customHeight="false" outlineLevel="0" collapsed="false">
      <c r="A1283" s="325"/>
    </row>
    <row r="1284" customFormat="false" ht="12.75" hidden="false" customHeight="false" outlineLevel="0" collapsed="false">
      <c r="A1284" s="325"/>
    </row>
    <row r="1285" customFormat="false" ht="12.75" hidden="false" customHeight="false" outlineLevel="0" collapsed="false">
      <c r="A1285" s="325"/>
    </row>
    <row r="1286" customFormat="false" ht="12.75" hidden="false" customHeight="false" outlineLevel="0" collapsed="false">
      <c r="A1286" s="325"/>
    </row>
    <row r="1287" customFormat="false" ht="12.75" hidden="false" customHeight="false" outlineLevel="0" collapsed="false">
      <c r="A1287" s="325"/>
    </row>
    <row r="1288" customFormat="false" ht="12.75" hidden="false" customHeight="false" outlineLevel="0" collapsed="false">
      <c r="A1288" s="325"/>
    </row>
    <row r="1289" customFormat="false" ht="12.75" hidden="false" customHeight="false" outlineLevel="0" collapsed="false">
      <c r="A1289" s="325"/>
    </row>
    <row r="1290" customFormat="false" ht="12.75" hidden="false" customHeight="false" outlineLevel="0" collapsed="false">
      <c r="A1290" s="325"/>
    </row>
    <row r="1291" customFormat="false" ht="12.75" hidden="false" customHeight="false" outlineLevel="0" collapsed="false">
      <c r="A1291" s="325"/>
    </row>
    <row r="1292" customFormat="false" ht="12.75" hidden="false" customHeight="false" outlineLevel="0" collapsed="false">
      <c r="A1292" s="325"/>
    </row>
    <row r="1293" customFormat="false" ht="12.75" hidden="false" customHeight="false" outlineLevel="0" collapsed="false">
      <c r="A1293" s="325"/>
    </row>
    <row r="1294" customFormat="false" ht="12.75" hidden="false" customHeight="false" outlineLevel="0" collapsed="false">
      <c r="A1294" s="325"/>
    </row>
    <row r="1295" customFormat="false" ht="12.75" hidden="false" customHeight="false" outlineLevel="0" collapsed="false">
      <c r="A1295" s="325"/>
    </row>
    <row r="1296" customFormat="false" ht="12.75" hidden="false" customHeight="false" outlineLevel="0" collapsed="false">
      <c r="A1296" s="325"/>
    </row>
    <row r="1297" customFormat="false" ht="12.75" hidden="false" customHeight="false" outlineLevel="0" collapsed="false">
      <c r="A1297" s="325"/>
    </row>
    <row r="1298" customFormat="false" ht="12.75" hidden="false" customHeight="false" outlineLevel="0" collapsed="false">
      <c r="A1298" s="325"/>
    </row>
    <row r="1299" customFormat="false" ht="12.75" hidden="false" customHeight="false" outlineLevel="0" collapsed="false">
      <c r="A1299" s="325"/>
    </row>
    <row r="1300" customFormat="false" ht="12.75" hidden="false" customHeight="false" outlineLevel="0" collapsed="false">
      <c r="A1300" s="325"/>
    </row>
    <row r="1301" customFormat="false" ht="12.75" hidden="false" customHeight="false" outlineLevel="0" collapsed="false">
      <c r="A1301" s="325"/>
    </row>
    <row r="1302" customFormat="false" ht="12.75" hidden="false" customHeight="false" outlineLevel="0" collapsed="false">
      <c r="A1302" s="325"/>
    </row>
    <row r="1303" customFormat="false" ht="12.75" hidden="false" customHeight="false" outlineLevel="0" collapsed="false">
      <c r="A1303" s="325"/>
    </row>
    <row r="1304" customFormat="false" ht="12.75" hidden="false" customHeight="false" outlineLevel="0" collapsed="false">
      <c r="A1304" s="325"/>
    </row>
    <row r="1305" customFormat="false" ht="12.75" hidden="false" customHeight="false" outlineLevel="0" collapsed="false">
      <c r="A1305" s="325"/>
    </row>
    <row r="1306" customFormat="false" ht="12.75" hidden="false" customHeight="false" outlineLevel="0" collapsed="false">
      <c r="A1306" s="325"/>
    </row>
    <row r="1307" customFormat="false" ht="12.75" hidden="false" customHeight="false" outlineLevel="0" collapsed="false">
      <c r="A1307" s="325"/>
    </row>
    <row r="1308" customFormat="false" ht="12.75" hidden="false" customHeight="false" outlineLevel="0" collapsed="false">
      <c r="A1308" s="325"/>
    </row>
    <row r="1309" customFormat="false" ht="12.75" hidden="false" customHeight="false" outlineLevel="0" collapsed="false">
      <c r="A1309" s="325"/>
    </row>
    <row r="1310" customFormat="false" ht="12.75" hidden="false" customHeight="false" outlineLevel="0" collapsed="false">
      <c r="A1310" s="325"/>
    </row>
    <row r="1311" customFormat="false" ht="12.75" hidden="false" customHeight="false" outlineLevel="0" collapsed="false">
      <c r="A1311" s="325"/>
    </row>
    <row r="1312" customFormat="false" ht="12.75" hidden="false" customHeight="false" outlineLevel="0" collapsed="false">
      <c r="A1312" s="325"/>
    </row>
    <row r="1313" customFormat="false" ht="12.75" hidden="false" customHeight="false" outlineLevel="0" collapsed="false">
      <c r="A1313" s="325"/>
    </row>
    <row r="1314" customFormat="false" ht="12.75" hidden="false" customHeight="false" outlineLevel="0" collapsed="false">
      <c r="A1314" s="325"/>
    </row>
    <row r="1315" customFormat="false" ht="12.75" hidden="false" customHeight="false" outlineLevel="0" collapsed="false">
      <c r="A1315" s="325"/>
    </row>
    <row r="1316" customFormat="false" ht="12.75" hidden="false" customHeight="false" outlineLevel="0" collapsed="false">
      <c r="A1316" s="325"/>
    </row>
    <row r="1317" customFormat="false" ht="12.75" hidden="false" customHeight="false" outlineLevel="0" collapsed="false">
      <c r="A1317" s="325"/>
    </row>
    <row r="1318" customFormat="false" ht="12.75" hidden="false" customHeight="false" outlineLevel="0" collapsed="false">
      <c r="A1318" s="325"/>
    </row>
    <row r="1319" customFormat="false" ht="12.75" hidden="false" customHeight="false" outlineLevel="0" collapsed="false">
      <c r="A1319" s="325"/>
    </row>
    <row r="1320" customFormat="false" ht="12.75" hidden="false" customHeight="false" outlineLevel="0" collapsed="false">
      <c r="A1320" s="325"/>
    </row>
    <row r="1321" customFormat="false" ht="12.75" hidden="false" customHeight="false" outlineLevel="0" collapsed="false">
      <c r="A1321" s="325"/>
    </row>
    <row r="1322" customFormat="false" ht="12.75" hidden="false" customHeight="false" outlineLevel="0" collapsed="false">
      <c r="A1322" s="325"/>
    </row>
    <row r="1323" customFormat="false" ht="12.75" hidden="false" customHeight="false" outlineLevel="0" collapsed="false">
      <c r="A1323" s="325"/>
    </row>
    <row r="1324" customFormat="false" ht="12.75" hidden="false" customHeight="false" outlineLevel="0" collapsed="false">
      <c r="A1324" s="325"/>
    </row>
    <row r="1325" customFormat="false" ht="12.75" hidden="false" customHeight="false" outlineLevel="0" collapsed="false">
      <c r="A1325" s="325"/>
    </row>
    <row r="1326" customFormat="false" ht="12.75" hidden="false" customHeight="false" outlineLevel="0" collapsed="false">
      <c r="A1326" s="325"/>
    </row>
    <row r="1327" customFormat="false" ht="12.75" hidden="false" customHeight="false" outlineLevel="0" collapsed="false">
      <c r="A1327" s="325"/>
    </row>
    <row r="1328" customFormat="false" ht="12.75" hidden="false" customHeight="false" outlineLevel="0" collapsed="false">
      <c r="A1328" s="325"/>
    </row>
    <row r="1329" customFormat="false" ht="12.75" hidden="false" customHeight="false" outlineLevel="0" collapsed="false">
      <c r="A1329" s="325"/>
    </row>
    <row r="1330" customFormat="false" ht="12.75" hidden="false" customHeight="false" outlineLevel="0" collapsed="false">
      <c r="A1330" s="325"/>
    </row>
    <row r="1331" customFormat="false" ht="12.75" hidden="false" customHeight="false" outlineLevel="0" collapsed="false">
      <c r="A1331" s="325"/>
    </row>
    <row r="1332" customFormat="false" ht="12.75" hidden="false" customHeight="false" outlineLevel="0" collapsed="false">
      <c r="A1332" s="325"/>
    </row>
    <row r="1333" customFormat="false" ht="12.75" hidden="false" customHeight="false" outlineLevel="0" collapsed="false">
      <c r="A1333" s="325"/>
    </row>
    <row r="1334" customFormat="false" ht="12.75" hidden="false" customHeight="false" outlineLevel="0" collapsed="false">
      <c r="A1334" s="325"/>
    </row>
    <row r="1335" customFormat="false" ht="12.75" hidden="false" customHeight="false" outlineLevel="0" collapsed="false">
      <c r="A1335" s="325"/>
    </row>
    <row r="1336" customFormat="false" ht="12.75" hidden="false" customHeight="false" outlineLevel="0" collapsed="false">
      <c r="A1336" s="325"/>
    </row>
    <row r="1337" customFormat="false" ht="12.75" hidden="false" customHeight="false" outlineLevel="0" collapsed="false">
      <c r="A1337" s="325"/>
    </row>
    <row r="1338" customFormat="false" ht="12.75" hidden="false" customHeight="false" outlineLevel="0" collapsed="false">
      <c r="A1338" s="325"/>
    </row>
    <row r="1339" customFormat="false" ht="12.75" hidden="false" customHeight="false" outlineLevel="0" collapsed="false">
      <c r="A1339" s="325"/>
    </row>
    <row r="1340" customFormat="false" ht="12.75" hidden="false" customHeight="false" outlineLevel="0" collapsed="false">
      <c r="A1340" s="325"/>
    </row>
    <row r="1341" customFormat="false" ht="12.75" hidden="false" customHeight="false" outlineLevel="0" collapsed="false">
      <c r="A1341" s="325"/>
    </row>
    <row r="1342" customFormat="false" ht="12.75" hidden="false" customHeight="false" outlineLevel="0" collapsed="false">
      <c r="A1342" s="325"/>
    </row>
    <row r="1343" customFormat="false" ht="12.75" hidden="false" customHeight="false" outlineLevel="0" collapsed="false">
      <c r="A1343" s="325"/>
    </row>
    <row r="1344" customFormat="false" ht="12.75" hidden="false" customHeight="false" outlineLevel="0" collapsed="false">
      <c r="A1344" s="325"/>
    </row>
    <row r="1345" customFormat="false" ht="12.75" hidden="false" customHeight="false" outlineLevel="0" collapsed="false">
      <c r="A1345" s="325"/>
    </row>
    <row r="1346" customFormat="false" ht="12.75" hidden="false" customHeight="false" outlineLevel="0" collapsed="false">
      <c r="A1346" s="325"/>
    </row>
    <row r="1347" customFormat="false" ht="12.75" hidden="false" customHeight="false" outlineLevel="0" collapsed="false">
      <c r="A1347" s="325"/>
    </row>
    <row r="1348" customFormat="false" ht="12.75" hidden="false" customHeight="false" outlineLevel="0" collapsed="false">
      <c r="A1348" s="325"/>
    </row>
    <row r="1349" customFormat="false" ht="12.75" hidden="false" customHeight="false" outlineLevel="0" collapsed="false">
      <c r="A1349" s="325"/>
    </row>
    <row r="1350" customFormat="false" ht="12.75" hidden="false" customHeight="false" outlineLevel="0" collapsed="false">
      <c r="A1350" s="325"/>
    </row>
    <row r="1351" customFormat="false" ht="12.75" hidden="false" customHeight="false" outlineLevel="0" collapsed="false">
      <c r="A1351" s="325"/>
    </row>
    <row r="1352" customFormat="false" ht="12.75" hidden="false" customHeight="false" outlineLevel="0" collapsed="false">
      <c r="A1352" s="325"/>
    </row>
    <row r="1353" customFormat="false" ht="12.75" hidden="false" customHeight="false" outlineLevel="0" collapsed="false">
      <c r="A1353" s="325"/>
    </row>
    <row r="1354" customFormat="false" ht="12.75" hidden="false" customHeight="false" outlineLevel="0" collapsed="false">
      <c r="A1354" s="325"/>
    </row>
    <row r="1355" customFormat="false" ht="12.75" hidden="false" customHeight="false" outlineLevel="0" collapsed="false">
      <c r="A1355" s="325"/>
    </row>
    <row r="1356" customFormat="false" ht="12.75" hidden="false" customHeight="false" outlineLevel="0" collapsed="false">
      <c r="A1356" s="325"/>
    </row>
    <row r="1357" customFormat="false" ht="12.75" hidden="false" customHeight="false" outlineLevel="0" collapsed="false">
      <c r="A1357" s="325"/>
    </row>
    <row r="1358" customFormat="false" ht="12.75" hidden="false" customHeight="false" outlineLevel="0" collapsed="false">
      <c r="A1358" s="325"/>
    </row>
    <row r="1359" customFormat="false" ht="12.75" hidden="false" customHeight="false" outlineLevel="0" collapsed="false">
      <c r="A1359" s="325"/>
    </row>
    <row r="1360" customFormat="false" ht="12.75" hidden="false" customHeight="false" outlineLevel="0" collapsed="false">
      <c r="A1360" s="325"/>
    </row>
    <row r="1361" customFormat="false" ht="12.75" hidden="false" customHeight="false" outlineLevel="0" collapsed="false">
      <c r="A1361" s="325"/>
    </row>
    <row r="1362" customFormat="false" ht="12.75" hidden="false" customHeight="false" outlineLevel="0" collapsed="false">
      <c r="A1362" s="325"/>
    </row>
    <row r="1363" customFormat="false" ht="12.75" hidden="false" customHeight="false" outlineLevel="0" collapsed="false">
      <c r="A1363" s="325"/>
    </row>
    <row r="1364" customFormat="false" ht="12.75" hidden="false" customHeight="false" outlineLevel="0" collapsed="false">
      <c r="A1364" s="325"/>
    </row>
    <row r="1365" customFormat="false" ht="12.75" hidden="false" customHeight="false" outlineLevel="0" collapsed="false">
      <c r="A1365" s="325"/>
    </row>
    <row r="1366" customFormat="false" ht="12.75" hidden="false" customHeight="false" outlineLevel="0" collapsed="false">
      <c r="A1366" s="325"/>
    </row>
    <row r="1367" customFormat="false" ht="12.75" hidden="false" customHeight="false" outlineLevel="0" collapsed="false">
      <c r="A1367" s="325"/>
    </row>
    <row r="1368" customFormat="false" ht="12.75" hidden="false" customHeight="false" outlineLevel="0" collapsed="false">
      <c r="A1368" s="325"/>
    </row>
    <row r="1369" customFormat="false" ht="12.75" hidden="false" customHeight="false" outlineLevel="0" collapsed="false">
      <c r="A1369" s="325"/>
    </row>
    <row r="1370" customFormat="false" ht="12.75" hidden="false" customHeight="false" outlineLevel="0" collapsed="false">
      <c r="A1370" s="325"/>
    </row>
    <row r="1371" customFormat="false" ht="12.75" hidden="false" customHeight="false" outlineLevel="0" collapsed="false">
      <c r="A1371" s="325"/>
    </row>
    <row r="1372" customFormat="false" ht="12.75" hidden="false" customHeight="false" outlineLevel="0" collapsed="false">
      <c r="A1372" s="325"/>
    </row>
    <row r="1373" customFormat="false" ht="12.75" hidden="false" customHeight="false" outlineLevel="0" collapsed="false">
      <c r="A1373" s="325"/>
    </row>
    <row r="1374" customFormat="false" ht="12.75" hidden="false" customHeight="false" outlineLevel="0" collapsed="false">
      <c r="A1374" s="325"/>
    </row>
    <row r="1375" customFormat="false" ht="12.75" hidden="false" customHeight="false" outlineLevel="0" collapsed="false">
      <c r="A1375" s="325"/>
    </row>
    <row r="1376" customFormat="false" ht="12.75" hidden="false" customHeight="false" outlineLevel="0" collapsed="false">
      <c r="A1376" s="325"/>
    </row>
    <row r="1377" customFormat="false" ht="12.75" hidden="false" customHeight="false" outlineLevel="0" collapsed="false">
      <c r="A1377" s="325"/>
    </row>
    <row r="1378" customFormat="false" ht="12.75" hidden="false" customHeight="false" outlineLevel="0" collapsed="false">
      <c r="A1378" s="325"/>
    </row>
    <row r="1379" customFormat="false" ht="12.75" hidden="false" customHeight="false" outlineLevel="0" collapsed="false">
      <c r="A1379" s="325"/>
    </row>
    <row r="1380" customFormat="false" ht="12.75" hidden="false" customHeight="false" outlineLevel="0" collapsed="false">
      <c r="A1380" s="325"/>
    </row>
    <row r="1381" customFormat="false" ht="12.75" hidden="false" customHeight="false" outlineLevel="0" collapsed="false">
      <c r="A1381" s="325"/>
    </row>
    <row r="1382" customFormat="false" ht="12.75" hidden="false" customHeight="false" outlineLevel="0" collapsed="false">
      <c r="A1382" s="325"/>
    </row>
    <row r="1383" customFormat="false" ht="12.75" hidden="false" customHeight="false" outlineLevel="0" collapsed="false">
      <c r="A1383" s="325"/>
    </row>
    <row r="1384" customFormat="false" ht="12.75" hidden="false" customHeight="false" outlineLevel="0" collapsed="false">
      <c r="A1384" s="325"/>
    </row>
    <row r="1385" customFormat="false" ht="12.75" hidden="false" customHeight="false" outlineLevel="0" collapsed="false">
      <c r="A1385" s="325"/>
    </row>
    <row r="1386" customFormat="false" ht="12.75" hidden="false" customHeight="false" outlineLevel="0" collapsed="false">
      <c r="A1386" s="325"/>
    </row>
    <row r="1387" customFormat="false" ht="12.75" hidden="false" customHeight="false" outlineLevel="0" collapsed="false">
      <c r="A1387" s="325"/>
    </row>
    <row r="1388" customFormat="false" ht="12.75" hidden="false" customHeight="false" outlineLevel="0" collapsed="false">
      <c r="A1388" s="325"/>
    </row>
    <row r="1389" customFormat="false" ht="12.75" hidden="false" customHeight="false" outlineLevel="0" collapsed="false">
      <c r="A1389" s="325"/>
    </row>
    <row r="1390" customFormat="false" ht="12.75" hidden="false" customHeight="false" outlineLevel="0" collapsed="false">
      <c r="A1390" s="325"/>
    </row>
    <row r="1391" customFormat="false" ht="12.75" hidden="false" customHeight="false" outlineLevel="0" collapsed="false">
      <c r="A1391" s="325"/>
    </row>
    <row r="1392" customFormat="false" ht="12.75" hidden="false" customHeight="false" outlineLevel="0" collapsed="false">
      <c r="A1392" s="325"/>
    </row>
    <row r="1393" customFormat="false" ht="12.75" hidden="false" customHeight="false" outlineLevel="0" collapsed="false">
      <c r="A1393" s="325"/>
    </row>
    <row r="1394" customFormat="false" ht="12.75" hidden="false" customHeight="false" outlineLevel="0" collapsed="false">
      <c r="A1394" s="325"/>
    </row>
    <row r="1395" customFormat="false" ht="12.75" hidden="false" customHeight="false" outlineLevel="0" collapsed="false">
      <c r="A1395" s="325"/>
    </row>
    <row r="1396" customFormat="false" ht="12.75" hidden="false" customHeight="false" outlineLevel="0" collapsed="false">
      <c r="A1396" s="325"/>
    </row>
    <row r="1397" customFormat="false" ht="12.75" hidden="false" customHeight="false" outlineLevel="0" collapsed="false">
      <c r="A1397" s="325"/>
    </row>
    <row r="1398" customFormat="false" ht="12.75" hidden="false" customHeight="false" outlineLevel="0" collapsed="false">
      <c r="A1398" s="325"/>
    </row>
    <row r="1399" customFormat="false" ht="12.75" hidden="false" customHeight="false" outlineLevel="0" collapsed="false">
      <c r="A1399" s="325"/>
    </row>
    <row r="1400" customFormat="false" ht="12.75" hidden="false" customHeight="false" outlineLevel="0" collapsed="false">
      <c r="A1400" s="325"/>
    </row>
    <row r="1401" customFormat="false" ht="12.75" hidden="false" customHeight="false" outlineLevel="0" collapsed="false">
      <c r="A1401" s="325"/>
    </row>
    <row r="1402" customFormat="false" ht="12.75" hidden="false" customHeight="false" outlineLevel="0" collapsed="false">
      <c r="A1402" s="325"/>
    </row>
    <row r="1403" customFormat="false" ht="12.75" hidden="false" customHeight="false" outlineLevel="0" collapsed="false">
      <c r="A1403" s="325"/>
    </row>
    <row r="1404" customFormat="false" ht="12.75" hidden="false" customHeight="false" outlineLevel="0" collapsed="false">
      <c r="A1404" s="325"/>
    </row>
    <row r="1405" customFormat="false" ht="12.75" hidden="false" customHeight="false" outlineLevel="0" collapsed="false">
      <c r="A1405" s="325"/>
    </row>
    <row r="1406" customFormat="false" ht="12.75" hidden="false" customHeight="false" outlineLevel="0" collapsed="false">
      <c r="A1406" s="325"/>
    </row>
    <row r="1407" customFormat="false" ht="12.75" hidden="false" customHeight="false" outlineLevel="0" collapsed="false">
      <c r="A1407" s="325"/>
    </row>
    <row r="1408" customFormat="false" ht="12.75" hidden="false" customHeight="false" outlineLevel="0" collapsed="false">
      <c r="A1408" s="325"/>
    </row>
    <row r="1409" customFormat="false" ht="12.75" hidden="false" customHeight="false" outlineLevel="0" collapsed="false">
      <c r="A1409" s="325"/>
    </row>
    <row r="1410" customFormat="false" ht="12.75" hidden="false" customHeight="false" outlineLevel="0" collapsed="false">
      <c r="A1410" s="325"/>
    </row>
    <row r="1411" customFormat="false" ht="12.75" hidden="false" customHeight="false" outlineLevel="0" collapsed="false">
      <c r="A1411" s="325"/>
    </row>
    <row r="1412" customFormat="false" ht="12.75" hidden="false" customHeight="false" outlineLevel="0" collapsed="false">
      <c r="A1412" s="325"/>
    </row>
    <row r="1413" customFormat="false" ht="12.75" hidden="false" customHeight="false" outlineLevel="0" collapsed="false">
      <c r="A1413" s="325"/>
    </row>
    <row r="1414" customFormat="false" ht="12.75" hidden="false" customHeight="false" outlineLevel="0" collapsed="false">
      <c r="A1414" s="325"/>
    </row>
    <row r="1415" customFormat="false" ht="12.75" hidden="false" customHeight="false" outlineLevel="0" collapsed="false">
      <c r="A1415" s="325"/>
    </row>
    <row r="1416" customFormat="false" ht="12.75" hidden="false" customHeight="false" outlineLevel="0" collapsed="false">
      <c r="A1416" s="325"/>
    </row>
    <row r="1417" customFormat="false" ht="12.75" hidden="false" customHeight="false" outlineLevel="0" collapsed="false">
      <c r="A1417" s="325"/>
    </row>
    <row r="1418" customFormat="false" ht="12.75" hidden="false" customHeight="false" outlineLevel="0" collapsed="false">
      <c r="A1418" s="325"/>
    </row>
    <row r="1419" customFormat="false" ht="12.75" hidden="false" customHeight="false" outlineLevel="0" collapsed="false">
      <c r="A1419" s="325"/>
    </row>
    <row r="1420" customFormat="false" ht="12.75" hidden="false" customHeight="false" outlineLevel="0" collapsed="false">
      <c r="A1420" s="325"/>
    </row>
    <row r="1421" customFormat="false" ht="12.75" hidden="false" customHeight="false" outlineLevel="0" collapsed="false">
      <c r="A1421" s="325"/>
    </row>
    <row r="1422" customFormat="false" ht="12.75" hidden="false" customHeight="false" outlineLevel="0" collapsed="false">
      <c r="A1422" s="325"/>
    </row>
    <row r="1423" customFormat="false" ht="12.75" hidden="false" customHeight="false" outlineLevel="0" collapsed="false">
      <c r="A1423" s="325"/>
    </row>
    <row r="1424" customFormat="false" ht="12.75" hidden="false" customHeight="false" outlineLevel="0" collapsed="false">
      <c r="A1424" s="325"/>
    </row>
    <row r="1425" customFormat="false" ht="12.75" hidden="false" customHeight="false" outlineLevel="0" collapsed="false">
      <c r="A1425" s="325"/>
    </row>
    <row r="1426" customFormat="false" ht="12.75" hidden="false" customHeight="false" outlineLevel="0" collapsed="false">
      <c r="A1426" s="325"/>
    </row>
    <row r="1427" customFormat="false" ht="12.75" hidden="false" customHeight="false" outlineLevel="0" collapsed="false">
      <c r="A1427" s="325"/>
    </row>
    <row r="1428" customFormat="false" ht="12.75" hidden="false" customHeight="false" outlineLevel="0" collapsed="false">
      <c r="A1428" s="325"/>
    </row>
    <row r="1429" customFormat="false" ht="12.75" hidden="false" customHeight="false" outlineLevel="0" collapsed="false">
      <c r="A1429" s="325"/>
    </row>
    <row r="1430" customFormat="false" ht="12.75" hidden="false" customHeight="false" outlineLevel="0" collapsed="false">
      <c r="A1430" s="325"/>
    </row>
    <row r="1431" customFormat="false" ht="12.75" hidden="false" customHeight="false" outlineLevel="0" collapsed="false">
      <c r="A1431" s="325"/>
    </row>
    <row r="1432" customFormat="false" ht="12.75" hidden="false" customHeight="false" outlineLevel="0" collapsed="false">
      <c r="A1432" s="325"/>
    </row>
    <row r="1433" customFormat="false" ht="12.75" hidden="false" customHeight="false" outlineLevel="0" collapsed="false">
      <c r="A1433" s="325"/>
    </row>
    <row r="1434" customFormat="false" ht="12.75" hidden="false" customHeight="false" outlineLevel="0" collapsed="false">
      <c r="A1434" s="325"/>
    </row>
    <row r="1435" customFormat="false" ht="12.75" hidden="false" customHeight="false" outlineLevel="0" collapsed="false">
      <c r="A1435" s="325"/>
    </row>
    <row r="1436" customFormat="false" ht="12.75" hidden="false" customHeight="false" outlineLevel="0" collapsed="false">
      <c r="A1436" s="325"/>
    </row>
    <row r="1437" customFormat="false" ht="12.75" hidden="false" customHeight="false" outlineLevel="0" collapsed="false">
      <c r="A1437" s="325"/>
    </row>
    <row r="1438" customFormat="false" ht="12.75" hidden="false" customHeight="false" outlineLevel="0" collapsed="false">
      <c r="A1438" s="325"/>
    </row>
    <row r="1439" customFormat="false" ht="12.75" hidden="false" customHeight="false" outlineLevel="0" collapsed="false">
      <c r="A1439" s="325"/>
    </row>
    <row r="1440" customFormat="false" ht="12.75" hidden="false" customHeight="false" outlineLevel="0" collapsed="false">
      <c r="A1440" s="325"/>
    </row>
    <row r="1441" customFormat="false" ht="12.75" hidden="false" customHeight="false" outlineLevel="0" collapsed="false">
      <c r="A1441" s="325"/>
    </row>
    <row r="1442" customFormat="false" ht="12.75" hidden="false" customHeight="false" outlineLevel="0" collapsed="false">
      <c r="A1442" s="325"/>
    </row>
    <row r="1443" customFormat="false" ht="12.75" hidden="false" customHeight="false" outlineLevel="0" collapsed="false">
      <c r="A1443" s="325"/>
    </row>
    <row r="1444" customFormat="false" ht="12.75" hidden="false" customHeight="false" outlineLevel="0" collapsed="false">
      <c r="A1444" s="325"/>
    </row>
    <row r="1445" customFormat="false" ht="12.75" hidden="false" customHeight="false" outlineLevel="0" collapsed="false">
      <c r="A1445" s="325"/>
    </row>
    <row r="1446" customFormat="false" ht="12.75" hidden="false" customHeight="false" outlineLevel="0" collapsed="false">
      <c r="A1446" s="325"/>
    </row>
  </sheetData>
  <mergeCells count="3">
    <mergeCell ref="B4:M4"/>
    <mergeCell ref="O4:Z4"/>
    <mergeCell ref="B6:M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S12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3" topLeftCell="Z4" activePane="bottomRight" state="frozen"/>
      <selection pane="topLeft" activeCell="A1" activeCellId="0" sqref="A1"/>
      <selection pane="topRight" activeCell="Z1" activeCellId="0" sqref="Z1"/>
      <selection pane="bottomLeft" activeCell="A4" activeCellId="0" sqref="A4"/>
      <selection pane="bottomRight" activeCell="AH4" activeCellId="0" sqref="AH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7.14"/>
    <col collapsed="false" customWidth="true" hidden="false" outlineLevel="0" max="2" min="2" style="295" width="4.99"/>
    <col collapsed="false" customWidth="true" hidden="false" outlineLevel="0" max="3" min="3" style="0" width="9.99"/>
    <col collapsed="false" customWidth="true" hidden="false" outlineLevel="0" max="4" min="4" style="0" width="12.42"/>
    <col collapsed="false" customWidth="true" hidden="false" outlineLevel="0" max="5" min="5" style="0" width="9.56"/>
    <col collapsed="false" customWidth="true" hidden="false" outlineLevel="0" max="6" min="6" style="0" width="9.99"/>
    <col collapsed="false" customWidth="true" hidden="false" outlineLevel="0" max="7" min="7" style="0" width="12.42"/>
    <col collapsed="false" customWidth="true" hidden="false" outlineLevel="0" max="8" min="8" style="0" width="9.56"/>
    <col collapsed="false" customWidth="true" hidden="false" outlineLevel="0" max="9" min="9" style="0" width="9.99"/>
    <col collapsed="false" customWidth="true" hidden="false" outlineLevel="0" max="10" min="10" style="0" width="12.42"/>
    <col collapsed="false" customWidth="true" hidden="false" outlineLevel="0" max="11" min="11" style="0" width="9.56"/>
    <col collapsed="false" customWidth="true" hidden="false" outlineLevel="0" max="12" min="12" style="0" width="11.13"/>
    <col collapsed="false" customWidth="true" hidden="false" outlineLevel="0" max="13" min="13" style="0" width="12.42"/>
    <col collapsed="false" customWidth="true" hidden="false" outlineLevel="0" max="14" min="14" style="0" width="9.56"/>
    <col collapsed="false" customWidth="true" hidden="false" outlineLevel="0" max="15" min="15" style="0" width="9.99"/>
    <col collapsed="false" customWidth="true" hidden="false" outlineLevel="0" max="16" min="16" style="0" width="12.42"/>
    <col collapsed="false" customWidth="true" hidden="false" outlineLevel="0" max="17" min="17" style="0" width="9.28"/>
    <col collapsed="false" customWidth="true" hidden="false" outlineLevel="0" max="18" min="18" style="0" width="9.99"/>
    <col collapsed="false" customWidth="true" hidden="false" outlineLevel="0" max="19" min="19" style="0" width="12.42"/>
    <col collapsed="false" customWidth="true" hidden="false" outlineLevel="0" max="20" min="20" style="0" width="9.56"/>
    <col collapsed="false" customWidth="true" hidden="false" outlineLevel="0" max="21" min="21" style="73" width="8.28"/>
    <col collapsed="false" customWidth="true" hidden="false" outlineLevel="0" max="22" min="22" style="73" width="11.99"/>
    <col collapsed="false" customWidth="true" hidden="false" outlineLevel="0" max="24" min="23" style="73" width="12.42"/>
    <col collapsed="false" customWidth="true" hidden="false" outlineLevel="0" max="25" min="25" style="73" width="11.13"/>
    <col collapsed="false" customWidth="true" hidden="false" outlineLevel="0" max="27" min="26" style="73" width="12.42"/>
    <col collapsed="false" customWidth="true" hidden="false" outlineLevel="0" max="28" min="28" style="73" width="11.13"/>
    <col collapsed="false" customWidth="true" hidden="false" outlineLevel="0" max="29" min="29" style="0" width="12.42"/>
    <col collapsed="false" customWidth="true" hidden="false" outlineLevel="0" max="31" min="30" style="0" width="12.28"/>
    <col collapsed="false" customWidth="true" hidden="false" outlineLevel="0" max="33" min="33" style="0" width="9.28"/>
    <col collapsed="false" customWidth="true" hidden="false" outlineLevel="0" max="35" min="35" style="0" width="8.7"/>
    <col collapsed="false" customWidth="true" hidden="false" outlineLevel="0" max="36" min="36" style="0" width="7.99"/>
    <col collapsed="false" customWidth="true" hidden="false" outlineLevel="0" max="39" min="39" style="295" width="9.14"/>
    <col collapsed="false" customWidth="true" hidden="false" outlineLevel="0" max="69" min="69" style="0" width="6.28"/>
    <col collapsed="false" customWidth="true" hidden="false" outlineLevel="0" max="70" min="70" style="0" width="5.56"/>
    <col collapsed="false" customWidth="true" hidden="false" outlineLevel="0" max="71" min="71" style="0" width="7.42"/>
  </cols>
  <sheetData>
    <row r="1" customFormat="false" ht="12.75" hidden="false" customHeight="false" outlineLevel="0" collapsed="false">
      <c r="A1" s="296"/>
      <c r="B1" s="296"/>
      <c r="C1" s="297" t="s">
        <v>1274</v>
      </c>
      <c r="D1" s="297"/>
      <c r="E1" s="297"/>
      <c r="F1" s="297"/>
      <c r="G1" s="297"/>
      <c r="H1" s="297"/>
      <c r="I1" s="297"/>
      <c r="J1" s="297"/>
      <c r="K1" s="297"/>
      <c r="L1" s="298" t="s">
        <v>1275</v>
      </c>
      <c r="M1" s="298"/>
      <c r="N1" s="298"/>
      <c r="O1" s="298"/>
      <c r="P1" s="298"/>
      <c r="Q1" s="298"/>
      <c r="R1" s="298"/>
      <c r="S1" s="298"/>
      <c r="T1" s="298"/>
      <c r="U1" s="299" t="s">
        <v>1276</v>
      </c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300" t="s">
        <v>1277</v>
      </c>
      <c r="AG1" s="300"/>
      <c r="AH1" s="300"/>
      <c r="AI1" s="300"/>
      <c r="AJ1" s="300"/>
      <c r="AK1" s="300"/>
      <c r="AL1" s="300"/>
      <c r="AM1" s="300"/>
      <c r="BQ1" s="301" t="s">
        <v>1278</v>
      </c>
      <c r="BR1" s="301"/>
      <c r="BS1" s="301"/>
    </row>
    <row r="2" customFormat="false" ht="12.75" hidden="false" customHeight="false" outlineLevel="0" collapsed="false">
      <c r="A2" s="302"/>
      <c r="B2" s="303"/>
      <c r="C2" s="304" t="s">
        <v>1279</v>
      </c>
      <c r="D2" s="304" t="s">
        <v>1279</v>
      </c>
      <c r="E2" s="304" t="s">
        <v>1279</v>
      </c>
      <c r="F2" s="304" t="s">
        <v>1280</v>
      </c>
      <c r="G2" s="304" t="s">
        <v>1280</v>
      </c>
      <c r="H2" s="304" t="s">
        <v>1280</v>
      </c>
      <c r="I2" s="304" t="s">
        <v>1281</v>
      </c>
      <c r="J2" s="304" t="s">
        <v>1281</v>
      </c>
      <c r="K2" s="304" t="s">
        <v>1281</v>
      </c>
      <c r="L2" s="305" t="s">
        <v>1279</v>
      </c>
      <c r="M2" s="305" t="s">
        <v>1279</v>
      </c>
      <c r="N2" s="305" t="s">
        <v>1279</v>
      </c>
      <c r="O2" s="305" t="s">
        <v>1280</v>
      </c>
      <c r="P2" s="305" t="s">
        <v>1280</v>
      </c>
      <c r="Q2" s="305" t="s">
        <v>1282</v>
      </c>
      <c r="R2" s="305" t="s">
        <v>1281</v>
      </c>
      <c r="S2" s="305" t="s">
        <v>1281</v>
      </c>
      <c r="T2" s="305" t="s">
        <v>1281</v>
      </c>
      <c r="U2" s="306"/>
      <c r="V2" s="307" t="s">
        <v>1279</v>
      </c>
      <c r="W2" s="307" t="s">
        <v>1279</v>
      </c>
      <c r="X2" s="307" t="s">
        <v>1279</v>
      </c>
      <c r="Y2" s="307" t="s">
        <v>1280</v>
      </c>
      <c r="Z2" s="307" t="s">
        <v>1280</v>
      </c>
      <c r="AA2" s="307" t="s">
        <v>1282</v>
      </c>
      <c r="AB2" s="307" t="s">
        <v>1281</v>
      </c>
      <c r="AC2" s="307" t="s">
        <v>1281</v>
      </c>
      <c r="AD2" s="307" t="s">
        <v>1281</v>
      </c>
      <c r="AE2" s="307" t="s">
        <v>1283</v>
      </c>
      <c r="AF2" s="308" t="s">
        <v>47</v>
      </c>
      <c r="AG2" s="308" t="s">
        <v>47</v>
      </c>
      <c r="AH2" s="308" t="s">
        <v>47</v>
      </c>
      <c r="AI2" s="308" t="s">
        <v>1284</v>
      </c>
      <c r="AJ2" s="308" t="s">
        <v>1284</v>
      </c>
      <c r="AK2" s="308" t="s">
        <v>1284</v>
      </c>
      <c r="AL2" s="308" t="s">
        <v>1285</v>
      </c>
      <c r="AM2" s="309" t="s">
        <v>1286</v>
      </c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Q2" s="311" t="s">
        <v>1287</v>
      </c>
      <c r="BR2" s="311" t="s">
        <v>1280</v>
      </c>
      <c r="BS2" s="312" t="s">
        <v>1281</v>
      </c>
    </row>
    <row r="3" customFormat="false" ht="12.75" hidden="false" customHeight="false" outlineLevel="0" collapsed="false">
      <c r="A3" s="313" t="s">
        <v>1288</v>
      </c>
      <c r="B3" s="314" t="s">
        <v>1289</v>
      </c>
      <c r="C3" s="304" t="s">
        <v>1290</v>
      </c>
      <c r="D3" s="304" t="s">
        <v>1291</v>
      </c>
      <c r="E3" s="304" t="s">
        <v>1292</v>
      </c>
      <c r="F3" s="304" t="s">
        <v>1290</v>
      </c>
      <c r="G3" s="304" t="s">
        <v>1291</v>
      </c>
      <c r="H3" s="304" t="s">
        <v>1292</v>
      </c>
      <c r="I3" s="304" t="s">
        <v>1290</v>
      </c>
      <c r="J3" s="304" t="s">
        <v>1291</v>
      </c>
      <c r="K3" s="304" t="s">
        <v>1292</v>
      </c>
      <c r="L3" s="305" t="s">
        <v>1290</v>
      </c>
      <c r="M3" s="305" t="s">
        <v>1291</v>
      </c>
      <c r="N3" s="305" t="s">
        <v>1292</v>
      </c>
      <c r="O3" s="305" t="s">
        <v>1290</v>
      </c>
      <c r="P3" s="305" t="s">
        <v>1291</v>
      </c>
      <c r="Q3" s="305" t="s">
        <v>1292</v>
      </c>
      <c r="R3" s="305" t="s">
        <v>1290</v>
      </c>
      <c r="S3" s="305" t="s">
        <v>1291</v>
      </c>
      <c r="T3" s="305" t="s">
        <v>1292</v>
      </c>
      <c r="U3" s="307" t="s">
        <v>1293</v>
      </c>
      <c r="V3" s="307" t="s">
        <v>1290</v>
      </c>
      <c r="W3" s="307" t="s">
        <v>1291</v>
      </c>
      <c r="X3" s="307" t="s">
        <v>1292</v>
      </c>
      <c r="Y3" s="307" t="s">
        <v>1290</v>
      </c>
      <c r="Z3" s="307" t="s">
        <v>1291</v>
      </c>
      <c r="AA3" s="307" t="s">
        <v>1292</v>
      </c>
      <c r="AB3" s="307" t="s">
        <v>1290</v>
      </c>
      <c r="AC3" s="307" t="s">
        <v>1291</v>
      </c>
      <c r="AD3" s="307" t="s">
        <v>1292</v>
      </c>
      <c r="AE3" s="307" t="s">
        <v>1294</v>
      </c>
      <c r="AF3" s="308" t="s">
        <v>1295</v>
      </c>
      <c r="AG3" s="308" t="s">
        <v>1296</v>
      </c>
      <c r="AH3" s="308" t="s">
        <v>1297</v>
      </c>
      <c r="AI3" s="308" t="s">
        <v>1295</v>
      </c>
      <c r="AJ3" s="308" t="s">
        <v>1298</v>
      </c>
      <c r="AK3" s="308" t="s">
        <v>1297</v>
      </c>
      <c r="AL3" s="308" t="s">
        <v>1299</v>
      </c>
      <c r="AM3" s="309" t="s">
        <v>65</v>
      </c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Q3" s="311" t="s">
        <v>1300</v>
      </c>
      <c r="BR3" s="311" t="s">
        <v>1300</v>
      </c>
      <c r="BS3" s="312" t="s">
        <v>1301</v>
      </c>
    </row>
    <row r="4" customFormat="false" ht="12.75" hidden="false" customHeight="false" outlineLevel="0" collapsed="false">
      <c r="A4" s="315" t="n">
        <f aca="false">Inputs!Q4</f>
        <v>37257</v>
      </c>
      <c r="B4" s="316" t="n">
        <f aca="false">IF(A4="N/A"," ",YEAR(A4))</f>
        <v>2002</v>
      </c>
      <c r="C4" s="317" t="n">
        <f aca="false">IF($A4="N/A"," ",IF(Dayrun3=10,0,IF(Scaler3=1,(VLOOKUP(A4,ScaledPrice3,4)),(VLOOKUP(A4,ScaledPrice3,2)))))</f>
        <v>32.4166677565802</v>
      </c>
      <c r="D4" s="317" t="n">
        <f aca="false">IF(A4="N/A"," ",IF(Dayrun3&gt;=7,0,IF(Scaler3=2,VLOOKUP(A4,ScaledPrice3,2),(VLOOKUP(A4,ScaledPrice3,2))*(2-(VLOOKUP(A4,ScaledPrice3,3))))))</f>
        <v>32.4166677565802</v>
      </c>
      <c r="E4" s="317" t="n">
        <f aca="false">IF($A4="N/A"," ",IF(AND(Dayrun3&gt;=4,Dayrun3&lt;=9),0,VLOOKUP($A4,ScaledPrice3,9)))</f>
        <v>0</v>
      </c>
      <c r="F4" s="317" t="n">
        <f aca="false">IF(A4="N/A"," ",IF(OR(Dayrun3=2,Dayrun3=3,Dayrun3=5,Dayrun3=6,Dayrun3=8,Dayrun3=9),VLOOKUP(A4,ScaledPrice3,IF(Scaler3=1,6,5)),0))</f>
        <v>29.320001373291</v>
      </c>
      <c r="G4" s="317" t="n">
        <f aca="false">IF(A4="N/A"," ",IF(OR(Dayrun3=2,Dayrun3=3,Dayrun3=5,Dayrun3=6),IF(Scaler3=2,F4,(VLOOKUP(A4,ScaledPrice3,5))*(2-(VLOOKUP(A4,ScaledPrice3,3)))),0))</f>
        <v>29.320001373291</v>
      </c>
      <c r="H4" s="317" t="n">
        <f aca="false">IF($A4="N/A"," ",IF(OR(Dayrun3=2,Dayrun3=3,Dayrun3=10),VLOOKUP($A4,ScaledPrice3,9),0))</f>
        <v>0</v>
      </c>
      <c r="I4" s="317" t="n">
        <f aca="false">IF(A4="N/A"," ",IF(OR(Dayrun3=3,Dayrun3=6,Dayrun3=9),(VLOOKUP(A4,ScaledPrice3,IF(Scaler3=2,7,8))),0))</f>
        <v>19.820001373291</v>
      </c>
      <c r="J4" s="317" t="n">
        <f aca="false">IF(A4="N/A"," ",IF(OR(Dayrun3=3,Dayrun3=6),IF(Scaler3=2,I4,(VLOOKUP(A4,ScaledPrice3,7))*(2-(VLOOKUP(A4,ScaledPrice3,3)))),0))</f>
        <v>19.820001373291</v>
      </c>
      <c r="K4" s="317" t="n">
        <f aca="false">IF($A4="N/A"," ",IF(OR(Dayrun3=3,Dayrun3=10),VLOOKUP($A4,ScaledPrice3,9),0))</f>
        <v>0</v>
      </c>
      <c r="L4" s="318" t="n">
        <f aca="false">IF($A4="N/A"," ",IF(Pricetype3=2,MAX(C4,0),IF(OR(Pricetype3=1,Pricetype3=4),IF(C4=0,0,(EURO(C4,Strikeprice3,0,0,($AH4+IF(Smile=TRUE(),VLOOKUP(MAX(-5,Strikeprice3-C4),Volsmile,2),0)),($A4-DateToday)+15,IF(Pricetype3=1,1,0),0))),C4)))</f>
        <v>32.4166677565802</v>
      </c>
      <c r="M4" s="318" t="n">
        <f aca="false">IF($A4="N/A"," ",IF(Pricetype3=2,MAX(D4,0),IF(OR(Pricetype3=1,Pricetype3=4),IF(D4=0,0,(EURO(D4,Strikeprice3,0,0,($AH4+IF(Smile=TRUE(),VLOOKUP(MAX(-5,Strikeprice3-D4),Volsmile,2),0)),($A4-DateToday)+15,IF(Pricetype3=1,1,0),0))),D4)))</f>
        <v>32.4166677565802</v>
      </c>
      <c r="N4" s="318" t="n">
        <f aca="false">IF($A4="N/A"," ",IF(Pricetype3=2,MAX(E4,0),IF(OR(Pricetype3=1,Pricetype3=4),IF(E4=0,0,(EURO(E4,Strikeprice3,0,0,($AK4+IF(Smile=TRUE(),VLOOKUP(MAX(-5,Strikeprice3-E4),Volsmile,2),0)),($A4-DateToday)+15,IF(Pricetype3=1,1,0),0))),E4)))</f>
        <v>0</v>
      </c>
      <c r="O4" s="318" t="n">
        <f aca="false">IF($A4="N/A"," ",IF(Pricetype3=2,MAX(F4,0),IF(OR(Pricetype3=1,Pricetype3=4),IF(F4=0,0,(EURO(F4,Strikeprice3,0,0,($AK4+IF(Smile=TRUE(),VLOOKUP(MAX(-5,Strikeprice3-F4),Volsmile,2),0)),($A4-DateToday)+15,IF(Pricetype3=1,1,0),0))),F4)))</f>
        <v>29.320001373291</v>
      </c>
      <c r="P4" s="318" t="n">
        <f aca="false">IF($A4="N/A"," ",IF(Pricetype3=2,MAX(G4,0),IF(OR(Pricetype3=1,Pricetype3=4),IF(G4=0,0,(EURO(G4,Strikeprice3,0,0,($AK4+IF(Smile=TRUE(),VLOOKUP(MAX(-5,Strikeprice3-G4),Volsmile,2),0)),($A4-DateToday)+15,IF(Pricetype3=1,1,0),0))),G4)))</f>
        <v>29.320001373291</v>
      </c>
      <c r="Q4" s="318" t="n">
        <f aca="false">IF($A4="N/A"," ",IF(Pricetype3=2,MAX(H4,0),IF(OR(Pricetype3=1,Pricetype3=4),IF(H4=0,0,(EURO(H4,Strikeprice3,0,0,($AK4+IF(Smile=TRUE(),VLOOKUP(MAX(-5,Strikeprice3-H4),Volsmile,2),0)),($A4-DateToday)+15,IF(Pricetype3=1,1,0),0))),H4)))</f>
        <v>0</v>
      </c>
      <c r="R4" s="318" t="n">
        <f aca="false">IF($A4="N/A"," ",IF(Pricetype3=2,MAX(I4,0),IF(OR(Pricetype3=1,Pricetype3=4),IF(I4=0,0,(EURO(I4,Strikeprice3,0,0,($AK4+IF(Smile=TRUE(),VLOOKUP(MAX(-5,Strikeprice3-I4),Volsmile,2),0)),($A4-DateToday)+15,IF(Pricetype3=1,1,0),0))),I4)))</f>
        <v>19.820001373291</v>
      </c>
      <c r="S4" s="318" t="n">
        <f aca="false">IF($A4="N/A"," ",IF(Pricetype3=2,MAX(J4,0),IF(OR(Pricetype3=1,Pricetype3=4),IF(J4=0,0,(EURO(J4,Strikeprice3,0,0,($AK4+IF(Smile=TRUE(),VLOOKUP(MAX(-5,Strikeprice3-J4),Volsmile,2),0)),($A4-DateToday)+15,IF(Pricetype3=1,1,0),0))),J4)))</f>
        <v>19.820001373291</v>
      </c>
      <c r="T4" s="318" t="n">
        <f aca="false">IF($A4="N/A"," ",IF(Pricetype3=2,MAX(K4,0),IF(OR(Pricetype3=1,Pricetype3=4),IF(K4=0,0,(EURO(K4,Strikeprice3,0,0,($AK4+IF(Smile=TRUE(),VLOOKUP(MAX(-5,Strikeprice3-K4),Volsmile,2),0)),($A4-DateToday)+15,IF(Pricetype3=1,1,0),0))),K4)))</f>
        <v>0</v>
      </c>
      <c r="U4" s="319" t="e">
        <f aca="false">IF($A4="N/A"," ",Volume3*$AM4)</f>
        <v>#N/A</v>
      </c>
      <c r="V4" s="320" t="e">
        <f aca="false">IF($A4="N/A"," ",$U4*(8*($BQ4))*L4)</f>
        <v>#N/A</v>
      </c>
      <c r="W4" s="320" t="e">
        <f aca="false">IF($A4="N/A"," ",$U4*(8*($BQ4))*M4)</f>
        <v>#N/A</v>
      </c>
      <c r="X4" s="320" t="e">
        <f aca="false">IF($A4="N/A"," ",$U4*(8*($BQ4))*N4)</f>
        <v>#N/A</v>
      </c>
      <c r="Y4" s="320" t="e">
        <f aca="false">IF($A4="N/A"," ",$U4*(8*($BR4))*O4)</f>
        <v>#N/A</v>
      </c>
      <c r="Z4" s="320" t="e">
        <f aca="false">IF($A4="N/A"," ",$U4*(8*($BR4))*P4)</f>
        <v>#N/A</v>
      </c>
      <c r="AA4" s="320" t="e">
        <f aca="false">IF($A4="N/A"," ",$U4*(8*($BR4))*Q4)</f>
        <v>#N/A</v>
      </c>
      <c r="AB4" s="320" t="e">
        <f aca="false">IF($A4="N/A"," ",$U4*(8*($BS4))*R4)</f>
        <v>#N/A</v>
      </c>
      <c r="AC4" s="320" t="e">
        <f aca="false">IF($A4="N/A"," ",$U4*(8*($BS4))*S4)</f>
        <v>#N/A</v>
      </c>
      <c r="AD4" s="320" t="e">
        <f aca="false">IF($A4="N/A"," ",$U4*(8*($BS4))*T4)</f>
        <v>#N/A</v>
      </c>
      <c r="AE4" s="320" t="e">
        <f aca="false">IF($A4="N/A"," ",SUM(V4:AD4))</f>
        <v>#N/A</v>
      </c>
      <c r="AF4" s="321" t="n">
        <f aca="false">IF($A4="N/A"," ",(VLOOKUP($A4,PowerVolTable,(IF(VolBMO3=2,7,IF(VolBMO3=1,6,8))),FALSE())))</f>
        <v>0.28</v>
      </c>
      <c r="AG4" s="321" t="n">
        <f aca="false">IF($A4="N/A"," ",(VLOOKUP($A4,IntraPowerVol,(IF(VolBMO3=2,3,IF(VolBMO3=1,2,4))),FALSE())*VLOOKUP(MONTH($A4),Volscale,2)))</f>
        <v>0.6</v>
      </c>
      <c r="AH4" s="321" t="n">
        <f aca="false">IF($A4="N/A"," ",IF(VolType3=1,AG4,AF4))</f>
        <v>0.6</v>
      </c>
      <c r="AI4" s="321" t="n">
        <f aca="false">IF($A4="N/A"," ",(VLOOKUP($A4,OffPwrVolTable,(IF(VolBMO3=2,7,IF(VolBMO3=1,6,8))),FALSE())))</f>
        <v>0.14</v>
      </c>
      <c r="AJ4" s="321" t="n">
        <f aca="false">IF($A4="N/A"," ",(VLOOKUP($A4,OffPwrVolTable,(IF(VolBMO3=2,3,IF(VolBMO3=1,2,4))),FALSE())*VLOOKUP(MONTH($A4),Volscale,2)))</f>
        <v>0.36</v>
      </c>
      <c r="AK4" s="321" t="n">
        <f aca="false">IF($A4="N/A"," ",IF(VolType3=1,AJ4,AI4))</f>
        <v>0.36</v>
      </c>
      <c r="AL4" s="321" t="e">
        <f aca="false">IF($A4="N/A"," ",IF(PV=1,0,'Pricing Inputs3'!R37))</f>
        <v>#N/A</v>
      </c>
      <c r="AM4" s="322" t="e">
        <f aca="false">IF($A4="N/A"," ",(1+AL4/2)^(-2*((EOMONTH(A4,0)+20)-DateToday)/365.25))</f>
        <v>#N/A</v>
      </c>
      <c r="BQ4" s="0" t="n">
        <f aca="false">IF($A4="N/A"," ",(VLOOKUP($A4,NumberofDaysTable,2)))</f>
        <v>22</v>
      </c>
      <c r="BR4" s="0" t="n">
        <f aca="false">IF($A4="N/A"," ",(VLOOKUP($A4,NumberofDaysTable,3)))</f>
        <v>4</v>
      </c>
      <c r="BS4" s="0" t="n">
        <f aca="false">IF($A4="N/A"," ",(VLOOKUP($A4,NumberofDaysTable,4)))</f>
        <v>5</v>
      </c>
    </row>
    <row r="5" customFormat="false" ht="12.75" hidden="false" customHeight="false" outlineLevel="0" collapsed="false">
      <c r="A5" s="315" t="n">
        <f aca="false">IF(A4="N/A","N/A",IF(EDATE(A4,1)&gt;Inputs!$Q$5,"N/A",EDATE(A4,1)))</f>
        <v>37288</v>
      </c>
      <c r="B5" s="316" t="n">
        <f aca="false">IF(A5="N/A"," ",YEAR(A5))</f>
        <v>2002</v>
      </c>
      <c r="C5" s="317" t="n">
        <f aca="false">IF($A5="N/A"," ",IF(Dayrun3=10,0,IF(Scaler3=1,(VLOOKUP(A5,ScaledPrice3,4)),(VLOOKUP(A5,ScaledPrice3,2)))))</f>
        <v>32.0666654677618</v>
      </c>
      <c r="D5" s="317" t="n">
        <f aca="false">IF(A5="N/A"," ",IF(Dayrun3&gt;=7,0,IF(Scaler3=2,VLOOKUP(A5,ScaledPrice3,2),(VLOOKUP(A5,ScaledPrice3,2))*(2-(VLOOKUP(A5,ScaledPrice3,3))))))</f>
        <v>32.0666654677618</v>
      </c>
      <c r="E5" s="317" t="n">
        <f aca="false">IF($A5="N/A"," ",IF(AND(Dayrun3&gt;=4,Dayrun3&lt;=9),0,VLOOKUP($A5,ScaledPrice3,9)))</f>
        <v>0</v>
      </c>
      <c r="F5" s="317" t="n">
        <f aca="false">IF(A5="N/A"," ",IF(OR(Dayrun3=2,Dayrun3=3,Dayrun3=5,Dayrun3=6,Dayrun3=8,Dayrun3=9),VLOOKUP(A5,ScaledPrice3,IF(Scaler3=1,6,5)),0))</f>
        <v>26.9160012817383</v>
      </c>
      <c r="G5" s="317" t="n">
        <f aca="false">IF(A5="N/A"," ",IF(OR(Dayrun3=2,Dayrun3=3,Dayrun3=5,Dayrun3=6),IF(Scaler3=2,F5,(VLOOKUP(A5,ScaledPrice3,5))*(2-(VLOOKUP(A5,ScaledPrice3,3)))),0))</f>
        <v>26.9160012817383</v>
      </c>
      <c r="H5" s="317" t="n">
        <f aca="false">IF($A5="N/A"," ",IF(OR(Dayrun3=2,Dayrun3=3,Dayrun3=10),VLOOKUP($A5,ScaledPrice3,9),0))</f>
        <v>0</v>
      </c>
      <c r="I5" s="317" t="n">
        <f aca="false">IF(A5="N/A"," ",IF(OR(Dayrun3=3,Dayrun3=6,Dayrun3=9),(VLOOKUP(A5,ScaledPrice3,IF(Scaler3=2,7,8))),0))</f>
        <v>18.4165010070801</v>
      </c>
      <c r="J5" s="317" t="n">
        <f aca="false">IF(A5="N/A"," ",IF(OR(Dayrun3=3,Dayrun3=6),IF(Scaler3=2,I5,(VLOOKUP(A5,ScaledPrice3,7))*(2-(VLOOKUP(A5,ScaledPrice3,3)))),0))</f>
        <v>18.4165010070801</v>
      </c>
      <c r="K5" s="317" t="n">
        <f aca="false">IF($A5="N/A"," ",IF(OR(Dayrun3=3,Dayrun3=10),VLOOKUP($A5,ScaledPrice3,9),0))</f>
        <v>0</v>
      </c>
      <c r="L5" s="318" t="n">
        <f aca="false">IF($A5="N/A"," ",IF(Pricetype3=2,MAX(C5,0),IF(OR(Pricetype3=1,Pricetype3=4),IF(C5=0,0,(EURO(C5,Strikeprice3,0,0,($AH5+IF(Smile=TRUE(),VLOOKUP(MAX(-5,Strikeprice3-C5),Volsmile,2),0)),($A5-DateToday)+15,IF(Pricetype3=1,1,0),0))),C5)))</f>
        <v>32.0666654677618</v>
      </c>
      <c r="M5" s="318" t="n">
        <f aca="false">IF($A5="N/A"," ",IF(Pricetype3=2,MAX(D5,0),IF(OR(Pricetype3=1,Pricetype3=4),IF(D5=0,0,(EURO(D5,Strikeprice3,0,0,($AH5+IF(Smile=TRUE(),VLOOKUP(MAX(-5,Strikeprice3-D5),Volsmile,2),0)),($A5-DateToday)+15,IF(Pricetype3=1,1,0),0))),D5)))</f>
        <v>32.0666654677618</v>
      </c>
      <c r="N5" s="318" t="n">
        <f aca="false">IF($A5="N/A"," ",IF(Pricetype3=2,MAX(E5,0),IF(OR(Pricetype3=1,Pricetype3=4),IF(E5=0,0,(EURO(E5,Strikeprice3,0,0,($AK5+IF(Smile=TRUE(),VLOOKUP(MAX(-5,Strikeprice3-E5),Volsmile,2),0)),($A5-DateToday)+15,IF(Pricetype3=1,1,0),0))),E5)))</f>
        <v>0</v>
      </c>
      <c r="O5" s="318" t="n">
        <f aca="false">IF($A5="N/A"," ",IF(Pricetype3=2,MAX(F5,0),IF(OR(Pricetype3=1,Pricetype3=4),IF(F5=0,0,(EURO(F5,Strikeprice3,0,0,($AK5+IF(Smile=TRUE(),VLOOKUP(MAX(-5,Strikeprice3-F5),Volsmile,2),0)),($A5-DateToday)+15,IF(Pricetype3=1,1,0),0))),F5)))</f>
        <v>26.9160012817383</v>
      </c>
      <c r="P5" s="318" t="n">
        <f aca="false">IF($A5="N/A"," ",IF(Pricetype3=2,MAX(G5,0),IF(OR(Pricetype3=1,Pricetype3=4),IF(G5=0,0,(EURO(G5,Strikeprice3,0,0,($AK5+IF(Smile=TRUE(),VLOOKUP(MAX(-5,Strikeprice3-G5),Volsmile,2),0)),($A5-DateToday)+15,IF(Pricetype3=1,1,0),0))),G5)))</f>
        <v>26.9160012817383</v>
      </c>
      <c r="Q5" s="318" t="n">
        <f aca="false">IF($A5="N/A"," ",IF(Pricetype3=2,MAX(H5,0),IF(OR(Pricetype3=1,Pricetype3=4),IF(H5=0,0,(EURO(H5,Strikeprice3,0,0,($AK5+IF(Smile=TRUE(),VLOOKUP(MAX(-5,Strikeprice3-H5),Volsmile,2),0)),($A5-DateToday)+15,IF(Pricetype3=1,1,0),0))),H5)))</f>
        <v>0</v>
      </c>
      <c r="R5" s="318" t="n">
        <f aca="false">IF($A5="N/A"," ",IF(Pricetype3=2,MAX(I5,0),IF(OR(Pricetype3=1,Pricetype3=4),IF(I5=0,0,(EURO(I5,Strikeprice3,0,0,($AK5+IF(Smile=TRUE(),VLOOKUP(MAX(-5,Strikeprice3-I5),Volsmile,2),0)),($A5-DateToday)+15,IF(Pricetype3=1,1,0),0))),I5)))</f>
        <v>18.4165010070801</v>
      </c>
      <c r="S5" s="318" t="n">
        <f aca="false">IF($A5="N/A"," ",IF(Pricetype3=2,MAX(J5,0),IF(OR(Pricetype3=1,Pricetype3=4),IF(J5=0,0,(EURO(J5,Strikeprice3,0,0,($AK5+IF(Smile=TRUE(),VLOOKUP(MAX(-5,Strikeprice3-J5),Volsmile,2),0)),($A5-DateToday)+15,IF(Pricetype3=1,1,0),0))),J5)))</f>
        <v>18.4165010070801</v>
      </c>
      <c r="T5" s="318" t="n">
        <f aca="false">IF($A5="N/A"," ",IF(Pricetype3=2,MAX(K5,0),IF(OR(Pricetype3=1,Pricetype3=4),IF(K5=0,0,(EURO(K5,Strikeprice3,0,0,($AK5+IF(Smile=TRUE(),VLOOKUP(MAX(-5,Strikeprice3-K5),Volsmile,2),0)),($A5-DateToday)+15,IF(Pricetype3=1,1,0),0))),K5)))</f>
        <v>0</v>
      </c>
      <c r="U5" s="319" t="e">
        <f aca="false">IF($A5="N/A"," ",Volume3*$AM5)</f>
        <v>#N/A</v>
      </c>
      <c r="V5" s="320" t="e">
        <f aca="false">IF($A5="N/A"," ",$U5*(8*($BQ5))*L5)</f>
        <v>#N/A</v>
      </c>
      <c r="W5" s="320" t="e">
        <f aca="false">IF($A5="N/A"," ",$U5*(8*($BQ5))*M5)</f>
        <v>#N/A</v>
      </c>
      <c r="X5" s="320" t="e">
        <f aca="false">IF($A5="N/A"," ",$U5*(8*($BQ5))*N5)</f>
        <v>#N/A</v>
      </c>
      <c r="Y5" s="320" t="e">
        <f aca="false">IF($A5="N/A"," ",$U5*(8*($BR5))*O5)</f>
        <v>#N/A</v>
      </c>
      <c r="Z5" s="320" t="e">
        <f aca="false">IF($A5="N/A"," ",$U5*(8*($BR5))*P5)</f>
        <v>#N/A</v>
      </c>
      <c r="AA5" s="320" t="e">
        <f aca="false">IF($A5="N/A"," ",$U5*(8*($BR5))*Q5)</f>
        <v>#N/A</v>
      </c>
      <c r="AB5" s="320" t="e">
        <f aca="false">IF($A5="N/A"," ",$U5*(8*($BS5))*R5)</f>
        <v>#N/A</v>
      </c>
      <c r="AC5" s="320" t="e">
        <f aca="false">IF($A5="N/A"," ",$U5*(8*($BS5))*S5)</f>
        <v>#N/A</v>
      </c>
      <c r="AD5" s="320" t="e">
        <f aca="false">IF($A5="N/A"," ",$U5*(8*($BS5))*T5)</f>
        <v>#N/A</v>
      </c>
      <c r="AE5" s="320" t="e">
        <f aca="false">IF($A5="N/A"," ",SUM(V5:AD5))</f>
        <v>#N/A</v>
      </c>
      <c r="AF5" s="321" t="n">
        <f aca="false">IF(A5="N/A"," ",(VLOOKUP(A5,PowerVolTable,(IF(VolBMO3=2,7,IF(VolBMO3=1,6,8))),FALSE())))</f>
        <v>0.28</v>
      </c>
      <c r="AG5" s="321" t="n">
        <f aca="false">IF(A5="N/A"," ",(VLOOKUP(A5,IntraPowerVol,(IF(VolBMO3=2,3,IF(VolBMO3=1,2,4))),FALSE())*VLOOKUP(MONTH($A5),Volscale,2)))</f>
        <v>0.6</v>
      </c>
      <c r="AH5" s="321" t="n">
        <f aca="false">IF($A5="N/A"," ",IF(VolType3=1,AG5,AF5))</f>
        <v>0.6</v>
      </c>
      <c r="AI5" s="321" t="n">
        <f aca="false">IF($A5="N/A"," ",(VLOOKUP($A5,OffPwrVolTable,(IF(VolBMO3=2,7,IF(VolBMO3=1,6,8))),FALSE())))</f>
        <v>0.14</v>
      </c>
      <c r="AJ5" s="321" t="n">
        <f aca="false">IF($A5="N/A"," ",(VLOOKUP($A5,OffPwrVolTable,(IF(VolBMO3=2,3,IF(VolBMO3=1,2,4))),FALSE())*VLOOKUP(MONTH($A5),Volscale,2)))</f>
        <v>0.36</v>
      </c>
      <c r="AK5" s="321" t="n">
        <f aca="false">IF($A5="N/A"," ",IF(VolType3=1,AJ5,AI5))</f>
        <v>0.36</v>
      </c>
      <c r="AL5" s="321" t="e">
        <f aca="false">IF($A5="N/A"," ",IF(PV=1,0,'Pricing Inputs3'!R38))</f>
        <v>#N/A</v>
      </c>
      <c r="AM5" s="323" t="e">
        <f aca="false">IF($A5="N/A"," ",(1+AL5/2)^(-2*((EOMONTH(A5,0)+20)-DateToday)/365.25))</f>
        <v>#N/A</v>
      </c>
      <c r="BQ5" s="0" t="n">
        <f aca="false">IF($A5="N/A"," ",(VLOOKUP($A5,NumberofDaysTable,2)))</f>
        <v>20</v>
      </c>
      <c r="BR5" s="0" t="n">
        <f aca="false">IF($A5="N/A"," ",(VLOOKUP($A5,NumberofDaysTable,3)))</f>
        <v>4</v>
      </c>
      <c r="BS5" s="0" t="n">
        <f aca="false">IF($A5="N/A"," ",(VLOOKUP($A5,NumberofDaysTable,4)))</f>
        <v>4</v>
      </c>
    </row>
    <row r="6" customFormat="false" ht="12.75" hidden="false" customHeight="false" outlineLevel="0" collapsed="false">
      <c r="A6" s="315" t="n">
        <f aca="false">IF(A5="N/A","N/A",IF(EDATE(A5,1)&gt;Inputs!$Q$5,"N/A",EDATE(A5,1)))</f>
        <v>37316</v>
      </c>
      <c r="B6" s="316" t="n">
        <f aca="false">IF(A6="N/A"," ",YEAR(A6))</f>
        <v>2002</v>
      </c>
      <c r="C6" s="317" t="n">
        <f aca="false">IF($A6="N/A"," ",IF(Dayrun3=10,0,IF(Scaler3=1,(VLOOKUP(A6,ScaledPrice3,4)),(VLOOKUP(A6,ScaledPrice3,2)))))</f>
        <v>31.0197670515194</v>
      </c>
      <c r="D6" s="317" t="n">
        <f aca="false">IF(A6="N/A"," ",IF(Dayrun3&gt;=7,0,IF(Scaler3=2,VLOOKUP(A6,ScaledPrice3,2),(VLOOKUP(A6,ScaledPrice3,2))*(2-(VLOOKUP(A6,ScaledPrice3,3))))))</f>
        <v>31.0197670515194</v>
      </c>
      <c r="E6" s="317" t="n">
        <f aca="false">IF($A6="N/A"," ",IF(AND(Dayrun3&gt;=4,Dayrun3&lt;=9),0,VLOOKUP($A6,ScaledPrice3,9)))</f>
        <v>0</v>
      </c>
      <c r="F6" s="317" t="n">
        <f aca="false">IF(A6="N/A"," ",IF(OR(Dayrun3=2,Dayrun3=3,Dayrun3=5,Dayrun3=6,Dayrun3=8,Dayrun3=9),VLOOKUP(A6,ScaledPrice3,IF(Scaler3=1,6,5)),0))</f>
        <v>21.9199990844727</v>
      </c>
      <c r="G6" s="317" t="n">
        <f aca="false">IF(A6="N/A"," ",IF(OR(Dayrun3=2,Dayrun3=3,Dayrun3=5,Dayrun3=6),IF(Scaler3=2,F6,(VLOOKUP(A6,ScaledPrice3,5))*(2-(VLOOKUP(A6,ScaledPrice3,3)))),0))</f>
        <v>21.9199990844727</v>
      </c>
      <c r="H6" s="317" t="n">
        <f aca="false">IF($A6="N/A"," ",IF(OR(Dayrun3=2,Dayrun3=3,Dayrun3=10),VLOOKUP($A6,ScaledPrice3,9),0))</f>
        <v>0</v>
      </c>
      <c r="I6" s="317" t="n">
        <f aca="false">IF(A6="N/A"," ",IF(OR(Dayrun3=3,Dayrun3=6,Dayrun3=9),(VLOOKUP(A6,ScaledPrice3,IF(Scaler3=2,7,8))),0))</f>
        <v>16.4200009918213</v>
      </c>
      <c r="J6" s="317" t="n">
        <f aca="false">IF(A6="N/A"," ",IF(OR(Dayrun3=3,Dayrun3=6),IF(Scaler3=2,I6,(VLOOKUP(A6,ScaledPrice3,7))*(2-(VLOOKUP(A6,ScaledPrice3,3)))),0))</f>
        <v>16.4200009918213</v>
      </c>
      <c r="K6" s="317" t="n">
        <f aca="false">IF($A6="N/A"," ",IF(OR(Dayrun3=3,Dayrun3=10),VLOOKUP($A6,ScaledPrice3,9),0))</f>
        <v>0</v>
      </c>
      <c r="L6" s="318" t="n">
        <f aca="false">IF($A6="N/A"," ",IF(Pricetype3=2,MAX(C6,0),IF(OR(Pricetype3=1,Pricetype3=4),IF(C6=0,0,(EURO(C6,Strikeprice3,0,0,($AH6+IF(Smile=TRUE(),VLOOKUP(MAX(-5,Strikeprice3-C6),Volsmile,2),0)),($A6-DateToday)+15,IF(Pricetype3=1,1,0),0))),C6)))</f>
        <v>31.0197670515194</v>
      </c>
      <c r="M6" s="318" t="n">
        <f aca="false">IF($A6="N/A"," ",IF(Pricetype3=2,MAX(D6,0),IF(OR(Pricetype3=1,Pricetype3=4),IF(D6=0,0,(EURO(D6,Strikeprice3,0,0,($AH6+IF(Smile=TRUE(),VLOOKUP(MAX(-5,Strikeprice3-D6),Volsmile,2),0)),($A6-DateToday)+15,IF(Pricetype3=1,1,0),0))),D6)))</f>
        <v>31.0197670515194</v>
      </c>
      <c r="N6" s="318" t="n">
        <f aca="false">IF($A6="N/A"," ",IF(Pricetype3=2,MAX(E6,0),IF(OR(Pricetype3=1,Pricetype3=4),IF(E6=0,0,(EURO(E6,Strikeprice3,0,0,($AK6+IF(Smile=TRUE(),VLOOKUP(MAX(-5,Strikeprice3-E6),Volsmile,2),0)),($A6-DateToday)+15,IF(Pricetype3=1,1,0),0))),E6)))</f>
        <v>0</v>
      </c>
      <c r="O6" s="318" t="n">
        <f aca="false">IF($A6="N/A"," ",IF(Pricetype3=2,MAX(F6,0),IF(OR(Pricetype3=1,Pricetype3=4),IF(F6=0,0,(EURO(F6,Strikeprice3,0,0,($AK6+IF(Smile=TRUE(),VLOOKUP(MAX(-5,Strikeprice3-F6),Volsmile,2),0)),($A6-DateToday)+15,IF(Pricetype3=1,1,0),0))),F6)))</f>
        <v>21.9199990844727</v>
      </c>
      <c r="P6" s="318" t="n">
        <f aca="false">IF($A6="N/A"," ",IF(Pricetype3=2,MAX(G6,0),IF(OR(Pricetype3=1,Pricetype3=4),IF(G6=0,0,(EURO(G6,Strikeprice3,0,0,($AK6+IF(Smile=TRUE(),VLOOKUP(MAX(-5,Strikeprice3-G6),Volsmile,2),0)),($A6-DateToday)+15,IF(Pricetype3=1,1,0),0))),G6)))</f>
        <v>21.9199990844727</v>
      </c>
      <c r="Q6" s="318" t="n">
        <f aca="false">IF($A6="N/A"," ",IF(Pricetype3=2,MAX(H6,0),IF(OR(Pricetype3=1,Pricetype3=4),IF(H6=0,0,(EURO(H6,Strikeprice3,0,0,($AK6+IF(Smile=TRUE(),VLOOKUP(MAX(-5,Strikeprice3-H6),Volsmile,2),0)),($A6-DateToday)+15,IF(Pricetype3=1,1,0),0))),H6)))</f>
        <v>0</v>
      </c>
      <c r="R6" s="318" t="n">
        <f aca="false">IF($A6="N/A"," ",IF(Pricetype3=2,MAX(I6,0),IF(OR(Pricetype3=1,Pricetype3=4),IF(I6=0,0,(EURO(I6,Strikeprice3,0,0,($AK6+IF(Smile=TRUE(),VLOOKUP(MAX(-5,Strikeprice3-I6),Volsmile,2),0)),($A6-DateToday)+15,IF(Pricetype3=1,1,0),0))),I6)))</f>
        <v>16.4200009918213</v>
      </c>
      <c r="S6" s="318" t="n">
        <f aca="false">IF($A6="N/A"," ",IF(Pricetype3=2,MAX(J6,0),IF(OR(Pricetype3=1,Pricetype3=4),IF(J6=0,0,(EURO(J6,Strikeprice3,0,0,($AK6+IF(Smile=TRUE(),VLOOKUP(MAX(-5,Strikeprice3-J6),Volsmile,2),0)),($A6-DateToday)+15,IF(Pricetype3=1,1,0),0))),J6)))</f>
        <v>16.4200009918213</v>
      </c>
      <c r="T6" s="318" t="n">
        <f aca="false">IF($A6="N/A"," ",IF(Pricetype3=2,MAX(K6,0),IF(OR(Pricetype3=1,Pricetype3=4),IF(K6=0,0,(EURO(K6,Strikeprice3,0,0,($AK6+IF(Smile=TRUE(),VLOOKUP(MAX(-5,Strikeprice3-K6),Volsmile,2),0)),($A6-DateToday)+15,IF(Pricetype3=1,1,0),0))),K6)))</f>
        <v>0</v>
      </c>
      <c r="U6" s="319" t="e">
        <f aca="false">IF($A6="N/A"," ",Volume3*$AM6)</f>
        <v>#N/A</v>
      </c>
      <c r="V6" s="320" t="e">
        <f aca="false">IF($A6="N/A"," ",$U6*(8*($BQ6))*L6)</f>
        <v>#N/A</v>
      </c>
      <c r="W6" s="320" t="e">
        <f aca="false">IF($A6="N/A"," ",$U6*(8*($BQ6))*M6)</f>
        <v>#N/A</v>
      </c>
      <c r="X6" s="320" t="e">
        <f aca="false">IF($A6="N/A"," ",$U6*(8*($BQ6))*N6)</f>
        <v>#N/A</v>
      </c>
      <c r="Y6" s="320" t="e">
        <f aca="false">IF($A6="N/A"," ",$U6*(8*($BR6))*O6)</f>
        <v>#N/A</v>
      </c>
      <c r="Z6" s="320" t="e">
        <f aca="false">IF($A6="N/A"," ",$U6*(8*($BR6))*P6)</f>
        <v>#N/A</v>
      </c>
      <c r="AA6" s="320" t="e">
        <f aca="false">IF($A6="N/A"," ",$U6*(8*($BR6))*Q6)</f>
        <v>#N/A</v>
      </c>
      <c r="AB6" s="320" t="e">
        <f aca="false">IF($A6="N/A"," ",$U6*(8*($BS6))*R6)</f>
        <v>#N/A</v>
      </c>
      <c r="AC6" s="320" t="e">
        <f aca="false">IF($A6="N/A"," ",$U6*(8*($BS6))*S6)</f>
        <v>#N/A</v>
      </c>
      <c r="AD6" s="320" t="e">
        <f aca="false">IF($A6="N/A"," ",$U6*(8*($BS6))*T6)</f>
        <v>#N/A</v>
      </c>
      <c r="AE6" s="320" t="e">
        <f aca="false">IF($A6="N/A"," ",SUM(V6:AD6))</f>
        <v>#N/A</v>
      </c>
      <c r="AF6" s="321" t="n">
        <f aca="false">IF(A6="N/A"," ",(VLOOKUP(A6,PowerVolTable,(IF(VolBMO3=2,7,IF(VolBMO3=1,6,8))),FALSE())))</f>
        <v>0.28</v>
      </c>
      <c r="AG6" s="321" t="n">
        <f aca="false">IF(A6="N/A"," ",(VLOOKUP(A6,IntraPowerVol,(IF(VolBMO3=2,3,IF(VolBMO3=1,2,4))),FALSE())*VLOOKUP(MONTH($A6),Volscale,2)))</f>
        <v>0.56</v>
      </c>
      <c r="AH6" s="321" t="n">
        <f aca="false">IF($A6="N/A"," ",IF(VolType3=1,AG6,AF6))</f>
        <v>0.56</v>
      </c>
      <c r="AI6" s="321" t="n">
        <f aca="false">IF($A6="N/A"," ",(VLOOKUP($A6,OffPwrVolTable,(IF(VolBMO3=2,7,IF(VolBMO3=1,6,8))),FALSE())))</f>
        <v>0.14</v>
      </c>
      <c r="AJ6" s="321" t="n">
        <f aca="false">IF($A6="N/A"," ",(VLOOKUP($A6,OffPwrVolTable,(IF(VolBMO3=2,3,IF(VolBMO3=1,2,4))),FALSE())*VLOOKUP(MONTH($A6),Volscale,2)))</f>
        <v>0.336</v>
      </c>
      <c r="AK6" s="321" t="n">
        <f aca="false">IF($A6="N/A"," ",IF(VolType3=1,AJ6,AI6))</f>
        <v>0.336</v>
      </c>
      <c r="AL6" s="321" t="e">
        <f aca="false">IF($A6="N/A"," ",IF(PV=1,0,'Pricing Inputs3'!R39))</f>
        <v>#N/A</v>
      </c>
      <c r="AM6" s="323" t="e">
        <f aca="false">IF($A6="N/A"," ",(1+AL6/2)^(-2*((EOMONTH(A6,0)+20)-DateToday)/365.25))</f>
        <v>#N/A</v>
      </c>
      <c r="BQ6" s="0" t="n">
        <f aca="false">IF($A6="N/A"," ",(VLOOKUP($A6,NumberofDaysTable,2)))</f>
        <v>21</v>
      </c>
      <c r="BR6" s="0" t="n">
        <f aca="false">IF($A6="N/A"," ",(VLOOKUP($A6,NumberofDaysTable,3)))</f>
        <v>5</v>
      </c>
      <c r="BS6" s="0" t="n">
        <f aca="false">IF($A6="N/A"," ",(VLOOKUP($A6,NumberofDaysTable,4)))</f>
        <v>5</v>
      </c>
    </row>
    <row r="7" customFormat="false" ht="12.75" hidden="false" customHeight="false" outlineLevel="0" collapsed="false">
      <c r="A7" s="315" t="n">
        <f aca="false">IF(A6="N/A","N/A",IF(EDATE(A6,1)&gt;Inputs!$Q$5,"N/A",EDATE(A6,1)))</f>
        <v>37347</v>
      </c>
      <c r="B7" s="316" t="n">
        <f aca="false">IF(A7="N/A"," ",YEAR(A7))</f>
        <v>2002</v>
      </c>
      <c r="C7" s="317" t="n">
        <f aca="false">IF($A7="N/A"," ",IF(Dayrun3=10,0,IF(Scaler3=1,(VLOOKUP(A7,ScaledPrice3,4)),(VLOOKUP(A7,ScaledPrice3,2)))))</f>
        <v>31.4697678144588</v>
      </c>
      <c r="D7" s="317" t="n">
        <f aca="false">IF(A7="N/A"," ",IF(Dayrun3&gt;=7,0,IF(Scaler3=2,VLOOKUP(A7,ScaledPrice3,2),(VLOOKUP(A7,ScaledPrice3,2))*(2-(VLOOKUP(A7,ScaledPrice3,3))))))</f>
        <v>31.4697678144588</v>
      </c>
      <c r="E7" s="317" t="n">
        <f aca="false">IF($A7="N/A"," ",IF(AND(Dayrun3&gt;=4,Dayrun3&lt;=9),0,VLOOKUP($A7,ScaledPrice3,9)))</f>
        <v>0</v>
      </c>
      <c r="F7" s="317" t="n">
        <f aca="false">IF(A7="N/A"," ",IF(OR(Dayrun3=2,Dayrun3=3,Dayrun3=5,Dayrun3=6,Dayrun3=8,Dayrun3=9),VLOOKUP(A7,ScaledPrice3,IF(Scaler3=1,6,5)),0))</f>
        <v>21.9199990844727</v>
      </c>
      <c r="G7" s="317" t="n">
        <f aca="false">IF(A7="N/A"," ",IF(OR(Dayrun3=2,Dayrun3=3,Dayrun3=5,Dayrun3=6),IF(Scaler3=2,F7,(VLOOKUP(A7,ScaledPrice3,5))*(2-(VLOOKUP(A7,ScaledPrice3,3)))),0))</f>
        <v>21.9199990844727</v>
      </c>
      <c r="H7" s="317" t="n">
        <f aca="false">IF($A7="N/A"," ",IF(OR(Dayrun3=2,Dayrun3=3,Dayrun3=10),VLOOKUP($A7,ScaledPrice3,9),0))</f>
        <v>0</v>
      </c>
      <c r="I7" s="317" t="n">
        <f aca="false">IF(A7="N/A"," ",IF(OR(Dayrun3=3,Dayrun3=6,Dayrun3=9),(VLOOKUP(A7,ScaledPrice3,IF(Scaler3=2,7,8))),0))</f>
        <v>16.4150018310547</v>
      </c>
      <c r="J7" s="317" t="n">
        <f aca="false">IF(A7="N/A"," ",IF(OR(Dayrun3=3,Dayrun3=6),IF(Scaler3=2,I7,(VLOOKUP(A7,ScaledPrice3,7))*(2-(VLOOKUP(A7,ScaledPrice3,3)))),0))</f>
        <v>16.4150018310547</v>
      </c>
      <c r="K7" s="317" t="n">
        <f aca="false">IF($A7="N/A"," ",IF(OR(Dayrun3=3,Dayrun3=10),VLOOKUP($A7,ScaledPrice3,9),0))</f>
        <v>0</v>
      </c>
      <c r="L7" s="318" t="n">
        <f aca="false">IF($A7="N/A"," ",IF(Pricetype3=2,MAX(C7,0),IF(OR(Pricetype3=1,Pricetype3=4),IF(C7=0,0,(EURO(C7,Strikeprice3,0,0,($AH7+IF(Smile=TRUE(),VLOOKUP(MAX(-5,Strikeprice3-C7),Volsmile,2),0)),($A7-DateToday)+15,IF(Pricetype3=1,1,0),0))),C7)))</f>
        <v>31.4697678144588</v>
      </c>
      <c r="M7" s="318" t="n">
        <f aca="false">IF($A7="N/A"," ",IF(Pricetype3=2,MAX(D7,0),IF(OR(Pricetype3=1,Pricetype3=4),IF(D7=0,0,(EURO(D7,Strikeprice3,0,0,($AH7+IF(Smile=TRUE(),VLOOKUP(MAX(-5,Strikeprice3-D7),Volsmile,2),0)),($A7-DateToday)+15,IF(Pricetype3=1,1,0),0))),D7)))</f>
        <v>31.4697678144588</v>
      </c>
      <c r="N7" s="318" t="n">
        <f aca="false">IF($A7="N/A"," ",IF(Pricetype3=2,MAX(E7,0),IF(OR(Pricetype3=1,Pricetype3=4),IF(E7=0,0,(EURO(E7,Strikeprice3,0,0,($AK7+IF(Smile=TRUE(),VLOOKUP(MAX(-5,Strikeprice3-E7),Volsmile,2),0)),($A7-DateToday)+15,IF(Pricetype3=1,1,0),0))),E7)))</f>
        <v>0</v>
      </c>
      <c r="O7" s="318" t="n">
        <f aca="false">IF($A7="N/A"," ",IF(Pricetype3=2,MAX(F7,0),IF(OR(Pricetype3=1,Pricetype3=4),IF(F7=0,0,(EURO(F7,Strikeprice3,0,0,($AK7+IF(Smile=TRUE(),VLOOKUP(MAX(-5,Strikeprice3-F7),Volsmile,2),0)),($A7-DateToday)+15,IF(Pricetype3=1,1,0),0))),F7)))</f>
        <v>21.9199990844727</v>
      </c>
      <c r="P7" s="318" t="n">
        <f aca="false">IF($A7="N/A"," ",IF(Pricetype3=2,MAX(G7,0),IF(OR(Pricetype3=1,Pricetype3=4),IF(G7=0,0,(EURO(G7,Strikeprice3,0,0,($AK7+IF(Smile=TRUE(),VLOOKUP(MAX(-5,Strikeprice3-G7),Volsmile,2),0)),($A7-DateToday)+15,IF(Pricetype3=1,1,0),0))),G7)))</f>
        <v>21.9199990844727</v>
      </c>
      <c r="Q7" s="318" t="n">
        <f aca="false">IF($A7="N/A"," ",IF(Pricetype3=2,MAX(H7,0),IF(OR(Pricetype3=1,Pricetype3=4),IF(H7=0,0,(EURO(H7,Strikeprice3,0,0,($AK7+IF(Smile=TRUE(),VLOOKUP(MAX(-5,Strikeprice3-H7),Volsmile,2),0)),($A7-DateToday)+15,IF(Pricetype3=1,1,0),0))),H7)))</f>
        <v>0</v>
      </c>
      <c r="R7" s="318" t="n">
        <f aca="false">IF($A7="N/A"," ",IF(Pricetype3=2,MAX(I7,0),IF(OR(Pricetype3=1,Pricetype3=4),IF(I7=0,0,(EURO(I7,Strikeprice3,0,0,($AK7+IF(Smile=TRUE(),VLOOKUP(MAX(-5,Strikeprice3-I7),Volsmile,2),0)),($A7-DateToday)+15,IF(Pricetype3=1,1,0),0))),I7)))</f>
        <v>16.4150018310547</v>
      </c>
      <c r="S7" s="318" t="n">
        <f aca="false">IF($A7="N/A"," ",IF(Pricetype3=2,MAX(J7,0),IF(OR(Pricetype3=1,Pricetype3=4),IF(J7=0,0,(EURO(J7,Strikeprice3,0,0,($AK7+IF(Smile=TRUE(),VLOOKUP(MAX(-5,Strikeprice3-J7),Volsmile,2),0)),($A7-DateToday)+15,IF(Pricetype3=1,1,0),0))),J7)))</f>
        <v>16.4150018310547</v>
      </c>
      <c r="T7" s="318" t="n">
        <f aca="false">IF($A7="N/A"," ",IF(Pricetype3=2,MAX(K7,0),IF(OR(Pricetype3=1,Pricetype3=4),IF(K7=0,0,(EURO(K7,Strikeprice3,0,0,($AK7+IF(Smile=TRUE(),VLOOKUP(MAX(-5,Strikeprice3-K7),Volsmile,2),0)),($A7-DateToday)+15,IF(Pricetype3=1,1,0),0))),K7)))</f>
        <v>0</v>
      </c>
      <c r="U7" s="319" t="e">
        <f aca="false">IF($A7="N/A"," ",Volume3*$AM7)</f>
        <v>#N/A</v>
      </c>
      <c r="V7" s="320" t="e">
        <f aca="false">IF($A7="N/A"," ",$U7*(8*($BQ7))*L7)</f>
        <v>#N/A</v>
      </c>
      <c r="W7" s="320" t="e">
        <f aca="false">IF($A7="N/A"," ",$U7*(8*($BQ7))*M7)</f>
        <v>#N/A</v>
      </c>
      <c r="X7" s="320" t="e">
        <f aca="false">IF($A7="N/A"," ",$U7*(8*($BQ7))*N7)</f>
        <v>#N/A</v>
      </c>
      <c r="Y7" s="320" t="e">
        <f aca="false">IF($A7="N/A"," ",$U7*(8*($BR7))*O7)</f>
        <v>#N/A</v>
      </c>
      <c r="Z7" s="320" t="e">
        <f aca="false">IF($A7="N/A"," ",$U7*(8*($BR7))*P7)</f>
        <v>#N/A</v>
      </c>
      <c r="AA7" s="320" t="e">
        <f aca="false">IF($A7="N/A"," ",$U7*(8*($BR7))*Q7)</f>
        <v>#N/A</v>
      </c>
      <c r="AB7" s="320" t="e">
        <f aca="false">IF($A7="N/A"," ",$U7*(8*($BS7))*R7)</f>
        <v>#N/A</v>
      </c>
      <c r="AC7" s="320" t="e">
        <f aca="false">IF($A7="N/A"," ",$U7*(8*($BS7))*S7)</f>
        <v>#N/A</v>
      </c>
      <c r="AD7" s="320" t="e">
        <f aca="false">IF($A7="N/A"," ",$U7*(8*($BS7))*T7)</f>
        <v>#N/A</v>
      </c>
      <c r="AE7" s="320" t="e">
        <f aca="false">IF($A7="N/A"," ",SUM(V7:AD7))</f>
        <v>#N/A</v>
      </c>
      <c r="AF7" s="321" t="n">
        <f aca="false">IF(A7="N/A"," ",(VLOOKUP(A7,PowerVolTable,(IF(VolBMO3=2,7,IF(VolBMO3=1,6,8))),FALSE())))</f>
        <v>0.28</v>
      </c>
      <c r="AG7" s="321" t="n">
        <f aca="false">IF(A7="N/A"," ",(VLOOKUP(A7,IntraPowerVol,(IF(VolBMO3=2,3,IF(VolBMO3=1,2,4))),FALSE())*VLOOKUP(MONTH($A7),Volscale,2)))</f>
        <v>0.56</v>
      </c>
      <c r="AH7" s="321" t="n">
        <f aca="false">IF($A7="N/A"," ",IF(VolType3=1,AG7,AF7))</f>
        <v>0.56</v>
      </c>
      <c r="AI7" s="321" t="n">
        <f aca="false">IF($A7="N/A"," ",(VLOOKUP($A7,OffPwrVolTable,(IF(VolBMO3=2,7,IF(VolBMO3=1,6,8))),FALSE())))</f>
        <v>0.14</v>
      </c>
      <c r="AJ7" s="321" t="n">
        <f aca="false">IF($A7="N/A"," ",(VLOOKUP($A7,OffPwrVolTable,(IF(VolBMO3=2,3,IF(VolBMO3=1,2,4))),FALSE())*VLOOKUP(MONTH($A7),Volscale,2)))</f>
        <v>0.336</v>
      </c>
      <c r="AK7" s="321" t="n">
        <f aca="false">IF($A7="N/A"," ",IF(VolType3=1,AJ7,AI7))</f>
        <v>0.336</v>
      </c>
      <c r="AL7" s="321" t="e">
        <f aca="false">IF($A7="N/A"," ",IF(PV=1,0,'Pricing Inputs3'!R40))</f>
        <v>#N/A</v>
      </c>
      <c r="AM7" s="323" t="e">
        <f aca="false">IF($A7="N/A"," ",(1+AL7/2)^(-2*((EOMONTH(A7,0)+20)-DateToday)/365.25))</f>
        <v>#N/A</v>
      </c>
      <c r="BQ7" s="0" t="n">
        <f aca="false">IF($A7="N/A"," ",(VLOOKUP($A7,NumberofDaysTable,2)))</f>
        <v>22</v>
      </c>
      <c r="BR7" s="0" t="n">
        <f aca="false">IF($A7="N/A"," ",(VLOOKUP($A7,NumberofDaysTable,3)))</f>
        <v>4</v>
      </c>
      <c r="BS7" s="0" t="n">
        <f aca="false">IF($A7="N/A"," ",(VLOOKUP($A7,NumberofDaysTable,4)))</f>
        <v>4</v>
      </c>
    </row>
    <row r="8" customFormat="false" ht="12.75" hidden="false" customHeight="false" outlineLevel="0" collapsed="false">
      <c r="A8" s="315" t="n">
        <f aca="false">IF(A7="N/A","N/A",IF(EDATE(A7,1)&gt;Inputs!$Q$5,"N/A",EDATE(A7,1)))</f>
        <v>37377</v>
      </c>
      <c r="B8" s="316" t="n">
        <f aca="false">IF(A8="N/A"," ",YEAR(A8))</f>
        <v>2002</v>
      </c>
      <c r="C8" s="317" t="n">
        <f aca="false">IF($A8="N/A"," ",IF(Dayrun3=10,0,IF(Scaler3=1,(VLOOKUP(A8,ScaledPrice3,4)),(VLOOKUP(A8,ScaledPrice3,2)))))</f>
        <v>34.625</v>
      </c>
      <c r="D8" s="317" t="n">
        <f aca="false">IF(A8="N/A"," ",IF(Dayrun3&gt;=7,0,IF(Scaler3=2,VLOOKUP(A8,ScaledPrice3,2),(VLOOKUP(A8,ScaledPrice3,2))*(2-(VLOOKUP(A8,ScaledPrice3,3))))))</f>
        <v>34.625</v>
      </c>
      <c r="E8" s="317" t="n">
        <f aca="false">IF($A8="N/A"," ",IF(AND(Dayrun3&gt;=4,Dayrun3&lt;=9),0,VLOOKUP($A8,ScaledPrice3,9)))</f>
        <v>0</v>
      </c>
      <c r="F8" s="317" t="n">
        <f aca="false">IF(A8="N/A"," ",IF(OR(Dayrun3=2,Dayrun3=3,Dayrun3=5,Dayrun3=6,Dayrun3=8,Dayrun3=9),VLOOKUP(A8,ScaledPrice3,IF(Scaler3=1,6,5)),0))</f>
        <v>23.9199990844727</v>
      </c>
      <c r="G8" s="317" t="n">
        <f aca="false">IF(A8="N/A"," ",IF(OR(Dayrun3=2,Dayrun3=3,Dayrun3=5,Dayrun3=6),IF(Scaler3=2,F8,(VLOOKUP(A8,ScaledPrice3,5))*(2-(VLOOKUP(A8,ScaledPrice3,3)))),0))</f>
        <v>23.9199990844727</v>
      </c>
      <c r="H8" s="317" t="n">
        <f aca="false">IF($A8="N/A"," ",IF(OR(Dayrun3=2,Dayrun3=3,Dayrun3=10),VLOOKUP($A8,ScaledPrice3,9),0))</f>
        <v>0</v>
      </c>
      <c r="I8" s="317" t="n">
        <f aca="false">IF(A8="N/A"," ",IF(OR(Dayrun3=3,Dayrun3=6,Dayrun3=9),(VLOOKUP(A8,ScaledPrice3,IF(Scaler3=2,7,8))),0))</f>
        <v>17.4249982452393</v>
      </c>
      <c r="J8" s="317" t="n">
        <f aca="false">IF(A8="N/A"," ",IF(OR(Dayrun3=3,Dayrun3=6),IF(Scaler3=2,I8,(VLOOKUP(A8,ScaledPrice3,7))*(2-(VLOOKUP(A8,ScaledPrice3,3)))),0))</f>
        <v>17.4249982452393</v>
      </c>
      <c r="K8" s="317" t="n">
        <f aca="false">IF($A8="N/A"," ",IF(OR(Dayrun3=3,Dayrun3=10),VLOOKUP($A8,ScaledPrice3,9),0))</f>
        <v>0</v>
      </c>
      <c r="L8" s="318" t="n">
        <f aca="false">IF($A8="N/A"," ",IF(Pricetype3=2,MAX(C8,0),IF(OR(Pricetype3=1,Pricetype3=4),IF(C8=0,0,(EURO(C8,Strikeprice3,0,0,($AH8+IF(Smile=TRUE(),VLOOKUP(MAX(-5,Strikeprice3-C8),Volsmile,2),0)),($A8-DateToday)+15,IF(Pricetype3=1,1,0),0))),C8)))</f>
        <v>34.625</v>
      </c>
      <c r="M8" s="318" t="n">
        <f aca="false">IF($A8="N/A"," ",IF(Pricetype3=2,MAX(D8,0),IF(OR(Pricetype3=1,Pricetype3=4),IF(D8=0,0,(EURO(D8,Strikeprice3,0,0,($AH8+IF(Smile=TRUE(),VLOOKUP(MAX(-5,Strikeprice3-D8),Volsmile,2),0)),($A8-DateToday)+15,IF(Pricetype3=1,1,0),0))),D8)))</f>
        <v>34.625</v>
      </c>
      <c r="N8" s="318" t="n">
        <f aca="false">IF($A8="N/A"," ",IF(Pricetype3=2,MAX(E8,0),IF(OR(Pricetype3=1,Pricetype3=4),IF(E8=0,0,(EURO(E8,Strikeprice3,0,0,($AK8+IF(Smile=TRUE(),VLOOKUP(MAX(-5,Strikeprice3-E8),Volsmile,2),0)),($A8-DateToday)+15,IF(Pricetype3=1,1,0),0))),E8)))</f>
        <v>0</v>
      </c>
      <c r="O8" s="318" t="n">
        <f aca="false">IF($A8="N/A"," ",IF(Pricetype3=2,MAX(F8,0),IF(OR(Pricetype3=1,Pricetype3=4),IF(F8=0,0,(EURO(F8,Strikeprice3,0,0,($AK8+IF(Smile=TRUE(),VLOOKUP(MAX(-5,Strikeprice3-F8),Volsmile,2),0)),($A8-DateToday)+15,IF(Pricetype3=1,1,0),0))),F8)))</f>
        <v>23.9199990844727</v>
      </c>
      <c r="P8" s="318" t="n">
        <f aca="false">IF($A8="N/A"," ",IF(Pricetype3=2,MAX(G8,0),IF(OR(Pricetype3=1,Pricetype3=4),IF(G8=0,0,(EURO(G8,Strikeprice3,0,0,($AK8+IF(Smile=TRUE(),VLOOKUP(MAX(-5,Strikeprice3-G8),Volsmile,2),0)),($A8-DateToday)+15,IF(Pricetype3=1,1,0),0))),G8)))</f>
        <v>23.9199990844727</v>
      </c>
      <c r="Q8" s="318" t="n">
        <f aca="false">IF($A8="N/A"," ",IF(Pricetype3=2,MAX(H8,0),IF(OR(Pricetype3=1,Pricetype3=4),IF(H8=0,0,(EURO(H8,Strikeprice3,0,0,($AK8+IF(Smile=TRUE(),VLOOKUP(MAX(-5,Strikeprice3-H8),Volsmile,2),0)),($A8-DateToday)+15,IF(Pricetype3=1,1,0),0))),H8)))</f>
        <v>0</v>
      </c>
      <c r="R8" s="318" t="n">
        <f aca="false">IF($A8="N/A"," ",IF(Pricetype3=2,MAX(I8,0),IF(OR(Pricetype3=1,Pricetype3=4),IF(I8=0,0,(EURO(I8,Strikeprice3,0,0,($AK8+IF(Smile=TRUE(),VLOOKUP(MAX(-5,Strikeprice3-I8),Volsmile,2),0)),($A8-DateToday)+15,IF(Pricetype3=1,1,0),0))),I8)))</f>
        <v>17.4249982452393</v>
      </c>
      <c r="S8" s="318" t="n">
        <f aca="false">IF($A8="N/A"," ",IF(Pricetype3=2,MAX(J8,0),IF(OR(Pricetype3=1,Pricetype3=4),IF(J8=0,0,(EURO(J8,Strikeprice3,0,0,($AK8+IF(Smile=TRUE(),VLOOKUP(MAX(-5,Strikeprice3-J8),Volsmile,2),0)),($A8-DateToday)+15,IF(Pricetype3=1,1,0),0))),J8)))</f>
        <v>17.4249982452393</v>
      </c>
      <c r="T8" s="318" t="n">
        <f aca="false">IF($A8="N/A"," ",IF(Pricetype3=2,MAX(K8,0),IF(OR(Pricetype3=1,Pricetype3=4),IF(K8=0,0,(EURO(K8,Strikeprice3,0,0,($AK8+IF(Smile=TRUE(),VLOOKUP(MAX(-5,Strikeprice3-K8),Volsmile,2),0)),($A8-DateToday)+15,IF(Pricetype3=1,1,0),0))),K8)))</f>
        <v>0</v>
      </c>
      <c r="U8" s="319" t="e">
        <f aca="false">IF($A8="N/A"," ",Volume3*$AM8)</f>
        <v>#N/A</v>
      </c>
      <c r="V8" s="320" t="e">
        <f aca="false">IF($A8="N/A"," ",$U8*(8*($BQ8))*L8)</f>
        <v>#N/A</v>
      </c>
      <c r="W8" s="320" t="e">
        <f aca="false">IF($A8="N/A"," ",$U8*(8*($BQ8))*M8)</f>
        <v>#N/A</v>
      </c>
      <c r="X8" s="320" t="e">
        <f aca="false">IF($A8="N/A"," ",$U8*(8*($BQ8))*N8)</f>
        <v>#N/A</v>
      </c>
      <c r="Y8" s="320" t="e">
        <f aca="false">IF($A8="N/A"," ",$U8*(8*($BR8))*O8)</f>
        <v>#N/A</v>
      </c>
      <c r="Z8" s="320" t="e">
        <f aca="false">IF($A8="N/A"," ",$U8*(8*($BR8))*P8)</f>
        <v>#N/A</v>
      </c>
      <c r="AA8" s="320" t="e">
        <f aca="false">IF($A8="N/A"," ",$U8*(8*($BR8))*Q8)</f>
        <v>#N/A</v>
      </c>
      <c r="AB8" s="320" t="e">
        <f aca="false">IF($A8="N/A"," ",$U8*(8*($BS8))*R8)</f>
        <v>#N/A</v>
      </c>
      <c r="AC8" s="320" t="e">
        <f aca="false">IF($A8="N/A"," ",$U8*(8*($BS8))*S8)</f>
        <v>#N/A</v>
      </c>
      <c r="AD8" s="320" t="e">
        <f aca="false">IF($A8="N/A"," ",$U8*(8*($BS8))*T8)</f>
        <v>#N/A</v>
      </c>
      <c r="AE8" s="320" t="e">
        <f aca="false">IF($A8="N/A"," ",SUM(V8:AD8))</f>
        <v>#N/A</v>
      </c>
      <c r="AF8" s="321" t="n">
        <f aca="false">IF(A8="N/A"," ",(VLOOKUP(A8,PowerVolTable,(IF(VolBMO3=2,7,IF(VolBMO3=1,6,8))),FALSE())))</f>
        <v>0.28</v>
      </c>
      <c r="AG8" s="321" t="n">
        <f aca="false">IF(A8="N/A"," ",(VLOOKUP(A8,IntraPowerVol,(IF(VolBMO3=2,3,IF(VolBMO3=1,2,4))),FALSE())*VLOOKUP(MONTH($A8),Volscale,2)))</f>
        <v>0.56</v>
      </c>
      <c r="AH8" s="321" t="n">
        <f aca="false">IF($A8="N/A"," ",IF(VolType3=1,AG8,AF8))</f>
        <v>0.56</v>
      </c>
      <c r="AI8" s="321" t="n">
        <f aca="false">IF($A8="N/A"," ",(VLOOKUP($A8,OffPwrVolTable,(IF(VolBMO3=2,7,IF(VolBMO3=1,6,8))),FALSE())))</f>
        <v>0.14</v>
      </c>
      <c r="AJ8" s="321" t="n">
        <f aca="false">IF($A8="N/A"," ",(VLOOKUP($A8,OffPwrVolTable,(IF(VolBMO3=2,3,IF(VolBMO3=1,2,4))),FALSE())*VLOOKUP(MONTH($A8),Volscale,2)))</f>
        <v>0.336</v>
      </c>
      <c r="AK8" s="321" t="n">
        <f aca="false">IF($A8="N/A"," ",IF(VolType3=1,AJ8,AI8))</f>
        <v>0.336</v>
      </c>
      <c r="AL8" s="321" t="e">
        <f aca="false">IF($A8="N/A"," ",IF(PV=1,0,'Pricing Inputs3'!R41))</f>
        <v>#N/A</v>
      </c>
      <c r="AM8" s="323" t="e">
        <f aca="false">IF($A8="N/A"," ",(1+AL8/2)^(-2*((EOMONTH(A8,0)+20)-DateToday)/365.25))</f>
        <v>#N/A</v>
      </c>
      <c r="BQ8" s="0" t="n">
        <f aca="false">IF($A8="N/A"," ",(VLOOKUP($A8,NumberofDaysTable,2)))</f>
        <v>22</v>
      </c>
      <c r="BR8" s="0" t="n">
        <f aca="false">IF($A8="N/A"," ",(VLOOKUP($A8,NumberofDaysTable,3)))</f>
        <v>4</v>
      </c>
      <c r="BS8" s="0" t="n">
        <f aca="false">IF($A8="N/A"," ",(VLOOKUP($A8,NumberofDaysTable,4)))</f>
        <v>5</v>
      </c>
    </row>
    <row r="9" customFormat="false" ht="12.75" hidden="false" customHeight="false" outlineLevel="0" collapsed="false">
      <c r="A9" s="315" t="n">
        <f aca="false">IF(A8="N/A","N/A",IF(EDATE(A8,1)&gt;Inputs!$Q$5,"N/A",EDATE(A8,1)))</f>
        <v>37408</v>
      </c>
      <c r="B9" s="316" t="n">
        <f aca="false">IF(A9="N/A"," ",YEAR(A9))</f>
        <v>2002</v>
      </c>
      <c r="C9" s="317" t="n">
        <f aca="false">IF($A9="N/A"," ",IF(Dayrun3=10,0,IF(Scaler3=1,(VLOOKUP(A9,ScaledPrice3,4)),(VLOOKUP(A9,ScaledPrice3,2)))))</f>
        <v>44.75</v>
      </c>
      <c r="D9" s="317" t="n">
        <f aca="false">IF(A9="N/A"," ",IF(Dayrun3&gt;=7,0,IF(Scaler3=2,VLOOKUP(A9,ScaledPrice3,2),(VLOOKUP(A9,ScaledPrice3,2))*(2-(VLOOKUP(A9,ScaledPrice3,3))))))</f>
        <v>44.75</v>
      </c>
      <c r="E9" s="317" t="n">
        <f aca="false">IF($A9="N/A"," ",IF(AND(Dayrun3&gt;=4,Dayrun3&lt;=9),0,VLOOKUP($A9,ScaledPrice3,9)))</f>
        <v>0</v>
      </c>
      <c r="F9" s="317" t="n">
        <f aca="false">IF(A9="N/A"," ",IF(OR(Dayrun3=2,Dayrun3=3,Dayrun3=5,Dayrun3=6,Dayrun3=8,Dayrun3=9),VLOOKUP(A9,ScaledPrice3,IF(Scaler3=1,6,5)),0))</f>
        <v>30.9199990844727</v>
      </c>
      <c r="G9" s="317" t="n">
        <f aca="false">IF(A9="N/A"," ",IF(OR(Dayrun3=2,Dayrun3=3,Dayrun3=5,Dayrun3=6),IF(Scaler3=2,F9,(VLOOKUP(A9,ScaledPrice3,5))*(2-(VLOOKUP(A9,ScaledPrice3,3)))),0))</f>
        <v>30.9199990844727</v>
      </c>
      <c r="H9" s="317" t="n">
        <f aca="false">IF($A9="N/A"," ",IF(OR(Dayrun3=2,Dayrun3=3,Dayrun3=10),VLOOKUP($A9,ScaledPrice3,9),0))</f>
        <v>0</v>
      </c>
      <c r="I9" s="317" t="n">
        <f aca="false">IF(A9="N/A"," ",IF(OR(Dayrun3=3,Dayrun3=6,Dayrun3=9),(VLOOKUP(A9,ScaledPrice3,IF(Scaler3=2,7,8))),0))</f>
        <v>21.4199990844727</v>
      </c>
      <c r="J9" s="317" t="n">
        <f aca="false">IF(A9="N/A"," ",IF(OR(Dayrun3=3,Dayrun3=6),IF(Scaler3=2,I9,(VLOOKUP(A9,ScaledPrice3,7))*(2-(VLOOKUP(A9,ScaledPrice3,3)))),0))</f>
        <v>21.4199990844727</v>
      </c>
      <c r="K9" s="317" t="n">
        <f aca="false">IF($A9="N/A"," ",IF(OR(Dayrun3=3,Dayrun3=10),VLOOKUP($A9,ScaledPrice3,9),0))</f>
        <v>0</v>
      </c>
      <c r="L9" s="318" t="n">
        <f aca="false">IF($A9="N/A"," ",IF(Pricetype3=2,MAX(C9,0),IF(OR(Pricetype3=1,Pricetype3=4),IF(C9=0,0,(EURO(C9,Strikeprice3,0,0,($AH9+IF(Smile=TRUE(),VLOOKUP(MAX(-5,Strikeprice3-C9),Volsmile,2),0)),($A9-DateToday)+15,IF(Pricetype3=1,1,0),0))),C9)))</f>
        <v>44.75</v>
      </c>
      <c r="M9" s="318" t="n">
        <f aca="false">IF($A9="N/A"," ",IF(Pricetype3=2,MAX(D9,0),IF(OR(Pricetype3=1,Pricetype3=4),IF(D9=0,0,(EURO(D9,Strikeprice3,0,0,($AH9+IF(Smile=TRUE(),VLOOKUP(MAX(-5,Strikeprice3-D9),Volsmile,2),0)),($A9-DateToday)+15,IF(Pricetype3=1,1,0),0))),D9)))</f>
        <v>44.75</v>
      </c>
      <c r="N9" s="318" t="n">
        <f aca="false">IF($A9="N/A"," ",IF(Pricetype3=2,MAX(E9,0),IF(OR(Pricetype3=1,Pricetype3=4),IF(E9=0,0,(EURO(E9,Strikeprice3,0,0,($AK9+IF(Smile=TRUE(),VLOOKUP(MAX(-5,Strikeprice3-E9),Volsmile,2),0)),($A9-DateToday)+15,IF(Pricetype3=1,1,0),0))),E9)))</f>
        <v>0</v>
      </c>
      <c r="O9" s="318" t="n">
        <f aca="false">IF($A9="N/A"," ",IF(Pricetype3=2,MAX(F9,0),IF(OR(Pricetype3=1,Pricetype3=4),IF(F9=0,0,(EURO(F9,Strikeprice3,0,0,($AK9+IF(Smile=TRUE(),VLOOKUP(MAX(-5,Strikeprice3-F9),Volsmile,2),0)),($A9-DateToday)+15,IF(Pricetype3=1,1,0),0))),F9)))</f>
        <v>30.9199990844727</v>
      </c>
      <c r="P9" s="318" t="n">
        <f aca="false">IF($A9="N/A"," ",IF(Pricetype3=2,MAX(G9,0),IF(OR(Pricetype3=1,Pricetype3=4),IF(G9=0,0,(EURO(G9,Strikeprice3,0,0,($AK9+IF(Smile=TRUE(),VLOOKUP(MAX(-5,Strikeprice3-G9),Volsmile,2),0)),($A9-DateToday)+15,IF(Pricetype3=1,1,0),0))),G9)))</f>
        <v>30.9199990844727</v>
      </c>
      <c r="Q9" s="318" t="n">
        <f aca="false">IF($A9="N/A"," ",IF(Pricetype3=2,MAX(H9,0),IF(OR(Pricetype3=1,Pricetype3=4),IF(H9=0,0,(EURO(H9,Strikeprice3,0,0,($AK9+IF(Smile=TRUE(),VLOOKUP(MAX(-5,Strikeprice3-H9),Volsmile,2),0)),($A9-DateToday)+15,IF(Pricetype3=1,1,0),0))),H9)))</f>
        <v>0</v>
      </c>
      <c r="R9" s="318" t="n">
        <f aca="false">IF($A9="N/A"," ",IF(Pricetype3=2,MAX(I9,0),IF(OR(Pricetype3=1,Pricetype3=4),IF(I9=0,0,(EURO(I9,Strikeprice3,0,0,($AK9+IF(Smile=TRUE(),VLOOKUP(MAX(-5,Strikeprice3-I9),Volsmile,2),0)),($A9-DateToday)+15,IF(Pricetype3=1,1,0),0))),I9)))</f>
        <v>21.4199990844727</v>
      </c>
      <c r="S9" s="318" t="n">
        <f aca="false">IF($A9="N/A"," ",IF(Pricetype3=2,MAX(J9,0),IF(OR(Pricetype3=1,Pricetype3=4),IF(J9=0,0,(EURO(J9,Strikeprice3,0,0,($AK9+IF(Smile=TRUE(),VLOOKUP(MAX(-5,Strikeprice3-J9),Volsmile,2),0)),($A9-DateToday)+15,IF(Pricetype3=1,1,0),0))),J9)))</f>
        <v>21.4199990844727</v>
      </c>
      <c r="T9" s="318" t="n">
        <f aca="false">IF($A9="N/A"," ",IF(Pricetype3=2,MAX(K9,0),IF(OR(Pricetype3=1,Pricetype3=4),IF(K9=0,0,(EURO(K9,Strikeprice3,0,0,($AK9+IF(Smile=TRUE(),VLOOKUP(MAX(-5,Strikeprice3-K9),Volsmile,2),0)),($A9-DateToday)+15,IF(Pricetype3=1,1,0),0))),K9)))</f>
        <v>0</v>
      </c>
      <c r="U9" s="319" t="e">
        <f aca="false">IF($A9="N/A"," ",Volume3*$AM9)</f>
        <v>#N/A</v>
      </c>
      <c r="V9" s="320" t="e">
        <f aca="false">IF($A9="N/A"," ",$U9*(8*($BQ9))*L9)</f>
        <v>#N/A</v>
      </c>
      <c r="W9" s="320" t="e">
        <f aca="false">IF($A9="N/A"," ",$U9*(8*($BQ9))*M9)</f>
        <v>#N/A</v>
      </c>
      <c r="X9" s="320" t="e">
        <f aca="false">IF($A9="N/A"," ",$U9*(8*($BQ9))*N9)</f>
        <v>#N/A</v>
      </c>
      <c r="Y9" s="320" t="e">
        <f aca="false">IF($A9="N/A"," ",$U9*(8*($BR9))*O9)</f>
        <v>#N/A</v>
      </c>
      <c r="Z9" s="320" t="e">
        <f aca="false">IF($A9="N/A"," ",$U9*(8*($BR9))*P9)</f>
        <v>#N/A</v>
      </c>
      <c r="AA9" s="320" t="e">
        <f aca="false">IF($A9="N/A"," ",$U9*(8*($BR9))*Q9)</f>
        <v>#N/A</v>
      </c>
      <c r="AB9" s="320" t="e">
        <f aca="false">IF($A9="N/A"," ",$U9*(8*($BS9))*R9)</f>
        <v>#N/A</v>
      </c>
      <c r="AC9" s="320" t="e">
        <f aca="false">IF($A9="N/A"," ",$U9*(8*($BS9))*S9)</f>
        <v>#N/A</v>
      </c>
      <c r="AD9" s="320" t="e">
        <f aca="false">IF($A9="N/A"," ",$U9*(8*($BS9))*T9)</f>
        <v>#N/A</v>
      </c>
      <c r="AE9" s="320" t="e">
        <f aca="false">IF($A9="N/A"," ",SUM(V9:AD9))</f>
        <v>#N/A</v>
      </c>
      <c r="AF9" s="321" t="n">
        <f aca="false">IF(A9="N/A"," ",(VLOOKUP(A9,PowerVolTable,(IF(VolBMO3=2,7,IF(VolBMO3=1,6,8))),FALSE())))</f>
        <v>0.28</v>
      </c>
      <c r="AG9" s="321" t="n">
        <f aca="false">IF(A9="N/A"," ",(VLOOKUP(A9,IntraPowerVol,(IF(VolBMO3=2,3,IF(VolBMO3=1,2,4))),FALSE())*VLOOKUP(MONTH($A9),Volscale,2)))</f>
        <v>0.6</v>
      </c>
      <c r="AH9" s="321" t="n">
        <f aca="false">IF($A9="N/A"," ",IF(VolType3=1,AG9,AF9))</f>
        <v>0.6</v>
      </c>
      <c r="AI9" s="321" t="n">
        <f aca="false">IF($A9="N/A"," ",(VLOOKUP($A9,OffPwrVolTable,(IF(VolBMO3=2,7,IF(VolBMO3=1,6,8))),FALSE())))</f>
        <v>0.14</v>
      </c>
      <c r="AJ9" s="321" t="n">
        <f aca="false">IF($A9="N/A"," ",(VLOOKUP($A9,OffPwrVolTable,(IF(VolBMO3=2,3,IF(VolBMO3=1,2,4))),FALSE())*VLOOKUP(MONTH($A9),Volscale,2)))</f>
        <v>0.36</v>
      </c>
      <c r="AK9" s="321" t="n">
        <f aca="false">IF($A9="N/A"," ",IF(VolType3=1,AJ9,AI9))</f>
        <v>0.36</v>
      </c>
      <c r="AL9" s="321" t="e">
        <f aca="false">IF($A9="N/A"," ",IF(PV=1,0,'Pricing Inputs3'!R42))</f>
        <v>#N/A</v>
      </c>
      <c r="AM9" s="323" t="e">
        <f aca="false">IF($A9="N/A"," ",(1+AL9/2)^(-2*((EOMONTH(A9,0)+20)-DateToday)/365.25))</f>
        <v>#N/A</v>
      </c>
      <c r="BQ9" s="0" t="n">
        <f aca="false">IF($A9="N/A"," ",(VLOOKUP($A9,NumberofDaysTable,2)))</f>
        <v>20</v>
      </c>
      <c r="BR9" s="0" t="n">
        <f aca="false">IF($A9="N/A"," ",(VLOOKUP($A9,NumberofDaysTable,3)))</f>
        <v>5</v>
      </c>
      <c r="BS9" s="0" t="n">
        <f aca="false">IF($A9="N/A"," ",(VLOOKUP($A9,NumberofDaysTable,4)))</f>
        <v>5</v>
      </c>
    </row>
    <row r="10" customFormat="false" ht="12.75" hidden="false" customHeight="false" outlineLevel="0" collapsed="false">
      <c r="A10" s="315" t="n">
        <f aca="false">IF(A9="N/A","N/A",IF(EDATE(A9,1)&gt;Inputs!$Q$5,"N/A",EDATE(A9,1)))</f>
        <v>37438</v>
      </c>
      <c r="B10" s="316" t="n">
        <f aca="false">IF(A10="N/A"," ",YEAR(A10))</f>
        <v>2002</v>
      </c>
      <c r="C10" s="317" t="n">
        <f aca="false">IF($A10="N/A"," ",IF(Dayrun3=10,0,IF(Scaler3=1,(VLOOKUP(A10,ScaledPrice3,4)),(VLOOKUP(A10,ScaledPrice3,2)))))</f>
        <v>62.25</v>
      </c>
      <c r="D10" s="317" t="n">
        <f aca="false">IF(A10="N/A"," ",IF(Dayrun3&gt;=7,0,IF(Scaler3=2,VLOOKUP(A10,ScaledPrice3,2),(VLOOKUP(A10,ScaledPrice3,2))*(2-(VLOOKUP(A10,ScaledPrice3,3))))))</f>
        <v>62.25</v>
      </c>
      <c r="E10" s="317" t="n">
        <f aca="false">IF($A10="N/A"," ",IF(AND(Dayrun3&gt;=4,Dayrun3&lt;=9),0,VLOOKUP($A10,ScaledPrice3,9)))</f>
        <v>0</v>
      </c>
      <c r="F10" s="317" t="n">
        <f aca="false">IF(A10="N/A"," ",IF(OR(Dayrun3=2,Dayrun3=3,Dayrun3=5,Dayrun3=6,Dayrun3=8,Dayrun3=9),VLOOKUP(A10,ScaledPrice3,IF(Scaler3=1,6,5)),0))</f>
        <v>36.9199990844727</v>
      </c>
      <c r="G10" s="317" t="n">
        <f aca="false">IF(A10="N/A"," ",IF(OR(Dayrun3=2,Dayrun3=3,Dayrun3=5,Dayrun3=6),IF(Scaler3=2,F10,(VLOOKUP(A10,ScaledPrice3,5))*(2-(VLOOKUP(A10,ScaledPrice3,3)))),0))</f>
        <v>36.9199990844727</v>
      </c>
      <c r="H10" s="317" t="n">
        <f aca="false">IF($A10="N/A"," ",IF(OR(Dayrun3=2,Dayrun3=3,Dayrun3=10),VLOOKUP($A10,ScaledPrice3,9),0))</f>
        <v>0</v>
      </c>
      <c r="I10" s="317" t="n">
        <f aca="false">IF(A10="N/A"," ",IF(OR(Dayrun3=3,Dayrun3=6,Dayrun3=9),(VLOOKUP(A10,ScaledPrice3,IF(Scaler3=2,7,8))),0))</f>
        <v>27.4199990844727</v>
      </c>
      <c r="J10" s="317" t="n">
        <f aca="false">IF(A10="N/A"," ",IF(OR(Dayrun3=3,Dayrun3=6),IF(Scaler3=2,I10,(VLOOKUP(A10,ScaledPrice3,7))*(2-(VLOOKUP(A10,ScaledPrice3,3)))),0))</f>
        <v>27.4199990844727</v>
      </c>
      <c r="K10" s="317" t="n">
        <f aca="false">IF($A10="N/A"," ",IF(OR(Dayrun3=3,Dayrun3=10),VLOOKUP($A10,ScaledPrice3,9),0))</f>
        <v>0</v>
      </c>
      <c r="L10" s="318" t="n">
        <f aca="false">IF($A10="N/A"," ",IF(Pricetype3=2,MAX(C10,0),IF(OR(Pricetype3=1,Pricetype3=4),IF(C10=0,0,(EURO(C10,Strikeprice3,0,0,($AH10+IF(Smile=TRUE(),VLOOKUP(MAX(-5,Strikeprice3-C10),Volsmile,2),0)),($A10-DateToday)+15,IF(Pricetype3=1,1,0),0))),C10)))</f>
        <v>62.25</v>
      </c>
      <c r="M10" s="318" t="n">
        <f aca="false">IF($A10="N/A"," ",IF(Pricetype3=2,MAX(D10,0),IF(OR(Pricetype3=1,Pricetype3=4),IF(D10=0,0,(EURO(D10,Strikeprice3,0,0,($AH10+IF(Smile=TRUE(),VLOOKUP(MAX(-5,Strikeprice3-D10),Volsmile,2),0)),($A10-DateToday)+15,IF(Pricetype3=1,1,0),0))),D10)))</f>
        <v>62.25</v>
      </c>
      <c r="N10" s="318" t="n">
        <f aca="false">IF($A10="N/A"," ",IF(Pricetype3=2,MAX(E10,0),IF(OR(Pricetype3=1,Pricetype3=4),IF(E10=0,0,(EURO(E10,Strikeprice3,0,0,($AK10+IF(Smile=TRUE(),VLOOKUP(MAX(-5,Strikeprice3-E10),Volsmile,2),0)),($A10-DateToday)+15,IF(Pricetype3=1,1,0),0))),E10)))</f>
        <v>0</v>
      </c>
      <c r="O10" s="318" t="n">
        <f aca="false">IF($A10="N/A"," ",IF(Pricetype3=2,MAX(F10,0),IF(OR(Pricetype3=1,Pricetype3=4),IF(F10=0,0,(EURO(F10,Strikeprice3,0,0,($AK10+IF(Smile=TRUE(),VLOOKUP(MAX(-5,Strikeprice3-F10),Volsmile,2),0)),($A10-DateToday)+15,IF(Pricetype3=1,1,0),0))),F10)))</f>
        <v>36.9199990844727</v>
      </c>
      <c r="P10" s="318" t="n">
        <f aca="false">IF($A10="N/A"," ",IF(Pricetype3=2,MAX(G10,0),IF(OR(Pricetype3=1,Pricetype3=4),IF(G10=0,0,(EURO(G10,Strikeprice3,0,0,($AK10+IF(Smile=TRUE(),VLOOKUP(MAX(-5,Strikeprice3-G10),Volsmile,2),0)),($A10-DateToday)+15,IF(Pricetype3=1,1,0),0))),G10)))</f>
        <v>36.9199990844727</v>
      </c>
      <c r="Q10" s="318" t="n">
        <f aca="false">IF($A10="N/A"," ",IF(Pricetype3=2,MAX(H10,0),IF(OR(Pricetype3=1,Pricetype3=4),IF(H10=0,0,(EURO(H10,Strikeprice3,0,0,($AK10+IF(Smile=TRUE(),VLOOKUP(MAX(-5,Strikeprice3-H10),Volsmile,2),0)),($A10-DateToday)+15,IF(Pricetype3=1,1,0),0))),H10)))</f>
        <v>0</v>
      </c>
      <c r="R10" s="318" t="n">
        <f aca="false">IF($A10="N/A"," ",IF(Pricetype3=2,MAX(I10,0),IF(OR(Pricetype3=1,Pricetype3=4),IF(I10=0,0,(EURO(I10,Strikeprice3,0,0,($AK10+IF(Smile=TRUE(),VLOOKUP(MAX(-5,Strikeprice3-I10),Volsmile,2),0)),($A10-DateToday)+15,IF(Pricetype3=1,1,0),0))),I10)))</f>
        <v>27.4199990844727</v>
      </c>
      <c r="S10" s="318" t="n">
        <f aca="false">IF($A10="N/A"," ",IF(Pricetype3=2,MAX(J10,0),IF(OR(Pricetype3=1,Pricetype3=4),IF(J10=0,0,(EURO(J10,Strikeprice3,0,0,($AK10+IF(Smile=TRUE(),VLOOKUP(MAX(-5,Strikeprice3-J10),Volsmile,2),0)),($A10-DateToday)+15,IF(Pricetype3=1,1,0),0))),J10)))</f>
        <v>27.4199990844727</v>
      </c>
      <c r="T10" s="318" t="n">
        <f aca="false">IF($A10="N/A"," ",IF(Pricetype3=2,MAX(K10,0),IF(OR(Pricetype3=1,Pricetype3=4),IF(K10=0,0,(EURO(K10,Strikeprice3,0,0,($AK10+IF(Smile=TRUE(),VLOOKUP(MAX(-5,Strikeprice3-K10),Volsmile,2),0)),($A10-DateToday)+15,IF(Pricetype3=1,1,0),0))),K10)))</f>
        <v>0</v>
      </c>
      <c r="U10" s="319" t="e">
        <f aca="false">IF($A10="N/A"," ",Volume3*$AM10)</f>
        <v>#N/A</v>
      </c>
      <c r="V10" s="320" t="e">
        <f aca="false">IF($A10="N/A"," ",$U10*(8*($BQ10))*L10)</f>
        <v>#N/A</v>
      </c>
      <c r="W10" s="320" t="e">
        <f aca="false">IF($A10="N/A"," ",$U10*(8*($BQ10))*M10)</f>
        <v>#N/A</v>
      </c>
      <c r="X10" s="320" t="e">
        <f aca="false">IF($A10="N/A"," ",$U10*(8*($BQ10))*N10)</f>
        <v>#N/A</v>
      </c>
      <c r="Y10" s="320" t="e">
        <f aca="false">IF($A10="N/A"," ",$U10*(8*($BR10))*O10)</f>
        <v>#N/A</v>
      </c>
      <c r="Z10" s="320" t="e">
        <f aca="false">IF($A10="N/A"," ",$U10*(8*($BR10))*P10)</f>
        <v>#N/A</v>
      </c>
      <c r="AA10" s="320" t="e">
        <f aca="false">IF($A10="N/A"," ",$U10*(8*($BR10))*Q10)</f>
        <v>#N/A</v>
      </c>
      <c r="AB10" s="320" t="e">
        <f aca="false">IF($A10="N/A"," ",$U10*(8*($BS10))*R10)</f>
        <v>#N/A</v>
      </c>
      <c r="AC10" s="320" t="e">
        <f aca="false">IF($A10="N/A"," ",$U10*(8*($BS10))*S10)</f>
        <v>#N/A</v>
      </c>
      <c r="AD10" s="320" t="e">
        <f aca="false">IF($A10="N/A"," ",$U10*(8*($BS10))*T10)</f>
        <v>#N/A</v>
      </c>
      <c r="AE10" s="320" t="e">
        <f aca="false">IF($A10="N/A"," ",SUM(V10:AD10))</f>
        <v>#N/A</v>
      </c>
      <c r="AF10" s="321" t="n">
        <f aca="false">IF(A10="N/A"," ",(VLOOKUP(A10,PowerVolTable,(IF(VolBMO3=2,7,IF(VolBMO3=1,6,8))),FALSE())))</f>
        <v>0.36</v>
      </c>
      <c r="AG10" s="321" t="n">
        <f aca="false">IF(A10="N/A"," ",(VLOOKUP(A10,IntraPowerVol,(IF(VolBMO3=2,3,IF(VolBMO3=1,2,4))),FALSE())*VLOOKUP(MONTH($A10),Volscale,2)))</f>
        <v>0.72</v>
      </c>
      <c r="AH10" s="321" t="n">
        <f aca="false">IF($A10="N/A"," ",IF(VolType3=1,AG10,AF10))</f>
        <v>0.72</v>
      </c>
      <c r="AI10" s="321" t="n">
        <f aca="false">IF($A10="N/A"," ",(VLOOKUP($A10,OffPwrVolTable,(IF(VolBMO3=2,7,IF(VolBMO3=1,6,8))),FALSE())))</f>
        <v>0.18</v>
      </c>
      <c r="AJ10" s="321" t="n">
        <f aca="false">IF($A10="N/A"," ",(VLOOKUP($A10,OffPwrVolTable,(IF(VolBMO3=2,3,IF(VolBMO3=1,2,4))),FALSE())*VLOOKUP(MONTH($A10),Volscale,2)))</f>
        <v>0.432</v>
      </c>
      <c r="AK10" s="321" t="n">
        <f aca="false">IF($A10="N/A"," ",IF(VolType3=1,AJ10,AI10))</f>
        <v>0.432</v>
      </c>
      <c r="AL10" s="321" t="e">
        <f aca="false">IF($A10="N/A"," ",IF(PV=1,0,'Pricing Inputs3'!R43))</f>
        <v>#N/A</v>
      </c>
      <c r="AM10" s="323" t="e">
        <f aca="false">IF($A10="N/A"," ",(1+AL10/2)^(-2*((EOMONTH(A10,0)+20)-DateToday)/365.25))</f>
        <v>#N/A</v>
      </c>
      <c r="BQ10" s="0" t="n">
        <f aca="false">IF($A10="N/A"," ",(VLOOKUP($A10,NumberofDaysTable,2)))</f>
        <v>22</v>
      </c>
      <c r="BR10" s="0" t="n">
        <f aca="false">IF($A10="N/A"," ",(VLOOKUP($A10,NumberofDaysTable,3)))</f>
        <v>4</v>
      </c>
      <c r="BS10" s="0" t="n">
        <f aca="false">IF($A10="N/A"," ",(VLOOKUP($A10,NumberofDaysTable,4)))</f>
        <v>5</v>
      </c>
    </row>
    <row r="11" customFormat="false" ht="12.75" hidden="false" customHeight="false" outlineLevel="0" collapsed="false">
      <c r="A11" s="315" t="n">
        <f aca="false">IF(A10="N/A","N/A",IF(EDATE(A10,1)&gt;Inputs!$Q$5,"N/A",EDATE(A10,1)))</f>
        <v>37469</v>
      </c>
      <c r="B11" s="316" t="n">
        <f aca="false">IF(A11="N/A"," ",YEAR(A11))</f>
        <v>2002</v>
      </c>
      <c r="C11" s="317" t="n">
        <f aca="false">IF($A11="N/A"," ",IF(Dayrun3=10,0,IF(Scaler3=1,(VLOOKUP(A11,ScaledPrice3,4)),(VLOOKUP(A11,ScaledPrice3,2)))))</f>
        <v>62.25</v>
      </c>
      <c r="D11" s="317" t="n">
        <f aca="false">IF(A11="N/A"," ",IF(Dayrun3&gt;=7,0,IF(Scaler3=2,VLOOKUP(A11,ScaledPrice3,2),(VLOOKUP(A11,ScaledPrice3,2))*(2-(VLOOKUP(A11,ScaledPrice3,3))))))</f>
        <v>62.25</v>
      </c>
      <c r="E11" s="317" t="n">
        <f aca="false">IF($A11="N/A"," ",IF(AND(Dayrun3&gt;=4,Dayrun3&lt;=9),0,VLOOKUP($A11,ScaledPrice3,9)))</f>
        <v>0</v>
      </c>
      <c r="F11" s="317" t="n">
        <f aca="false">IF(A11="N/A"," ",IF(OR(Dayrun3=2,Dayrun3=3,Dayrun3=5,Dayrun3=6,Dayrun3=8,Dayrun3=9),VLOOKUP(A11,ScaledPrice3,IF(Scaler3=1,6,5)),0))</f>
        <v>34.9200028991699</v>
      </c>
      <c r="G11" s="317" t="n">
        <f aca="false">IF(A11="N/A"," ",IF(OR(Dayrun3=2,Dayrun3=3,Dayrun3=5,Dayrun3=6),IF(Scaler3=2,F11,(VLOOKUP(A11,ScaledPrice3,5))*(2-(VLOOKUP(A11,ScaledPrice3,3)))),0))</f>
        <v>34.9200028991699</v>
      </c>
      <c r="H11" s="317" t="n">
        <f aca="false">IF($A11="N/A"," ",IF(OR(Dayrun3=2,Dayrun3=3,Dayrun3=10),VLOOKUP($A11,ScaledPrice3,9),0))</f>
        <v>0</v>
      </c>
      <c r="I11" s="317" t="n">
        <f aca="false">IF(A11="N/A"," ",IF(OR(Dayrun3=3,Dayrun3=6,Dayrun3=9),(VLOOKUP(A11,ScaledPrice3,IF(Scaler3=2,7,8))),0))</f>
        <v>27.4199990844727</v>
      </c>
      <c r="J11" s="317" t="n">
        <f aca="false">IF(A11="N/A"," ",IF(OR(Dayrun3=3,Dayrun3=6),IF(Scaler3=2,I11,(VLOOKUP(A11,ScaledPrice3,7))*(2-(VLOOKUP(A11,ScaledPrice3,3)))),0))</f>
        <v>27.4199990844727</v>
      </c>
      <c r="K11" s="317" t="n">
        <f aca="false">IF($A11="N/A"," ",IF(OR(Dayrun3=3,Dayrun3=10),VLOOKUP($A11,ScaledPrice3,9),0))</f>
        <v>0</v>
      </c>
      <c r="L11" s="318" t="n">
        <f aca="false">IF($A11="N/A"," ",IF(Pricetype3=2,MAX(C11,0),IF(OR(Pricetype3=1,Pricetype3=4),IF(C11=0,0,(EURO(C11,Strikeprice3,0,0,($AH11+IF(Smile=TRUE(),VLOOKUP(MAX(-5,Strikeprice3-C11),Volsmile,2),0)),($A11-DateToday)+15,IF(Pricetype3=1,1,0),0))),C11)))</f>
        <v>62.25</v>
      </c>
      <c r="M11" s="318" t="n">
        <f aca="false">IF($A11="N/A"," ",IF(Pricetype3=2,MAX(D11,0),IF(OR(Pricetype3=1,Pricetype3=4),IF(D11=0,0,(EURO(D11,Strikeprice3,0,0,($AH11+IF(Smile=TRUE(),VLOOKUP(MAX(-5,Strikeprice3-D11),Volsmile,2),0)),($A11-DateToday)+15,IF(Pricetype3=1,1,0),0))),D11)))</f>
        <v>62.25</v>
      </c>
      <c r="N11" s="318" t="n">
        <f aca="false">IF($A11="N/A"," ",IF(Pricetype3=2,MAX(E11,0),IF(OR(Pricetype3=1,Pricetype3=4),IF(E11=0,0,(EURO(E11,Strikeprice3,0,0,($AK11+IF(Smile=TRUE(),VLOOKUP(MAX(-5,Strikeprice3-E11),Volsmile,2),0)),($A11-DateToday)+15,IF(Pricetype3=1,1,0),0))),E11)))</f>
        <v>0</v>
      </c>
      <c r="O11" s="318" t="n">
        <f aca="false">IF($A11="N/A"," ",IF(Pricetype3=2,MAX(F11,0),IF(OR(Pricetype3=1,Pricetype3=4),IF(F11=0,0,(EURO(F11,Strikeprice3,0,0,($AK11+IF(Smile=TRUE(),VLOOKUP(MAX(-5,Strikeprice3-F11),Volsmile,2),0)),($A11-DateToday)+15,IF(Pricetype3=1,1,0),0))),F11)))</f>
        <v>34.9200028991699</v>
      </c>
      <c r="P11" s="318" t="n">
        <f aca="false">IF($A11="N/A"," ",IF(Pricetype3=2,MAX(G11,0),IF(OR(Pricetype3=1,Pricetype3=4),IF(G11=0,0,(EURO(G11,Strikeprice3,0,0,($AK11+IF(Smile=TRUE(),VLOOKUP(MAX(-5,Strikeprice3-G11),Volsmile,2),0)),($A11-DateToday)+15,IF(Pricetype3=1,1,0),0))),G11)))</f>
        <v>34.9200028991699</v>
      </c>
      <c r="Q11" s="318" t="n">
        <f aca="false">IF($A11="N/A"," ",IF(Pricetype3=2,MAX(H11,0),IF(OR(Pricetype3=1,Pricetype3=4),IF(H11=0,0,(EURO(H11,Strikeprice3,0,0,($AK11+IF(Smile=TRUE(),VLOOKUP(MAX(-5,Strikeprice3-H11),Volsmile,2),0)),($A11-DateToday)+15,IF(Pricetype3=1,1,0),0))),H11)))</f>
        <v>0</v>
      </c>
      <c r="R11" s="318" t="n">
        <f aca="false">IF($A11="N/A"," ",IF(Pricetype3=2,MAX(I11,0),IF(OR(Pricetype3=1,Pricetype3=4),IF(I11=0,0,(EURO(I11,Strikeprice3,0,0,($AK11+IF(Smile=TRUE(),VLOOKUP(MAX(-5,Strikeprice3-I11),Volsmile,2),0)),($A11-DateToday)+15,IF(Pricetype3=1,1,0),0))),I11)))</f>
        <v>27.4199990844727</v>
      </c>
      <c r="S11" s="318" t="n">
        <f aca="false">IF($A11="N/A"," ",IF(Pricetype3=2,MAX(J11,0),IF(OR(Pricetype3=1,Pricetype3=4),IF(J11=0,0,(EURO(J11,Strikeprice3,0,0,($AK11+IF(Smile=TRUE(),VLOOKUP(MAX(-5,Strikeprice3-J11),Volsmile,2),0)),($A11-DateToday)+15,IF(Pricetype3=1,1,0),0))),J11)))</f>
        <v>27.4199990844727</v>
      </c>
      <c r="T11" s="318" t="n">
        <f aca="false">IF($A11="N/A"," ",IF(Pricetype3=2,MAX(K11,0),IF(OR(Pricetype3=1,Pricetype3=4),IF(K11=0,0,(EURO(K11,Strikeprice3,0,0,($AK11+IF(Smile=TRUE(),VLOOKUP(MAX(-5,Strikeprice3-K11),Volsmile,2),0)),($A11-DateToday)+15,IF(Pricetype3=1,1,0),0))),K11)))</f>
        <v>0</v>
      </c>
      <c r="U11" s="319" t="e">
        <f aca="false">IF($A11="N/A"," ",Volume3*$AM11)</f>
        <v>#N/A</v>
      </c>
      <c r="V11" s="320" t="e">
        <f aca="false">IF($A11="N/A"," ",$U11*(8*($BQ11))*L11)</f>
        <v>#N/A</v>
      </c>
      <c r="W11" s="320" t="e">
        <f aca="false">IF($A11="N/A"," ",$U11*(8*($BQ11))*M11)</f>
        <v>#N/A</v>
      </c>
      <c r="X11" s="320" t="e">
        <f aca="false">IF($A11="N/A"," ",$U11*(8*($BQ11))*N11)</f>
        <v>#N/A</v>
      </c>
      <c r="Y11" s="320" t="e">
        <f aca="false">IF($A11="N/A"," ",$U11*(8*($BR11))*O11)</f>
        <v>#N/A</v>
      </c>
      <c r="Z11" s="320" t="e">
        <f aca="false">IF($A11="N/A"," ",$U11*(8*($BR11))*P11)</f>
        <v>#N/A</v>
      </c>
      <c r="AA11" s="320" t="e">
        <f aca="false">IF($A11="N/A"," ",$U11*(8*($BR11))*Q11)</f>
        <v>#N/A</v>
      </c>
      <c r="AB11" s="320" t="e">
        <f aca="false">IF($A11="N/A"," ",$U11*(8*($BS11))*R11)</f>
        <v>#N/A</v>
      </c>
      <c r="AC11" s="320" t="e">
        <f aca="false">IF($A11="N/A"," ",$U11*(8*($BS11))*S11)</f>
        <v>#N/A</v>
      </c>
      <c r="AD11" s="320" t="e">
        <f aca="false">IF($A11="N/A"," ",$U11*(8*($BS11))*T11)</f>
        <v>#N/A</v>
      </c>
      <c r="AE11" s="320" t="e">
        <f aca="false">IF($A11="N/A"," ",SUM(V11:AD11))</f>
        <v>#N/A</v>
      </c>
      <c r="AF11" s="321" t="n">
        <f aca="false">IF(A11="N/A"," ",(VLOOKUP(A11,PowerVolTable,(IF(VolBMO3=2,7,IF(VolBMO3=1,6,8))),FALSE())))</f>
        <v>0.36</v>
      </c>
      <c r="AG11" s="321" t="n">
        <f aca="false">IF(A11="N/A"," ",(VLOOKUP(A11,IntraPowerVol,(IF(VolBMO3=2,3,IF(VolBMO3=1,2,4))),FALSE())*VLOOKUP(MONTH($A11),Volscale,2)))</f>
        <v>0.72</v>
      </c>
      <c r="AH11" s="321" t="n">
        <f aca="false">IF($A11="N/A"," ",IF(VolType3=1,AG11,AF11))</f>
        <v>0.72</v>
      </c>
      <c r="AI11" s="321" t="n">
        <f aca="false">IF($A11="N/A"," ",(VLOOKUP($A11,OffPwrVolTable,(IF(VolBMO3=2,7,IF(VolBMO3=1,6,8))),FALSE())))</f>
        <v>0.18</v>
      </c>
      <c r="AJ11" s="321" t="n">
        <f aca="false">IF($A11="N/A"," ",(VLOOKUP($A11,OffPwrVolTable,(IF(VolBMO3=2,3,IF(VolBMO3=1,2,4))),FALSE())*VLOOKUP(MONTH($A11),Volscale,2)))</f>
        <v>0.432</v>
      </c>
      <c r="AK11" s="321" t="n">
        <f aca="false">IF($A11="N/A"," ",IF(VolType3=1,AJ11,AI11))</f>
        <v>0.432</v>
      </c>
      <c r="AL11" s="321" t="e">
        <f aca="false">IF($A11="N/A"," ",IF(PV=1,0,'Pricing Inputs3'!R44))</f>
        <v>#N/A</v>
      </c>
      <c r="AM11" s="323" t="e">
        <f aca="false">IF($A11="N/A"," ",(1+AL11/2)^(-2*((EOMONTH(A11,0)+20)-DateToday)/365.25))</f>
        <v>#N/A</v>
      </c>
      <c r="BQ11" s="0" t="n">
        <f aca="false">IF($A11="N/A"," ",(VLOOKUP($A11,NumberofDaysTable,2)))</f>
        <v>22</v>
      </c>
      <c r="BR11" s="0" t="n">
        <f aca="false">IF($A11="N/A"," ",(VLOOKUP($A11,NumberofDaysTable,3)))</f>
        <v>5</v>
      </c>
      <c r="BS11" s="0" t="n">
        <f aca="false">IF($A11="N/A"," ",(VLOOKUP($A11,NumberofDaysTable,4)))</f>
        <v>4</v>
      </c>
    </row>
    <row r="12" customFormat="false" ht="12.75" hidden="false" customHeight="false" outlineLevel="0" collapsed="false">
      <c r="A12" s="315" t="n">
        <f aca="false">IF(A11="N/A","N/A",IF(EDATE(A11,1)&gt;Inputs!$Q$5,"N/A",EDATE(A11,1)))</f>
        <v>37500</v>
      </c>
      <c r="B12" s="316" t="n">
        <f aca="false">IF(A12="N/A"," ",YEAR(A12))</f>
        <v>2002</v>
      </c>
      <c r="C12" s="317" t="n">
        <f aca="false">IF($A12="N/A"," ",IF(Dayrun3=10,0,IF(Scaler3=1,(VLOOKUP(A12,ScaledPrice3,4)),(VLOOKUP(A12,ScaledPrice3,2)))))</f>
        <v>29.25</v>
      </c>
      <c r="D12" s="317" t="n">
        <f aca="false">IF(A12="N/A"," ",IF(Dayrun3&gt;=7,0,IF(Scaler3=2,VLOOKUP(A12,ScaledPrice3,2),(VLOOKUP(A12,ScaledPrice3,2))*(2-(VLOOKUP(A12,ScaledPrice3,3))))))</f>
        <v>29.25</v>
      </c>
      <c r="E12" s="317" t="n">
        <f aca="false">IF($A12="N/A"," ",IF(AND(Dayrun3&gt;=4,Dayrun3&lt;=9),0,VLOOKUP($A12,ScaledPrice3,9)))</f>
        <v>0</v>
      </c>
      <c r="F12" s="317" t="n">
        <f aca="false">IF(A12="N/A"," ",IF(OR(Dayrun3=2,Dayrun3=3,Dayrun3=5,Dayrun3=6,Dayrun3=8,Dayrun3=9),VLOOKUP(A12,ScaledPrice3,IF(Scaler3=1,6,5)),0))</f>
        <v>26.9199990844727</v>
      </c>
      <c r="G12" s="317" t="n">
        <f aca="false">IF(A12="N/A"," ",IF(OR(Dayrun3=2,Dayrun3=3,Dayrun3=5,Dayrun3=6),IF(Scaler3=2,F12,(VLOOKUP(A12,ScaledPrice3,5))*(2-(VLOOKUP(A12,ScaledPrice3,3)))),0))</f>
        <v>26.9199990844727</v>
      </c>
      <c r="H12" s="317" t="n">
        <f aca="false">IF($A12="N/A"," ",IF(OR(Dayrun3=2,Dayrun3=3,Dayrun3=10),VLOOKUP($A12,ScaledPrice3,9),0))</f>
        <v>0</v>
      </c>
      <c r="I12" s="317" t="n">
        <f aca="false">IF(A12="N/A"," ",IF(OR(Dayrun3=3,Dayrun3=6,Dayrun3=9),(VLOOKUP(A12,ScaledPrice3,IF(Scaler3=2,7,8))),0))</f>
        <v>21.4199990844727</v>
      </c>
      <c r="J12" s="317" t="n">
        <f aca="false">IF(A12="N/A"," ",IF(OR(Dayrun3=3,Dayrun3=6),IF(Scaler3=2,I12,(VLOOKUP(A12,ScaledPrice3,7))*(2-(VLOOKUP(A12,ScaledPrice3,3)))),0))</f>
        <v>21.4199990844727</v>
      </c>
      <c r="K12" s="317" t="n">
        <f aca="false">IF($A12="N/A"," ",IF(OR(Dayrun3=3,Dayrun3=10),VLOOKUP($A12,ScaledPrice3,9),0))</f>
        <v>0</v>
      </c>
      <c r="L12" s="318" t="n">
        <f aca="false">IF($A12="N/A"," ",IF(Pricetype3=2,MAX(C12,0),IF(OR(Pricetype3=1,Pricetype3=4),IF(C12=0,0,(EURO(C12,Strikeprice3,0,0,($AH12+IF(Smile=TRUE(),VLOOKUP(MAX(-5,Strikeprice3-C12),Volsmile,2),0)),($A12-DateToday)+15,IF(Pricetype3=1,1,0),0))),C12)))</f>
        <v>29.25</v>
      </c>
      <c r="M12" s="318" t="n">
        <f aca="false">IF($A12="N/A"," ",IF(Pricetype3=2,MAX(D12,0),IF(OR(Pricetype3=1,Pricetype3=4),IF(D12=0,0,(EURO(D12,Strikeprice3,0,0,($AH12+IF(Smile=TRUE(),VLOOKUP(MAX(-5,Strikeprice3-D12),Volsmile,2),0)),($A12-DateToday)+15,IF(Pricetype3=1,1,0),0))),D12)))</f>
        <v>29.25</v>
      </c>
      <c r="N12" s="318" t="n">
        <f aca="false">IF($A12="N/A"," ",IF(Pricetype3=2,MAX(E12,0),IF(OR(Pricetype3=1,Pricetype3=4),IF(E12=0,0,(EURO(E12,Strikeprice3,0,0,($AK12+IF(Smile=TRUE(),VLOOKUP(MAX(-5,Strikeprice3-E12),Volsmile,2),0)),($A12-DateToday)+15,IF(Pricetype3=1,1,0),0))),E12)))</f>
        <v>0</v>
      </c>
      <c r="O12" s="318" t="n">
        <f aca="false">IF($A12="N/A"," ",IF(Pricetype3=2,MAX(F12,0),IF(OR(Pricetype3=1,Pricetype3=4),IF(F12=0,0,(EURO(F12,Strikeprice3,0,0,($AK12+IF(Smile=TRUE(),VLOOKUP(MAX(-5,Strikeprice3-F12),Volsmile,2),0)),($A12-DateToday)+15,IF(Pricetype3=1,1,0),0))),F12)))</f>
        <v>26.9199990844727</v>
      </c>
      <c r="P12" s="318" t="n">
        <f aca="false">IF($A12="N/A"," ",IF(Pricetype3=2,MAX(G12,0),IF(OR(Pricetype3=1,Pricetype3=4),IF(G12=0,0,(EURO(G12,Strikeprice3,0,0,($AK12+IF(Smile=TRUE(),VLOOKUP(MAX(-5,Strikeprice3-G12),Volsmile,2),0)),($A12-DateToday)+15,IF(Pricetype3=1,1,0),0))),G12)))</f>
        <v>26.9199990844727</v>
      </c>
      <c r="Q12" s="318" t="n">
        <f aca="false">IF($A12="N/A"," ",IF(Pricetype3=2,MAX(H12,0),IF(OR(Pricetype3=1,Pricetype3=4),IF(H12=0,0,(EURO(H12,Strikeprice3,0,0,($AK12+IF(Smile=TRUE(),VLOOKUP(MAX(-5,Strikeprice3-H12),Volsmile,2),0)),($A12-DateToday)+15,IF(Pricetype3=1,1,0),0))),H12)))</f>
        <v>0</v>
      </c>
      <c r="R12" s="318" t="n">
        <f aca="false">IF($A12="N/A"," ",IF(Pricetype3=2,MAX(I12,0),IF(OR(Pricetype3=1,Pricetype3=4),IF(I12=0,0,(EURO(I12,Strikeprice3,0,0,($AK12+IF(Smile=TRUE(),VLOOKUP(MAX(-5,Strikeprice3-I12),Volsmile,2),0)),($A12-DateToday)+15,IF(Pricetype3=1,1,0),0))),I12)))</f>
        <v>21.4199990844727</v>
      </c>
      <c r="S12" s="318" t="n">
        <f aca="false">IF($A12="N/A"," ",IF(Pricetype3=2,MAX(J12,0),IF(OR(Pricetype3=1,Pricetype3=4),IF(J12=0,0,(EURO(J12,Strikeprice3,0,0,($AK12+IF(Smile=TRUE(),VLOOKUP(MAX(-5,Strikeprice3-J12),Volsmile,2),0)),($A12-DateToday)+15,IF(Pricetype3=1,1,0),0))),J12)))</f>
        <v>21.4199990844727</v>
      </c>
      <c r="T12" s="318" t="n">
        <f aca="false">IF($A12="N/A"," ",IF(Pricetype3=2,MAX(K12,0),IF(OR(Pricetype3=1,Pricetype3=4),IF(K12=0,0,(EURO(K12,Strikeprice3,0,0,($AK12+IF(Smile=TRUE(),VLOOKUP(MAX(-5,Strikeprice3-K12),Volsmile,2),0)),($A12-DateToday)+15,IF(Pricetype3=1,1,0),0))),K12)))</f>
        <v>0</v>
      </c>
      <c r="U12" s="319" t="e">
        <f aca="false">IF($A12="N/A"," ",Volume3*$AM12)</f>
        <v>#N/A</v>
      </c>
      <c r="V12" s="320" t="e">
        <f aca="false">IF($A12="N/A"," ",$U12*(8*($BQ12))*L12)</f>
        <v>#N/A</v>
      </c>
      <c r="W12" s="320" t="e">
        <f aca="false">IF($A12="N/A"," ",$U12*(8*($BQ12))*M12)</f>
        <v>#N/A</v>
      </c>
      <c r="X12" s="320" t="e">
        <f aca="false">IF($A12="N/A"," ",$U12*(8*($BQ12))*N12)</f>
        <v>#N/A</v>
      </c>
      <c r="Y12" s="320" t="e">
        <f aca="false">IF($A12="N/A"," ",$U12*(8*($BR12))*O12)</f>
        <v>#N/A</v>
      </c>
      <c r="Z12" s="320" t="e">
        <f aca="false">IF($A12="N/A"," ",$U12*(8*($BR12))*P12)</f>
        <v>#N/A</v>
      </c>
      <c r="AA12" s="320" t="e">
        <f aca="false">IF($A12="N/A"," ",$U12*(8*($BR12))*Q12)</f>
        <v>#N/A</v>
      </c>
      <c r="AB12" s="320" t="e">
        <f aca="false">IF($A12="N/A"," ",$U12*(8*($BS12))*R12)</f>
        <v>#N/A</v>
      </c>
      <c r="AC12" s="320" t="e">
        <f aca="false">IF($A12="N/A"," ",$U12*(8*($BS12))*S12)</f>
        <v>#N/A</v>
      </c>
      <c r="AD12" s="320" t="e">
        <f aca="false">IF($A12="N/A"," ",$U12*(8*($BS12))*T12)</f>
        <v>#N/A</v>
      </c>
      <c r="AE12" s="320" t="e">
        <f aca="false">IF($A12="N/A"," ",SUM(V12:AD12))</f>
        <v>#N/A</v>
      </c>
      <c r="AF12" s="321" t="n">
        <f aca="false">IF(A12="N/A"," ",(VLOOKUP(A12,PowerVolTable,(IF(VolBMO3=2,7,IF(VolBMO3=1,6,8))),FALSE())))</f>
        <v>0.24</v>
      </c>
      <c r="AG12" s="321" t="n">
        <f aca="false">IF(A12="N/A"," ",(VLOOKUP(A12,IntraPowerVol,(IF(VolBMO3=2,3,IF(VolBMO3=1,2,4))),FALSE())*VLOOKUP(MONTH($A12),Volscale,2)))</f>
        <v>0.4</v>
      </c>
      <c r="AH12" s="321" t="n">
        <f aca="false">IF($A12="N/A"," ",IF(VolType3=1,AG12,AF12))</f>
        <v>0.4</v>
      </c>
      <c r="AI12" s="321" t="n">
        <f aca="false">IF($A12="N/A"," ",(VLOOKUP($A12,OffPwrVolTable,(IF(VolBMO3=2,7,IF(VolBMO3=1,6,8))),FALSE())))</f>
        <v>0.12</v>
      </c>
      <c r="AJ12" s="321" t="n">
        <f aca="false">IF($A12="N/A"," ",(VLOOKUP($A12,OffPwrVolTable,(IF(VolBMO3=2,3,IF(VolBMO3=1,2,4))),FALSE())*VLOOKUP(MONTH($A12),Volscale,2)))</f>
        <v>0.24</v>
      </c>
      <c r="AK12" s="321" t="n">
        <f aca="false">IF($A12="N/A"," ",IF(VolType3=1,AJ12,AI12))</f>
        <v>0.24</v>
      </c>
      <c r="AL12" s="321" t="e">
        <f aca="false">IF($A12="N/A"," ",IF(PV=1,0,'Pricing Inputs3'!R45))</f>
        <v>#N/A</v>
      </c>
      <c r="AM12" s="323" t="e">
        <f aca="false">IF($A12="N/A"," ",(1+AL12/2)^(-2*((EOMONTH(A12,0)+20)-DateToday)/365.25))</f>
        <v>#N/A</v>
      </c>
      <c r="BQ12" s="0" t="n">
        <f aca="false">IF($A12="N/A"," ",(VLOOKUP($A12,NumberofDaysTable,2)))</f>
        <v>20</v>
      </c>
      <c r="BR12" s="0" t="n">
        <f aca="false">IF($A12="N/A"," ",(VLOOKUP($A12,NumberofDaysTable,3)))</f>
        <v>4</v>
      </c>
      <c r="BS12" s="0" t="n">
        <f aca="false">IF($A12="N/A"," ",(VLOOKUP($A12,NumberofDaysTable,4)))</f>
        <v>6</v>
      </c>
    </row>
    <row r="13" customFormat="false" ht="12.75" hidden="false" customHeight="false" outlineLevel="0" collapsed="false">
      <c r="A13" s="315" t="n">
        <f aca="false">IF(A12="N/A","N/A",IF(EDATE(A12,1)&gt;Inputs!$Q$5,"N/A",EDATE(A12,1)))</f>
        <v>37530</v>
      </c>
      <c r="B13" s="316" t="n">
        <f aca="false">IF(A13="N/A"," ",YEAR(A13))</f>
        <v>2002</v>
      </c>
      <c r="C13" s="317" t="n">
        <f aca="false">IF($A13="N/A"," ",IF(Dayrun3=10,0,IF(Scaler3=1,(VLOOKUP(A13,ScaledPrice3,4)),(VLOOKUP(A13,ScaledPrice3,2)))))</f>
        <v>29.5562492907047</v>
      </c>
      <c r="D13" s="317" t="n">
        <f aca="false">IF(A13="N/A"," ",IF(Dayrun3&gt;=7,0,IF(Scaler3=2,VLOOKUP(A13,ScaledPrice3,2),(VLOOKUP(A13,ScaledPrice3,2))*(2-(VLOOKUP(A13,ScaledPrice3,3))))))</f>
        <v>29.5562492907047</v>
      </c>
      <c r="E13" s="317" t="n">
        <f aca="false">IF($A13="N/A"," ",IF(AND(Dayrun3&gt;=4,Dayrun3&lt;=9),0,VLOOKUP($A13,ScaledPrice3,9)))</f>
        <v>0</v>
      </c>
      <c r="F13" s="317" t="n">
        <f aca="false">IF(A13="N/A"," ",IF(OR(Dayrun3=2,Dayrun3=3,Dayrun3=5,Dayrun3=6,Dayrun3=8,Dayrun3=9),VLOOKUP(A13,ScaledPrice3,IF(Scaler3=1,6,5)),0))</f>
        <v>21.9159993743897</v>
      </c>
      <c r="G13" s="317" t="n">
        <f aca="false">IF(A13="N/A"," ",IF(OR(Dayrun3=2,Dayrun3=3,Dayrun3=5,Dayrun3=6),IF(Scaler3=2,F13,(VLOOKUP(A13,ScaledPrice3,5))*(2-(VLOOKUP(A13,ScaledPrice3,3)))),0))</f>
        <v>21.9159993743897</v>
      </c>
      <c r="H13" s="317" t="n">
        <f aca="false">IF($A13="N/A"," ",IF(OR(Dayrun3=2,Dayrun3=3,Dayrun3=10),VLOOKUP($A13,ScaledPrice3,9),0))</f>
        <v>0</v>
      </c>
      <c r="I13" s="317" t="n">
        <f aca="false">IF(A13="N/A"," ",IF(OR(Dayrun3=3,Dayrun3=6,Dayrun3=9),(VLOOKUP(A13,ScaledPrice3,IF(Scaler3=2,7,8))),0))</f>
        <v>16.4165010070801</v>
      </c>
      <c r="J13" s="317" t="n">
        <f aca="false">IF(A13="N/A"," ",IF(OR(Dayrun3=3,Dayrun3=6),IF(Scaler3=2,I13,(VLOOKUP(A13,ScaledPrice3,7))*(2-(VLOOKUP(A13,ScaledPrice3,3)))),0))</f>
        <v>16.4165010070801</v>
      </c>
      <c r="K13" s="317" t="n">
        <f aca="false">IF($A13="N/A"," ",IF(OR(Dayrun3=3,Dayrun3=10),VLOOKUP($A13,ScaledPrice3,9),0))</f>
        <v>0</v>
      </c>
      <c r="L13" s="318" t="n">
        <f aca="false">IF($A13="N/A"," ",IF(Pricetype3=2,MAX(C13,0),IF(OR(Pricetype3=1,Pricetype3=4),IF(C13=0,0,(EURO(C13,Strikeprice3,0,0,($AH13+IF(Smile=TRUE(),VLOOKUP(MAX(-5,Strikeprice3-C13),Volsmile,2),0)),($A13-DateToday)+15,IF(Pricetype3=1,1,0),0))),C13)))</f>
        <v>29.5562492907047</v>
      </c>
      <c r="M13" s="318" t="n">
        <f aca="false">IF($A13="N/A"," ",IF(Pricetype3=2,MAX(D13,0),IF(OR(Pricetype3=1,Pricetype3=4),IF(D13=0,0,(EURO(D13,Strikeprice3,0,0,($AH13+IF(Smile=TRUE(),VLOOKUP(MAX(-5,Strikeprice3-D13),Volsmile,2),0)),($A13-DateToday)+15,IF(Pricetype3=1,1,0),0))),D13)))</f>
        <v>29.5562492907047</v>
      </c>
      <c r="N13" s="318" t="n">
        <f aca="false">IF($A13="N/A"," ",IF(Pricetype3=2,MAX(E13,0),IF(OR(Pricetype3=1,Pricetype3=4),IF(E13=0,0,(EURO(E13,Strikeprice3,0,0,($AK13+IF(Smile=TRUE(),VLOOKUP(MAX(-5,Strikeprice3-E13),Volsmile,2),0)),($A13-DateToday)+15,IF(Pricetype3=1,1,0),0))),E13)))</f>
        <v>0</v>
      </c>
      <c r="O13" s="318" t="n">
        <f aca="false">IF($A13="N/A"," ",IF(Pricetype3=2,MAX(F13,0),IF(OR(Pricetype3=1,Pricetype3=4),IF(F13=0,0,(EURO(F13,Strikeprice3,0,0,($AK13+IF(Smile=TRUE(),VLOOKUP(MAX(-5,Strikeprice3-F13),Volsmile,2),0)),($A13-DateToday)+15,IF(Pricetype3=1,1,0),0))),F13)))</f>
        <v>21.9159993743897</v>
      </c>
      <c r="P13" s="318" t="n">
        <f aca="false">IF($A13="N/A"," ",IF(Pricetype3=2,MAX(G13,0),IF(OR(Pricetype3=1,Pricetype3=4),IF(G13=0,0,(EURO(G13,Strikeprice3,0,0,($AK13+IF(Smile=TRUE(),VLOOKUP(MAX(-5,Strikeprice3-G13),Volsmile,2),0)),($A13-DateToday)+15,IF(Pricetype3=1,1,0),0))),G13)))</f>
        <v>21.9159993743897</v>
      </c>
      <c r="Q13" s="318" t="n">
        <f aca="false">IF($A13="N/A"," ",IF(Pricetype3=2,MAX(H13,0),IF(OR(Pricetype3=1,Pricetype3=4),IF(H13=0,0,(EURO(H13,Strikeprice3,0,0,($AK13+IF(Smile=TRUE(),VLOOKUP(MAX(-5,Strikeprice3-H13),Volsmile,2),0)),($A13-DateToday)+15,IF(Pricetype3=1,1,0),0))),H13)))</f>
        <v>0</v>
      </c>
      <c r="R13" s="318" t="n">
        <f aca="false">IF($A13="N/A"," ",IF(Pricetype3=2,MAX(I13,0),IF(OR(Pricetype3=1,Pricetype3=4),IF(I13=0,0,(EURO(I13,Strikeprice3,0,0,($AK13+IF(Smile=TRUE(),VLOOKUP(MAX(-5,Strikeprice3-I13),Volsmile,2),0)),($A13-DateToday)+15,IF(Pricetype3=1,1,0),0))),I13)))</f>
        <v>16.4165010070801</v>
      </c>
      <c r="S13" s="318" t="n">
        <f aca="false">IF($A13="N/A"," ",IF(Pricetype3=2,MAX(J13,0),IF(OR(Pricetype3=1,Pricetype3=4),IF(J13=0,0,(EURO(J13,Strikeprice3,0,0,($AK13+IF(Smile=TRUE(),VLOOKUP(MAX(-5,Strikeprice3-J13),Volsmile,2),0)),($A13-DateToday)+15,IF(Pricetype3=1,1,0),0))),J13)))</f>
        <v>16.4165010070801</v>
      </c>
      <c r="T13" s="318" t="n">
        <f aca="false">IF($A13="N/A"," ",IF(Pricetype3=2,MAX(K13,0),IF(OR(Pricetype3=1,Pricetype3=4),IF(K13=0,0,(EURO(K13,Strikeprice3,0,0,($AK13+IF(Smile=TRUE(),VLOOKUP(MAX(-5,Strikeprice3-K13),Volsmile,2),0)),($A13-DateToday)+15,IF(Pricetype3=1,1,0),0))),K13)))</f>
        <v>0</v>
      </c>
      <c r="U13" s="319" t="e">
        <f aca="false">IF($A13="N/A"," ",Volume3*$AM13)</f>
        <v>#N/A</v>
      </c>
      <c r="V13" s="320" t="e">
        <f aca="false">IF($A13="N/A"," ",$U13*(8*($BQ13))*L13)</f>
        <v>#N/A</v>
      </c>
      <c r="W13" s="320" t="e">
        <f aca="false">IF($A13="N/A"," ",$U13*(8*($BQ13))*M13)</f>
        <v>#N/A</v>
      </c>
      <c r="X13" s="320" t="e">
        <f aca="false">IF($A13="N/A"," ",$U13*(8*($BQ13))*N13)</f>
        <v>#N/A</v>
      </c>
      <c r="Y13" s="320" t="e">
        <f aca="false">IF($A13="N/A"," ",$U13*(8*($BR13))*O13)</f>
        <v>#N/A</v>
      </c>
      <c r="Z13" s="320" t="e">
        <f aca="false">IF($A13="N/A"," ",$U13*(8*($BR13))*P13)</f>
        <v>#N/A</v>
      </c>
      <c r="AA13" s="320" t="e">
        <f aca="false">IF($A13="N/A"," ",$U13*(8*($BR13))*Q13)</f>
        <v>#N/A</v>
      </c>
      <c r="AB13" s="320" t="e">
        <f aca="false">IF($A13="N/A"," ",$U13*(8*($BS13))*R13)</f>
        <v>#N/A</v>
      </c>
      <c r="AC13" s="320" t="e">
        <f aca="false">IF($A13="N/A"," ",$U13*(8*($BS13))*S13)</f>
        <v>#N/A</v>
      </c>
      <c r="AD13" s="320" t="e">
        <f aca="false">IF($A13="N/A"," ",$U13*(8*($BS13))*T13)</f>
        <v>#N/A</v>
      </c>
      <c r="AE13" s="320" t="e">
        <f aca="false">IF($A13="N/A"," ",SUM(V13:AD13))</f>
        <v>#N/A</v>
      </c>
      <c r="AF13" s="321" t="n">
        <f aca="false">IF(A13="N/A"," ",(VLOOKUP(A13,PowerVolTable,(IF(VolBMO3=2,7,IF(VolBMO3=1,6,8))),FALSE())))</f>
        <v>0.24</v>
      </c>
      <c r="AG13" s="321" t="n">
        <f aca="false">IF(A13="N/A"," ",(VLOOKUP(A13,IntraPowerVol,(IF(VolBMO3=2,3,IF(VolBMO3=1,2,4))),FALSE())*VLOOKUP(MONTH($A13),Volscale,2)))</f>
        <v>0.4</v>
      </c>
      <c r="AH13" s="321" t="n">
        <f aca="false">IF($A13="N/A"," ",IF(VolType3=1,AG13,AF13))</f>
        <v>0.4</v>
      </c>
      <c r="AI13" s="321" t="n">
        <f aca="false">IF($A13="N/A"," ",(VLOOKUP($A13,OffPwrVolTable,(IF(VolBMO3=2,7,IF(VolBMO3=1,6,8))),FALSE())))</f>
        <v>0.12</v>
      </c>
      <c r="AJ13" s="321" t="n">
        <f aca="false">IF($A13="N/A"," ",(VLOOKUP($A13,OffPwrVolTable,(IF(VolBMO3=2,3,IF(VolBMO3=1,2,4))),FALSE())*VLOOKUP(MONTH($A13),Volscale,2)))</f>
        <v>0.24</v>
      </c>
      <c r="AK13" s="321" t="n">
        <f aca="false">IF($A13="N/A"," ",IF(VolType3=1,AJ13,AI13))</f>
        <v>0.24</v>
      </c>
      <c r="AL13" s="321" t="e">
        <f aca="false">IF($A13="N/A"," ",IF(PV=1,0,'Pricing Inputs3'!R46))</f>
        <v>#N/A</v>
      </c>
      <c r="AM13" s="323" t="e">
        <f aca="false">IF($A13="N/A"," ",(1+AL13/2)^(-2*((EOMONTH(A13,0)+20)-DateToday)/365.25))</f>
        <v>#N/A</v>
      </c>
      <c r="BQ13" s="0" t="n">
        <f aca="false">IF($A13="N/A"," ",(VLOOKUP($A13,NumberofDaysTable,2)))</f>
        <v>23</v>
      </c>
      <c r="BR13" s="0" t="n">
        <f aca="false">IF($A13="N/A"," ",(VLOOKUP($A13,NumberofDaysTable,3)))</f>
        <v>4</v>
      </c>
      <c r="BS13" s="0" t="n">
        <f aca="false">IF($A13="N/A"," ",(VLOOKUP($A13,NumberofDaysTable,4)))</f>
        <v>4</v>
      </c>
    </row>
    <row r="14" customFormat="false" ht="12.75" hidden="false" customHeight="false" outlineLevel="0" collapsed="false">
      <c r="A14" s="315" t="n">
        <f aca="false">IF(A13="N/A","N/A",IF(EDATE(A13,1)&gt;Inputs!$Q$5,"N/A",EDATE(A13,1)))</f>
        <v>37561</v>
      </c>
      <c r="B14" s="316" t="n">
        <f aca="false">IF(A14="N/A"," ",YEAR(A14))</f>
        <v>2002</v>
      </c>
      <c r="C14" s="317" t="n">
        <f aca="false">IF($A14="N/A"," ",IF(Dayrun3=10,0,IF(Scaler3=1,(VLOOKUP(A14,ScaledPrice3,4)),(VLOOKUP(A14,ScaledPrice3,2)))))</f>
        <v>29.7562519609928</v>
      </c>
      <c r="D14" s="317" t="n">
        <f aca="false">IF(A14="N/A"," ",IF(Dayrun3&gt;=7,0,IF(Scaler3=2,VLOOKUP(A14,ScaledPrice3,2),(VLOOKUP(A14,ScaledPrice3,2))*(2-(VLOOKUP(A14,ScaledPrice3,3))))))</f>
        <v>29.7562519609928</v>
      </c>
      <c r="E14" s="317" t="n">
        <f aca="false">IF($A14="N/A"," ",IF(AND(Dayrun3&gt;=4,Dayrun3&lt;=9),0,VLOOKUP($A14,ScaledPrice3,9)))</f>
        <v>0</v>
      </c>
      <c r="F14" s="317" t="n">
        <f aca="false">IF(A14="N/A"," ",IF(OR(Dayrun3=2,Dayrun3=3,Dayrun3=5,Dayrun3=6,Dayrun3=8,Dayrun3=9),VLOOKUP(A14,ScaledPrice3,IF(Scaler3=1,6,5)),0))</f>
        <v>23.9199990844727</v>
      </c>
      <c r="G14" s="317" t="n">
        <f aca="false">IF(A14="N/A"," ",IF(OR(Dayrun3=2,Dayrun3=3,Dayrun3=5,Dayrun3=6),IF(Scaler3=2,F14,(VLOOKUP(A14,ScaledPrice3,5))*(2-(VLOOKUP(A14,ScaledPrice3,3)))),0))</f>
        <v>23.9199990844727</v>
      </c>
      <c r="H14" s="317" t="n">
        <f aca="false">IF($A14="N/A"," ",IF(OR(Dayrun3=2,Dayrun3=3,Dayrun3=10),VLOOKUP($A14,ScaledPrice3,9),0))</f>
        <v>0</v>
      </c>
      <c r="I14" s="317" t="n">
        <f aca="false">IF(A14="N/A"," ",IF(OR(Dayrun3=3,Dayrun3=6,Dayrun3=9),(VLOOKUP(A14,ScaledPrice3,IF(Scaler3=2,7,8))),0))</f>
        <v>16.4200009918213</v>
      </c>
      <c r="J14" s="317" t="n">
        <f aca="false">IF(A14="N/A"," ",IF(OR(Dayrun3=3,Dayrun3=6),IF(Scaler3=2,I14,(VLOOKUP(A14,ScaledPrice3,7))*(2-(VLOOKUP(A14,ScaledPrice3,3)))),0))</f>
        <v>16.4200009918213</v>
      </c>
      <c r="K14" s="317" t="n">
        <f aca="false">IF($A14="N/A"," ",IF(OR(Dayrun3=3,Dayrun3=10),VLOOKUP($A14,ScaledPrice3,9),0))</f>
        <v>0</v>
      </c>
      <c r="L14" s="318" t="n">
        <f aca="false">IF($A14="N/A"," ",IF(Pricetype3=2,MAX(C14,0),IF(OR(Pricetype3=1,Pricetype3=4),IF(C14=0,0,(EURO(C14,Strikeprice3,0,0,($AH14+IF(Smile=TRUE(),VLOOKUP(MAX(-5,Strikeprice3-C14),Volsmile,2),0)),($A14-DateToday)+15,IF(Pricetype3=1,1,0),0))),C14)))</f>
        <v>29.7562519609928</v>
      </c>
      <c r="M14" s="318" t="n">
        <f aca="false">IF($A14="N/A"," ",IF(Pricetype3=2,MAX(D14,0),IF(OR(Pricetype3=1,Pricetype3=4),IF(D14=0,0,(EURO(D14,Strikeprice3,0,0,($AH14+IF(Smile=TRUE(),VLOOKUP(MAX(-5,Strikeprice3-D14),Volsmile,2),0)),($A14-DateToday)+15,IF(Pricetype3=1,1,0),0))),D14)))</f>
        <v>29.7562519609928</v>
      </c>
      <c r="N14" s="318" t="n">
        <f aca="false">IF($A14="N/A"," ",IF(Pricetype3=2,MAX(E14,0),IF(OR(Pricetype3=1,Pricetype3=4),IF(E14=0,0,(EURO(E14,Strikeprice3,0,0,($AK14+IF(Smile=TRUE(),VLOOKUP(MAX(-5,Strikeprice3-E14),Volsmile,2),0)),($A14-DateToday)+15,IF(Pricetype3=1,1,0),0))),E14)))</f>
        <v>0</v>
      </c>
      <c r="O14" s="318" t="n">
        <f aca="false">IF($A14="N/A"," ",IF(Pricetype3=2,MAX(F14,0),IF(OR(Pricetype3=1,Pricetype3=4),IF(F14=0,0,(EURO(F14,Strikeprice3,0,0,($AK14+IF(Smile=TRUE(),VLOOKUP(MAX(-5,Strikeprice3-F14),Volsmile,2),0)),($A14-DateToday)+15,IF(Pricetype3=1,1,0),0))),F14)))</f>
        <v>23.9199990844727</v>
      </c>
      <c r="P14" s="318" t="n">
        <f aca="false">IF($A14="N/A"," ",IF(Pricetype3=2,MAX(G14,0),IF(OR(Pricetype3=1,Pricetype3=4),IF(G14=0,0,(EURO(G14,Strikeprice3,0,0,($AK14+IF(Smile=TRUE(),VLOOKUP(MAX(-5,Strikeprice3-G14),Volsmile,2),0)),($A14-DateToday)+15,IF(Pricetype3=1,1,0),0))),G14)))</f>
        <v>23.9199990844727</v>
      </c>
      <c r="Q14" s="318" t="n">
        <f aca="false">IF($A14="N/A"," ",IF(Pricetype3=2,MAX(H14,0),IF(OR(Pricetype3=1,Pricetype3=4),IF(H14=0,0,(EURO(H14,Strikeprice3,0,0,($AK14+IF(Smile=TRUE(),VLOOKUP(MAX(-5,Strikeprice3-H14),Volsmile,2),0)),($A14-DateToday)+15,IF(Pricetype3=1,1,0),0))),H14)))</f>
        <v>0</v>
      </c>
      <c r="R14" s="318" t="n">
        <f aca="false">IF($A14="N/A"," ",IF(Pricetype3=2,MAX(I14,0),IF(OR(Pricetype3=1,Pricetype3=4),IF(I14=0,0,(EURO(I14,Strikeprice3,0,0,($AK14+IF(Smile=TRUE(),VLOOKUP(MAX(-5,Strikeprice3-I14),Volsmile,2),0)),($A14-DateToday)+15,IF(Pricetype3=1,1,0),0))),I14)))</f>
        <v>16.4200009918213</v>
      </c>
      <c r="S14" s="318" t="n">
        <f aca="false">IF($A14="N/A"," ",IF(Pricetype3=2,MAX(J14,0),IF(OR(Pricetype3=1,Pricetype3=4),IF(J14=0,0,(EURO(J14,Strikeprice3,0,0,($AK14+IF(Smile=TRUE(),VLOOKUP(MAX(-5,Strikeprice3-J14),Volsmile,2),0)),($A14-DateToday)+15,IF(Pricetype3=1,1,0),0))),J14)))</f>
        <v>16.4200009918213</v>
      </c>
      <c r="T14" s="318" t="n">
        <f aca="false">IF($A14="N/A"," ",IF(Pricetype3=2,MAX(K14,0),IF(OR(Pricetype3=1,Pricetype3=4),IF(K14=0,0,(EURO(K14,Strikeprice3,0,0,($AK14+IF(Smile=TRUE(),VLOOKUP(MAX(-5,Strikeprice3-K14),Volsmile,2),0)),($A14-DateToday)+15,IF(Pricetype3=1,1,0),0))),K14)))</f>
        <v>0</v>
      </c>
      <c r="U14" s="319" t="e">
        <f aca="false">IF($A14="N/A"," ",Volume3*$AM14)</f>
        <v>#N/A</v>
      </c>
      <c r="V14" s="320" t="e">
        <f aca="false">IF($A14="N/A"," ",$U14*(8*($BQ14))*L14)</f>
        <v>#N/A</v>
      </c>
      <c r="W14" s="320" t="e">
        <f aca="false">IF($A14="N/A"," ",$U14*(8*($BQ14))*M14)</f>
        <v>#N/A</v>
      </c>
      <c r="X14" s="320" t="e">
        <f aca="false">IF($A14="N/A"," ",$U14*(8*($BQ14))*N14)</f>
        <v>#N/A</v>
      </c>
      <c r="Y14" s="320" t="e">
        <f aca="false">IF($A14="N/A"," ",$U14*(8*($BR14))*O14)</f>
        <v>#N/A</v>
      </c>
      <c r="Z14" s="320" t="e">
        <f aca="false">IF($A14="N/A"," ",$U14*(8*($BR14))*P14)</f>
        <v>#N/A</v>
      </c>
      <c r="AA14" s="320" t="e">
        <f aca="false">IF($A14="N/A"," ",$U14*(8*($BR14))*Q14)</f>
        <v>#N/A</v>
      </c>
      <c r="AB14" s="320" t="e">
        <f aca="false">IF($A14="N/A"," ",$U14*(8*($BS14))*R14)</f>
        <v>#N/A</v>
      </c>
      <c r="AC14" s="320" t="e">
        <f aca="false">IF($A14="N/A"," ",$U14*(8*($BS14))*S14)</f>
        <v>#N/A</v>
      </c>
      <c r="AD14" s="320" t="e">
        <f aca="false">IF($A14="N/A"," ",$U14*(8*($BS14))*T14)</f>
        <v>#N/A</v>
      </c>
      <c r="AE14" s="320" t="e">
        <f aca="false">IF($A14="N/A"," ",SUM(V14:AD14))</f>
        <v>#N/A</v>
      </c>
      <c r="AF14" s="321" t="n">
        <f aca="false">IF(A14="N/A"," ",(VLOOKUP(A14,PowerVolTable,(IF(VolBMO3=2,7,IF(VolBMO3=1,6,8))),FALSE())))</f>
        <v>0.24</v>
      </c>
      <c r="AG14" s="321" t="n">
        <f aca="false">IF(A14="N/A"," ",(VLOOKUP(A14,IntraPowerVol,(IF(VolBMO3=2,3,IF(VolBMO3=1,2,4))),FALSE())*VLOOKUP(MONTH($A14),Volscale,2)))</f>
        <v>0.4</v>
      </c>
      <c r="AH14" s="321" t="n">
        <f aca="false">IF($A14="N/A"," ",IF(VolType3=1,AG14,AF14))</f>
        <v>0.4</v>
      </c>
      <c r="AI14" s="321" t="n">
        <f aca="false">IF($A14="N/A"," ",(VLOOKUP($A14,OffPwrVolTable,(IF(VolBMO3=2,7,IF(VolBMO3=1,6,8))),FALSE())))</f>
        <v>0.12</v>
      </c>
      <c r="AJ14" s="321" t="n">
        <f aca="false">IF($A14="N/A"," ",(VLOOKUP($A14,OffPwrVolTable,(IF(VolBMO3=2,3,IF(VolBMO3=1,2,4))),FALSE())*VLOOKUP(MONTH($A14),Volscale,2)))</f>
        <v>0.24</v>
      </c>
      <c r="AK14" s="321" t="n">
        <f aca="false">IF($A14="N/A"," ",IF(VolType3=1,AJ14,AI14))</f>
        <v>0.24</v>
      </c>
      <c r="AL14" s="321" t="e">
        <f aca="false">IF($A14="N/A"," ",IF(PV=1,0,'Pricing Inputs3'!R47))</f>
        <v>#N/A</v>
      </c>
      <c r="AM14" s="323" t="e">
        <f aca="false">IF($A14="N/A"," ",(1+AL14/2)^(-2*((EOMONTH(A14,0)+20)-DateToday)/365.25))</f>
        <v>#N/A</v>
      </c>
      <c r="BQ14" s="0" t="n">
        <f aca="false">IF($A14="N/A"," ",(VLOOKUP($A14,NumberofDaysTable,2)))</f>
        <v>20</v>
      </c>
      <c r="BR14" s="0" t="n">
        <f aca="false">IF($A14="N/A"," ",(VLOOKUP($A14,NumberofDaysTable,3)))</f>
        <v>5</v>
      </c>
      <c r="BS14" s="0" t="n">
        <f aca="false">IF($A14="N/A"," ",(VLOOKUP($A14,NumberofDaysTable,4)))</f>
        <v>5</v>
      </c>
    </row>
    <row r="15" customFormat="false" ht="12.75" hidden="false" customHeight="false" outlineLevel="0" collapsed="false">
      <c r="A15" s="315" t="n">
        <f aca="false">IF(A14="N/A","N/A",IF(EDATE(A14,1)&gt;Inputs!$Q$5,"N/A",EDATE(A14,1)))</f>
        <v>37591</v>
      </c>
      <c r="B15" s="316" t="n">
        <f aca="false">IF(A15="N/A"," ",YEAR(A15))</f>
        <v>2002</v>
      </c>
      <c r="C15" s="317" t="n">
        <f aca="false">IF($A15="N/A"," ",IF(Dayrun3=10,0,IF(Scaler3=1,(VLOOKUP(A15,ScaledPrice3,4)),(VLOOKUP(A15,ScaledPrice3,2)))))</f>
        <v>29.956248909235</v>
      </c>
      <c r="D15" s="317" t="n">
        <f aca="false">IF(A15="N/A"," ",IF(Dayrun3&gt;=7,0,IF(Scaler3=2,VLOOKUP(A15,ScaledPrice3,2),(VLOOKUP(A15,ScaledPrice3,2))*(2-(VLOOKUP(A15,ScaledPrice3,3))))))</f>
        <v>29.956248909235</v>
      </c>
      <c r="E15" s="317" t="n">
        <f aca="false">IF($A15="N/A"," ",IF(AND(Dayrun3&gt;=4,Dayrun3&lt;=9),0,VLOOKUP($A15,ScaledPrice3,9)))</f>
        <v>0</v>
      </c>
      <c r="F15" s="317" t="n">
        <f aca="false">IF(A15="N/A"," ",IF(OR(Dayrun3=2,Dayrun3=3,Dayrun3=5,Dayrun3=6,Dayrun3=8,Dayrun3=9),VLOOKUP(A15,ScaledPrice3,IF(Scaler3=1,6,5)),0))</f>
        <v>28.9199990844727</v>
      </c>
      <c r="G15" s="317" t="n">
        <f aca="false">IF(A15="N/A"," ",IF(OR(Dayrun3=2,Dayrun3=3,Dayrun3=5,Dayrun3=6),IF(Scaler3=2,F15,(VLOOKUP(A15,ScaledPrice3,5))*(2-(VLOOKUP(A15,ScaledPrice3,3)))),0))</f>
        <v>28.9199990844727</v>
      </c>
      <c r="H15" s="317" t="n">
        <f aca="false">IF($A15="N/A"," ",IF(OR(Dayrun3=2,Dayrun3=3,Dayrun3=10),VLOOKUP($A15,ScaledPrice3,9),0))</f>
        <v>0</v>
      </c>
      <c r="I15" s="317" t="n">
        <f aca="false">IF(A15="N/A"," ",IF(OR(Dayrun3=3,Dayrun3=6,Dayrun3=9),(VLOOKUP(A15,ScaledPrice3,IF(Scaler3=2,7,8))),0))</f>
        <v>23.4199990844727</v>
      </c>
      <c r="J15" s="317" t="n">
        <f aca="false">IF(A15="N/A"," ",IF(OR(Dayrun3=3,Dayrun3=6),IF(Scaler3=2,I15,(VLOOKUP(A15,ScaledPrice3,7))*(2-(VLOOKUP(A15,ScaledPrice3,3)))),0))</f>
        <v>23.4199990844727</v>
      </c>
      <c r="K15" s="317" t="n">
        <f aca="false">IF($A15="N/A"," ",IF(OR(Dayrun3=3,Dayrun3=10),VLOOKUP($A15,ScaledPrice3,9),0))</f>
        <v>0</v>
      </c>
      <c r="L15" s="318" t="n">
        <f aca="false">IF($A15="N/A"," ",IF(Pricetype3=2,MAX(C15,0),IF(OR(Pricetype3=1,Pricetype3=4),IF(C15=0,0,(EURO(C15,Strikeprice3,0,0,($AH15+IF(Smile=TRUE(),VLOOKUP(MAX(-5,Strikeprice3-C15),Volsmile,2),0)),($A15-DateToday)+15,IF(Pricetype3=1,1,0),0))),C15)))</f>
        <v>29.956248909235</v>
      </c>
      <c r="M15" s="318" t="n">
        <f aca="false">IF($A15="N/A"," ",IF(Pricetype3=2,MAX(D15,0),IF(OR(Pricetype3=1,Pricetype3=4),IF(D15=0,0,(EURO(D15,Strikeprice3,0,0,($AH15+IF(Smile=TRUE(),VLOOKUP(MAX(-5,Strikeprice3-D15),Volsmile,2),0)),($A15-DateToday)+15,IF(Pricetype3=1,1,0),0))),D15)))</f>
        <v>29.956248909235</v>
      </c>
      <c r="N15" s="318" t="n">
        <f aca="false">IF($A15="N/A"," ",IF(Pricetype3=2,MAX(E15,0),IF(OR(Pricetype3=1,Pricetype3=4),IF(E15=0,0,(EURO(E15,Strikeprice3,0,0,($AK15+IF(Smile=TRUE(),VLOOKUP(MAX(-5,Strikeprice3-E15),Volsmile,2),0)),($A15-DateToday)+15,IF(Pricetype3=1,1,0),0))),E15)))</f>
        <v>0</v>
      </c>
      <c r="O15" s="318" t="n">
        <f aca="false">IF($A15="N/A"," ",IF(Pricetype3=2,MAX(F15,0),IF(OR(Pricetype3=1,Pricetype3=4),IF(F15=0,0,(EURO(F15,Strikeprice3,0,0,($AK15+IF(Smile=TRUE(),VLOOKUP(MAX(-5,Strikeprice3-F15),Volsmile,2),0)),($A15-DateToday)+15,IF(Pricetype3=1,1,0),0))),F15)))</f>
        <v>28.9199990844727</v>
      </c>
      <c r="P15" s="318" t="n">
        <f aca="false">IF($A15="N/A"," ",IF(Pricetype3=2,MAX(G15,0),IF(OR(Pricetype3=1,Pricetype3=4),IF(G15=0,0,(EURO(G15,Strikeprice3,0,0,($AK15+IF(Smile=TRUE(),VLOOKUP(MAX(-5,Strikeprice3-G15),Volsmile,2),0)),($A15-DateToday)+15,IF(Pricetype3=1,1,0),0))),G15)))</f>
        <v>28.9199990844727</v>
      </c>
      <c r="Q15" s="318" t="n">
        <f aca="false">IF($A15="N/A"," ",IF(Pricetype3=2,MAX(H15,0),IF(OR(Pricetype3=1,Pricetype3=4),IF(H15=0,0,(EURO(H15,Strikeprice3,0,0,($AK15+IF(Smile=TRUE(),VLOOKUP(MAX(-5,Strikeprice3-H15),Volsmile,2),0)),($A15-DateToday)+15,IF(Pricetype3=1,1,0),0))),H15)))</f>
        <v>0</v>
      </c>
      <c r="R15" s="318" t="n">
        <f aca="false">IF($A15="N/A"," ",IF(Pricetype3=2,MAX(I15,0),IF(OR(Pricetype3=1,Pricetype3=4),IF(I15=0,0,(EURO(I15,Strikeprice3,0,0,($AK15+IF(Smile=TRUE(),VLOOKUP(MAX(-5,Strikeprice3-I15),Volsmile,2),0)),($A15-DateToday)+15,IF(Pricetype3=1,1,0),0))),I15)))</f>
        <v>23.4199990844727</v>
      </c>
      <c r="S15" s="318" t="n">
        <f aca="false">IF($A15="N/A"," ",IF(Pricetype3=2,MAX(J15,0),IF(OR(Pricetype3=1,Pricetype3=4),IF(J15=0,0,(EURO(J15,Strikeprice3,0,0,($AK15+IF(Smile=TRUE(),VLOOKUP(MAX(-5,Strikeprice3-J15),Volsmile,2),0)),($A15-DateToday)+15,IF(Pricetype3=1,1,0),0))),J15)))</f>
        <v>23.4199990844727</v>
      </c>
      <c r="T15" s="318" t="n">
        <f aca="false">IF($A15="N/A"," ",IF(Pricetype3=2,MAX(K15,0),IF(OR(Pricetype3=1,Pricetype3=4),IF(K15=0,0,(EURO(K15,Strikeprice3,0,0,($AK15+IF(Smile=TRUE(),VLOOKUP(MAX(-5,Strikeprice3-K15),Volsmile,2),0)),($A15-DateToday)+15,IF(Pricetype3=1,1,0),0))),K15)))</f>
        <v>0</v>
      </c>
      <c r="U15" s="319" t="e">
        <f aca="false">IF($A15="N/A"," ",Volume3*$AM15)</f>
        <v>#N/A</v>
      </c>
      <c r="V15" s="320" t="e">
        <f aca="false">IF($A15="N/A"," ",$U15*(8*($BQ15))*L15)</f>
        <v>#N/A</v>
      </c>
      <c r="W15" s="320" t="e">
        <f aca="false">IF($A15="N/A"," ",$U15*(8*($BQ15))*M15)</f>
        <v>#N/A</v>
      </c>
      <c r="X15" s="320" t="e">
        <f aca="false">IF($A15="N/A"," ",$U15*(8*($BQ15))*N15)</f>
        <v>#N/A</v>
      </c>
      <c r="Y15" s="320" t="e">
        <f aca="false">IF($A15="N/A"," ",$U15*(8*($BR15))*O15)</f>
        <v>#N/A</v>
      </c>
      <c r="Z15" s="320" t="e">
        <f aca="false">IF($A15="N/A"," ",$U15*(8*($BR15))*P15)</f>
        <v>#N/A</v>
      </c>
      <c r="AA15" s="320" t="e">
        <f aca="false">IF($A15="N/A"," ",$U15*(8*($BR15))*Q15)</f>
        <v>#N/A</v>
      </c>
      <c r="AB15" s="320" t="e">
        <f aca="false">IF($A15="N/A"," ",$U15*(8*($BS15))*R15)</f>
        <v>#N/A</v>
      </c>
      <c r="AC15" s="320" t="e">
        <f aca="false">IF($A15="N/A"," ",$U15*(8*($BS15))*S15)</f>
        <v>#N/A</v>
      </c>
      <c r="AD15" s="320" t="e">
        <f aca="false">IF($A15="N/A"," ",$U15*(8*($BS15))*T15)</f>
        <v>#N/A</v>
      </c>
      <c r="AE15" s="320" t="e">
        <f aca="false">IF($A15="N/A"," ",SUM(V15:AD15))</f>
        <v>#N/A</v>
      </c>
      <c r="AF15" s="321" t="n">
        <f aca="false">IF(A15="N/A"," ",(VLOOKUP(A15,PowerVolTable,(IF(VolBMO3=2,7,IF(VolBMO3=1,6,8))),FALSE())))</f>
        <v>0.24</v>
      </c>
      <c r="AG15" s="321" t="n">
        <f aca="false">IF(A15="N/A"," ",(VLOOKUP(A15,IntraPowerVol,(IF(VolBMO3=2,3,IF(VolBMO3=1,2,4))),FALSE())*VLOOKUP(MONTH($A15),Volscale,2)))</f>
        <v>0.4</v>
      </c>
      <c r="AH15" s="321" t="n">
        <f aca="false">IF($A15="N/A"," ",IF(VolType3=1,AG15,AF15))</f>
        <v>0.4</v>
      </c>
      <c r="AI15" s="321" t="n">
        <f aca="false">IF($A15="N/A"," ",(VLOOKUP($A15,OffPwrVolTable,(IF(VolBMO3=2,7,IF(VolBMO3=1,6,8))),FALSE())))</f>
        <v>0.12</v>
      </c>
      <c r="AJ15" s="321" t="n">
        <f aca="false">IF($A15="N/A"," ",(VLOOKUP($A15,OffPwrVolTable,(IF(VolBMO3=2,3,IF(VolBMO3=1,2,4))),FALSE())*VLOOKUP(MONTH($A15),Volscale,2)))</f>
        <v>0.24</v>
      </c>
      <c r="AK15" s="321" t="n">
        <f aca="false">IF($A15="N/A"," ",IF(VolType3=1,AJ15,AI15))</f>
        <v>0.24</v>
      </c>
      <c r="AL15" s="321" t="e">
        <f aca="false">IF($A15="N/A"," ",IF(PV=1,0,'Pricing Inputs3'!R48))</f>
        <v>#N/A</v>
      </c>
      <c r="AM15" s="323" t="e">
        <f aca="false">IF($A15="N/A"," ",(1+AL15/2)^(-2*((EOMONTH(A15,0)+20)-DateToday)/365.25))</f>
        <v>#N/A</v>
      </c>
      <c r="BQ15" s="0" t="n">
        <f aca="false">IF($A15="N/A"," ",(VLOOKUP($A15,NumberofDaysTable,2)))</f>
        <v>21</v>
      </c>
      <c r="BR15" s="0" t="n">
        <f aca="false">IF($A15="N/A"," ",(VLOOKUP($A15,NumberofDaysTable,3)))</f>
        <v>4</v>
      </c>
      <c r="BS15" s="0" t="n">
        <f aca="false">IF($A15="N/A"," ",(VLOOKUP($A15,NumberofDaysTable,4)))</f>
        <v>6</v>
      </c>
    </row>
    <row r="16" customFormat="false" ht="12.75" hidden="false" customHeight="false" outlineLevel="0" collapsed="false">
      <c r="A16" s="315" t="n">
        <f aca="false">IF(A15="N/A","N/A",IF(EDATE(A15,1)&gt;Inputs!$Q$5,"N/A",EDATE(A15,1)))</f>
        <v>37622</v>
      </c>
      <c r="B16" s="316" t="n">
        <f aca="false">IF(A16="N/A"," ",YEAR(A16))</f>
        <v>2003</v>
      </c>
      <c r="C16" s="317" t="n">
        <f aca="false">IF($A16="N/A"," ",IF(Dayrun3=10,0,IF(Scaler3=1,(VLOOKUP(A16,ScaledPrice3,4)),(VLOOKUP(A16,ScaledPrice3,2)))))</f>
        <v>33.2857153756278</v>
      </c>
      <c r="D16" s="317" t="n">
        <f aca="false">IF(A16="N/A"," ",IF(Dayrun3&gt;=7,0,IF(Scaler3=2,VLOOKUP(A16,ScaledPrice3,2),(VLOOKUP(A16,ScaledPrice3,2))*(2-(VLOOKUP(A16,ScaledPrice3,3))))))</f>
        <v>33.2857153756278</v>
      </c>
      <c r="E16" s="317" t="n">
        <f aca="false">IF($A16="N/A"," ",IF(AND(Dayrun3&gt;=4,Dayrun3&lt;=9),0,VLOOKUP($A16,ScaledPrice3,9)))</f>
        <v>0</v>
      </c>
      <c r="F16" s="317" t="n">
        <f aca="false">IF(A16="N/A"," ",IF(OR(Dayrun3=2,Dayrun3=3,Dayrun3=5,Dayrun3=6,Dayrun3=8,Dayrun3=9),VLOOKUP(A16,ScaledPrice3,IF(Scaler3=1,6,5)),0))</f>
        <v>35.2699966430664</v>
      </c>
      <c r="G16" s="317" t="n">
        <f aca="false">IF(A16="N/A"," ",IF(OR(Dayrun3=2,Dayrun3=3,Dayrun3=5,Dayrun3=6),IF(Scaler3=2,F16,(VLOOKUP(A16,ScaledPrice3,5))*(2-(VLOOKUP(A16,ScaledPrice3,3)))),0))</f>
        <v>35.2699966430664</v>
      </c>
      <c r="H16" s="317" t="n">
        <f aca="false">IF($A16="N/A"," ",IF(OR(Dayrun3=2,Dayrun3=3,Dayrun3=10),VLOOKUP($A16,ScaledPrice3,9),0))</f>
        <v>0</v>
      </c>
      <c r="I16" s="317" t="n">
        <f aca="false">IF(A16="N/A"," ",IF(OR(Dayrun3=3,Dayrun3=6,Dayrun3=9),(VLOOKUP(A16,ScaledPrice3,IF(Scaler3=2,7,8))),0))</f>
        <v>24.7699966430664</v>
      </c>
      <c r="J16" s="317" t="n">
        <f aca="false">IF(A16="N/A"," ",IF(OR(Dayrun3=3,Dayrun3=6),IF(Scaler3=2,I16,(VLOOKUP(A16,ScaledPrice3,7))*(2-(VLOOKUP(A16,ScaledPrice3,3)))),0))</f>
        <v>24.7699966430664</v>
      </c>
      <c r="K16" s="317" t="n">
        <f aca="false">IF($A16="N/A"," ",IF(OR(Dayrun3=3,Dayrun3=10),VLOOKUP($A16,ScaledPrice3,9),0))</f>
        <v>0</v>
      </c>
      <c r="L16" s="318" t="n">
        <f aca="false">IF($A16="N/A"," ",IF(Pricetype3=2,MAX(C16,0),IF(OR(Pricetype3=1,Pricetype3=4),IF(C16=0,0,(EURO(C16,Strikeprice3,0,0,($AH16+IF(Smile=TRUE(),VLOOKUP(MAX(-5,Strikeprice3-C16),Volsmile,2),0)),($A16-DateToday)+15,IF(Pricetype3=1,1,0),0))),C16)))</f>
        <v>33.2857153756278</v>
      </c>
      <c r="M16" s="318" t="n">
        <f aca="false">IF($A16="N/A"," ",IF(Pricetype3=2,MAX(D16,0),IF(OR(Pricetype3=1,Pricetype3=4),IF(D16=0,0,(EURO(D16,Strikeprice3,0,0,($AH16+IF(Smile=TRUE(),VLOOKUP(MAX(-5,Strikeprice3-D16),Volsmile,2),0)),($A16-DateToday)+15,IF(Pricetype3=1,1,0),0))),D16)))</f>
        <v>33.2857153756278</v>
      </c>
      <c r="N16" s="318" t="n">
        <f aca="false">IF($A16="N/A"," ",IF(Pricetype3=2,MAX(E16,0),IF(OR(Pricetype3=1,Pricetype3=4),IF(E16=0,0,(EURO(E16,Strikeprice3,0,0,($AK16+IF(Smile=TRUE(),VLOOKUP(MAX(-5,Strikeprice3-E16),Volsmile,2),0)),($A16-DateToday)+15,IF(Pricetype3=1,1,0),0))),E16)))</f>
        <v>0</v>
      </c>
      <c r="O16" s="318" t="n">
        <f aca="false">IF($A16="N/A"," ",IF(Pricetype3=2,MAX(F16,0),IF(OR(Pricetype3=1,Pricetype3=4),IF(F16=0,0,(EURO(F16,Strikeprice3,0,0,($AK16+IF(Smile=TRUE(),VLOOKUP(MAX(-5,Strikeprice3-F16),Volsmile,2),0)),($A16-DateToday)+15,IF(Pricetype3=1,1,0),0))),F16)))</f>
        <v>35.2699966430664</v>
      </c>
      <c r="P16" s="318" t="n">
        <f aca="false">IF($A16="N/A"," ",IF(Pricetype3=2,MAX(G16,0),IF(OR(Pricetype3=1,Pricetype3=4),IF(G16=0,0,(EURO(G16,Strikeprice3,0,0,($AK16+IF(Smile=TRUE(),VLOOKUP(MAX(-5,Strikeprice3-G16),Volsmile,2),0)),($A16-DateToday)+15,IF(Pricetype3=1,1,0),0))),G16)))</f>
        <v>35.2699966430664</v>
      </c>
      <c r="Q16" s="318" t="n">
        <f aca="false">IF($A16="N/A"," ",IF(Pricetype3=2,MAX(H16,0),IF(OR(Pricetype3=1,Pricetype3=4),IF(H16=0,0,(EURO(H16,Strikeprice3,0,0,($AK16+IF(Smile=TRUE(),VLOOKUP(MAX(-5,Strikeprice3-H16),Volsmile,2),0)),($A16-DateToday)+15,IF(Pricetype3=1,1,0),0))),H16)))</f>
        <v>0</v>
      </c>
      <c r="R16" s="318" t="n">
        <f aca="false">IF($A16="N/A"," ",IF(Pricetype3=2,MAX(I16,0),IF(OR(Pricetype3=1,Pricetype3=4),IF(I16=0,0,(EURO(I16,Strikeprice3,0,0,($AK16+IF(Smile=TRUE(),VLOOKUP(MAX(-5,Strikeprice3-I16),Volsmile,2),0)),($A16-DateToday)+15,IF(Pricetype3=1,1,0),0))),I16)))</f>
        <v>24.7699966430664</v>
      </c>
      <c r="S16" s="318" t="n">
        <f aca="false">IF($A16="N/A"," ",IF(Pricetype3=2,MAX(J16,0),IF(OR(Pricetype3=1,Pricetype3=4),IF(J16=0,0,(EURO(J16,Strikeprice3,0,0,($AK16+IF(Smile=TRUE(),VLOOKUP(MAX(-5,Strikeprice3-J16),Volsmile,2),0)),($A16-DateToday)+15,IF(Pricetype3=1,1,0),0))),J16)))</f>
        <v>24.7699966430664</v>
      </c>
      <c r="T16" s="318" t="n">
        <f aca="false">IF($A16="N/A"," ",IF(Pricetype3=2,MAX(K16,0),IF(OR(Pricetype3=1,Pricetype3=4),IF(K16=0,0,(EURO(K16,Strikeprice3,0,0,($AK16+IF(Smile=TRUE(),VLOOKUP(MAX(-5,Strikeprice3-K16),Volsmile,2),0)),($A16-DateToday)+15,IF(Pricetype3=1,1,0),0))),K16)))</f>
        <v>0</v>
      </c>
      <c r="U16" s="319" t="e">
        <f aca="false">IF($A16="N/A"," ",Volume3*$AM16)</f>
        <v>#N/A</v>
      </c>
      <c r="V16" s="320" t="e">
        <f aca="false">IF($A16="N/A"," ",$U16*(8*($BQ16))*L16)</f>
        <v>#N/A</v>
      </c>
      <c r="W16" s="320" t="e">
        <f aca="false">IF($A16="N/A"," ",$U16*(8*($BQ16))*M16)</f>
        <v>#N/A</v>
      </c>
      <c r="X16" s="320" t="e">
        <f aca="false">IF($A16="N/A"," ",$U16*(8*($BQ16))*N16)</f>
        <v>#N/A</v>
      </c>
      <c r="Y16" s="320" t="e">
        <f aca="false">IF($A16="N/A"," ",$U16*(8*($BR16))*O16)</f>
        <v>#N/A</v>
      </c>
      <c r="Z16" s="320" t="e">
        <f aca="false">IF($A16="N/A"," ",$U16*(8*($BR16))*P16)</f>
        <v>#N/A</v>
      </c>
      <c r="AA16" s="320" t="e">
        <f aca="false">IF($A16="N/A"," ",$U16*(8*($BR16))*Q16)</f>
        <v>#N/A</v>
      </c>
      <c r="AB16" s="320" t="e">
        <f aca="false">IF($A16="N/A"," ",$U16*(8*($BS16))*R16)</f>
        <v>#N/A</v>
      </c>
      <c r="AC16" s="320" t="e">
        <f aca="false">IF($A16="N/A"," ",$U16*(8*($BS16))*S16)</f>
        <v>#N/A</v>
      </c>
      <c r="AD16" s="320" t="e">
        <f aca="false">IF($A16="N/A"," ",$U16*(8*($BS16))*T16)</f>
        <v>#N/A</v>
      </c>
      <c r="AE16" s="320" t="e">
        <f aca="false">IF($A16="N/A"," ",SUM(V16:AD16))</f>
        <v>#N/A</v>
      </c>
      <c r="AF16" s="321" t="n">
        <f aca="false">IF(A16="N/A"," ",(VLOOKUP(A16,PowerVolTable,(IF(VolBMO3=2,7,IF(VolBMO3=1,6,8))),FALSE())))</f>
        <v>0.24</v>
      </c>
      <c r="AG16" s="321" t="n">
        <f aca="false">IF(A16="N/A"," ",(VLOOKUP(A16,IntraPowerVol,(IF(VolBMO3=2,3,IF(VolBMO3=1,2,4))),FALSE())*VLOOKUP(MONTH($A16),Volscale,2)))</f>
        <v>0.36</v>
      </c>
      <c r="AH16" s="321" t="n">
        <f aca="false">IF($A16="N/A"," ",IF(VolType3=1,AG16,AF16))</f>
        <v>0.36</v>
      </c>
      <c r="AI16" s="321" t="n">
        <f aca="false">IF($A16="N/A"," ",(VLOOKUP($A16,OffPwrVolTable,(IF(VolBMO3=2,7,IF(VolBMO3=1,6,8))),FALSE())))</f>
        <v>0.12</v>
      </c>
      <c r="AJ16" s="321" t="n">
        <f aca="false">IF($A16="N/A"," ",(VLOOKUP($A16,OffPwrVolTable,(IF(VolBMO3=2,3,IF(VolBMO3=1,2,4))),FALSE())*VLOOKUP(MONTH($A16),Volscale,2)))</f>
        <v>0.216</v>
      </c>
      <c r="AK16" s="321" t="n">
        <f aca="false">IF($A16="N/A"," ",IF(VolType3=1,AJ16,AI16))</f>
        <v>0.216</v>
      </c>
      <c r="AL16" s="321" t="e">
        <f aca="false">IF($A16="N/A"," ",IF(PV=1,0,'Pricing Inputs3'!R49))</f>
        <v>#N/A</v>
      </c>
      <c r="AM16" s="323" t="e">
        <f aca="false">IF($A16="N/A"," ",(1+AL16/2)^(-2*((EOMONTH(A16,0)+20)-DateToday)/365.25))</f>
        <v>#N/A</v>
      </c>
      <c r="BQ16" s="0" t="n">
        <f aca="false">IF($A16="N/A"," ",(VLOOKUP($A16,NumberofDaysTable,2)))</f>
        <v>22</v>
      </c>
      <c r="BR16" s="0" t="n">
        <f aca="false">IF($A16="N/A"," ",(VLOOKUP($A16,NumberofDaysTable,3)))</f>
        <v>4</v>
      </c>
      <c r="BS16" s="0" t="n">
        <f aca="false">IF($A16="N/A"," ",(VLOOKUP($A16,NumberofDaysTable,4)))</f>
        <v>5</v>
      </c>
    </row>
    <row r="17" customFormat="false" ht="12.75" hidden="false" customHeight="false" outlineLevel="0" collapsed="false">
      <c r="A17" s="315" t="n">
        <f aca="false">IF(A16="N/A","N/A",IF(EDATE(A16,1)&gt;Inputs!$Q$5,"N/A",EDATE(A16,1)))</f>
        <v>37653</v>
      </c>
      <c r="B17" s="316" t="n">
        <f aca="false">IF(A17="N/A"," ",YEAR(A17))</f>
        <v>2003</v>
      </c>
      <c r="C17" s="317" t="n">
        <f aca="false">IF($A17="N/A"," ",IF(Dayrun3=10,0,IF(Scaler3=1,(VLOOKUP(A17,ScaledPrice3,4)),(VLOOKUP(A17,ScaledPrice3,2)))))</f>
        <v>32.6857130868094</v>
      </c>
      <c r="D17" s="317" t="n">
        <f aca="false">IF(A17="N/A"," ",IF(Dayrun3&gt;=7,0,IF(Scaler3=2,VLOOKUP(A17,ScaledPrice3,2),(VLOOKUP(A17,ScaledPrice3,2))*(2-(VLOOKUP(A17,ScaledPrice3,3))))))</f>
        <v>32.6857130868094</v>
      </c>
      <c r="E17" s="317" t="n">
        <f aca="false">IF($A17="N/A"," ",IF(AND(Dayrun3&gt;=4,Dayrun3&lt;=9),0,VLOOKUP($A17,ScaledPrice3,9)))</f>
        <v>0</v>
      </c>
      <c r="F17" s="317" t="n">
        <f aca="false">IF(A17="N/A"," ",IF(OR(Dayrun3=2,Dayrun3=3,Dayrun3=5,Dayrun3=6,Dayrun3=8,Dayrun3=9),VLOOKUP(A17,ScaledPrice3,IF(Scaler3=1,6,5)),0))</f>
        <v>30.765998840332</v>
      </c>
      <c r="G17" s="317" t="n">
        <f aca="false">IF(A17="N/A"," ",IF(OR(Dayrun3=2,Dayrun3=3,Dayrun3=5,Dayrun3=6),IF(Scaler3=2,F17,(VLOOKUP(A17,ScaledPrice3,5))*(2-(VLOOKUP(A17,ScaledPrice3,3)))),0))</f>
        <v>30.765998840332</v>
      </c>
      <c r="H17" s="317" t="n">
        <f aca="false">IF($A17="N/A"," ",IF(OR(Dayrun3=2,Dayrun3=3,Dayrun3=10),VLOOKUP($A17,ScaledPrice3,9),0))</f>
        <v>0</v>
      </c>
      <c r="I17" s="317" t="n">
        <f aca="false">IF(A17="N/A"," ",IF(OR(Dayrun3=3,Dayrun3=6,Dayrun3=9),(VLOOKUP(A17,ScaledPrice3,IF(Scaler3=2,7,8))),0))</f>
        <v>22.2664985656738</v>
      </c>
      <c r="J17" s="317" t="n">
        <f aca="false">IF(A17="N/A"," ",IF(OR(Dayrun3=3,Dayrun3=6),IF(Scaler3=2,I17,(VLOOKUP(A17,ScaledPrice3,7))*(2-(VLOOKUP(A17,ScaledPrice3,3)))),0))</f>
        <v>22.2664985656738</v>
      </c>
      <c r="K17" s="317" t="n">
        <f aca="false">IF($A17="N/A"," ",IF(OR(Dayrun3=3,Dayrun3=10),VLOOKUP($A17,ScaledPrice3,9),0))</f>
        <v>0</v>
      </c>
      <c r="L17" s="318" t="n">
        <f aca="false">IF($A17="N/A"," ",IF(Pricetype3=2,MAX(C17,0),IF(OR(Pricetype3=1,Pricetype3=4),IF(C17=0,0,(EURO(C17,Strikeprice3,0,0,($AH17+IF(Smile=TRUE(),VLOOKUP(MAX(-5,Strikeprice3-C17),Volsmile,2),0)),($A17-DateToday)+15,IF(Pricetype3=1,1,0),0))),C17)))</f>
        <v>32.6857130868094</v>
      </c>
      <c r="M17" s="318" t="n">
        <f aca="false">IF($A17="N/A"," ",IF(Pricetype3=2,MAX(D17,0),IF(OR(Pricetype3=1,Pricetype3=4),IF(D17=0,0,(EURO(D17,Strikeprice3,0,0,($AH17+IF(Smile=TRUE(),VLOOKUP(MAX(-5,Strikeprice3-D17),Volsmile,2),0)),($A17-DateToday)+15,IF(Pricetype3=1,1,0),0))),D17)))</f>
        <v>32.6857130868094</v>
      </c>
      <c r="N17" s="318" t="n">
        <f aca="false">IF($A17="N/A"," ",IF(Pricetype3=2,MAX(E17,0),IF(OR(Pricetype3=1,Pricetype3=4),IF(E17=0,0,(EURO(E17,Strikeprice3,0,0,($AK17+IF(Smile=TRUE(),VLOOKUP(MAX(-5,Strikeprice3-E17),Volsmile,2),0)),($A17-DateToday)+15,IF(Pricetype3=1,1,0),0))),E17)))</f>
        <v>0</v>
      </c>
      <c r="O17" s="318" t="n">
        <f aca="false">IF($A17="N/A"," ",IF(Pricetype3=2,MAX(F17,0),IF(OR(Pricetype3=1,Pricetype3=4),IF(F17=0,0,(EURO(F17,Strikeprice3,0,0,($AK17+IF(Smile=TRUE(),VLOOKUP(MAX(-5,Strikeprice3-F17),Volsmile,2),0)),($A17-DateToday)+15,IF(Pricetype3=1,1,0),0))),F17)))</f>
        <v>30.765998840332</v>
      </c>
      <c r="P17" s="318" t="n">
        <f aca="false">IF($A17="N/A"," ",IF(Pricetype3=2,MAX(G17,0),IF(OR(Pricetype3=1,Pricetype3=4),IF(G17=0,0,(EURO(G17,Strikeprice3,0,0,($AK17+IF(Smile=TRUE(),VLOOKUP(MAX(-5,Strikeprice3-G17),Volsmile,2),0)),($A17-DateToday)+15,IF(Pricetype3=1,1,0),0))),G17)))</f>
        <v>30.765998840332</v>
      </c>
      <c r="Q17" s="318" t="n">
        <f aca="false">IF($A17="N/A"," ",IF(Pricetype3=2,MAX(H17,0),IF(OR(Pricetype3=1,Pricetype3=4),IF(H17=0,0,(EURO(H17,Strikeprice3,0,0,($AK17+IF(Smile=TRUE(),VLOOKUP(MAX(-5,Strikeprice3-H17),Volsmile,2),0)),($A17-DateToday)+15,IF(Pricetype3=1,1,0),0))),H17)))</f>
        <v>0</v>
      </c>
      <c r="R17" s="318" t="n">
        <f aca="false">IF($A17="N/A"," ",IF(Pricetype3=2,MAX(I17,0),IF(OR(Pricetype3=1,Pricetype3=4),IF(I17=0,0,(EURO(I17,Strikeprice3,0,0,($AK17+IF(Smile=TRUE(),VLOOKUP(MAX(-5,Strikeprice3-I17),Volsmile,2),0)),($A17-DateToday)+15,IF(Pricetype3=1,1,0),0))),I17)))</f>
        <v>22.2664985656738</v>
      </c>
      <c r="S17" s="318" t="n">
        <f aca="false">IF($A17="N/A"," ",IF(Pricetype3=2,MAX(J17,0),IF(OR(Pricetype3=1,Pricetype3=4),IF(J17=0,0,(EURO(J17,Strikeprice3,0,0,($AK17+IF(Smile=TRUE(),VLOOKUP(MAX(-5,Strikeprice3-J17),Volsmile,2),0)),($A17-DateToday)+15,IF(Pricetype3=1,1,0),0))),J17)))</f>
        <v>22.2664985656738</v>
      </c>
      <c r="T17" s="318" t="n">
        <f aca="false">IF($A17="N/A"," ",IF(Pricetype3=2,MAX(K17,0),IF(OR(Pricetype3=1,Pricetype3=4),IF(K17=0,0,(EURO(K17,Strikeprice3,0,0,($AK17+IF(Smile=TRUE(),VLOOKUP(MAX(-5,Strikeprice3-K17),Volsmile,2),0)),($A17-DateToday)+15,IF(Pricetype3=1,1,0),0))),K17)))</f>
        <v>0</v>
      </c>
      <c r="U17" s="319" t="e">
        <f aca="false">IF($A17="N/A"," ",Volume3*$AM17)</f>
        <v>#N/A</v>
      </c>
      <c r="V17" s="320" t="e">
        <f aca="false">IF($A17="N/A"," ",$U17*(8*($BQ17))*L17)</f>
        <v>#N/A</v>
      </c>
      <c r="W17" s="320" t="e">
        <f aca="false">IF($A17="N/A"," ",$U17*(8*($BQ17))*M17)</f>
        <v>#N/A</v>
      </c>
      <c r="X17" s="320" t="e">
        <f aca="false">IF($A17="N/A"," ",$U17*(8*($BQ17))*N17)</f>
        <v>#N/A</v>
      </c>
      <c r="Y17" s="320" t="e">
        <f aca="false">IF($A17="N/A"," ",$U17*(8*($BR17))*O17)</f>
        <v>#N/A</v>
      </c>
      <c r="Z17" s="320" t="e">
        <f aca="false">IF($A17="N/A"," ",$U17*(8*($BR17))*P17)</f>
        <v>#N/A</v>
      </c>
      <c r="AA17" s="320" t="e">
        <f aca="false">IF($A17="N/A"," ",$U17*(8*($BR17))*Q17)</f>
        <v>#N/A</v>
      </c>
      <c r="AB17" s="320" t="e">
        <f aca="false">IF($A17="N/A"," ",$U17*(8*($BS17))*R17)</f>
        <v>#N/A</v>
      </c>
      <c r="AC17" s="320" t="e">
        <f aca="false">IF($A17="N/A"," ",$U17*(8*($BS17))*S17)</f>
        <v>#N/A</v>
      </c>
      <c r="AD17" s="320" t="e">
        <f aca="false">IF($A17="N/A"," ",$U17*(8*($BS17))*T17)</f>
        <v>#N/A</v>
      </c>
      <c r="AE17" s="320" t="e">
        <f aca="false">IF($A17="N/A"," ",SUM(V17:AD17))</f>
        <v>#N/A</v>
      </c>
      <c r="AF17" s="321" t="n">
        <f aca="false">IF(A17="N/A"," ",(VLOOKUP(A17,PowerVolTable,(IF(VolBMO3=2,7,IF(VolBMO3=1,6,8))),FALSE())))</f>
        <v>0.24</v>
      </c>
      <c r="AG17" s="321" t="n">
        <f aca="false">IF(A17="N/A"," ",(VLOOKUP(A17,IntraPowerVol,(IF(VolBMO3=2,3,IF(VolBMO3=1,2,4))),FALSE())*VLOOKUP(MONTH($A17),Volscale,2)))</f>
        <v>0.36</v>
      </c>
      <c r="AH17" s="321" t="n">
        <f aca="false">IF($A17="N/A"," ",IF(VolType3=1,AG17,AF17))</f>
        <v>0.36</v>
      </c>
      <c r="AI17" s="321" t="n">
        <f aca="false">IF($A17="N/A"," ",(VLOOKUP($A17,OffPwrVolTable,(IF(VolBMO3=2,7,IF(VolBMO3=1,6,8))),FALSE())))</f>
        <v>0.12</v>
      </c>
      <c r="AJ17" s="321" t="n">
        <f aca="false">IF($A17="N/A"," ",(VLOOKUP($A17,OffPwrVolTable,(IF(VolBMO3=2,3,IF(VolBMO3=1,2,4))),FALSE())*VLOOKUP(MONTH($A17),Volscale,2)))</f>
        <v>0.216</v>
      </c>
      <c r="AK17" s="321" t="n">
        <f aca="false">IF($A17="N/A"," ",IF(VolType3=1,AJ17,AI17))</f>
        <v>0.216</v>
      </c>
      <c r="AL17" s="321" t="e">
        <f aca="false">IF($A17="N/A"," ",IF(PV=1,0,'Pricing Inputs3'!R50))</f>
        <v>#N/A</v>
      </c>
      <c r="AM17" s="323" t="e">
        <f aca="false">IF($A17="N/A"," ",(1+AL17/2)^(-2*((EOMONTH(A17,0)+20)-DateToday)/365.25))</f>
        <v>#N/A</v>
      </c>
      <c r="BQ17" s="0" t="n">
        <f aca="false">IF($A17="N/A"," ",(VLOOKUP($A17,NumberofDaysTable,2)))</f>
        <v>20</v>
      </c>
      <c r="BR17" s="0" t="n">
        <f aca="false">IF($A17="N/A"," ",(VLOOKUP($A17,NumberofDaysTable,3)))</f>
        <v>4</v>
      </c>
      <c r="BS17" s="0" t="n">
        <f aca="false">IF($A17="N/A"," ",(VLOOKUP($A17,NumberofDaysTable,4)))</f>
        <v>4</v>
      </c>
    </row>
    <row r="18" customFormat="false" ht="12.75" hidden="false" customHeight="false" outlineLevel="0" collapsed="false">
      <c r="A18" s="315" t="n">
        <f aca="false">IF(A17="N/A","N/A",IF(EDATE(A17,1)&gt;Inputs!$Q$5,"N/A",EDATE(A17,1)))</f>
        <v>37681</v>
      </c>
      <c r="B18" s="316" t="n">
        <f aca="false">IF(A18="N/A"," ",YEAR(A18))</f>
        <v>2003</v>
      </c>
      <c r="C18" s="317" t="n">
        <f aca="false">IF($A18="N/A"," ",IF(Dayrun3=10,0,IF(Scaler3=1,(VLOOKUP(A18,ScaledPrice3,4)),(VLOOKUP(A18,ScaledPrice3,2)))))</f>
        <v>31.6476779316747</v>
      </c>
      <c r="D18" s="317" t="n">
        <f aca="false">IF(A18="N/A"," ",IF(Dayrun3&gt;=7,0,IF(Scaler3=2,VLOOKUP(A18,ScaledPrice3,2),(VLOOKUP(A18,ScaledPrice3,2))*(2-(VLOOKUP(A18,ScaledPrice3,3))))))</f>
        <v>31.6476779316747</v>
      </c>
      <c r="E18" s="317" t="n">
        <f aca="false">IF($A18="N/A"," ",IF(AND(Dayrun3&gt;=4,Dayrun3&lt;=9),0,VLOOKUP($A18,ScaledPrice3,9)))</f>
        <v>0</v>
      </c>
      <c r="F18" s="317" t="n">
        <f aca="false">IF(A18="N/A"," ",IF(OR(Dayrun3=2,Dayrun3=3,Dayrun3=5,Dayrun3=6,Dayrun3=8,Dayrun3=9),VLOOKUP(A18,ScaledPrice3,IF(Scaler3=1,6,5)),0))</f>
        <v>25.0199966430664</v>
      </c>
      <c r="G18" s="317" t="n">
        <f aca="false">IF(A18="N/A"," ",IF(OR(Dayrun3=2,Dayrun3=3,Dayrun3=5,Dayrun3=6),IF(Scaler3=2,F18,(VLOOKUP(A18,ScaledPrice3,5))*(2-(VLOOKUP(A18,ScaledPrice3,3)))),0))</f>
        <v>25.0199966430664</v>
      </c>
      <c r="H18" s="317" t="n">
        <f aca="false">IF($A18="N/A"," ",IF(OR(Dayrun3=2,Dayrun3=3,Dayrun3=10),VLOOKUP($A18,ScaledPrice3,9),0))</f>
        <v>0</v>
      </c>
      <c r="I18" s="317" t="n">
        <f aca="false">IF(A18="N/A"," ",IF(OR(Dayrun3=3,Dayrun3=6,Dayrun3=9),(VLOOKUP(A18,ScaledPrice3,IF(Scaler3=2,7,8))),0))</f>
        <v>19.5199966430664</v>
      </c>
      <c r="J18" s="317" t="n">
        <f aca="false">IF(A18="N/A"," ",IF(OR(Dayrun3=3,Dayrun3=6),IF(Scaler3=2,I18,(VLOOKUP(A18,ScaledPrice3,7))*(2-(VLOOKUP(A18,ScaledPrice3,3)))),0))</f>
        <v>19.5199966430664</v>
      </c>
      <c r="K18" s="317" t="n">
        <f aca="false">IF($A18="N/A"," ",IF(OR(Dayrun3=3,Dayrun3=10),VLOOKUP($A18,ScaledPrice3,9),0))</f>
        <v>0</v>
      </c>
      <c r="L18" s="318" t="n">
        <f aca="false">IF($A18="N/A"," ",IF(Pricetype3=2,MAX(C18,0),IF(OR(Pricetype3=1,Pricetype3=4),IF(C18=0,0,(EURO(C18,Strikeprice3,0,0,($AH18+IF(Smile=TRUE(),VLOOKUP(MAX(-5,Strikeprice3-C18),Volsmile,2),0)),($A18-DateToday)+15,IF(Pricetype3=1,1,0),0))),C18)))</f>
        <v>31.6476779316747</v>
      </c>
      <c r="M18" s="318" t="n">
        <f aca="false">IF($A18="N/A"," ",IF(Pricetype3=2,MAX(D18,0),IF(OR(Pricetype3=1,Pricetype3=4),IF(D18=0,0,(EURO(D18,Strikeprice3,0,0,($AH18+IF(Smile=TRUE(),VLOOKUP(MAX(-5,Strikeprice3-D18),Volsmile,2),0)),($A18-DateToday)+15,IF(Pricetype3=1,1,0),0))),D18)))</f>
        <v>31.6476779316747</v>
      </c>
      <c r="N18" s="318" t="n">
        <f aca="false">IF($A18="N/A"," ",IF(Pricetype3=2,MAX(E18,0),IF(OR(Pricetype3=1,Pricetype3=4),IF(E18=0,0,(EURO(E18,Strikeprice3,0,0,($AK18+IF(Smile=TRUE(),VLOOKUP(MAX(-5,Strikeprice3-E18),Volsmile,2),0)),($A18-DateToday)+15,IF(Pricetype3=1,1,0),0))),E18)))</f>
        <v>0</v>
      </c>
      <c r="O18" s="318" t="n">
        <f aca="false">IF($A18="N/A"," ",IF(Pricetype3=2,MAX(F18,0),IF(OR(Pricetype3=1,Pricetype3=4),IF(F18=0,0,(EURO(F18,Strikeprice3,0,0,($AK18+IF(Smile=TRUE(),VLOOKUP(MAX(-5,Strikeprice3-F18),Volsmile,2),0)),($A18-DateToday)+15,IF(Pricetype3=1,1,0),0))),F18)))</f>
        <v>25.0199966430664</v>
      </c>
      <c r="P18" s="318" t="n">
        <f aca="false">IF($A18="N/A"," ",IF(Pricetype3=2,MAX(G18,0),IF(OR(Pricetype3=1,Pricetype3=4),IF(G18=0,0,(EURO(G18,Strikeprice3,0,0,($AK18+IF(Smile=TRUE(),VLOOKUP(MAX(-5,Strikeprice3-G18),Volsmile,2),0)),($A18-DateToday)+15,IF(Pricetype3=1,1,0),0))),G18)))</f>
        <v>25.0199966430664</v>
      </c>
      <c r="Q18" s="318" t="n">
        <f aca="false">IF($A18="N/A"," ",IF(Pricetype3=2,MAX(H18,0),IF(OR(Pricetype3=1,Pricetype3=4),IF(H18=0,0,(EURO(H18,Strikeprice3,0,0,($AK18+IF(Smile=TRUE(),VLOOKUP(MAX(-5,Strikeprice3-H18),Volsmile,2),0)),($A18-DateToday)+15,IF(Pricetype3=1,1,0),0))),H18)))</f>
        <v>0</v>
      </c>
      <c r="R18" s="318" t="n">
        <f aca="false">IF($A18="N/A"," ",IF(Pricetype3=2,MAX(I18,0),IF(OR(Pricetype3=1,Pricetype3=4),IF(I18=0,0,(EURO(I18,Strikeprice3,0,0,($AK18+IF(Smile=TRUE(),VLOOKUP(MAX(-5,Strikeprice3-I18),Volsmile,2),0)),($A18-DateToday)+15,IF(Pricetype3=1,1,0),0))),I18)))</f>
        <v>19.5199966430664</v>
      </c>
      <c r="S18" s="318" t="n">
        <f aca="false">IF($A18="N/A"," ",IF(Pricetype3=2,MAX(J18,0),IF(OR(Pricetype3=1,Pricetype3=4),IF(J18=0,0,(EURO(J18,Strikeprice3,0,0,($AK18+IF(Smile=TRUE(),VLOOKUP(MAX(-5,Strikeprice3-J18),Volsmile,2),0)),($A18-DateToday)+15,IF(Pricetype3=1,1,0),0))),J18)))</f>
        <v>19.5199966430664</v>
      </c>
      <c r="T18" s="318" t="n">
        <f aca="false">IF($A18="N/A"," ",IF(Pricetype3=2,MAX(K18,0),IF(OR(Pricetype3=1,Pricetype3=4),IF(K18=0,0,(EURO(K18,Strikeprice3,0,0,($AK18+IF(Smile=TRUE(),VLOOKUP(MAX(-5,Strikeprice3-K18),Volsmile,2),0)),($A18-DateToday)+15,IF(Pricetype3=1,1,0),0))),K18)))</f>
        <v>0</v>
      </c>
      <c r="U18" s="319" t="e">
        <f aca="false">IF($A18="N/A"," ",Volume3*$AM18)</f>
        <v>#N/A</v>
      </c>
      <c r="V18" s="320" t="e">
        <f aca="false">IF($A18="N/A"," ",$U18*(8*($BQ18))*L18)</f>
        <v>#N/A</v>
      </c>
      <c r="W18" s="320" t="e">
        <f aca="false">IF($A18="N/A"," ",$U18*(8*($BQ18))*M18)</f>
        <v>#N/A</v>
      </c>
      <c r="X18" s="320" t="e">
        <f aca="false">IF($A18="N/A"," ",$U18*(8*($BQ18))*N18)</f>
        <v>#N/A</v>
      </c>
      <c r="Y18" s="320" t="e">
        <f aca="false">IF($A18="N/A"," ",$U18*(8*($BR18))*O18)</f>
        <v>#N/A</v>
      </c>
      <c r="Z18" s="320" t="e">
        <f aca="false">IF($A18="N/A"," ",$U18*(8*($BR18))*P18)</f>
        <v>#N/A</v>
      </c>
      <c r="AA18" s="320" t="e">
        <f aca="false">IF($A18="N/A"," ",$U18*(8*($BR18))*Q18)</f>
        <v>#N/A</v>
      </c>
      <c r="AB18" s="320" t="e">
        <f aca="false">IF($A18="N/A"," ",$U18*(8*($BS18))*R18)</f>
        <v>#N/A</v>
      </c>
      <c r="AC18" s="320" t="e">
        <f aca="false">IF($A18="N/A"," ",$U18*(8*($BS18))*S18)</f>
        <v>#N/A</v>
      </c>
      <c r="AD18" s="320" t="e">
        <f aca="false">IF($A18="N/A"," ",$U18*(8*($BS18))*T18)</f>
        <v>#N/A</v>
      </c>
      <c r="AE18" s="320" t="e">
        <f aca="false">IF($A18="N/A"," ",SUM(V18:AD18))</f>
        <v>#N/A</v>
      </c>
      <c r="AF18" s="321" t="n">
        <f aca="false">IF(A18="N/A"," ",(VLOOKUP(A18,PowerVolTable,(IF(VolBMO3=2,7,IF(VolBMO3=1,6,8))),FALSE())))</f>
        <v>0.24</v>
      </c>
      <c r="AG18" s="321" t="n">
        <f aca="false">IF(A18="N/A"," ",(VLOOKUP(A18,IntraPowerVol,(IF(VolBMO3=2,3,IF(VolBMO3=1,2,4))),FALSE())*VLOOKUP(MONTH($A18),Volscale,2)))</f>
        <v>0.36</v>
      </c>
      <c r="AH18" s="321" t="n">
        <f aca="false">IF($A18="N/A"," ",IF(VolType3=1,AG18,AF18))</f>
        <v>0.36</v>
      </c>
      <c r="AI18" s="321" t="n">
        <f aca="false">IF($A18="N/A"," ",(VLOOKUP($A18,OffPwrVolTable,(IF(VolBMO3=2,7,IF(VolBMO3=1,6,8))),FALSE())))</f>
        <v>0.12</v>
      </c>
      <c r="AJ18" s="321" t="n">
        <f aca="false">IF($A18="N/A"," ",(VLOOKUP($A18,OffPwrVolTable,(IF(VolBMO3=2,3,IF(VolBMO3=1,2,4))),FALSE())*VLOOKUP(MONTH($A18),Volscale,2)))</f>
        <v>0.216</v>
      </c>
      <c r="AK18" s="321" t="n">
        <f aca="false">IF($A18="N/A"," ",IF(VolType3=1,AJ18,AI18))</f>
        <v>0.216</v>
      </c>
      <c r="AL18" s="321" t="e">
        <f aca="false">IF($A18="N/A"," ",IF(PV=1,0,'Pricing Inputs3'!R51))</f>
        <v>#N/A</v>
      </c>
      <c r="AM18" s="323" t="e">
        <f aca="false">IF($A18="N/A"," ",(1+AL18/2)^(-2*((EOMONTH(A18,0)+20)-DateToday)/365.25))</f>
        <v>#N/A</v>
      </c>
      <c r="BQ18" s="0" t="n">
        <f aca="false">IF($A18="N/A"," ",(VLOOKUP($A18,NumberofDaysTable,2)))</f>
        <v>21</v>
      </c>
      <c r="BR18" s="0" t="n">
        <f aca="false">IF($A18="N/A"," ",(VLOOKUP($A18,NumberofDaysTable,3)))</f>
        <v>5</v>
      </c>
      <c r="BS18" s="0" t="n">
        <f aca="false">IF($A18="N/A"," ",(VLOOKUP($A18,NumberofDaysTable,4)))</f>
        <v>5</v>
      </c>
    </row>
    <row r="19" customFormat="false" ht="12.75" hidden="false" customHeight="false" outlineLevel="0" collapsed="false">
      <c r="A19" s="315" t="n">
        <f aca="false">IF(A18="N/A","N/A",IF(EDATE(A18,1)&gt;Inputs!$Q$5,"N/A",EDATE(A18,1)))</f>
        <v>37712</v>
      </c>
      <c r="B19" s="316" t="n">
        <f aca="false">IF(A19="N/A"," ",YEAR(A19))</f>
        <v>2003</v>
      </c>
      <c r="C19" s="317" t="n">
        <f aca="false">IF($A19="N/A"," ",IF(Dayrun3=10,0,IF(Scaler3=1,(VLOOKUP(A19,ScaledPrice3,4)),(VLOOKUP(A19,ScaledPrice3,2)))))</f>
        <v>31.8476710652196</v>
      </c>
      <c r="D19" s="317" t="n">
        <f aca="false">IF(A19="N/A"," ",IF(Dayrun3&gt;=7,0,IF(Scaler3=2,VLOOKUP(A19,ScaledPrice3,2),(VLOOKUP(A19,ScaledPrice3,2))*(2-(VLOOKUP(A19,ScaledPrice3,3))))))</f>
        <v>31.8476710652196</v>
      </c>
      <c r="E19" s="317" t="n">
        <f aca="false">IF($A19="N/A"," ",IF(AND(Dayrun3&gt;=4,Dayrun3&lt;=9),0,VLOOKUP($A19,ScaledPrice3,9)))</f>
        <v>0</v>
      </c>
      <c r="F19" s="317" t="n">
        <f aca="false">IF(A19="N/A"," ",IF(OR(Dayrun3=2,Dayrun3=3,Dayrun3=5,Dayrun3=6,Dayrun3=8,Dayrun3=9),VLOOKUP(A19,ScaledPrice3,IF(Scaler3=1,6,5)),0))</f>
        <v>21.5199966430664</v>
      </c>
      <c r="G19" s="317" t="n">
        <f aca="false">IF(A19="N/A"," ",IF(OR(Dayrun3=2,Dayrun3=3,Dayrun3=5,Dayrun3=6),IF(Scaler3=2,F19,(VLOOKUP(A19,ScaledPrice3,5))*(2-(VLOOKUP(A19,ScaledPrice3,3)))),0))</f>
        <v>21.5199966430664</v>
      </c>
      <c r="H19" s="317" t="n">
        <f aca="false">IF($A19="N/A"," ",IF(OR(Dayrun3=2,Dayrun3=3,Dayrun3=10),VLOOKUP($A19,ScaledPrice3,9),0))</f>
        <v>0</v>
      </c>
      <c r="I19" s="317" t="n">
        <f aca="false">IF(A19="N/A"," ",IF(OR(Dayrun3=3,Dayrun3=6,Dayrun3=9),(VLOOKUP(A19,ScaledPrice3,IF(Scaler3=2,7,8))),0))</f>
        <v>16.0149993896484</v>
      </c>
      <c r="J19" s="317" t="n">
        <f aca="false">IF(A19="N/A"," ",IF(OR(Dayrun3=3,Dayrun3=6),IF(Scaler3=2,I19,(VLOOKUP(A19,ScaledPrice3,7))*(2-(VLOOKUP(A19,ScaledPrice3,3)))),0))</f>
        <v>16.0149993896484</v>
      </c>
      <c r="K19" s="317" t="n">
        <f aca="false">IF($A19="N/A"," ",IF(OR(Dayrun3=3,Dayrun3=10),VLOOKUP($A19,ScaledPrice3,9),0))</f>
        <v>0</v>
      </c>
      <c r="L19" s="318" t="n">
        <f aca="false">IF($A19="N/A"," ",IF(Pricetype3=2,MAX(C19,0),IF(OR(Pricetype3=1,Pricetype3=4),IF(C19=0,0,(EURO(C19,Strikeprice3,0,0,($AH19+IF(Smile=TRUE(),VLOOKUP(MAX(-5,Strikeprice3-C19),Volsmile,2),0)),($A19-DateToday)+15,IF(Pricetype3=1,1,0),0))),C19)))</f>
        <v>31.8476710652196</v>
      </c>
      <c r="M19" s="318" t="n">
        <f aca="false">IF($A19="N/A"," ",IF(Pricetype3=2,MAX(D19,0),IF(OR(Pricetype3=1,Pricetype3=4),IF(D19=0,0,(EURO(D19,Strikeprice3,0,0,($AH19+IF(Smile=TRUE(),VLOOKUP(MAX(-5,Strikeprice3-D19),Volsmile,2),0)),($A19-DateToday)+15,IF(Pricetype3=1,1,0),0))),D19)))</f>
        <v>31.8476710652196</v>
      </c>
      <c r="N19" s="318" t="n">
        <f aca="false">IF($A19="N/A"," ",IF(Pricetype3=2,MAX(E19,0),IF(OR(Pricetype3=1,Pricetype3=4),IF(E19=0,0,(EURO(E19,Strikeprice3,0,0,($AK19+IF(Smile=TRUE(),VLOOKUP(MAX(-5,Strikeprice3-E19),Volsmile,2),0)),($A19-DateToday)+15,IF(Pricetype3=1,1,0),0))),E19)))</f>
        <v>0</v>
      </c>
      <c r="O19" s="318" t="n">
        <f aca="false">IF($A19="N/A"," ",IF(Pricetype3=2,MAX(F19,0),IF(OR(Pricetype3=1,Pricetype3=4),IF(F19=0,0,(EURO(F19,Strikeprice3,0,0,($AK19+IF(Smile=TRUE(),VLOOKUP(MAX(-5,Strikeprice3-F19),Volsmile,2),0)),($A19-DateToday)+15,IF(Pricetype3=1,1,0),0))),F19)))</f>
        <v>21.5199966430664</v>
      </c>
      <c r="P19" s="318" t="n">
        <f aca="false">IF($A19="N/A"," ",IF(Pricetype3=2,MAX(G19,0),IF(OR(Pricetype3=1,Pricetype3=4),IF(G19=0,0,(EURO(G19,Strikeprice3,0,0,($AK19+IF(Smile=TRUE(),VLOOKUP(MAX(-5,Strikeprice3-G19),Volsmile,2),0)),($A19-DateToday)+15,IF(Pricetype3=1,1,0),0))),G19)))</f>
        <v>21.5199966430664</v>
      </c>
      <c r="Q19" s="318" t="n">
        <f aca="false">IF($A19="N/A"," ",IF(Pricetype3=2,MAX(H19,0),IF(OR(Pricetype3=1,Pricetype3=4),IF(H19=0,0,(EURO(H19,Strikeprice3,0,0,($AK19+IF(Smile=TRUE(),VLOOKUP(MAX(-5,Strikeprice3-H19),Volsmile,2),0)),($A19-DateToday)+15,IF(Pricetype3=1,1,0),0))),H19)))</f>
        <v>0</v>
      </c>
      <c r="R19" s="318" t="n">
        <f aca="false">IF($A19="N/A"," ",IF(Pricetype3=2,MAX(I19,0),IF(OR(Pricetype3=1,Pricetype3=4),IF(I19=0,0,(EURO(I19,Strikeprice3,0,0,($AK19+IF(Smile=TRUE(),VLOOKUP(MAX(-5,Strikeprice3-I19),Volsmile,2),0)),($A19-DateToday)+15,IF(Pricetype3=1,1,0),0))),I19)))</f>
        <v>16.0149993896484</v>
      </c>
      <c r="S19" s="318" t="n">
        <f aca="false">IF($A19="N/A"," ",IF(Pricetype3=2,MAX(J19,0),IF(OR(Pricetype3=1,Pricetype3=4),IF(J19=0,0,(EURO(J19,Strikeprice3,0,0,($AK19+IF(Smile=TRUE(),VLOOKUP(MAX(-5,Strikeprice3-J19),Volsmile,2),0)),($A19-DateToday)+15,IF(Pricetype3=1,1,0),0))),J19)))</f>
        <v>16.0149993896484</v>
      </c>
      <c r="T19" s="318" t="n">
        <f aca="false">IF($A19="N/A"," ",IF(Pricetype3=2,MAX(K19,0),IF(OR(Pricetype3=1,Pricetype3=4),IF(K19=0,0,(EURO(K19,Strikeprice3,0,0,($AK19+IF(Smile=TRUE(),VLOOKUP(MAX(-5,Strikeprice3-K19),Volsmile,2),0)),($A19-DateToday)+15,IF(Pricetype3=1,1,0),0))),K19)))</f>
        <v>0</v>
      </c>
      <c r="U19" s="319" t="e">
        <f aca="false">IF($A19="N/A"," ",Volume3*$AM19)</f>
        <v>#N/A</v>
      </c>
      <c r="V19" s="320" t="e">
        <f aca="false">IF($A19="N/A"," ",$U19*(8*($BQ19))*L19)</f>
        <v>#N/A</v>
      </c>
      <c r="W19" s="320" t="e">
        <f aca="false">IF($A19="N/A"," ",$U19*(8*($BQ19))*M19)</f>
        <v>#N/A</v>
      </c>
      <c r="X19" s="320" t="e">
        <f aca="false">IF($A19="N/A"," ",$U19*(8*($BQ19))*N19)</f>
        <v>#N/A</v>
      </c>
      <c r="Y19" s="320" t="e">
        <f aca="false">IF($A19="N/A"," ",$U19*(8*($BR19))*O19)</f>
        <v>#N/A</v>
      </c>
      <c r="Z19" s="320" t="e">
        <f aca="false">IF($A19="N/A"," ",$U19*(8*($BR19))*P19)</f>
        <v>#N/A</v>
      </c>
      <c r="AA19" s="320" t="e">
        <f aca="false">IF($A19="N/A"," ",$U19*(8*($BR19))*Q19)</f>
        <v>#N/A</v>
      </c>
      <c r="AB19" s="320" t="e">
        <f aca="false">IF($A19="N/A"," ",$U19*(8*($BS19))*R19)</f>
        <v>#N/A</v>
      </c>
      <c r="AC19" s="320" t="e">
        <f aca="false">IF($A19="N/A"," ",$U19*(8*($BS19))*S19)</f>
        <v>#N/A</v>
      </c>
      <c r="AD19" s="320" t="e">
        <f aca="false">IF($A19="N/A"," ",$U19*(8*($BS19))*T19)</f>
        <v>#N/A</v>
      </c>
      <c r="AE19" s="320" t="e">
        <f aca="false">IF($A19="N/A"," ",SUM(V19:AD19))</f>
        <v>#N/A</v>
      </c>
      <c r="AF19" s="321" t="n">
        <f aca="false">IF(A19="N/A"," ",(VLOOKUP(A19,PowerVolTable,(IF(VolBMO3=2,7,IF(VolBMO3=1,6,8))),FALSE())))</f>
        <v>0.24</v>
      </c>
      <c r="AG19" s="321" t="n">
        <f aca="false">IF(A19="N/A"," ",(VLOOKUP(A19,IntraPowerVol,(IF(VolBMO3=2,3,IF(VolBMO3=1,2,4))),FALSE())*VLOOKUP(MONTH($A19),Volscale,2)))</f>
        <v>0.36</v>
      </c>
      <c r="AH19" s="321" t="n">
        <f aca="false">IF($A19="N/A"," ",IF(VolType3=1,AG19,AF19))</f>
        <v>0.36</v>
      </c>
      <c r="AI19" s="321" t="n">
        <f aca="false">IF($A19="N/A"," ",(VLOOKUP($A19,OffPwrVolTable,(IF(VolBMO3=2,7,IF(VolBMO3=1,6,8))),FALSE())))</f>
        <v>0.12</v>
      </c>
      <c r="AJ19" s="321" t="n">
        <f aca="false">IF($A19="N/A"," ",(VLOOKUP($A19,OffPwrVolTable,(IF(VolBMO3=2,3,IF(VolBMO3=1,2,4))),FALSE())*VLOOKUP(MONTH($A19),Volscale,2)))</f>
        <v>0.216</v>
      </c>
      <c r="AK19" s="321" t="n">
        <f aca="false">IF($A19="N/A"," ",IF(VolType3=1,AJ19,AI19))</f>
        <v>0.216</v>
      </c>
      <c r="AL19" s="321" t="e">
        <f aca="false">IF($A19="N/A"," ",IF(PV=1,0,'Pricing Inputs3'!R52))</f>
        <v>#N/A</v>
      </c>
      <c r="AM19" s="323" t="e">
        <f aca="false">IF($A19="N/A"," ",(1+AL19/2)^(-2*((EOMONTH(A19,0)+20)-DateToday)/365.25))</f>
        <v>#N/A</v>
      </c>
      <c r="BQ19" s="0" t="n">
        <f aca="false">IF($A19="N/A"," ",(VLOOKUP($A19,NumberofDaysTable,2)))</f>
        <v>22</v>
      </c>
      <c r="BR19" s="0" t="n">
        <f aca="false">IF($A19="N/A"," ",(VLOOKUP($A19,NumberofDaysTable,3)))</f>
        <v>4</v>
      </c>
      <c r="BS19" s="0" t="n">
        <f aca="false">IF($A19="N/A"," ",(VLOOKUP($A19,NumberofDaysTable,4)))</f>
        <v>4</v>
      </c>
    </row>
    <row r="20" customFormat="false" ht="12.75" hidden="false" customHeight="false" outlineLevel="0" collapsed="false">
      <c r="A20" s="315" t="n">
        <f aca="false">IF(A19="N/A","N/A",IF(EDATE(A19,1)&gt;Inputs!$Q$5,"N/A",EDATE(A19,1)))</f>
        <v>37742</v>
      </c>
      <c r="B20" s="316" t="n">
        <f aca="false">IF(A20="N/A"," ",YEAR(A20))</f>
        <v>2003</v>
      </c>
      <c r="C20" s="317" t="n">
        <f aca="false">IF($A20="N/A"," ",IF(Dayrun3=10,0,IF(Scaler3=1,(VLOOKUP(A20,ScaledPrice3,4)),(VLOOKUP(A20,ScaledPrice3,2)))))</f>
        <v>35.125</v>
      </c>
      <c r="D20" s="317" t="n">
        <f aca="false">IF(A20="N/A"," ",IF(Dayrun3&gt;=7,0,IF(Scaler3=2,VLOOKUP(A20,ScaledPrice3,2),(VLOOKUP(A20,ScaledPrice3,2))*(2-(VLOOKUP(A20,ScaledPrice3,3))))))</f>
        <v>35.125</v>
      </c>
      <c r="E20" s="317" t="n">
        <f aca="false">IF($A20="N/A"," ",IF(AND(Dayrun3&gt;=4,Dayrun3&lt;=9),0,VLOOKUP($A20,ScaledPrice3,9)))</f>
        <v>0</v>
      </c>
      <c r="F20" s="317" t="n">
        <f aca="false">IF(A20="N/A"," ",IF(OR(Dayrun3=2,Dayrun3=3,Dayrun3=5,Dayrun3=6,Dayrun3=8,Dayrun3=9),VLOOKUP(A20,ScaledPrice3,IF(Scaler3=1,6,5)),0))</f>
        <v>21.8399982452393</v>
      </c>
      <c r="G20" s="317" t="n">
        <f aca="false">IF(A20="N/A"," ",IF(OR(Dayrun3=2,Dayrun3=3,Dayrun3=5,Dayrun3=6),IF(Scaler3=2,F20,(VLOOKUP(A20,ScaledPrice3,5))*(2-(VLOOKUP(A20,ScaledPrice3,3)))),0))</f>
        <v>21.8399982452393</v>
      </c>
      <c r="H20" s="317" t="n">
        <f aca="false">IF($A20="N/A"," ",IF(OR(Dayrun3=2,Dayrun3=3,Dayrun3=10),VLOOKUP($A20,ScaledPrice3,9),0))</f>
        <v>0</v>
      </c>
      <c r="I20" s="317" t="n">
        <f aca="false">IF(A20="N/A"," ",IF(OR(Dayrun3=3,Dayrun3=6,Dayrun3=9),(VLOOKUP(A20,ScaledPrice3,IF(Scaler3=2,7,8))),0))</f>
        <v>15.3450012207031</v>
      </c>
      <c r="J20" s="317" t="n">
        <f aca="false">IF(A20="N/A"," ",IF(OR(Dayrun3=3,Dayrun3=6),IF(Scaler3=2,I20,(VLOOKUP(A20,ScaledPrice3,7))*(2-(VLOOKUP(A20,ScaledPrice3,3)))),0))</f>
        <v>15.3450012207031</v>
      </c>
      <c r="K20" s="317" t="n">
        <f aca="false">IF($A20="N/A"," ",IF(OR(Dayrun3=3,Dayrun3=10),VLOOKUP($A20,ScaledPrice3,9),0))</f>
        <v>0</v>
      </c>
      <c r="L20" s="318" t="n">
        <f aca="false">IF($A20="N/A"," ",IF(Pricetype3=2,MAX(C20,0),IF(OR(Pricetype3=1,Pricetype3=4),IF(C20=0,0,(EURO(C20,Strikeprice3,0,0,($AH20+IF(Smile=TRUE(),VLOOKUP(MAX(-5,Strikeprice3-C20),Volsmile,2),0)),($A20-DateToday)+15,IF(Pricetype3=1,1,0),0))),C20)))</f>
        <v>35.125</v>
      </c>
      <c r="M20" s="318" t="n">
        <f aca="false">IF($A20="N/A"," ",IF(Pricetype3=2,MAX(D20,0),IF(OR(Pricetype3=1,Pricetype3=4),IF(D20=0,0,(EURO(D20,Strikeprice3,0,0,($AH20+IF(Smile=TRUE(),VLOOKUP(MAX(-5,Strikeprice3-D20),Volsmile,2),0)),($A20-DateToday)+15,IF(Pricetype3=1,1,0),0))),D20)))</f>
        <v>35.125</v>
      </c>
      <c r="N20" s="318" t="n">
        <f aca="false">IF($A20="N/A"," ",IF(Pricetype3=2,MAX(E20,0),IF(OR(Pricetype3=1,Pricetype3=4),IF(E20=0,0,(EURO(E20,Strikeprice3,0,0,($AK20+IF(Smile=TRUE(),VLOOKUP(MAX(-5,Strikeprice3-E20),Volsmile,2),0)),($A20-DateToday)+15,IF(Pricetype3=1,1,0),0))),E20)))</f>
        <v>0</v>
      </c>
      <c r="O20" s="318" t="n">
        <f aca="false">IF($A20="N/A"," ",IF(Pricetype3=2,MAX(F20,0),IF(OR(Pricetype3=1,Pricetype3=4),IF(F20=0,0,(EURO(F20,Strikeprice3,0,0,($AK20+IF(Smile=TRUE(),VLOOKUP(MAX(-5,Strikeprice3-F20),Volsmile,2),0)),($A20-DateToday)+15,IF(Pricetype3=1,1,0),0))),F20)))</f>
        <v>21.8399982452393</v>
      </c>
      <c r="P20" s="318" t="n">
        <f aca="false">IF($A20="N/A"," ",IF(Pricetype3=2,MAX(G20,0),IF(OR(Pricetype3=1,Pricetype3=4),IF(G20=0,0,(EURO(G20,Strikeprice3,0,0,($AK20+IF(Smile=TRUE(),VLOOKUP(MAX(-5,Strikeprice3-G20),Volsmile,2),0)),($A20-DateToday)+15,IF(Pricetype3=1,1,0),0))),G20)))</f>
        <v>21.8399982452393</v>
      </c>
      <c r="Q20" s="318" t="n">
        <f aca="false">IF($A20="N/A"," ",IF(Pricetype3=2,MAX(H20,0),IF(OR(Pricetype3=1,Pricetype3=4),IF(H20=0,0,(EURO(H20,Strikeprice3,0,0,($AK20+IF(Smile=TRUE(),VLOOKUP(MAX(-5,Strikeprice3-H20),Volsmile,2),0)),($A20-DateToday)+15,IF(Pricetype3=1,1,0),0))),H20)))</f>
        <v>0</v>
      </c>
      <c r="R20" s="318" t="n">
        <f aca="false">IF($A20="N/A"," ",IF(Pricetype3=2,MAX(I20,0),IF(OR(Pricetype3=1,Pricetype3=4),IF(I20=0,0,(EURO(I20,Strikeprice3,0,0,($AK20+IF(Smile=TRUE(),VLOOKUP(MAX(-5,Strikeprice3-I20),Volsmile,2),0)),($A20-DateToday)+15,IF(Pricetype3=1,1,0),0))),I20)))</f>
        <v>15.3450012207031</v>
      </c>
      <c r="S20" s="318" t="n">
        <f aca="false">IF($A20="N/A"," ",IF(Pricetype3=2,MAX(J20,0),IF(OR(Pricetype3=1,Pricetype3=4),IF(J20=0,0,(EURO(J20,Strikeprice3,0,0,($AK20+IF(Smile=TRUE(),VLOOKUP(MAX(-5,Strikeprice3-J20),Volsmile,2),0)),($A20-DateToday)+15,IF(Pricetype3=1,1,0),0))),J20)))</f>
        <v>15.3450012207031</v>
      </c>
      <c r="T20" s="318" t="n">
        <f aca="false">IF($A20="N/A"," ",IF(Pricetype3=2,MAX(K20,0),IF(OR(Pricetype3=1,Pricetype3=4),IF(K20=0,0,(EURO(K20,Strikeprice3,0,0,($AK20+IF(Smile=TRUE(),VLOOKUP(MAX(-5,Strikeprice3-K20),Volsmile,2),0)),($A20-DateToday)+15,IF(Pricetype3=1,1,0),0))),K20)))</f>
        <v>0</v>
      </c>
      <c r="U20" s="319" t="e">
        <f aca="false">IF($A20="N/A"," ",Volume3*$AM20)</f>
        <v>#N/A</v>
      </c>
      <c r="V20" s="320" t="e">
        <f aca="false">IF($A20="N/A"," ",$U20*(8*($BQ20))*L20)</f>
        <v>#N/A</v>
      </c>
      <c r="W20" s="320" t="e">
        <f aca="false">IF($A20="N/A"," ",$U20*(8*($BQ20))*M20)</f>
        <v>#N/A</v>
      </c>
      <c r="X20" s="320" t="e">
        <f aca="false">IF($A20="N/A"," ",$U20*(8*($BQ20))*N20)</f>
        <v>#N/A</v>
      </c>
      <c r="Y20" s="320" t="e">
        <f aca="false">IF($A20="N/A"," ",$U20*(8*($BR20))*O20)</f>
        <v>#N/A</v>
      </c>
      <c r="Z20" s="320" t="e">
        <f aca="false">IF($A20="N/A"," ",$U20*(8*($BR20))*P20)</f>
        <v>#N/A</v>
      </c>
      <c r="AA20" s="320" t="e">
        <f aca="false">IF($A20="N/A"," ",$U20*(8*($BR20))*Q20)</f>
        <v>#N/A</v>
      </c>
      <c r="AB20" s="320" t="e">
        <f aca="false">IF($A20="N/A"," ",$U20*(8*($BS20))*R20)</f>
        <v>#N/A</v>
      </c>
      <c r="AC20" s="320" t="e">
        <f aca="false">IF($A20="N/A"," ",$U20*(8*($BS20))*S20)</f>
        <v>#N/A</v>
      </c>
      <c r="AD20" s="320" t="e">
        <f aca="false">IF($A20="N/A"," ",$U20*(8*($BS20))*T20)</f>
        <v>#N/A</v>
      </c>
      <c r="AE20" s="320" t="e">
        <f aca="false">IF($A20="N/A"," ",SUM(V20:AD20))</f>
        <v>#N/A</v>
      </c>
      <c r="AF20" s="321" t="n">
        <f aca="false">IF(A20="N/A"," ",(VLOOKUP(A20,PowerVolTable,(IF(VolBMO3=2,7,IF(VolBMO3=1,6,8))),FALSE())))</f>
        <v>0.28</v>
      </c>
      <c r="AG20" s="321" t="n">
        <f aca="false">IF(A20="N/A"," ",(VLOOKUP(A20,IntraPowerVol,(IF(VolBMO3=2,3,IF(VolBMO3=1,2,4))),FALSE())*VLOOKUP(MONTH($A20),Volscale,2)))</f>
        <v>0.36</v>
      </c>
      <c r="AH20" s="321" t="n">
        <f aca="false">IF($A20="N/A"," ",IF(VolType3=1,AG20,AF20))</f>
        <v>0.36</v>
      </c>
      <c r="AI20" s="321" t="n">
        <f aca="false">IF($A20="N/A"," ",(VLOOKUP($A20,OffPwrVolTable,(IF(VolBMO3=2,7,IF(VolBMO3=1,6,8))),FALSE())))</f>
        <v>0.14</v>
      </c>
      <c r="AJ20" s="321" t="n">
        <f aca="false">IF($A20="N/A"," ",(VLOOKUP($A20,OffPwrVolTable,(IF(VolBMO3=2,3,IF(VolBMO3=1,2,4))),FALSE())*VLOOKUP(MONTH($A20),Volscale,2)))</f>
        <v>0.216</v>
      </c>
      <c r="AK20" s="321" t="n">
        <f aca="false">IF($A20="N/A"," ",IF(VolType3=1,AJ20,AI20))</f>
        <v>0.216</v>
      </c>
      <c r="AL20" s="321" t="e">
        <f aca="false">IF($A20="N/A"," ",IF(PV=1,0,'Pricing Inputs3'!R53))</f>
        <v>#N/A</v>
      </c>
      <c r="AM20" s="323" t="e">
        <f aca="false">IF($A20="N/A"," ",(1+AL20/2)^(-2*((EOMONTH(A20,0)+20)-DateToday)/365.25))</f>
        <v>#N/A</v>
      </c>
      <c r="BQ20" s="0" t="n">
        <f aca="false">IF($A20="N/A"," ",(VLOOKUP($A20,NumberofDaysTable,2)))</f>
        <v>21</v>
      </c>
      <c r="BR20" s="0" t="n">
        <f aca="false">IF($A20="N/A"," ",(VLOOKUP($A20,NumberofDaysTable,3)))</f>
        <v>5</v>
      </c>
      <c r="BS20" s="0" t="n">
        <f aca="false">IF($A20="N/A"," ",(VLOOKUP($A20,NumberofDaysTable,4)))</f>
        <v>5</v>
      </c>
    </row>
    <row r="21" customFormat="false" ht="12.75" hidden="false" customHeight="false" outlineLevel="0" collapsed="false">
      <c r="A21" s="315" t="n">
        <f aca="false">IF(A20="N/A","N/A",IF(EDATE(A20,1)&gt;Inputs!$Q$5,"N/A",EDATE(A20,1)))</f>
        <v>37773</v>
      </c>
      <c r="B21" s="316" t="n">
        <f aca="false">IF(A21="N/A"," ",YEAR(A21))</f>
        <v>2003</v>
      </c>
      <c r="C21" s="317" t="n">
        <f aca="false">IF($A21="N/A"," ",IF(Dayrun3=10,0,IF(Scaler3=1,(VLOOKUP(A21,ScaledPrice3,4)),(VLOOKUP(A21,ScaledPrice3,2)))))</f>
        <v>43.5</v>
      </c>
      <c r="D21" s="317" t="n">
        <f aca="false">IF(A21="N/A"," ",IF(Dayrun3&gt;=7,0,IF(Scaler3=2,VLOOKUP(A21,ScaledPrice3,2),(VLOOKUP(A21,ScaledPrice3,2))*(2-(VLOOKUP(A21,ScaledPrice3,3))))))</f>
        <v>43.5</v>
      </c>
      <c r="E21" s="317" t="n">
        <f aca="false">IF($A21="N/A"," ",IF(AND(Dayrun3&gt;=4,Dayrun3&lt;=9),0,VLOOKUP($A21,ScaledPrice3,9)))</f>
        <v>0</v>
      </c>
      <c r="F21" s="317" t="n">
        <f aca="false">IF(A21="N/A"," ",IF(OR(Dayrun3=2,Dayrun3=3,Dayrun3=5,Dayrun3=6,Dayrun3=8,Dayrun3=9),VLOOKUP(A21,ScaledPrice3,IF(Scaler3=1,6,5)),0))</f>
        <v>28.8399982452393</v>
      </c>
      <c r="G21" s="317" t="n">
        <f aca="false">IF(A21="N/A"," ",IF(OR(Dayrun3=2,Dayrun3=3,Dayrun3=5,Dayrun3=6),IF(Scaler3=2,F21,(VLOOKUP(A21,ScaledPrice3,5))*(2-(VLOOKUP(A21,ScaledPrice3,3)))),0))</f>
        <v>28.8399982452393</v>
      </c>
      <c r="H21" s="317" t="n">
        <f aca="false">IF($A21="N/A"," ",IF(OR(Dayrun3=2,Dayrun3=3,Dayrun3=10),VLOOKUP($A21,ScaledPrice3,9),0))</f>
        <v>0</v>
      </c>
      <c r="I21" s="317" t="n">
        <f aca="false">IF(A21="N/A"," ",IF(OR(Dayrun3=3,Dayrun3=6,Dayrun3=9),(VLOOKUP(A21,ScaledPrice3,IF(Scaler3=2,7,8))),0))</f>
        <v>19.3399982452393</v>
      </c>
      <c r="J21" s="317" t="n">
        <f aca="false">IF(A21="N/A"," ",IF(OR(Dayrun3=3,Dayrun3=6),IF(Scaler3=2,I21,(VLOOKUP(A21,ScaledPrice3,7))*(2-(VLOOKUP(A21,ScaledPrice3,3)))),0))</f>
        <v>19.3399982452393</v>
      </c>
      <c r="K21" s="317" t="n">
        <f aca="false">IF($A21="N/A"," ",IF(OR(Dayrun3=3,Dayrun3=10),VLOOKUP($A21,ScaledPrice3,9),0))</f>
        <v>0</v>
      </c>
      <c r="L21" s="318" t="n">
        <f aca="false">IF($A21="N/A"," ",IF(Pricetype3=2,MAX(C21,0),IF(OR(Pricetype3=1,Pricetype3=4),IF(C21=0,0,(EURO(C21,Strikeprice3,0,0,($AH21+IF(Smile=TRUE(),VLOOKUP(MAX(-5,Strikeprice3-C21),Volsmile,2),0)),($A21-DateToday)+15,IF(Pricetype3=1,1,0),0))),C21)))</f>
        <v>43.5</v>
      </c>
      <c r="M21" s="318" t="n">
        <f aca="false">IF($A21="N/A"," ",IF(Pricetype3=2,MAX(D21,0),IF(OR(Pricetype3=1,Pricetype3=4),IF(D21=0,0,(EURO(D21,Strikeprice3,0,0,($AH21+IF(Smile=TRUE(),VLOOKUP(MAX(-5,Strikeprice3-D21),Volsmile,2),0)),($A21-DateToday)+15,IF(Pricetype3=1,1,0),0))),D21)))</f>
        <v>43.5</v>
      </c>
      <c r="N21" s="318" t="n">
        <f aca="false">IF($A21="N/A"," ",IF(Pricetype3=2,MAX(E21,0),IF(OR(Pricetype3=1,Pricetype3=4),IF(E21=0,0,(EURO(E21,Strikeprice3,0,0,($AK21+IF(Smile=TRUE(),VLOOKUP(MAX(-5,Strikeprice3-E21),Volsmile,2),0)),($A21-DateToday)+15,IF(Pricetype3=1,1,0),0))),E21)))</f>
        <v>0</v>
      </c>
      <c r="O21" s="318" t="n">
        <f aca="false">IF($A21="N/A"," ",IF(Pricetype3=2,MAX(F21,0),IF(OR(Pricetype3=1,Pricetype3=4),IF(F21=0,0,(EURO(F21,Strikeprice3,0,0,($AK21+IF(Smile=TRUE(),VLOOKUP(MAX(-5,Strikeprice3-F21),Volsmile,2),0)),($A21-DateToday)+15,IF(Pricetype3=1,1,0),0))),F21)))</f>
        <v>28.8399982452393</v>
      </c>
      <c r="P21" s="318" t="n">
        <f aca="false">IF($A21="N/A"," ",IF(Pricetype3=2,MAX(G21,0),IF(OR(Pricetype3=1,Pricetype3=4),IF(G21=0,0,(EURO(G21,Strikeprice3,0,0,($AK21+IF(Smile=TRUE(),VLOOKUP(MAX(-5,Strikeprice3-G21),Volsmile,2),0)),($A21-DateToday)+15,IF(Pricetype3=1,1,0),0))),G21)))</f>
        <v>28.8399982452393</v>
      </c>
      <c r="Q21" s="318" t="n">
        <f aca="false">IF($A21="N/A"," ",IF(Pricetype3=2,MAX(H21,0),IF(OR(Pricetype3=1,Pricetype3=4),IF(H21=0,0,(EURO(H21,Strikeprice3,0,0,($AK21+IF(Smile=TRUE(),VLOOKUP(MAX(-5,Strikeprice3-H21),Volsmile,2),0)),($A21-DateToday)+15,IF(Pricetype3=1,1,0),0))),H21)))</f>
        <v>0</v>
      </c>
      <c r="R21" s="318" t="n">
        <f aca="false">IF($A21="N/A"," ",IF(Pricetype3=2,MAX(I21,0),IF(OR(Pricetype3=1,Pricetype3=4),IF(I21=0,0,(EURO(I21,Strikeprice3,0,0,($AK21+IF(Smile=TRUE(),VLOOKUP(MAX(-5,Strikeprice3-I21),Volsmile,2),0)),($A21-DateToday)+15,IF(Pricetype3=1,1,0),0))),I21)))</f>
        <v>19.3399982452393</v>
      </c>
      <c r="S21" s="318" t="n">
        <f aca="false">IF($A21="N/A"," ",IF(Pricetype3=2,MAX(J21,0),IF(OR(Pricetype3=1,Pricetype3=4),IF(J21=0,0,(EURO(J21,Strikeprice3,0,0,($AK21+IF(Smile=TRUE(),VLOOKUP(MAX(-5,Strikeprice3-J21),Volsmile,2),0)),($A21-DateToday)+15,IF(Pricetype3=1,1,0),0))),J21)))</f>
        <v>19.3399982452393</v>
      </c>
      <c r="T21" s="318" t="n">
        <f aca="false">IF($A21="N/A"," ",IF(Pricetype3=2,MAX(K21,0),IF(OR(Pricetype3=1,Pricetype3=4),IF(K21=0,0,(EURO(K21,Strikeprice3,0,0,($AK21+IF(Smile=TRUE(),VLOOKUP(MAX(-5,Strikeprice3-K21),Volsmile,2),0)),($A21-DateToday)+15,IF(Pricetype3=1,1,0),0))),K21)))</f>
        <v>0</v>
      </c>
      <c r="U21" s="319" t="e">
        <f aca="false">IF($A21="N/A"," ",Volume3*$AM21)</f>
        <v>#N/A</v>
      </c>
      <c r="V21" s="320" t="e">
        <f aca="false">IF($A21="N/A"," ",$U21*(8*($BQ21))*L21)</f>
        <v>#N/A</v>
      </c>
      <c r="W21" s="320" t="e">
        <f aca="false">IF($A21="N/A"," ",$U21*(8*($BQ21))*M21)</f>
        <v>#N/A</v>
      </c>
      <c r="X21" s="320" t="e">
        <f aca="false">IF($A21="N/A"," ",$U21*(8*($BQ21))*N21)</f>
        <v>#N/A</v>
      </c>
      <c r="Y21" s="320" t="e">
        <f aca="false">IF($A21="N/A"," ",$U21*(8*($BR21))*O21)</f>
        <v>#N/A</v>
      </c>
      <c r="Z21" s="320" t="e">
        <f aca="false">IF($A21="N/A"," ",$U21*(8*($BR21))*P21)</f>
        <v>#N/A</v>
      </c>
      <c r="AA21" s="320" t="e">
        <f aca="false">IF($A21="N/A"," ",$U21*(8*($BR21))*Q21)</f>
        <v>#N/A</v>
      </c>
      <c r="AB21" s="320" t="e">
        <f aca="false">IF($A21="N/A"," ",$U21*(8*($BS21))*R21)</f>
        <v>#N/A</v>
      </c>
      <c r="AC21" s="320" t="e">
        <f aca="false">IF($A21="N/A"," ",$U21*(8*($BS21))*S21)</f>
        <v>#N/A</v>
      </c>
      <c r="AD21" s="320" t="e">
        <f aca="false">IF($A21="N/A"," ",$U21*(8*($BS21))*T21)</f>
        <v>#N/A</v>
      </c>
      <c r="AE21" s="320" t="e">
        <f aca="false">IF($A21="N/A"," ",SUM(V21:AD21))</f>
        <v>#N/A</v>
      </c>
      <c r="AF21" s="321" t="n">
        <f aca="false">IF(A21="N/A"," ",(VLOOKUP(A21,PowerVolTable,(IF(VolBMO3=2,7,IF(VolBMO3=1,6,8))),FALSE())))</f>
        <v>0.28</v>
      </c>
      <c r="AG21" s="321" t="n">
        <f aca="false">IF(A21="N/A"," ",(VLOOKUP(A21,IntraPowerVol,(IF(VolBMO3=2,3,IF(VolBMO3=1,2,4))),FALSE())*VLOOKUP(MONTH($A21),Volscale,2)))</f>
        <v>0.44</v>
      </c>
      <c r="AH21" s="321" t="n">
        <f aca="false">IF($A21="N/A"," ",IF(VolType3=1,AG21,AF21))</f>
        <v>0.44</v>
      </c>
      <c r="AI21" s="321" t="n">
        <f aca="false">IF($A21="N/A"," ",(VLOOKUP($A21,OffPwrVolTable,(IF(VolBMO3=2,7,IF(VolBMO3=1,6,8))),FALSE())))</f>
        <v>0.14</v>
      </c>
      <c r="AJ21" s="321" t="n">
        <f aca="false">IF($A21="N/A"," ",(VLOOKUP($A21,OffPwrVolTable,(IF(VolBMO3=2,3,IF(VolBMO3=1,2,4))),FALSE())*VLOOKUP(MONTH($A21),Volscale,2)))</f>
        <v>0.264</v>
      </c>
      <c r="AK21" s="321" t="n">
        <f aca="false">IF($A21="N/A"," ",IF(VolType3=1,AJ21,AI21))</f>
        <v>0.264</v>
      </c>
      <c r="AL21" s="321" t="e">
        <f aca="false">IF($A21="N/A"," ",IF(PV=1,0,'Pricing Inputs3'!R54))</f>
        <v>#N/A</v>
      </c>
      <c r="AM21" s="323" t="e">
        <f aca="false">IF($A21="N/A"," ",(1+AL21/2)^(-2*((EOMONTH(A21,0)+20)-DateToday)/365.25))</f>
        <v>#N/A</v>
      </c>
      <c r="BQ21" s="0" t="n">
        <f aca="false">IF($A21="N/A"," ",(VLOOKUP($A21,NumberofDaysTable,2)))</f>
        <v>21</v>
      </c>
      <c r="BR21" s="0" t="n">
        <f aca="false">IF($A21="N/A"," ",(VLOOKUP($A21,NumberofDaysTable,3)))</f>
        <v>4</v>
      </c>
      <c r="BS21" s="0" t="n">
        <f aca="false">IF($A21="N/A"," ",(VLOOKUP($A21,NumberofDaysTable,4)))</f>
        <v>5</v>
      </c>
    </row>
    <row r="22" customFormat="false" ht="12.75" hidden="false" customHeight="false" outlineLevel="0" collapsed="false">
      <c r="A22" s="315" t="n">
        <f aca="false">IF(A21="N/A","N/A",IF(EDATE(A21,1)&gt;Inputs!$Q$5,"N/A",EDATE(A21,1)))</f>
        <v>37803</v>
      </c>
      <c r="B22" s="316" t="n">
        <f aca="false">IF(A22="N/A"," ",YEAR(A22))</f>
        <v>2003</v>
      </c>
      <c r="C22" s="317" t="n">
        <f aca="false">IF($A22="N/A"," ",IF(Dayrun3=10,0,IF(Scaler3=1,(VLOOKUP(A22,ScaledPrice3,4)),(VLOOKUP(A22,ScaledPrice3,2)))))</f>
        <v>54.5</v>
      </c>
      <c r="D22" s="317" t="n">
        <f aca="false">IF(A22="N/A"," ",IF(Dayrun3&gt;=7,0,IF(Scaler3=2,VLOOKUP(A22,ScaledPrice3,2),(VLOOKUP(A22,ScaledPrice3,2))*(2-(VLOOKUP(A22,ScaledPrice3,3))))))</f>
        <v>54.5</v>
      </c>
      <c r="E22" s="317" t="n">
        <f aca="false">IF($A22="N/A"," ",IF(AND(Dayrun3&gt;=4,Dayrun3&lt;=9),0,VLOOKUP($A22,ScaledPrice3,9)))</f>
        <v>0</v>
      </c>
      <c r="F22" s="317" t="n">
        <f aca="false">IF(A22="N/A"," ",IF(OR(Dayrun3=2,Dayrun3=3,Dayrun3=5,Dayrun3=6,Dayrun3=8,Dayrun3=9),VLOOKUP(A22,ScaledPrice3,IF(Scaler3=1,6,5)),0))</f>
        <v>34.8400039672852</v>
      </c>
      <c r="G22" s="317" t="n">
        <f aca="false">IF(A22="N/A"," ",IF(OR(Dayrun3=2,Dayrun3=3,Dayrun3=5,Dayrun3=6),IF(Scaler3=2,F22,(VLOOKUP(A22,ScaledPrice3,5))*(2-(VLOOKUP(A22,ScaledPrice3,3)))),0))</f>
        <v>34.8400039672852</v>
      </c>
      <c r="H22" s="317" t="n">
        <f aca="false">IF($A22="N/A"," ",IF(OR(Dayrun3=2,Dayrun3=3,Dayrun3=10),VLOOKUP($A22,ScaledPrice3,9),0))</f>
        <v>0</v>
      </c>
      <c r="I22" s="317" t="n">
        <f aca="false">IF(A22="N/A"," ",IF(OR(Dayrun3=3,Dayrun3=6,Dayrun3=9),(VLOOKUP(A22,ScaledPrice3,IF(Scaler3=2,7,8))),0))</f>
        <v>25.3399982452393</v>
      </c>
      <c r="J22" s="317" t="n">
        <f aca="false">IF(A22="N/A"," ",IF(OR(Dayrun3=3,Dayrun3=6),IF(Scaler3=2,I22,(VLOOKUP(A22,ScaledPrice3,7))*(2-(VLOOKUP(A22,ScaledPrice3,3)))),0))</f>
        <v>25.3399982452393</v>
      </c>
      <c r="K22" s="317" t="n">
        <f aca="false">IF($A22="N/A"," ",IF(OR(Dayrun3=3,Dayrun3=10),VLOOKUP($A22,ScaledPrice3,9),0))</f>
        <v>0</v>
      </c>
      <c r="L22" s="318" t="n">
        <f aca="false">IF($A22="N/A"," ",IF(Pricetype3=2,MAX(C22,0),IF(OR(Pricetype3=1,Pricetype3=4),IF(C22=0,0,(EURO(C22,Strikeprice3,0,0,($AH22+IF(Smile=TRUE(),VLOOKUP(MAX(-5,Strikeprice3-C22),Volsmile,2),0)),($A22-DateToday)+15,IF(Pricetype3=1,1,0),0))),C22)))</f>
        <v>54.5</v>
      </c>
      <c r="M22" s="318" t="n">
        <f aca="false">IF($A22="N/A"," ",IF(Pricetype3=2,MAX(D22,0),IF(OR(Pricetype3=1,Pricetype3=4),IF(D22=0,0,(EURO(D22,Strikeprice3,0,0,($AH22+IF(Smile=TRUE(),VLOOKUP(MAX(-5,Strikeprice3-D22),Volsmile,2),0)),($A22-DateToday)+15,IF(Pricetype3=1,1,0),0))),D22)))</f>
        <v>54.5</v>
      </c>
      <c r="N22" s="318" t="n">
        <f aca="false">IF($A22="N/A"," ",IF(Pricetype3=2,MAX(E22,0),IF(OR(Pricetype3=1,Pricetype3=4),IF(E22=0,0,(EURO(E22,Strikeprice3,0,0,($AK22+IF(Smile=TRUE(),VLOOKUP(MAX(-5,Strikeprice3-E22),Volsmile,2),0)),($A22-DateToday)+15,IF(Pricetype3=1,1,0),0))),E22)))</f>
        <v>0</v>
      </c>
      <c r="O22" s="318" t="n">
        <f aca="false">IF($A22="N/A"," ",IF(Pricetype3=2,MAX(F22,0),IF(OR(Pricetype3=1,Pricetype3=4),IF(F22=0,0,(EURO(F22,Strikeprice3,0,0,($AK22+IF(Smile=TRUE(),VLOOKUP(MAX(-5,Strikeprice3-F22),Volsmile,2),0)),($A22-DateToday)+15,IF(Pricetype3=1,1,0),0))),F22)))</f>
        <v>34.8400039672852</v>
      </c>
      <c r="P22" s="318" t="n">
        <f aca="false">IF($A22="N/A"," ",IF(Pricetype3=2,MAX(G22,0),IF(OR(Pricetype3=1,Pricetype3=4),IF(G22=0,0,(EURO(G22,Strikeprice3,0,0,($AK22+IF(Smile=TRUE(),VLOOKUP(MAX(-5,Strikeprice3-G22),Volsmile,2),0)),($A22-DateToday)+15,IF(Pricetype3=1,1,0),0))),G22)))</f>
        <v>34.8400039672852</v>
      </c>
      <c r="Q22" s="318" t="n">
        <f aca="false">IF($A22="N/A"," ",IF(Pricetype3=2,MAX(H22,0),IF(OR(Pricetype3=1,Pricetype3=4),IF(H22=0,0,(EURO(H22,Strikeprice3,0,0,($AK22+IF(Smile=TRUE(),VLOOKUP(MAX(-5,Strikeprice3-H22),Volsmile,2),0)),($A22-DateToday)+15,IF(Pricetype3=1,1,0),0))),H22)))</f>
        <v>0</v>
      </c>
      <c r="R22" s="318" t="n">
        <f aca="false">IF($A22="N/A"," ",IF(Pricetype3=2,MAX(I22,0),IF(OR(Pricetype3=1,Pricetype3=4),IF(I22=0,0,(EURO(I22,Strikeprice3,0,0,($AK22+IF(Smile=TRUE(),VLOOKUP(MAX(-5,Strikeprice3-I22),Volsmile,2),0)),($A22-DateToday)+15,IF(Pricetype3=1,1,0),0))),I22)))</f>
        <v>25.3399982452393</v>
      </c>
      <c r="S22" s="318" t="n">
        <f aca="false">IF($A22="N/A"," ",IF(Pricetype3=2,MAX(J22,0),IF(OR(Pricetype3=1,Pricetype3=4),IF(J22=0,0,(EURO(J22,Strikeprice3,0,0,($AK22+IF(Smile=TRUE(),VLOOKUP(MAX(-5,Strikeprice3-J22),Volsmile,2),0)),($A22-DateToday)+15,IF(Pricetype3=1,1,0),0))),J22)))</f>
        <v>25.3399982452393</v>
      </c>
      <c r="T22" s="318" t="n">
        <f aca="false">IF($A22="N/A"," ",IF(Pricetype3=2,MAX(K22,0),IF(OR(Pricetype3=1,Pricetype3=4),IF(K22=0,0,(EURO(K22,Strikeprice3,0,0,($AK22+IF(Smile=TRUE(),VLOOKUP(MAX(-5,Strikeprice3-K22),Volsmile,2),0)),($A22-DateToday)+15,IF(Pricetype3=1,1,0),0))),K22)))</f>
        <v>0</v>
      </c>
      <c r="U22" s="319" t="e">
        <f aca="false">IF($A22="N/A"," ",Volume3*$AM22)</f>
        <v>#N/A</v>
      </c>
      <c r="V22" s="320" t="e">
        <f aca="false">IF($A22="N/A"," ",$U22*(8*($BQ22))*L22)</f>
        <v>#N/A</v>
      </c>
      <c r="W22" s="320" t="e">
        <f aca="false">IF($A22="N/A"," ",$U22*(8*($BQ22))*M22)</f>
        <v>#N/A</v>
      </c>
      <c r="X22" s="320" t="e">
        <f aca="false">IF($A22="N/A"," ",$U22*(8*($BQ22))*N22)</f>
        <v>#N/A</v>
      </c>
      <c r="Y22" s="320" t="e">
        <f aca="false">IF($A22="N/A"," ",$U22*(8*($BR22))*O22)</f>
        <v>#N/A</v>
      </c>
      <c r="Z22" s="320" t="e">
        <f aca="false">IF($A22="N/A"," ",$U22*(8*($BR22))*P22)</f>
        <v>#N/A</v>
      </c>
      <c r="AA22" s="320" t="e">
        <f aca="false">IF($A22="N/A"," ",$U22*(8*($BR22))*Q22)</f>
        <v>#N/A</v>
      </c>
      <c r="AB22" s="320" t="e">
        <f aca="false">IF($A22="N/A"," ",$U22*(8*($BS22))*R22)</f>
        <v>#N/A</v>
      </c>
      <c r="AC22" s="320" t="e">
        <f aca="false">IF($A22="N/A"," ",$U22*(8*($BS22))*S22)</f>
        <v>#N/A</v>
      </c>
      <c r="AD22" s="320" t="e">
        <f aca="false">IF($A22="N/A"," ",$U22*(8*($BS22))*T22)</f>
        <v>#N/A</v>
      </c>
      <c r="AE22" s="320" t="e">
        <f aca="false">IF($A22="N/A"," ",SUM(V22:AD22))</f>
        <v>#N/A</v>
      </c>
      <c r="AF22" s="321" t="n">
        <f aca="false">IF(A22="N/A"," ",(VLOOKUP(A22,PowerVolTable,(IF(VolBMO3=2,7,IF(VolBMO3=1,6,8))),FALSE())))</f>
        <v>0.312</v>
      </c>
      <c r="AG22" s="321" t="n">
        <f aca="false">IF(A22="N/A"," ",(VLOOKUP(A22,IntraPowerVol,(IF(VolBMO3=2,3,IF(VolBMO3=1,2,4))),FALSE())*VLOOKUP(MONTH($A22),Volscale,2)))</f>
        <v>0.56</v>
      </c>
      <c r="AH22" s="321" t="n">
        <f aca="false">IF($A22="N/A"," ",IF(VolType3=1,AG22,AF22))</f>
        <v>0.56</v>
      </c>
      <c r="AI22" s="321" t="n">
        <f aca="false">IF($A22="N/A"," ",(VLOOKUP($A22,OffPwrVolTable,(IF(VolBMO3=2,7,IF(VolBMO3=1,6,8))),FALSE())))</f>
        <v>0.156</v>
      </c>
      <c r="AJ22" s="321" t="n">
        <f aca="false">IF($A22="N/A"," ",(VLOOKUP($A22,OffPwrVolTable,(IF(VolBMO3=2,3,IF(VolBMO3=1,2,4))),FALSE())*VLOOKUP(MONTH($A22),Volscale,2)))</f>
        <v>0.336</v>
      </c>
      <c r="AK22" s="321" t="n">
        <f aca="false">IF($A22="N/A"," ",IF(VolType3=1,AJ22,AI22))</f>
        <v>0.336</v>
      </c>
      <c r="AL22" s="321" t="e">
        <f aca="false">IF($A22="N/A"," ",IF(PV=1,0,'Pricing Inputs3'!R55))</f>
        <v>#N/A</v>
      </c>
      <c r="AM22" s="323" t="e">
        <f aca="false">IF($A22="N/A"," ",(1+AL22/2)^(-2*((EOMONTH(A22,0)+20)-DateToday)/365.25))</f>
        <v>#N/A</v>
      </c>
      <c r="BQ22" s="0" t="n">
        <f aca="false">IF($A22="N/A"," ",(VLOOKUP($A22,NumberofDaysTable,2)))</f>
        <v>22</v>
      </c>
      <c r="BR22" s="0" t="n">
        <f aca="false">IF($A22="N/A"," ",(VLOOKUP($A22,NumberofDaysTable,3)))</f>
        <v>4</v>
      </c>
      <c r="BS22" s="0" t="n">
        <f aca="false">IF($A22="N/A"," ",(VLOOKUP($A22,NumberofDaysTable,4)))</f>
        <v>5</v>
      </c>
    </row>
    <row r="23" customFormat="false" ht="12.75" hidden="false" customHeight="false" outlineLevel="0" collapsed="false">
      <c r="A23" s="315" t="n">
        <f aca="false">IF(A22="N/A","N/A",IF(EDATE(A22,1)&gt;Inputs!$Q$5,"N/A",EDATE(A22,1)))</f>
        <v>37834</v>
      </c>
      <c r="B23" s="316" t="n">
        <f aca="false">IF(A23="N/A"," ",YEAR(A23))</f>
        <v>2003</v>
      </c>
      <c r="C23" s="317" t="n">
        <f aca="false">IF($A23="N/A"," ",IF(Dayrun3=10,0,IF(Scaler3=1,(VLOOKUP(A23,ScaledPrice3,4)),(VLOOKUP(A23,ScaledPrice3,2)))))</f>
        <v>54.5</v>
      </c>
      <c r="D23" s="317" t="n">
        <f aca="false">IF(A23="N/A"," ",IF(Dayrun3&gt;=7,0,IF(Scaler3=2,VLOOKUP(A23,ScaledPrice3,2),(VLOOKUP(A23,ScaledPrice3,2))*(2-(VLOOKUP(A23,ScaledPrice3,3))))))</f>
        <v>54.5</v>
      </c>
      <c r="E23" s="317" t="n">
        <f aca="false">IF($A23="N/A"," ",IF(AND(Dayrun3&gt;=4,Dayrun3&lt;=9),0,VLOOKUP($A23,ScaledPrice3,9)))</f>
        <v>0</v>
      </c>
      <c r="F23" s="317" t="n">
        <f aca="false">IF(A23="N/A"," ",IF(OR(Dayrun3=2,Dayrun3=3,Dayrun3=5,Dayrun3=6,Dayrun3=8,Dayrun3=9),VLOOKUP(A23,ScaledPrice3,IF(Scaler3=1,6,5)),0))</f>
        <v>32.8400077819824</v>
      </c>
      <c r="G23" s="317" t="n">
        <f aca="false">IF(A23="N/A"," ",IF(OR(Dayrun3=2,Dayrun3=3,Dayrun3=5,Dayrun3=6),IF(Scaler3=2,F23,(VLOOKUP(A23,ScaledPrice3,5))*(2-(VLOOKUP(A23,ScaledPrice3,3)))),0))</f>
        <v>32.8400077819824</v>
      </c>
      <c r="H23" s="317" t="n">
        <f aca="false">IF($A23="N/A"," ",IF(OR(Dayrun3=2,Dayrun3=3,Dayrun3=10),VLOOKUP($A23,ScaledPrice3,9),0))</f>
        <v>0</v>
      </c>
      <c r="I23" s="317" t="n">
        <f aca="false">IF(A23="N/A"," ",IF(OR(Dayrun3=3,Dayrun3=6,Dayrun3=9),(VLOOKUP(A23,ScaledPrice3,IF(Scaler3=2,7,8))),0))</f>
        <v>25.3399982452393</v>
      </c>
      <c r="J23" s="317" t="n">
        <f aca="false">IF(A23="N/A"," ",IF(OR(Dayrun3=3,Dayrun3=6),IF(Scaler3=2,I23,(VLOOKUP(A23,ScaledPrice3,7))*(2-(VLOOKUP(A23,ScaledPrice3,3)))),0))</f>
        <v>25.3399982452393</v>
      </c>
      <c r="K23" s="317" t="n">
        <f aca="false">IF($A23="N/A"," ",IF(OR(Dayrun3=3,Dayrun3=10),VLOOKUP($A23,ScaledPrice3,9),0))</f>
        <v>0</v>
      </c>
      <c r="L23" s="318" t="n">
        <f aca="false">IF($A23="N/A"," ",IF(Pricetype3=2,MAX(C23,0),IF(OR(Pricetype3=1,Pricetype3=4),IF(C23=0,0,(EURO(C23,Strikeprice3,0,0,($AH23+IF(Smile=TRUE(),VLOOKUP(MAX(-5,Strikeprice3-C23),Volsmile,2),0)),($A23-DateToday)+15,IF(Pricetype3=1,1,0),0))),C23)))</f>
        <v>54.5</v>
      </c>
      <c r="M23" s="318" t="n">
        <f aca="false">IF($A23="N/A"," ",IF(Pricetype3=2,MAX(D23,0),IF(OR(Pricetype3=1,Pricetype3=4),IF(D23=0,0,(EURO(D23,Strikeprice3,0,0,($AH23+IF(Smile=TRUE(),VLOOKUP(MAX(-5,Strikeprice3-D23),Volsmile,2),0)),($A23-DateToday)+15,IF(Pricetype3=1,1,0),0))),D23)))</f>
        <v>54.5</v>
      </c>
      <c r="N23" s="318" t="n">
        <f aca="false">IF($A23="N/A"," ",IF(Pricetype3=2,MAX(E23,0),IF(OR(Pricetype3=1,Pricetype3=4),IF(E23=0,0,(EURO(E23,Strikeprice3,0,0,($AK23+IF(Smile=TRUE(),VLOOKUP(MAX(-5,Strikeprice3-E23),Volsmile,2),0)),($A23-DateToday)+15,IF(Pricetype3=1,1,0),0))),E23)))</f>
        <v>0</v>
      </c>
      <c r="O23" s="318" t="n">
        <f aca="false">IF($A23="N/A"," ",IF(Pricetype3=2,MAX(F23,0),IF(OR(Pricetype3=1,Pricetype3=4),IF(F23=0,0,(EURO(F23,Strikeprice3,0,0,($AK23+IF(Smile=TRUE(),VLOOKUP(MAX(-5,Strikeprice3-F23),Volsmile,2),0)),($A23-DateToday)+15,IF(Pricetype3=1,1,0),0))),F23)))</f>
        <v>32.8400077819824</v>
      </c>
      <c r="P23" s="318" t="n">
        <f aca="false">IF($A23="N/A"," ",IF(Pricetype3=2,MAX(G23,0),IF(OR(Pricetype3=1,Pricetype3=4),IF(G23=0,0,(EURO(G23,Strikeprice3,0,0,($AK23+IF(Smile=TRUE(),VLOOKUP(MAX(-5,Strikeprice3-G23),Volsmile,2),0)),($A23-DateToday)+15,IF(Pricetype3=1,1,0),0))),G23)))</f>
        <v>32.8400077819824</v>
      </c>
      <c r="Q23" s="318" t="n">
        <f aca="false">IF($A23="N/A"," ",IF(Pricetype3=2,MAX(H23,0),IF(OR(Pricetype3=1,Pricetype3=4),IF(H23=0,0,(EURO(H23,Strikeprice3,0,0,($AK23+IF(Smile=TRUE(),VLOOKUP(MAX(-5,Strikeprice3-H23),Volsmile,2),0)),($A23-DateToday)+15,IF(Pricetype3=1,1,0),0))),H23)))</f>
        <v>0</v>
      </c>
      <c r="R23" s="318" t="n">
        <f aca="false">IF($A23="N/A"," ",IF(Pricetype3=2,MAX(I23,0),IF(OR(Pricetype3=1,Pricetype3=4),IF(I23=0,0,(EURO(I23,Strikeprice3,0,0,($AK23+IF(Smile=TRUE(),VLOOKUP(MAX(-5,Strikeprice3-I23),Volsmile,2),0)),($A23-DateToday)+15,IF(Pricetype3=1,1,0),0))),I23)))</f>
        <v>25.3399982452393</v>
      </c>
      <c r="S23" s="318" t="n">
        <f aca="false">IF($A23="N/A"," ",IF(Pricetype3=2,MAX(J23,0),IF(OR(Pricetype3=1,Pricetype3=4),IF(J23=0,0,(EURO(J23,Strikeprice3,0,0,($AK23+IF(Smile=TRUE(),VLOOKUP(MAX(-5,Strikeprice3-J23),Volsmile,2),0)),($A23-DateToday)+15,IF(Pricetype3=1,1,0),0))),J23)))</f>
        <v>25.3399982452393</v>
      </c>
      <c r="T23" s="318" t="n">
        <f aca="false">IF($A23="N/A"," ",IF(Pricetype3=2,MAX(K23,0),IF(OR(Pricetype3=1,Pricetype3=4),IF(K23=0,0,(EURO(K23,Strikeprice3,0,0,($AK23+IF(Smile=TRUE(),VLOOKUP(MAX(-5,Strikeprice3-K23),Volsmile,2),0)),($A23-DateToday)+15,IF(Pricetype3=1,1,0),0))),K23)))</f>
        <v>0</v>
      </c>
      <c r="U23" s="319" t="e">
        <f aca="false">IF($A23="N/A"," ",Volume3*$AM23)</f>
        <v>#N/A</v>
      </c>
      <c r="V23" s="320" t="e">
        <f aca="false">IF($A23="N/A"," ",$U23*(8*($BQ23))*L23)</f>
        <v>#N/A</v>
      </c>
      <c r="W23" s="320" t="e">
        <f aca="false">IF($A23="N/A"," ",$U23*(8*($BQ23))*M23)</f>
        <v>#N/A</v>
      </c>
      <c r="X23" s="320" t="e">
        <f aca="false">IF($A23="N/A"," ",$U23*(8*($BQ23))*N23)</f>
        <v>#N/A</v>
      </c>
      <c r="Y23" s="320" t="e">
        <f aca="false">IF($A23="N/A"," ",$U23*(8*($BR23))*O23)</f>
        <v>#N/A</v>
      </c>
      <c r="Z23" s="320" t="e">
        <f aca="false">IF($A23="N/A"," ",$U23*(8*($BR23))*P23)</f>
        <v>#N/A</v>
      </c>
      <c r="AA23" s="320" t="e">
        <f aca="false">IF($A23="N/A"," ",$U23*(8*($BR23))*Q23)</f>
        <v>#N/A</v>
      </c>
      <c r="AB23" s="320" t="e">
        <f aca="false">IF($A23="N/A"," ",$U23*(8*($BS23))*R23)</f>
        <v>#N/A</v>
      </c>
      <c r="AC23" s="320" t="e">
        <f aca="false">IF($A23="N/A"," ",$U23*(8*($BS23))*S23)</f>
        <v>#N/A</v>
      </c>
      <c r="AD23" s="320" t="e">
        <f aca="false">IF($A23="N/A"," ",$U23*(8*($BS23))*T23)</f>
        <v>#N/A</v>
      </c>
      <c r="AE23" s="320" t="e">
        <f aca="false">IF($A23="N/A"," ",SUM(V23:AD23))</f>
        <v>#N/A</v>
      </c>
      <c r="AF23" s="321" t="n">
        <f aca="false">IF(A23="N/A"," ",(VLOOKUP(A23,PowerVolTable,(IF(VolBMO3=2,7,IF(VolBMO3=1,6,8))),FALSE())))</f>
        <v>0.312</v>
      </c>
      <c r="AG23" s="321" t="n">
        <f aca="false">IF(A23="N/A"," ",(VLOOKUP(A23,IntraPowerVol,(IF(VolBMO3=2,3,IF(VolBMO3=1,2,4))),FALSE())*VLOOKUP(MONTH($A23),Volscale,2)))</f>
        <v>0.56</v>
      </c>
      <c r="AH23" s="321" t="n">
        <f aca="false">IF($A23="N/A"," ",IF(VolType3=1,AG23,AF23))</f>
        <v>0.56</v>
      </c>
      <c r="AI23" s="321" t="n">
        <f aca="false">IF($A23="N/A"," ",(VLOOKUP($A23,OffPwrVolTable,(IF(VolBMO3=2,7,IF(VolBMO3=1,6,8))),FALSE())))</f>
        <v>0.156</v>
      </c>
      <c r="AJ23" s="321" t="n">
        <f aca="false">IF($A23="N/A"," ",(VLOOKUP($A23,OffPwrVolTable,(IF(VolBMO3=2,3,IF(VolBMO3=1,2,4))),FALSE())*VLOOKUP(MONTH($A23),Volscale,2)))</f>
        <v>0.336</v>
      </c>
      <c r="AK23" s="321" t="n">
        <f aca="false">IF($A23="N/A"," ",IF(VolType3=1,AJ23,AI23))</f>
        <v>0.336</v>
      </c>
      <c r="AL23" s="321" t="e">
        <f aca="false">IF($A23="N/A"," ",IF(PV=1,0,'Pricing Inputs3'!R56))</f>
        <v>#N/A</v>
      </c>
      <c r="AM23" s="323" t="e">
        <f aca="false">IF($A23="N/A"," ",(1+AL23/2)^(-2*((EOMONTH(A23,0)+20)-DateToday)/365.25))</f>
        <v>#N/A</v>
      </c>
      <c r="BQ23" s="0" t="n">
        <f aca="false">IF($A23="N/A"," ",(VLOOKUP($A23,NumberofDaysTable,2)))</f>
        <v>21</v>
      </c>
      <c r="BR23" s="0" t="n">
        <f aca="false">IF($A23="N/A"," ",(VLOOKUP($A23,NumberofDaysTable,3)))</f>
        <v>5</v>
      </c>
      <c r="BS23" s="0" t="n">
        <f aca="false">IF($A23="N/A"," ",(VLOOKUP($A23,NumberofDaysTable,4)))</f>
        <v>5</v>
      </c>
    </row>
    <row r="24" customFormat="false" ht="12.75" hidden="false" customHeight="false" outlineLevel="0" collapsed="false">
      <c r="A24" s="315" t="n">
        <f aca="false">IF(A23="N/A","N/A",IF(EDATE(A23,1)&gt;Inputs!$Q$5,"N/A",EDATE(A23,1)))</f>
        <v>37865</v>
      </c>
      <c r="B24" s="316" t="n">
        <f aca="false">IF(A24="N/A"," ",YEAR(A24))</f>
        <v>2003</v>
      </c>
      <c r="C24" s="317" t="n">
        <f aca="false">IF($A24="N/A"," ",IF(Dayrun3=10,0,IF(Scaler3=1,(VLOOKUP(A24,ScaledPrice3,4)),(VLOOKUP(A24,ScaledPrice3,2)))))</f>
        <v>30</v>
      </c>
      <c r="D24" s="317" t="n">
        <f aca="false">IF(A24="N/A"," ",IF(Dayrun3&gt;=7,0,IF(Scaler3=2,VLOOKUP(A24,ScaledPrice3,2),(VLOOKUP(A24,ScaledPrice3,2))*(2-(VLOOKUP(A24,ScaledPrice3,3))))))</f>
        <v>30</v>
      </c>
      <c r="E24" s="317" t="n">
        <f aca="false">IF($A24="N/A"," ",IF(AND(Dayrun3&gt;=4,Dayrun3&lt;=9),0,VLOOKUP($A24,ScaledPrice3,9)))</f>
        <v>0</v>
      </c>
      <c r="F24" s="317" t="n">
        <f aca="false">IF(A24="N/A"," ",IF(OR(Dayrun3=2,Dayrun3=3,Dayrun3=5,Dayrun3=6,Dayrun3=8,Dayrun3=9),VLOOKUP(A24,ScaledPrice3,IF(Scaler3=1,6,5)),0))</f>
        <v>24.8399982452393</v>
      </c>
      <c r="G24" s="317" t="n">
        <f aca="false">IF(A24="N/A"," ",IF(OR(Dayrun3=2,Dayrun3=3,Dayrun3=5,Dayrun3=6),IF(Scaler3=2,F24,(VLOOKUP(A24,ScaledPrice3,5))*(2-(VLOOKUP(A24,ScaledPrice3,3)))),0))</f>
        <v>24.8399982452393</v>
      </c>
      <c r="H24" s="317" t="n">
        <f aca="false">IF($A24="N/A"," ",IF(OR(Dayrun3=2,Dayrun3=3,Dayrun3=10),VLOOKUP($A24,ScaledPrice3,9),0))</f>
        <v>0</v>
      </c>
      <c r="I24" s="317" t="n">
        <f aca="false">IF(A24="N/A"," ",IF(OR(Dayrun3=3,Dayrun3=6,Dayrun3=9),(VLOOKUP(A24,ScaledPrice3,IF(Scaler3=2,7,8))),0))</f>
        <v>19.3399982452393</v>
      </c>
      <c r="J24" s="317" t="n">
        <f aca="false">IF(A24="N/A"," ",IF(OR(Dayrun3=3,Dayrun3=6),IF(Scaler3=2,I24,(VLOOKUP(A24,ScaledPrice3,7))*(2-(VLOOKUP(A24,ScaledPrice3,3)))),0))</f>
        <v>19.3399982452393</v>
      </c>
      <c r="K24" s="317" t="n">
        <f aca="false">IF($A24="N/A"," ",IF(OR(Dayrun3=3,Dayrun3=10),VLOOKUP($A24,ScaledPrice3,9),0))</f>
        <v>0</v>
      </c>
      <c r="L24" s="318" t="n">
        <f aca="false">IF($A24="N/A"," ",IF(Pricetype3=2,MAX(C24,0),IF(OR(Pricetype3=1,Pricetype3=4),IF(C24=0,0,(EURO(C24,Strikeprice3,0,0,($AH24+IF(Smile=TRUE(),VLOOKUP(MAX(-5,Strikeprice3-C24),Volsmile,2),0)),($A24-DateToday)+15,IF(Pricetype3=1,1,0),0))),C24)))</f>
        <v>30</v>
      </c>
      <c r="M24" s="318" t="n">
        <f aca="false">IF($A24="N/A"," ",IF(Pricetype3=2,MAX(D24,0),IF(OR(Pricetype3=1,Pricetype3=4),IF(D24=0,0,(EURO(D24,Strikeprice3,0,0,($AH24+IF(Smile=TRUE(),VLOOKUP(MAX(-5,Strikeprice3-D24),Volsmile,2),0)),($A24-DateToday)+15,IF(Pricetype3=1,1,0),0))),D24)))</f>
        <v>30</v>
      </c>
      <c r="N24" s="318" t="n">
        <f aca="false">IF($A24="N/A"," ",IF(Pricetype3=2,MAX(E24,0),IF(OR(Pricetype3=1,Pricetype3=4),IF(E24=0,0,(EURO(E24,Strikeprice3,0,0,($AK24+IF(Smile=TRUE(),VLOOKUP(MAX(-5,Strikeprice3-E24),Volsmile,2),0)),($A24-DateToday)+15,IF(Pricetype3=1,1,0),0))),E24)))</f>
        <v>0</v>
      </c>
      <c r="O24" s="318" t="n">
        <f aca="false">IF($A24="N/A"," ",IF(Pricetype3=2,MAX(F24,0),IF(OR(Pricetype3=1,Pricetype3=4),IF(F24=0,0,(EURO(F24,Strikeprice3,0,0,($AK24+IF(Smile=TRUE(),VLOOKUP(MAX(-5,Strikeprice3-F24),Volsmile,2),0)),($A24-DateToday)+15,IF(Pricetype3=1,1,0),0))),F24)))</f>
        <v>24.8399982452393</v>
      </c>
      <c r="P24" s="318" t="n">
        <f aca="false">IF($A24="N/A"," ",IF(Pricetype3=2,MAX(G24,0),IF(OR(Pricetype3=1,Pricetype3=4),IF(G24=0,0,(EURO(G24,Strikeprice3,0,0,($AK24+IF(Smile=TRUE(),VLOOKUP(MAX(-5,Strikeprice3-G24),Volsmile,2),0)),($A24-DateToday)+15,IF(Pricetype3=1,1,0),0))),G24)))</f>
        <v>24.8399982452393</v>
      </c>
      <c r="Q24" s="318" t="n">
        <f aca="false">IF($A24="N/A"," ",IF(Pricetype3=2,MAX(H24,0),IF(OR(Pricetype3=1,Pricetype3=4),IF(H24=0,0,(EURO(H24,Strikeprice3,0,0,($AK24+IF(Smile=TRUE(),VLOOKUP(MAX(-5,Strikeprice3-H24),Volsmile,2),0)),($A24-DateToday)+15,IF(Pricetype3=1,1,0),0))),H24)))</f>
        <v>0</v>
      </c>
      <c r="R24" s="318" t="n">
        <f aca="false">IF($A24="N/A"," ",IF(Pricetype3=2,MAX(I24,0),IF(OR(Pricetype3=1,Pricetype3=4),IF(I24=0,0,(EURO(I24,Strikeprice3,0,0,($AK24+IF(Smile=TRUE(),VLOOKUP(MAX(-5,Strikeprice3-I24),Volsmile,2),0)),($A24-DateToday)+15,IF(Pricetype3=1,1,0),0))),I24)))</f>
        <v>19.3399982452393</v>
      </c>
      <c r="S24" s="318" t="n">
        <f aca="false">IF($A24="N/A"," ",IF(Pricetype3=2,MAX(J24,0),IF(OR(Pricetype3=1,Pricetype3=4),IF(J24=0,0,(EURO(J24,Strikeprice3,0,0,($AK24+IF(Smile=TRUE(),VLOOKUP(MAX(-5,Strikeprice3-J24),Volsmile,2),0)),($A24-DateToday)+15,IF(Pricetype3=1,1,0),0))),J24)))</f>
        <v>19.3399982452393</v>
      </c>
      <c r="T24" s="318" t="n">
        <f aca="false">IF($A24="N/A"," ",IF(Pricetype3=2,MAX(K24,0),IF(OR(Pricetype3=1,Pricetype3=4),IF(K24=0,0,(EURO(K24,Strikeprice3,0,0,($AK24+IF(Smile=TRUE(),VLOOKUP(MAX(-5,Strikeprice3-K24),Volsmile,2),0)),($A24-DateToday)+15,IF(Pricetype3=1,1,0),0))),K24)))</f>
        <v>0</v>
      </c>
      <c r="U24" s="319" t="e">
        <f aca="false">IF($A24="N/A"," ",Volume3*$AM24)</f>
        <v>#N/A</v>
      </c>
      <c r="V24" s="320" t="e">
        <f aca="false">IF($A24="N/A"," ",$U24*(8*($BQ24))*L24)</f>
        <v>#N/A</v>
      </c>
      <c r="W24" s="320" t="e">
        <f aca="false">IF($A24="N/A"," ",$U24*(8*($BQ24))*M24)</f>
        <v>#N/A</v>
      </c>
      <c r="X24" s="320" t="e">
        <f aca="false">IF($A24="N/A"," ",$U24*(8*($BQ24))*N24)</f>
        <v>#N/A</v>
      </c>
      <c r="Y24" s="320" t="e">
        <f aca="false">IF($A24="N/A"," ",$U24*(8*($BR24))*O24)</f>
        <v>#N/A</v>
      </c>
      <c r="Z24" s="320" t="e">
        <f aca="false">IF($A24="N/A"," ",$U24*(8*($BR24))*P24)</f>
        <v>#N/A</v>
      </c>
      <c r="AA24" s="320" t="e">
        <f aca="false">IF($A24="N/A"," ",$U24*(8*($BR24))*Q24)</f>
        <v>#N/A</v>
      </c>
      <c r="AB24" s="320" t="e">
        <f aca="false">IF($A24="N/A"," ",$U24*(8*($BS24))*R24)</f>
        <v>#N/A</v>
      </c>
      <c r="AC24" s="320" t="e">
        <f aca="false">IF($A24="N/A"," ",$U24*(8*($BS24))*S24)</f>
        <v>#N/A</v>
      </c>
      <c r="AD24" s="320" t="e">
        <f aca="false">IF($A24="N/A"," ",$U24*(8*($BS24))*T24)</f>
        <v>#N/A</v>
      </c>
      <c r="AE24" s="320" t="e">
        <f aca="false">IF($A24="N/A"," ",SUM(V24:AD24))</f>
        <v>#N/A</v>
      </c>
      <c r="AF24" s="321" t="n">
        <f aca="false">IF(A24="N/A"," ",(VLOOKUP(A24,PowerVolTable,(IF(VolBMO3=2,7,IF(VolBMO3=1,6,8))),FALSE())))</f>
        <v>0.2</v>
      </c>
      <c r="AG24" s="321" t="n">
        <f aca="false">IF(A24="N/A"," ",(VLOOKUP(A24,IntraPowerVol,(IF(VolBMO3=2,3,IF(VolBMO3=1,2,4))),FALSE())*VLOOKUP(MONTH($A24),Volscale,2)))</f>
        <v>0.28</v>
      </c>
      <c r="AH24" s="321" t="n">
        <f aca="false">IF($A24="N/A"," ",IF(VolType3=1,AG24,AF24))</f>
        <v>0.28</v>
      </c>
      <c r="AI24" s="321" t="n">
        <f aca="false">IF($A24="N/A"," ",(VLOOKUP($A24,OffPwrVolTable,(IF(VolBMO3=2,7,IF(VolBMO3=1,6,8))),FALSE())))</f>
        <v>0.1</v>
      </c>
      <c r="AJ24" s="321" t="n">
        <f aca="false">IF($A24="N/A"," ",(VLOOKUP($A24,OffPwrVolTable,(IF(VolBMO3=2,3,IF(VolBMO3=1,2,4))),FALSE())*VLOOKUP(MONTH($A24),Volscale,2)))</f>
        <v>0.168</v>
      </c>
      <c r="AK24" s="321" t="n">
        <f aca="false">IF($A24="N/A"," ",IF(VolType3=1,AJ24,AI24))</f>
        <v>0.168</v>
      </c>
      <c r="AL24" s="321" t="e">
        <f aca="false">IF($A24="N/A"," ",IF(PV=1,0,'Pricing Inputs3'!R57))</f>
        <v>#N/A</v>
      </c>
      <c r="AM24" s="323" t="e">
        <f aca="false">IF($A24="N/A"," ",(1+AL24/2)^(-2*((EOMONTH(A24,0)+20)-DateToday)/365.25))</f>
        <v>#N/A</v>
      </c>
      <c r="BQ24" s="0" t="n">
        <f aca="false">IF($A24="N/A"," ",(VLOOKUP($A24,NumberofDaysTable,2)))</f>
        <v>21</v>
      </c>
      <c r="BR24" s="0" t="n">
        <f aca="false">IF($A24="N/A"," ",(VLOOKUP($A24,NumberofDaysTable,3)))</f>
        <v>4</v>
      </c>
      <c r="BS24" s="0" t="n">
        <f aca="false">IF($A24="N/A"," ",(VLOOKUP($A24,NumberofDaysTable,4)))</f>
        <v>5</v>
      </c>
    </row>
    <row r="25" customFormat="false" ht="12.75" hidden="false" customHeight="false" outlineLevel="0" collapsed="false">
      <c r="A25" s="315" t="n">
        <f aca="false">IF(A24="N/A","N/A",IF(EDATE(A24,1)&gt;Inputs!$Q$5,"N/A",EDATE(A24,1)))</f>
        <v>37895</v>
      </c>
      <c r="B25" s="316" t="n">
        <f aca="false">IF(A25="N/A"," ",YEAR(A25))</f>
        <v>2003</v>
      </c>
      <c r="C25" s="317" t="n">
        <f aca="false">IF($A25="N/A"," ",IF(Dayrun3=10,0,IF(Scaler3=1,(VLOOKUP(A25,ScaledPrice3,4)),(VLOOKUP(A25,ScaledPrice3,2)))))</f>
        <v>30.4015640020371</v>
      </c>
      <c r="D25" s="317" t="n">
        <f aca="false">IF(A25="N/A"," ",IF(Dayrun3&gt;=7,0,IF(Scaler3=2,VLOOKUP(A25,ScaledPrice3,2),(VLOOKUP(A25,ScaledPrice3,2))*(2-(VLOOKUP(A25,ScaledPrice3,3))))))</f>
        <v>30.4015640020371</v>
      </c>
      <c r="E25" s="317" t="n">
        <f aca="false">IF($A25="N/A"," ",IF(AND(Dayrun3&gt;=4,Dayrun3&lt;=9),0,VLOOKUP($A25,ScaledPrice3,9)))</f>
        <v>0</v>
      </c>
      <c r="F25" s="317" t="n">
        <f aca="false">IF(A25="N/A"," ",IF(OR(Dayrun3=2,Dayrun3=3,Dayrun3=5,Dayrun3=6,Dayrun3=8,Dayrun3=9),VLOOKUP(A25,ScaledPrice3,IF(Scaler3=1,6,5)),0))</f>
        <v>19.8359985351563</v>
      </c>
      <c r="G25" s="317" t="n">
        <f aca="false">IF(A25="N/A"," ",IF(OR(Dayrun3=2,Dayrun3=3,Dayrun3=5,Dayrun3=6),IF(Scaler3=2,F25,(VLOOKUP(A25,ScaledPrice3,5))*(2-(VLOOKUP(A25,ScaledPrice3,3)))),0))</f>
        <v>19.8359985351563</v>
      </c>
      <c r="H25" s="317" t="n">
        <f aca="false">IF($A25="N/A"," ",IF(OR(Dayrun3=2,Dayrun3=3,Dayrun3=10),VLOOKUP($A25,ScaledPrice3,9),0))</f>
        <v>0</v>
      </c>
      <c r="I25" s="317" t="n">
        <f aca="false">IF(A25="N/A"," ",IF(OR(Dayrun3=3,Dayrun3=6,Dayrun3=9),(VLOOKUP(A25,ScaledPrice3,IF(Scaler3=2,7,8))),0))</f>
        <v>14.3365020751953</v>
      </c>
      <c r="J25" s="317" t="n">
        <f aca="false">IF(A25="N/A"," ",IF(OR(Dayrun3=3,Dayrun3=6),IF(Scaler3=2,I25,(VLOOKUP(A25,ScaledPrice3,7))*(2-(VLOOKUP(A25,ScaledPrice3,3)))),0))</f>
        <v>14.3365020751953</v>
      </c>
      <c r="K25" s="317" t="n">
        <f aca="false">IF($A25="N/A"," ",IF(OR(Dayrun3=3,Dayrun3=10),VLOOKUP($A25,ScaledPrice3,9),0))</f>
        <v>0</v>
      </c>
      <c r="L25" s="318" t="n">
        <f aca="false">IF($A25="N/A"," ",IF(Pricetype3=2,MAX(C25,0),IF(OR(Pricetype3=1,Pricetype3=4),IF(C25=0,0,(EURO(C25,Strikeprice3,0,0,($AH25+IF(Smile=TRUE(),VLOOKUP(MAX(-5,Strikeprice3-C25),Volsmile,2),0)),($A25-DateToday)+15,IF(Pricetype3=1,1,0),0))),C25)))</f>
        <v>30.4015640020371</v>
      </c>
      <c r="M25" s="318" t="n">
        <f aca="false">IF($A25="N/A"," ",IF(Pricetype3=2,MAX(D25,0),IF(OR(Pricetype3=1,Pricetype3=4),IF(D25=0,0,(EURO(D25,Strikeprice3,0,0,($AH25+IF(Smile=TRUE(),VLOOKUP(MAX(-5,Strikeprice3-D25),Volsmile,2),0)),($A25-DateToday)+15,IF(Pricetype3=1,1,0),0))),D25)))</f>
        <v>30.4015640020371</v>
      </c>
      <c r="N25" s="318" t="n">
        <f aca="false">IF($A25="N/A"," ",IF(Pricetype3=2,MAX(E25,0),IF(OR(Pricetype3=1,Pricetype3=4),IF(E25=0,0,(EURO(E25,Strikeprice3,0,0,($AK25+IF(Smile=TRUE(),VLOOKUP(MAX(-5,Strikeprice3-E25),Volsmile,2),0)),($A25-DateToday)+15,IF(Pricetype3=1,1,0),0))),E25)))</f>
        <v>0</v>
      </c>
      <c r="O25" s="318" t="n">
        <f aca="false">IF($A25="N/A"," ",IF(Pricetype3=2,MAX(F25,0),IF(OR(Pricetype3=1,Pricetype3=4),IF(F25=0,0,(EURO(F25,Strikeprice3,0,0,($AK25+IF(Smile=TRUE(),VLOOKUP(MAX(-5,Strikeprice3-F25),Volsmile,2),0)),($A25-DateToday)+15,IF(Pricetype3=1,1,0),0))),F25)))</f>
        <v>19.8359985351563</v>
      </c>
      <c r="P25" s="318" t="n">
        <f aca="false">IF($A25="N/A"," ",IF(Pricetype3=2,MAX(G25,0),IF(OR(Pricetype3=1,Pricetype3=4),IF(G25=0,0,(EURO(G25,Strikeprice3,0,0,($AK25+IF(Smile=TRUE(),VLOOKUP(MAX(-5,Strikeprice3-G25),Volsmile,2),0)),($A25-DateToday)+15,IF(Pricetype3=1,1,0),0))),G25)))</f>
        <v>19.8359985351563</v>
      </c>
      <c r="Q25" s="318" t="n">
        <f aca="false">IF($A25="N/A"," ",IF(Pricetype3=2,MAX(H25,0),IF(OR(Pricetype3=1,Pricetype3=4),IF(H25=0,0,(EURO(H25,Strikeprice3,0,0,($AK25+IF(Smile=TRUE(),VLOOKUP(MAX(-5,Strikeprice3-H25),Volsmile,2),0)),($A25-DateToday)+15,IF(Pricetype3=1,1,0),0))),H25)))</f>
        <v>0</v>
      </c>
      <c r="R25" s="318" t="n">
        <f aca="false">IF($A25="N/A"," ",IF(Pricetype3=2,MAX(I25,0),IF(OR(Pricetype3=1,Pricetype3=4),IF(I25=0,0,(EURO(I25,Strikeprice3,0,0,($AK25+IF(Smile=TRUE(),VLOOKUP(MAX(-5,Strikeprice3-I25),Volsmile,2),0)),($A25-DateToday)+15,IF(Pricetype3=1,1,0),0))),I25)))</f>
        <v>14.3365020751953</v>
      </c>
      <c r="S25" s="318" t="n">
        <f aca="false">IF($A25="N/A"," ",IF(Pricetype3=2,MAX(J25,0),IF(OR(Pricetype3=1,Pricetype3=4),IF(J25=0,0,(EURO(J25,Strikeprice3,0,0,($AK25+IF(Smile=TRUE(),VLOOKUP(MAX(-5,Strikeprice3-J25),Volsmile,2),0)),($A25-DateToday)+15,IF(Pricetype3=1,1,0),0))),J25)))</f>
        <v>14.3365020751953</v>
      </c>
      <c r="T25" s="318" t="n">
        <f aca="false">IF($A25="N/A"," ",IF(Pricetype3=2,MAX(K25,0),IF(OR(Pricetype3=1,Pricetype3=4),IF(K25=0,0,(EURO(K25,Strikeprice3,0,0,($AK25+IF(Smile=TRUE(),VLOOKUP(MAX(-5,Strikeprice3-K25),Volsmile,2),0)),($A25-DateToday)+15,IF(Pricetype3=1,1,0),0))),K25)))</f>
        <v>0</v>
      </c>
      <c r="U25" s="319" t="e">
        <f aca="false">IF($A25="N/A"," ",Volume3*$AM25)</f>
        <v>#N/A</v>
      </c>
      <c r="V25" s="320" t="e">
        <f aca="false">IF($A25="N/A"," ",$U25*(8*($BQ25))*L25)</f>
        <v>#N/A</v>
      </c>
      <c r="W25" s="320" t="e">
        <f aca="false">IF($A25="N/A"," ",$U25*(8*($BQ25))*M25)</f>
        <v>#N/A</v>
      </c>
      <c r="X25" s="320" t="e">
        <f aca="false">IF($A25="N/A"," ",$U25*(8*($BQ25))*N25)</f>
        <v>#N/A</v>
      </c>
      <c r="Y25" s="320" t="e">
        <f aca="false">IF($A25="N/A"," ",$U25*(8*($BR25))*O25)</f>
        <v>#N/A</v>
      </c>
      <c r="Z25" s="320" t="e">
        <f aca="false">IF($A25="N/A"," ",$U25*(8*($BR25))*P25)</f>
        <v>#N/A</v>
      </c>
      <c r="AA25" s="320" t="e">
        <f aca="false">IF($A25="N/A"," ",$U25*(8*($BR25))*Q25)</f>
        <v>#N/A</v>
      </c>
      <c r="AB25" s="320" t="e">
        <f aca="false">IF($A25="N/A"," ",$U25*(8*($BS25))*R25)</f>
        <v>#N/A</v>
      </c>
      <c r="AC25" s="320" t="e">
        <f aca="false">IF($A25="N/A"," ",$U25*(8*($BS25))*S25)</f>
        <v>#N/A</v>
      </c>
      <c r="AD25" s="320" t="e">
        <f aca="false">IF($A25="N/A"," ",$U25*(8*($BS25))*T25)</f>
        <v>#N/A</v>
      </c>
      <c r="AE25" s="320" t="e">
        <f aca="false">IF($A25="N/A"," ",SUM(V25:AD25))</f>
        <v>#N/A</v>
      </c>
      <c r="AF25" s="321" t="n">
        <f aca="false">IF(A25="N/A"," ",(VLOOKUP(A25,PowerVolTable,(IF(VolBMO3=2,7,IF(VolBMO3=1,6,8))),FALSE())))</f>
        <v>0.2</v>
      </c>
      <c r="AG25" s="321" t="n">
        <f aca="false">IF(A25="N/A"," ",(VLOOKUP(A25,IntraPowerVol,(IF(VolBMO3=2,3,IF(VolBMO3=1,2,4))),FALSE())*VLOOKUP(MONTH($A25),Volscale,2)))</f>
        <v>0.28</v>
      </c>
      <c r="AH25" s="321" t="n">
        <f aca="false">IF($A25="N/A"," ",IF(VolType3=1,AG25,AF25))</f>
        <v>0.28</v>
      </c>
      <c r="AI25" s="321" t="n">
        <f aca="false">IF($A25="N/A"," ",(VLOOKUP($A25,OffPwrVolTable,(IF(VolBMO3=2,7,IF(VolBMO3=1,6,8))),FALSE())))</f>
        <v>0.1</v>
      </c>
      <c r="AJ25" s="321" t="n">
        <f aca="false">IF($A25="N/A"," ",(VLOOKUP($A25,OffPwrVolTable,(IF(VolBMO3=2,3,IF(VolBMO3=1,2,4))),FALSE())*VLOOKUP(MONTH($A25),Volscale,2)))</f>
        <v>0.168</v>
      </c>
      <c r="AK25" s="321" t="n">
        <f aca="false">IF($A25="N/A"," ",IF(VolType3=1,AJ25,AI25))</f>
        <v>0.168</v>
      </c>
      <c r="AL25" s="321" t="e">
        <f aca="false">IF($A25="N/A"," ",IF(PV=1,0,'Pricing Inputs3'!R58))</f>
        <v>#N/A</v>
      </c>
      <c r="AM25" s="323" t="e">
        <f aca="false">IF($A25="N/A"," ",(1+AL25/2)^(-2*((EOMONTH(A25,0)+20)-DateToday)/365.25))</f>
        <v>#N/A</v>
      </c>
      <c r="BQ25" s="0" t="n">
        <f aca="false">IF($A25="N/A"," ",(VLOOKUP($A25,NumberofDaysTable,2)))</f>
        <v>23</v>
      </c>
      <c r="BR25" s="0" t="n">
        <f aca="false">IF($A25="N/A"," ",(VLOOKUP($A25,NumberofDaysTable,3)))</f>
        <v>4</v>
      </c>
      <c r="BS25" s="0" t="n">
        <f aca="false">IF($A25="N/A"," ",(VLOOKUP($A25,NumberofDaysTable,4)))</f>
        <v>4</v>
      </c>
    </row>
    <row r="26" customFormat="false" ht="12.75" hidden="false" customHeight="false" outlineLevel="0" collapsed="false">
      <c r="A26" s="315" t="n">
        <f aca="false">IF(A25="N/A","N/A",IF(EDATE(A25,1)&gt;Inputs!$Q$5,"N/A",EDATE(A25,1)))</f>
        <v>37926</v>
      </c>
      <c r="B26" s="316" t="n">
        <f aca="false">IF(A26="N/A"," ",YEAR(A26))</f>
        <v>2003</v>
      </c>
      <c r="C26" s="317" t="n">
        <f aca="false">IF($A26="N/A"," ",IF(Dayrun3=10,0,IF(Scaler3=1,(VLOOKUP(A26,ScaledPrice3,4)),(VLOOKUP(A26,ScaledPrice3,2)))))</f>
        <v>30.5015624761581</v>
      </c>
      <c r="D26" s="317" t="n">
        <f aca="false">IF(A26="N/A"," ",IF(Dayrun3&gt;=7,0,IF(Scaler3=2,VLOOKUP(A26,ScaledPrice3,2),(VLOOKUP(A26,ScaledPrice3,2))*(2-(VLOOKUP(A26,ScaledPrice3,3))))))</f>
        <v>30.5015624761581</v>
      </c>
      <c r="E26" s="317" t="n">
        <f aca="false">IF($A26="N/A"," ",IF(AND(Dayrun3&gt;=4,Dayrun3&lt;=9),0,VLOOKUP($A26,ScaledPrice3,9)))</f>
        <v>0</v>
      </c>
      <c r="F26" s="317" t="n">
        <f aca="false">IF(A26="N/A"," ",IF(OR(Dayrun3=2,Dayrun3=3,Dayrun3=5,Dayrun3=6,Dayrun3=8,Dayrun3=9),VLOOKUP(A26,ScaledPrice3,IF(Scaler3=1,6,5)),0))</f>
        <v>21.8399982452393</v>
      </c>
      <c r="G26" s="317" t="n">
        <f aca="false">IF(A26="N/A"," ",IF(OR(Dayrun3=2,Dayrun3=3,Dayrun3=5,Dayrun3=6),IF(Scaler3=2,F26,(VLOOKUP(A26,ScaledPrice3,5))*(2-(VLOOKUP(A26,ScaledPrice3,3)))),0))</f>
        <v>21.8399982452393</v>
      </c>
      <c r="H26" s="317" t="n">
        <f aca="false">IF($A26="N/A"," ",IF(OR(Dayrun3=2,Dayrun3=3,Dayrun3=10),VLOOKUP($A26,ScaledPrice3,9),0))</f>
        <v>0</v>
      </c>
      <c r="I26" s="317" t="n">
        <f aca="false">IF(A26="N/A"," ",IF(OR(Dayrun3=3,Dayrun3=6,Dayrun3=9),(VLOOKUP(A26,ScaledPrice3,IF(Scaler3=2,7,8))),0))</f>
        <v>14.3400020599365</v>
      </c>
      <c r="J26" s="317" t="n">
        <f aca="false">IF(A26="N/A"," ",IF(OR(Dayrun3=3,Dayrun3=6),IF(Scaler3=2,I26,(VLOOKUP(A26,ScaledPrice3,7))*(2-(VLOOKUP(A26,ScaledPrice3,3)))),0))</f>
        <v>14.3400020599365</v>
      </c>
      <c r="K26" s="317" t="n">
        <f aca="false">IF($A26="N/A"," ",IF(OR(Dayrun3=3,Dayrun3=10),VLOOKUP($A26,ScaledPrice3,9),0))</f>
        <v>0</v>
      </c>
      <c r="L26" s="318" t="n">
        <f aca="false">IF($A26="N/A"," ",IF(Pricetype3=2,MAX(C26,0),IF(OR(Pricetype3=1,Pricetype3=4),IF(C26=0,0,(EURO(C26,Strikeprice3,0,0,($AH26+IF(Smile=TRUE(),VLOOKUP(MAX(-5,Strikeprice3-C26),Volsmile,2),0)),($A26-DateToday)+15,IF(Pricetype3=1,1,0),0))),C26)))</f>
        <v>30.5015624761581</v>
      </c>
      <c r="M26" s="318" t="n">
        <f aca="false">IF($A26="N/A"," ",IF(Pricetype3=2,MAX(D26,0),IF(OR(Pricetype3=1,Pricetype3=4),IF(D26=0,0,(EURO(D26,Strikeprice3,0,0,($AH26+IF(Smile=TRUE(),VLOOKUP(MAX(-5,Strikeprice3-D26),Volsmile,2),0)),($A26-DateToday)+15,IF(Pricetype3=1,1,0),0))),D26)))</f>
        <v>30.5015624761581</v>
      </c>
      <c r="N26" s="318" t="n">
        <f aca="false">IF($A26="N/A"," ",IF(Pricetype3=2,MAX(E26,0),IF(OR(Pricetype3=1,Pricetype3=4),IF(E26=0,0,(EURO(E26,Strikeprice3,0,0,($AK26+IF(Smile=TRUE(),VLOOKUP(MAX(-5,Strikeprice3-E26),Volsmile,2),0)),($A26-DateToday)+15,IF(Pricetype3=1,1,0),0))),E26)))</f>
        <v>0</v>
      </c>
      <c r="O26" s="318" t="n">
        <f aca="false">IF($A26="N/A"," ",IF(Pricetype3=2,MAX(F26,0),IF(OR(Pricetype3=1,Pricetype3=4),IF(F26=0,0,(EURO(F26,Strikeprice3,0,0,($AK26+IF(Smile=TRUE(),VLOOKUP(MAX(-5,Strikeprice3-F26),Volsmile,2),0)),($A26-DateToday)+15,IF(Pricetype3=1,1,0),0))),F26)))</f>
        <v>21.8399982452393</v>
      </c>
      <c r="P26" s="318" t="n">
        <f aca="false">IF($A26="N/A"," ",IF(Pricetype3=2,MAX(G26,0),IF(OR(Pricetype3=1,Pricetype3=4),IF(G26=0,0,(EURO(G26,Strikeprice3,0,0,($AK26+IF(Smile=TRUE(),VLOOKUP(MAX(-5,Strikeprice3-G26),Volsmile,2),0)),($A26-DateToday)+15,IF(Pricetype3=1,1,0),0))),G26)))</f>
        <v>21.8399982452393</v>
      </c>
      <c r="Q26" s="318" t="n">
        <f aca="false">IF($A26="N/A"," ",IF(Pricetype3=2,MAX(H26,0),IF(OR(Pricetype3=1,Pricetype3=4),IF(H26=0,0,(EURO(H26,Strikeprice3,0,0,($AK26+IF(Smile=TRUE(),VLOOKUP(MAX(-5,Strikeprice3-H26),Volsmile,2),0)),($A26-DateToday)+15,IF(Pricetype3=1,1,0),0))),H26)))</f>
        <v>0</v>
      </c>
      <c r="R26" s="318" t="n">
        <f aca="false">IF($A26="N/A"," ",IF(Pricetype3=2,MAX(I26,0),IF(OR(Pricetype3=1,Pricetype3=4),IF(I26=0,0,(EURO(I26,Strikeprice3,0,0,($AK26+IF(Smile=TRUE(),VLOOKUP(MAX(-5,Strikeprice3-I26),Volsmile,2),0)),($A26-DateToday)+15,IF(Pricetype3=1,1,0),0))),I26)))</f>
        <v>14.3400020599365</v>
      </c>
      <c r="S26" s="318" t="n">
        <f aca="false">IF($A26="N/A"," ",IF(Pricetype3=2,MAX(J26,0),IF(OR(Pricetype3=1,Pricetype3=4),IF(J26=0,0,(EURO(J26,Strikeprice3,0,0,($AK26+IF(Smile=TRUE(),VLOOKUP(MAX(-5,Strikeprice3-J26),Volsmile,2),0)),($A26-DateToday)+15,IF(Pricetype3=1,1,0),0))),J26)))</f>
        <v>14.3400020599365</v>
      </c>
      <c r="T26" s="318" t="n">
        <f aca="false">IF($A26="N/A"," ",IF(Pricetype3=2,MAX(K26,0),IF(OR(Pricetype3=1,Pricetype3=4),IF(K26=0,0,(EURO(K26,Strikeprice3,0,0,($AK26+IF(Smile=TRUE(),VLOOKUP(MAX(-5,Strikeprice3-K26),Volsmile,2),0)),($A26-DateToday)+15,IF(Pricetype3=1,1,0),0))),K26)))</f>
        <v>0</v>
      </c>
      <c r="U26" s="319" t="e">
        <f aca="false">IF($A26="N/A"," ",Volume3*$AM26)</f>
        <v>#N/A</v>
      </c>
      <c r="V26" s="320" t="e">
        <f aca="false">IF($A26="N/A"," ",$U26*(8*($BQ26))*L26)</f>
        <v>#N/A</v>
      </c>
      <c r="W26" s="320" t="e">
        <f aca="false">IF($A26="N/A"," ",$U26*(8*($BQ26))*M26)</f>
        <v>#N/A</v>
      </c>
      <c r="X26" s="320" t="e">
        <f aca="false">IF($A26="N/A"," ",$U26*(8*($BQ26))*N26)</f>
        <v>#N/A</v>
      </c>
      <c r="Y26" s="320" t="e">
        <f aca="false">IF($A26="N/A"," ",$U26*(8*($BR26))*O26)</f>
        <v>#N/A</v>
      </c>
      <c r="Z26" s="320" t="e">
        <f aca="false">IF($A26="N/A"," ",$U26*(8*($BR26))*P26)</f>
        <v>#N/A</v>
      </c>
      <c r="AA26" s="320" t="e">
        <f aca="false">IF($A26="N/A"," ",$U26*(8*($BR26))*Q26)</f>
        <v>#N/A</v>
      </c>
      <c r="AB26" s="320" t="e">
        <f aca="false">IF($A26="N/A"," ",$U26*(8*($BS26))*R26)</f>
        <v>#N/A</v>
      </c>
      <c r="AC26" s="320" t="e">
        <f aca="false">IF($A26="N/A"," ",$U26*(8*($BS26))*S26)</f>
        <v>#N/A</v>
      </c>
      <c r="AD26" s="320" t="e">
        <f aca="false">IF($A26="N/A"," ",$U26*(8*($BS26))*T26)</f>
        <v>#N/A</v>
      </c>
      <c r="AE26" s="320" t="e">
        <f aca="false">IF($A26="N/A"," ",SUM(V26:AD26))</f>
        <v>#N/A</v>
      </c>
      <c r="AF26" s="321" t="n">
        <f aca="false">IF(A26="N/A"," ",(VLOOKUP(A26,PowerVolTable,(IF(VolBMO3=2,7,IF(VolBMO3=1,6,8))),FALSE())))</f>
        <v>0.2</v>
      </c>
      <c r="AG26" s="321" t="n">
        <f aca="false">IF(A26="N/A"," ",(VLOOKUP(A26,IntraPowerVol,(IF(VolBMO3=2,3,IF(VolBMO3=1,2,4))),FALSE())*VLOOKUP(MONTH($A26),Volscale,2)))</f>
        <v>0.28</v>
      </c>
      <c r="AH26" s="321" t="n">
        <f aca="false">IF($A26="N/A"," ",IF(VolType3=1,AG26,AF26))</f>
        <v>0.28</v>
      </c>
      <c r="AI26" s="321" t="n">
        <f aca="false">IF($A26="N/A"," ",(VLOOKUP($A26,OffPwrVolTable,(IF(VolBMO3=2,7,IF(VolBMO3=1,6,8))),FALSE())))</f>
        <v>0.1</v>
      </c>
      <c r="AJ26" s="321" t="n">
        <f aca="false">IF($A26="N/A"," ",(VLOOKUP($A26,OffPwrVolTable,(IF(VolBMO3=2,3,IF(VolBMO3=1,2,4))),FALSE())*VLOOKUP(MONTH($A26),Volscale,2)))</f>
        <v>0.168</v>
      </c>
      <c r="AK26" s="321" t="n">
        <f aca="false">IF($A26="N/A"," ",IF(VolType3=1,AJ26,AI26))</f>
        <v>0.168</v>
      </c>
      <c r="AL26" s="321" t="e">
        <f aca="false">IF($A26="N/A"," ",IF(PV=1,0,'Pricing Inputs3'!R59))</f>
        <v>#N/A</v>
      </c>
      <c r="AM26" s="323" t="e">
        <f aca="false">IF($A26="N/A"," ",(1+AL26/2)^(-2*((EOMONTH(A26,0)+20)-DateToday)/365.25))</f>
        <v>#N/A</v>
      </c>
      <c r="BQ26" s="0" t="n">
        <f aca="false">IF($A26="N/A"," ",(VLOOKUP($A26,NumberofDaysTable,2)))</f>
        <v>19</v>
      </c>
      <c r="BR26" s="0" t="n">
        <f aca="false">IF($A26="N/A"," ",(VLOOKUP($A26,NumberofDaysTable,3)))</f>
        <v>5</v>
      </c>
      <c r="BS26" s="0" t="n">
        <f aca="false">IF($A26="N/A"," ",(VLOOKUP($A26,NumberofDaysTable,4)))</f>
        <v>6</v>
      </c>
    </row>
    <row r="27" customFormat="false" ht="12.75" hidden="false" customHeight="false" outlineLevel="0" collapsed="false">
      <c r="A27" s="315" t="n">
        <f aca="false">IF(A26="N/A","N/A",IF(EDATE(A26,1)&gt;Inputs!$Q$5,"N/A",EDATE(A26,1)))</f>
        <v>37956</v>
      </c>
      <c r="B27" s="316" t="n">
        <f aca="false">IF(A27="N/A"," ",YEAR(A27))</f>
        <v>2003</v>
      </c>
      <c r="C27" s="317" t="n">
        <f aca="false">IF($A27="N/A"," ",IF(Dayrun3=10,0,IF(Scaler3=1,(VLOOKUP(A27,ScaledPrice3,4)),(VLOOKUP(A27,ScaledPrice3,2)))))</f>
        <v>30.6015609502792</v>
      </c>
      <c r="D27" s="317" t="n">
        <f aca="false">IF(A27="N/A"," ",IF(Dayrun3&gt;=7,0,IF(Scaler3=2,VLOOKUP(A27,ScaledPrice3,2),(VLOOKUP(A27,ScaledPrice3,2))*(2-(VLOOKUP(A27,ScaledPrice3,3))))))</f>
        <v>30.6015609502792</v>
      </c>
      <c r="E27" s="317" t="n">
        <f aca="false">IF($A27="N/A"," ",IF(AND(Dayrun3&gt;=4,Dayrun3&lt;=9),0,VLOOKUP($A27,ScaledPrice3,9)))</f>
        <v>0</v>
      </c>
      <c r="F27" s="317" t="n">
        <f aca="false">IF(A27="N/A"," ",IF(OR(Dayrun3=2,Dayrun3=3,Dayrun3=5,Dayrun3=6,Dayrun3=8,Dayrun3=9),VLOOKUP(A27,ScaledPrice3,IF(Scaler3=1,6,5)),0))</f>
        <v>26.8399982452393</v>
      </c>
      <c r="G27" s="317" t="n">
        <f aca="false">IF(A27="N/A"," ",IF(OR(Dayrun3=2,Dayrun3=3,Dayrun3=5,Dayrun3=6),IF(Scaler3=2,F27,(VLOOKUP(A27,ScaledPrice3,5))*(2-(VLOOKUP(A27,ScaledPrice3,3)))),0))</f>
        <v>26.8399982452393</v>
      </c>
      <c r="H27" s="317" t="n">
        <f aca="false">IF($A27="N/A"," ",IF(OR(Dayrun3=2,Dayrun3=3,Dayrun3=10),VLOOKUP($A27,ScaledPrice3,9),0))</f>
        <v>0</v>
      </c>
      <c r="I27" s="317" t="n">
        <f aca="false">IF(A27="N/A"," ",IF(OR(Dayrun3=3,Dayrun3=6,Dayrun3=9),(VLOOKUP(A27,ScaledPrice3,IF(Scaler3=2,7,8))),0))</f>
        <v>21.3399982452393</v>
      </c>
      <c r="J27" s="317" t="n">
        <f aca="false">IF(A27="N/A"," ",IF(OR(Dayrun3=3,Dayrun3=6),IF(Scaler3=2,I27,(VLOOKUP(A27,ScaledPrice3,7))*(2-(VLOOKUP(A27,ScaledPrice3,3)))),0))</f>
        <v>21.3399982452393</v>
      </c>
      <c r="K27" s="317" t="n">
        <f aca="false">IF($A27="N/A"," ",IF(OR(Dayrun3=3,Dayrun3=10),VLOOKUP($A27,ScaledPrice3,9),0))</f>
        <v>0</v>
      </c>
      <c r="L27" s="318" t="n">
        <f aca="false">IF($A27="N/A"," ",IF(Pricetype3=2,MAX(C27,0),IF(OR(Pricetype3=1,Pricetype3=4),IF(C27=0,0,(EURO(C27,Strikeprice3,0,0,($AH27+IF(Smile=TRUE(),VLOOKUP(MAX(-5,Strikeprice3-C27),Volsmile,2),0)),($A27-DateToday)+15,IF(Pricetype3=1,1,0),0))),C27)))</f>
        <v>30.6015609502792</v>
      </c>
      <c r="M27" s="318" t="n">
        <f aca="false">IF($A27="N/A"," ",IF(Pricetype3=2,MAX(D27,0),IF(OR(Pricetype3=1,Pricetype3=4),IF(D27=0,0,(EURO(D27,Strikeprice3,0,0,($AH27+IF(Smile=TRUE(),VLOOKUP(MAX(-5,Strikeprice3-D27),Volsmile,2),0)),($A27-DateToday)+15,IF(Pricetype3=1,1,0),0))),D27)))</f>
        <v>30.6015609502792</v>
      </c>
      <c r="N27" s="318" t="n">
        <f aca="false">IF($A27="N/A"," ",IF(Pricetype3=2,MAX(E27,0),IF(OR(Pricetype3=1,Pricetype3=4),IF(E27=0,0,(EURO(E27,Strikeprice3,0,0,($AK27+IF(Smile=TRUE(),VLOOKUP(MAX(-5,Strikeprice3-E27),Volsmile,2),0)),($A27-DateToday)+15,IF(Pricetype3=1,1,0),0))),E27)))</f>
        <v>0</v>
      </c>
      <c r="O27" s="318" t="n">
        <f aca="false">IF($A27="N/A"," ",IF(Pricetype3=2,MAX(F27,0),IF(OR(Pricetype3=1,Pricetype3=4),IF(F27=0,0,(EURO(F27,Strikeprice3,0,0,($AK27+IF(Smile=TRUE(),VLOOKUP(MAX(-5,Strikeprice3-F27),Volsmile,2),0)),($A27-DateToday)+15,IF(Pricetype3=1,1,0),0))),F27)))</f>
        <v>26.8399982452393</v>
      </c>
      <c r="P27" s="318" t="n">
        <f aca="false">IF($A27="N/A"," ",IF(Pricetype3=2,MAX(G27,0),IF(OR(Pricetype3=1,Pricetype3=4),IF(G27=0,0,(EURO(G27,Strikeprice3,0,0,($AK27+IF(Smile=TRUE(),VLOOKUP(MAX(-5,Strikeprice3-G27),Volsmile,2),0)),($A27-DateToday)+15,IF(Pricetype3=1,1,0),0))),G27)))</f>
        <v>26.8399982452393</v>
      </c>
      <c r="Q27" s="318" t="n">
        <f aca="false">IF($A27="N/A"," ",IF(Pricetype3=2,MAX(H27,0),IF(OR(Pricetype3=1,Pricetype3=4),IF(H27=0,0,(EURO(H27,Strikeprice3,0,0,($AK27+IF(Smile=TRUE(),VLOOKUP(MAX(-5,Strikeprice3-H27),Volsmile,2),0)),($A27-DateToday)+15,IF(Pricetype3=1,1,0),0))),H27)))</f>
        <v>0</v>
      </c>
      <c r="R27" s="318" t="n">
        <f aca="false">IF($A27="N/A"," ",IF(Pricetype3=2,MAX(I27,0),IF(OR(Pricetype3=1,Pricetype3=4),IF(I27=0,0,(EURO(I27,Strikeprice3,0,0,($AK27+IF(Smile=TRUE(),VLOOKUP(MAX(-5,Strikeprice3-I27),Volsmile,2),0)),($A27-DateToday)+15,IF(Pricetype3=1,1,0),0))),I27)))</f>
        <v>21.3399982452393</v>
      </c>
      <c r="S27" s="318" t="n">
        <f aca="false">IF($A27="N/A"," ",IF(Pricetype3=2,MAX(J27,0),IF(OR(Pricetype3=1,Pricetype3=4),IF(J27=0,0,(EURO(J27,Strikeprice3,0,0,($AK27+IF(Smile=TRUE(),VLOOKUP(MAX(-5,Strikeprice3-J27),Volsmile,2),0)),($A27-DateToday)+15,IF(Pricetype3=1,1,0),0))),J27)))</f>
        <v>21.3399982452393</v>
      </c>
      <c r="T27" s="318" t="n">
        <f aca="false">IF($A27="N/A"," ",IF(Pricetype3=2,MAX(K27,0),IF(OR(Pricetype3=1,Pricetype3=4),IF(K27=0,0,(EURO(K27,Strikeprice3,0,0,($AK27+IF(Smile=TRUE(),VLOOKUP(MAX(-5,Strikeprice3-K27),Volsmile,2),0)),($A27-DateToday)+15,IF(Pricetype3=1,1,0),0))),K27)))</f>
        <v>0</v>
      </c>
      <c r="U27" s="319" t="e">
        <f aca="false">IF($A27="N/A"," ",Volume3*$AM27)</f>
        <v>#N/A</v>
      </c>
      <c r="V27" s="320" t="e">
        <f aca="false">IF($A27="N/A"," ",$U27*(8*($BQ27))*L27)</f>
        <v>#N/A</v>
      </c>
      <c r="W27" s="320" t="e">
        <f aca="false">IF($A27="N/A"," ",$U27*(8*($BQ27))*M27)</f>
        <v>#N/A</v>
      </c>
      <c r="X27" s="320" t="e">
        <f aca="false">IF($A27="N/A"," ",$U27*(8*($BQ27))*N27)</f>
        <v>#N/A</v>
      </c>
      <c r="Y27" s="320" t="e">
        <f aca="false">IF($A27="N/A"," ",$U27*(8*($BR27))*O27)</f>
        <v>#N/A</v>
      </c>
      <c r="Z27" s="320" t="e">
        <f aca="false">IF($A27="N/A"," ",$U27*(8*($BR27))*P27)</f>
        <v>#N/A</v>
      </c>
      <c r="AA27" s="320" t="e">
        <f aca="false">IF($A27="N/A"," ",$U27*(8*($BR27))*Q27)</f>
        <v>#N/A</v>
      </c>
      <c r="AB27" s="320" t="e">
        <f aca="false">IF($A27="N/A"," ",$U27*(8*($BS27))*R27)</f>
        <v>#N/A</v>
      </c>
      <c r="AC27" s="320" t="e">
        <f aca="false">IF($A27="N/A"," ",$U27*(8*($BS27))*S27)</f>
        <v>#N/A</v>
      </c>
      <c r="AD27" s="320" t="e">
        <f aca="false">IF($A27="N/A"," ",$U27*(8*($BS27))*T27)</f>
        <v>#N/A</v>
      </c>
      <c r="AE27" s="320" t="e">
        <f aca="false">IF($A27="N/A"," ",SUM(V27:AD27))</f>
        <v>#N/A</v>
      </c>
      <c r="AF27" s="321" t="n">
        <f aca="false">IF(A27="N/A"," ",(VLOOKUP(A27,PowerVolTable,(IF(VolBMO3=2,7,IF(VolBMO3=1,6,8))),FALSE())))</f>
        <v>0.2</v>
      </c>
      <c r="AG27" s="321" t="n">
        <f aca="false">IF(A27="N/A"," ",(VLOOKUP(A27,IntraPowerVol,(IF(VolBMO3=2,3,IF(VolBMO3=1,2,4))),FALSE())*VLOOKUP(MONTH($A27),Volscale,2)))</f>
        <v>0.28</v>
      </c>
      <c r="AH27" s="321" t="n">
        <f aca="false">IF($A27="N/A"," ",IF(VolType3=1,AG27,AF27))</f>
        <v>0.28</v>
      </c>
      <c r="AI27" s="321" t="n">
        <f aca="false">IF($A27="N/A"," ",(VLOOKUP($A27,OffPwrVolTable,(IF(VolBMO3=2,7,IF(VolBMO3=1,6,8))),FALSE())))</f>
        <v>0.1</v>
      </c>
      <c r="AJ27" s="321" t="n">
        <f aca="false">IF($A27="N/A"," ",(VLOOKUP($A27,OffPwrVolTable,(IF(VolBMO3=2,3,IF(VolBMO3=1,2,4))),FALSE())*VLOOKUP(MONTH($A27),Volscale,2)))</f>
        <v>0.168</v>
      </c>
      <c r="AK27" s="321" t="n">
        <f aca="false">IF($A27="N/A"," ",IF(VolType3=1,AJ27,AI27))</f>
        <v>0.168</v>
      </c>
      <c r="AL27" s="321" t="e">
        <f aca="false">IF($A27="N/A"," ",IF(PV=1,0,'Pricing Inputs3'!R60))</f>
        <v>#N/A</v>
      </c>
      <c r="AM27" s="323" t="e">
        <f aca="false">IF($A27="N/A"," ",(1+AL27/2)^(-2*((EOMONTH(A27,0)+20)-DateToday)/365.25))</f>
        <v>#N/A</v>
      </c>
      <c r="BQ27" s="0" t="n">
        <f aca="false">IF($A27="N/A"," ",(VLOOKUP($A27,NumberofDaysTable,2)))</f>
        <v>22</v>
      </c>
      <c r="BR27" s="0" t="n">
        <f aca="false">IF($A27="N/A"," ",(VLOOKUP($A27,NumberofDaysTable,3)))</f>
        <v>4</v>
      </c>
      <c r="BS27" s="0" t="n">
        <f aca="false">IF($A27="N/A"," ",(VLOOKUP($A27,NumberofDaysTable,4)))</f>
        <v>5</v>
      </c>
    </row>
    <row r="28" customFormat="false" ht="12.75" hidden="false" customHeight="false" outlineLevel="0" collapsed="false">
      <c r="A28" s="315" t="n">
        <f aca="false">IF(A27="N/A","N/A",IF(EDATE(A27,1)&gt;Inputs!$Q$5,"N/A",EDATE(A27,1)))</f>
        <v>37987</v>
      </c>
      <c r="B28" s="316" t="n">
        <f aca="false">IF(A28="N/A"," ",YEAR(A28))</f>
        <v>2004</v>
      </c>
      <c r="C28" s="317" t="n">
        <f aca="false">IF($A28="N/A"," ",IF(Dayrun3=10,0,IF(Scaler3=1,(VLOOKUP(A28,ScaledPrice3,4)),(VLOOKUP(A28,ScaledPrice3,2)))))</f>
        <v>34.3357146126883</v>
      </c>
      <c r="D28" s="317" t="n">
        <f aca="false">IF(A28="N/A"," ",IF(Dayrun3&gt;=7,0,IF(Scaler3=2,VLOOKUP(A28,ScaledPrice3,2),(VLOOKUP(A28,ScaledPrice3,2))*(2-(VLOOKUP(A28,ScaledPrice3,3))))))</f>
        <v>34.3357146126883</v>
      </c>
      <c r="E28" s="317" t="n">
        <f aca="false">IF($A28="N/A"," ",IF(AND(Dayrun3&gt;=4,Dayrun3&lt;=9),0,VLOOKUP($A28,ScaledPrice3,9)))</f>
        <v>0</v>
      </c>
      <c r="F28" s="317" t="n">
        <f aca="false">IF(A28="N/A"," ",IF(OR(Dayrun3=2,Dayrun3=3,Dayrun3=5,Dayrun3=6,Dayrun3=8,Dayrun3=9),VLOOKUP(A28,ScaledPrice3,IF(Scaler3=1,6,5)),0))</f>
        <v>35.5</v>
      </c>
      <c r="G28" s="317" t="n">
        <f aca="false">IF(A28="N/A"," ",IF(OR(Dayrun3=2,Dayrun3=3,Dayrun3=5,Dayrun3=6),IF(Scaler3=2,F28,(VLOOKUP(A28,ScaledPrice3,5))*(2-(VLOOKUP(A28,ScaledPrice3,3)))),0))</f>
        <v>35.5</v>
      </c>
      <c r="H28" s="317" t="n">
        <f aca="false">IF($A28="N/A"," ",IF(OR(Dayrun3=2,Dayrun3=3,Dayrun3=10),VLOOKUP($A28,ScaledPrice3,9),0))</f>
        <v>0</v>
      </c>
      <c r="I28" s="317" t="n">
        <f aca="false">IF(A28="N/A"," ",IF(OR(Dayrun3=3,Dayrun3=6,Dayrun3=9),(VLOOKUP(A28,ScaledPrice3,IF(Scaler3=2,7,8))),0))</f>
        <v>25</v>
      </c>
      <c r="J28" s="317" t="n">
        <f aca="false">IF(A28="N/A"," ",IF(OR(Dayrun3=3,Dayrun3=6),IF(Scaler3=2,I28,(VLOOKUP(A28,ScaledPrice3,7))*(2-(VLOOKUP(A28,ScaledPrice3,3)))),0))</f>
        <v>25</v>
      </c>
      <c r="K28" s="317" t="n">
        <f aca="false">IF($A28="N/A"," ",IF(OR(Dayrun3=3,Dayrun3=10),VLOOKUP($A28,ScaledPrice3,9),0))</f>
        <v>0</v>
      </c>
      <c r="L28" s="318" t="n">
        <f aca="false">IF($A28="N/A"," ",IF(Pricetype3=2,MAX(C28,0),IF(OR(Pricetype3=1,Pricetype3=4),IF(C28=0,0,(EURO(C28,Strikeprice3,0,0,($AH28+IF(Smile=TRUE(),VLOOKUP(MAX(-5,Strikeprice3-C28),Volsmile,2),0)),($A28-DateToday)+15,IF(Pricetype3=1,1,0),0))),C28)))</f>
        <v>34.3357146126883</v>
      </c>
      <c r="M28" s="318" t="n">
        <f aca="false">IF($A28="N/A"," ",IF(Pricetype3=2,MAX(D28,0),IF(OR(Pricetype3=1,Pricetype3=4),IF(D28=0,0,(EURO(D28,Strikeprice3,0,0,($AH28+IF(Smile=TRUE(),VLOOKUP(MAX(-5,Strikeprice3-D28),Volsmile,2),0)),($A28-DateToday)+15,IF(Pricetype3=1,1,0),0))),D28)))</f>
        <v>34.3357146126883</v>
      </c>
      <c r="N28" s="318" t="n">
        <f aca="false">IF($A28="N/A"," ",IF(Pricetype3=2,MAX(E28,0),IF(OR(Pricetype3=1,Pricetype3=4),IF(E28=0,0,(EURO(E28,Strikeprice3,0,0,($AK28+IF(Smile=TRUE(),VLOOKUP(MAX(-5,Strikeprice3-E28),Volsmile,2),0)),($A28-DateToday)+15,IF(Pricetype3=1,1,0),0))),E28)))</f>
        <v>0</v>
      </c>
      <c r="O28" s="318" t="n">
        <f aca="false">IF($A28="N/A"," ",IF(Pricetype3=2,MAX(F28,0),IF(OR(Pricetype3=1,Pricetype3=4),IF(F28=0,0,(EURO(F28,Strikeprice3,0,0,($AK28+IF(Smile=TRUE(),VLOOKUP(MAX(-5,Strikeprice3-F28),Volsmile,2),0)),($A28-DateToday)+15,IF(Pricetype3=1,1,0),0))),F28)))</f>
        <v>35.5</v>
      </c>
      <c r="P28" s="318" t="n">
        <f aca="false">IF($A28="N/A"," ",IF(Pricetype3=2,MAX(G28,0),IF(OR(Pricetype3=1,Pricetype3=4),IF(G28=0,0,(EURO(G28,Strikeprice3,0,0,($AK28+IF(Smile=TRUE(),VLOOKUP(MAX(-5,Strikeprice3-G28),Volsmile,2),0)),($A28-DateToday)+15,IF(Pricetype3=1,1,0),0))),G28)))</f>
        <v>35.5</v>
      </c>
      <c r="Q28" s="318" t="n">
        <f aca="false">IF($A28="N/A"," ",IF(Pricetype3=2,MAX(H28,0),IF(OR(Pricetype3=1,Pricetype3=4),IF(H28=0,0,(EURO(H28,Strikeprice3,0,0,($AK28+IF(Smile=TRUE(),VLOOKUP(MAX(-5,Strikeprice3-H28),Volsmile,2),0)),($A28-DateToday)+15,IF(Pricetype3=1,1,0),0))),H28)))</f>
        <v>0</v>
      </c>
      <c r="R28" s="318" t="n">
        <f aca="false">IF($A28="N/A"," ",IF(Pricetype3=2,MAX(I28,0),IF(OR(Pricetype3=1,Pricetype3=4),IF(I28=0,0,(EURO(I28,Strikeprice3,0,0,($AK28+IF(Smile=TRUE(),VLOOKUP(MAX(-5,Strikeprice3-I28),Volsmile,2),0)),($A28-DateToday)+15,IF(Pricetype3=1,1,0),0))),I28)))</f>
        <v>25</v>
      </c>
      <c r="S28" s="318" t="n">
        <f aca="false">IF($A28="N/A"," ",IF(Pricetype3=2,MAX(J28,0),IF(OR(Pricetype3=1,Pricetype3=4),IF(J28=0,0,(EURO(J28,Strikeprice3,0,0,($AK28+IF(Smile=TRUE(),VLOOKUP(MAX(-5,Strikeprice3-J28),Volsmile,2),0)),($A28-DateToday)+15,IF(Pricetype3=1,1,0),0))),J28)))</f>
        <v>25</v>
      </c>
      <c r="T28" s="318" t="n">
        <f aca="false">IF($A28="N/A"," ",IF(Pricetype3=2,MAX(K28,0),IF(OR(Pricetype3=1,Pricetype3=4),IF(K28=0,0,(EURO(K28,Strikeprice3,0,0,($AK28+IF(Smile=TRUE(),VLOOKUP(MAX(-5,Strikeprice3-K28),Volsmile,2),0)),($A28-DateToday)+15,IF(Pricetype3=1,1,0),0))),K28)))</f>
        <v>0</v>
      </c>
      <c r="U28" s="319" t="e">
        <f aca="false">IF($A28="N/A"," ",Volume3*$AM28)</f>
        <v>#N/A</v>
      </c>
      <c r="V28" s="320" t="e">
        <f aca="false">IF($A28="N/A"," ",$U28*(8*($BQ28))*L28)</f>
        <v>#N/A</v>
      </c>
      <c r="W28" s="320" t="e">
        <f aca="false">IF($A28="N/A"," ",$U28*(8*($BQ28))*M28)</f>
        <v>#N/A</v>
      </c>
      <c r="X28" s="320" t="e">
        <f aca="false">IF($A28="N/A"," ",$U28*(8*($BQ28))*N28)</f>
        <v>#N/A</v>
      </c>
      <c r="Y28" s="320" t="e">
        <f aca="false">IF($A28="N/A"," ",$U28*(8*($BR28))*O28)</f>
        <v>#N/A</v>
      </c>
      <c r="Z28" s="320" t="e">
        <f aca="false">IF($A28="N/A"," ",$U28*(8*($BR28))*P28)</f>
        <v>#N/A</v>
      </c>
      <c r="AA28" s="320" t="e">
        <f aca="false">IF($A28="N/A"," ",$U28*(8*($BR28))*Q28)</f>
        <v>#N/A</v>
      </c>
      <c r="AB28" s="320" t="e">
        <f aca="false">IF($A28="N/A"," ",$U28*(8*($BS28))*R28)</f>
        <v>#N/A</v>
      </c>
      <c r="AC28" s="320" t="e">
        <f aca="false">IF($A28="N/A"," ",$U28*(8*($BS28))*S28)</f>
        <v>#N/A</v>
      </c>
      <c r="AD28" s="320" t="e">
        <f aca="false">IF($A28="N/A"," ",$U28*(8*($BS28))*T28)</f>
        <v>#N/A</v>
      </c>
      <c r="AE28" s="320" t="e">
        <f aca="false">IF($A28="N/A"," ",SUM(V28:AD28))</f>
        <v>#N/A</v>
      </c>
      <c r="AF28" s="321" t="n">
        <f aca="false">IF(A28="N/A"," ",(VLOOKUP(A28,PowerVolTable,(IF(VolBMO3=2,7,IF(VolBMO3=1,6,8))),FALSE())))</f>
        <v>0.16</v>
      </c>
      <c r="AG28" s="321" t="n">
        <f aca="false">IF(A28="N/A"," ",(VLOOKUP(A28,IntraPowerVol,(IF(VolBMO3=2,3,IF(VolBMO3=1,2,4))),FALSE())*VLOOKUP(MONTH($A28),Volscale,2)))</f>
        <v>0.28</v>
      </c>
      <c r="AH28" s="321" t="n">
        <f aca="false">IF($A28="N/A"," ",IF(VolType3=1,AG28,AF28))</f>
        <v>0.28</v>
      </c>
      <c r="AI28" s="321" t="n">
        <f aca="false">IF($A28="N/A"," ",(VLOOKUP($A28,OffPwrVolTable,(IF(VolBMO3=2,7,IF(VolBMO3=1,6,8))),FALSE())))</f>
        <v>0.08</v>
      </c>
      <c r="AJ28" s="321" t="n">
        <f aca="false">IF($A28="N/A"," ",(VLOOKUP($A28,OffPwrVolTable,(IF(VolBMO3=2,3,IF(VolBMO3=1,2,4))),FALSE())*VLOOKUP(MONTH($A28),Volscale,2)))</f>
        <v>0.168</v>
      </c>
      <c r="AK28" s="321" t="n">
        <f aca="false">IF($A28="N/A"," ",IF(VolType3=1,AJ28,AI28))</f>
        <v>0.168</v>
      </c>
      <c r="AL28" s="321" t="e">
        <f aca="false">IF($A28="N/A"," ",IF(PV=1,0,'Pricing Inputs3'!R61))</f>
        <v>#N/A</v>
      </c>
      <c r="AM28" s="323" t="e">
        <f aca="false">IF($A28="N/A"," ",(1+AL28/2)^(-2*((EOMONTH(A28,0)+20)-DateToday)/365.25))</f>
        <v>#N/A</v>
      </c>
      <c r="BQ28" s="0" t="n">
        <f aca="false">IF($A28="N/A"," ",(VLOOKUP($A28,NumberofDaysTable,2)))</f>
        <v>21</v>
      </c>
      <c r="BR28" s="0" t="n">
        <f aca="false">IF($A28="N/A"," ",(VLOOKUP($A28,NumberofDaysTable,3)))</f>
        <v>5</v>
      </c>
      <c r="BS28" s="0" t="n">
        <f aca="false">IF($A28="N/A"," ",(VLOOKUP($A28,NumberofDaysTable,4)))</f>
        <v>5</v>
      </c>
    </row>
    <row r="29" customFormat="false" ht="12.75" hidden="false" customHeight="false" outlineLevel="0" collapsed="false">
      <c r="A29" s="315" t="n">
        <f aca="false">IF(A28="N/A","N/A",IF(EDATE(A28,1)&gt;Inputs!$Q$5,"N/A",EDATE(A28,1)))</f>
        <v>38018</v>
      </c>
      <c r="B29" s="316" t="n">
        <f aca="false">IF(A29="N/A"," ",YEAR(A29))</f>
        <v>2004</v>
      </c>
      <c r="C29" s="317" t="n">
        <f aca="false">IF($A29="N/A"," ",IF(Dayrun3=10,0,IF(Scaler3=1,(VLOOKUP(A29,ScaledPrice3,4)),(VLOOKUP(A29,ScaledPrice3,2)))))</f>
        <v>33.7357085091727</v>
      </c>
      <c r="D29" s="317" t="n">
        <f aca="false">IF(A29="N/A"," ",IF(Dayrun3&gt;=7,0,IF(Scaler3=2,VLOOKUP(A29,ScaledPrice3,2),(VLOOKUP(A29,ScaledPrice3,2))*(2-(VLOOKUP(A29,ScaledPrice3,3))))))</f>
        <v>33.7357085091727</v>
      </c>
      <c r="E29" s="317" t="n">
        <f aca="false">IF($A29="N/A"," ",IF(AND(Dayrun3&gt;=4,Dayrun3&lt;=9),0,VLOOKUP($A29,ScaledPrice3,9)))</f>
        <v>0</v>
      </c>
      <c r="F29" s="317" t="n">
        <f aca="false">IF(A29="N/A"," ",IF(OR(Dayrun3=2,Dayrun3=3,Dayrun3=5,Dayrun3=6,Dayrun3=8,Dayrun3=9),VLOOKUP(A29,ScaledPrice3,IF(Scaler3=1,6,5)),0))</f>
        <v>31.2460021972656</v>
      </c>
      <c r="G29" s="317" t="n">
        <f aca="false">IF(A29="N/A"," ",IF(OR(Dayrun3=2,Dayrun3=3,Dayrun3=5,Dayrun3=6),IF(Scaler3=2,F29,(VLOOKUP(A29,ScaledPrice3,5))*(2-(VLOOKUP(A29,ScaledPrice3,3)))),0))</f>
        <v>31.2460021972656</v>
      </c>
      <c r="H29" s="317" t="n">
        <f aca="false">IF($A29="N/A"," ",IF(OR(Dayrun3=2,Dayrun3=3,Dayrun3=10),VLOOKUP($A29,ScaledPrice3,9),0))</f>
        <v>0</v>
      </c>
      <c r="I29" s="317" t="n">
        <f aca="false">IF(A29="N/A"," ",IF(OR(Dayrun3=3,Dayrun3=6,Dayrun3=9),(VLOOKUP(A29,ScaledPrice3,IF(Scaler3=2,7,8))),0))</f>
        <v>22.7465019226074</v>
      </c>
      <c r="J29" s="317" t="n">
        <f aca="false">IF(A29="N/A"," ",IF(OR(Dayrun3=3,Dayrun3=6),IF(Scaler3=2,I29,(VLOOKUP(A29,ScaledPrice3,7))*(2-(VLOOKUP(A29,ScaledPrice3,3)))),0))</f>
        <v>22.7465019226074</v>
      </c>
      <c r="K29" s="317" t="n">
        <f aca="false">IF($A29="N/A"," ",IF(OR(Dayrun3=3,Dayrun3=10),VLOOKUP($A29,ScaledPrice3,9),0))</f>
        <v>0</v>
      </c>
      <c r="L29" s="318" t="n">
        <f aca="false">IF($A29="N/A"," ",IF(Pricetype3=2,MAX(C29,0),IF(OR(Pricetype3=1,Pricetype3=4),IF(C29=0,0,(EURO(C29,Strikeprice3,0,0,($AH29+IF(Smile=TRUE(),VLOOKUP(MAX(-5,Strikeprice3-C29),Volsmile,2),0)),($A29-DateToday)+15,IF(Pricetype3=1,1,0),0))),C29)))</f>
        <v>33.7357085091727</v>
      </c>
      <c r="M29" s="318" t="n">
        <f aca="false">IF($A29="N/A"," ",IF(Pricetype3=2,MAX(D29,0),IF(OR(Pricetype3=1,Pricetype3=4),IF(D29=0,0,(EURO(D29,Strikeprice3,0,0,($AH29+IF(Smile=TRUE(),VLOOKUP(MAX(-5,Strikeprice3-D29),Volsmile,2),0)),($A29-DateToday)+15,IF(Pricetype3=1,1,0),0))),D29)))</f>
        <v>33.7357085091727</v>
      </c>
      <c r="N29" s="318" t="n">
        <f aca="false">IF($A29="N/A"," ",IF(Pricetype3=2,MAX(E29,0),IF(OR(Pricetype3=1,Pricetype3=4),IF(E29=0,0,(EURO(E29,Strikeprice3,0,0,($AK29+IF(Smile=TRUE(),VLOOKUP(MAX(-5,Strikeprice3-E29),Volsmile,2),0)),($A29-DateToday)+15,IF(Pricetype3=1,1,0),0))),E29)))</f>
        <v>0</v>
      </c>
      <c r="O29" s="318" t="n">
        <f aca="false">IF($A29="N/A"," ",IF(Pricetype3=2,MAX(F29,0),IF(OR(Pricetype3=1,Pricetype3=4),IF(F29=0,0,(EURO(F29,Strikeprice3,0,0,($AK29+IF(Smile=TRUE(),VLOOKUP(MAX(-5,Strikeprice3-F29),Volsmile,2),0)),($A29-DateToday)+15,IF(Pricetype3=1,1,0),0))),F29)))</f>
        <v>31.2460021972656</v>
      </c>
      <c r="P29" s="318" t="n">
        <f aca="false">IF($A29="N/A"," ",IF(Pricetype3=2,MAX(G29,0),IF(OR(Pricetype3=1,Pricetype3=4),IF(G29=0,0,(EURO(G29,Strikeprice3,0,0,($AK29+IF(Smile=TRUE(),VLOOKUP(MAX(-5,Strikeprice3-G29),Volsmile,2),0)),($A29-DateToday)+15,IF(Pricetype3=1,1,0),0))),G29)))</f>
        <v>31.2460021972656</v>
      </c>
      <c r="Q29" s="318" t="n">
        <f aca="false">IF($A29="N/A"," ",IF(Pricetype3=2,MAX(H29,0),IF(OR(Pricetype3=1,Pricetype3=4),IF(H29=0,0,(EURO(H29,Strikeprice3,0,0,($AK29+IF(Smile=TRUE(),VLOOKUP(MAX(-5,Strikeprice3-H29),Volsmile,2),0)),($A29-DateToday)+15,IF(Pricetype3=1,1,0),0))),H29)))</f>
        <v>0</v>
      </c>
      <c r="R29" s="318" t="n">
        <f aca="false">IF($A29="N/A"," ",IF(Pricetype3=2,MAX(I29,0),IF(OR(Pricetype3=1,Pricetype3=4),IF(I29=0,0,(EURO(I29,Strikeprice3,0,0,($AK29+IF(Smile=TRUE(),VLOOKUP(MAX(-5,Strikeprice3-I29),Volsmile,2),0)),($A29-DateToday)+15,IF(Pricetype3=1,1,0),0))),I29)))</f>
        <v>22.7465019226074</v>
      </c>
      <c r="S29" s="318" t="n">
        <f aca="false">IF($A29="N/A"," ",IF(Pricetype3=2,MAX(J29,0),IF(OR(Pricetype3=1,Pricetype3=4),IF(J29=0,0,(EURO(J29,Strikeprice3,0,0,($AK29+IF(Smile=TRUE(),VLOOKUP(MAX(-5,Strikeprice3-J29),Volsmile,2),0)),($A29-DateToday)+15,IF(Pricetype3=1,1,0),0))),J29)))</f>
        <v>22.7465019226074</v>
      </c>
      <c r="T29" s="318" t="n">
        <f aca="false">IF($A29="N/A"," ",IF(Pricetype3=2,MAX(K29,0),IF(OR(Pricetype3=1,Pricetype3=4),IF(K29=0,0,(EURO(K29,Strikeprice3,0,0,($AK29+IF(Smile=TRUE(),VLOOKUP(MAX(-5,Strikeprice3-K29),Volsmile,2),0)),($A29-DateToday)+15,IF(Pricetype3=1,1,0),0))),K29)))</f>
        <v>0</v>
      </c>
      <c r="U29" s="319" t="e">
        <f aca="false">IF($A29="N/A"," ",Volume3*$AM29)</f>
        <v>#N/A</v>
      </c>
      <c r="V29" s="320" t="e">
        <f aca="false">IF($A29="N/A"," ",$U29*(8*($BQ29))*L29)</f>
        <v>#N/A</v>
      </c>
      <c r="W29" s="320" t="e">
        <f aca="false">IF($A29="N/A"," ",$U29*(8*($BQ29))*M29)</f>
        <v>#N/A</v>
      </c>
      <c r="X29" s="320" t="e">
        <f aca="false">IF($A29="N/A"," ",$U29*(8*($BQ29))*N29)</f>
        <v>#N/A</v>
      </c>
      <c r="Y29" s="320" t="e">
        <f aca="false">IF($A29="N/A"," ",$U29*(8*($BR29))*O29)</f>
        <v>#N/A</v>
      </c>
      <c r="Z29" s="320" t="e">
        <f aca="false">IF($A29="N/A"," ",$U29*(8*($BR29))*P29)</f>
        <v>#N/A</v>
      </c>
      <c r="AA29" s="320" t="e">
        <f aca="false">IF($A29="N/A"," ",$U29*(8*($BR29))*Q29)</f>
        <v>#N/A</v>
      </c>
      <c r="AB29" s="320" t="e">
        <f aca="false">IF($A29="N/A"," ",$U29*(8*($BS29))*R29)</f>
        <v>#N/A</v>
      </c>
      <c r="AC29" s="320" t="e">
        <f aca="false">IF($A29="N/A"," ",$U29*(8*($BS29))*S29)</f>
        <v>#N/A</v>
      </c>
      <c r="AD29" s="320" t="e">
        <f aca="false">IF($A29="N/A"," ",$U29*(8*($BS29))*T29)</f>
        <v>#N/A</v>
      </c>
      <c r="AE29" s="320" t="e">
        <f aca="false">IF($A29="N/A"," ",SUM(V29:AD29))</f>
        <v>#N/A</v>
      </c>
      <c r="AF29" s="321" t="n">
        <f aca="false">IF(A29="N/A"," ",(VLOOKUP(A29,PowerVolTable,(IF(VolBMO3=2,7,IF(VolBMO3=1,6,8))),FALSE())))</f>
        <v>0.16</v>
      </c>
      <c r="AG29" s="321" t="n">
        <f aca="false">IF(A29="N/A"," ",(VLOOKUP(A29,IntraPowerVol,(IF(VolBMO3=2,3,IF(VolBMO3=1,2,4))),FALSE())*VLOOKUP(MONTH($A29),Volscale,2)))</f>
        <v>0.28</v>
      </c>
      <c r="AH29" s="321" t="n">
        <f aca="false">IF($A29="N/A"," ",IF(VolType3=1,AG29,AF29))</f>
        <v>0.28</v>
      </c>
      <c r="AI29" s="321" t="n">
        <f aca="false">IF($A29="N/A"," ",(VLOOKUP($A29,OffPwrVolTable,(IF(VolBMO3=2,7,IF(VolBMO3=1,6,8))),FALSE())))</f>
        <v>0.08</v>
      </c>
      <c r="AJ29" s="321" t="n">
        <f aca="false">IF($A29="N/A"," ",(VLOOKUP($A29,OffPwrVolTable,(IF(VolBMO3=2,3,IF(VolBMO3=1,2,4))),FALSE())*VLOOKUP(MONTH($A29),Volscale,2)))</f>
        <v>0.168</v>
      </c>
      <c r="AK29" s="321" t="n">
        <f aca="false">IF($A29="N/A"," ",IF(VolType3=1,AJ29,AI29))</f>
        <v>0.168</v>
      </c>
      <c r="AL29" s="321" t="e">
        <f aca="false">IF($A29="N/A"," ",IF(PV=1,0,'Pricing Inputs3'!R62))</f>
        <v>#N/A</v>
      </c>
      <c r="AM29" s="323" t="e">
        <f aca="false">IF($A29="N/A"," ",(1+AL29/2)^(-2*((EOMONTH(A29,0)+20)-DateToday)/365.25))</f>
        <v>#N/A</v>
      </c>
      <c r="BQ29" s="0" t="n">
        <f aca="false">IF($A29="N/A"," ",(VLOOKUP($A29,NumberofDaysTable,2)))</f>
        <v>20</v>
      </c>
      <c r="BR29" s="0" t="n">
        <f aca="false">IF($A29="N/A"," ",(VLOOKUP($A29,NumberofDaysTable,3)))</f>
        <v>4</v>
      </c>
      <c r="BS29" s="0" t="n">
        <f aca="false">IF($A29="N/A"," ",(VLOOKUP($A29,NumberofDaysTable,4)))</f>
        <v>5</v>
      </c>
    </row>
    <row r="30" customFormat="false" ht="12.75" hidden="false" customHeight="false" outlineLevel="0" collapsed="false">
      <c r="A30" s="315" t="n">
        <f aca="false">IF(A29="N/A","N/A",IF(EDATE(A29,1)&gt;Inputs!$Q$5,"N/A",EDATE(A29,1)))</f>
        <v>38047</v>
      </c>
      <c r="B30" s="316" t="n">
        <f aca="false">IF(A30="N/A"," ",YEAR(A30))</f>
        <v>2004</v>
      </c>
      <c r="C30" s="317" t="n">
        <f aca="false">IF($A30="N/A"," ",IF(Dayrun3=10,0,IF(Scaler3=1,(VLOOKUP(A30,ScaledPrice3,4)),(VLOOKUP(A30,ScaledPrice3,2)))))</f>
        <v>32.4476771687352</v>
      </c>
      <c r="D30" s="317" t="n">
        <f aca="false">IF(A30="N/A"," ",IF(Dayrun3&gt;=7,0,IF(Scaler3=2,VLOOKUP(A30,ScaledPrice3,2),(VLOOKUP(A30,ScaledPrice3,2))*(2-(VLOOKUP(A30,ScaledPrice3,3))))))</f>
        <v>32.4476771687352</v>
      </c>
      <c r="E30" s="317" t="n">
        <f aca="false">IF($A30="N/A"," ",IF(AND(Dayrun3&gt;=4,Dayrun3&lt;=9),0,VLOOKUP($A30,ScaledPrice3,9)))</f>
        <v>0</v>
      </c>
      <c r="F30" s="317" t="n">
        <f aca="false">IF(A30="N/A"," ",IF(OR(Dayrun3=2,Dayrun3=3,Dayrun3=5,Dayrun3=6,Dayrun3=8,Dayrun3=9),VLOOKUP(A30,ScaledPrice3,IF(Scaler3=1,6,5)),0))</f>
        <v>25.5</v>
      </c>
      <c r="G30" s="317" t="n">
        <f aca="false">IF(A30="N/A"," ",IF(OR(Dayrun3=2,Dayrun3=3,Dayrun3=5,Dayrun3=6),IF(Scaler3=2,F30,(VLOOKUP(A30,ScaledPrice3,5))*(2-(VLOOKUP(A30,ScaledPrice3,3)))),0))</f>
        <v>25.5</v>
      </c>
      <c r="H30" s="317" t="n">
        <f aca="false">IF($A30="N/A"," ",IF(OR(Dayrun3=2,Dayrun3=3,Dayrun3=10),VLOOKUP($A30,ScaledPrice3,9),0))</f>
        <v>0</v>
      </c>
      <c r="I30" s="317" t="n">
        <f aca="false">IF(A30="N/A"," ",IF(OR(Dayrun3=3,Dayrun3=6,Dayrun3=9),(VLOOKUP(A30,ScaledPrice3,IF(Scaler3=2,7,8))),0))</f>
        <v>20</v>
      </c>
      <c r="J30" s="317" t="n">
        <f aca="false">IF(A30="N/A"," ",IF(OR(Dayrun3=3,Dayrun3=6),IF(Scaler3=2,I30,(VLOOKUP(A30,ScaledPrice3,7))*(2-(VLOOKUP(A30,ScaledPrice3,3)))),0))</f>
        <v>20</v>
      </c>
      <c r="K30" s="317" t="n">
        <f aca="false">IF($A30="N/A"," ",IF(OR(Dayrun3=3,Dayrun3=10),VLOOKUP($A30,ScaledPrice3,9),0))</f>
        <v>0</v>
      </c>
      <c r="L30" s="318" t="n">
        <f aca="false">IF($A30="N/A"," ",IF(Pricetype3=2,MAX(C30,0),IF(OR(Pricetype3=1,Pricetype3=4),IF(C30=0,0,(EURO(C30,Strikeprice3,0,0,($AH30+IF(Smile=TRUE(),VLOOKUP(MAX(-5,Strikeprice3-C30),Volsmile,2),0)),($A30-DateToday)+15,IF(Pricetype3=1,1,0),0))),C30)))</f>
        <v>32.4476771687352</v>
      </c>
      <c r="M30" s="318" t="n">
        <f aca="false">IF($A30="N/A"," ",IF(Pricetype3=2,MAX(D30,0),IF(OR(Pricetype3=1,Pricetype3=4),IF(D30=0,0,(EURO(D30,Strikeprice3,0,0,($AH30+IF(Smile=TRUE(),VLOOKUP(MAX(-5,Strikeprice3-D30),Volsmile,2),0)),($A30-DateToday)+15,IF(Pricetype3=1,1,0),0))),D30)))</f>
        <v>32.4476771687352</v>
      </c>
      <c r="N30" s="318" t="n">
        <f aca="false">IF($A30="N/A"," ",IF(Pricetype3=2,MAX(E30,0),IF(OR(Pricetype3=1,Pricetype3=4),IF(E30=0,0,(EURO(E30,Strikeprice3,0,0,($AK30+IF(Smile=TRUE(),VLOOKUP(MAX(-5,Strikeprice3-E30),Volsmile,2),0)),($A30-DateToday)+15,IF(Pricetype3=1,1,0),0))),E30)))</f>
        <v>0</v>
      </c>
      <c r="O30" s="318" t="n">
        <f aca="false">IF($A30="N/A"," ",IF(Pricetype3=2,MAX(F30,0),IF(OR(Pricetype3=1,Pricetype3=4),IF(F30=0,0,(EURO(F30,Strikeprice3,0,0,($AK30+IF(Smile=TRUE(),VLOOKUP(MAX(-5,Strikeprice3-F30),Volsmile,2),0)),($A30-DateToday)+15,IF(Pricetype3=1,1,0),0))),F30)))</f>
        <v>25.5</v>
      </c>
      <c r="P30" s="318" t="n">
        <f aca="false">IF($A30="N/A"," ",IF(Pricetype3=2,MAX(G30,0),IF(OR(Pricetype3=1,Pricetype3=4),IF(G30=0,0,(EURO(G30,Strikeprice3,0,0,($AK30+IF(Smile=TRUE(),VLOOKUP(MAX(-5,Strikeprice3-G30),Volsmile,2),0)),($A30-DateToday)+15,IF(Pricetype3=1,1,0),0))),G30)))</f>
        <v>25.5</v>
      </c>
      <c r="Q30" s="318" t="n">
        <f aca="false">IF($A30="N/A"," ",IF(Pricetype3=2,MAX(H30,0),IF(OR(Pricetype3=1,Pricetype3=4),IF(H30=0,0,(EURO(H30,Strikeprice3,0,0,($AK30+IF(Smile=TRUE(),VLOOKUP(MAX(-5,Strikeprice3-H30),Volsmile,2),0)),($A30-DateToday)+15,IF(Pricetype3=1,1,0),0))),H30)))</f>
        <v>0</v>
      </c>
      <c r="R30" s="318" t="n">
        <f aca="false">IF($A30="N/A"," ",IF(Pricetype3=2,MAX(I30,0),IF(OR(Pricetype3=1,Pricetype3=4),IF(I30=0,0,(EURO(I30,Strikeprice3,0,0,($AK30+IF(Smile=TRUE(),VLOOKUP(MAX(-5,Strikeprice3-I30),Volsmile,2),0)),($A30-DateToday)+15,IF(Pricetype3=1,1,0),0))),I30)))</f>
        <v>20</v>
      </c>
      <c r="S30" s="318" t="n">
        <f aca="false">IF($A30="N/A"," ",IF(Pricetype3=2,MAX(J30,0),IF(OR(Pricetype3=1,Pricetype3=4),IF(J30=0,0,(EURO(J30,Strikeprice3,0,0,($AK30+IF(Smile=TRUE(),VLOOKUP(MAX(-5,Strikeprice3-J30),Volsmile,2),0)),($A30-DateToday)+15,IF(Pricetype3=1,1,0),0))),J30)))</f>
        <v>20</v>
      </c>
      <c r="T30" s="318" t="n">
        <f aca="false">IF($A30="N/A"," ",IF(Pricetype3=2,MAX(K30,0),IF(OR(Pricetype3=1,Pricetype3=4),IF(K30=0,0,(EURO(K30,Strikeprice3,0,0,($AK30+IF(Smile=TRUE(),VLOOKUP(MAX(-5,Strikeprice3-K30),Volsmile,2),0)),($A30-DateToday)+15,IF(Pricetype3=1,1,0),0))),K30)))</f>
        <v>0</v>
      </c>
      <c r="U30" s="319" t="e">
        <f aca="false">IF($A30="N/A"," ",Volume3*$AM30)</f>
        <v>#N/A</v>
      </c>
      <c r="V30" s="320" t="e">
        <f aca="false">IF($A30="N/A"," ",$U30*(8*($BQ30))*L30)</f>
        <v>#N/A</v>
      </c>
      <c r="W30" s="320" t="e">
        <f aca="false">IF($A30="N/A"," ",$U30*(8*($BQ30))*M30)</f>
        <v>#N/A</v>
      </c>
      <c r="X30" s="320" t="e">
        <f aca="false">IF($A30="N/A"," ",$U30*(8*($BQ30))*N30)</f>
        <v>#N/A</v>
      </c>
      <c r="Y30" s="320" t="e">
        <f aca="false">IF($A30="N/A"," ",$U30*(8*($BR30))*O30)</f>
        <v>#N/A</v>
      </c>
      <c r="Z30" s="320" t="e">
        <f aca="false">IF($A30="N/A"," ",$U30*(8*($BR30))*P30)</f>
        <v>#N/A</v>
      </c>
      <c r="AA30" s="320" t="e">
        <f aca="false">IF($A30="N/A"," ",$U30*(8*($BR30))*Q30)</f>
        <v>#N/A</v>
      </c>
      <c r="AB30" s="320" t="e">
        <f aca="false">IF($A30="N/A"," ",$U30*(8*($BS30))*R30)</f>
        <v>#N/A</v>
      </c>
      <c r="AC30" s="320" t="e">
        <f aca="false">IF($A30="N/A"," ",$U30*(8*($BS30))*S30)</f>
        <v>#N/A</v>
      </c>
      <c r="AD30" s="320" t="e">
        <f aca="false">IF($A30="N/A"," ",$U30*(8*($BS30))*T30)</f>
        <v>#N/A</v>
      </c>
      <c r="AE30" s="320" t="e">
        <f aca="false">IF($A30="N/A"," ",SUM(V30:AD30))</f>
        <v>#N/A</v>
      </c>
      <c r="AF30" s="321" t="n">
        <f aca="false">IF(A30="N/A"," ",(VLOOKUP(A30,PowerVolTable,(IF(VolBMO3=2,7,IF(VolBMO3=1,6,8))),FALSE())))</f>
        <v>0.16</v>
      </c>
      <c r="AG30" s="321" t="n">
        <f aca="false">IF(A30="N/A"," ",(VLOOKUP(A30,IntraPowerVol,(IF(VolBMO3=2,3,IF(VolBMO3=1,2,4))),FALSE())*VLOOKUP(MONTH($A30),Volscale,2)))</f>
        <v>0.28</v>
      </c>
      <c r="AH30" s="321" t="n">
        <f aca="false">IF($A30="N/A"," ",IF(VolType3=1,AG30,AF30))</f>
        <v>0.28</v>
      </c>
      <c r="AI30" s="321" t="n">
        <f aca="false">IF($A30="N/A"," ",(VLOOKUP($A30,OffPwrVolTable,(IF(VolBMO3=2,7,IF(VolBMO3=1,6,8))),FALSE())))</f>
        <v>0.08</v>
      </c>
      <c r="AJ30" s="321" t="n">
        <f aca="false">IF($A30="N/A"," ",(VLOOKUP($A30,OffPwrVolTable,(IF(VolBMO3=2,3,IF(VolBMO3=1,2,4))),FALSE())*VLOOKUP(MONTH($A30),Volscale,2)))</f>
        <v>0.168</v>
      </c>
      <c r="AK30" s="321" t="n">
        <f aca="false">IF($A30="N/A"," ",IF(VolType3=1,AJ30,AI30))</f>
        <v>0.168</v>
      </c>
      <c r="AL30" s="321" t="e">
        <f aca="false">IF($A30="N/A"," ",IF(PV=1,0,'Pricing Inputs3'!R63))</f>
        <v>#N/A</v>
      </c>
      <c r="AM30" s="323" t="e">
        <f aca="false">IF($A30="N/A"," ",(1+AL30/2)^(-2*((EOMONTH(A30,0)+20)-DateToday)/365.25))</f>
        <v>#N/A</v>
      </c>
      <c r="BQ30" s="0" t="n">
        <f aca="false">IF($A30="N/A"," ",(VLOOKUP($A30,NumberofDaysTable,2)))</f>
        <v>23</v>
      </c>
      <c r="BR30" s="0" t="n">
        <f aca="false">IF($A30="N/A"," ",(VLOOKUP($A30,NumberofDaysTable,3)))</f>
        <v>4</v>
      </c>
      <c r="BS30" s="0" t="n">
        <f aca="false">IF($A30="N/A"," ",(VLOOKUP($A30,NumberofDaysTable,4)))</f>
        <v>4</v>
      </c>
    </row>
    <row r="31" customFormat="false" ht="12.75" hidden="false" customHeight="false" outlineLevel="0" collapsed="false">
      <c r="A31" s="315" t="n">
        <f aca="false">IF(A30="N/A","N/A",IF(EDATE(A30,1)&gt;Inputs!$Q$5,"N/A",EDATE(A30,1)))</f>
        <v>38078</v>
      </c>
      <c r="B31" s="316" t="n">
        <f aca="false">IF(A31="N/A"," ",YEAR(A31))</f>
        <v>2004</v>
      </c>
      <c r="C31" s="317" t="n">
        <f aca="false">IF($A31="N/A"," ",IF(Dayrun3=10,0,IF(Scaler3=1,(VLOOKUP(A31,ScaledPrice3,4)),(VLOOKUP(A31,ScaledPrice3,2)))))</f>
        <v>32.6476779316747</v>
      </c>
      <c r="D31" s="317" t="n">
        <f aca="false">IF(A31="N/A"," ",IF(Dayrun3&gt;=7,0,IF(Scaler3=2,VLOOKUP(A31,ScaledPrice3,2),(VLOOKUP(A31,ScaledPrice3,2))*(2-(VLOOKUP(A31,ScaledPrice3,3))))))</f>
        <v>32.6476779316747</v>
      </c>
      <c r="E31" s="317" t="n">
        <f aca="false">IF($A31="N/A"," ",IF(AND(Dayrun3&gt;=4,Dayrun3&lt;=9),0,VLOOKUP($A31,ScaledPrice3,9)))</f>
        <v>0</v>
      </c>
      <c r="F31" s="317" t="n">
        <f aca="false">IF(A31="N/A"," ",IF(OR(Dayrun3=2,Dayrun3=3,Dayrun3=5,Dayrun3=6,Dayrun3=8,Dayrun3=9),VLOOKUP(A31,ScaledPrice3,IF(Scaler3=1,6,5)),0))</f>
        <v>22</v>
      </c>
      <c r="G31" s="317" t="n">
        <f aca="false">IF(A31="N/A"," ",IF(OR(Dayrun3=2,Dayrun3=3,Dayrun3=5,Dayrun3=6),IF(Scaler3=2,F31,(VLOOKUP(A31,ScaledPrice3,5))*(2-(VLOOKUP(A31,ScaledPrice3,3)))),0))</f>
        <v>22</v>
      </c>
      <c r="H31" s="317" t="n">
        <f aca="false">IF($A31="N/A"," ",IF(OR(Dayrun3=2,Dayrun3=3,Dayrun3=10),VLOOKUP($A31,ScaledPrice3,9),0))</f>
        <v>0</v>
      </c>
      <c r="I31" s="317" t="n">
        <f aca="false">IF(A31="N/A"," ",IF(OR(Dayrun3=3,Dayrun3=6,Dayrun3=9),(VLOOKUP(A31,ScaledPrice3,IF(Scaler3=2,7,8))),0))</f>
        <v>16.4950008392334</v>
      </c>
      <c r="J31" s="317" t="n">
        <f aca="false">IF(A31="N/A"," ",IF(OR(Dayrun3=3,Dayrun3=6),IF(Scaler3=2,I31,(VLOOKUP(A31,ScaledPrice3,7))*(2-(VLOOKUP(A31,ScaledPrice3,3)))),0))</f>
        <v>16.4950008392334</v>
      </c>
      <c r="K31" s="317" t="n">
        <f aca="false">IF($A31="N/A"," ",IF(OR(Dayrun3=3,Dayrun3=10),VLOOKUP($A31,ScaledPrice3,9),0))</f>
        <v>0</v>
      </c>
      <c r="L31" s="318" t="n">
        <f aca="false">IF($A31="N/A"," ",IF(Pricetype3=2,MAX(C31,0),IF(OR(Pricetype3=1,Pricetype3=4),IF(C31=0,0,(EURO(C31,Strikeprice3,0,0,($AH31+IF(Smile=TRUE(),VLOOKUP(MAX(-5,Strikeprice3-C31),Volsmile,2),0)),($A31-DateToday)+15,IF(Pricetype3=1,1,0),0))),C31)))</f>
        <v>32.6476779316747</v>
      </c>
      <c r="M31" s="318" t="n">
        <f aca="false">IF($A31="N/A"," ",IF(Pricetype3=2,MAX(D31,0),IF(OR(Pricetype3=1,Pricetype3=4),IF(D31=0,0,(EURO(D31,Strikeprice3,0,0,($AH31+IF(Smile=TRUE(),VLOOKUP(MAX(-5,Strikeprice3-D31),Volsmile,2),0)),($A31-DateToday)+15,IF(Pricetype3=1,1,0),0))),D31)))</f>
        <v>32.6476779316747</v>
      </c>
      <c r="N31" s="318" t="n">
        <f aca="false">IF($A31="N/A"," ",IF(Pricetype3=2,MAX(E31,0),IF(OR(Pricetype3=1,Pricetype3=4),IF(E31=0,0,(EURO(E31,Strikeprice3,0,0,($AK31+IF(Smile=TRUE(),VLOOKUP(MAX(-5,Strikeprice3-E31),Volsmile,2),0)),($A31-DateToday)+15,IF(Pricetype3=1,1,0),0))),E31)))</f>
        <v>0</v>
      </c>
      <c r="O31" s="318" t="n">
        <f aca="false">IF($A31="N/A"," ",IF(Pricetype3=2,MAX(F31,0),IF(OR(Pricetype3=1,Pricetype3=4),IF(F31=0,0,(EURO(F31,Strikeprice3,0,0,($AK31+IF(Smile=TRUE(),VLOOKUP(MAX(-5,Strikeprice3-F31),Volsmile,2),0)),($A31-DateToday)+15,IF(Pricetype3=1,1,0),0))),F31)))</f>
        <v>22</v>
      </c>
      <c r="P31" s="318" t="n">
        <f aca="false">IF($A31="N/A"," ",IF(Pricetype3=2,MAX(G31,0),IF(OR(Pricetype3=1,Pricetype3=4),IF(G31=0,0,(EURO(G31,Strikeprice3,0,0,($AK31+IF(Smile=TRUE(),VLOOKUP(MAX(-5,Strikeprice3-G31),Volsmile,2),0)),($A31-DateToday)+15,IF(Pricetype3=1,1,0),0))),G31)))</f>
        <v>22</v>
      </c>
      <c r="Q31" s="318" t="n">
        <f aca="false">IF($A31="N/A"," ",IF(Pricetype3=2,MAX(H31,0),IF(OR(Pricetype3=1,Pricetype3=4),IF(H31=0,0,(EURO(H31,Strikeprice3,0,0,($AK31+IF(Smile=TRUE(),VLOOKUP(MAX(-5,Strikeprice3-H31),Volsmile,2),0)),($A31-DateToday)+15,IF(Pricetype3=1,1,0),0))),H31)))</f>
        <v>0</v>
      </c>
      <c r="R31" s="318" t="n">
        <f aca="false">IF($A31="N/A"," ",IF(Pricetype3=2,MAX(I31,0),IF(OR(Pricetype3=1,Pricetype3=4),IF(I31=0,0,(EURO(I31,Strikeprice3,0,0,($AK31+IF(Smile=TRUE(),VLOOKUP(MAX(-5,Strikeprice3-I31),Volsmile,2),0)),($A31-DateToday)+15,IF(Pricetype3=1,1,0),0))),I31)))</f>
        <v>16.4950008392334</v>
      </c>
      <c r="S31" s="318" t="n">
        <f aca="false">IF($A31="N/A"," ",IF(Pricetype3=2,MAX(J31,0),IF(OR(Pricetype3=1,Pricetype3=4),IF(J31=0,0,(EURO(J31,Strikeprice3,0,0,($AK31+IF(Smile=TRUE(),VLOOKUP(MAX(-5,Strikeprice3-J31),Volsmile,2),0)),($A31-DateToday)+15,IF(Pricetype3=1,1,0),0))),J31)))</f>
        <v>16.4950008392334</v>
      </c>
      <c r="T31" s="318" t="n">
        <f aca="false">IF($A31="N/A"," ",IF(Pricetype3=2,MAX(K31,0),IF(OR(Pricetype3=1,Pricetype3=4),IF(K31=0,0,(EURO(K31,Strikeprice3,0,0,($AK31+IF(Smile=TRUE(),VLOOKUP(MAX(-5,Strikeprice3-K31),Volsmile,2),0)),($A31-DateToday)+15,IF(Pricetype3=1,1,0),0))),K31)))</f>
        <v>0</v>
      </c>
      <c r="U31" s="319" t="e">
        <f aca="false">IF($A31="N/A"," ",Volume3*$AM31)</f>
        <v>#N/A</v>
      </c>
      <c r="V31" s="320" t="e">
        <f aca="false">IF($A31="N/A"," ",$U31*(8*($BQ31))*L31)</f>
        <v>#N/A</v>
      </c>
      <c r="W31" s="320" t="e">
        <f aca="false">IF($A31="N/A"," ",$U31*(8*($BQ31))*M31)</f>
        <v>#N/A</v>
      </c>
      <c r="X31" s="320" t="e">
        <f aca="false">IF($A31="N/A"," ",$U31*(8*($BQ31))*N31)</f>
        <v>#N/A</v>
      </c>
      <c r="Y31" s="320" t="e">
        <f aca="false">IF($A31="N/A"," ",$U31*(8*($BR31))*O31)</f>
        <v>#N/A</v>
      </c>
      <c r="Z31" s="320" t="e">
        <f aca="false">IF($A31="N/A"," ",$U31*(8*($BR31))*P31)</f>
        <v>#N/A</v>
      </c>
      <c r="AA31" s="320" t="e">
        <f aca="false">IF($A31="N/A"," ",$U31*(8*($BR31))*Q31)</f>
        <v>#N/A</v>
      </c>
      <c r="AB31" s="320" t="e">
        <f aca="false">IF($A31="N/A"," ",$U31*(8*($BS31))*R31)</f>
        <v>#N/A</v>
      </c>
      <c r="AC31" s="320" t="e">
        <f aca="false">IF($A31="N/A"," ",$U31*(8*($BS31))*S31)</f>
        <v>#N/A</v>
      </c>
      <c r="AD31" s="320" t="e">
        <f aca="false">IF($A31="N/A"," ",$U31*(8*($BS31))*T31)</f>
        <v>#N/A</v>
      </c>
      <c r="AE31" s="320" t="e">
        <f aca="false">IF($A31="N/A"," ",SUM(V31:AD31))</f>
        <v>#N/A</v>
      </c>
      <c r="AF31" s="321" t="n">
        <f aca="false">IF(A31="N/A"," ",(VLOOKUP(A31,PowerVolTable,(IF(VolBMO3=2,7,IF(VolBMO3=1,6,8))),FALSE())))</f>
        <v>0.16</v>
      </c>
      <c r="AG31" s="321" t="n">
        <f aca="false">IF(A31="N/A"," ",(VLOOKUP(A31,IntraPowerVol,(IF(VolBMO3=2,3,IF(VolBMO3=1,2,4))),FALSE())*VLOOKUP(MONTH($A31),Volscale,2)))</f>
        <v>0.28</v>
      </c>
      <c r="AH31" s="321" t="n">
        <f aca="false">IF($A31="N/A"," ",IF(VolType3=1,AG31,AF31))</f>
        <v>0.28</v>
      </c>
      <c r="AI31" s="321" t="n">
        <f aca="false">IF($A31="N/A"," ",(VLOOKUP($A31,OffPwrVolTable,(IF(VolBMO3=2,7,IF(VolBMO3=1,6,8))),FALSE())))</f>
        <v>0.08</v>
      </c>
      <c r="AJ31" s="321" t="n">
        <f aca="false">IF($A31="N/A"," ",(VLOOKUP($A31,OffPwrVolTable,(IF(VolBMO3=2,3,IF(VolBMO3=1,2,4))),FALSE())*VLOOKUP(MONTH($A31),Volscale,2)))</f>
        <v>0.168</v>
      </c>
      <c r="AK31" s="321" t="n">
        <f aca="false">IF($A31="N/A"," ",IF(VolType3=1,AJ31,AI31))</f>
        <v>0.168</v>
      </c>
      <c r="AL31" s="321" t="e">
        <f aca="false">IF($A31="N/A"," ",IF(PV=1,0,'Pricing Inputs3'!R64))</f>
        <v>#N/A</v>
      </c>
      <c r="AM31" s="323" t="e">
        <f aca="false">IF($A31="N/A"," ",(1+AL31/2)^(-2*((EOMONTH(A31,0)+20)-DateToday)/365.25))</f>
        <v>#N/A</v>
      </c>
      <c r="BQ31" s="0" t="n">
        <f aca="false">IF($A31="N/A"," ",(VLOOKUP($A31,NumberofDaysTable,2)))</f>
        <v>22</v>
      </c>
      <c r="BR31" s="0" t="n">
        <f aca="false">IF($A31="N/A"," ",(VLOOKUP($A31,NumberofDaysTable,3)))</f>
        <v>4</v>
      </c>
      <c r="BS31" s="0" t="n">
        <f aca="false">IF($A31="N/A"," ",(VLOOKUP($A31,NumberofDaysTable,4)))</f>
        <v>4</v>
      </c>
    </row>
    <row r="32" customFormat="false" ht="12.75" hidden="false" customHeight="false" outlineLevel="0" collapsed="false">
      <c r="A32" s="315" t="n">
        <f aca="false">IF(A31="N/A","N/A",IF(EDATE(A31,1)&gt;Inputs!$Q$5,"N/A",EDATE(A31,1)))</f>
        <v>38108</v>
      </c>
      <c r="B32" s="316" t="n">
        <f aca="false">IF(A32="N/A"," ",YEAR(A32))</f>
        <v>2004</v>
      </c>
      <c r="C32" s="317" t="n">
        <f aca="false">IF($A32="N/A"," ",IF(Dayrun3=10,0,IF(Scaler3=1,(VLOOKUP(A32,ScaledPrice3,4)),(VLOOKUP(A32,ScaledPrice3,2)))))</f>
        <v>35.4250030517578</v>
      </c>
      <c r="D32" s="317" t="n">
        <f aca="false">IF(A32="N/A"," ",IF(Dayrun3&gt;=7,0,IF(Scaler3=2,VLOOKUP(A32,ScaledPrice3,2),(VLOOKUP(A32,ScaledPrice3,2))*(2-(VLOOKUP(A32,ScaledPrice3,3))))))</f>
        <v>35.4250030517578</v>
      </c>
      <c r="E32" s="317" t="n">
        <f aca="false">IF($A32="N/A"," ",IF(AND(Dayrun3&gt;=4,Dayrun3&lt;=9),0,VLOOKUP($A32,ScaledPrice3,9)))</f>
        <v>0</v>
      </c>
      <c r="F32" s="317" t="n">
        <f aca="false">IF(A32="N/A"," ",IF(OR(Dayrun3=2,Dayrun3=3,Dayrun3=5,Dayrun3=6,Dayrun3=8,Dayrun3=9),VLOOKUP(A32,ScaledPrice3,IF(Scaler3=1,6,5)),0))</f>
        <v>22.2900009155273</v>
      </c>
      <c r="G32" s="317" t="n">
        <f aca="false">IF(A32="N/A"," ",IF(OR(Dayrun3=2,Dayrun3=3,Dayrun3=5,Dayrun3=6),IF(Scaler3=2,F32,(VLOOKUP(A32,ScaledPrice3,5))*(2-(VLOOKUP(A32,ScaledPrice3,3)))),0))</f>
        <v>22.2900009155273</v>
      </c>
      <c r="H32" s="317" t="n">
        <f aca="false">IF($A32="N/A"," ",IF(OR(Dayrun3=2,Dayrun3=3,Dayrun3=10),VLOOKUP($A32,ScaledPrice3,9),0))</f>
        <v>0</v>
      </c>
      <c r="I32" s="317" t="n">
        <f aca="false">IF(A32="N/A"," ",IF(OR(Dayrun3=3,Dayrun3=6,Dayrun3=9),(VLOOKUP(A32,ScaledPrice3,IF(Scaler3=2,7,8))),0))</f>
        <v>15.7950000762939</v>
      </c>
      <c r="J32" s="317" t="n">
        <f aca="false">IF(A32="N/A"," ",IF(OR(Dayrun3=3,Dayrun3=6),IF(Scaler3=2,I32,(VLOOKUP(A32,ScaledPrice3,7))*(2-(VLOOKUP(A32,ScaledPrice3,3)))),0))</f>
        <v>15.7950000762939</v>
      </c>
      <c r="K32" s="317" t="n">
        <f aca="false">IF($A32="N/A"," ",IF(OR(Dayrun3=3,Dayrun3=10),VLOOKUP($A32,ScaledPrice3,9),0))</f>
        <v>0</v>
      </c>
      <c r="L32" s="318" t="n">
        <f aca="false">IF($A32="N/A"," ",IF(Pricetype3=2,MAX(C32,0),IF(OR(Pricetype3=1,Pricetype3=4),IF(C32=0,0,(EURO(C32,Strikeprice3,0,0,($AH32+IF(Smile=TRUE(),VLOOKUP(MAX(-5,Strikeprice3-C32),Volsmile,2),0)),($A32-DateToday)+15,IF(Pricetype3=1,1,0),0))),C32)))</f>
        <v>35.4250030517578</v>
      </c>
      <c r="M32" s="318" t="n">
        <f aca="false">IF($A32="N/A"," ",IF(Pricetype3=2,MAX(D32,0),IF(OR(Pricetype3=1,Pricetype3=4),IF(D32=0,0,(EURO(D32,Strikeprice3,0,0,($AH32+IF(Smile=TRUE(),VLOOKUP(MAX(-5,Strikeprice3-D32),Volsmile,2),0)),($A32-DateToday)+15,IF(Pricetype3=1,1,0),0))),D32)))</f>
        <v>35.4250030517578</v>
      </c>
      <c r="N32" s="318" t="n">
        <f aca="false">IF($A32="N/A"," ",IF(Pricetype3=2,MAX(E32,0),IF(OR(Pricetype3=1,Pricetype3=4),IF(E32=0,0,(EURO(E32,Strikeprice3,0,0,($AK32+IF(Smile=TRUE(),VLOOKUP(MAX(-5,Strikeprice3-E32),Volsmile,2),0)),($A32-DateToday)+15,IF(Pricetype3=1,1,0),0))),E32)))</f>
        <v>0</v>
      </c>
      <c r="O32" s="318" t="n">
        <f aca="false">IF($A32="N/A"," ",IF(Pricetype3=2,MAX(F32,0),IF(OR(Pricetype3=1,Pricetype3=4),IF(F32=0,0,(EURO(F32,Strikeprice3,0,0,($AK32+IF(Smile=TRUE(),VLOOKUP(MAX(-5,Strikeprice3-F32),Volsmile,2),0)),($A32-DateToday)+15,IF(Pricetype3=1,1,0),0))),F32)))</f>
        <v>22.2900009155273</v>
      </c>
      <c r="P32" s="318" t="n">
        <f aca="false">IF($A32="N/A"," ",IF(Pricetype3=2,MAX(G32,0),IF(OR(Pricetype3=1,Pricetype3=4),IF(G32=0,0,(EURO(G32,Strikeprice3,0,0,($AK32+IF(Smile=TRUE(),VLOOKUP(MAX(-5,Strikeprice3-G32),Volsmile,2),0)),($A32-DateToday)+15,IF(Pricetype3=1,1,0),0))),G32)))</f>
        <v>22.2900009155273</v>
      </c>
      <c r="Q32" s="318" t="n">
        <f aca="false">IF($A32="N/A"," ",IF(Pricetype3=2,MAX(H32,0),IF(OR(Pricetype3=1,Pricetype3=4),IF(H32=0,0,(EURO(H32,Strikeprice3,0,0,($AK32+IF(Smile=TRUE(),VLOOKUP(MAX(-5,Strikeprice3-H32),Volsmile,2),0)),($A32-DateToday)+15,IF(Pricetype3=1,1,0),0))),H32)))</f>
        <v>0</v>
      </c>
      <c r="R32" s="318" t="n">
        <f aca="false">IF($A32="N/A"," ",IF(Pricetype3=2,MAX(I32,0),IF(OR(Pricetype3=1,Pricetype3=4),IF(I32=0,0,(EURO(I32,Strikeprice3,0,0,($AK32+IF(Smile=TRUE(),VLOOKUP(MAX(-5,Strikeprice3-I32),Volsmile,2),0)),($A32-DateToday)+15,IF(Pricetype3=1,1,0),0))),I32)))</f>
        <v>15.7950000762939</v>
      </c>
      <c r="S32" s="318" t="n">
        <f aca="false">IF($A32="N/A"," ",IF(Pricetype3=2,MAX(J32,0),IF(OR(Pricetype3=1,Pricetype3=4),IF(J32=0,0,(EURO(J32,Strikeprice3,0,0,($AK32+IF(Smile=TRUE(),VLOOKUP(MAX(-5,Strikeprice3-J32),Volsmile,2),0)),($A32-DateToday)+15,IF(Pricetype3=1,1,0),0))),J32)))</f>
        <v>15.7950000762939</v>
      </c>
      <c r="T32" s="318" t="n">
        <f aca="false">IF($A32="N/A"," ",IF(Pricetype3=2,MAX(K32,0),IF(OR(Pricetype3=1,Pricetype3=4),IF(K32=0,0,(EURO(K32,Strikeprice3,0,0,($AK32+IF(Smile=TRUE(),VLOOKUP(MAX(-5,Strikeprice3-K32),Volsmile,2),0)),($A32-DateToday)+15,IF(Pricetype3=1,1,0),0))),K32)))</f>
        <v>0</v>
      </c>
      <c r="U32" s="319" t="e">
        <f aca="false">IF($A32="N/A"," ",Volume3*$AM32)</f>
        <v>#N/A</v>
      </c>
      <c r="V32" s="320" t="e">
        <f aca="false">IF($A32="N/A"," ",$U32*(8*($BQ32))*L32)</f>
        <v>#N/A</v>
      </c>
      <c r="W32" s="320" t="e">
        <f aca="false">IF($A32="N/A"," ",$U32*(8*($BQ32))*M32)</f>
        <v>#N/A</v>
      </c>
      <c r="X32" s="320" t="e">
        <f aca="false">IF($A32="N/A"," ",$U32*(8*($BQ32))*N32)</f>
        <v>#N/A</v>
      </c>
      <c r="Y32" s="320" t="e">
        <f aca="false">IF($A32="N/A"," ",$U32*(8*($BR32))*O32)</f>
        <v>#N/A</v>
      </c>
      <c r="Z32" s="320" t="e">
        <f aca="false">IF($A32="N/A"," ",$U32*(8*($BR32))*P32)</f>
        <v>#N/A</v>
      </c>
      <c r="AA32" s="320" t="e">
        <f aca="false">IF($A32="N/A"," ",$U32*(8*($BR32))*Q32)</f>
        <v>#N/A</v>
      </c>
      <c r="AB32" s="320" t="e">
        <f aca="false">IF($A32="N/A"," ",$U32*(8*($BS32))*R32)</f>
        <v>#N/A</v>
      </c>
      <c r="AC32" s="320" t="e">
        <f aca="false">IF($A32="N/A"," ",$U32*(8*($BS32))*S32)</f>
        <v>#N/A</v>
      </c>
      <c r="AD32" s="320" t="e">
        <f aca="false">IF($A32="N/A"," ",$U32*(8*($BS32))*T32)</f>
        <v>#N/A</v>
      </c>
      <c r="AE32" s="320" t="e">
        <f aca="false">IF($A32="N/A"," ",SUM(V32:AD32))</f>
        <v>#N/A</v>
      </c>
      <c r="AF32" s="321" t="n">
        <f aca="false">IF(A32="N/A"," ",(VLOOKUP(A32,PowerVolTable,(IF(VolBMO3=2,7,IF(VolBMO3=1,6,8))),FALSE())))</f>
        <v>0.16</v>
      </c>
      <c r="AG32" s="321" t="n">
        <f aca="false">IF(A32="N/A"," ",(VLOOKUP(A32,IntraPowerVol,(IF(VolBMO3=2,3,IF(VolBMO3=1,2,4))),FALSE())*VLOOKUP(MONTH($A32),Volscale,2)))</f>
        <v>0.36</v>
      </c>
      <c r="AH32" s="321" t="n">
        <f aca="false">IF($A32="N/A"," ",IF(VolType3=1,AG32,AF32))</f>
        <v>0.36</v>
      </c>
      <c r="AI32" s="321" t="n">
        <f aca="false">IF($A32="N/A"," ",(VLOOKUP($A32,OffPwrVolTable,(IF(VolBMO3=2,7,IF(VolBMO3=1,6,8))),FALSE())))</f>
        <v>0.08</v>
      </c>
      <c r="AJ32" s="321" t="n">
        <f aca="false">IF($A32="N/A"," ",(VLOOKUP($A32,OffPwrVolTable,(IF(VolBMO3=2,3,IF(VolBMO3=1,2,4))),FALSE())*VLOOKUP(MONTH($A32),Volscale,2)))</f>
        <v>0.216</v>
      </c>
      <c r="AK32" s="321" t="n">
        <f aca="false">IF($A32="N/A"," ",IF(VolType3=1,AJ32,AI32))</f>
        <v>0.216</v>
      </c>
      <c r="AL32" s="321" t="e">
        <f aca="false">IF($A32="N/A"," ",IF(PV=1,0,'Pricing Inputs3'!R65))</f>
        <v>#N/A</v>
      </c>
      <c r="AM32" s="323" t="e">
        <f aca="false">IF($A32="N/A"," ",(1+AL32/2)^(-2*((EOMONTH(A32,0)+20)-DateToday)/365.25))</f>
        <v>#N/A</v>
      </c>
      <c r="BQ32" s="0" t="n">
        <f aca="false">IF($A32="N/A"," ",(VLOOKUP($A32,NumberofDaysTable,2)))</f>
        <v>20</v>
      </c>
      <c r="BR32" s="0" t="n">
        <f aca="false">IF($A32="N/A"," ",(VLOOKUP($A32,NumberofDaysTable,3)))</f>
        <v>5</v>
      </c>
      <c r="BS32" s="0" t="n">
        <f aca="false">IF($A32="N/A"," ",(VLOOKUP($A32,NumberofDaysTable,4)))</f>
        <v>6</v>
      </c>
    </row>
    <row r="33" customFormat="false" ht="12.75" hidden="false" customHeight="false" outlineLevel="0" collapsed="false">
      <c r="A33" s="315" t="n">
        <f aca="false">IF(A32="N/A","N/A",IF(EDATE(A32,1)&gt;Inputs!$Q$5,"N/A",EDATE(A32,1)))</f>
        <v>38139</v>
      </c>
      <c r="B33" s="316" t="n">
        <f aca="false">IF(A33="N/A"," ",YEAR(A33))</f>
        <v>2004</v>
      </c>
      <c r="C33" s="317" t="n">
        <f aca="false">IF($A33="N/A"," ",IF(Dayrun3=10,0,IF(Scaler3=1,(VLOOKUP(A33,ScaledPrice3,4)),(VLOOKUP(A33,ScaledPrice3,2)))))</f>
        <v>42.6250038146973</v>
      </c>
      <c r="D33" s="317" t="n">
        <f aca="false">IF(A33="N/A"," ",IF(Dayrun3&gt;=7,0,IF(Scaler3=2,VLOOKUP(A33,ScaledPrice3,2),(VLOOKUP(A33,ScaledPrice3,2))*(2-(VLOOKUP(A33,ScaledPrice3,3))))))</f>
        <v>42.6250038146973</v>
      </c>
      <c r="E33" s="317" t="n">
        <f aca="false">IF($A33="N/A"," ",IF(AND(Dayrun3&gt;=4,Dayrun3&lt;=9),0,VLOOKUP($A33,ScaledPrice3,9)))</f>
        <v>0</v>
      </c>
      <c r="F33" s="317" t="n">
        <f aca="false">IF(A33="N/A"," ",IF(OR(Dayrun3=2,Dayrun3=3,Dayrun3=5,Dayrun3=6,Dayrun3=8,Dayrun3=9),VLOOKUP(A33,ScaledPrice3,IF(Scaler3=1,6,5)),0))</f>
        <v>29.2900009155273</v>
      </c>
      <c r="G33" s="317" t="n">
        <f aca="false">IF(A33="N/A"," ",IF(OR(Dayrun3=2,Dayrun3=3,Dayrun3=5,Dayrun3=6),IF(Scaler3=2,F33,(VLOOKUP(A33,ScaledPrice3,5))*(2-(VLOOKUP(A33,ScaledPrice3,3)))),0))</f>
        <v>29.2900009155273</v>
      </c>
      <c r="H33" s="317" t="n">
        <f aca="false">IF($A33="N/A"," ",IF(OR(Dayrun3=2,Dayrun3=3,Dayrun3=10),VLOOKUP($A33,ScaledPrice3,9),0))</f>
        <v>0</v>
      </c>
      <c r="I33" s="317" t="n">
        <f aca="false">IF(A33="N/A"," ",IF(OR(Dayrun3=3,Dayrun3=6,Dayrun3=9),(VLOOKUP(A33,ScaledPrice3,IF(Scaler3=2,7,8))),0))</f>
        <v>19.7900009155273</v>
      </c>
      <c r="J33" s="317" t="n">
        <f aca="false">IF(A33="N/A"," ",IF(OR(Dayrun3=3,Dayrun3=6),IF(Scaler3=2,I33,(VLOOKUP(A33,ScaledPrice3,7))*(2-(VLOOKUP(A33,ScaledPrice3,3)))),0))</f>
        <v>19.7900009155273</v>
      </c>
      <c r="K33" s="317" t="n">
        <f aca="false">IF($A33="N/A"," ",IF(OR(Dayrun3=3,Dayrun3=10),VLOOKUP($A33,ScaledPrice3,9),0))</f>
        <v>0</v>
      </c>
      <c r="L33" s="318" t="n">
        <f aca="false">IF($A33="N/A"," ",IF(Pricetype3=2,MAX(C33,0),IF(OR(Pricetype3=1,Pricetype3=4),IF(C33=0,0,(EURO(C33,Strikeprice3,0,0,($AH33+IF(Smile=TRUE(),VLOOKUP(MAX(-5,Strikeprice3-C33),Volsmile,2),0)),($A33-DateToday)+15,IF(Pricetype3=1,1,0),0))),C33)))</f>
        <v>42.6250038146973</v>
      </c>
      <c r="M33" s="318" t="n">
        <f aca="false">IF($A33="N/A"," ",IF(Pricetype3=2,MAX(D33,0),IF(OR(Pricetype3=1,Pricetype3=4),IF(D33=0,0,(EURO(D33,Strikeprice3,0,0,($AH33+IF(Smile=TRUE(),VLOOKUP(MAX(-5,Strikeprice3-D33),Volsmile,2),0)),($A33-DateToday)+15,IF(Pricetype3=1,1,0),0))),D33)))</f>
        <v>42.6250038146973</v>
      </c>
      <c r="N33" s="318" t="n">
        <f aca="false">IF($A33="N/A"," ",IF(Pricetype3=2,MAX(E33,0),IF(OR(Pricetype3=1,Pricetype3=4),IF(E33=0,0,(EURO(E33,Strikeprice3,0,0,($AK33+IF(Smile=TRUE(),VLOOKUP(MAX(-5,Strikeprice3-E33),Volsmile,2),0)),($A33-DateToday)+15,IF(Pricetype3=1,1,0),0))),E33)))</f>
        <v>0</v>
      </c>
      <c r="O33" s="318" t="n">
        <f aca="false">IF($A33="N/A"," ",IF(Pricetype3=2,MAX(F33,0),IF(OR(Pricetype3=1,Pricetype3=4),IF(F33=0,0,(EURO(F33,Strikeprice3,0,0,($AK33+IF(Smile=TRUE(),VLOOKUP(MAX(-5,Strikeprice3-F33),Volsmile,2),0)),($A33-DateToday)+15,IF(Pricetype3=1,1,0),0))),F33)))</f>
        <v>29.2900009155273</v>
      </c>
      <c r="P33" s="318" t="n">
        <f aca="false">IF($A33="N/A"," ",IF(Pricetype3=2,MAX(G33,0),IF(OR(Pricetype3=1,Pricetype3=4),IF(G33=0,0,(EURO(G33,Strikeprice3,0,0,($AK33+IF(Smile=TRUE(),VLOOKUP(MAX(-5,Strikeprice3-G33),Volsmile,2),0)),($A33-DateToday)+15,IF(Pricetype3=1,1,0),0))),G33)))</f>
        <v>29.2900009155273</v>
      </c>
      <c r="Q33" s="318" t="n">
        <f aca="false">IF($A33="N/A"," ",IF(Pricetype3=2,MAX(H33,0),IF(OR(Pricetype3=1,Pricetype3=4),IF(H33=0,0,(EURO(H33,Strikeprice3,0,0,($AK33+IF(Smile=TRUE(),VLOOKUP(MAX(-5,Strikeprice3-H33),Volsmile,2),0)),($A33-DateToday)+15,IF(Pricetype3=1,1,0),0))),H33)))</f>
        <v>0</v>
      </c>
      <c r="R33" s="318" t="n">
        <f aca="false">IF($A33="N/A"," ",IF(Pricetype3=2,MAX(I33,0),IF(OR(Pricetype3=1,Pricetype3=4),IF(I33=0,0,(EURO(I33,Strikeprice3,0,0,($AK33+IF(Smile=TRUE(),VLOOKUP(MAX(-5,Strikeprice3-I33),Volsmile,2),0)),($A33-DateToday)+15,IF(Pricetype3=1,1,0),0))),I33)))</f>
        <v>19.7900009155273</v>
      </c>
      <c r="S33" s="318" t="n">
        <f aca="false">IF($A33="N/A"," ",IF(Pricetype3=2,MAX(J33,0),IF(OR(Pricetype3=1,Pricetype3=4),IF(J33=0,0,(EURO(J33,Strikeprice3,0,0,($AK33+IF(Smile=TRUE(),VLOOKUP(MAX(-5,Strikeprice3-J33),Volsmile,2),0)),($A33-DateToday)+15,IF(Pricetype3=1,1,0),0))),J33)))</f>
        <v>19.7900009155273</v>
      </c>
      <c r="T33" s="318" t="n">
        <f aca="false">IF($A33="N/A"," ",IF(Pricetype3=2,MAX(K33,0),IF(OR(Pricetype3=1,Pricetype3=4),IF(K33=0,0,(EURO(K33,Strikeprice3,0,0,($AK33+IF(Smile=TRUE(),VLOOKUP(MAX(-5,Strikeprice3-K33),Volsmile,2),0)),($A33-DateToday)+15,IF(Pricetype3=1,1,0),0))),K33)))</f>
        <v>0</v>
      </c>
      <c r="U33" s="319" t="e">
        <f aca="false">IF($A33="N/A"," ",Volume3*$AM33)</f>
        <v>#N/A</v>
      </c>
      <c r="V33" s="320" t="e">
        <f aca="false">IF($A33="N/A"," ",$U33*(8*($BQ33))*L33)</f>
        <v>#N/A</v>
      </c>
      <c r="W33" s="320" t="e">
        <f aca="false">IF($A33="N/A"," ",$U33*(8*($BQ33))*M33)</f>
        <v>#N/A</v>
      </c>
      <c r="X33" s="320" t="e">
        <f aca="false">IF($A33="N/A"," ",$U33*(8*($BQ33))*N33)</f>
        <v>#N/A</v>
      </c>
      <c r="Y33" s="320" t="e">
        <f aca="false">IF($A33="N/A"," ",$U33*(8*($BR33))*O33)</f>
        <v>#N/A</v>
      </c>
      <c r="Z33" s="320" t="e">
        <f aca="false">IF($A33="N/A"," ",$U33*(8*($BR33))*P33)</f>
        <v>#N/A</v>
      </c>
      <c r="AA33" s="320" t="e">
        <f aca="false">IF($A33="N/A"," ",$U33*(8*($BR33))*Q33)</f>
        <v>#N/A</v>
      </c>
      <c r="AB33" s="320" t="e">
        <f aca="false">IF($A33="N/A"," ",$U33*(8*($BS33))*R33)</f>
        <v>#N/A</v>
      </c>
      <c r="AC33" s="320" t="e">
        <f aca="false">IF($A33="N/A"," ",$U33*(8*($BS33))*S33)</f>
        <v>#N/A</v>
      </c>
      <c r="AD33" s="320" t="e">
        <f aca="false">IF($A33="N/A"," ",$U33*(8*($BS33))*T33)</f>
        <v>#N/A</v>
      </c>
      <c r="AE33" s="320" t="e">
        <f aca="false">IF($A33="N/A"," ",SUM(V33:AD33))</f>
        <v>#N/A</v>
      </c>
      <c r="AF33" s="321" t="n">
        <f aca="false">IF(A33="N/A"," ",(VLOOKUP(A33,PowerVolTable,(IF(VolBMO3=2,7,IF(VolBMO3=1,6,8))),FALSE())))</f>
        <v>0.16</v>
      </c>
      <c r="AG33" s="321" t="n">
        <f aca="false">IF(A33="N/A"," ",(VLOOKUP(A33,IntraPowerVol,(IF(VolBMO3=2,3,IF(VolBMO3=1,2,4))),FALSE())*VLOOKUP(MONTH($A33),Volscale,2)))</f>
        <v>0.36</v>
      </c>
      <c r="AH33" s="321" t="n">
        <f aca="false">IF($A33="N/A"," ",IF(VolType3=1,AG33,AF33))</f>
        <v>0.36</v>
      </c>
      <c r="AI33" s="321" t="n">
        <f aca="false">IF($A33="N/A"," ",(VLOOKUP($A33,OffPwrVolTable,(IF(VolBMO3=2,7,IF(VolBMO3=1,6,8))),FALSE())))</f>
        <v>0.08</v>
      </c>
      <c r="AJ33" s="321" t="n">
        <f aca="false">IF($A33="N/A"," ",(VLOOKUP($A33,OffPwrVolTable,(IF(VolBMO3=2,3,IF(VolBMO3=1,2,4))),FALSE())*VLOOKUP(MONTH($A33),Volscale,2)))</f>
        <v>0.216</v>
      </c>
      <c r="AK33" s="321" t="n">
        <f aca="false">IF($A33="N/A"," ",IF(VolType3=1,AJ33,AI33))</f>
        <v>0.216</v>
      </c>
      <c r="AL33" s="321" t="e">
        <f aca="false">IF($A33="N/A"," ",IF(PV=1,0,'Pricing Inputs3'!R66))</f>
        <v>#N/A</v>
      </c>
      <c r="AM33" s="323" t="e">
        <f aca="false">IF($A33="N/A"," ",(1+AL33/2)^(-2*((EOMONTH(A33,0)+20)-DateToday)/365.25))</f>
        <v>#N/A</v>
      </c>
      <c r="BQ33" s="0" t="n">
        <f aca="false">IF($A33="N/A"," ",(VLOOKUP($A33,NumberofDaysTable,2)))</f>
        <v>22</v>
      </c>
      <c r="BR33" s="0" t="n">
        <f aca="false">IF($A33="N/A"," ",(VLOOKUP($A33,NumberofDaysTable,3)))</f>
        <v>4</v>
      </c>
      <c r="BS33" s="0" t="n">
        <f aca="false">IF($A33="N/A"," ",(VLOOKUP($A33,NumberofDaysTable,4)))</f>
        <v>4</v>
      </c>
    </row>
    <row r="34" customFormat="false" ht="12.75" hidden="false" customHeight="false" outlineLevel="0" collapsed="false">
      <c r="A34" s="315" t="n">
        <f aca="false">IF(A33="N/A","N/A",IF(EDATE(A33,1)&gt;Inputs!$Q$5,"N/A",EDATE(A33,1)))</f>
        <v>38169</v>
      </c>
      <c r="B34" s="316" t="n">
        <f aca="false">IF(A34="N/A"," ",YEAR(A34))</f>
        <v>2004</v>
      </c>
      <c r="C34" s="317" t="n">
        <f aca="false">IF($A34="N/A"," ",IF(Dayrun3=10,0,IF(Scaler3=1,(VLOOKUP(A34,ScaledPrice3,4)),(VLOOKUP(A34,ScaledPrice3,2)))))</f>
        <v>52.5</v>
      </c>
      <c r="D34" s="317" t="n">
        <f aca="false">IF(A34="N/A"," ",IF(Dayrun3&gt;=7,0,IF(Scaler3=2,VLOOKUP(A34,ScaledPrice3,2),(VLOOKUP(A34,ScaledPrice3,2))*(2-(VLOOKUP(A34,ScaledPrice3,3))))))</f>
        <v>52.5</v>
      </c>
      <c r="E34" s="317" t="n">
        <f aca="false">IF($A34="N/A"," ",IF(AND(Dayrun3&gt;=4,Dayrun3&lt;=9),0,VLOOKUP($A34,ScaledPrice3,9)))</f>
        <v>0</v>
      </c>
      <c r="F34" s="317" t="n">
        <f aca="false">IF(A34="N/A"," ",IF(OR(Dayrun3=2,Dayrun3=3,Dayrun3=5,Dayrun3=6,Dayrun3=8,Dayrun3=9),VLOOKUP(A34,ScaledPrice3,IF(Scaler3=1,6,5)),0))</f>
        <v>35.2900009155273</v>
      </c>
      <c r="G34" s="317" t="n">
        <f aca="false">IF(A34="N/A"," ",IF(OR(Dayrun3=2,Dayrun3=3,Dayrun3=5,Dayrun3=6),IF(Scaler3=2,F34,(VLOOKUP(A34,ScaledPrice3,5))*(2-(VLOOKUP(A34,ScaledPrice3,3)))),0))</f>
        <v>35.2900009155273</v>
      </c>
      <c r="H34" s="317" t="n">
        <f aca="false">IF($A34="N/A"," ",IF(OR(Dayrun3=2,Dayrun3=3,Dayrun3=10),VLOOKUP($A34,ScaledPrice3,9),0))</f>
        <v>0</v>
      </c>
      <c r="I34" s="317" t="n">
        <f aca="false">IF(A34="N/A"," ",IF(OR(Dayrun3=3,Dayrun3=6,Dayrun3=9),(VLOOKUP(A34,ScaledPrice3,IF(Scaler3=2,7,8))),0))</f>
        <v>25.7900009155273</v>
      </c>
      <c r="J34" s="317" t="n">
        <f aca="false">IF(A34="N/A"," ",IF(OR(Dayrun3=3,Dayrun3=6),IF(Scaler3=2,I34,(VLOOKUP(A34,ScaledPrice3,7))*(2-(VLOOKUP(A34,ScaledPrice3,3)))),0))</f>
        <v>25.7900009155273</v>
      </c>
      <c r="K34" s="317" t="n">
        <f aca="false">IF($A34="N/A"," ",IF(OR(Dayrun3=3,Dayrun3=10),VLOOKUP($A34,ScaledPrice3,9),0))</f>
        <v>0</v>
      </c>
      <c r="L34" s="318" t="n">
        <f aca="false">IF($A34="N/A"," ",IF(Pricetype3=2,MAX(C34,0),IF(OR(Pricetype3=1,Pricetype3=4),IF(C34=0,0,(EURO(C34,Strikeprice3,0,0,($AH34+IF(Smile=TRUE(),VLOOKUP(MAX(-5,Strikeprice3-C34),Volsmile,2),0)),($A34-DateToday)+15,IF(Pricetype3=1,1,0),0))),C34)))</f>
        <v>52.5</v>
      </c>
      <c r="M34" s="318" t="n">
        <f aca="false">IF($A34="N/A"," ",IF(Pricetype3=2,MAX(D34,0),IF(OR(Pricetype3=1,Pricetype3=4),IF(D34=0,0,(EURO(D34,Strikeprice3,0,0,($AH34+IF(Smile=TRUE(),VLOOKUP(MAX(-5,Strikeprice3-D34),Volsmile,2),0)),($A34-DateToday)+15,IF(Pricetype3=1,1,0),0))),D34)))</f>
        <v>52.5</v>
      </c>
      <c r="N34" s="318" t="n">
        <f aca="false">IF($A34="N/A"," ",IF(Pricetype3=2,MAX(E34,0),IF(OR(Pricetype3=1,Pricetype3=4),IF(E34=0,0,(EURO(E34,Strikeprice3,0,0,($AK34+IF(Smile=TRUE(),VLOOKUP(MAX(-5,Strikeprice3-E34),Volsmile,2),0)),($A34-DateToday)+15,IF(Pricetype3=1,1,0),0))),E34)))</f>
        <v>0</v>
      </c>
      <c r="O34" s="318" t="n">
        <f aca="false">IF($A34="N/A"," ",IF(Pricetype3=2,MAX(F34,0),IF(OR(Pricetype3=1,Pricetype3=4),IF(F34=0,0,(EURO(F34,Strikeprice3,0,0,($AK34+IF(Smile=TRUE(),VLOOKUP(MAX(-5,Strikeprice3-F34),Volsmile,2),0)),($A34-DateToday)+15,IF(Pricetype3=1,1,0),0))),F34)))</f>
        <v>35.2900009155273</v>
      </c>
      <c r="P34" s="318" t="n">
        <f aca="false">IF($A34="N/A"," ",IF(Pricetype3=2,MAX(G34,0),IF(OR(Pricetype3=1,Pricetype3=4),IF(G34=0,0,(EURO(G34,Strikeprice3,0,0,($AK34+IF(Smile=TRUE(),VLOOKUP(MAX(-5,Strikeprice3-G34),Volsmile,2),0)),($A34-DateToday)+15,IF(Pricetype3=1,1,0),0))),G34)))</f>
        <v>35.2900009155273</v>
      </c>
      <c r="Q34" s="318" t="n">
        <f aca="false">IF($A34="N/A"," ",IF(Pricetype3=2,MAX(H34,0),IF(OR(Pricetype3=1,Pricetype3=4),IF(H34=0,0,(EURO(H34,Strikeprice3,0,0,($AK34+IF(Smile=TRUE(),VLOOKUP(MAX(-5,Strikeprice3-H34),Volsmile,2),0)),($A34-DateToday)+15,IF(Pricetype3=1,1,0),0))),H34)))</f>
        <v>0</v>
      </c>
      <c r="R34" s="318" t="n">
        <f aca="false">IF($A34="N/A"," ",IF(Pricetype3=2,MAX(I34,0),IF(OR(Pricetype3=1,Pricetype3=4),IF(I34=0,0,(EURO(I34,Strikeprice3,0,0,($AK34+IF(Smile=TRUE(),VLOOKUP(MAX(-5,Strikeprice3-I34),Volsmile,2),0)),($A34-DateToday)+15,IF(Pricetype3=1,1,0),0))),I34)))</f>
        <v>25.7900009155273</v>
      </c>
      <c r="S34" s="318" t="n">
        <f aca="false">IF($A34="N/A"," ",IF(Pricetype3=2,MAX(J34,0),IF(OR(Pricetype3=1,Pricetype3=4),IF(J34=0,0,(EURO(J34,Strikeprice3,0,0,($AK34+IF(Smile=TRUE(),VLOOKUP(MAX(-5,Strikeprice3-J34),Volsmile,2),0)),($A34-DateToday)+15,IF(Pricetype3=1,1,0),0))),J34)))</f>
        <v>25.7900009155273</v>
      </c>
      <c r="T34" s="318" t="n">
        <f aca="false">IF($A34="N/A"," ",IF(Pricetype3=2,MAX(K34,0),IF(OR(Pricetype3=1,Pricetype3=4),IF(K34=0,0,(EURO(K34,Strikeprice3,0,0,($AK34+IF(Smile=TRUE(),VLOOKUP(MAX(-5,Strikeprice3-K34),Volsmile,2),0)),($A34-DateToday)+15,IF(Pricetype3=1,1,0),0))),K34)))</f>
        <v>0</v>
      </c>
      <c r="U34" s="319" t="e">
        <f aca="false">IF($A34="N/A"," ",Volume3*$AM34)</f>
        <v>#N/A</v>
      </c>
      <c r="V34" s="320" t="e">
        <f aca="false">IF($A34="N/A"," ",$U34*(8*($BQ34))*L34)</f>
        <v>#N/A</v>
      </c>
      <c r="W34" s="320" t="e">
        <f aca="false">IF($A34="N/A"," ",$U34*(8*($BQ34))*M34)</f>
        <v>#N/A</v>
      </c>
      <c r="X34" s="320" t="e">
        <f aca="false">IF($A34="N/A"," ",$U34*(8*($BQ34))*N34)</f>
        <v>#N/A</v>
      </c>
      <c r="Y34" s="320" t="e">
        <f aca="false">IF($A34="N/A"," ",$U34*(8*($BR34))*O34)</f>
        <v>#N/A</v>
      </c>
      <c r="Z34" s="320" t="e">
        <f aca="false">IF($A34="N/A"," ",$U34*(8*($BR34))*P34)</f>
        <v>#N/A</v>
      </c>
      <c r="AA34" s="320" t="e">
        <f aca="false">IF($A34="N/A"," ",$U34*(8*($BR34))*Q34)</f>
        <v>#N/A</v>
      </c>
      <c r="AB34" s="320" t="e">
        <f aca="false">IF($A34="N/A"," ",$U34*(8*($BS34))*R34)</f>
        <v>#N/A</v>
      </c>
      <c r="AC34" s="320" t="e">
        <f aca="false">IF($A34="N/A"," ",$U34*(8*($BS34))*S34)</f>
        <v>#N/A</v>
      </c>
      <c r="AD34" s="320" t="e">
        <f aca="false">IF($A34="N/A"," ",$U34*(8*($BS34))*T34)</f>
        <v>#N/A</v>
      </c>
      <c r="AE34" s="320" t="e">
        <f aca="false">IF($A34="N/A"," ",SUM(V34:AD34))</f>
        <v>#N/A</v>
      </c>
      <c r="AF34" s="321" t="n">
        <f aca="false">IF(A34="N/A"," ",(VLOOKUP(A34,PowerVolTable,(IF(VolBMO3=2,7,IF(VolBMO3=1,6,8))),FALSE())))</f>
        <v>0.24</v>
      </c>
      <c r="AG34" s="321" t="n">
        <f aca="false">IF(A34="N/A"," ",(VLOOKUP(A34,IntraPowerVol,(IF(VolBMO3=2,3,IF(VolBMO3=1,2,4))),FALSE())*VLOOKUP(MONTH($A34),Volscale,2)))</f>
        <v>0.48</v>
      </c>
      <c r="AH34" s="321" t="n">
        <f aca="false">IF($A34="N/A"," ",IF(VolType3=1,AG34,AF34))</f>
        <v>0.48</v>
      </c>
      <c r="AI34" s="321" t="n">
        <f aca="false">IF($A34="N/A"," ",(VLOOKUP($A34,OffPwrVolTable,(IF(VolBMO3=2,7,IF(VolBMO3=1,6,8))),FALSE())))</f>
        <v>0.12</v>
      </c>
      <c r="AJ34" s="321" t="n">
        <f aca="false">IF($A34="N/A"," ",(VLOOKUP($A34,OffPwrVolTable,(IF(VolBMO3=2,3,IF(VolBMO3=1,2,4))),FALSE())*VLOOKUP(MONTH($A34),Volscale,2)))</f>
        <v>0.288</v>
      </c>
      <c r="AK34" s="321" t="n">
        <f aca="false">IF($A34="N/A"," ",IF(VolType3=1,AJ34,AI34))</f>
        <v>0.288</v>
      </c>
      <c r="AL34" s="321" t="e">
        <f aca="false">IF($A34="N/A"," ",IF(PV=1,0,'Pricing Inputs3'!R67))</f>
        <v>#N/A</v>
      </c>
      <c r="AM34" s="323" t="e">
        <f aca="false">IF($A34="N/A"," ",(1+AL34/2)^(-2*((EOMONTH(A34,0)+20)-DateToday)/365.25))</f>
        <v>#N/A</v>
      </c>
      <c r="BQ34" s="0" t="n">
        <f aca="false">IF($A34="N/A"," ",(VLOOKUP($A34,NumberofDaysTable,2)))</f>
        <v>21</v>
      </c>
      <c r="BR34" s="0" t="n">
        <f aca="false">IF($A34="N/A"," ",(VLOOKUP($A34,NumberofDaysTable,3)))</f>
        <v>5</v>
      </c>
      <c r="BS34" s="0" t="n">
        <f aca="false">IF($A34="N/A"," ",(VLOOKUP($A34,NumberofDaysTable,4)))</f>
        <v>5</v>
      </c>
    </row>
    <row r="35" customFormat="false" ht="12.75" hidden="false" customHeight="false" outlineLevel="0" collapsed="false">
      <c r="A35" s="315" t="n">
        <f aca="false">IF(A34="N/A","N/A",IF(EDATE(A34,1)&gt;Inputs!$Q$5,"N/A",EDATE(A34,1)))</f>
        <v>38200</v>
      </c>
      <c r="B35" s="316" t="n">
        <f aca="false">IF(A35="N/A"," ",YEAR(A35))</f>
        <v>2004</v>
      </c>
      <c r="C35" s="317" t="n">
        <f aca="false">IF($A35="N/A"," ",IF(Dayrun3=10,0,IF(Scaler3=1,(VLOOKUP(A35,ScaledPrice3,4)),(VLOOKUP(A35,ScaledPrice3,2)))))</f>
        <v>52.5</v>
      </c>
      <c r="D35" s="317" t="n">
        <f aca="false">IF(A35="N/A"," ",IF(Dayrun3&gt;=7,0,IF(Scaler3=2,VLOOKUP(A35,ScaledPrice3,2),(VLOOKUP(A35,ScaledPrice3,2))*(2-(VLOOKUP(A35,ScaledPrice3,3))))))</f>
        <v>52.5</v>
      </c>
      <c r="E35" s="317" t="n">
        <f aca="false">IF($A35="N/A"," ",IF(AND(Dayrun3&gt;=4,Dayrun3&lt;=9),0,VLOOKUP($A35,ScaledPrice3,9)))</f>
        <v>0</v>
      </c>
      <c r="F35" s="317" t="n">
        <f aca="false">IF(A35="N/A"," ",IF(OR(Dayrun3=2,Dayrun3=3,Dayrun3=5,Dayrun3=6,Dayrun3=8,Dayrun3=9),VLOOKUP(A35,ScaledPrice3,IF(Scaler3=1,6,5)),0))</f>
        <v>33.2900047302246</v>
      </c>
      <c r="G35" s="317" t="n">
        <f aca="false">IF(A35="N/A"," ",IF(OR(Dayrun3=2,Dayrun3=3,Dayrun3=5,Dayrun3=6),IF(Scaler3=2,F35,(VLOOKUP(A35,ScaledPrice3,5))*(2-(VLOOKUP(A35,ScaledPrice3,3)))),0))</f>
        <v>33.2900047302246</v>
      </c>
      <c r="H35" s="317" t="n">
        <f aca="false">IF($A35="N/A"," ",IF(OR(Dayrun3=2,Dayrun3=3,Dayrun3=10),VLOOKUP($A35,ScaledPrice3,9),0))</f>
        <v>0</v>
      </c>
      <c r="I35" s="317" t="n">
        <f aca="false">IF(A35="N/A"," ",IF(OR(Dayrun3=3,Dayrun3=6,Dayrun3=9),(VLOOKUP(A35,ScaledPrice3,IF(Scaler3=2,7,8))),0))</f>
        <v>25.7900009155273</v>
      </c>
      <c r="J35" s="317" t="n">
        <f aca="false">IF(A35="N/A"," ",IF(OR(Dayrun3=3,Dayrun3=6),IF(Scaler3=2,I35,(VLOOKUP(A35,ScaledPrice3,7))*(2-(VLOOKUP(A35,ScaledPrice3,3)))),0))</f>
        <v>25.7900009155273</v>
      </c>
      <c r="K35" s="317" t="n">
        <f aca="false">IF($A35="N/A"," ",IF(OR(Dayrun3=3,Dayrun3=10),VLOOKUP($A35,ScaledPrice3,9),0))</f>
        <v>0</v>
      </c>
      <c r="L35" s="318" t="n">
        <f aca="false">IF($A35="N/A"," ",IF(Pricetype3=2,MAX(C35,0),IF(OR(Pricetype3=1,Pricetype3=4),IF(C35=0,0,(EURO(C35,Strikeprice3,0,0,($AH35+IF(Smile=TRUE(),VLOOKUP(MAX(-5,Strikeprice3-C35),Volsmile,2),0)),($A35-DateToday)+15,IF(Pricetype3=1,1,0),0))),C35)))</f>
        <v>52.5</v>
      </c>
      <c r="M35" s="318" t="n">
        <f aca="false">IF($A35="N/A"," ",IF(Pricetype3=2,MAX(D35,0),IF(OR(Pricetype3=1,Pricetype3=4),IF(D35=0,0,(EURO(D35,Strikeprice3,0,0,($AH35+IF(Smile=TRUE(),VLOOKUP(MAX(-5,Strikeprice3-D35),Volsmile,2),0)),($A35-DateToday)+15,IF(Pricetype3=1,1,0),0))),D35)))</f>
        <v>52.5</v>
      </c>
      <c r="N35" s="318" t="n">
        <f aca="false">IF($A35="N/A"," ",IF(Pricetype3=2,MAX(E35,0),IF(OR(Pricetype3=1,Pricetype3=4),IF(E35=0,0,(EURO(E35,Strikeprice3,0,0,($AK35+IF(Smile=TRUE(),VLOOKUP(MAX(-5,Strikeprice3-E35),Volsmile,2),0)),($A35-DateToday)+15,IF(Pricetype3=1,1,0),0))),E35)))</f>
        <v>0</v>
      </c>
      <c r="O35" s="318" t="n">
        <f aca="false">IF($A35="N/A"," ",IF(Pricetype3=2,MAX(F35,0),IF(OR(Pricetype3=1,Pricetype3=4),IF(F35=0,0,(EURO(F35,Strikeprice3,0,0,($AK35+IF(Smile=TRUE(),VLOOKUP(MAX(-5,Strikeprice3-F35),Volsmile,2),0)),($A35-DateToday)+15,IF(Pricetype3=1,1,0),0))),F35)))</f>
        <v>33.2900047302246</v>
      </c>
      <c r="P35" s="318" t="n">
        <f aca="false">IF($A35="N/A"," ",IF(Pricetype3=2,MAX(G35,0),IF(OR(Pricetype3=1,Pricetype3=4),IF(G35=0,0,(EURO(G35,Strikeprice3,0,0,($AK35+IF(Smile=TRUE(),VLOOKUP(MAX(-5,Strikeprice3-G35),Volsmile,2),0)),($A35-DateToday)+15,IF(Pricetype3=1,1,0),0))),G35)))</f>
        <v>33.2900047302246</v>
      </c>
      <c r="Q35" s="318" t="n">
        <f aca="false">IF($A35="N/A"," ",IF(Pricetype3=2,MAX(H35,0),IF(OR(Pricetype3=1,Pricetype3=4),IF(H35=0,0,(EURO(H35,Strikeprice3,0,0,($AK35+IF(Smile=TRUE(),VLOOKUP(MAX(-5,Strikeprice3-H35),Volsmile,2),0)),($A35-DateToday)+15,IF(Pricetype3=1,1,0),0))),H35)))</f>
        <v>0</v>
      </c>
      <c r="R35" s="318" t="n">
        <f aca="false">IF($A35="N/A"," ",IF(Pricetype3=2,MAX(I35,0),IF(OR(Pricetype3=1,Pricetype3=4),IF(I35=0,0,(EURO(I35,Strikeprice3,0,0,($AK35+IF(Smile=TRUE(),VLOOKUP(MAX(-5,Strikeprice3-I35),Volsmile,2),0)),($A35-DateToday)+15,IF(Pricetype3=1,1,0),0))),I35)))</f>
        <v>25.7900009155273</v>
      </c>
      <c r="S35" s="318" t="n">
        <f aca="false">IF($A35="N/A"," ",IF(Pricetype3=2,MAX(J35,0),IF(OR(Pricetype3=1,Pricetype3=4),IF(J35=0,0,(EURO(J35,Strikeprice3,0,0,($AK35+IF(Smile=TRUE(),VLOOKUP(MAX(-5,Strikeprice3-J35),Volsmile,2),0)),($A35-DateToday)+15,IF(Pricetype3=1,1,0),0))),J35)))</f>
        <v>25.7900009155273</v>
      </c>
      <c r="T35" s="318" t="n">
        <f aca="false">IF($A35="N/A"," ",IF(Pricetype3=2,MAX(K35,0),IF(OR(Pricetype3=1,Pricetype3=4),IF(K35=0,0,(EURO(K35,Strikeprice3,0,0,($AK35+IF(Smile=TRUE(),VLOOKUP(MAX(-5,Strikeprice3-K35),Volsmile,2),0)),($A35-DateToday)+15,IF(Pricetype3=1,1,0),0))),K35)))</f>
        <v>0</v>
      </c>
      <c r="U35" s="319" t="e">
        <f aca="false">IF($A35="N/A"," ",Volume3*$AM35)</f>
        <v>#N/A</v>
      </c>
      <c r="V35" s="320" t="e">
        <f aca="false">IF($A35="N/A"," ",$U35*(8*($BQ35))*L35)</f>
        <v>#N/A</v>
      </c>
      <c r="W35" s="320" t="e">
        <f aca="false">IF($A35="N/A"," ",$U35*(8*($BQ35))*M35)</f>
        <v>#N/A</v>
      </c>
      <c r="X35" s="320" t="e">
        <f aca="false">IF($A35="N/A"," ",$U35*(8*($BQ35))*N35)</f>
        <v>#N/A</v>
      </c>
      <c r="Y35" s="320" t="e">
        <f aca="false">IF($A35="N/A"," ",$U35*(8*($BR35))*O35)</f>
        <v>#N/A</v>
      </c>
      <c r="Z35" s="320" t="e">
        <f aca="false">IF($A35="N/A"," ",$U35*(8*($BR35))*P35)</f>
        <v>#N/A</v>
      </c>
      <c r="AA35" s="320" t="e">
        <f aca="false">IF($A35="N/A"," ",$U35*(8*($BR35))*Q35)</f>
        <v>#N/A</v>
      </c>
      <c r="AB35" s="320" t="e">
        <f aca="false">IF($A35="N/A"," ",$U35*(8*($BS35))*R35)</f>
        <v>#N/A</v>
      </c>
      <c r="AC35" s="320" t="e">
        <f aca="false">IF($A35="N/A"," ",$U35*(8*($BS35))*S35)</f>
        <v>#N/A</v>
      </c>
      <c r="AD35" s="320" t="e">
        <f aca="false">IF($A35="N/A"," ",$U35*(8*($BS35))*T35)</f>
        <v>#N/A</v>
      </c>
      <c r="AE35" s="320" t="e">
        <f aca="false">IF($A35="N/A"," ",SUM(V35:AD35))</f>
        <v>#N/A</v>
      </c>
      <c r="AF35" s="321" t="n">
        <f aca="false">IF(A35="N/A"," ",(VLOOKUP(A35,PowerVolTable,(IF(VolBMO3=2,7,IF(VolBMO3=1,6,8))),FALSE())))</f>
        <v>0.24</v>
      </c>
      <c r="AG35" s="321" t="n">
        <f aca="false">IF(A35="N/A"," ",(VLOOKUP(A35,IntraPowerVol,(IF(VolBMO3=2,3,IF(VolBMO3=1,2,4))),FALSE())*VLOOKUP(MONTH($A35),Volscale,2)))</f>
        <v>0.48</v>
      </c>
      <c r="AH35" s="321" t="n">
        <f aca="false">IF($A35="N/A"," ",IF(VolType3=1,AG35,AF35))</f>
        <v>0.48</v>
      </c>
      <c r="AI35" s="321" t="n">
        <f aca="false">IF($A35="N/A"," ",(VLOOKUP($A35,OffPwrVolTable,(IF(VolBMO3=2,7,IF(VolBMO3=1,6,8))),FALSE())))</f>
        <v>0.12</v>
      </c>
      <c r="AJ35" s="321" t="n">
        <f aca="false">IF($A35="N/A"," ",(VLOOKUP($A35,OffPwrVolTable,(IF(VolBMO3=2,3,IF(VolBMO3=1,2,4))),FALSE())*VLOOKUP(MONTH($A35),Volscale,2)))</f>
        <v>0.288</v>
      </c>
      <c r="AK35" s="321" t="n">
        <f aca="false">IF($A35="N/A"," ",IF(VolType3=1,AJ35,AI35))</f>
        <v>0.288</v>
      </c>
      <c r="AL35" s="321" t="e">
        <f aca="false">IF($A35="N/A"," ",IF(PV=1,0,'Pricing Inputs3'!R68))</f>
        <v>#N/A</v>
      </c>
      <c r="AM35" s="323" t="e">
        <f aca="false">IF($A35="N/A"," ",(1+AL35/2)^(-2*((EOMONTH(A35,0)+20)-DateToday)/365.25))</f>
        <v>#N/A</v>
      </c>
      <c r="BQ35" s="0" t="n">
        <f aca="false">IF($A35="N/A"," ",(VLOOKUP($A35,NumberofDaysTable,2)))</f>
        <v>22</v>
      </c>
      <c r="BR35" s="0" t="n">
        <f aca="false">IF($A35="N/A"," ",(VLOOKUP($A35,NumberofDaysTable,3)))</f>
        <v>4</v>
      </c>
      <c r="BS35" s="0" t="n">
        <f aca="false">IF($A35="N/A"," ",(VLOOKUP($A35,NumberofDaysTable,4)))</f>
        <v>5</v>
      </c>
    </row>
    <row r="36" customFormat="false" ht="12.75" hidden="false" customHeight="false" outlineLevel="0" collapsed="false">
      <c r="A36" s="315" t="n">
        <f aca="false">IF(A35="N/A","N/A",IF(EDATE(A35,1)&gt;Inputs!$Q$5,"N/A",EDATE(A35,1)))</f>
        <v>38231</v>
      </c>
      <c r="B36" s="316" t="n">
        <f aca="false">IF(A36="N/A"," ",YEAR(A36))</f>
        <v>2004</v>
      </c>
      <c r="C36" s="317" t="n">
        <f aca="false">IF($A36="N/A"," ",IF(Dayrun3=10,0,IF(Scaler3=1,(VLOOKUP(A36,ScaledPrice3,4)),(VLOOKUP(A36,ScaledPrice3,2)))))</f>
        <v>30.3000011444092</v>
      </c>
      <c r="D36" s="317" t="n">
        <f aca="false">IF(A36="N/A"," ",IF(Dayrun3&gt;=7,0,IF(Scaler3=2,VLOOKUP(A36,ScaledPrice3,2),(VLOOKUP(A36,ScaledPrice3,2))*(2-(VLOOKUP(A36,ScaledPrice3,3))))))</f>
        <v>30.3000011444092</v>
      </c>
      <c r="E36" s="317" t="n">
        <f aca="false">IF($A36="N/A"," ",IF(AND(Dayrun3&gt;=4,Dayrun3&lt;=9),0,VLOOKUP($A36,ScaledPrice3,9)))</f>
        <v>0</v>
      </c>
      <c r="F36" s="317" t="n">
        <f aca="false">IF(A36="N/A"," ",IF(OR(Dayrun3=2,Dayrun3=3,Dayrun3=5,Dayrun3=6,Dayrun3=8,Dayrun3=9),VLOOKUP(A36,ScaledPrice3,IF(Scaler3=1,6,5)),0))</f>
        <v>25.2900009155273</v>
      </c>
      <c r="G36" s="317" t="n">
        <f aca="false">IF(A36="N/A"," ",IF(OR(Dayrun3=2,Dayrun3=3,Dayrun3=5,Dayrun3=6),IF(Scaler3=2,F36,(VLOOKUP(A36,ScaledPrice3,5))*(2-(VLOOKUP(A36,ScaledPrice3,3)))),0))</f>
        <v>25.2900009155273</v>
      </c>
      <c r="H36" s="317" t="n">
        <f aca="false">IF($A36="N/A"," ",IF(OR(Dayrun3=2,Dayrun3=3,Dayrun3=10),VLOOKUP($A36,ScaledPrice3,9),0))</f>
        <v>0</v>
      </c>
      <c r="I36" s="317" t="n">
        <f aca="false">IF(A36="N/A"," ",IF(OR(Dayrun3=3,Dayrun3=6,Dayrun3=9),(VLOOKUP(A36,ScaledPrice3,IF(Scaler3=2,7,8))),0))</f>
        <v>19.7900009155273</v>
      </c>
      <c r="J36" s="317" t="n">
        <f aca="false">IF(A36="N/A"," ",IF(OR(Dayrun3=3,Dayrun3=6),IF(Scaler3=2,I36,(VLOOKUP(A36,ScaledPrice3,7))*(2-(VLOOKUP(A36,ScaledPrice3,3)))),0))</f>
        <v>19.7900009155273</v>
      </c>
      <c r="K36" s="317" t="n">
        <f aca="false">IF($A36="N/A"," ",IF(OR(Dayrun3=3,Dayrun3=10),VLOOKUP($A36,ScaledPrice3,9),0))</f>
        <v>0</v>
      </c>
      <c r="L36" s="318" t="n">
        <f aca="false">IF($A36="N/A"," ",IF(Pricetype3=2,MAX(C36,0),IF(OR(Pricetype3=1,Pricetype3=4),IF(C36=0,0,(EURO(C36,Strikeprice3,0,0,($AH36+IF(Smile=TRUE(),VLOOKUP(MAX(-5,Strikeprice3-C36),Volsmile,2),0)),($A36-DateToday)+15,IF(Pricetype3=1,1,0),0))),C36)))</f>
        <v>30.3000011444092</v>
      </c>
      <c r="M36" s="318" t="n">
        <f aca="false">IF($A36="N/A"," ",IF(Pricetype3=2,MAX(D36,0),IF(OR(Pricetype3=1,Pricetype3=4),IF(D36=0,0,(EURO(D36,Strikeprice3,0,0,($AH36+IF(Smile=TRUE(),VLOOKUP(MAX(-5,Strikeprice3-D36),Volsmile,2),0)),($A36-DateToday)+15,IF(Pricetype3=1,1,0),0))),D36)))</f>
        <v>30.3000011444092</v>
      </c>
      <c r="N36" s="318" t="n">
        <f aca="false">IF($A36="N/A"," ",IF(Pricetype3=2,MAX(E36,0),IF(OR(Pricetype3=1,Pricetype3=4),IF(E36=0,0,(EURO(E36,Strikeprice3,0,0,($AK36+IF(Smile=TRUE(),VLOOKUP(MAX(-5,Strikeprice3-E36),Volsmile,2),0)),($A36-DateToday)+15,IF(Pricetype3=1,1,0),0))),E36)))</f>
        <v>0</v>
      </c>
      <c r="O36" s="318" t="n">
        <f aca="false">IF($A36="N/A"," ",IF(Pricetype3=2,MAX(F36,0),IF(OR(Pricetype3=1,Pricetype3=4),IF(F36=0,0,(EURO(F36,Strikeprice3,0,0,($AK36+IF(Smile=TRUE(),VLOOKUP(MAX(-5,Strikeprice3-F36),Volsmile,2),0)),($A36-DateToday)+15,IF(Pricetype3=1,1,0),0))),F36)))</f>
        <v>25.2900009155273</v>
      </c>
      <c r="P36" s="318" t="n">
        <f aca="false">IF($A36="N/A"," ",IF(Pricetype3=2,MAX(G36,0),IF(OR(Pricetype3=1,Pricetype3=4),IF(G36=0,0,(EURO(G36,Strikeprice3,0,0,($AK36+IF(Smile=TRUE(),VLOOKUP(MAX(-5,Strikeprice3-G36),Volsmile,2),0)),($A36-DateToday)+15,IF(Pricetype3=1,1,0),0))),G36)))</f>
        <v>25.2900009155273</v>
      </c>
      <c r="Q36" s="318" t="n">
        <f aca="false">IF($A36="N/A"," ",IF(Pricetype3=2,MAX(H36,0),IF(OR(Pricetype3=1,Pricetype3=4),IF(H36=0,0,(EURO(H36,Strikeprice3,0,0,($AK36+IF(Smile=TRUE(),VLOOKUP(MAX(-5,Strikeprice3-H36),Volsmile,2),0)),($A36-DateToday)+15,IF(Pricetype3=1,1,0),0))),H36)))</f>
        <v>0</v>
      </c>
      <c r="R36" s="318" t="n">
        <f aca="false">IF($A36="N/A"," ",IF(Pricetype3=2,MAX(I36,0),IF(OR(Pricetype3=1,Pricetype3=4),IF(I36=0,0,(EURO(I36,Strikeprice3,0,0,($AK36+IF(Smile=TRUE(),VLOOKUP(MAX(-5,Strikeprice3-I36),Volsmile,2),0)),($A36-DateToday)+15,IF(Pricetype3=1,1,0),0))),I36)))</f>
        <v>19.7900009155273</v>
      </c>
      <c r="S36" s="318" t="n">
        <f aca="false">IF($A36="N/A"," ",IF(Pricetype3=2,MAX(J36,0),IF(OR(Pricetype3=1,Pricetype3=4),IF(J36=0,0,(EURO(J36,Strikeprice3,0,0,($AK36+IF(Smile=TRUE(),VLOOKUP(MAX(-5,Strikeprice3-J36),Volsmile,2),0)),($A36-DateToday)+15,IF(Pricetype3=1,1,0),0))),J36)))</f>
        <v>19.7900009155273</v>
      </c>
      <c r="T36" s="318" t="n">
        <f aca="false">IF($A36="N/A"," ",IF(Pricetype3=2,MAX(K36,0),IF(OR(Pricetype3=1,Pricetype3=4),IF(K36=0,0,(EURO(K36,Strikeprice3,0,0,($AK36+IF(Smile=TRUE(),VLOOKUP(MAX(-5,Strikeprice3-K36),Volsmile,2),0)),($A36-DateToday)+15,IF(Pricetype3=1,1,0),0))),K36)))</f>
        <v>0</v>
      </c>
      <c r="U36" s="319" t="e">
        <f aca="false">IF($A36="N/A"," ",Volume3*$AM36)</f>
        <v>#N/A</v>
      </c>
      <c r="V36" s="320" t="e">
        <f aca="false">IF($A36="N/A"," ",$U36*(8*($BQ36))*L36)</f>
        <v>#N/A</v>
      </c>
      <c r="W36" s="320" t="e">
        <f aca="false">IF($A36="N/A"," ",$U36*(8*($BQ36))*M36)</f>
        <v>#N/A</v>
      </c>
      <c r="X36" s="320" t="e">
        <f aca="false">IF($A36="N/A"," ",$U36*(8*($BQ36))*N36)</f>
        <v>#N/A</v>
      </c>
      <c r="Y36" s="320" t="e">
        <f aca="false">IF($A36="N/A"," ",$U36*(8*($BR36))*O36)</f>
        <v>#N/A</v>
      </c>
      <c r="Z36" s="320" t="e">
        <f aca="false">IF($A36="N/A"," ",$U36*(8*($BR36))*P36)</f>
        <v>#N/A</v>
      </c>
      <c r="AA36" s="320" t="e">
        <f aca="false">IF($A36="N/A"," ",$U36*(8*($BR36))*Q36)</f>
        <v>#N/A</v>
      </c>
      <c r="AB36" s="320" t="e">
        <f aca="false">IF($A36="N/A"," ",$U36*(8*($BS36))*R36)</f>
        <v>#N/A</v>
      </c>
      <c r="AC36" s="320" t="e">
        <f aca="false">IF($A36="N/A"," ",$U36*(8*($BS36))*S36)</f>
        <v>#N/A</v>
      </c>
      <c r="AD36" s="320" t="e">
        <f aca="false">IF($A36="N/A"," ",$U36*(8*($BS36))*T36)</f>
        <v>#N/A</v>
      </c>
      <c r="AE36" s="320" t="e">
        <f aca="false">IF($A36="N/A"," ",SUM(V36:AD36))</f>
        <v>#N/A</v>
      </c>
      <c r="AF36" s="321" t="n">
        <f aca="false">IF(A36="N/A"," ",(VLOOKUP(A36,PowerVolTable,(IF(VolBMO3=2,7,IF(VolBMO3=1,6,8))),FALSE())))</f>
        <v>0.16</v>
      </c>
      <c r="AG36" s="321" t="n">
        <f aca="false">IF(A36="N/A"," ",(VLOOKUP(A36,IntraPowerVol,(IF(VolBMO3=2,3,IF(VolBMO3=1,2,4))),FALSE())*VLOOKUP(MONTH($A36),Volscale,2)))</f>
        <v>0.32</v>
      </c>
      <c r="AH36" s="321" t="n">
        <f aca="false">IF($A36="N/A"," ",IF(VolType3=1,AG36,AF36))</f>
        <v>0.32</v>
      </c>
      <c r="AI36" s="321" t="n">
        <f aca="false">IF($A36="N/A"," ",(VLOOKUP($A36,OffPwrVolTable,(IF(VolBMO3=2,7,IF(VolBMO3=1,6,8))),FALSE())))</f>
        <v>0.08</v>
      </c>
      <c r="AJ36" s="321" t="n">
        <f aca="false">IF($A36="N/A"," ",(VLOOKUP($A36,OffPwrVolTable,(IF(VolBMO3=2,3,IF(VolBMO3=1,2,4))),FALSE())*VLOOKUP(MONTH($A36),Volscale,2)))</f>
        <v>0.192</v>
      </c>
      <c r="AK36" s="321" t="n">
        <f aca="false">IF($A36="N/A"," ",IF(VolType3=1,AJ36,AI36))</f>
        <v>0.192</v>
      </c>
      <c r="AL36" s="321" t="e">
        <f aca="false">IF($A36="N/A"," ",IF(PV=1,0,'Pricing Inputs3'!R69))</f>
        <v>#N/A</v>
      </c>
      <c r="AM36" s="323" t="e">
        <f aca="false">IF($A36="N/A"," ",(1+AL36/2)^(-2*((EOMONTH(A36,0)+20)-DateToday)/365.25))</f>
        <v>#N/A</v>
      </c>
      <c r="BQ36" s="0" t="n">
        <f aca="false">IF($A36="N/A"," ",(VLOOKUP($A36,NumberofDaysTable,2)))</f>
        <v>21</v>
      </c>
      <c r="BR36" s="0" t="n">
        <f aca="false">IF($A36="N/A"," ",(VLOOKUP($A36,NumberofDaysTable,3)))</f>
        <v>4</v>
      </c>
      <c r="BS36" s="0" t="n">
        <f aca="false">IF($A36="N/A"," ",(VLOOKUP($A36,NumberofDaysTable,4)))</f>
        <v>5</v>
      </c>
    </row>
    <row r="37" customFormat="false" ht="12.75" hidden="false" customHeight="false" outlineLevel="0" collapsed="false">
      <c r="A37" s="315" t="n">
        <f aca="false">IF(A36="N/A","N/A",IF(EDATE(A36,1)&gt;Inputs!$Q$5,"N/A",EDATE(A36,1)))</f>
        <v>38261</v>
      </c>
      <c r="B37" s="316" t="n">
        <f aca="false">IF(A37="N/A"," ",YEAR(A37))</f>
        <v>2004</v>
      </c>
      <c r="C37" s="317" t="n">
        <f aca="false">IF($A37="N/A"," ",IF(Dayrun3=10,0,IF(Scaler3=1,(VLOOKUP(A37,ScaledPrice3,4)),(VLOOKUP(A37,ScaledPrice3,2)))))</f>
        <v>30.9515632390976</v>
      </c>
      <c r="D37" s="317" t="n">
        <f aca="false">IF(A37="N/A"," ",IF(Dayrun3&gt;=7,0,IF(Scaler3=2,VLOOKUP(A37,ScaledPrice3,2),(VLOOKUP(A37,ScaledPrice3,2))*(2-(VLOOKUP(A37,ScaledPrice3,3))))))</f>
        <v>30.9515632390976</v>
      </c>
      <c r="E37" s="317" t="n">
        <f aca="false">IF($A37="N/A"," ",IF(AND(Dayrun3&gt;=4,Dayrun3&lt;=9),0,VLOOKUP($A37,ScaledPrice3,9)))</f>
        <v>0</v>
      </c>
      <c r="F37" s="317" t="n">
        <f aca="false">IF(A37="N/A"," ",IF(OR(Dayrun3=2,Dayrun3=3,Dayrun3=5,Dayrun3=6,Dayrun3=8,Dayrun3=9),VLOOKUP(A37,ScaledPrice3,IF(Scaler3=1,6,5)),0))</f>
        <v>20.2860012054443</v>
      </c>
      <c r="G37" s="317" t="n">
        <f aca="false">IF(A37="N/A"," ",IF(OR(Dayrun3=2,Dayrun3=3,Dayrun3=5,Dayrun3=6),IF(Scaler3=2,F37,(VLOOKUP(A37,ScaledPrice3,5))*(2-(VLOOKUP(A37,ScaledPrice3,3)))),0))</f>
        <v>20.2860012054443</v>
      </c>
      <c r="H37" s="317" t="n">
        <f aca="false">IF($A37="N/A"," ",IF(OR(Dayrun3=2,Dayrun3=3,Dayrun3=10),VLOOKUP($A37,ScaledPrice3,9),0))</f>
        <v>0</v>
      </c>
      <c r="I37" s="317" t="n">
        <f aca="false">IF(A37="N/A"," ",IF(OR(Dayrun3=3,Dayrun3=6,Dayrun3=9),(VLOOKUP(A37,ScaledPrice3,IF(Scaler3=2,7,8))),0))</f>
        <v>14.7865009307861</v>
      </c>
      <c r="J37" s="317" t="n">
        <f aca="false">IF(A37="N/A"," ",IF(OR(Dayrun3=3,Dayrun3=6),IF(Scaler3=2,I37,(VLOOKUP(A37,ScaledPrice3,7))*(2-(VLOOKUP(A37,ScaledPrice3,3)))),0))</f>
        <v>14.7865009307861</v>
      </c>
      <c r="K37" s="317" t="n">
        <f aca="false">IF($A37="N/A"," ",IF(OR(Dayrun3=3,Dayrun3=10),VLOOKUP($A37,ScaledPrice3,9),0))</f>
        <v>0</v>
      </c>
      <c r="L37" s="318" t="n">
        <f aca="false">IF($A37="N/A"," ",IF(Pricetype3=2,MAX(C37,0),IF(OR(Pricetype3=1,Pricetype3=4),IF(C37=0,0,(EURO(C37,Strikeprice3,0,0,($AH37+IF(Smile=TRUE(),VLOOKUP(MAX(-5,Strikeprice3-C37),Volsmile,2),0)),($A37-DateToday)+15,IF(Pricetype3=1,1,0),0))),C37)))</f>
        <v>30.9515632390976</v>
      </c>
      <c r="M37" s="318" t="n">
        <f aca="false">IF($A37="N/A"," ",IF(Pricetype3=2,MAX(D37,0),IF(OR(Pricetype3=1,Pricetype3=4),IF(D37=0,0,(EURO(D37,Strikeprice3,0,0,($AH37+IF(Smile=TRUE(),VLOOKUP(MAX(-5,Strikeprice3-D37),Volsmile,2),0)),($A37-DateToday)+15,IF(Pricetype3=1,1,0),0))),D37)))</f>
        <v>30.9515632390976</v>
      </c>
      <c r="N37" s="318" t="n">
        <f aca="false">IF($A37="N/A"," ",IF(Pricetype3=2,MAX(E37,0),IF(OR(Pricetype3=1,Pricetype3=4),IF(E37=0,0,(EURO(E37,Strikeprice3,0,0,($AK37+IF(Smile=TRUE(),VLOOKUP(MAX(-5,Strikeprice3-E37),Volsmile,2),0)),($A37-DateToday)+15,IF(Pricetype3=1,1,0),0))),E37)))</f>
        <v>0</v>
      </c>
      <c r="O37" s="318" t="n">
        <f aca="false">IF($A37="N/A"," ",IF(Pricetype3=2,MAX(F37,0),IF(OR(Pricetype3=1,Pricetype3=4),IF(F37=0,0,(EURO(F37,Strikeprice3,0,0,($AK37+IF(Smile=TRUE(),VLOOKUP(MAX(-5,Strikeprice3-F37),Volsmile,2),0)),($A37-DateToday)+15,IF(Pricetype3=1,1,0),0))),F37)))</f>
        <v>20.2860012054443</v>
      </c>
      <c r="P37" s="318" t="n">
        <f aca="false">IF($A37="N/A"," ",IF(Pricetype3=2,MAX(G37,0),IF(OR(Pricetype3=1,Pricetype3=4),IF(G37=0,0,(EURO(G37,Strikeprice3,0,0,($AK37+IF(Smile=TRUE(),VLOOKUP(MAX(-5,Strikeprice3-G37),Volsmile,2),0)),($A37-DateToday)+15,IF(Pricetype3=1,1,0),0))),G37)))</f>
        <v>20.2860012054443</v>
      </c>
      <c r="Q37" s="318" t="n">
        <f aca="false">IF($A37="N/A"," ",IF(Pricetype3=2,MAX(H37,0),IF(OR(Pricetype3=1,Pricetype3=4),IF(H37=0,0,(EURO(H37,Strikeprice3,0,0,($AK37+IF(Smile=TRUE(),VLOOKUP(MAX(-5,Strikeprice3-H37),Volsmile,2),0)),($A37-DateToday)+15,IF(Pricetype3=1,1,0),0))),H37)))</f>
        <v>0</v>
      </c>
      <c r="R37" s="318" t="n">
        <f aca="false">IF($A37="N/A"," ",IF(Pricetype3=2,MAX(I37,0),IF(OR(Pricetype3=1,Pricetype3=4),IF(I37=0,0,(EURO(I37,Strikeprice3,0,0,($AK37+IF(Smile=TRUE(),VLOOKUP(MAX(-5,Strikeprice3-I37),Volsmile,2),0)),($A37-DateToday)+15,IF(Pricetype3=1,1,0),0))),I37)))</f>
        <v>14.7865009307861</v>
      </c>
      <c r="S37" s="318" t="n">
        <f aca="false">IF($A37="N/A"," ",IF(Pricetype3=2,MAX(J37,0),IF(OR(Pricetype3=1,Pricetype3=4),IF(J37=0,0,(EURO(J37,Strikeprice3,0,0,($AK37+IF(Smile=TRUE(),VLOOKUP(MAX(-5,Strikeprice3-J37),Volsmile,2),0)),($A37-DateToday)+15,IF(Pricetype3=1,1,0),0))),J37)))</f>
        <v>14.7865009307861</v>
      </c>
      <c r="T37" s="318" t="n">
        <f aca="false">IF($A37="N/A"," ",IF(Pricetype3=2,MAX(K37,0),IF(OR(Pricetype3=1,Pricetype3=4),IF(K37=0,0,(EURO(K37,Strikeprice3,0,0,($AK37+IF(Smile=TRUE(),VLOOKUP(MAX(-5,Strikeprice3-K37),Volsmile,2),0)),($A37-DateToday)+15,IF(Pricetype3=1,1,0),0))),K37)))</f>
        <v>0</v>
      </c>
      <c r="U37" s="319" t="e">
        <f aca="false">IF($A37="N/A"," ",Volume3*$AM37)</f>
        <v>#N/A</v>
      </c>
      <c r="V37" s="320" t="e">
        <f aca="false">IF($A37="N/A"," ",$U37*(8*($BQ37))*L37)</f>
        <v>#N/A</v>
      </c>
      <c r="W37" s="320" t="e">
        <f aca="false">IF($A37="N/A"," ",$U37*(8*($BQ37))*M37)</f>
        <v>#N/A</v>
      </c>
      <c r="X37" s="320" t="e">
        <f aca="false">IF($A37="N/A"," ",$U37*(8*($BQ37))*N37)</f>
        <v>#N/A</v>
      </c>
      <c r="Y37" s="320" t="e">
        <f aca="false">IF($A37="N/A"," ",$U37*(8*($BR37))*O37)</f>
        <v>#N/A</v>
      </c>
      <c r="Z37" s="320" t="e">
        <f aca="false">IF($A37="N/A"," ",$U37*(8*($BR37))*P37)</f>
        <v>#N/A</v>
      </c>
      <c r="AA37" s="320" t="e">
        <f aca="false">IF($A37="N/A"," ",$U37*(8*($BR37))*Q37)</f>
        <v>#N/A</v>
      </c>
      <c r="AB37" s="320" t="e">
        <f aca="false">IF($A37="N/A"," ",$U37*(8*($BS37))*R37)</f>
        <v>#N/A</v>
      </c>
      <c r="AC37" s="320" t="e">
        <f aca="false">IF($A37="N/A"," ",$U37*(8*($BS37))*S37)</f>
        <v>#N/A</v>
      </c>
      <c r="AD37" s="320" t="e">
        <f aca="false">IF($A37="N/A"," ",$U37*(8*($BS37))*T37)</f>
        <v>#N/A</v>
      </c>
      <c r="AE37" s="320" t="e">
        <f aca="false">IF($A37="N/A"," ",SUM(V37:AD37))</f>
        <v>#N/A</v>
      </c>
      <c r="AF37" s="321" t="n">
        <f aca="false">IF(A37="N/A"," ",(VLOOKUP(A37,PowerVolTable,(IF(VolBMO3=2,7,IF(VolBMO3=1,6,8))),FALSE())))</f>
        <v>0.16</v>
      </c>
      <c r="AG37" s="321" t="n">
        <f aca="false">IF(A37="N/A"," ",(VLOOKUP(A37,IntraPowerVol,(IF(VolBMO3=2,3,IF(VolBMO3=1,2,4))),FALSE())*VLOOKUP(MONTH($A37),Volscale,2)))</f>
        <v>0.32</v>
      </c>
      <c r="AH37" s="321" t="n">
        <f aca="false">IF($A37="N/A"," ",IF(VolType3=1,AG37,AF37))</f>
        <v>0.32</v>
      </c>
      <c r="AI37" s="321" t="n">
        <f aca="false">IF($A37="N/A"," ",(VLOOKUP($A37,OffPwrVolTable,(IF(VolBMO3=2,7,IF(VolBMO3=1,6,8))),FALSE())))</f>
        <v>0.08</v>
      </c>
      <c r="AJ37" s="321" t="n">
        <f aca="false">IF($A37="N/A"," ",(VLOOKUP($A37,OffPwrVolTable,(IF(VolBMO3=2,3,IF(VolBMO3=1,2,4))),FALSE())*VLOOKUP(MONTH($A37),Volscale,2)))</f>
        <v>0.192</v>
      </c>
      <c r="AK37" s="321" t="n">
        <f aca="false">IF($A37="N/A"," ",IF(VolType3=1,AJ37,AI37))</f>
        <v>0.192</v>
      </c>
      <c r="AL37" s="321" t="e">
        <f aca="false">IF($A37="N/A"," ",IF(PV=1,0,'Pricing Inputs3'!R70))</f>
        <v>#N/A</v>
      </c>
      <c r="AM37" s="323" t="e">
        <f aca="false">IF($A37="N/A"," ",(1+AL37/2)^(-2*((EOMONTH(A37,0)+20)-DateToday)/365.25))</f>
        <v>#N/A</v>
      </c>
      <c r="BQ37" s="0" t="n">
        <f aca="false">IF($A37="N/A"," ",(VLOOKUP($A37,NumberofDaysTable,2)))</f>
        <v>21</v>
      </c>
      <c r="BR37" s="0" t="n">
        <f aca="false">IF($A37="N/A"," ",(VLOOKUP($A37,NumberofDaysTable,3)))</f>
        <v>5</v>
      </c>
      <c r="BS37" s="0" t="n">
        <f aca="false">IF($A37="N/A"," ",(VLOOKUP($A37,NumberofDaysTable,4)))</f>
        <v>5</v>
      </c>
    </row>
    <row r="38" customFormat="false" ht="12.75" hidden="false" customHeight="false" outlineLevel="0" collapsed="false">
      <c r="A38" s="315" t="n">
        <f aca="false">IF(A37="N/A","N/A",IF(EDATE(A37,1)&gt;Inputs!$Q$5,"N/A",EDATE(A37,1)))</f>
        <v>38292</v>
      </c>
      <c r="B38" s="316" t="n">
        <f aca="false">IF(A38="N/A"," ",YEAR(A38))</f>
        <v>2004</v>
      </c>
      <c r="C38" s="317" t="n">
        <f aca="false">IF($A38="N/A"," ",IF(Dayrun3=10,0,IF(Scaler3=1,(VLOOKUP(A38,ScaledPrice3,4)),(VLOOKUP(A38,ScaledPrice3,2)))))</f>
        <v>31.0515617132187</v>
      </c>
      <c r="D38" s="317" t="n">
        <f aca="false">IF(A38="N/A"," ",IF(Dayrun3&gt;=7,0,IF(Scaler3=2,VLOOKUP(A38,ScaledPrice3,2),(VLOOKUP(A38,ScaledPrice3,2))*(2-(VLOOKUP(A38,ScaledPrice3,3))))))</f>
        <v>31.0515617132187</v>
      </c>
      <c r="E38" s="317" t="n">
        <f aca="false">IF($A38="N/A"," ",IF(AND(Dayrun3&gt;=4,Dayrun3&lt;=9),0,VLOOKUP($A38,ScaledPrice3,9)))</f>
        <v>0</v>
      </c>
      <c r="F38" s="317" t="n">
        <f aca="false">IF(A38="N/A"," ",IF(OR(Dayrun3=2,Dayrun3=3,Dayrun3=5,Dayrun3=6,Dayrun3=8,Dayrun3=9),VLOOKUP(A38,ScaledPrice3,IF(Scaler3=1,6,5)),0))</f>
        <v>22.2900009155273</v>
      </c>
      <c r="G38" s="317" t="n">
        <f aca="false">IF(A38="N/A"," ",IF(OR(Dayrun3=2,Dayrun3=3,Dayrun3=5,Dayrun3=6),IF(Scaler3=2,F38,(VLOOKUP(A38,ScaledPrice3,5))*(2-(VLOOKUP(A38,ScaledPrice3,3)))),0))</f>
        <v>22.2900009155273</v>
      </c>
      <c r="H38" s="317" t="n">
        <f aca="false">IF($A38="N/A"," ",IF(OR(Dayrun3=2,Dayrun3=3,Dayrun3=10),VLOOKUP($A38,ScaledPrice3,9),0))</f>
        <v>0</v>
      </c>
      <c r="I38" s="317" t="n">
        <f aca="false">IF(A38="N/A"," ",IF(OR(Dayrun3=3,Dayrun3=6,Dayrun3=9),(VLOOKUP(A38,ScaledPrice3,IF(Scaler3=2,7,8))),0))</f>
        <v>14.7900009155273</v>
      </c>
      <c r="J38" s="317" t="n">
        <f aca="false">IF(A38="N/A"," ",IF(OR(Dayrun3=3,Dayrun3=6),IF(Scaler3=2,I38,(VLOOKUP(A38,ScaledPrice3,7))*(2-(VLOOKUP(A38,ScaledPrice3,3)))),0))</f>
        <v>14.7900009155273</v>
      </c>
      <c r="K38" s="317" t="n">
        <f aca="false">IF($A38="N/A"," ",IF(OR(Dayrun3=3,Dayrun3=10),VLOOKUP($A38,ScaledPrice3,9),0))</f>
        <v>0</v>
      </c>
      <c r="L38" s="318" t="n">
        <f aca="false">IF($A38="N/A"," ",IF(Pricetype3=2,MAX(C38,0),IF(OR(Pricetype3=1,Pricetype3=4),IF(C38=0,0,(EURO(C38,Strikeprice3,0,0,($AH38+IF(Smile=TRUE(),VLOOKUP(MAX(-5,Strikeprice3-C38),Volsmile,2),0)),($A38-DateToday)+15,IF(Pricetype3=1,1,0),0))),C38)))</f>
        <v>31.0515617132187</v>
      </c>
      <c r="M38" s="318" t="n">
        <f aca="false">IF($A38="N/A"," ",IF(Pricetype3=2,MAX(D38,0),IF(OR(Pricetype3=1,Pricetype3=4),IF(D38=0,0,(EURO(D38,Strikeprice3,0,0,($AH38+IF(Smile=TRUE(),VLOOKUP(MAX(-5,Strikeprice3-D38),Volsmile,2),0)),($A38-DateToday)+15,IF(Pricetype3=1,1,0),0))),D38)))</f>
        <v>31.0515617132187</v>
      </c>
      <c r="N38" s="318" t="n">
        <f aca="false">IF($A38="N/A"," ",IF(Pricetype3=2,MAX(E38,0),IF(OR(Pricetype3=1,Pricetype3=4),IF(E38=0,0,(EURO(E38,Strikeprice3,0,0,($AK38+IF(Smile=TRUE(),VLOOKUP(MAX(-5,Strikeprice3-E38),Volsmile,2),0)),($A38-DateToday)+15,IF(Pricetype3=1,1,0),0))),E38)))</f>
        <v>0</v>
      </c>
      <c r="O38" s="318" t="n">
        <f aca="false">IF($A38="N/A"," ",IF(Pricetype3=2,MAX(F38,0),IF(OR(Pricetype3=1,Pricetype3=4),IF(F38=0,0,(EURO(F38,Strikeprice3,0,0,($AK38+IF(Smile=TRUE(),VLOOKUP(MAX(-5,Strikeprice3-F38),Volsmile,2),0)),($A38-DateToday)+15,IF(Pricetype3=1,1,0),0))),F38)))</f>
        <v>22.2900009155273</v>
      </c>
      <c r="P38" s="318" t="n">
        <f aca="false">IF($A38="N/A"," ",IF(Pricetype3=2,MAX(G38,0),IF(OR(Pricetype3=1,Pricetype3=4),IF(G38=0,0,(EURO(G38,Strikeprice3,0,0,($AK38+IF(Smile=TRUE(),VLOOKUP(MAX(-5,Strikeprice3-G38),Volsmile,2),0)),($A38-DateToday)+15,IF(Pricetype3=1,1,0),0))),G38)))</f>
        <v>22.2900009155273</v>
      </c>
      <c r="Q38" s="318" t="n">
        <f aca="false">IF($A38="N/A"," ",IF(Pricetype3=2,MAX(H38,0),IF(OR(Pricetype3=1,Pricetype3=4),IF(H38=0,0,(EURO(H38,Strikeprice3,0,0,($AK38+IF(Smile=TRUE(),VLOOKUP(MAX(-5,Strikeprice3-H38),Volsmile,2),0)),($A38-DateToday)+15,IF(Pricetype3=1,1,0),0))),H38)))</f>
        <v>0</v>
      </c>
      <c r="R38" s="318" t="n">
        <f aca="false">IF($A38="N/A"," ",IF(Pricetype3=2,MAX(I38,0),IF(OR(Pricetype3=1,Pricetype3=4),IF(I38=0,0,(EURO(I38,Strikeprice3,0,0,($AK38+IF(Smile=TRUE(),VLOOKUP(MAX(-5,Strikeprice3-I38),Volsmile,2),0)),($A38-DateToday)+15,IF(Pricetype3=1,1,0),0))),I38)))</f>
        <v>14.7900009155273</v>
      </c>
      <c r="S38" s="318" t="n">
        <f aca="false">IF($A38="N/A"," ",IF(Pricetype3=2,MAX(J38,0),IF(OR(Pricetype3=1,Pricetype3=4),IF(J38=0,0,(EURO(J38,Strikeprice3,0,0,($AK38+IF(Smile=TRUE(),VLOOKUP(MAX(-5,Strikeprice3-J38),Volsmile,2),0)),($A38-DateToday)+15,IF(Pricetype3=1,1,0),0))),J38)))</f>
        <v>14.7900009155273</v>
      </c>
      <c r="T38" s="318" t="n">
        <f aca="false">IF($A38="N/A"," ",IF(Pricetype3=2,MAX(K38,0),IF(OR(Pricetype3=1,Pricetype3=4),IF(K38=0,0,(EURO(K38,Strikeprice3,0,0,($AK38+IF(Smile=TRUE(),VLOOKUP(MAX(-5,Strikeprice3-K38),Volsmile,2),0)),($A38-DateToday)+15,IF(Pricetype3=1,1,0),0))),K38)))</f>
        <v>0</v>
      </c>
      <c r="U38" s="319" t="e">
        <f aca="false">IF($A38="N/A"," ",Volume3*$AM38)</f>
        <v>#N/A</v>
      </c>
      <c r="V38" s="320" t="e">
        <f aca="false">IF($A38="N/A"," ",$U38*(8*($BQ38))*L38)</f>
        <v>#N/A</v>
      </c>
      <c r="W38" s="320" t="e">
        <f aca="false">IF($A38="N/A"," ",$U38*(8*($BQ38))*M38)</f>
        <v>#N/A</v>
      </c>
      <c r="X38" s="320" t="e">
        <f aca="false">IF($A38="N/A"," ",$U38*(8*($BQ38))*N38)</f>
        <v>#N/A</v>
      </c>
      <c r="Y38" s="320" t="e">
        <f aca="false">IF($A38="N/A"," ",$U38*(8*($BR38))*O38)</f>
        <v>#N/A</v>
      </c>
      <c r="Z38" s="320" t="e">
        <f aca="false">IF($A38="N/A"," ",$U38*(8*($BR38))*P38)</f>
        <v>#N/A</v>
      </c>
      <c r="AA38" s="320" t="e">
        <f aca="false">IF($A38="N/A"," ",$U38*(8*($BR38))*Q38)</f>
        <v>#N/A</v>
      </c>
      <c r="AB38" s="320" t="e">
        <f aca="false">IF($A38="N/A"," ",$U38*(8*($BS38))*R38)</f>
        <v>#N/A</v>
      </c>
      <c r="AC38" s="320" t="e">
        <f aca="false">IF($A38="N/A"," ",$U38*(8*($BS38))*S38)</f>
        <v>#N/A</v>
      </c>
      <c r="AD38" s="320" t="e">
        <f aca="false">IF($A38="N/A"," ",$U38*(8*($BS38))*T38)</f>
        <v>#N/A</v>
      </c>
      <c r="AE38" s="320" t="e">
        <f aca="false">IF($A38="N/A"," ",SUM(V38:AD38))</f>
        <v>#N/A</v>
      </c>
      <c r="AF38" s="321" t="n">
        <f aca="false">IF(A38="N/A"," ",(VLOOKUP(A38,PowerVolTable,(IF(VolBMO3=2,7,IF(VolBMO3=1,6,8))),FALSE())))</f>
        <v>0.16</v>
      </c>
      <c r="AG38" s="321" t="n">
        <f aca="false">IF(A38="N/A"," ",(VLOOKUP(A38,IntraPowerVol,(IF(VolBMO3=2,3,IF(VolBMO3=1,2,4))),FALSE())*VLOOKUP(MONTH($A38),Volscale,2)))</f>
        <v>0.32</v>
      </c>
      <c r="AH38" s="321" t="n">
        <f aca="false">IF($A38="N/A"," ",IF(VolType3=1,AG38,AF38))</f>
        <v>0.32</v>
      </c>
      <c r="AI38" s="321" t="n">
        <f aca="false">IF($A38="N/A"," ",(VLOOKUP($A38,OffPwrVolTable,(IF(VolBMO3=2,7,IF(VolBMO3=1,6,8))),FALSE())))</f>
        <v>0.08</v>
      </c>
      <c r="AJ38" s="321" t="n">
        <f aca="false">IF($A38="N/A"," ",(VLOOKUP($A38,OffPwrVolTable,(IF(VolBMO3=2,3,IF(VolBMO3=1,2,4))),FALSE())*VLOOKUP(MONTH($A38),Volscale,2)))</f>
        <v>0.192</v>
      </c>
      <c r="AK38" s="321" t="n">
        <f aca="false">IF($A38="N/A"," ",IF(VolType3=1,AJ38,AI38))</f>
        <v>0.192</v>
      </c>
      <c r="AL38" s="321" t="e">
        <f aca="false">IF($A38="N/A"," ",IF(PV=1,0,'Pricing Inputs3'!R71))</f>
        <v>#N/A</v>
      </c>
      <c r="AM38" s="323" t="e">
        <f aca="false">IF($A38="N/A"," ",(1+AL38/2)^(-2*((EOMONTH(A38,0)+20)-DateToday)/365.25))</f>
        <v>#N/A</v>
      </c>
      <c r="BQ38" s="0" t="n">
        <f aca="false">IF($A38="N/A"," ",(VLOOKUP($A38,NumberofDaysTable,2)))</f>
        <v>21</v>
      </c>
      <c r="BR38" s="0" t="n">
        <f aca="false">IF($A38="N/A"," ",(VLOOKUP($A38,NumberofDaysTable,3)))</f>
        <v>4</v>
      </c>
      <c r="BS38" s="0" t="n">
        <f aca="false">IF($A38="N/A"," ",(VLOOKUP($A38,NumberofDaysTable,4)))</f>
        <v>5</v>
      </c>
    </row>
    <row r="39" customFormat="false" ht="12.75" hidden="false" customHeight="false" outlineLevel="0" collapsed="false">
      <c r="A39" s="315" t="n">
        <f aca="false">IF(A38="N/A","N/A",IF(EDATE(A38,1)&gt;Inputs!$Q$5,"N/A",EDATE(A38,1)))</f>
        <v>38322</v>
      </c>
      <c r="B39" s="316" t="n">
        <f aca="false">IF(A39="N/A"," ",YEAR(A39))</f>
        <v>2004</v>
      </c>
      <c r="C39" s="317" t="n">
        <f aca="false">IF($A39="N/A"," ",IF(Dayrun3=10,0,IF(Scaler3=1,(VLOOKUP(A39,ScaledPrice3,4)),(VLOOKUP(A39,ScaledPrice3,2)))))</f>
        <v>31.1515601873398</v>
      </c>
      <c r="D39" s="317" t="n">
        <f aca="false">IF(A39="N/A"," ",IF(Dayrun3&gt;=7,0,IF(Scaler3=2,VLOOKUP(A39,ScaledPrice3,2),(VLOOKUP(A39,ScaledPrice3,2))*(2-(VLOOKUP(A39,ScaledPrice3,3))))))</f>
        <v>31.1515601873398</v>
      </c>
      <c r="E39" s="317" t="n">
        <f aca="false">IF($A39="N/A"," ",IF(AND(Dayrun3&gt;=4,Dayrun3&lt;=9),0,VLOOKUP($A39,ScaledPrice3,9)))</f>
        <v>0</v>
      </c>
      <c r="F39" s="317" t="n">
        <f aca="false">IF(A39="N/A"," ",IF(OR(Dayrun3=2,Dayrun3=3,Dayrun3=5,Dayrun3=6,Dayrun3=8,Dayrun3=9),VLOOKUP(A39,ScaledPrice3,IF(Scaler3=1,6,5)),0))</f>
        <v>27.2900009155273</v>
      </c>
      <c r="G39" s="317" t="n">
        <f aca="false">IF(A39="N/A"," ",IF(OR(Dayrun3=2,Dayrun3=3,Dayrun3=5,Dayrun3=6),IF(Scaler3=2,F39,(VLOOKUP(A39,ScaledPrice3,5))*(2-(VLOOKUP(A39,ScaledPrice3,3)))),0))</f>
        <v>27.2900009155273</v>
      </c>
      <c r="H39" s="317" t="n">
        <f aca="false">IF($A39="N/A"," ",IF(OR(Dayrun3=2,Dayrun3=3,Dayrun3=10),VLOOKUP($A39,ScaledPrice3,9),0))</f>
        <v>0</v>
      </c>
      <c r="I39" s="317" t="n">
        <f aca="false">IF(A39="N/A"," ",IF(OR(Dayrun3=3,Dayrun3=6,Dayrun3=9),(VLOOKUP(A39,ScaledPrice3,IF(Scaler3=2,7,8))),0))</f>
        <v>21.7900009155273</v>
      </c>
      <c r="J39" s="317" t="n">
        <f aca="false">IF(A39="N/A"," ",IF(OR(Dayrun3=3,Dayrun3=6),IF(Scaler3=2,I39,(VLOOKUP(A39,ScaledPrice3,7))*(2-(VLOOKUP(A39,ScaledPrice3,3)))),0))</f>
        <v>21.7900009155273</v>
      </c>
      <c r="K39" s="317" t="n">
        <f aca="false">IF($A39="N/A"," ",IF(OR(Dayrun3=3,Dayrun3=10),VLOOKUP($A39,ScaledPrice3,9),0))</f>
        <v>0</v>
      </c>
      <c r="L39" s="318" t="n">
        <f aca="false">IF($A39="N/A"," ",IF(Pricetype3=2,MAX(C39,0),IF(OR(Pricetype3=1,Pricetype3=4),IF(C39=0,0,(EURO(C39,Strikeprice3,0,0,($AH39+IF(Smile=TRUE(),VLOOKUP(MAX(-5,Strikeprice3-C39),Volsmile,2),0)),($A39-DateToday)+15,IF(Pricetype3=1,1,0),0))),C39)))</f>
        <v>31.1515601873398</v>
      </c>
      <c r="M39" s="318" t="n">
        <f aca="false">IF($A39="N/A"," ",IF(Pricetype3=2,MAX(D39,0),IF(OR(Pricetype3=1,Pricetype3=4),IF(D39=0,0,(EURO(D39,Strikeprice3,0,0,($AH39+IF(Smile=TRUE(),VLOOKUP(MAX(-5,Strikeprice3-D39),Volsmile,2),0)),($A39-DateToday)+15,IF(Pricetype3=1,1,0),0))),D39)))</f>
        <v>31.1515601873398</v>
      </c>
      <c r="N39" s="318" t="n">
        <f aca="false">IF($A39="N/A"," ",IF(Pricetype3=2,MAX(E39,0),IF(OR(Pricetype3=1,Pricetype3=4),IF(E39=0,0,(EURO(E39,Strikeprice3,0,0,($AK39+IF(Smile=TRUE(),VLOOKUP(MAX(-5,Strikeprice3-E39),Volsmile,2),0)),($A39-DateToday)+15,IF(Pricetype3=1,1,0),0))),E39)))</f>
        <v>0</v>
      </c>
      <c r="O39" s="318" t="n">
        <f aca="false">IF($A39="N/A"," ",IF(Pricetype3=2,MAX(F39,0),IF(OR(Pricetype3=1,Pricetype3=4),IF(F39=0,0,(EURO(F39,Strikeprice3,0,0,($AK39+IF(Smile=TRUE(),VLOOKUP(MAX(-5,Strikeprice3-F39),Volsmile,2),0)),($A39-DateToday)+15,IF(Pricetype3=1,1,0),0))),F39)))</f>
        <v>27.2900009155273</v>
      </c>
      <c r="P39" s="318" t="n">
        <f aca="false">IF($A39="N/A"," ",IF(Pricetype3=2,MAX(G39,0),IF(OR(Pricetype3=1,Pricetype3=4),IF(G39=0,0,(EURO(G39,Strikeprice3,0,0,($AK39+IF(Smile=TRUE(),VLOOKUP(MAX(-5,Strikeprice3-G39),Volsmile,2),0)),($A39-DateToday)+15,IF(Pricetype3=1,1,0),0))),G39)))</f>
        <v>27.2900009155273</v>
      </c>
      <c r="Q39" s="318" t="n">
        <f aca="false">IF($A39="N/A"," ",IF(Pricetype3=2,MAX(H39,0),IF(OR(Pricetype3=1,Pricetype3=4),IF(H39=0,0,(EURO(H39,Strikeprice3,0,0,($AK39+IF(Smile=TRUE(),VLOOKUP(MAX(-5,Strikeprice3-H39),Volsmile,2),0)),($A39-DateToday)+15,IF(Pricetype3=1,1,0),0))),H39)))</f>
        <v>0</v>
      </c>
      <c r="R39" s="318" t="n">
        <f aca="false">IF($A39="N/A"," ",IF(Pricetype3=2,MAX(I39,0),IF(OR(Pricetype3=1,Pricetype3=4),IF(I39=0,0,(EURO(I39,Strikeprice3,0,0,($AK39+IF(Smile=TRUE(),VLOOKUP(MAX(-5,Strikeprice3-I39),Volsmile,2),0)),($A39-DateToday)+15,IF(Pricetype3=1,1,0),0))),I39)))</f>
        <v>21.7900009155273</v>
      </c>
      <c r="S39" s="318" t="n">
        <f aca="false">IF($A39="N/A"," ",IF(Pricetype3=2,MAX(J39,0),IF(OR(Pricetype3=1,Pricetype3=4),IF(J39=0,0,(EURO(J39,Strikeprice3,0,0,($AK39+IF(Smile=TRUE(),VLOOKUP(MAX(-5,Strikeprice3-J39),Volsmile,2),0)),($A39-DateToday)+15,IF(Pricetype3=1,1,0),0))),J39)))</f>
        <v>21.7900009155273</v>
      </c>
      <c r="T39" s="318" t="n">
        <f aca="false">IF($A39="N/A"," ",IF(Pricetype3=2,MAX(K39,0),IF(OR(Pricetype3=1,Pricetype3=4),IF(K39=0,0,(EURO(K39,Strikeprice3,0,0,($AK39+IF(Smile=TRUE(),VLOOKUP(MAX(-5,Strikeprice3-K39),Volsmile,2),0)),($A39-DateToday)+15,IF(Pricetype3=1,1,0),0))),K39)))</f>
        <v>0</v>
      </c>
      <c r="U39" s="319" t="e">
        <f aca="false">IF($A39="N/A"," ",Volume3*$AM39)</f>
        <v>#N/A</v>
      </c>
      <c r="V39" s="320" t="e">
        <f aca="false">IF($A39="N/A"," ",$U39*(8*($BQ39))*L39)</f>
        <v>#N/A</v>
      </c>
      <c r="W39" s="320" t="e">
        <f aca="false">IF($A39="N/A"," ",$U39*(8*($BQ39))*M39)</f>
        <v>#N/A</v>
      </c>
      <c r="X39" s="320" t="e">
        <f aca="false">IF($A39="N/A"," ",$U39*(8*($BQ39))*N39)</f>
        <v>#N/A</v>
      </c>
      <c r="Y39" s="320" t="e">
        <f aca="false">IF($A39="N/A"," ",$U39*(8*($BR39))*O39)</f>
        <v>#N/A</v>
      </c>
      <c r="Z39" s="320" t="e">
        <f aca="false">IF($A39="N/A"," ",$U39*(8*($BR39))*P39)</f>
        <v>#N/A</v>
      </c>
      <c r="AA39" s="320" t="e">
        <f aca="false">IF($A39="N/A"," ",$U39*(8*($BR39))*Q39)</f>
        <v>#N/A</v>
      </c>
      <c r="AB39" s="320" t="e">
        <f aca="false">IF($A39="N/A"," ",$U39*(8*($BS39))*R39)</f>
        <v>#N/A</v>
      </c>
      <c r="AC39" s="320" t="e">
        <f aca="false">IF($A39="N/A"," ",$U39*(8*($BS39))*S39)</f>
        <v>#N/A</v>
      </c>
      <c r="AD39" s="320" t="e">
        <f aca="false">IF($A39="N/A"," ",$U39*(8*($BS39))*T39)</f>
        <v>#N/A</v>
      </c>
      <c r="AE39" s="320" t="e">
        <f aca="false">IF($A39="N/A"," ",SUM(V39:AD39))</f>
        <v>#N/A</v>
      </c>
      <c r="AF39" s="321" t="n">
        <f aca="false">IF(A39="N/A"," ",(VLOOKUP(A39,PowerVolTable,(IF(VolBMO3=2,7,IF(VolBMO3=1,6,8))),FALSE())))</f>
        <v>0.16</v>
      </c>
      <c r="AG39" s="321" t="n">
        <f aca="false">IF(A39="N/A"," ",(VLOOKUP(A39,IntraPowerVol,(IF(VolBMO3=2,3,IF(VolBMO3=1,2,4))),FALSE())*VLOOKUP(MONTH($A39),Volscale,2)))</f>
        <v>0.32</v>
      </c>
      <c r="AH39" s="321" t="n">
        <f aca="false">IF($A39="N/A"," ",IF(VolType3=1,AG39,AF39))</f>
        <v>0.32</v>
      </c>
      <c r="AI39" s="321" t="n">
        <f aca="false">IF($A39="N/A"," ",(VLOOKUP($A39,OffPwrVolTable,(IF(VolBMO3=2,7,IF(VolBMO3=1,6,8))),FALSE())))</f>
        <v>0.08</v>
      </c>
      <c r="AJ39" s="321" t="n">
        <f aca="false">IF($A39="N/A"," ",(VLOOKUP($A39,OffPwrVolTable,(IF(VolBMO3=2,3,IF(VolBMO3=1,2,4))),FALSE())*VLOOKUP(MONTH($A39),Volscale,2)))</f>
        <v>0.192</v>
      </c>
      <c r="AK39" s="321" t="n">
        <f aca="false">IF($A39="N/A"," ",IF(VolType3=1,AJ39,AI39))</f>
        <v>0.192</v>
      </c>
      <c r="AL39" s="321" t="e">
        <f aca="false">IF($A39="N/A"," ",IF(PV=1,0,'Pricing Inputs3'!R72))</f>
        <v>#N/A</v>
      </c>
      <c r="AM39" s="323" t="e">
        <f aca="false">IF($A39="N/A"," ",(1+AL39/2)^(-2*((EOMONTH(A39,0)+20)-DateToday)/365.25))</f>
        <v>#N/A</v>
      </c>
      <c r="BQ39" s="0" t="n">
        <f aca="false">IF($A39="N/A"," ",(VLOOKUP($A39,NumberofDaysTable,2)))</f>
        <v>23</v>
      </c>
      <c r="BR39" s="0" t="n">
        <f aca="false">IF($A39="N/A"," ",(VLOOKUP($A39,NumberofDaysTable,3)))</f>
        <v>3</v>
      </c>
      <c r="BS39" s="0" t="n">
        <f aca="false">IF($A39="N/A"," ",(VLOOKUP($A39,NumberofDaysTable,4)))</f>
        <v>5</v>
      </c>
    </row>
    <row r="40" customFormat="false" ht="12.75" hidden="false" customHeight="false" outlineLevel="0" collapsed="false">
      <c r="A40" s="315" t="n">
        <f aca="false">IF(A39="N/A","N/A",IF(EDATE(A39,1)&gt;Inputs!$Q$5,"N/A",EDATE(A39,1)))</f>
        <v>38353</v>
      </c>
      <c r="B40" s="316" t="n">
        <f aca="false">IF(A40="N/A"," ",YEAR(A40))</f>
        <v>2005</v>
      </c>
      <c r="C40" s="317" t="n">
        <f aca="false">IF($A40="N/A"," ",IF(Dayrun3=10,0,IF(Scaler3=1,(VLOOKUP(A40,ScaledPrice3,4)),(VLOOKUP(A40,ScaledPrice3,2)))))</f>
        <v>35.1757147652762</v>
      </c>
      <c r="D40" s="317" t="n">
        <f aca="false">IF(A40="N/A"," ",IF(Dayrun3&gt;=7,0,IF(Scaler3=2,VLOOKUP(A40,ScaledPrice3,2),(VLOOKUP(A40,ScaledPrice3,2))*(2-(VLOOKUP(A40,ScaledPrice3,3))))))</f>
        <v>35.1757147652762</v>
      </c>
      <c r="E40" s="317" t="n">
        <f aca="false">IF($A40="N/A"," ",IF(AND(Dayrun3&gt;=4,Dayrun3&lt;=9),0,VLOOKUP($A40,ScaledPrice3,9)))</f>
        <v>0</v>
      </c>
      <c r="F40" s="317" t="n">
        <f aca="false">IF(A40="N/A"," ",IF(OR(Dayrun3=2,Dayrun3=3,Dayrun3=5,Dayrun3=6,Dayrun3=8,Dayrun3=9),VLOOKUP(A40,ScaledPrice3,IF(Scaler3=1,6,5)),0))</f>
        <v>35.75</v>
      </c>
      <c r="G40" s="317" t="n">
        <f aca="false">IF(A40="N/A"," ",IF(OR(Dayrun3=2,Dayrun3=3,Dayrun3=5,Dayrun3=6),IF(Scaler3=2,F40,(VLOOKUP(A40,ScaledPrice3,5))*(2-(VLOOKUP(A40,ScaledPrice3,3)))),0))</f>
        <v>35.75</v>
      </c>
      <c r="H40" s="317" t="n">
        <f aca="false">IF($A40="N/A"," ",IF(OR(Dayrun3=2,Dayrun3=3,Dayrun3=10),VLOOKUP($A40,ScaledPrice3,9),0))</f>
        <v>0</v>
      </c>
      <c r="I40" s="317" t="n">
        <f aca="false">IF(A40="N/A"," ",IF(OR(Dayrun3=3,Dayrun3=6,Dayrun3=9),(VLOOKUP(A40,ScaledPrice3,IF(Scaler3=2,7,8))),0))</f>
        <v>25.25</v>
      </c>
      <c r="J40" s="317" t="n">
        <f aca="false">IF(A40="N/A"," ",IF(OR(Dayrun3=3,Dayrun3=6),IF(Scaler3=2,I40,(VLOOKUP(A40,ScaledPrice3,7))*(2-(VLOOKUP(A40,ScaledPrice3,3)))),0))</f>
        <v>25.25</v>
      </c>
      <c r="K40" s="317" t="n">
        <f aca="false">IF($A40="N/A"," ",IF(OR(Dayrun3=3,Dayrun3=10),VLOOKUP($A40,ScaledPrice3,9),0))</f>
        <v>0</v>
      </c>
      <c r="L40" s="318" t="n">
        <f aca="false">IF($A40="N/A"," ",IF(Pricetype3=2,MAX(C40,0),IF(OR(Pricetype3=1,Pricetype3=4),IF(C40=0,0,(EURO(C40,Strikeprice3,0,0,($AH40+IF(Smile=TRUE(),VLOOKUP(MAX(-5,Strikeprice3-C40),Volsmile,2),0)),($A40-DateToday)+15,IF(Pricetype3=1,1,0),0))),C40)))</f>
        <v>35.1757147652762</v>
      </c>
      <c r="M40" s="318" t="n">
        <f aca="false">IF($A40="N/A"," ",IF(Pricetype3=2,MAX(D40,0),IF(OR(Pricetype3=1,Pricetype3=4),IF(D40=0,0,(EURO(D40,Strikeprice3,0,0,($AH40+IF(Smile=TRUE(),VLOOKUP(MAX(-5,Strikeprice3-D40),Volsmile,2),0)),($A40-DateToday)+15,IF(Pricetype3=1,1,0),0))),D40)))</f>
        <v>35.1757147652762</v>
      </c>
      <c r="N40" s="318" t="n">
        <f aca="false">IF($A40="N/A"," ",IF(Pricetype3=2,MAX(E40,0),IF(OR(Pricetype3=1,Pricetype3=4),IF(E40=0,0,(EURO(E40,Strikeprice3,0,0,($AK40+IF(Smile=TRUE(),VLOOKUP(MAX(-5,Strikeprice3-E40),Volsmile,2),0)),($A40-DateToday)+15,IF(Pricetype3=1,1,0),0))),E40)))</f>
        <v>0</v>
      </c>
      <c r="O40" s="318" t="n">
        <f aca="false">IF($A40="N/A"," ",IF(Pricetype3=2,MAX(F40,0),IF(OR(Pricetype3=1,Pricetype3=4),IF(F40=0,0,(EURO(F40,Strikeprice3,0,0,($AK40+IF(Smile=TRUE(),VLOOKUP(MAX(-5,Strikeprice3-F40),Volsmile,2),0)),($A40-DateToday)+15,IF(Pricetype3=1,1,0),0))),F40)))</f>
        <v>35.75</v>
      </c>
      <c r="P40" s="318" t="n">
        <f aca="false">IF($A40="N/A"," ",IF(Pricetype3=2,MAX(G40,0),IF(OR(Pricetype3=1,Pricetype3=4),IF(G40=0,0,(EURO(G40,Strikeprice3,0,0,($AK40+IF(Smile=TRUE(),VLOOKUP(MAX(-5,Strikeprice3-G40),Volsmile,2),0)),($A40-DateToday)+15,IF(Pricetype3=1,1,0),0))),G40)))</f>
        <v>35.75</v>
      </c>
      <c r="Q40" s="318" t="n">
        <f aca="false">IF($A40="N/A"," ",IF(Pricetype3=2,MAX(H40,0),IF(OR(Pricetype3=1,Pricetype3=4),IF(H40=0,0,(EURO(H40,Strikeprice3,0,0,($AK40+IF(Smile=TRUE(),VLOOKUP(MAX(-5,Strikeprice3-H40),Volsmile,2),0)),($A40-DateToday)+15,IF(Pricetype3=1,1,0),0))),H40)))</f>
        <v>0</v>
      </c>
      <c r="R40" s="318" t="n">
        <f aca="false">IF($A40="N/A"," ",IF(Pricetype3=2,MAX(I40,0),IF(OR(Pricetype3=1,Pricetype3=4),IF(I40=0,0,(EURO(I40,Strikeprice3,0,0,($AK40+IF(Smile=TRUE(),VLOOKUP(MAX(-5,Strikeprice3-I40),Volsmile,2),0)),($A40-DateToday)+15,IF(Pricetype3=1,1,0),0))),I40)))</f>
        <v>25.25</v>
      </c>
      <c r="S40" s="318" t="n">
        <f aca="false">IF($A40="N/A"," ",IF(Pricetype3=2,MAX(J40,0),IF(OR(Pricetype3=1,Pricetype3=4),IF(J40=0,0,(EURO(J40,Strikeprice3,0,0,($AK40+IF(Smile=TRUE(),VLOOKUP(MAX(-5,Strikeprice3-J40),Volsmile,2),0)),($A40-DateToday)+15,IF(Pricetype3=1,1,0),0))),J40)))</f>
        <v>25.25</v>
      </c>
      <c r="T40" s="318" t="n">
        <f aca="false">IF($A40="N/A"," ",IF(Pricetype3=2,MAX(K40,0),IF(OR(Pricetype3=1,Pricetype3=4),IF(K40=0,0,(EURO(K40,Strikeprice3,0,0,($AK40+IF(Smile=TRUE(),VLOOKUP(MAX(-5,Strikeprice3-K40),Volsmile,2),0)),($A40-DateToday)+15,IF(Pricetype3=1,1,0),0))),K40)))</f>
        <v>0</v>
      </c>
      <c r="U40" s="319" t="e">
        <f aca="false">IF($A40="N/A"," ",Volume3*$AM40)</f>
        <v>#N/A</v>
      </c>
      <c r="V40" s="320" t="e">
        <f aca="false">IF($A40="N/A"," ",$U40*(8*($BQ40))*L40)</f>
        <v>#N/A</v>
      </c>
      <c r="W40" s="320" t="e">
        <f aca="false">IF($A40="N/A"," ",$U40*(8*($BQ40))*M40)</f>
        <v>#N/A</v>
      </c>
      <c r="X40" s="320" t="e">
        <f aca="false">IF($A40="N/A"," ",$U40*(8*($BQ40))*N40)</f>
        <v>#N/A</v>
      </c>
      <c r="Y40" s="320" t="e">
        <f aca="false">IF($A40="N/A"," ",$U40*(8*($BR40))*O40)</f>
        <v>#N/A</v>
      </c>
      <c r="Z40" s="320" t="e">
        <f aca="false">IF($A40="N/A"," ",$U40*(8*($BR40))*P40)</f>
        <v>#N/A</v>
      </c>
      <c r="AA40" s="320" t="e">
        <f aca="false">IF($A40="N/A"," ",$U40*(8*($BR40))*Q40)</f>
        <v>#N/A</v>
      </c>
      <c r="AB40" s="320" t="e">
        <f aca="false">IF($A40="N/A"," ",$U40*(8*($BS40))*R40)</f>
        <v>#N/A</v>
      </c>
      <c r="AC40" s="320" t="e">
        <f aca="false">IF($A40="N/A"," ",$U40*(8*($BS40))*S40)</f>
        <v>#N/A</v>
      </c>
      <c r="AD40" s="320" t="e">
        <f aca="false">IF($A40="N/A"," ",$U40*(8*($BS40))*T40)</f>
        <v>#N/A</v>
      </c>
      <c r="AE40" s="320" t="e">
        <f aca="false">IF($A40="N/A"," ",SUM(V40:AD40))</f>
        <v>#N/A</v>
      </c>
      <c r="AF40" s="321" t="n">
        <f aca="false">IF(A40="N/A"," ",(VLOOKUP(A40,PowerVolTable,(IF(VolBMO3=2,7,IF(VolBMO3=1,6,8))),FALSE())))</f>
        <v>0.16</v>
      </c>
      <c r="AG40" s="321" t="n">
        <f aca="false">IF(A40="N/A"," ",(VLOOKUP(A40,IntraPowerVol,(IF(VolBMO3=2,3,IF(VolBMO3=1,2,4))),FALSE())*VLOOKUP(MONTH($A40),Volscale,2)))</f>
        <v>0.28</v>
      </c>
      <c r="AH40" s="321" t="n">
        <f aca="false">IF($A40="N/A"," ",IF(VolType3=1,AG40,AF40))</f>
        <v>0.28</v>
      </c>
      <c r="AI40" s="321" t="n">
        <f aca="false">IF($A40="N/A"," ",(VLOOKUP($A40,OffPwrVolTable,(IF(VolBMO3=2,7,IF(VolBMO3=1,6,8))),FALSE())))</f>
        <v>0.08</v>
      </c>
      <c r="AJ40" s="321" t="n">
        <f aca="false">IF($A40="N/A"," ",(VLOOKUP($A40,OffPwrVolTable,(IF(VolBMO3=2,3,IF(VolBMO3=1,2,4))),FALSE())*VLOOKUP(MONTH($A40),Volscale,2)))</f>
        <v>0.168</v>
      </c>
      <c r="AK40" s="321" t="n">
        <f aca="false">IF($A40="N/A"," ",IF(VolType3=1,AJ40,AI40))</f>
        <v>0.168</v>
      </c>
      <c r="AL40" s="321" t="e">
        <f aca="false">IF($A40="N/A"," ",IF(PV=1,0,'Pricing Inputs3'!R73))</f>
        <v>#N/A</v>
      </c>
      <c r="AM40" s="323" t="e">
        <f aca="false">IF($A40="N/A"," ",(1+AL40/2)^(-2*((EOMONTH(A40,0)+20)-DateToday)/365.25))</f>
        <v>#N/A</v>
      </c>
      <c r="BQ40" s="0" t="n">
        <f aca="false">IF($A40="N/A"," ",(VLOOKUP($A40,NumberofDaysTable,2)))</f>
        <v>21</v>
      </c>
      <c r="BR40" s="0" t="n">
        <f aca="false">IF($A40="N/A"," ",(VLOOKUP($A40,NumberofDaysTable,3)))</f>
        <v>4</v>
      </c>
      <c r="BS40" s="0" t="n">
        <f aca="false">IF($A40="N/A"," ",(VLOOKUP($A40,NumberofDaysTable,4)))</f>
        <v>6</v>
      </c>
    </row>
    <row r="41" customFormat="false" ht="12.75" hidden="false" customHeight="false" outlineLevel="0" collapsed="false">
      <c r="A41" s="315" t="n">
        <f aca="false">IF(A40="N/A","N/A",IF(EDATE(A40,1)&gt;Inputs!$Q$5,"N/A",EDATE(A40,1)))</f>
        <v>38384</v>
      </c>
      <c r="B41" s="316" t="n">
        <f aca="false">IF(A41="N/A"," ",YEAR(A41))</f>
        <v>2005</v>
      </c>
      <c r="C41" s="317" t="n">
        <f aca="false">IF($A41="N/A"," ",IF(Dayrun3=10,0,IF(Scaler3=1,(VLOOKUP(A41,ScaledPrice3,4)),(VLOOKUP(A41,ScaledPrice3,2)))))</f>
        <v>34.5757124764579</v>
      </c>
      <c r="D41" s="317" t="n">
        <f aca="false">IF(A41="N/A"," ",IF(Dayrun3&gt;=7,0,IF(Scaler3=2,VLOOKUP(A41,ScaledPrice3,2),(VLOOKUP(A41,ScaledPrice3,2))*(2-(VLOOKUP(A41,ScaledPrice3,3))))))</f>
        <v>34.5757124764579</v>
      </c>
      <c r="E41" s="317" t="n">
        <f aca="false">IF($A41="N/A"," ",IF(AND(Dayrun3&gt;=4,Dayrun3&lt;=9),0,VLOOKUP($A41,ScaledPrice3,9)))</f>
        <v>0</v>
      </c>
      <c r="F41" s="317" t="n">
        <f aca="false">IF(A41="N/A"," ",IF(OR(Dayrun3=2,Dayrun3=3,Dayrun3=5,Dayrun3=6,Dayrun3=8,Dayrun3=9),VLOOKUP(A41,ScaledPrice3,IF(Scaler3=1,6,5)),0))</f>
        <v>31.2460021972656</v>
      </c>
      <c r="G41" s="317" t="n">
        <f aca="false">IF(A41="N/A"," ",IF(OR(Dayrun3=2,Dayrun3=3,Dayrun3=5,Dayrun3=6),IF(Scaler3=2,F41,(VLOOKUP(A41,ScaledPrice3,5))*(2-(VLOOKUP(A41,ScaledPrice3,3)))),0))</f>
        <v>31.2460021972656</v>
      </c>
      <c r="H41" s="317" t="n">
        <f aca="false">IF($A41="N/A"," ",IF(OR(Dayrun3=2,Dayrun3=3,Dayrun3=10),VLOOKUP($A41,ScaledPrice3,9),0))</f>
        <v>0</v>
      </c>
      <c r="I41" s="317" t="n">
        <f aca="false">IF(A41="N/A"," ",IF(OR(Dayrun3=3,Dayrun3=6,Dayrun3=9),(VLOOKUP(A41,ScaledPrice3,IF(Scaler3=2,7,8))),0))</f>
        <v>22.7465019226074</v>
      </c>
      <c r="J41" s="317" t="n">
        <f aca="false">IF(A41="N/A"," ",IF(OR(Dayrun3=3,Dayrun3=6),IF(Scaler3=2,I41,(VLOOKUP(A41,ScaledPrice3,7))*(2-(VLOOKUP(A41,ScaledPrice3,3)))),0))</f>
        <v>22.7465019226074</v>
      </c>
      <c r="K41" s="317" t="n">
        <f aca="false">IF($A41="N/A"," ",IF(OR(Dayrun3=3,Dayrun3=10),VLOOKUP($A41,ScaledPrice3,9),0))</f>
        <v>0</v>
      </c>
      <c r="L41" s="318" t="n">
        <f aca="false">IF($A41="N/A"," ",IF(Pricetype3=2,MAX(C41,0),IF(OR(Pricetype3=1,Pricetype3=4),IF(C41=0,0,(EURO(C41,Strikeprice3,0,0,($AH41+IF(Smile=TRUE(),VLOOKUP(MAX(-5,Strikeprice3-C41),Volsmile,2),0)),($A41-DateToday)+15,IF(Pricetype3=1,1,0),0))),C41)))</f>
        <v>34.5757124764579</v>
      </c>
      <c r="M41" s="318" t="n">
        <f aca="false">IF($A41="N/A"," ",IF(Pricetype3=2,MAX(D41,0),IF(OR(Pricetype3=1,Pricetype3=4),IF(D41=0,0,(EURO(D41,Strikeprice3,0,0,($AH41+IF(Smile=TRUE(),VLOOKUP(MAX(-5,Strikeprice3-D41),Volsmile,2),0)),($A41-DateToday)+15,IF(Pricetype3=1,1,0),0))),D41)))</f>
        <v>34.5757124764579</v>
      </c>
      <c r="N41" s="318" t="n">
        <f aca="false">IF($A41="N/A"," ",IF(Pricetype3=2,MAX(E41,0),IF(OR(Pricetype3=1,Pricetype3=4),IF(E41=0,0,(EURO(E41,Strikeprice3,0,0,($AK41+IF(Smile=TRUE(),VLOOKUP(MAX(-5,Strikeprice3-E41),Volsmile,2),0)),($A41-DateToday)+15,IF(Pricetype3=1,1,0),0))),E41)))</f>
        <v>0</v>
      </c>
      <c r="O41" s="318" t="n">
        <f aca="false">IF($A41="N/A"," ",IF(Pricetype3=2,MAX(F41,0),IF(OR(Pricetype3=1,Pricetype3=4),IF(F41=0,0,(EURO(F41,Strikeprice3,0,0,($AK41+IF(Smile=TRUE(),VLOOKUP(MAX(-5,Strikeprice3-F41),Volsmile,2),0)),($A41-DateToday)+15,IF(Pricetype3=1,1,0),0))),F41)))</f>
        <v>31.2460021972656</v>
      </c>
      <c r="P41" s="318" t="n">
        <f aca="false">IF($A41="N/A"," ",IF(Pricetype3=2,MAX(G41,0),IF(OR(Pricetype3=1,Pricetype3=4),IF(G41=0,0,(EURO(G41,Strikeprice3,0,0,($AK41+IF(Smile=TRUE(),VLOOKUP(MAX(-5,Strikeprice3-G41),Volsmile,2),0)),($A41-DateToday)+15,IF(Pricetype3=1,1,0),0))),G41)))</f>
        <v>31.2460021972656</v>
      </c>
      <c r="Q41" s="318" t="n">
        <f aca="false">IF($A41="N/A"," ",IF(Pricetype3=2,MAX(H41,0),IF(OR(Pricetype3=1,Pricetype3=4),IF(H41=0,0,(EURO(H41,Strikeprice3,0,0,($AK41+IF(Smile=TRUE(),VLOOKUP(MAX(-5,Strikeprice3-H41),Volsmile,2),0)),($A41-DateToday)+15,IF(Pricetype3=1,1,0),0))),H41)))</f>
        <v>0</v>
      </c>
      <c r="R41" s="318" t="n">
        <f aca="false">IF($A41="N/A"," ",IF(Pricetype3=2,MAX(I41,0),IF(OR(Pricetype3=1,Pricetype3=4),IF(I41=0,0,(EURO(I41,Strikeprice3,0,0,($AK41+IF(Smile=TRUE(),VLOOKUP(MAX(-5,Strikeprice3-I41),Volsmile,2),0)),($A41-DateToday)+15,IF(Pricetype3=1,1,0),0))),I41)))</f>
        <v>22.7465019226074</v>
      </c>
      <c r="S41" s="318" t="n">
        <f aca="false">IF($A41="N/A"," ",IF(Pricetype3=2,MAX(J41,0),IF(OR(Pricetype3=1,Pricetype3=4),IF(J41=0,0,(EURO(J41,Strikeprice3,0,0,($AK41+IF(Smile=TRUE(),VLOOKUP(MAX(-5,Strikeprice3-J41),Volsmile,2),0)),($A41-DateToday)+15,IF(Pricetype3=1,1,0),0))),J41)))</f>
        <v>22.7465019226074</v>
      </c>
      <c r="T41" s="318" t="n">
        <f aca="false">IF($A41="N/A"," ",IF(Pricetype3=2,MAX(K41,0),IF(OR(Pricetype3=1,Pricetype3=4),IF(K41=0,0,(EURO(K41,Strikeprice3,0,0,($AK41+IF(Smile=TRUE(),VLOOKUP(MAX(-5,Strikeprice3-K41),Volsmile,2),0)),($A41-DateToday)+15,IF(Pricetype3=1,1,0),0))),K41)))</f>
        <v>0</v>
      </c>
      <c r="U41" s="319" t="e">
        <f aca="false">IF($A41="N/A"," ",Volume3*$AM41)</f>
        <v>#N/A</v>
      </c>
      <c r="V41" s="320" t="e">
        <f aca="false">IF($A41="N/A"," ",$U41*(8*($BQ41))*L41)</f>
        <v>#N/A</v>
      </c>
      <c r="W41" s="320" t="e">
        <f aca="false">IF($A41="N/A"," ",$U41*(8*($BQ41))*M41)</f>
        <v>#N/A</v>
      </c>
      <c r="X41" s="320" t="e">
        <f aca="false">IF($A41="N/A"," ",$U41*(8*($BQ41))*N41)</f>
        <v>#N/A</v>
      </c>
      <c r="Y41" s="320" t="e">
        <f aca="false">IF($A41="N/A"," ",$U41*(8*($BR41))*O41)</f>
        <v>#N/A</v>
      </c>
      <c r="Z41" s="320" t="e">
        <f aca="false">IF($A41="N/A"," ",$U41*(8*($BR41))*P41)</f>
        <v>#N/A</v>
      </c>
      <c r="AA41" s="320" t="e">
        <f aca="false">IF($A41="N/A"," ",$U41*(8*($BR41))*Q41)</f>
        <v>#N/A</v>
      </c>
      <c r="AB41" s="320" t="e">
        <f aca="false">IF($A41="N/A"," ",$U41*(8*($BS41))*R41)</f>
        <v>#N/A</v>
      </c>
      <c r="AC41" s="320" t="e">
        <f aca="false">IF($A41="N/A"," ",$U41*(8*($BS41))*S41)</f>
        <v>#N/A</v>
      </c>
      <c r="AD41" s="320" t="e">
        <f aca="false">IF($A41="N/A"," ",$U41*(8*($BS41))*T41)</f>
        <v>#N/A</v>
      </c>
      <c r="AE41" s="320" t="e">
        <f aca="false">IF($A41="N/A"," ",SUM(V41:AD41))</f>
        <v>#N/A</v>
      </c>
      <c r="AF41" s="321" t="n">
        <f aca="false">IF(A41="N/A"," ",(VLOOKUP(A41,PowerVolTable,(IF(VolBMO3=2,7,IF(VolBMO3=1,6,8))),FALSE())))</f>
        <v>0.16</v>
      </c>
      <c r="AG41" s="321" t="n">
        <f aca="false">IF(A41="N/A"," ",(VLOOKUP(A41,IntraPowerVol,(IF(VolBMO3=2,3,IF(VolBMO3=1,2,4))),FALSE())*VLOOKUP(MONTH($A41),Volscale,2)))</f>
        <v>0.28</v>
      </c>
      <c r="AH41" s="321" t="n">
        <f aca="false">IF($A41="N/A"," ",IF(VolType3=1,AG41,AF41))</f>
        <v>0.28</v>
      </c>
      <c r="AI41" s="321" t="n">
        <f aca="false">IF($A41="N/A"," ",(VLOOKUP($A41,OffPwrVolTable,(IF(VolBMO3=2,7,IF(VolBMO3=1,6,8))),FALSE())))</f>
        <v>0.08</v>
      </c>
      <c r="AJ41" s="321" t="n">
        <f aca="false">IF($A41="N/A"," ",(VLOOKUP($A41,OffPwrVolTable,(IF(VolBMO3=2,3,IF(VolBMO3=1,2,4))),FALSE())*VLOOKUP(MONTH($A41),Volscale,2)))</f>
        <v>0.168</v>
      </c>
      <c r="AK41" s="321" t="n">
        <f aca="false">IF($A41="N/A"," ",IF(VolType3=1,AJ41,AI41))</f>
        <v>0.168</v>
      </c>
      <c r="AL41" s="321" t="e">
        <f aca="false">IF($A41="N/A"," ",IF(PV=1,0,'Pricing Inputs3'!R74))</f>
        <v>#N/A</v>
      </c>
      <c r="AM41" s="323" t="e">
        <f aca="false">IF($A41="N/A"," ",(1+AL41/2)^(-2*((EOMONTH(A41,0)+20)-DateToday)/365.25))</f>
        <v>#N/A</v>
      </c>
      <c r="BQ41" s="0" t="n">
        <f aca="false">IF($A41="N/A"," ",(VLOOKUP($A41,NumberofDaysTable,2)))</f>
        <v>20</v>
      </c>
      <c r="BR41" s="0" t="n">
        <f aca="false">IF($A41="N/A"," ",(VLOOKUP($A41,NumberofDaysTable,3)))</f>
        <v>4</v>
      </c>
      <c r="BS41" s="0" t="n">
        <f aca="false">IF($A41="N/A"," ",(VLOOKUP($A41,NumberofDaysTable,4)))</f>
        <v>4</v>
      </c>
    </row>
    <row r="42" customFormat="false" ht="12.75" hidden="false" customHeight="false" outlineLevel="0" collapsed="false">
      <c r="A42" s="315" t="n">
        <f aca="false">IF(A41="N/A","N/A",IF(EDATE(A41,1)&gt;Inputs!$Q$5,"N/A",EDATE(A41,1)))</f>
        <v>38412</v>
      </c>
      <c r="B42" s="316" t="n">
        <f aca="false">IF(A42="N/A"," ",YEAR(A42))</f>
        <v>2005</v>
      </c>
      <c r="C42" s="317" t="n">
        <f aca="false">IF($A42="N/A"," ",IF(Dayrun3=10,0,IF(Scaler3=1,(VLOOKUP(A42,ScaledPrice3,4)),(VLOOKUP(A42,ScaledPrice3,2)))))</f>
        <v>33.2876773213231</v>
      </c>
      <c r="D42" s="317" t="n">
        <f aca="false">IF(A42="N/A"," ",IF(Dayrun3&gt;=7,0,IF(Scaler3=2,VLOOKUP(A42,ScaledPrice3,2),(VLOOKUP(A42,ScaledPrice3,2))*(2-(VLOOKUP(A42,ScaledPrice3,3))))))</f>
        <v>33.2876773213231</v>
      </c>
      <c r="E42" s="317" t="n">
        <f aca="false">IF($A42="N/A"," ",IF(AND(Dayrun3&gt;=4,Dayrun3&lt;=9),0,VLOOKUP($A42,ScaledPrice3,9)))</f>
        <v>0</v>
      </c>
      <c r="F42" s="317" t="n">
        <f aca="false">IF(A42="N/A"," ",IF(OR(Dayrun3=2,Dayrun3=3,Dayrun3=5,Dayrun3=6,Dayrun3=8,Dayrun3=9),VLOOKUP(A42,ScaledPrice3,IF(Scaler3=1,6,5)),0))</f>
        <v>25.5</v>
      </c>
      <c r="G42" s="317" t="n">
        <f aca="false">IF(A42="N/A"," ",IF(OR(Dayrun3=2,Dayrun3=3,Dayrun3=5,Dayrun3=6),IF(Scaler3=2,F42,(VLOOKUP(A42,ScaledPrice3,5))*(2-(VLOOKUP(A42,ScaledPrice3,3)))),0))</f>
        <v>25.5</v>
      </c>
      <c r="H42" s="317" t="n">
        <f aca="false">IF($A42="N/A"," ",IF(OR(Dayrun3=2,Dayrun3=3,Dayrun3=10),VLOOKUP($A42,ScaledPrice3,9),0))</f>
        <v>0</v>
      </c>
      <c r="I42" s="317" t="n">
        <f aca="false">IF(A42="N/A"," ",IF(OR(Dayrun3=3,Dayrun3=6,Dayrun3=9),(VLOOKUP(A42,ScaledPrice3,IF(Scaler3=2,7,8))),0))</f>
        <v>20</v>
      </c>
      <c r="J42" s="317" t="n">
        <f aca="false">IF(A42="N/A"," ",IF(OR(Dayrun3=3,Dayrun3=6),IF(Scaler3=2,I42,(VLOOKUP(A42,ScaledPrice3,7))*(2-(VLOOKUP(A42,ScaledPrice3,3)))),0))</f>
        <v>20</v>
      </c>
      <c r="K42" s="317" t="n">
        <f aca="false">IF($A42="N/A"," ",IF(OR(Dayrun3=3,Dayrun3=10),VLOOKUP($A42,ScaledPrice3,9),0))</f>
        <v>0</v>
      </c>
      <c r="L42" s="318" t="n">
        <f aca="false">IF($A42="N/A"," ",IF(Pricetype3=2,MAX(C42,0),IF(OR(Pricetype3=1,Pricetype3=4),IF(C42=0,0,(EURO(C42,Strikeprice3,0,0,($AH42+IF(Smile=TRUE(),VLOOKUP(MAX(-5,Strikeprice3-C42),Volsmile,2),0)),($A42-DateToday)+15,IF(Pricetype3=1,1,0),0))),C42)))</f>
        <v>33.2876773213231</v>
      </c>
      <c r="M42" s="318" t="n">
        <f aca="false">IF($A42="N/A"," ",IF(Pricetype3=2,MAX(D42,0),IF(OR(Pricetype3=1,Pricetype3=4),IF(D42=0,0,(EURO(D42,Strikeprice3,0,0,($AH42+IF(Smile=TRUE(),VLOOKUP(MAX(-5,Strikeprice3-D42),Volsmile,2),0)),($A42-DateToday)+15,IF(Pricetype3=1,1,0),0))),D42)))</f>
        <v>33.2876773213231</v>
      </c>
      <c r="N42" s="318" t="n">
        <f aca="false">IF($A42="N/A"," ",IF(Pricetype3=2,MAX(E42,0),IF(OR(Pricetype3=1,Pricetype3=4),IF(E42=0,0,(EURO(E42,Strikeprice3,0,0,($AK42+IF(Smile=TRUE(),VLOOKUP(MAX(-5,Strikeprice3-E42),Volsmile,2),0)),($A42-DateToday)+15,IF(Pricetype3=1,1,0),0))),E42)))</f>
        <v>0</v>
      </c>
      <c r="O42" s="318" t="n">
        <f aca="false">IF($A42="N/A"," ",IF(Pricetype3=2,MAX(F42,0),IF(OR(Pricetype3=1,Pricetype3=4),IF(F42=0,0,(EURO(F42,Strikeprice3,0,0,($AK42+IF(Smile=TRUE(),VLOOKUP(MAX(-5,Strikeprice3-F42),Volsmile,2),0)),($A42-DateToday)+15,IF(Pricetype3=1,1,0),0))),F42)))</f>
        <v>25.5</v>
      </c>
      <c r="P42" s="318" t="n">
        <f aca="false">IF($A42="N/A"," ",IF(Pricetype3=2,MAX(G42,0),IF(OR(Pricetype3=1,Pricetype3=4),IF(G42=0,0,(EURO(G42,Strikeprice3,0,0,($AK42+IF(Smile=TRUE(),VLOOKUP(MAX(-5,Strikeprice3-G42),Volsmile,2),0)),($A42-DateToday)+15,IF(Pricetype3=1,1,0),0))),G42)))</f>
        <v>25.5</v>
      </c>
      <c r="Q42" s="318" t="n">
        <f aca="false">IF($A42="N/A"," ",IF(Pricetype3=2,MAX(H42,0),IF(OR(Pricetype3=1,Pricetype3=4),IF(H42=0,0,(EURO(H42,Strikeprice3,0,0,($AK42+IF(Smile=TRUE(),VLOOKUP(MAX(-5,Strikeprice3-H42),Volsmile,2),0)),($A42-DateToday)+15,IF(Pricetype3=1,1,0),0))),H42)))</f>
        <v>0</v>
      </c>
      <c r="R42" s="318" t="n">
        <f aca="false">IF($A42="N/A"," ",IF(Pricetype3=2,MAX(I42,0),IF(OR(Pricetype3=1,Pricetype3=4),IF(I42=0,0,(EURO(I42,Strikeprice3,0,0,($AK42+IF(Smile=TRUE(),VLOOKUP(MAX(-5,Strikeprice3-I42),Volsmile,2),0)),($A42-DateToday)+15,IF(Pricetype3=1,1,0),0))),I42)))</f>
        <v>20</v>
      </c>
      <c r="S42" s="318" t="n">
        <f aca="false">IF($A42="N/A"," ",IF(Pricetype3=2,MAX(J42,0),IF(OR(Pricetype3=1,Pricetype3=4),IF(J42=0,0,(EURO(J42,Strikeprice3,0,0,($AK42+IF(Smile=TRUE(),VLOOKUP(MAX(-5,Strikeprice3-J42),Volsmile,2),0)),($A42-DateToday)+15,IF(Pricetype3=1,1,0),0))),J42)))</f>
        <v>20</v>
      </c>
      <c r="T42" s="318" t="n">
        <f aca="false">IF($A42="N/A"," ",IF(Pricetype3=2,MAX(K42,0),IF(OR(Pricetype3=1,Pricetype3=4),IF(K42=0,0,(EURO(K42,Strikeprice3,0,0,($AK42+IF(Smile=TRUE(),VLOOKUP(MAX(-5,Strikeprice3-K42),Volsmile,2),0)),($A42-DateToday)+15,IF(Pricetype3=1,1,0),0))),K42)))</f>
        <v>0</v>
      </c>
      <c r="U42" s="319" t="e">
        <f aca="false">IF($A42="N/A"," ",Volume3*$AM42)</f>
        <v>#N/A</v>
      </c>
      <c r="V42" s="320" t="e">
        <f aca="false">IF($A42="N/A"," ",$U42*(8*($BQ42))*L42)</f>
        <v>#N/A</v>
      </c>
      <c r="W42" s="320" t="e">
        <f aca="false">IF($A42="N/A"," ",$U42*(8*($BQ42))*M42)</f>
        <v>#N/A</v>
      </c>
      <c r="X42" s="320" t="e">
        <f aca="false">IF($A42="N/A"," ",$U42*(8*($BQ42))*N42)</f>
        <v>#N/A</v>
      </c>
      <c r="Y42" s="320" t="e">
        <f aca="false">IF($A42="N/A"," ",$U42*(8*($BR42))*O42)</f>
        <v>#N/A</v>
      </c>
      <c r="Z42" s="320" t="e">
        <f aca="false">IF($A42="N/A"," ",$U42*(8*($BR42))*P42)</f>
        <v>#N/A</v>
      </c>
      <c r="AA42" s="320" t="e">
        <f aca="false">IF($A42="N/A"," ",$U42*(8*($BR42))*Q42)</f>
        <v>#N/A</v>
      </c>
      <c r="AB42" s="320" t="e">
        <f aca="false">IF($A42="N/A"," ",$U42*(8*($BS42))*R42)</f>
        <v>#N/A</v>
      </c>
      <c r="AC42" s="320" t="e">
        <f aca="false">IF($A42="N/A"," ",$U42*(8*($BS42))*S42)</f>
        <v>#N/A</v>
      </c>
      <c r="AD42" s="320" t="e">
        <f aca="false">IF($A42="N/A"," ",$U42*(8*($BS42))*T42)</f>
        <v>#N/A</v>
      </c>
      <c r="AE42" s="320" t="e">
        <f aca="false">IF($A42="N/A"," ",SUM(V42:AD42))</f>
        <v>#N/A</v>
      </c>
      <c r="AF42" s="321" t="n">
        <f aca="false">IF(A42="N/A"," ",(VLOOKUP(A42,PowerVolTable,(IF(VolBMO3=2,7,IF(VolBMO3=1,6,8))),FALSE())))</f>
        <v>0.16</v>
      </c>
      <c r="AG42" s="321" t="n">
        <f aca="false">IF(A42="N/A"," ",(VLOOKUP(A42,IntraPowerVol,(IF(VolBMO3=2,3,IF(VolBMO3=1,2,4))),FALSE())*VLOOKUP(MONTH($A42),Volscale,2)))</f>
        <v>0.28</v>
      </c>
      <c r="AH42" s="321" t="n">
        <f aca="false">IF($A42="N/A"," ",IF(VolType3=1,AG42,AF42))</f>
        <v>0.28</v>
      </c>
      <c r="AI42" s="321" t="n">
        <f aca="false">IF($A42="N/A"," ",(VLOOKUP($A42,OffPwrVolTable,(IF(VolBMO3=2,7,IF(VolBMO3=1,6,8))),FALSE())))</f>
        <v>0.08</v>
      </c>
      <c r="AJ42" s="321" t="n">
        <f aca="false">IF($A42="N/A"," ",(VLOOKUP($A42,OffPwrVolTable,(IF(VolBMO3=2,3,IF(VolBMO3=1,2,4))),FALSE())*VLOOKUP(MONTH($A42),Volscale,2)))</f>
        <v>0.168</v>
      </c>
      <c r="AK42" s="321" t="n">
        <f aca="false">IF($A42="N/A"," ",IF(VolType3=1,AJ42,AI42))</f>
        <v>0.168</v>
      </c>
      <c r="AL42" s="321" t="e">
        <f aca="false">IF($A42="N/A"," ",IF(PV=1,0,'Pricing Inputs3'!R75))</f>
        <v>#N/A</v>
      </c>
      <c r="AM42" s="323" t="e">
        <f aca="false">IF($A42="N/A"," ",(1+AL42/2)^(-2*((EOMONTH(A42,0)+20)-DateToday)/365.25))</f>
        <v>#N/A</v>
      </c>
      <c r="BQ42" s="0" t="n">
        <f aca="false">IF($A42="N/A"," ",(VLOOKUP($A42,NumberofDaysTable,2)))</f>
        <v>23</v>
      </c>
      <c r="BR42" s="0" t="n">
        <f aca="false">IF($A42="N/A"," ",(VLOOKUP($A42,NumberofDaysTable,3)))</f>
        <v>4</v>
      </c>
      <c r="BS42" s="0" t="n">
        <f aca="false">IF($A42="N/A"," ",(VLOOKUP($A42,NumberofDaysTable,4)))</f>
        <v>4</v>
      </c>
    </row>
    <row r="43" customFormat="false" ht="12.75" hidden="false" customHeight="false" outlineLevel="0" collapsed="false">
      <c r="A43" s="315" t="n">
        <f aca="false">IF(A42="N/A","N/A",IF(EDATE(A42,1)&gt;Inputs!$Q$5,"N/A",EDATE(A42,1)))</f>
        <v>38443</v>
      </c>
      <c r="B43" s="316" t="n">
        <f aca="false">IF(A43="N/A"," ",YEAR(A43))</f>
        <v>2005</v>
      </c>
      <c r="C43" s="317" t="n">
        <f aca="false">IF($A43="N/A"," ",IF(Dayrun3=10,0,IF(Scaler3=1,(VLOOKUP(A43,ScaledPrice3,4)),(VLOOKUP(A43,ScaledPrice3,2)))))</f>
        <v>33.4876780842626</v>
      </c>
      <c r="D43" s="317" t="n">
        <f aca="false">IF(A43="N/A"," ",IF(Dayrun3&gt;=7,0,IF(Scaler3=2,VLOOKUP(A43,ScaledPrice3,2),(VLOOKUP(A43,ScaledPrice3,2))*(2-(VLOOKUP(A43,ScaledPrice3,3))))))</f>
        <v>33.4876780842626</v>
      </c>
      <c r="E43" s="317" t="n">
        <f aca="false">IF($A43="N/A"," ",IF(AND(Dayrun3&gt;=4,Dayrun3&lt;=9),0,VLOOKUP($A43,ScaledPrice3,9)))</f>
        <v>0</v>
      </c>
      <c r="F43" s="317" t="n">
        <f aca="false">IF(A43="N/A"," ",IF(OR(Dayrun3=2,Dayrun3=3,Dayrun3=5,Dayrun3=6,Dayrun3=8,Dayrun3=9),VLOOKUP(A43,ScaledPrice3,IF(Scaler3=1,6,5)),0))</f>
        <v>22</v>
      </c>
      <c r="G43" s="317" t="n">
        <f aca="false">IF(A43="N/A"," ",IF(OR(Dayrun3=2,Dayrun3=3,Dayrun3=5,Dayrun3=6),IF(Scaler3=2,F43,(VLOOKUP(A43,ScaledPrice3,5))*(2-(VLOOKUP(A43,ScaledPrice3,3)))),0))</f>
        <v>22</v>
      </c>
      <c r="H43" s="317" t="n">
        <f aca="false">IF($A43="N/A"," ",IF(OR(Dayrun3=2,Dayrun3=3,Dayrun3=10),VLOOKUP($A43,ScaledPrice3,9),0))</f>
        <v>0</v>
      </c>
      <c r="I43" s="317" t="n">
        <f aca="false">IF(A43="N/A"," ",IF(OR(Dayrun3=3,Dayrun3=6,Dayrun3=9),(VLOOKUP(A43,ScaledPrice3,IF(Scaler3=2,7,8))),0))</f>
        <v>16.4950008392334</v>
      </c>
      <c r="J43" s="317" t="n">
        <f aca="false">IF(A43="N/A"," ",IF(OR(Dayrun3=3,Dayrun3=6),IF(Scaler3=2,I43,(VLOOKUP(A43,ScaledPrice3,7))*(2-(VLOOKUP(A43,ScaledPrice3,3)))),0))</f>
        <v>16.4950008392334</v>
      </c>
      <c r="K43" s="317" t="n">
        <f aca="false">IF($A43="N/A"," ",IF(OR(Dayrun3=3,Dayrun3=10),VLOOKUP($A43,ScaledPrice3,9),0))</f>
        <v>0</v>
      </c>
      <c r="L43" s="318" t="n">
        <f aca="false">IF($A43="N/A"," ",IF(Pricetype3=2,MAX(C43,0),IF(OR(Pricetype3=1,Pricetype3=4),IF(C43=0,0,(EURO(C43,Strikeprice3,0,0,($AH43+IF(Smile=TRUE(),VLOOKUP(MAX(-5,Strikeprice3-C43),Volsmile,2),0)),($A43-DateToday)+15,IF(Pricetype3=1,1,0),0))),C43)))</f>
        <v>33.4876780842626</v>
      </c>
      <c r="M43" s="318" t="n">
        <f aca="false">IF($A43="N/A"," ",IF(Pricetype3=2,MAX(D43,0),IF(OR(Pricetype3=1,Pricetype3=4),IF(D43=0,0,(EURO(D43,Strikeprice3,0,0,($AH43+IF(Smile=TRUE(),VLOOKUP(MAX(-5,Strikeprice3-D43),Volsmile,2),0)),($A43-DateToday)+15,IF(Pricetype3=1,1,0),0))),D43)))</f>
        <v>33.4876780842626</v>
      </c>
      <c r="N43" s="318" t="n">
        <f aca="false">IF($A43="N/A"," ",IF(Pricetype3=2,MAX(E43,0),IF(OR(Pricetype3=1,Pricetype3=4),IF(E43=0,0,(EURO(E43,Strikeprice3,0,0,($AK43+IF(Smile=TRUE(),VLOOKUP(MAX(-5,Strikeprice3-E43),Volsmile,2),0)),($A43-DateToday)+15,IF(Pricetype3=1,1,0),0))),E43)))</f>
        <v>0</v>
      </c>
      <c r="O43" s="318" t="n">
        <f aca="false">IF($A43="N/A"," ",IF(Pricetype3=2,MAX(F43,0),IF(OR(Pricetype3=1,Pricetype3=4),IF(F43=0,0,(EURO(F43,Strikeprice3,0,0,($AK43+IF(Smile=TRUE(),VLOOKUP(MAX(-5,Strikeprice3-F43),Volsmile,2),0)),($A43-DateToday)+15,IF(Pricetype3=1,1,0),0))),F43)))</f>
        <v>22</v>
      </c>
      <c r="P43" s="318" t="n">
        <f aca="false">IF($A43="N/A"," ",IF(Pricetype3=2,MAX(G43,0),IF(OR(Pricetype3=1,Pricetype3=4),IF(G43=0,0,(EURO(G43,Strikeprice3,0,0,($AK43+IF(Smile=TRUE(),VLOOKUP(MAX(-5,Strikeprice3-G43),Volsmile,2),0)),($A43-DateToday)+15,IF(Pricetype3=1,1,0),0))),G43)))</f>
        <v>22</v>
      </c>
      <c r="Q43" s="318" t="n">
        <f aca="false">IF($A43="N/A"," ",IF(Pricetype3=2,MAX(H43,0),IF(OR(Pricetype3=1,Pricetype3=4),IF(H43=0,0,(EURO(H43,Strikeprice3,0,0,($AK43+IF(Smile=TRUE(),VLOOKUP(MAX(-5,Strikeprice3-H43),Volsmile,2),0)),($A43-DateToday)+15,IF(Pricetype3=1,1,0),0))),H43)))</f>
        <v>0</v>
      </c>
      <c r="R43" s="318" t="n">
        <f aca="false">IF($A43="N/A"," ",IF(Pricetype3=2,MAX(I43,0),IF(OR(Pricetype3=1,Pricetype3=4),IF(I43=0,0,(EURO(I43,Strikeprice3,0,0,($AK43+IF(Smile=TRUE(),VLOOKUP(MAX(-5,Strikeprice3-I43),Volsmile,2),0)),($A43-DateToday)+15,IF(Pricetype3=1,1,0),0))),I43)))</f>
        <v>16.4950008392334</v>
      </c>
      <c r="S43" s="318" t="n">
        <f aca="false">IF($A43="N/A"," ",IF(Pricetype3=2,MAX(J43,0),IF(OR(Pricetype3=1,Pricetype3=4),IF(J43=0,0,(EURO(J43,Strikeprice3,0,0,($AK43+IF(Smile=TRUE(),VLOOKUP(MAX(-5,Strikeprice3-J43),Volsmile,2),0)),($A43-DateToday)+15,IF(Pricetype3=1,1,0),0))),J43)))</f>
        <v>16.4950008392334</v>
      </c>
      <c r="T43" s="318" t="n">
        <f aca="false">IF($A43="N/A"," ",IF(Pricetype3=2,MAX(K43,0),IF(OR(Pricetype3=1,Pricetype3=4),IF(K43=0,0,(EURO(K43,Strikeprice3,0,0,($AK43+IF(Smile=TRUE(),VLOOKUP(MAX(-5,Strikeprice3-K43),Volsmile,2),0)),($A43-DateToday)+15,IF(Pricetype3=1,1,0),0))),K43)))</f>
        <v>0</v>
      </c>
      <c r="U43" s="319" t="e">
        <f aca="false">IF($A43="N/A"," ",Volume3*$AM43)</f>
        <v>#N/A</v>
      </c>
      <c r="V43" s="320" t="e">
        <f aca="false">IF($A43="N/A"," ",$U43*(8*($BQ43))*L43)</f>
        <v>#N/A</v>
      </c>
      <c r="W43" s="320" t="e">
        <f aca="false">IF($A43="N/A"," ",$U43*(8*($BQ43))*M43)</f>
        <v>#N/A</v>
      </c>
      <c r="X43" s="320" t="e">
        <f aca="false">IF($A43="N/A"," ",$U43*(8*($BQ43))*N43)</f>
        <v>#N/A</v>
      </c>
      <c r="Y43" s="320" t="e">
        <f aca="false">IF($A43="N/A"," ",$U43*(8*($BR43))*O43)</f>
        <v>#N/A</v>
      </c>
      <c r="Z43" s="320" t="e">
        <f aca="false">IF($A43="N/A"," ",$U43*(8*($BR43))*P43)</f>
        <v>#N/A</v>
      </c>
      <c r="AA43" s="320" t="e">
        <f aca="false">IF($A43="N/A"," ",$U43*(8*($BR43))*Q43)</f>
        <v>#N/A</v>
      </c>
      <c r="AB43" s="320" t="e">
        <f aca="false">IF($A43="N/A"," ",$U43*(8*($BS43))*R43)</f>
        <v>#N/A</v>
      </c>
      <c r="AC43" s="320" t="e">
        <f aca="false">IF($A43="N/A"," ",$U43*(8*($BS43))*S43)</f>
        <v>#N/A</v>
      </c>
      <c r="AD43" s="320" t="e">
        <f aca="false">IF($A43="N/A"," ",$U43*(8*($BS43))*T43)</f>
        <v>#N/A</v>
      </c>
      <c r="AE43" s="320" t="e">
        <f aca="false">IF($A43="N/A"," ",SUM(V43:AD43))</f>
        <v>#N/A</v>
      </c>
      <c r="AF43" s="321" t="n">
        <f aca="false">IF(A43="N/A"," ",(VLOOKUP(A43,PowerVolTable,(IF(VolBMO3=2,7,IF(VolBMO3=1,6,8))),FALSE())))</f>
        <v>0.16</v>
      </c>
      <c r="AG43" s="321" t="n">
        <f aca="false">IF(A43="N/A"," ",(VLOOKUP(A43,IntraPowerVol,(IF(VolBMO3=2,3,IF(VolBMO3=1,2,4))),FALSE())*VLOOKUP(MONTH($A43),Volscale,2)))</f>
        <v>0.28</v>
      </c>
      <c r="AH43" s="321" t="n">
        <f aca="false">IF($A43="N/A"," ",IF(VolType3=1,AG43,AF43))</f>
        <v>0.28</v>
      </c>
      <c r="AI43" s="321" t="n">
        <f aca="false">IF($A43="N/A"," ",(VLOOKUP($A43,OffPwrVolTable,(IF(VolBMO3=2,7,IF(VolBMO3=1,6,8))),FALSE())))</f>
        <v>0.08</v>
      </c>
      <c r="AJ43" s="321" t="n">
        <f aca="false">IF($A43="N/A"," ",(VLOOKUP($A43,OffPwrVolTable,(IF(VolBMO3=2,3,IF(VolBMO3=1,2,4))),FALSE())*VLOOKUP(MONTH($A43),Volscale,2)))</f>
        <v>0.168</v>
      </c>
      <c r="AK43" s="321" t="n">
        <f aca="false">IF($A43="N/A"," ",IF(VolType3=1,AJ43,AI43))</f>
        <v>0.168</v>
      </c>
      <c r="AL43" s="321" t="e">
        <f aca="false">IF($A43="N/A"," ",IF(PV=1,0,'Pricing Inputs3'!R76))</f>
        <v>#N/A</v>
      </c>
      <c r="AM43" s="323" t="e">
        <f aca="false">IF($A43="N/A"," ",(1+AL43/2)^(-2*((EOMONTH(A43,0)+20)-DateToday)/365.25))</f>
        <v>#N/A</v>
      </c>
      <c r="BQ43" s="0" t="n">
        <f aca="false">IF($A43="N/A"," ",(VLOOKUP($A43,NumberofDaysTable,2)))</f>
        <v>21</v>
      </c>
      <c r="BR43" s="0" t="n">
        <f aca="false">IF($A43="N/A"," ",(VLOOKUP($A43,NumberofDaysTable,3)))</f>
        <v>5</v>
      </c>
      <c r="BS43" s="0" t="n">
        <f aca="false">IF($A43="N/A"," ",(VLOOKUP($A43,NumberofDaysTable,4)))</f>
        <v>4</v>
      </c>
    </row>
    <row r="44" customFormat="false" ht="12.75" hidden="false" customHeight="false" outlineLevel="0" collapsed="false">
      <c r="A44" s="315" t="n">
        <f aca="false">IF(A43="N/A","N/A",IF(EDATE(A43,1)&gt;Inputs!$Q$5,"N/A",EDATE(A43,1)))</f>
        <v>38473</v>
      </c>
      <c r="B44" s="316" t="n">
        <f aca="false">IF(A44="N/A"," ",YEAR(A44))</f>
        <v>2005</v>
      </c>
      <c r="C44" s="317" t="n">
        <f aca="false">IF($A44="N/A"," ",IF(Dayrun3=10,0,IF(Scaler3=1,(VLOOKUP(A44,ScaledPrice3,4)),(VLOOKUP(A44,ScaledPrice3,2)))))</f>
        <v>36.2650032043457</v>
      </c>
      <c r="D44" s="317" t="n">
        <f aca="false">IF(A44="N/A"," ",IF(Dayrun3&gt;=7,0,IF(Scaler3=2,VLOOKUP(A44,ScaledPrice3,2),(VLOOKUP(A44,ScaledPrice3,2))*(2-(VLOOKUP(A44,ScaledPrice3,3))))))</f>
        <v>36.2650032043457</v>
      </c>
      <c r="E44" s="317" t="n">
        <f aca="false">IF($A44="N/A"," ",IF(AND(Dayrun3&gt;=4,Dayrun3&lt;=9),0,VLOOKUP($A44,ScaledPrice3,9)))</f>
        <v>0</v>
      </c>
      <c r="F44" s="317" t="n">
        <f aca="false">IF(A44="N/A"," ",IF(OR(Dayrun3=2,Dayrun3=3,Dayrun3=5,Dayrun3=6,Dayrun3=8,Dayrun3=9),VLOOKUP(A44,ScaledPrice3,IF(Scaler3=1,6,5)),0))</f>
        <v>22.2900009155273</v>
      </c>
      <c r="G44" s="317" t="n">
        <f aca="false">IF(A44="N/A"," ",IF(OR(Dayrun3=2,Dayrun3=3,Dayrun3=5,Dayrun3=6),IF(Scaler3=2,F44,(VLOOKUP(A44,ScaledPrice3,5))*(2-(VLOOKUP(A44,ScaledPrice3,3)))),0))</f>
        <v>22.2900009155273</v>
      </c>
      <c r="H44" s="317" t="n">
        <f aca="false">IF($A44="N/A"," ",IF(OR(Dayrun3=2,Dayrun3=3,Dayrun3=10),VLOOKUP($A44,ScaledPrice3,9),0))</f>
        <v>0</v>
      </c>
      <c r="I44" s="317" t="n">
        <f aca="false">IF(A44="N/A"," ",IF(OR(Dayrun3=3,Dayrun3=6,Dayrun3=9),(VLOOKUP(A44,ScaledPrice3,IF(Scaler3=2,7,8))),0))</f>
        <v>15.7950000762939</v>
      </c>
      <c r="J44" s="317" t="n">
        <f aca="false">IF(A44="N/A"," ",IF(OR(Dayrun3=3,Dayrun3=6),IF(Scaler3=2,I44,(VLOOKUP(A44,ScaledPrice3,7))*(2-(VLOOKUP(A44,ScaledPrice3,3)))),0))</f>
        <v>15.7950000762939</v>
      </c>
      <c r="K44" s="317" t="n">
        <f aca="false">IF($A44="N/A"," ",IF(OR(Dayrun3=3,Dayrun3=10),VLOOKUP($A44,ScaledPrice3,9),0))</f>
        <v>0</v>
      </c>
      <c r="L44" s="318" t="n">
        <f aca="false">IF($A44="N/A"," ",IF(Pricetype3=2,MAX(C44,0),IF(OR(Pricetype3=1,Pricetype3=4),IF(C44=0,0,(EURO(C44,Strikeprice3,0,0,($AH44+IF(Smile=TRUE(),VLOOKUP(MAX(-5,Strikeprice3-C44),Volsmile,2),0)),($A44-DateToday)+15,IF(Pricetype3=1,1,0),0))),C44)))</f>
        <v>36.2650032043457</v>
      </c>
      <c r="M44" s="318" t="n">
        <f aca="false">IF($A44="N/A"," ",IF(Pricetype3=2,MAX(D44,0),IF(OR(Pricetype3=1,Pricetype3=4),IF(D44=0,0,(EURO(D44,Strikeprice3,0,0,($AH44+IF(Smile=TRUE(),VLOOKUP(MAX(-5,Strikeprice3-D44),Volsmile,2),0)),($A44-DateToday)+15,IF(Pricetype3=1,1,0),0))),D44)))</f>
        <v>36.2650032043457</v>
      </c>
      <c r="N44" s="318" t="n">
        <f aca="false">IF($A44="N/A"," ",IF(Pricetype3=2,MAX(E44,0),IF(OR(Pricetype3=1,Pricetype3=4),IF(E44=0,0,(EURO(E44,Strikeprice3,0,0,($AK44+IF(Smile=TRUE(),VLOOKUP(MAX(-5,Strikeprice3-E44),Volsmile,2),0)),($A44-DateToday)+15,IF(Pricetype3=1,1,0),0))),E44)))</f>
        <v>0</v>
      </c>
      <c r="O44" s="318" t="n">
        <f aca="false">IF($A44="N/A"," ",IF(Pricetype3=2,MAX(F44,0),IF(OR(Pricetype3=1,Pricetype3=4),IF(F44=0,0,(EURO(F44,Strikeprice3,0,0,($AK44+IF(Smile=TRUE(),VLOOKUP(MAX(-5,Strikeprice3-F44),Volsmile,2),0)),($A44-DateToday)+15,IF(Pricetype3=1,1,0),0))),F44)))</f>
        <v>22.2900009155273</v>
      </c>
      <c r="P44" s="318" t="n">
        <f aca="false">IF($A44="N/A"," ",IF(Pricetype3=2,MAX(G44,0),IF(OR(Pricetype3=1,Pricetype3=4),IF(G44=0,0,(EURO(G44,Strikeprice3,0,0,($AK44+IF(Smile=TRUE(),VLOOKUP(MAX(-5,Strikeprice3-G44),Volsmile,2),0)),($A44-DateToday)+15,IF(Pricetype3=1,1,0),0))),G44)))</f>
        <v>22.2900009155273</v>
      </c>
      <c r="Q44" s="318" t="n">
        <f aca="false">IF($A44="N/A"," ",IF(Pricetype3=2,MAX(H44,0),IF(OR(Pricetype3=1,Pricetype3=4),IF(H44=0,0,(EURO(H44,Strikeprice3,0,0,($AK44+IF(Smile=TRUE(),VLOOKUP(MAX(-5,Strikeprice3-H44),Volsmile,2),0)),($A44-DateToday)+15,IF(Pricetype3=1,1,0),0))),H44)))</f>
        <v>0</v>
      </c>
      <c r="R44" s="318" t="n">
        <f aca="false">IF($A44="N/A"," ",IF(Pricetype3=2,MAX(I44,0),IF(OR(Pricetype3=1,Pricetype3=4),IF(I44=0,0,(EURO(I44,Strikeprice3,0,0,($AK44+IF(Smile=TRUE(),VLOOKUP(MAX(-5,Strikeprice3-I44),Volsmile,2),0)),($A44-DateToday)+15,IF(Pricetype3=1,1,0),0))),I44)))</f>
        <v>15.7950000762939</v>
      </c>
      <c r="S44" s="318" t="n">
        <f aca="false">IF($A44="N/A"," ",IF(Pricetype3=2,MAX(J44,0),IF(OR(Pricetype3=1,Pricetype3=4),IF(J44=0,0,(EURO(J44,Strikeprice3,0,0,($AK44+IF(Smile=TRUE(),VLOOKUP(MAX(-5,Strikeprice3-J44),Volsmile,2),0)),($A44-DateToday)+15,IF(Pricetype3=1,1,0),0))),J44)))</f>
        <v>15.7950000762939</v>
      </c>
      <c r="T44" s="318" t="n">
        <f aca="false">IF($A44="N/A"," ",IF(Pricetype3=2,MAX(K44,0),IF(OR(Pricetype3=1,Pricetype3=4),IF(K44=0,0,(EURO(K44,Strikeprice3,0,0,($AK44+IF(Smile=TRUE(),VLOOKUP(MAX(-5,Strikeprice3-K44),Volsmile,2),0)),($A44-DateToday)+15,IF(Pricetype3=1,1,0),0))),K44)))</f>
        <v>0</v>
      </c>
      <c r="U44" s="319" t="e">
        <f aca="false">IF($A44="N/A"," ",Volume3*$AM44)</f>
        <v>#N/A</v>
      </c>
      <c r="V44" s="320" t="e">
        <f aca="false">IF($A44="N/A"," ",$U44*(8*($BQ44))*L44)</f>
        <v>#N/A</v>
      </c>
      <c r="W44" s="320" t="e">
        <f aca="false">IF($A44="N/A"," ",$U44*(8*($BQ44))*M44)</f>
        <v>#N/A</v>
      </c>
      <c r="X44" s="320" t="e">
        <f aca="false">IF($A44="N/A"," ",$U44*(8*($BQ44))*N44)</f>
        <v>#N/A</v>
      </c>
      <c r="Y44" s="320" t="e">
        <f aca="false">IF($A44="N/A"," ",$U44*(8*($BR44))*O44)</f>
        <v>#N/A</v>
      </c>
      <c r="Z44" s="320" t="e">
        <f aca="false">IF($A44="N/A"," ",$U44*(8*($BR44))*P44)</f>
        <v>#N/A</v>
      </c>
      <c r="AA44" s="320" t="e">
        <f aca="false">IF($A44="N/A"," ",$U44*(8*($BR44))*Q44)</f>
        <v>#N/A</v>
      </c>
      <c r="AB44" s="320" t="e">
        <f aca="false">IF($A44="N/A"," ",$U44*(8*($BS44))*R44)</f>
        <v>#N/A</v>
      </c>
      <c r="AC44" s="320" t="e">
        <f aca="false">IF($A44="N/A"," ",$U44*(8*($BS44))*S44)</f>
        <v>#N/A</v>
      </c>
      <c r="AD44" s="320" t="e">
        <f aca="false">IF($A44="N/A"," ",$U44*(8*($BS44))*T44)</f>
        <v>#N/A</v>
      </c>
      <c r="AE44" s="320" t="e">
        <f aca="false">IF($A44="N/A"," ",SUM(V44:AD44))</f>
        <v>#N/A</v>
      </c>
      <c r="AF44" s="321" t="n">
        <f aca="false">IF(A44="N/A"," ",(VLOOKUP(A44,PowerVolTable,(IF(VolBMO3=2,7,IF(VolBMO3=1,6,8))),FALSE())))</f>
        <v>0.16</v>
      </c>
      <c r="AG44" s="321" t="n">
        <f aca="false">IF(A44="N/A"," ",(VLOOKUP(A44,IntraPowerVol,(IF(VolBMO3=2,3,IF(VolBMO3=1,2,4))),FALSE())*VLOOKUP(MONTH($A44),Volscale,2)))</f>
        <v>0.36</v>
      </c>
      <c r="AH44" s="321" t="n">
        <f aca="false">IF($A44="N/A"," ",IF(VolType3=1,AG44,AF44))</f>
        <v>0.36</v>
      </c>
      <c r="AI44" s="321" t="n">
        <f aca="false">IF($A44="N/A"," ",(VLOOKUP($A44,OffPwrVolTable,(IF(VolBMO3=2,7,IF(VolBMO3=1,6,8))),FALSE())))</f>
        <v>0.08</v>
      </c>
      <c r="AJ44" s="321" t="n">
        <f aca="false">IF($A44="N/A"," ",(VLOOKUP($A44,OffPwrVolTable,(IF(VolBMO3=2,3,IF(VolBMO3=1,2,4))),FALSE())*VLOOKUP(MONTH($A44),Volscale,2)))</f>
        <v>0.216</v>
      </c>
      <c r="AK44" s="321" t="n">
        <f aca="false">IF($A44="N/A"," ",IF(VolType3=1,AJ44,AI44))</f>
        <v>0.216</v>
      </c>
      <c r="AL44" s="321" t="e">
        <f aca="false">IF($A44="N/A"," ",IF(PV=1,0,'Pricing Inputs3'!R77))</f>
        <v>#N/A</v>
      </c>
      <c r="AM44" s="323" t="e">
        <f aca="false">IF($A44="N/A"," ",(1+AL44/2)^(-2*((EOMONTH(A44,0)+20)-DateToday)/365.25))</f>
        <v>#N/A</v>
      </c>
      <c r="BQ44" s="0" t="n">
        <f aca="false">IF($A44="N/A"," ",(VLOOKUP($A44,NumberofDaysTable,2)))</f>
        <v>21</v>
      </c>
      <c r="BR44" s="0" t="n">
        <f aca="false">IF($A44="N/A"," ",(VLOOKUP($A44,NumberofDaysTable,3)))</f>
        <v>4</v>
      </c>
      <c r="BS44" s="0" t="n">
        <f aca="false">IF($A44="N/A"," ",(VLOOKUP($A44,NumberofDaysTable,4)))</f>
        <v>6</v>
      </c>
    </row>
    <row r="45" customFormat="false" ht="12.75" hidden="false" customHeight="false" outlineLevel="0" collapsed="false">
      <c r="A45" s="315" t="n">
        <f aca="false">IF(A44="N/A","N/A",IF(EDATE(A44,1)&gt;Inputs!$Q$5,"N/A",EDATE(A44,1)))</f>
        <v>38504</v>
      </c>
      <c r="B45" s="316" t="n">
        <f aca="false">IF(A45="N/A"," ",YEAR(A45))</f>
        <v>2005</v>
      </c>
      <c r="C45" s="317" t="n">
        <f aca="false">IF($A45="N/A"," ",IF(Dayrun3=10,0,IF(Scaler3=1,(VLOOKUP(A45,ScaledPrice3,4)),(VLOOKUP(A45,ScaledPrice3,2)))))</f>
        <v>42.3750038146973</v>
      </c>
      <c r="D45" s="317" t="n">
        <f aca="false">IF(A45="N/A"," ",IF(Dayrun3&gt;=7,0,IF(Scaler3=2,VLOOKUP(A45,ScaledPrice3,2),(VLOOKUP(A45,ScaledPrice3,2))*(2-(VLOOKUP(A45,ScaledPrice3,3))))))</f>
        <v>42.3750038146973</v>
      </c>
      <c r="E45" s="317" t="n">
        <f aca="false">IF($A45="N/A"," ",IF(AND(Dayrun3&gt;=4,Dayrun3&lt;=9),0,VLOOKUP($A45,ScaledPrice3,9)))</f>
        <v>0</v>
      </c>
      <c r="F45" s="317" t="n">
        <f aca="false">IF(A45="N/A"," ",IF(OR(Dayrun3=2,Dayrun3=3,Dayrun3=5,Dayrun3=6,Dayrun3=8,Dayrun3=9),VLOOKUP(A45,ScaledPrice3,IF(Scaler3=1,6,5)),0))</f>
        <v>29.2900009155273</v>
      </c>
      <c r="G45" s="317" t="n">
        <f aca="false">IF(A45="N/A"," ",IF(OR(Dayrun3=2,Dayrun3=3,Dayrun3=5,Dayrun3=6),IF(Scaler3=2,F45,(VLOOKUP(A45,ScaledPrice3,5))*(2-(VLOOKUP(A45,ScaledPrice3,3)))),0))</f>
        <v>29.2900009155273</v>
      </c>
      <c r="H45" s="317" t="n">
        <f aca="false">IF($A45="N/A"," ",IF(OR(Dayrun3=2,Dayrun3=3,Dayrun3=10),VLOOKUP($A45,ScaledPrice3,9),0))</f>
        <v>0</v>
      </c>
      <c r="I45" s="317" t="n">
        <f aca="false">IF(A45="N/A"," ",IF(OR(Dayrun3=3,Dayrun3=6,Dayrun3=9),(VLOOKUP(A45,ScaledPrice3,IF(Scaler3=2,7,8))),0))</f>
        <v>19.7900009155273</v>
      </c>
      <c r="J45" s="317" t="n">
        <f aca="false">IF(A45="N/A"," ",IF(OR(Dayrun3=3,Dayrun3=6),IF(Scaler3=2,I45,(VLOOKUP(A45,ScaledPrice3,7))*(2-(VLOOKUP(A45,ScaledPrice3,3)))),0))</f>
        <v>19.7900009155273</v>
      </c>
      <c r="K45" s="317" t="n">
        <f aca="false">IF($A45="N/A"," ",IF(OR(Dayrun3=3,Dayrun3=10),VLOOKUP($A45,ScaledPrice3,9),0))</f>
        <v>0</v>
      </c>
      <c r="L45" s="318" t="n">
        <f aca="false">IF($A45="N/A"," ",IF(Pricetype3=2,MAX(C45,0),IF(OR(Pricetype3=1,Pricetype3=4),IF(C45=0,0,(EURO(C45,Strikeprice3,0,0,($AH45+IF(Smile=TRUE(),VLOOKUP(MAX(-5,Strikeprice3-C45),Volsmile,2),0)),($A45-DateToday)+15,IF(Pricetype3=1,1,0),0))),C45)))</f>
        <v>42.3750038146973</v>
      </c>
      <c r="M45" s="318" t="n">
        <f aca="false">IF($A45="N/A"," ",IF(Pricetype3=2,MAX(D45,0),IF(OR(Pricetype3=1,Pricetype3=4),IF(D45=0,0,(EURO(D45,Strikeprice3,0,0,($AH45+IF(Smile=TRUE(),VLOOKUP(MAX(-5,Strikeprice3-D45),Volsmile,2),0)),($A45-DateToday)+15,IF(Pricetype3=1,1,0),0))),D45)))</f>
        <v>42.3750038146973</v>
      </c>
      <c r="N45" s="318" t="n">
        <f aca="false">IF($A45="N/A"," ",IF(Pricetype3=2,MAX(E45,0),IF(OR(Pricetype3=1,Pricetype3=4),IF(E45=0,0,(EURO(E45,Strikeprice3,0,0,($AK45+IF(Smile=TRUE(),VLOOKUP(MAX(-5,Strikeprice3-E45),Volsmile,2),0)),($A45-DateToday)+15,IF(Pricetype3=1,1,0),0))),E45)))</f>
        <v>0</v>
      </c>
      <c r="O45" s="318" t="n">
        <f aca="false">IF($A45="N/A"," ",IF(Pricetype3=2,MAX(F45,0),IF(OR(Pricetype3=1,Pricetype3=4),IF(F45=0,0,(EURO(F45,Strikeprice3,0,0,($AK45+IF(Smile=TRUE(),VLOOKUP(MAX(-5,Strikeprice3-F45),Volsmile,2),0)),($A45-DateToday)+15,IF(Pricetype3=1,1,0),0))),F45)))</f>
        <v>29.2900009155273</v>
      </c>
      <c r="P45" s="318" t="n">
        <f aca="false">IF($A45="N/A"," ",IF(Pricetype3=2,MAX(G45,0),IF(OR(Pricetype3=1,Pricetype3=4),IF(G45=0,0,(EURO(G45,Strikeprice3,0,0,($AK45+IF(Smile=TRUE(),VLOOKUP(MAX(-5,Strikeprice3-G45),Volsmile,2),0)),($A45-DateToday)+15,IF(Pricetype3=1,1,0),0))),G45)))</f>
        <v>29.2900009155273</v>
      </c>
      <c r="Q45" s="318" t="n">
        <f aca="false">IF($A45="N/A"," ",IF(Pricetype3=2,MAX(H45,0),IF(OR(Pricetype3=1,Pricetype3=4),IF(H45=0,0,(EURO(H45,Strikeprice3,0,0,($AK45+IF(Smile=TRUE(),VLOOKUP(MAX(-5,Strikeprice3-H45),Volsmile,2),0)),($A45-DateToday)+15,IF(Pricetype3=1,1,0),0))),H45)))</f>
        <v>0</v>
      </c>
      <c r="R45" s="318" t="n">
        <f aca="false">IF($A45="N/A"," ",IF(Pricetype3=2,MAX(I45,0),IF(OR(Pricetype3=1,Pricetype3=4),IF(I45=0,0,(EURO(I45,Strikeprice3,0,0,($AK45+IF(Smile=TRUE(),VLOOKUP(MAX(-5,Strikeprice3-I45),Volsmile,2),0)),($A45-DateToday)+15,IF(Pricetype3=1,1,0),0))),I45)))</f>
        <v>19.7900009155273</v>
      </c>
      <c r="S45" s="318" t="n">
        <f aca="false">IF($A45="N/A"," ",IF(Pricetype3=2,MAX(J45,0),IF(OR(Pricetype3=1,Pricetype3=4),IF(J45=0,0,(EURO(J45,Strikeprice3,0,0,($AK45+IF(Smile=TRUE(),VLOOKUP(MAX(-5,Strikeprice3-J45),Volsmile,2),0)),($A45-DateToday)+15,IF(Pricetype3=1,1,0),0))),J45)))</f>
        <v>19.7900009155273</v>
      </c>
      <c r="T45" s="318" t="n">
        <f aca="false">IF($A45="N/A"," ",IF(Pricetype3=2,MAX(K45,0),IF(OR(Pricetype3=1,Pricetype3=4),IF(K45=0,0,(EURO(K45,Strikeprice3,0,0,($AK45+IF(Smile=TRUE(),VLOOKUP(MAX(-5,Strikeprice3-K45),Volsmile,2),0)),($A45-DateToday)+15,IF(Pricetype3=1,1,0),0))),K45)))</f>
        <v>0</v>
      </c>
      <c r="U45" s="319" t="e">
        <f aca="false">IF($A45="N/A"," ",Volume3*$AM45)</f>
        <v>#N/A</v>
      </c>
      <c r="V45" s="320" t="e">
        <f aca="false">IF($A45="N/A"," ",$U45*(8*($BQ45))*L45)</f>
        <v>#N/A</v>
      </c>
      <c r="W45" s="320" t="e">
        <f aca="false">IF($A45="N/A"," ",$U45*(8*($BQ45))*M45)</f>
        <v>#N/A</v>
      </c>
      <c r="X45" s="320" t="e">
        <f aca="false">IF($A45="N/A"," ",$U45*(8*($BQ45))*N45)</f>
        <v>#N/A</v>
      </c>
      <c r="Y45" s="320" t="e">
        <f aca="false">IF($A45="N/A"," ",$U45*(8*($BR45))*O45)</f>
        <v>#N/A</v>
      </c>
      <c r="Z45" s="320" t="e">
        <f aca="false">IF($A45="N/A"," ",$U45*(8*($BR45))*P45)</f>
        <v>#N/A</v>
      </c>
      <c r="AA45" s="320" t="e">
        <f aca="false">IF($A45="N/A"," ",$U45*(8*($BR45))*Q45)</f>
        <v>#N/A</v>
      </c>
      <c r="AB45" s="320" t="e">
        <f aca="false">IF($A45="N/A"," ",$U45*(8*($BS45))*R45)</f>
        <v>#N/A</v>
      </c>
      <c r="AC45" s="320" t="e">
        <f aca="false">IF($A45="N/A"," ",$U45*(8*($BS45))*S45)</f>
        <v>#N/A</v>
      </c>
      <c r="AD45" s="320" t="e">
        <f aca="false">IF($A45="N/A"," ",$U45*(8*($BS45))*T45)</f>
        <v>#N/A</v>
      </c>
      <c r="AE45" s="320" t="e">
        <f aca="false">IF($A45="N/A"," ",SUM(V45:AD45))</f>
        <v>#N/A</v>
      </c>
      <c r="AF45" s="321" t="n">
        <f aca="false">IF(A45="N/A"," ",(VLOOKUP(A45,PowerVolTable,(IF(VolBMO3=2,7,IF(VolBMO3=1,6,8))),FALSE())))</f>
        <v>0.16</v>
      </c>
      <c r="AG45" s="321" t="n">
        <f aca="false">IF(A45="N/A"," ",(VLOOKUP(A45,IntraPowerVol,(IF(VolBMO3=2,3,IF(VolBMO3=1,2,4))),FALSE())*VLOOKUP(MONTH($A45),Volscale,2)))</f>
        <v>0.36</v>
      </c>
      <c r="AH45" s="321" t="n">
        <f aca="false">IF($A45="N/A"," ",IF(VolType3=1,AG45,AF45))</f>
        <v>0.36</v>
      </c>
      <c r="AI45" s="321" t="n">
        <f aca="false">IF($A45="N/A"," ",(VLOOKUP($A45,OffPwrVolTable,(IF(VolBMO3=2,7,IF(VolBMO3=1,6,8))),FALSE())))</f>
        <v>0.08</v>
      </c>
      <c r="AJ45" s="321" t="n">
        <f aca="false">IF($A45="N/A"," ",(VLOOKUP($A45,OffPwrVolTable,(IF(VolBMO3=2,3,IF(VolBMO3=1,2,4))),FALSE())*VLOOKUP(MONTH($A45),Volscale,2)))</f>
        <v>0.216</v>
      </c>
      <c r="AK45" s="321" t="n">
        <f aca="false">IF($A45="N/A"," ",IF(VolType3=1,AJ45,AI45))</f>
        <v>0.216</v>
      </c>
      <c r="AL45" s="321" t="e">
        <f aca="false">IF($A45="N/A"," ",IF(PV=1,0,'Pricing Inputs3'!R78))</f>
        <v>#N/A</v>
      </c>
      <c r="AM45" s="323" t="e">
        <f aca="false">IF($A45="N/A"," ",(1+AL45/2)^(-2*((EOMONTH(A45,0)+20)-DateToday)/365.25))</f>
        <v>#N/A</v>
      </c>
      <c r="BQ45" s="0" t="n">
        <f aca="false">IF($A45="N/A"," ",(VLOOKUP($A45,NumberofDaysTable,2)))</f>
        <v>22</v>
      </c>
      <c r="BR45" s="0" t="n">
        <f aca="false">IF($A45="N/A"," ",(VLOOKUP($A45,NumberofDaysTable,3)))</f>
        <v>4</v>
      </c>
      <c r="BS45" s="0" t="n">
        <f aca="false">IF($A45="N/A"," ",(VLOOKUP($A45,NumberofDaysTable,4)))</f>
        <v>4</v>
      </c>
    </row>
    <row r="46" customFormat="false" ht="12.75" hidden="false" customHeight="false" outlineLevel="0" collapsed="false">
      <c r="A46" s="315" t="n">
        <f aca="false">IF(A45="N/A","N/A",IF(EDATE(A45,1)&gt;Inputs!$Q$5,"N/A",EDATE(A45,1)))</f>
        <v>38534</v>
      </c>
      <c r="B46" s="316" t="n">
        <f aca="false">IF(A46="N/A"," ",YEAR(A46))</f>
        <v>2005</v>
      </c>
      <c r="C46" s="317" t="n">
        <f aca="false">IF($A46="N/A"," ",IF(Dayrun3=10,0,IF(Scaler3=1,(VLOOKUP(A46,ScaledPrice3,4)),(VLOOKUP(A46,ScaledPrice3,2)))))</f>
        <v>50.5</v>
      </c>
      <c r="D46" s="317" t="n">
        <f aca="false">IF(A46="N/A"," ",IF(Dayrun3&gt;=7,0,IF(Scaler3=2,VLOOKUP(A46,ScaledPrice3,2),(VLOOKUP(A46,ScaledPrice3,2))*(2-(VLOOKUP(A46,ScaledPrice3,3))))))</f>
        <v>50.5</v>
      </c>
      <c r="E46" s="317" t="n">
        <f aca="false">IF($A46="N/A"," ",IF(AND(Dayrun3&gt;=4,Dayrun3&lt;=9),0,VLOOKUP($A46,ScaledPrice3,9)))</f>
        <v>0</v>
      </c>
      <c r="F46" s="317" t="n">
        <f aca="false">IF(A46="N/A"," ",IF(OR(Dayrun3=2,Dayrun3=3,Dayrun3=5,Dayrun3=6,Dayrun3=8,Dayrun3=9),VLOOKUP(A46,ScaledPrice3,IF(Scaler3=1,6,5)),0))</f>
        <v>35.2900009155273</v>
      </c>
      <c r="G46" s="317" t="n">
        <f aca="false">IF(A46="N/A"," ",IF(OR(Dayrun3=2,Dayrun3=3,Dayrun3=5,Dayrun3=6),IF(Scaler3=2,F46,(VLOOKUP(A46,ScaledPrice3,5))*(2-(VLOOKUP(A46,ScaledPrice3,3)))),0))</f>
        <v>35.2900009155273</v>
      </c>
      <c r="H46" s="317" t="n">
        <f aca="false">IF($A46="N/A"," ",IF(OR(Dayrun3=2,Dayrun3=3,Dayrun3=10),VLOOKUP($A46,ScaledPrice3,9),0))</f>
        <v>0</v>
      </c>
      <c r="I46" s="317" t="n">
        <f aca="false">IF(A46="N/A"," ",IF(OR(Dayrun3=3,Dayrun3=6,Dayrun3=9),(VLOOKUP(A46,ScaledPrice3,IF(Scaler3=2,7,8))),0))</f>
        <v>25.7900009155273</v>
      </c>
      <c r="J46" s="317" t="n">
        <f aca="false">IF(A46="N/A"," ",IF(OR(Dayrun3=3,Dayrun3=6),IF(Scaler3=2,I46,(VLOOKUP(A46,ScaledPrice3,7))*(2-(VLOOKUP(A46,ScaledPrice3,3)))),0))</f>
        <v>25.7900009155273</v>
      </c>
      <c r="K46" s="317" t="n">
        <f aca="false">IF($A46="N/A"," ",IF(OR(Dayrun3=3,Dayrun3=10),VLOOKUP($A46,ScaledPrice3,9),0))</f>
        <v>0</v>
      </c>
      <c r="L46" s="318" t="n">
        <f aca="false">IF($A46="N/A"," ",IF(Pricetype3=2,MAX(C46,0),IF(OR(Pricetype3=1,Pricetype3=4),IF(C46=0,0,(EURO(C46,Strikeprice3,0,0,($AH46+IF(Smile=TRUE(),VLOOKUP(MAX(-5,Strikeprice3-C46),Volsmile,2),0)),($A46-DateToday)+15,IF(Pricetype3=1,1,0),0))),C46)))</f>
        <v>50.5</v>
      </c>
      <c r="M46" s="318" t="n">
        <f aca="false">IF($A46="N/A"," ",IF(Pricetype3=2,MAX(D46,0),IF(OR(Pricetype3=1,Pricetype3=4),IF(D46=0,0,(EURO(D46,Strikeprice3,0,0,($AH46+IF(Smile=TRUE(),VLOOKUP(MAX(-5,Strikeprice3-D46),Volsmile,2),0)),($A46-DateToday)+15,IF(Pricetype3=1,1,0),0))),D46)))</f>
        <v>50.5</v>
      </c>
      <c r="N46" s="318" t="n">
        <f aca="false">IF($A46="N/A"," ",IF(Pricetype3=2,MAX(E46,0),IF(OR(Pricetype3=1,Pricetype3=4),IF(E46=0,0,(EURO(E46,Strikeprice3,0,0,($AK46+IF(Smile=TRUE(),VLOOKUP(MAX(-5,Strikeprice3-E46),Volsmile,2),0)),($A46-DateToday)+15,IF(Pricetype3=1,1,0),0))),E46)))</f>
        <v>0</v>
      </c>
      <c r="O46" s="318" t="n">
        <f aca="false">IF($A46="N/A"," ",IF(Pricetype3=2,MAX(F46,0),IF(OR(Pricetype3=1,Pricetype3=4),IF(F46=0,0,(EURO(F46,Strikeprice3,0,0,($AK46+IF(Smile=TRUE(),VLOOKUP(MAX(-5,Strikeprice3-F46),Volsmile,2),0)),($A46-DateToday)+15,IF(Pricetype3=1,1,0),0))),F46)))</f>
        <v>35.2900009155273</v>
      </c>
      <c r="P46" s="318" t="n">
        <f aca="false">IF($A46="N/A"," ",IF(Pricetype3=2,MAX(G46,0),IF(OR(Pricetype3=1,Pricetype3=4),IF(G46=0,0,(EURO(G46,Strikeprice3,0,0,($AK46+IF(Smile=TRUE(),VLOOKUP(MAX(-5,Strikeprice3-G46),Volsmile,2),0)),($A46-DateToday)+15,IF(Pricetype3=1,1,0),0))),G46)))</f>
        <v>35.2900009155273</v>
      </c>
      <c r="Q46" s="318" t="n">
        <f aca="false">IF($A46="N/A"," ",IF(Pricetype3=2,MAX(H46,0),IF(OR(Pricetype3=1,Pricetype3=4),IF(H46=0,0,(EURO(H46,Strikeprice3,0,0,($AK46+IF(Smile=TRUE(),VLOOKUP(MAX(-5,Strikeprice3-H46),Volsmile,2),0)),($A46-DateToday)+15,IF(Pricetype3=1,1,0),0))),H46)))</f>
        <v>0</v>
      </c>
      <c r="R46" s="318" t="n">
        <f aca="false">IF($A46="N/A"," ",IF(Pricetype3=2,MAX(I46,0),IF(OR(Pricetype3=1,Pricetype3=4),IF(I46=0,0,(EURO(I46,Strikeprice3,0,0,($AK46+IF(Smile=TRUE(),VLOOKUP(MAX(-5,Strikeprice3-I46),Volsmile,2),0)),($A46-DateToday)+15,IF(Pricetype3=1,1,0),0))),I46)))</f>
        <v>25.7900009155273</v>
      </c>
      <c r="S46" s="318" t="n">
        <f aca="false">IF($A46="N/A"," ",IF(Pricetype3=2,MAX(J46,0),IF(OR(Pricetype3=1,Pricetype3=4),IF(J46=0,0,(EURO(J46,Strikeprice3,0,0,($AK46+IF(Smile=TRUE(),VLOOKUP(MAX(-5,Strikeprice3-J46),Volsmile,2),0)),($A46-DateToday)+15,IF(Pricetype3=1,1,0),0))),J46)))</f>
        <v>25.7900009155273</v>
      </c>
      <c r="T46" s="318" t="n">
        <f aca="false">IF($A46="N/A"," ",IF(Pricetype3=2,MAX(K46,0),IF(OR(Pricetype3=1,Pricetype3=4),IF(K46=0,0,(EURO(K46,Strikeprice3,0,0,($AK46+IF(Smile=TRUE(),VLOOKUP(MAX(-5,Strikeprice3-K46),Volsmile,2),0)),($A46-DateToday)+15,IF(Pricetype3=1,1,0),0))),K46)))</f>
        <v>0</v>
      </c>
      <c r="U46" s="319" t="e">
        <f aca="false">IF($A46="N/A"," ",Volume3*$AM46)</f>
        <v>#N/A</v>
      </c>
      <c r="V46" s="320" t="e">
        <f aca="false">IF($A46="N/A"," ",$U46*(8*($BQ46))*L46)</f>
        <v>#N/A</v>
      </c>
      <c r="W46" s="320" t="e">
        <f aca="false">IF($A46="N/A"," ",$U46*(8*($BQ46))*M46)</f>
        <v>#N/A</v>
      </c>
      <c r="X46" s="320" t="e">
        <f aca="false">IF($A46="N/A"," ",$U46*(8*($BQ46))*N46)</f>
        <v>#N/A</v>
      </c>
      <c r="Y46" s="320" t="e">
        <f aca="false">IF($A46="N/A"," ",$U46*(8*($BR46))*O46)</f>
        <v>#N/A</v>
      </c>
      <c r="Z46" s="320" t="e">
        <f aca="false">IF($A46="N/A"," ",$U46*(8*($BR46))*P46)</f>
        <v>#N/A</v>
      </c>
      <c r="AA46" s="320" t="e">
        <f aca="false">IF($A46="N/A"," ",$U46*(8*($BR46))*Q46)</f>
        <v>#N/A</v>
      </c>
      <c r="AB46" s="320" t="e">
        <f aca="false">IF($A46="N/A"," ",$U46*(8*($BS46))*R46)</f>
        <v>#N/A</v>
      </c>
      <c r="AC46" s="320" t="e">
        <f aca="false">IF($A46="N/A"," ",$U46*(8*($BS46))*S46)</f>
        <v>#N/A</v>
      </c>
      <c r="AD46" s="320" t="e">
        <f aca="false">IF($A46="N/A"," ",$U46*(8*($BS46))*T46)</f>
        <v>#N/A</v>
      </c>
      <c r="AE46" s="320" t="e">
        <f aca="false">IF($A46="N/A"," ",SUM(V46:AD46))</f>
        <v>#N/A</v>
      </c>
      <c r="AF46" s="321" t="n">
        <f aca="false">IF(A46="N/A"," ",(VLOOKUP(A46,PowerVolTable,(IF(VolBMO3=2,7,IF(VolBMO3=1,6,8))),FALSE())))</f>
        <v>0.24</v>
      </c>
      <c r="AG46" s="321" t="n">
        <f aca="false">IF(A46="N/A"," ",(VLOOKUP(A46,IntraPowerVol,(IF(VolBMO3=2,3,IF(VolBMO3=1,2,4))),FALSE())*VLOOKUP(MONTH($A46),Volscale,2)))</f>
        <v>0.48</v>
      </c>
      <c r="AH46" s="321" t="n">
        <f aca="false">IF($A46="N/A"," ",IF(VolType3=1,AG46,AF46))</f>
        <v>0.48</v>
      </c>
      <c r="AI46" s="321" t="n">
        <f aca="false">IF($A46="N/A"," ",(VLOOKUP($A46,OffPwrVolTable,(IF(VolBMO3=2,7,IF(VolBMO3=1,6,8))),FALSE())))</f>
        <v>0.12</v>
      </c>
      <c r="AJ46" s="321" t="n">
        <f aca="false">IF($A46="N/A"," ",(VLOOKUP($A46,OffPwrVolTable,(IF(VolBMO3=2,3,IF(VolBMO3=1,2,4))),FALSE())*VLOOKUP(MONTH($A46),Volscale,2)))</f>
        <v>0.288</v>
      </c>
      <c r="AK46" s="321" t="n">
        <f aca="false">IF($A46="N/A"," ",IF(VolType3=1,AJ46,AI46))</f>
        <v>0.288</v>
      </c>
      <c r="AL46" s="321" t="e">
        <f aca="false">IF($A46="N/A"," ",IF(PV=1,0,'Pricing Inputs3'!R79))</f>
        <v>#N/A</v>
      </c>
      <c r="AM46" s="323" t="e">
        <f aca="false">IF($A46="N/A"," ",(1+AL46/2)^(-2*((EOMONTH(A46,0)+20)-DateToday)/365.25))</f>
        <v>#N/A</v>
      </c>
      <c r="BQ46" s="0" t="n">
        <f aca="false">IF($A46="N/A"," ",(VLOOKUP($A46,NumberofDaysTable,2)))</f>
        <v>20</v>
      </c>
      <c r="BR46" s="0" t="n">
        <f aca="false">IF($A46="N/A"," ",(VLOOKUP($A46,NumberofDaysTable,3)))</f>
        <v>5</v>
      </c>
      <c r="BS46" s="0" t="n">
        <f aca="false">IF($A46="N/A"," ",(VLOOKUP($A46,NumberofDaysTable,4)))</f>
        <v>6</v>
      </c>
    </row>
    <row r="47" customFormat="false" ht="12.75" hidden="false" customHeight="false" outlineLevel="0" collapsed="false">
      <c r="A47" s="315" t="n">
        <f aca="false">IF(A46="N/A","N/A",IF(EDATE(A46,1)&gt;Inputs!$Q$5,"N/A",EDATE(A46,1)))</f>
        <v>38565</v>
      </c>
      <c r="B47" s="316" t="n">
        <f aca="false">IF(A47="N/A"," ",YEAR(A47))</f>
        <v>2005</v>
      </c>
      <c r="C47" s="317" t="n">
        <f aca="false">IF($A47="N/A"," ",IF(Dayrun3=10,0,IF(Scaler3=1,(VLOOKUP(A47,ScaledPrice3,4)),(VLOOKUP(A47,ScaledPrice3,2)))))</f>
        <v>50.5</v>
      </c>
      <c r="D47" s="317" t="n">
        <f aca="false">IF(A47="N/A"," ",IF(Dayrun3&gt;=7,0,IF(Scaler3=2,VLOOKUP(A47,ScaledPrice3,2),(VLOOKUP(A47,ScaledPrice3,2))*(2-(VLOOKUP(A47,ScaledPrice3,3))))))</f>
        <v>50.5</v>
      </c>
      <c r="E47" s="317" t="n">
        <f aca="false">IF($A47="N/A"," ",IF(AND(Dayrun3&gt;=4,Dayrun3&lt;=9),0,VLOOKUP($A47,ScaledPrice3,9)))</f>
        <v>0</v>
      </c>
      <c r="F47" s="317" t="n">
        <f aca="false">IF(A47="N/A"," ",IF(OR(Dayrun3=2,Dayrun3=3,Dayrun3=5,Dayrun3=6,Dayrun3=8,Dayrun3=9),VLOOKUP(A47,ScaledPrice3,IF(Scaler3=1,6,5)),0))</f>
        <v>33.2900047302246</v>
      </c>
      <c r="G47" s="317" t="n">
        <f aca="false">IF(A47="N/A"," ",IF(OR(Dayrun3=2,Dayrun3=3,Dayrun3=5,Dayrun3=6),IF(Scaler3=2,F47,(VLOOKUP(A47,ScaledPrice3,5))*(2-(VLOOKUP(A47,ScaledPrice3,3)))),0))</f>
        <v>33.2900047302246</v>
      </c>
      <c r="H47" s="317" t="n">
        <f aca="false">IF($A47="N/A"," ",IF(OR(Dayrun3=2,Dayrun3=3,Dayrun3=10),VLOOKUP($A47,ScaledPrice3,9),0))</f>
        <v>0</v>
      </c>
      <c r="I47" s="317" t="n">
        <f aca="false">IF(A47="N/A"," ",IF(OR(Dayrun3=3,Dayrun3=6,Dayrun3=9),(VLOOKUP(A47,ScaledPrice3,IF(Scaler3=2,7,8))),0))</f>
        <v>25.7900009155273</v>
      </c>
      <c r="J47" s="317" t="n">
        <f aca="false">IF(A47="N/A"," ",IF(OR(Dayrun3=3,Dayrun3=6),IF(Scaler3=2,I47,(VLOOKUP(A47,ScaledPrice3,7))*(2-(VLOOKUP(A47,ScaledPrice3,3)))),0))</f>
        <v>25.7900009155273</v>
      </c>
      <c r="K47" s="317" t="n">
        <f aca="false">IF($A47="N/A"," ",IF(OR(Dayrun3=3,Dayrun3=10),VLOOKUP($A47,ScaledPrice3,9),0))</f>
        <v>0</v>
      </c>
      <c r="L47" s="318" t="n">
        <f aca="false">IF($A47="N/A"," ",IF(Pricetype3=2,MAX(C47,0),IF(OR(Pricetype3=1,Pricetype3=4),IF(C47=0,0,(EURO(C47,Strikeprice3,0,0,($AH47+IF(Smile=TRUE(),VLOOKUP(MAX(-5,Strikeprice3-C47),Volsmile,2),0)),($A47-DateToday)+15,IF(Pricetype3=1,1,0),0))),C47)))</f>
        <v>50.5</v>
      </c>
      <c r="M47" s="318" t="n">
        <f aca="false">IF($A47="N/A"," ",IF(Pricetype3=2,MAX(D47,0),IF(OR(Pricetype3=1,Pricetype3=4),IF(D47=0,0,(EURO(D47,Strikeprice3,0,0,($AH47+IF(Smile=TRUE(),VLOOKUP(MAX(-5,Strikeprice3-D47),Volsmile,2),0)),($A47-DateToday)+15,IF(Pricetype3=1,1,0),0))),D47)))</f>
        <v>50.5</v>
      </c>
      <c r="N47" s="318" t="n">
        <f aca="false">IF($A47="N/A"," ",IF(Pricetype3=2,MAX(E47,0),IF(OR(Pricetype3=1,Pricetype3=4),IF(E47=0,0,(EURO(E47,Strikeprice3,0,0,($AK47+IF(Smile=TRUE(),VLOOKUP(MAX(-5,Strikeprice3-E47),Volsmile,2),0)),($A47-DateToday)+15,IF(Pricetype3=1,1,0),0))),E47)))</f>
        <v>0</v>
      </c>
      <c r="O47" s="318" t="n">
        <f aca="false">IF($A47="N/A"," ",IF(Pricetype3=2,MAX(F47,0),IF(OR(Pricetype3=1,Pricetype3=4),IF(F47=0,0,(EURO(F47,Strikeprice3,0,0,($AK47+IF(Smile=TRUE(),VLOOKUP(MAX(-5,Strikeprice3-F47),Volsmile,2),0)),($A47-DateToday)+15,IF(Pricetype3=1,1,0),0))),F47)))</f>
        <v>33.2900047302246</v>
      </c>
      <c r="P47" s="318" t="n">
        <f aca="false">IF($A47="N/A"," ",IF(Pricetype3=2,MAX(G47,0),IF(OR(Pricetype3=1,Pricetype3=4),IF(G47=0,0,(EURO(G47,Strikeprice3,0,0,($AK47+IF(Smile=TRUE(),VLOOKUP(MAX(-5,Strikeprice3-G47),Volsmile,2),0)),($A47-DateToday)+15,IF(Pricetype3=1,1,0),0))),G47)))</f>
        <v>33.2900047302246</v>
      </c>
      <c r="Q47" s="318" t="n">
        <f aca="false">IF($A47="N/A"," ",IF(Pricetype3=2,MAX(H47,0),IF(OR(Pricetype3=1,Pricetype3=4),IF(H47=0,0,(EURO(H47,Strikeprice3,0,0,($AK47+IF(Smile=TRUE(),VLOOKUP(MAX(-5,Strikeprice3-H47),Volsmile,2),0)),($A47-DateToday)+15,IF(Pricetype3=1,1,0),0))),H47)))</f>
        <v>0</v>
      </c>
      <c r="R47" s="318" t="n">
        <f aca="false">IF($A47="N/A"," ",IF(Pricetype3=2,MAX(I47,0),IF(OR(Pricetype3=1,Pricetype3=4),IF(I47=0,0,(EURO(I47,Strikeprice3,0,0,($AK47+IF(Smile=TRUE(),VLOOKUP(MAX(-5,Strikeprice3-I47),Volsmile,2),0)),($A47-DateToday)+15,IF(Pricetype3=1,1,0),0))),I47)))</f>
        <v>25.7900009155273</v>
      </c>
      <c r="S47" s="318" t="n">
        <f aca="false">IF($A47="N/A"," ",IF(Pricetype3=2,MAX(J47,0),IF(OR(Pricetype3=1,Pricetype3=4),IF(J47=0,0,(EURO(J47,Strikeprice3,0,0,($AK47+IF(Smile=TRUE(),VLOOKUP(MAX(-5,Strikeprice3-J47),Volsmile,2),0)),($A47-DateToday)+15,IF(Pricetype3=1,1,0),0))),J47)))</f>
        <v>25.7900009155273</v>
      </c>
      <c r="T47" s="318" t="n">
        <f aca="false">IF($A47="N/A"," ",IF(Pricetype3=2,MAX(K47,0),IF(OR(Pricetype3=1,Pricetype3=4),IF(K47=0,0,(EURO(K47,Strikeprice3,0,0,($AK47+IF(Smile=TRUE(),VLOOKUP(MAX(-5,Strikeprice3-K47),Volsmile,2),0)),($A47-DateToday)+15,IF(Pricetype3=1,1,0),0))),K47)))</f>
        <v>0</v>
      </c>
      <c r="U47" s="319" t="e">
        <f aca="false">IF($A47="N/A"," ",Volume3*$AM47)</f>
        <v>#N/A</v>
      </c>
      <c r="V47" s="320" t="e">
        <f aca="false">IF($A47="N/A"," ",$U47*(8*($BQ47))*L47)</f>
        <v>#N/A</v>
      </c>
      <c r="W47" s="320" t="e">
        <f aca="false">IF($A47="N/A"," ",$U47*(8*($BQ47))*M47)</f>
        <v>#N/A</v>
      </c>
      <c r="X47" s="320" t="e">
        <f aca="false">IF($A47="N/A"," ",$U47*(8*($BQ47))*N47)</f>
        <v>#N/A</v>
      </c>
      <c r="Y47" s="320" t="e">
        <f aca="false">IF($A47="N/A"," ",$U47*(8*($BR47))*O47)</f>
        <v>#N/A</v>
      </c>
      <c r="Z47" s="320" t="e">
        <f aca="false">IF($A47="N/A"," ",$U47*(8*($BR47))*P47)</f>
        <v>#N/A</v>
      </c>
      <c r="AA47" s="320" t="e">
        <f aca="false">IF($A47="N/A"," ",$U47*(8*($BR47))*Q47)</f>
        <v>#N/A</v>
      </c>
      <c r="AB47" s="320" t="e">
        <f aca="false">IF($A47="N/A"," ",$U47*(8*($BS47))*R47)</f>
        <v>#N/A</v>
      </c>
      <c r="AC47" s="320" t="e">
        <f aca="false">IF($A47="N/A"," ",$U47*(8*($BS47))*S47)</f>
        <v>#N/A</v>
      </c>
      <c r="AD47" s="320" t="e">
        <f aca="false">IF($A47="N/A"," ",$U47*(8*($BS47))*T47)</f>
        <v>#N/A</v>
      </c>
      <c r="AE47" s="320" t="e">
        <f aca="false">IF($A47="N/A"," ",SUM(V47:AD47))</f>
        <v>#N/A</v>
      </c>
      <c r="AF47" s="321" t="n">
        <f aca="false">IF(A47="N/A"," ",(VLOOKUP(A47,PowerVolTable,(IF(VolBMO3=2,7,IF(VolBMO3=1,6,8))),FALSE())))</f>
        <v>0.24</v>
      </c>
      <c r="AG47" s="321" t="n">
        <f aca="false">IF(A47="N/A"," ",(VLOOKUP(A47,IntraPowerVol,(IF(VolBMO3=2,3,IF(VolBMO3=1,2,4))),FALSE())*VLOOKUP(MONTH($A47),Volscale,2)))</f>
        <v>0.48</v>
      </c>
      <c r="AH47" s="321" t="n">
        <f aca="false">IF($A47="N/A"," ",IF(VolType3=1,AG47,AF47))</f>
        <v>0.48</v>
      </c>
      <c r="AI47" s="321" t="n">
        <f aca="false">IF($A47="N/A"," ",(VLOOKUP($A47,OffPwrVolTable,(IF(VolBMO3=2,7,IF(VolBMO3=1,6,8))),FALSE())))</f>
        <v>0.12</v>
      </c>
      <c r="AJ47" s="321" t="n">
        <f aca="false">IF($A47="N/A"," ",(VLOOKUP($A47,OffPwrVolTable,(IF(VolBMO3=2,3,IF(VolBMO3=1,2,4))),FALSE())*VLOOKUP(MONTH($A47),Volscale,2)))</f>
        <v>0.288</v>
      </c>
      <c r="AK47" s="321" t="n">
        <f aca="false">IF($A47="N/A"," ",IF(VolType3=1,AJ47,AI47))</f>
        <v>0.288</v>
      </c>
      <c r="AL47" s="321" t="e">
        <f aca="false">IF($A47="N/A"," ",IF(PV=1,0,'Pricing Inputs3'!R80))</f>
        <v>#N/A</v>
      </c>
      <c r="AM47" s="323" t="e">
        <f aca="false">IF($A47="N/A"," ",(1+AL47/2)^(-2*((EOMONTH(A47,0)+20)-DateToday)/365.25))</f>
        <v>#N/A</v>
      </c>
      <c r="BQ47" s="0" t="n">
        <f aca="false">IF($A47="N/A"," ",(VLOOKUP($A47,NumberofDaysTable,2)))</f>
        <v>23</v>
      </c>
      <c r="BR47" s="0" t="n">
        <f aca="false">IF($A47="N/A"," ",(VLOOKUP($A47,NumberofDaysTable,3)))</f>
        <v>4</v>
      </c>
      <c r="BS47" s="0" t="n">
        <f aca="false">IF($A47="N/A"," ",(VLOOKUP($A47,NumberofDaysTable,4)))</f>
        <v>4</v>
      </c>
    </row>
    <row r="48" customFormat="false" ht="12.75" hidden="false" customHeight="false" outlineLevel="0" collapsed="false">
      <c r="A48" s="315" t="n">
        <f aca="false">IF(A47="N/A","N/A",IF(EDATE(A47,1)&gt;Inputs!$Q$5,"N/A",EDATE(A47,1)))</f>
        <v>38596</v>
      </c>
      <c r="B48" s="316" t="n">
        <f aca="false">IF(A48="N/A"," ",YEAR(A48))</f>
        <v>2005</v>
      </c>
      <c r="C48" s="317" t="n">
        <f aca="false">IF($A48="N/A"," ",IF(Dayrun3=10,0,IF(Scaler3=1,(VLOOKUP(A48,ScaledPrice3,4)),(VLOOKUP(A48,ScaledPrice3,2)))))</f>
        <v>31.1399993896484</v>
      </c>
      <c r="D48" s="317" t="n">
        <f aca="false">IF(A48="N/A"," ",IF(Dayrun3&gt;=7,0,IF(Scaler3=2,VLOOKUP(A48,ScaledPrice3,2),(VLOOKUP(A48,ScaledPrice3,2))*(2-(VLOOKUP(A48,ScaledPrice3,3))))))</f>
        <v>31.1399993896484</v>
      </c>
      <c r="E48" s="317" t="n">
        <f aca="false">IF($A48="N/A"," ",IF(AND(Dayrun3&gt;=4,Dayrun3&lt;=9),0,VLOOKUP($A48,ScaledPrice3,9)))</f>
        <v>0</v>
      </c>
      <c r="F48" s="317" t="n">
        <f aca="false">IF(A48="N/A"," ",IF(OR(Dayrun3=2,Dayrun3=3,Dayrun3=5,Dayrun3=6,Dayrun3=8,Dayrun3=9),VLOOKUP(A48,ScaledPrice3,IF(Scaler3=1,6,5)),0))</f>
        <v>25.2900009155273</v>
      </c>
      <c r="G48" s="317" t="n">
        <f aca="false">IF(A48="N/A"," ",IF(OR(Dayrun3=2,Dayrun3=3,Dayrun3=5,Dayrun3=6),IF(Scaler3=2,F48,(VLOOKUP(A48,ScaledPrice3,5))*(2-(VLOOKUP(A48,ScaledPrice3,3)))),0))</f>
        <v>25.2900009155273</v>
      </c>
      <c r="H48" s="317" t="n">
        <f aca="false">IF($A48="N/A"," ",IF(OR(Dayrun3=2,Dayrun3=3,Dayrun3=10),VLOOKUP($A48,ScaledPrice3,9),0))</f>
        <v>0</v>
      </c>
      <c r="I48" s="317" t="n">
        <f aca="false">IF(A48="N/A"," ",IF(OR(Dayrun3=3,Dayrun3=6,Dayrun3=9),(VLOOKUP(A48,ScaledPrice3,IF(Scaler3=2,7,8))),0))</f>
        <v>19.7900009155273</v>
      </c>
      <c r="J48" s="317" t="n">
        <f aca="false">IF(A48="N/A"," ",IF(OR(Dayrun3=3,Dayrun3=6),IF(Scaler3=2,I48,(VLOOKUP(A48,ScaledPrice3,7))*(2-(VLOOKUP(A48,ScaledPrice3,3)))),0))</f>
        <v>19.7900009155273</v>
      </c>
      <c r="K48" s="317" t="n">
        <f aca="false">IF($A48="N/A"," ",IF(OR(Dayrun3=3,Dayrun3=10),VLOOKUP($A48,ScaledPrice3,9),0))</f>
        <v>0</v>
      </c>
      <c r="L48" s="318" t="n">
        <f aca="false">IF($A48="N/A"," ",IF(Pricetype3=2,MAX(C48,0),IF(OR(Pricetype3=1,Pricetype3=4),IF(C48=0,0,(EURO(C48,Strikeprice3,0,0,($AH48+IF(Smile=TRUE(),VLOOKUP(MAX(-5,Strikeprice3-C48),Volsmile,2),0)),($A48-DateToday)+15,IF(Pricetype3=1,1,0),0))),C48)))</f>
        <v>31.1399993896484</v>
      </c>
      <c r="M48" s="318" t="n">
        <f aca="false">IF($A48="N/A"," ",IF(Pricetype3=2,MAX(D48,0),IF(OR(Pricetype3=1,Pricetype3=4),IF(D48=0,0,(EURO(D48,Strikeprice3,0,0,($AH48+IF(Smile=TRUE(),VLOOKUP(MAX(-5,Strikeprice3-D48),Volsmile,2),0)),($A48-DateToday)+15,IF(Pricetype3=1,1,0),0))),D48)))</f>
        <v>31.1399993896484</v>
      </c>
      <c r="N48" s="318" t="n">
        <f aca="false">IF($A48="N/A"," ",IF(Pricetype3=2,MAX(E48,0),IF(OR(Pricetype3=1,Pricetype3=4),IF(E48=0,0,(EURO(E48,Strikeprice3,0,0,($AK48+IF(Smile=TRUE(),VLOOKUP(MAX(-5,Strikeprice3-E48),Volsmile,2),0)),($A48-DateToday)+15,IF(Pricetype3=1,1,0),0))),E48)))</f>
        <v>0</v>
      </c>
      <c r="O48" s="318" t="n">
        <f aca="false">IF($A48="N/A"," ",IF(Pricetype3=2,MAX(F48,0),IF(OR(Pricetype3=1,Pricetype3=4),IF(F48=0,0,(EURO(F48,Strikeprice3,0,0,($AK48+IF(Smile=TRUE(),VLOOKUP(MAX(-5,Strikeprice3-F48),Volsmile,2),0)),($A48-DateToday)+15,IF(Pricetype3=1,1,0),0))),F48)))</f>
        <v>25.2900009155273</v>
      </c>
      <c r="P48" s="318" t="n">
        <f aca="false">IF($A48="N/A"," ",IF(Pricetype3=2,MAX(G48,0),IF(OR(Pricetype3=1,Pricetype3=4),IF(G48=0,0,(EURO(G48,Strikeprice3,0,0,($AK48+IF(Smile=TRUE(),VLOOKUP(MAX(-5,Strikeprice3-G48),Volsmile,2),0)),($A48-DateToday)+15,IF(Pricetype3=1,1,0),0))),G48)))</f>
        <v>25.2900009155273</v>
      </c>
      <c r="Q48" s="318" t="n">
        <f aca="false">IF($A48="N/A"," ",IF(Pricetype3=2,MAX(H48,0),IF(OR(Pricetype3=1,Pricetype3=4),IF(H48=0,0,(EURO(H48,Strikeprice3,0,0,($AK48+IF(Smile=TRUE(),VLOOKUP(MAX(-5,Strikeprice3-H48),Volsmile,2),0)),($A48-DateToday)+15,IF(Pricetype3=1,1,0),0))),H48)))</f>
        <v>0</v>
      </c>
      <c r="R48" s="318" t="n">
        <f aca="false">IF($A48="N/A"," ",IF(Pricetype3=2,MAX(I48,0),IF(OR(Pricetype3=1,Pricetype3=4),IF(I48=0,0,(EURO(I48,Strikeprice3,0,0,($AK48+IF(Smile=TRUE(),VLOOKUP(MAX(-5,Strikeprice3-I48),Volsmile,2),0)),($A48-DateToday)+15,IF(Pricetype3=1,1,0),0))),I48)))</f>
        <v>19.7900009155273</v>
      </c>
      <c r="S48" s="318" t="n">
        <f aca="false">IF($A48="N/A"," ",IF(Pricetype3=2,MAX(J48,0),IF(OR(Pricetype3=1,Pricetype3=4),IF(J48=0,0,(EURO(J48,Strikeprice3,0,0,($AK48+IF(Smile=TRUE(),VLOOKUP(MAX(-5,Strikeprice3-J48),Volsmile,2),0)),($A48-DateToday)+15,IF(Pricetype3=1,1,0),0))),J48)))</f>
        <v>19.7900009155273</v>
      </c>
      <c r="T48" s="318" t="n">
        <f aca="false">IF($A48="N/A"," ",IF(Pricetype3=2,MAX(K48,0),IF(OR(Pricetype3=1,Pricetype3=4),IF(K48=0,0,(EURO(K48,Strikeprice3,0,0,($AK48+IF(Smile=TRUE(),VLOOKUP(MAX(-5,Strikeprice3-K48),Volsmile,2),0)),($A48-DateToday)+15,IF(Pricetype3=1,1,0),0))),K48)))</f>
        <v>0</v>
      </c>
      <c r="U48" s="319" t="e">
        <f aca="false">IF($A48="N/A"," ",Volume3*$AM48)</f>
        <v>#N/A</v>
      </c>
      <c r="V48" s="320" t="e">
        <f aca="false">IF($A48="N/A"," ",$U48*(8*($BQ48))*L48)</f>
        <v>#N/A</v>
      </c>
      <c r="W48" s="320" t="e">
        <f aca="false">IF($A48="N/A"," ",$U48*(8*($BQ48))*M48)</f>
        <v>#N/A</v>
      </c>
      <c r="X48" s="320" t="e">
        <f aca="false">IF($A48="N/A"," ",$U48*(8*($BQ48))*N48)</f>
        <v>#N/A</v>
      </c>
      <c r="Y48" s="320" t="e">
        <f aca="false">IF($A48="N/A"," ",$U48*(8*($BR48))*O48)</f>
        <v>#N/A</v>
      </c>
      <c r="Z48" s="320" t="e">
        <f aca="false">IF($A48="N/A"," ",$U48*(8*($BR48))*P48)</f>
        <v>#N/A</v>
      </c>
      <c r="AA48" s="320" t="e">
        <f aca="false">IF($A48="N/A"," ",$U48*(8*($BR48))*Q48)</f>
        <v>#N/A</v>
      </c>
      <c r="AB48" s="320" t="e">
        <f aca="false">IF($A48="N/A"," ",$U48*(8*($BS48))*R48)</f>
        <v>#N/A</v>
      </c>
      <c r="AC48" s="320" t="e">
        <f aca="false">IF($A48="N/A"," ",$U48*(8*($BS48))*S48)</f>
        <v>#N/A</v>
      </c>
      <c r="AD48" s="320" t="e">
        <f aca="false">IF($A48="N/A"," ",$U48*(8*($BS48))*T48)</f>
        <v>#N/A</v>
      </c>
      <c r="AE48" s="320" t="e">
        <f aca="false">IF($A48="N/A"," ",SUM(V48:AD48))</f>
        <v>#N/A</v>
      </c>
      <c r="AF48" s="321" t="n">
        <f aca="false">IF(A48="N/A"," ",(VLOOKUP(A48,PowerVolTable,(IF(VolBMO3=2,7,IF(VolBMO3=1,6,8))),FALSE())))</f>
        <v>0.16</v>
      </c>
      <c r="AG48" s="321" t="n">
        <f aca="false">IF(A48="N/A"," ",(VLOOKUP(A48,IntraPowerVol,(IF(VolBMO3=2,3,IF(VolBMO3=1,2,4))),FALSE())*VLOOKUP(MONTH($A48),Volscale,2)))</f>
        <v>0.28</v>
      </c>
      <c r="AH48" s="321" t="n">
        <f aca="false">IF($A48="N/A"," ",IF(VolType3=1,AG48,AF48))</f>
        <v>0.28</v>
      </c>
      <c r="AI48" s="321" t="n">
        <f aca="false">IF($A48="N/A"," ",(VLOOKUP($A48,OffPwrVolTable,(IF(VolBMO3=2,7,IF(VolBMO3=1,6,8))),FALSE())))</f>
        <v>0.08</v>
      </c>
      <c r="AJ48" s="321" t="n">
        <f aca="false">IF($A48="N/A"," ",(VLOOKUP($A48,OffPwrVolTable,(IF(VolBMO3=2,3,IF(VolBMO3=1,2,4))),FALSE())*VLOOKUP(MONTH($A48),Volscale,2)))</f>
        <v>0.168</v>
      </c>
      <c r="AK48" s="321" t="n">
        <f aca="false">IF($A48="N/A"," ",IF(VolType3=1,AJ48,AI48))</f>
        <v>0.168</v>
      </c>
      <c r="AL48" s="321" t="e">
        <f aca="false">IF($A48="N/A"," ",IF(PV=1,0,'Pricing Inputs3'!R81))</f>
        <v>#N/A</v>
      </c>
      <c r="AM48" s="323" t="e">
        <f aca="false">IF($A48="N/A"," ",(1+AL48/2)^(-2*((EOMONTH(A48,0)+20)-DateToday)/365.25))</f>
        <v>#N/A</v>
      </c>
      <c r="BQ48" s="0" t="n">
        <f aca="false">IF($A48="N/A"," ",(VLOOKUP($A48,NumberofDaysTable,2)))</f>
        <v>21</v>
      </c>
      <c r="BR48" s="0" t="n">
        <f aca="false">IF($A48="N/A"," ",(VLOOKUP($A48,NumberofDaysTable,3)))</f>
        <v>4</v>
      </c>
      <c r="BS48" s="0" t="n">
        <f aca="false">IF($A48="N/A"," ",(VLOOKUP($A48,NumberofDaysTable,4)))</f>
        <v>5</v>
      </c>
    </row>
    <row r="49" customFormat="false" ht="12.75" hidden="false" customHeight="false" outlineLevel="0" collapsed="false">
      <c r="A49" s="315" t="n">
        <f aca="false">IF(A48="N/A","N/A",IF(EDATE(A48,1)&gt;Inputs!$Q$5,"N/A",EDATE(A48,1)))</f>
        <v>38626</v>
      </c>
      <c r="B49" s="316" t="n">
        <f aca="false">IF(A49="N/A"," ",YEAR(A49))</f>
        <v>2005</v>
      </c>
      <c r="C49" s="317" t="n">
        <f aca="false">IF($A49="N/A"," ",IF(Dayrun3=10,0,IF(Scaler3=1,(VLOOKUP(A49,ScaledPrice3,4)),(VLOOKUP(A49,ScaledPrice3,2)))))</f>
        <v>32.0415614843369</v>
      </c>
      <c r="D49" s="317" t="n">
        <f aca="false">IF(A49="N/A"," ",IF(Dayrun3&gt;=7,0,IF(Scaler3=2,VLOOKUP(A49,ScaledPrice3,2),(VLOOKUP(A49,ScaledPrice3,2))*(2-(VLOOKUP(A49,ScaledPrice3,3))))))</f>
        <v>32.0415614843369</v>
      </c>
      <c r="E49" s="317" t="n">
        <f aca="false">IF($A49="N/A"," ",IF(AND(Dayrun3&gt;=4,Dayrun3&lt;=9),0,VLOOKUP($A49,ScaledPrice3,9)))</f>
        <v>0</v>
      </c>
      <c r="F49" s="317" t="n">
        <f aca="false">IF(A49="N/A"," ",IF(OR(Dayrun3=2,Dayrun3=3,Dayrun3=5,Dayrun3=6,Dayrun3=8,Dayrun3=9),VLOOKUP(A49,ScaledPrice3,IF(Scaler3=1,6,5)),0))</f>
        <v>20.2860012054443</v>
      </c>
      <c r="G49" s="317" t="n">
        <f aca="false">IF(A49="N/A"," ",IF(OR(Dayrun3=2,Dayrun3=3,Dayrun3=5,Dayrun3=6),IF(Scaler3=2,F49,(VLOOKUP(A49,ScaledPrice3,5))*(2-(VLOOKUP(A49,ScaledPrice3,3)))),0))</f>
        <v>20.2860012054443</v>
      </c>
      <c r="H49" s="317" t="n">
        <f aca="false">IF($A49="N/A"," ",IF(OR(Dayrun3=2,Dayrun3=3,Dayrun3=10),VLOOKUP($A49,ScaledPrice3,9),0))</f>
        <v>0</v>
      </c>
      <c r="I49" s="317" t="n">
        <f aca="false">IF(A49="N/A"," ",IF(OR(Dayrun3=3,Dayrun3=6,Dayrun3=9),(VLOOKUP(A49,ScaledPrice3,IF(Scaler3=2,7,8))),0))</f>
        <v>14.7865009307861</v>
      </c>
      <c r="J49" s="317" t="n">
        <f aca="false">IF(A49="N/A"," ",IF(OR(Dayrun3=3,Dayrun3=6),IF(Scaler3=2,I49,(VLOOKUP(A49,ScaledPrice3,7))*(2-(VLOOKUP(A49,ScaledPrice3,3)))),0))</f>
        <v>14.7865009307861</v>
      </c>
      <c r="K49" s="317" t="n">
        <f aca="false">IF($A49="N/A"," ",IF(OR(Dayrun3=3,Dayrun3=10),VLOOKUP($A49,ScaledPrice3,9),0))</f>
        <v>0</v>
      </c>
      <c r="L49" s="318" t="n">
        <f aca="false">IF($A49="N/A"," ",IF(Pricetype3=2,MAX(C49,0),IF(OR(Pricetype3=1,Pricetype3=4),IF(C49=0,0,(EURO(C49,Strikeprice3,0,0,($AH49+IF(Smile=TRUE(),VLOOKUP(MAX(-5,Strikeprice3-C49),Volsmile,2),0)),($A49-DateToday)+15,IF(Pricetype3=1,1,0),0))),C49)))</f>
        <v>32.0415614843369</v>
      </c>
      <c r="M49" s="318" t="n">
        <f aca="false">IF($A49="N/A"," ",IF(Pricetype3=2,MAX(D49,0),IF(OR(Pricetype3=1,Pricetype3=4),IF(D49=0,0,(EURO(D49,Strikeprice3,0,0,($AH49+IF(Smile=TRUE(),VLOOKUP(MAX(-5,Strikeprice3-D49),Volsmile,2),0)),($A49-DateToday)+15,IF(Pricetype3=1,1,0),0))),D49)))</f>
        <v>32.0415614843369</v>
      </c>
      <c r="N49" s="318" t="n">
        <f aca="false">IF($A49="N/A"," ",IF(Pricetype3=2,MAX(E49,0),IF(OR(Pricetype3=1,Pricetype3=4),IF(E49=0,0,(EURO(E49,Strikeprice3,0,0,($AK49+IF(Smile=TRUE(),VLOOKUP(MAX(-5,Strikeprice3-E49),Volsmile,2),0)),($A49-DateToday)+15,IF(Pricetype3=1,1,0),0))),E49)))</f>
        <v>0</v>
      </c>
      <c r="O49" s="318" t="n">
        <f aca="false">IF($A49="N/A"," ",IF(Pricetype3=2,MAX(F49,0),IF(OR(Pricetype3=1,Pricetype3=4),IF(F49=0,0,(EURO(F49,Strikeprice3,0,0,($AK49+IF(Smile=TRUE(),VLOOKUP(MAX(-5,Strikeprice3-F49),Volsmile,2),0)),($A49-DateToday)+15,IF(Pricetype3=1,1,0),0))),F49)))</f>
        <v>20.2860012054443</v>
      </c>
      <c r="P49" s="318" t="n">
        <f aca="false">IF($A49="N/A"," ",IF(Pricetype3=2,MAX(G49,0),IF(OR(Pricetype3=1,Pricetype3=4),IF(G49=0,0,(EURO(G49,Strikeprice3,0,0,($AK49+IF(Smile=TRUE(),VLOOKUP(MAX(-5,Strikeprice3-G49),Volsmile,2),0)),($A49-DateToday)+15,IF(Pricetype3=1,1,0),0))),G49)))</f>
        <v>20.2860012054443</v>
      </c>
      <c r="Q49" s="318" t="n">
        <f aca="false">IF($A49="N/A"," ",IF(Pricetype3=2,MAX(H49,0),IF(OR(Pricetype3=1,Pricetype3=4),IF(H49=0,0,(EURO(H49,Strikeprice3,0,0,($AK49+IF(Smile=TRUE(),VLOOKUP(MAX(-5,Strikeprice3-H49),Volsmile,2),0)),($A49-DateToday)+15,IF(Pricetype3=1,1,0),0))),H49)))</f>
        <v>0</v>
      </c>
      <c r="R49" s="318" t="n">
        <f aca="false">IF($A49="N/A"," ",IF(Pricetype3=2,MAX(I49,0),IF(OR(Pricetype3=1,Pricetype3=4),IF(I49=0,0,(EURO(I49,Strikeprice3,0,0,($AK49+IF(Smile=TRUE(),VLOOKUP(MAX(-5,Strikeprice3-I49),Volsmile,2),0)),($A49-DateToday)+15,IF(Pricetype3=1,1,0),0))),I49)))</f>
        <v>14.7865009307861</v>
      </c>
      <c r="S49" s="318" t="n">
        <f aca="false">IF($A49="N/A"," ",IF(Pricetype3=2,MAX(J49,0),IF(OR(Pricetype3=1,Pricetype3=4),IF(J49=0,0,(EURO(J49,Strikeprice3,0,0,($AK49+IF(Smile=TRUE(),VLOOKUP(MAX(-5,Strikeprice3-J49),Volsmile,2),0)),($A49-DateToday)+15,IF(Pricetype3=1,1,0),0))),J49)))</f>
        <v>14.7865009307861</v>
      </c>
      <c r="T49" s="318" t="n">
        <f aca="false">IF($A49="N/A"," ",IF(Pricetype3=2,MAX(K49,0),IF(OR(Pricetype3=1,Pricetype3=4),IF(K49=0,0,(EURO(K49,Strikeprice3,0,0,($AK49+IF(Smile=TRUE(),VLOOKUP(MAX(-5,Strikeprice3-K49),Volsmile,2),0)),($A49-DateToday)+15,IF(Pricetype3=1,1,0),0))),K49)))</f>
        <v>0</v>
      </c>
      <c r="U49" s="319" t="e">
        <f aca="false">IF($A49="N/A"," ",Volume3*$AM49)</f>
        <v>#N/A</v>
      </c>
      <c r="V49" s="320" t="e">
        <f aca="false">IF($A49="N/A"," ",$U49*(8*($BQ49))*L49)</f>
        <v>#N/A</v>
      </c>
      <c r="W49" s="320" t="e">
        <f aca="false">IF($A49="N/A"," ",$U49*(8*($BQ49))*M49)</f>
        <v>#N/A</v>
      </c>
      <c r="X49" s="320" t="e">
        <f aca="false">IF($A49="N/A"," ",$U49*(8*($BQ49))*N49)</f>
        <v>#N/A</v>
      </c>
      <c r="Y49" s="320" t="e">
        <f aca="false">IF($A49="N/A"," ",$U49*(8*($BR49))*O49)</f>
        <v>#N/A</v>
      </c>
      <c r="Z49" s="320" t="e">
        <f aca="false">IF($A49="N/A"," ",$U49*(8*($BR49))*P49)</f>
        <v>#N/A</v>
      </c>
      <c r="AA49" s="320" t="e">
        <f aca="false">IF($A49="N/A"," ",$U49*(8*($BR49))*Q49)</f>
        <v>#N/A</v>
      </c>
      <c r="AB49" s="320" t="e">
        <f aca="false">IF($A49="N/A"," ",$U49*(8*($BS49))*R49)</f>
        <v>#N/A</v>
      </c>
      <c r="AC49" s="320" t="e">
        <f aca="false">IF($A49="N/A"," ",$U49*(8*($BS49))*S49)</f>
        <v>#N/A</v>
      </c>
      <c r="AD49" s="320" t="e">
        <f aca="false">IF($A49="N/A"," ",$U49*(8*($BS49))*T49)</f>
        <v>#N/A</v>
      </c>
      <c r="AE49" s="320" t="e">
        <f aca="false">IF($A49="N/A"," ",SUM(V49:AD49))</f>
        <v>#N/A</v>
      </c>
      <c r="AF49" s="321" t="n">
        <f aca="false">IF(A49="N/A"," ",(VLOOKUP(A49,PowerVolTable,(IF(VolBMO3=2,7,IF(VolBMO3=1,6,8))),FALSE())))</f>
        <v>0.16</v>
      </c>
      <c r="AG49" s="321" t="n">
        <f aca="false">IF(A49="N/A"," ",(VLOOKUP(A49,IntraPowerVol,(IF(VolBMO3=2,3,IF(VolBMO3=1,2,4))),FALSE())*VLOOKUP(MONTH($A49),Volscale,2)))</f>
        <v>0.28</v>
      </c>
      <c r="AH49" s="321" t="n">
        <f aca="false">IF($A49="N/A"," ",IF(VolType3=1,AG49,AF49))</f>
        <v>0.28</v>
      </c>
      <c r="AI49" s="321" t="n">
        <f aca="false">IF($A49="N/A"," ",(VLOOKUP($A49,OffPwrVolTable,(IF(VolBMO3=2,7,IF(VolBMO3=1,6,8))),FALSE())))</f>
        <v>0.08</v>
      </c>
      <c r="AJ49" s="321" t="n">
        <f aca="false">IF($A49="N/A"," ",(VLOOKUP($A49,OffPwrVolTable,(IF(VolBMO3=2,3,IF(VolBMO3=1,2,4))),FALSE())*VLOOKUP(MONTH($A49),Volscale,2)))</f>
        <v>0.168</v>
      </c>
      <c r="AK49" s="321" t="n">
        <f aca="false">IF($A49="N/A"," ",IF(VolType3=1,AJ49,AI49))</f>
        <v>0.168</v>
      </c>
      <c r="AL49" s="321" t="e">
        <f aca="false">IF($A49="N/A"," ",IF(PV=1,0,'Pricing Inputs3'!R82))</f>
        <v>#N/A</v>
      </c>
      <c r="AM49" s="323" t="e">
        <f aca="false">IF($A49="N/A"," ",(1+AL49/2)^(-2*((EOMONTH(A49,0)+20)-DateToday)/365.25))</f>
        <v>#N/A</v>
      </c>
      <c r="BQ49" s="0" t="n">
        <f aca="false">IF($A49="N/A"," ",(VLOOKUP($A49,NumberofDaysTable,2)))</f>
        <v>21</v>
      </c>
      <c r="BR49" s="0" t="n">
        <f aca="false">IF($A49="N/A"," ",(VLOOKUP($A49,NumberofDaysTable,3)))</f>
        <v>5</v>
      </c>
      <c r="BS49" s="0" t="n">
        <f aca="false">IF($A49="N/A"," ",(VLOOKUP($A49,NumberofDaysTable,4)))</f>
        <v>5</v>
      </c>
    </row>
    <row r="50" customFormat="false" ht="12.75" hidden="false" customHeight="false" outlineLevel="0" collapsed="false">
      <c r="A50" s="315" t="n">
        <f aca="false">IF(A49="N/A","N/A",IF(EDATE(A49,1)&gt;Inputs!$Q$5,"N/A",EDATE(A49,1)))</f>
        <v>38657</v>
      </c>
      <c r="B50" s="316" t="n">
        <f aca="false">IF(A50="N/A"," ",YEAR(A50))</f>
        <v>2005</v>
      </c>
      <c r="C50" s="317" t="n">
        <f aca="false">IF($A50="N/A"," ",IF(Dayrun3=10,0,IF(Scaler3=1,(VLOOKUP(A50,ScaledPrice3,4)),(VLOOKUP(A50,ScaledPrice3,2)))))</f>
        <v>32.1415637731552</v>
      </c>
      <c r="D50" s="317" t="n">
        <f aca="false">IF(A50="N/A"," ",IF(Dayrun3&gt;=7,0,IF(Scaler3=2,VLOOKUP(A50,ScaledPrice3,2),(VLOOKUP(A50,ScaledPrice3,2))*(2-(VLOOKUP(A50,ScaledPrice3,3))))))</f>
        <v>32.1415637731552</v>
      </c>
      <c r="E50" s="317" t="n">
        <f aca="false">IF($A50="N/A"," ",IF(AND(Dayrun3&gt;=4,Dayrun3&lt;=9),0,VLOOKUP($A50,ScaledPrice3,9)))</f>
        <v>0</v>
      </c>
      <c r="F50" s="317" t="n">
        <f aca="false">IF(A50="N/A"," ",IF(OR(Dayrun3=2,Dayrun3=3,Dayrun3=5,Dayrun3=6,Dayrun3=8,Dayrun3=9),VLOOKUP(A50,ScaledPrice3,IF(Scaler3=1,6,5)),0))</f>
        <v>22.2900009155273</v>
      </c>
      <c r="G50" s="317" t="n">
        <f aca="false">IF(A50="N/A"," ",IF(OR(Dayrun3=2,Dayrun3=3,Dayrun3=5,Dayrun3=6),IF(Scaler3=2,F50,(VLOOKUP(A50,ScaledPrice3,5))*(2-(VLOOKUP(A50,ScaledPrice3,3)))),0))</f>
        <v>22.2900009155273</v>
      </c>
      <c r="H50" s="317" t="n">
        <f aca="false">IF($A50="N/A"," ",IF(OR(Dayrun3=2,Dayrun3=3,Dayrun3=10),VLOOKUP($A50,ScaledPrice3,9),0))</f>
        <v>0</v>
      </c>
      <c r="I50" s="317" t="n">
        <f aca="false">IF(A50="N/A"," ",IF(OR(Dayrun3=3,Dayrun3=6,Dayrun3=9),(VLOOKUP(A50,ScaledPrice3,IF(Scaler3=2,7,8))),0))</f>
        <v>14.7900009155273</v>
      </c>
      <c r="J50" s="317" t="n">
        <f aca="false">IF(A50="N/A"," ",IF(OR(Dayrun3=3,Dayrun3=6),IF(Scaler3=2,I50,(VLOOKUP(A50,ScaledPrice3,7))*(2-(VLOOKUP(A50,ScaledPrice3,3)))),0))</f>
        <v>14.7900009155273</v>
      </c>
      <c r="K50" s="317" t="n">
        <f aca="false">IF($A50="N/A"," ",IF(OR(Dayrun3=3,Dayrun3=10),VLOOKUP($A50,ScaledPrice3,9),0))</f>
        <v>0</v>
      </c>
      <c r="L50" s="318" t="n">
        <f aca="false">IF($A50="N/A"," ",IF(Pricetype3=2,MAX(C50,0),IF(OR(Pricetype3=1,Pricetype3=4),IF(C50=0,0,(EURO(C50,Strikeprice3,0,0,($AH50+IF(Smile=TRUE(),VLOOKUP(MAX(-5,Strikeprice3-C50),Volsmile,2),0)),($A50-DateToday)+15,IF(Pricetype3=1,1,0),0))),C50)))</f>
        <v>32.1415637731552</v>
      </c>
      <c r="M50" s="318" t="n">
        <f aca="false">IF($A50="N/A"," ",IF(Pricetype3=2,MAX(D50,0),IF(OR(Pricetype3=1,Pricetype3=4),IF(D50=0,0,(EURO(D50,Strikeprice3,0,0,($AH50+IF(Smile=TRUE(),VLOOKUP(MAX(-5,Strikeprice3-D50),Volsmile,2),0)),($A50-DateToday)+15,IF(Pricetype3=1,1,0),0))),D50)))</f>
        <v>32.1415637731552</v>
      </c>
      <c r="N50" s="318" t="n">
        <f aca="false">IF($A50="N/A"," ",IF(Pricetype3=2,MAX(E50,0),IF(OR(Pricetype3=1,Pricetype3=4),IF(E50=0,0,(EURO(E50,Strikeprice3,0,0,($AK50+IF(Smile=TRUE(),VLOOKUP(MAX(-5,Strikeprice3-E50),Volsmile,2),0)),($A50-DateToday)+15,IF(Pricetype3=1,1,0),0))),E50)))</f>
        <v>0</v>
      </c>
      <c r="O50" s="318" t="n">
        <f aca="false">IF($A50="N/A"," ",IF(Pricetype3=2,MAX(F50,0),IF(OR(Pricetype3=1,Pricetype3=4),IF(F50=0,0,(EURO(F50,Strikeprice3,0,0,($AK50+IF(Smile=TRUE(),VLOOKUP(MAX(-5,Strikeprice3-F50),Volsmile,2),0)),($A50-DateToday)+15,IF(Pricetype3=1,1,0),0))),F50)))</f>
        <v>22.2900009155273</v>
      </c>
      <c r="P50" s="318" t="n">
        <f aca="false">IF($A50="N/A"," ",IF(Pricetype3=2,MAX(G50,0),IF(OR(Pricetype3=1,Pricetype3=4),IF(G50=0,0,(EURO(G50,Strikeprice3,0,0,($AK50+IF(Smile=TRUE(),VLOOKUP(MAX(-5,Strikeprice3-G50),Volsmile,2),0)),($A50-DateToday)+15,IF(Pricetype3=1,1,0),0))),G50)))</f>
        <v>22.2900009155273</v>
      </c>
      <c r="Q50" s="318" t="n">
        <f aca="false">IF($A50="N/A"," ",IF(Pricetype3=2,MAX(H50,0),IF(OR(Pricetype3=1,Pricetype3=4),IF(H50=0,0,(EURO(H50,Strikeprice3,0,0,($AK50+IF(Smile=TRUE(),VLOOKUP(MAX(-5,Strikeprice3-H50),Volsmile,2),0)),($A50-DateToday)+15,IF(Pricetype3=1,1,0),0))),H50)))</f>
        <v>0</v>
      </c>
      <c r="R50" s="318" t="n">
        <f aca="false">IF($A50="N/A"," ",IF(Pricetype3=2,MAX(I50,0),IF(OR(Pricetype3=1,Pricetype3=4),IF(I50=0,0,(EURO(I50,Strikeprice3,0,0,($AK50+IF(Smile=TRUE(),VLOOKUP(MAX(-5,Strikeprice3-I50),Volsmile,2),0)),($A50-DateToday)+15,IF(Pricetype3=1,1,0),0))),I50)))</f>
        <v>14.7900009155273</v>
      </c>
      <c r="S50" s="318" t="n">
        <f aca="false">IF($A50="N/A"," ",IF(Pricetype3=2,MAX(J50,0),IF(OR(Pricetype3=1,Pricetype3=4),IF(J50=0,0,(EURO(J50,Strikeprice3,0,0,($AK50+IF(Smile=TRUE(),VLOOKUP(MAX(-5,Strikeprice3-J50),Volsmile,2),0)),($A50-DateToday)+15,IF(Pricetype3=1,1,0),0))),J50)))</f>
        <v>14.7900009155273</v>
      </c>
      <c r="T50" s="318" t="n">
        <f aca="false">IF($A50="N/A"," ",IF(Pricetype3=2,MAX(K50,0),IF(OR(Pricetype3=1,Pricetype3=4),IF(K50=0,0,(EURO(K50,Strikeprice3,0,0,($AK50+IF(Smile=TRUE(),VLOOKUP(MAX(-5,Strikeprice3-K50),Volsmile,2),0)),($A50-DateToday)+15,IF(Pricetype3=1,1,0),0))),K50)))</f>
        <v>0</v>
      </c>
      <c r="U50" s="319" t="e">
        <f aca="false">IF($A50="N/A"," ",Volume3*$AM50)</f>
        <v>#N/A</v>
      </c>
      <c r="V50" s="320" t="e">
        <f aca="false">IF($A50="N/A"," ",$U50*(8*($BQ50))*L50)</f>
        <v>#N/A</v>
      </c>
      <c r="W50" s="320" t="e">
        <f aca="false">IF($A50="N/A"," ",$U50*(8*($BQ50))*M50)</f>
        <v>#N/A</v>
      </c>
      <c r="X50" s="320" t="e">
        <f aca="false">IF($A50="N/A"," ",$U50*(8*($BQ50))*N50)</f>
        <v>#N/A</v>
      </c>
      <c r="Y50" s="320" t="e">
        <f aca="false">IF($A50="N/A"," ",$U50*(8*($BR50))*O50)</f>
        <v>#N/A</v>
      </c>
      <c r="Z50" s="320" t="e">
        <f aca="false">IF($A50="N/A"," ",$U50*(8*($BR50))*P50)</f>
        <v>#N/A</v>
      </c>
      <c r="AA50" s="320" t="e">
        <f aca="false">IF($A50="N/A"," ",$U50*(8*($BR50))*Q50)</f>
        <v>#N/A</v>
      </c>
      <c r="AB50" s="320" t="e">
        <f aca="false">IF($A50="N/A"," ",$U50*(8*($BS50))*R50)</f>
        <v>#N/A</v>
      </c>
      <c r="AC50" s="320" t="e">
        <f aca="false">IF($A50="N/A"," ",$U50*(8*($BS50))*S50)</f>
        <v>#N/A</v>
      </c>
      <c r="AD50" s="320" t="e">
        <f aca="false">IF($A50="N/A"," ",$U50*(8*($BS50))*T50)</f>
        <v>#N/A</v>
      </c>
      <c r="AE50" s="320" t="e">
        <f aca="false">IF($A50="N/A"," ",SUM(V50:AD50))</f>
        <v>#N/A</v>
      </c>
      <c r="AF50" s="321" t="n">
        <f aca="false">IF(A50="N/A"," ",(VLOOKUP(A50,PowerVolTable,(IF(VolBMO3=2,7,IF(VolBMO3=1,6,8))),FALSE())))</f>
        <v>0.16</v>
      </c>
      <c r="AG50" s="321" t="n">
        <f aca="false">IF(A50="N/A"," ",(VLOOKUP(A50,IntraPowerVol,(IF(VolBMO3=2,3,IF(VolBMO3=1,2,4))),FALSE())*VLOOKUP(MONTH($A50),Volscale,2)))</f>
        <v>0.28</v>
      </c>
      <c r="AH50" s="321" t="n">
        <f aca="false">IF($A50="N/A"," ",IF(VolType3=1,AG50,AF50))</f>
        <v>0.28</v>
      </c>
      <c r="AI50" s="321" t="n">
        <f aca="false">IF($A50="N/A"," ",(VLOOKUP($A50,OffPwrVolTable,(IF(VolBMO3=2,7,IF(VolBMO3=1,6,8))),FALSE())))</f>
        <v>0.08</v>
      </c>
      <c r="AJ50" s="321" t="n">
        <f aca="false">IF($A50="N/A"," ",(VLOOKUP($A50,OffPwrVolTable,(IF(VolBMO3=2,3,IF(VolBMO3=1,2,4))),FALSE())*VLOOKUP(MONTH($A50),Volscale,2)))</f>
        <v>0.168</v>
      </c>
      <c r="AK50" s="321" t="n">
        <f aca="false">IF($A50="N/A"," ",IF(VolType3=1,AJ50,AI50))</f>
        <v>0.168</v>
      </c>
      <c r="AL50" s="321" t="e">
        <f aca="false">IF($A50="N/A"," ",IF(PV=1,0,'Pricing Inputs3'!R83))</f>
        <v>#N/A</v>
      </c>
      <c r="AM50" s="323" t="e">
        <f aca="false">IF($A50="N/A"," ",(1+AL50/2)^(-2*((EOMONTH(A50,0)+20)-DateToday)/365.25))</f>
        <v>#N/A</v>
      </c>
      <c r="BQ50" s="0" t="n">
        <f aca="false">IF($A50="N/A"," ",(VLOOKUP($A50,NumberofDaysTable,2)))</f>
        <v>21</v>
      </c>
      <c r="BR50" s="0" t="n">
        <f aca="false">IF($A50="N/A"," ",(VLOOKUP($A50,NumberofDaysTable,3)))</f>
        <v>4</v>
      </c>
      <c r="BS50" s="0" t="n">
        <f aca="false">IF($A50="N/A"," ",(VLOOKUP($A50,NumberofDaysTable,4)))</f>
        <v>5</v>
      </c>
    </row>
    <row r="51" customFormat="false" ht="12.75" hidden="false" customHeight="false" outlineLevel="0" collapsed="false">
      <c r="A51" s="315" t="n">
        <f aca="false">IF(A50="N/A","N/A",IF(EDATE(A50,1)&gt;Inputs!$Q$5,"N/A",EDATE(A50,1)))</f>
        <v>38687</v>
      </c>
      <c r="B51" s="316" t="n">
        <f aca="false">IF(A51="N/A"," ",YEAR(A51))</f>
        <v>2005</v>
      </c>
      <c r="C51" s="317" t="n">
        <f aca="false">IF($A51="N/A"," ",IF(Dayrun3=10,0,IF(Scaler3=1,(VLOOKUP(A51,ScaledPrice3,4)),(VLOOKUP(A51,ScaledPrice3,2)))))</f>
        <v>32.2415622472763</v>
      </c>
      <c r="D51" s="317" t="n">
        <f aca="false">IF(A51="N/A"," ",IF(Dayrun3&gt;=7,0,IF(Scaler3=2,VLOOKUP(A51,ScaledPrice3,2),(VLOOKUP(A51,ScaledPrice3,2))*(2-(VLOOKUP(A51,ScaledPrice3,3))))))</f>
        <v>32.2415622472763</v>
      </c>
      <c r="E51" s="317" t="n">
        <f aca="false">IF($A51="N/A"," ",IF(AND(Dayrun3&gt;=4,Dayrun3&lt;=9),0,VLOOKUP($A51,ScaledPrice3,9)))</f>
        <v>0</v>
      </c>
      <c r="F51" s="317" t="n">
        <f aca="false">IF(A51="N/A"," ",IF(OR(Dayrun3=2,Dayrun3=3,Dayrun3=5,Dayrun3=6,Dayrun3=8,Dayrun3=9),VLOOKUP(A51,ScaledPrice3,IF(Scaler3=1,6,5)),0))</f>
        <v>27.2900009155273</v>
      </c>
      <c r="G51" s="317" t="n">
        <f aca="false">IF(A51="N/A"," ",IF(OR(Dayrun3=2,Dayrun3=3,Dayrun3=5,Dayrun3=6),IF(Scaler3=2,F51,(VLOOKUP(A51,ScaledPrice3,5))*(2-(VLOOKUP(A51,ScaledPrice3,3)))),0))</f>
        <v>27.2900009155273</v>
      </c>
      <c r="H51" s="317" t="n">
        <f aca="false">IF($A51="N/A"," ",IF(OR(Dayrun3=2,Dayrun3=3,Dayrun3=10),VLOOKUP($A51,ScaledPrice3,9),0))</f>
        <v>0</v>
      </c>
      <c r="I51" s="317" t="n">
        <f aca="false">IF(A51="N/A"," ",IF(OR(Dayrun3=3,Dayrun3=6,Dayrun3=9),(VLOOKUP(A51,ScaledPrice3,IF(Scaler3=2,7,8))),0))</f>
        <v>21.7900009155273</v>
      </c>
      <c r="J51" s="317" t="n">
        <f aca="false">IF(A51="N/A"," ",IF(OR(Dayrun3=3,Dayrun3=6),IF(Scaler3=2,I51,(VLOOKUP(A51,ScaledPrice3,7))*(2-(VLOOKUP(A51,ScaledPrice3,3)))),0))</f>
        <v>21.7900009155273</v>
      </c>
      <c r="K51" s="317" t="n">
        <f aca="false">IF($A51="N/A"," ",IF(OR(Dayrun3=3,Dayrun3=10),VLOOKUP($A51,ScaledPrice3,9),0))</f>
        <v>0</v>
      </c>
      <c r="L51" s="318" t="n">
        <f aca="false">IF($A51="N/A"," ",IF(Pricetype3=2,MAX(C51,0),IF(OR(Pricetype3=1,Pricetype3=4),IF(C51=0,0,(EURO(C51,Strikeprice3,0,0,($AH51+IF(Smile=TRUE(),VLOOKUP(MAX(-5,Strikeprice3-C51),Volsmile,2),0)),($A51-DateToday)+15,IF(Pricetype3=1,1,0),0))),C51)))</f>
        <v>32.2415622472763</v>
      </c>
      <c r="M51" s="318" t="n">
        <f aca="false">IF($A51="N/A"," ",IF(Pricetype3=2,MAX(D51,0),IF(OR(Pricetype3=1,Pricetype3=4),IF(D51=0,0,(EURO(D51,Strikeprice3,0,0,($AH51+IF(Smile=TRUE(),VLOOKUP(MAX(-5,Strikeprice3-D51),Volsmile,2),0)),($A51-DateToday)+15,IF(Pricetype3=1,1,0),0))),D51)))</f>
        <v>32.2415622472763</v>
      </c>
      <c r="N51" s="318" t="n">
        <f aca="false">IF($A51="N/A"," ",IF(Pricetype3=2,MAX(E51,0),IF(OR(Pricetype3=1,Pricetype3=4),IF(E51=0,0,(EURO(E51,Strikeprice3,0,0,($AK51+IF(Smile=TRUE(),VLOOKUP(MAX(-5,Strikeprice3-E51),Volsmile,2),0)),($A51-DateToday)+15,IF(Pricetype3=1,1,0),0))),E51)))</f>
        <v>0</v>
      </c>
      <c r="O51" s="318" t="n">
        <f aca="false">IF($A51="N/A"," ",IF(Pricetype3=2,MAX(F51,0),IF(OR(Pricetype3=1,Pricetype3=4),IF(F51=0,0,(EURO(F51,Strikeprice3,0,0,($AK51+IF(Smile=TRUE(),VLOOKUP(MAX(-5,Strikeprice3-F51),Volsmile,2),0)),($A51-DateToday)+15,IF(Pricetype3=1,1,0),0))),F51)))</f>
        <v>27.2900009155273</v>
      </c>
      <c r="P51" s="318" t="n">
        <f aca="false">IF($A51="N/A"," ",IF(Pricetype3=2,MAX(G51,0),IF(OR(Pricetype3=1,Pricetype3=4),IF(G51=0,0,(EURO(G51,Strikeprice3,0,0,($AK51+IF(Smile=TRUE(),VLOOKUP(MAX(-5,Strikeprice3-G51),Volsmile,2),0)),($A51-DateToday)+15,IF(Pricetype3=1,1,0),0))),G51)))</f>
        <v>27.2900009155273</v>
      </c>
      <c r="Q51" s="318" t="n">
        <f aca="false">IF($A51="N/A"," ",IF(Pricetype3=2,MAX(H51,0),IF(OR(Pricetype3=1,Pricetype3=4),IF(H51=0,0,(EURO(H51,Strikeprice3,0,0,($AK51+IF(Smile=TRUE(),VLOOKUP(MAX(-5,Strikeprice3-H51),Volsmile,2),0)),($A51-DateToday)+15,IF(Pricetype3=1,1,0),0))),H51)))</f>
        <v>0</v>
      </c>
      <c r="R51" s="318" t="n">
        <f aca="false">IF($A51="N/A"," ",IF(Pricetype3=2,MAX(I51,0),IF(OR(Pricetype3=1,Pricetype3=4),IF(I51=0,0,(EURO(I51,Strikeprice3,0,0,($AK51+IF(Smile=TRUE(),VLOOKUP(MAX(-5,Strikeprice3-I51),Volsmile,2),0)),($A51-DateToday)+15,IF(Pricetype3=1,1,0),0))),I51)))</f>
        <v>21.7900009155273</v>
      </c>
      <c r="S51" s="318" t="n">
        <f aca="false">IF($A51="N/A"," ",IF(Pricetype3=2,MAX(J51,0),IF(OR(Pricetype3=1,Pricetype3=4),IF(J51=0,0,(EURO(J51,Strikeprice3,0,0,($AK51+IF(Smile=TRUE(),VLOOKUP(MAX(-5,Strikeprice3-J51),Volsmile,2),0)),($A51-DateToday)+15,IF(Pricetype3=1,1,0),0))),J51)))</f>
        <v>21.7900009155273</v>
      </c>
      <c r="T51" s="318" t="n">
        <f aca="false">IF($A51="N/A"," ",IF(Pricetype3=2,MAX(K51,0),IF(OR(Pricetype3=1,Pricetype3=4),IF(K51=0,0,(EURO(K51,Strikeprice3,0,0,($AK51+IF(Smile=TRUE(),VLOOKUP(MAX(-5,Strikeprice3-K51),Volsmile,2),0)),($A51-DateToday)+15,IF(Pricetype3=1,1,0),0))),K51)))</f>
        <v>0</v>
      </c>
      <c r="U51" s="319" t="e">
        <f aca="false">IF($A51="N/A"," ",Volume3*$AM51)</f>
        <v>#N/A</v>
      </c>
      <c r="V51" s="320" t="e">
        <f aca="false">IF($A51="N/A"," ",$U51*(8*($BQ51))*L51)</f>
        <v>#N/A</v>
      </c>
      <c r="W51" s="320" t="e">
        <f aca="false">IF($A51="N/A"," ",$U51*(8*($BQ51))*M51)</f>
        <v>#N/A</v>
      </c>
      <c r="X51" s="320" t="e">
        <f aca="false">IF($A51="N/A"," ",$U51*(8*($BQ51))*N51)</f>
        <v>#N/A</v>
      </c>
      <c r="Y51" s="320" t="e">
        <f aca="false">IF($A51="N/A"," ",$U51*(8*($BR51))*O51)</f>
        <v>#N/A</v>
      </c>
      <c r="Z51" s="320" t="e">
        <f aca="false">IF($A51="N/A"," ",$U51*(8*($BR51))*P51)</f>
        <v>#N/A</v>
      </c>
      <c r="AA51" s="320" t="e">
        <f aca="false">IF($A51="N/A"," ",$U51*(8*($BR51))*Q51)</f>
        <v>#N/A</v>
      </c>
      <c r="AB51" s="320" t="e">
        <f aca="false">IF($A51="N/A"," ",$U51*(8*($BS51))*R51)</f>
        <v>#N/A</v>
      </c>
      <c r="AC51" s="320" t="e">
        <f aca="false">IF($A51="N/A"," ",$U51*(8*($BS51))*S51)</f>
        <v>#N/A</v>
      </c>
      <c r="AD51" s="320" t="e">
        <f aca="false">IF($A51="N/A"," ",$U51*(8*($BS51))*T51)</f>
        <v>#N/A</v>
      </c>
      <c r="AE51" s="320" t="e">
        <f aca="false">IF($A51="N/A"," ",SUM(V51:AD51))</f>
        <v>#N/A</v>
      </c>
      <c r="AF51" s="321" t="n">
        <f aca="false">IF(A51="N/A"," ",(VLOOKUP(A51,PowerVolTable,(IF(VolBMO3=2,7,IF(VolBMO3=1,6,8))),FALSE())))</f>
        <v>0.16</v>
      </c>
      <c r="AG51" s="321" t="n">
        <f aca="false">IF(A51="N/A"," ",(VLOOKUP(A51,IntraPowerVol,(IF(VolBMO3=2,3,IF(VolBMO3=1,2,4))),FALSE())*VLOOKUP(MONTH($A51),Volscale,2)))</f>
        <v>0.28</v>
      </c>
      <c r="AH51" s="321" t="n">
        <f aca="false">IF($A51="N/A"," ",IF(VolType3=1,AG51,AF51))</f>
        <v>0.28</v>
      </c>
      <c r="AI51" s="321" t="n">
        <f aca="false">IF($A51="N/A"," ",(VLOOKUP($A51,OffPwrVolTable,(IF(VolBMO3=2,7,IF(VolBMO3=1,6,8))),FALSE())))</f>
        <v>0.08</v>
      </c>
      <c r="AJ51" s="321" t="n">
        <f aca="false">IF($A51="N/A"," ",(VLOOKUP($A51,OffPwrVolTable,(IF(VolBMO3=2,3,IF(VolBMO3=1,2,4))),FALSE())*VLOOKUP(MONTH($A51),Volscale,2)))</f>
        <v>0.168</v>
      </c>
      <c r="AK51" s="321" t="n">
        <f aca="false">IF($A51="N/A"," ",IF(VolType3=1,AJ51,AI51))</f>
        <v>0.168</v>
      </c>
      <c r="AL51" s="321" t="e">
        <f aca="false">IF($A51="N/A"," ",IF(PV=1,0,'Pricing Inputs3'!R84))</f>
        <v>#N/A</v>
      </c>
      <c r="AM51" s="323" t="e">
        <f aca="false">IF($A51="N/A"," ",(1+AL51/2)^(-2*((EOMONTH(A51,0)+20)-DateToday)/365.25))</f>
        <v>#N/A</v>
      </c>
      <c r="BQ51" s="0" t="n">
        <f aca="false">IF($A51="N/A"," ",(VLOOKUP($A51,NumberofDaysTable,2)))</f>
        <v>21</v>
      </c>
      <c r="BR51" s="0" t="n">
        <f aca="false">IF($A51="N/A"," ",(VLOOKUP($A51,NumberofDaysTable,3)))</f>
        <v>5</v>
      </c>
      <c r="BS51" s="0" t="n">
        <f aca="false">IF($A51="N/A"," ",(VLOOKUP($A51,NumberofDaysTable,4)))</f>
        <v>5</v>
      </c>
    </row>
    <row r="52" customFormat="false" ht="12.75" hidden="false" customHeight="false" outlineLevel="0" collapsed="false">
      <c r="A52" s="315" t="n">
        <f aca="false">IF(A51="N/A","N/A",IF(EDATE(A51,1)&gt;Inputs!$Q$5,"N/A",EDATE(A51,1)))</f>
        <v>38718</v>
      </c>
      <c r="B52" s="316" t="n">
        <f aca="false">IF(A52="N/A"," ",YEAR(A52))</f>
        <v>2006</v>
      </c>
      <c r="C52" s="317" t="n">
        <f aca="false">IF($A52="N/A"," ",IF(Dayrun3=10,0,IF(Scaler3=1,(VLOOKUP(A52,ScaledPrice3,4)),(VLOOKUP(A52,ScaledPrice3,2)))))</f>
        <v>35.1157172066825</v>
      </c>
      <c r="D52" s="317" t="n">
        <f aca="false">IF(A52="N/A"," ",IF(Dayrun3&gt;=7,0,IF(Scaler3=2,VLOOKUP(A52,ScaledPrice3,2),(VLOOKUP(A52,ScaledPrice3,2))*(2-(VLOOKUP(A52,ScaledPrice3,3))))))</f>
        <v>35.1157172066825</v>
      </c>
      <c r="E52" s="317" t="n">
        <f aca="false">IF($A52="N/A"," ",IF(AND(Dayrun3&gt;=4,Dayrun3&lt;=9),0,VLOOKUP($A52,ScaledPrice3,9)))</f>
        <v>0</v>
      </c>
      <c r="F52" s="317" t="n">
        <f aca="false">IF(A52="N/A"," ",IF(OR(Dayrun3=2,Dayrun3=3,Dayrun3=5,Dayrun3=6,Dayrun3=8,Dayrun3=9),VLOOKUP(A52,ScaledPrice3,IF(Scaler3=1,6,5)),0))</f>
        <v>35.75</v>
      </c>
      <c r="G52" s="317" t="n">
        <f aca="false">IF(A52="N/A"," ",IF(OR(Dayrun3=2,Dayrun3=3,Dayrun3=5,Dayrun3=6),IF(Scaler3=2,F52,(VLOOKUP(A52,ScaledPrice3,5))*(2-(VLOOKUP(A52,ScaledPrice3,3)))),0))</f>
        <v>35.75</v>
      </c>
      <c r="H52" s="317" t="n">
        <f aca="false">IF($A52="N/A"," ",IF(OR(Dayrun3=2,Dayrun3=3,Dayrun3=10),VLOOKUP($A52,ScaledPrice3,9),0))</f>
        <v>0</v>
      </c>
      <c r="I52" s="317" t="n">
        <f aca="false">IF(A52="N/A"," ",IF(OR(Dayrun3=3,Dayrun3=6,Dayrun3=9),(VLOOKUP(A52,ScaledPrice3,IF(Scaler3=2,7,8))),0))</f>
        <v>25.25</v>
      </c>
      <c r="J52" s="317" t="n">
        <f aca="false">IF(A52="N/A"," ",IF(OR(Dayrun3=3,Dayrun3=6),IF(Scaler3=2,I52,(VLOOKUP(A52,ScaledPrice3,7))*(2-(VLOOKUP(A52,ScaledPrice3,3)))),0))</f>
        <v>25.25</v>
      </c>
      <c r="K52" s="317" t="n">
        <f aca="false">IF($A52="N/A"," ",IF(OR(Dayrun3=3,Dayrun3=10),VLOOKUP($A52,ScaledPrice3,9),0))</f>
        <v>0</v>
      </c>
      <c r="L52" s="318" t="n">
        <f aca="false">IF($A52="N/A"," ",IF(Pricetype3=2,MAX(C52,0),IF(OR(Pricetype3=1,Pricetype3=4),IF(C52=0,0,(EURO(C52,Strikeprice3,0,0,($AH52+IF(Smile=TRUE(),VLOOKUP(MAX(-5,Strikeprice3-C52),Volsmile,2),0)),($A52-DateToday)+15,IF(Pricetype3=1,1,0),0))),C52)))</f>
        <v>35.1157172066825</v>
      </c>
      <c r="M52" s="318" t="n">
        <f aca="false">IF($A52="N/A"," ",IF(Pricetype3=2,MAX(D52,0),IF(OR(Pricetype3=1,Pricetype3=4),IF(D52=0,0,(EURO(D52,Strikeprice3,0,0,($AH52+IF(Smile=TRUE(),VLOOKUP(MAX(-5,Strikeprice3-D52),Volsmile,2),0)),($A52-DateToday)+15,IF(Pricetype3=1,1,0),0))),D52)))</f>
        <v>35.1157172066825</v>
      </c>
      <c r="N52" s="318" t="n">
        <f aca="false">IF($A52="N/A"," ",IF(Pricetype3=2,MAX(E52,0),IF(OR(Pricetype3=1,Pricetype3=4),IF(E52=0,0,(EURO(E52,Strikeprice3,0,0,($AK52+IF(Smile=TRUE(),VLOOKUP(MAX(-5,Strikeprice3-E52),Volsmile,2),0)),($A52-DateToday)+15,IF(Pricetype3=1,1,0),0))),E52)))</f>
        <v>0</v>
      </c>
      <c r="O52" s="318" t="n">
        <f aca="false">IF($A52="N/A"," ",IF(Pricetype3=2,MAX(F52,0),IF(OR(Pricetype3=1,Pricetype3=4),IF(F52=0,0,(EURO(F52,Strikeprice3,0,0,($AK52+IF(Smile=TRUE(),VLOOKUP(MAX(-5,Strikeprice3-F52),Volsmile,2),0)),($A52-DateToday)+15,IF(Pricetype3=1,1,0),0))),F52)))</f>
        <v>35.75</v>
      </c>
      <c r="P52" s="318" t="n">
        <f aca="false">IF($A52="N/A"," ",IF(Pricetype3=2,MAX(G52,0),IF(OR(Pricetype3=1,Pricetype3=4),IF(G52=0,0,(EURO(G52,Strikeprice3,0,0,($AK52+IF(Smile=TRUE(),VLOOKUP(MAX(-5,Strikeprice3-G52),Volsmile,2),0)),($A52-DateToday)+15,IF(Pricetype3=1,1,0),0))),G52)))</f>
        <v>35.75</v>
      </c>
      <c r="Q52" s="318" t="n">
        <f aca="false">IF($A52="N/A"," ",IF(Pricetype3=2,MAX(H52,0),IF(OR(Pricetype3=1,Pricetype3=4),IF(H52=0,0,(EURO(H52,Strikeprice3,0,0,($AK52+IF(Smile=TRUE(),VLOOKUP(MAX(-5,Strikeprice3-H52),Volsmile,2),0)),($A52-DateToday)+15,IF(Pricetype3=1,1,0),0))),H52)))</f>
        <v>0</v>
      </c>
      <c r="R52" s="318" t="n">
        <f aca="false">IF($A52="N/A"," ",IF(Pricetype3=2,MAX(I52,0),IF(OR(Pricetype3=1,Pricetype3=4),IF(I52=0,0,(EURO(I52,Strikeprice3,0,0,($AK52+IF(Smile=TRUE(),VLOOKUP(MAX(-5,Strikeprice3-I52),Volsmile,2),0)),($A52-DateToday)+15,IF(Pricetype3=1,1,0),0))),I52)))</f>
        <v>25.25</v>
      </c>
      <c r="S52" s="318" t="n">
        <f aca="false">IF($A52="N/A"," ",IF(Pricetype3=2,MAX(J52,0),IF(OR(Pricetype3=1,Pricetype3=4),IF(J52=0,0,(EURO(J52,Strikeprice3,0,0,($AK52+IF(Smile=TRUE(),VLOOKUP(MAX(-5,Strikeprice3-J52),Volsmile,2),0)),($A52-DateToday)+15,IF(Pricetype3=1,1,0),0))),J52)))</f>
        <v>25.25</v>
      </c>
      <c r="T52" s="318" t="n">
        <f aca="false">IF($A52="N/A"," ",IF(Pricetype3=2,MAX(K52,0),IF(OR(Pricetype3=1,Pricetype3=4),IF(K52=0,0,(EURO(K52,Strikeprice3,0,0,($AK52+IF(Smile=TRUE(),VLOOKUP(MAX(-5,Strikeprice3-K52),Volsmile,2),0)),($A52-DateToday)+15,IF(Pricetype3=1,1,0),0))),K52)))</f>
        <v>0</v>
      </c>
      <c r="U52" s="319" t="e">
        <f aca="false">IF($A52="N/A"," ",Volume3*$AM52)</f>
        <v>#N/A</v>
      </c>
      <c r="V52" s="320" t="e">
        <f aca="false">IF($A52="N/A"," ",$U52*(8*($BQ52))*L52)</f>
        <v>#N/A</v>
      </c>
      <c r="W52" s="320" t="e">
        <f aca="false">IF($A52="N/A"," ",$U52*(8*($BQ52))*M52)</f>
        <v>#N/A</v>
      </c>
      <c r="X52" s="320" t="e">
        <f aca="false">IF($A52="N/A"," ",$U52*(8*($BQ52))*N52)</f>
        <v>#N/A</v>
      </c>
      <c r="Y52" s="320" t="e">
        <f aca="false">IF($A52="N/A"," ",$U52*(8*($BR52))*O52)</f>
        <v>#N/A</v>
      </c>
      <c r="Z52" s="320" t="e">
        <f aca="false">IF($A52="N/A"," ",$U52*(8*($BR52))*P52)</f>
        <v>#N/A</v>
      </c>
      <c r="AA52" s="320" t="e">
        <f aca="false">IF($A52="N/A"," ",$U52*(8*($BR52))*Q52)</f>
        <v>#N/A</v>
      </c>
      <c r="AB52" s="320" t="e">
        <f aca="false">IF($A52="N/A"," ",$U52*(8*($BS52))*R52)</f>
        <v>#N/A</v>
      </c>
      <c r="AC52" s="320" t="e">
        <f aca="false">IF($A52="N/A"," ",$U52*(8*($BS52))*S52)</f>
        <v>#N/A</v>
      </c>
      <c r="AD52" s="320" t="e">
        <f aca="false">IF($A52="N/A"," ",$U52*(8*($BS52))*T52)</f>
        <v>#N/A</v>
      </c>
      <c r="AE52" s="320" t="e">
        <f aca="false">IF($A52="N/A"," ",SUM(V52:AD52))</f>
        <v>#N/A</v>
      </c>
      <c r="AF52" s="321" t="n">
        <f aca="false">IF(A52="N/A"," ",(VLOOKUP(A52,PowerVolTable,(IF(VolBMO3=2,7,IF(VolBMO3=1,6,8))),FALSE())))</f>
        <v>0.16</v>
      </c>
      <c r="AG52" s="321" t="n">
        <f aca="false">IF(A52="N/A"," ",(VLOOKUP(A52,IntraPowerVol,(IF(VolBMO3=2,3,IF(VolBMO3=1,2,4))),FALSE())*VLOOKUP(MONTH($A52),Volscale,2)))</f>
        <v>0.28</v>
      </c>
      <c r="AH52" s="321" t="n">
        <f aca="false">IF($A52="N/A"," ",IF(VolType3=1,AG52,AF52))</f>
        <v>0.28</v>
      </c>
      <c r="AI52" s="321" t="n">
        <f aca="false">IF($A52="N/A"," ",(VLOOKUP($A52,OffPwrVolTable,(IF(VolBMO3=2,7,IF(VolBMO3=1,6,8))),FALSE())))</f>
        <v>0.08</v>
      </c>
      <c r="AJ52" s="321" t="n">
        <f aca="false">IF($A52="N/A"," ",(VLOOKUP($A52,OffPwrVolTable,(IF(VolBMO3=2,3,IF(VolBMO3=1,2,4))),FALSE())*VLOOKUP(MONTH($A52),Volscale,2)))</f>
        <v>0.168</v>
      </c>
      <c r="AK52" s="321" t="n">
        <f aca="false">IF($A52="N/A"," ",IF(VolType3=1,AJ52,AI52))</f>
        <v>0.168</v>
      </c>
      <c r="AL52" s="321" t="e">
        <f aca="false">IF($A52="N/A"," ",IF(PV=1,0,'Pricing Inputs3'!R85))</f>
        <v>#N/A</v>
      </c>
      <c r="AM52" s="323" t="e">
        <f aca="false">IF($A52="N/A"," ",(1+AL52/2)^(-2*((EOMONTH(A52,0)+20)-DateToday)/365.25))</f>
        <v>#N/A</v>
      </c>
      <c r="BQ52" s="0" t="n">
        <f aca="false">IF($A52="N/A"," ",(VLOOKUP($A52,NumberofDaysTable,2)))</f>
        <v>21</v>
      </c>
      <c r="BR52" s="0" t="n">
        <f aca="false">IF($A52="N/A"," ",(VLOOKUP($A52,NumberofDaysTable,3)))</f>
        <v>4</v>
      </c>
      <c r="BS52" s="0" t="n">
        <f aca="false">IF($A52="N/A"," ",(VLOOKUP($A52,NumberofDaysTable,4)))</f>
        <v>6</v>
      </c>
    </row>
    <row r="53" customFormat="false" ht="12.75" hidden="false" customHeight="false" outlineLevel="0" collapsed="false">
      <c r="A53" s="315" t="n">
        <f aca="false">IF(A52="N/A","N/A",IF(EDATE(A52,1)&gt;Inputs!$Q$5,"N/A",EDATE(A52,1)))</f>
        <v>38749</v>
      </c>
      <c r="B53" s="316" t="n">
        <f aca="false">IF(A53="N/A"," ",YEAR(A53))</f>
        <v>2006</v>
      </c>
      <c r="C53" s="317" t="n">
        <f aca="false">IF($A53="N/A"," ",IF(Dayrun3=10,0,IF(Scaler3=1,(VLOOKUP(A53,ScaledPrice3,4)),(VLOOKUP(A53,ScaledPrice3,2)))))</f>
        <v>34.5157149178641</v>
      </c>
      <c r="D53" s="317" t="n">
        <f aca="false">IF(A53="N/A"," ",IF(Dayrun3&gt;=7,0,IF(Scaler3=2,VLOOKUP(A53,ScaledPrice3,2),(VLOOKUP(A53,ScaledPrice3,2))*(2-(VLOOKUP(A53,ScaledPrice3,3))))))</f>
        <v>34.5157149178641</v>
      </c>
      <c r="E53" s="317" t="n">
        <f aca="false">IF($A53="N/A"," ",IF(AND(Dayrun3&gt;=4,Dayrun3&lt;=9),0,VLOOKUP($A53,ScaledPrice3,9)))</f>
        <v>0</v>
      </c>
      <c r="F53" s="317" t="n">
        <f aca="false">IF(A53="N/A"," ",IF(OR(Dayrun3=2,Dayrun3=3,Dayrun3=5,Dayrun3=6,Dayrun3=8,Dayrun3=9),VLOOKUP(A53,ScaledPrice3,IF(Scaler3=1,6,5)),0))</f>
        <v>31.2460021972656</v>
      </c>
      <c r="G53" s="317" t="n">
        <f aca="false">IF(A53="N/A"," ",IF(OR(Dayrun3=2,Dayrun3=3,Dayrun3=5,Dayrun3=6),IF(Scaler3=2,F53,(VLOOKUP(A53,ScaledPrice3,5))*(2-(VLOOKUP(A53,ScaledPrice3,3)))),0))</f>
        <v>31.2460021972656</v>
      </c>
      <c r="H53" s="317" t="n">
        <f aca="false">IF($A53="N/A"," ",IF(OR(Dayrun3=2,Dayrun3=3,Dayrun3=10),VLOOKUP($A53,ScaledPrice3,9),0))</f>
        <v>0</v>
      </c>
      <c r="I53" s="317" t="n">
        <f aca="false">IF(A53="N/A"," ",IF(OR(Dayrun3=3,Dayrun3=6,Dayrun3=9),(VLOOKUP(A53,ScaledPrice3,IF(Scaler3=2,7,8))),0))</f>
        <v>22.7465019226074</v>
      </c>
      <c r="J53" s="317" t="n">
        <f aca="false">IF(A53="N/A"," ",IF(OR(Dayrun3=3,Dayrun3=6),IF(Scaler3=2,I53,(VLOOKUP(A53,ScaledPrice3,7))*(2-(VLOOKUP(A53,ScaledPrice3,3)))),0))</f>
        <v>22.7465019226074</v>
      </c>
      <c r="K53" s="317" t="n">
        <f aca="false">IF($A53="N/A"," ",IF(OR(Dayrun3=3,Dayrun3=10),VLOOKUP($A53,ScaledPrice3,9),0))</f>
        <v>0</v>
      </c>
      <c r="L53" s="318" t="n">
        <f aca="false">IF($A53="N/A"," ",IF(Pricetype3=2,MAX(C53,0),IF(OR(Pricetype3=1,Pricetype3=4),IF(C53=0,0,(EURO(C53,Strikeprice3,0,0,($AH53+IF(Smile=TRUE(),VLOOKUP(MAX(-5,Strikeprice3-C53),Volsmile,2),0)),($A53-DateToday)+15,IF(Pricetype3=1,1,0),0))),C53)))</f>
        <v>34.5157149178641</v>
      </c>
      <c r="M53" s="318" t="n">
        <f aca="false">IF($A53="N/A"," ",IF(Pricetype3=2,MAX(D53,0),IF(OR(Pricetype3=1,Pricetype3=4),IF(D53=0,0,(EURO(D53,Strikeprice3,0,0,($AH53+IF(Smile=TRUE(),VLOOKUP(MAX(-5,Strikeprice3-D53),Volsmile,2),0)),($A53-DateToday)+15,IF(Pricetype3=1,1,0),0))),D53)))</f>
        <v>34.5157149178641</v>
      </c>
      <c r="N53" s="318" t="n">
        <f aca="false">IF($A53="N/A"," ",IF(Pricetype3=2,MAX(E53,0),IF(OR(Pricetype3=1,Pricetype3=4),IF(E53=0,0,(EURO(E53,Strikeprice3,0,0,($AK53+IF(Smile=TRUE(),VLOOKUP(MAX(-5,Strikeprice3-E53),Volsmile,2),0)),($A53-DateToday)+15,IF(Pricetype3=1,1,0),0))),E53)))</f>
        <v>0</v>
      </c>
      <c r="O53" s="318" t="n">
        <f aca="false">IF($A53="N/A"," ",IF(Pricetype3=2,MAX(F53,0),IF(OR(Pricetype3=1,Pricetype3=4),IF(F53=0,0,(EURO(F53,Strikeprice3,0,0,($AK53+IF(Smile=TRUE(),VLOOKUP(MAX(-5,Strikeprice3-F53),Volsmile,2),0)),($A53-DateToday)+15,IF(Pricetype3=1,1,0),0))),F53)))</f>
        <v>31.2460021972656</v>
      </c>
      <c r="P53" s="318" t="n">
        <f aca="false">IF($A53="N/A"," ",IF(Pricetype3=2,MAX(G53,0),IF(OR(Pricetype3=1,Pricetype3=4),IF(G53=0,0,(EURO(G53,Strikeprice3,0,0,($AK53+IF(Smile=TRUE(),VLOOKUP(MAX(-5,Strikeprice3-G53),Volsmile,2),0)),($A53-DateToday)+15,IF(Pricetype3=1,1,0),0))),G53)))</f>
        <v>31.2460021972656</v>
      </c>
      <c r="Q53" s="318" t="n">
        <f aca="false">IF($A53="N/A"," ",IF(Pricetype3=2,MAX(H53,0),IF(OR(Pricetype3=1,Pricetype3=4),IF(H53=0,0,(EURO(H53,Strikeprice3,0,0,($AK53+IF(Smile=TRUE(),VLOOKUP(MAX(-5,Strikeprice3-H53),Volsmile,2),0)),($A53-DateToday)+15,IF(Pricetype3=1,1,0),0))),H53)))</f>
        <v>0</v>
      </c>
      <c r="R53" s="318" t="n">
        <f aca="false">IF($A53="N/A"," ",IF(Pricetype3=2,MAX(I53,0),IF(OR(Pricetype3=1,Pricetype3=4),IF(I53=0,0,(EURO(I53,Strikeprice3,0,0,($AK53+IF(Smile=TRUE(),VLOOKUP(MAX(-5,Strikeprice3-I53),Volsmile,2),0)),($A53-DateToday)+15,IF(Pricetype3=1,1,0),0))),I53)))</f>
        <v>22.7465019226074</v>
      </c>
      <c r="S53" s="318" t="n">
        <f aca="false">IF($A53="N/A"," ",IF(Pricetype3=2,MAX(J53,0),IF(OR(Pricetype3=1,Pricetype3=4),IF(J53=0,0,(EURO(J53,Strikeprice3,0,0,($AK53+IF(Smile=TRUE(),VLOOKUP(MAX(-5,Strikeprice3-J53),Volsmile,2),0)),($A53-DateToday)+15,IF(Pricetype3=1,1,0),0))),J53)))</f>
        <v>22.7465019226074</v>
      </c>
      <c r="T53" s="318" t="n">
        <f aca="false">IF($A53="N/A"," ",IF(Pricetype3=2,MAX(K53,0),IF(OR(Pricetype3=1,Pricetype3=4),IF(K53=0,0,(EURO(K53,Strikeprice3,0,0,($AK53+IF(Smile=TRUE(),VLOOKUP(MAX(-5,Strikeprice3-K53),Volsmile,2),0)),($A53-DateToday)+15,IF(Pricetype3=1,1,0),0))),K53)))</f>
        <v>0</v>
      </c>
      <c r="U53" s="319" t="e">
        <f aca="false">IF($A53="N/A"," ",Volume3*$AM53)</f>
        <v>#N/A</v>
      </c>
      <c r="V53" s="320" t="e">
        <f aca="false">IF($A53="N/A"," ",$U53*(8*($BQ53))*L53)</f>
        <v>#N/A</v>
      </c>
      <c r="W53" s="320" t="e">
        <f aca="false">IF($A53="N/A"," ",$U53*(8*($BQ53))*M53)</f>
        <v>#N/A</v>
      </c>
      <c r="X53" s="320" t="e">
        <f aca="false">IF($A53="N/A"," ",$U53*(8*($BQ53))*N53)</f>
        <v>#N/A</v>
      </c>
      <c r="Y53" s="320" t="e">
        <f aca="false">IF($A53="N/A"," ",$U53*(8*($BR53))*O53)</f>
        <v>#N/A</v>
      </c>
      <c r="Z53" s="320" t="e">
        <f aca="false">IF($A53="N/A"," ",$U53*(8*($BR53))*P53)</f>
        <v>#N/A</v>
      </c>
      <c r="AA53" s="320" t="e">
        <f aca="false">IF($A53="N/A"," ",$U53*(8*($BR53))*Q53)</f>
        <v>#N/A</v>
      </c>
      <c r="AB53" s="320" t="e">
        <f aca="false">IF($A53="N/A"," ",$U53*(8*($BS53))*R53)</f>
        <v>#N/A</v>
      </c>
      <c r="AC53" s="320" t="e">
        <f aca="false">IF($A53="N/A"," ",$U53*(8*($BS53))*S53)</f>
        <v>#N/A</v>
      </c>
      <c r="AD53" s="320" t="e">
        <f aca="false">IF($A53="N/A"," ",$U53*(8*($BS53))*T53)</f>
        <v>#N/A</v>
      </c>
      <c r="AE53" s="320" t="e">
        <f aca="false">IF($A53="N/A"," ",SUM(V53:AD53))</f>
        <v>#N/A</v>
      </c>
      <c r="AF53" s="321" t="n">
        <f aca="false">IF(A53="N/A"," ",(VLOOKUP(A53,PowerVolTable,(IF(VolBMO3=2,7,IF(VolBMO3=1,6,8))),FALSE())))</f>
        <v>0.16</v>
      </c>
      <c r="AG53" s="321" t="n">
        <f aca="false">IF(A53="N/A"," ",(VLOOKUP(A53,IntraPowerVol,(IF(VolBMO3=2,3,IF(VolBMO3=1,2,4))),FALSE())*VLOOKUP(MONTH($A53),Volscale,2)))</f>
        <v>0.28</v>
      </c>
      <c r="AH53" s="321" t="n">
        <f aca="false">IF($A53="N/A"," ",IF(VolType3=1,AG53,AF53))</f>
        <v>0.28</v>
      </c>
      <c r="AI53" s="321" t="n">
        <f aca="false">IF($A53="N/A"," ",(VLOOKUP($A53,OffPwrVolTable,(IF(VolBMO3=2,7,IF(VolBMO3=1,6,8))),FALSE())))</f>
        <v>0.08</v>
      </c>
      <c r="AJ53" s="321" t="n">
        <f aca="false">IF($A53="N/A"," ",(VLOOKUP($A53,OffPwrVolTable,(IF(VolBMO3=2,3,IF(VolBMO3=1,2,4))),FALSE())*VLOOKUP(MONTH($A53),Volscale,2)))</f>
        <v>0.168</v>
      </c>
      <c r="AK53" s="321" t="n">
        <f aca="false">IF($A53="N/A"," ",IF(VolType3=1,AJ53,AI53))</f>
        <v>0.168</v>
      </c>
      <c r="AL53" s="321" t="e">
        <f aca="false">IF($A53="N/A"," ",IF(PV=1,0,'Pricing Inputs3'!R86))</f>
        <v>#N/A</v>
      </c>
      <c r="AM53" s="323" t="e">
        <f aca="false">IF($A53="N/A"," ",(1+AL53/2)^(-2*((EOMONTH(A53,0)+20)-DateToday)/365.25))</f>
        <v>#N/A</v>
      </c>
      <c r="BQ53" s="0" t="n">
        <f aca="false">IF($A53="N/A"," ",(VLOOKUP($A53,NumberofDaysTable,2)))</f>
        <v>20</v>
      </c>
      <c r="BR53" s="0" t="n">
        <f aca="false">IF($A53="N/A"," ",(VLOOKUP($A53,NumberofDaysTable,3)))</f>
        <v>4</v>
      </c>
      <c r="BS53" s="0" t="n">
        <f aca="false">IF($A53="N/A"," ",(VLOOKUP($A53,NumberofDaysTable,4)))</f>
        <v>4</v>
      </c>
    </row>
    <row r="54" customFormat="false" ht="12.75" hidden="false" customHeight="false" outlineLevel="0" collapsed="false">
      <c r="A54" s="315" t="n">
        <f aca="false">IF(A53="N/A","N/A",IF(EDATE(A53,1)&gt;Inputs!$Q$5,"N/A",EDATE(A53,1)))</f>
        <v>38777</v>
      </c>
      <c r="B54" s="316" t="n">
        <f aca="false">IF(A54="N/A"," ",YEAR(A54))</f>
        <v>2006</v>
      </c>
      <c r="C54" s="317" t="n">
        <f aca="false">IF($A54="N/A"," ",IF(Dayrun3=10,0,IF(Scaler3=1,(VLOOKUP(A54,ScaledPrice3,4)),(VLOOKUP(A54,ScaledPrice3,2)))))</f>
        <v>33.2276797627294</v>
      </c>
      <c r="D54" s="317" t="n">
        <f aca="false">IF(A54="N/A"," ",IF(Dayrun3&gt;=7,0,IF(Scaler3=2,VLOOKUP(A54,ScaledPrice3,2),(VLOOKUP(A54,ScaledPrice3,2))*(2-(VLOOKUP(A54,ScaledPrice3,3))))))</f>
        <v>33.2276797627294</v>
      </c>
      <c r="E54" s="317" t="n">
        <f aca="false">IF($A54="N/A"," ",IF(AND(Dayrun3&gt;=4,Dayrun3&lt;=9),0,VLOOKUP($A54,ScaledPrice3,9)))</f>
        <v>0</v>
      </c>
      <c r="F54" s="317" t="n">
        <f aca="false">IF(A54="N/A"," ",IF(OR(Dayrun3=2,Dayrun3=3,Dayrun3=5,Dayrun3=6,Dayrun3=8,Dayrun3=9),VLOOKUP(A54,ScaledPrice3,IF(Scaler3=1,6,5)),0))</f>
        <v>25.5</v>
      </c>
      <c r="G54" s="317" t="n">
        <f aca="false">IF(A54="N/A"," ",IF(OR(Dayrun3=2,Dayrun3=3,Dayrun3=5,Dayrun3=6),IF(Scaler3=2,F54,(VLOOKUP(A54,ScaledPrice3,5))*(2-(VLOOKUP(A54,ScaledPrice3,3)))),0))</f>
        <v>25.5</v>
      </c>
      <c r="H54" s="317" t="n">
        <f aca="false">IF($A54="N/A"," ",IF(OR(Dayrun3=2,Dayrun3=3,Dayrun3=10),VLOOKUP($A54,ScaledPrice3,9),0))</f>
        <v>0</v>
      </c>
      <c r="I54" s="317" t="n">
        <f aca="false">IF(A54="N/A"," ",IF(OR(Dayrun3=3,Dayrun3=6,Dayrun3=9),(VLOOKUP(A54,ScaledPrice3,IF(Scaler3=2,7,8))),0))</f>
        <v>20</v>
      </c>
      <c r="J54" s="317" t="n">
        <f aca="false">IF(A54="N/A"," ",IF(OR(Dayrun3=3,Dayrun3=6),IF(Scaler3=2,I54,(VLOOKUP(A54,ScaledPrice3,7))*(2-(VLOOKUP(A54,ScaledPrice3,3)))),0))</f>
        <v>20</v>
      </c>
      <c r="K54" s="317" t="n">
        <f aca="false">IF($A54="N/A"," ",IF(OR(Dayrun3=3,Dayrun3=10),VLOOKUP($A54,ScaledPrice3,9),0))</f>
        <v>0</v>
      </c>
      <c r="L54" s="318" t="n">
        <f aca="false">IF($A54="N/A"," ",IF(Pricetype3=2,MAX(C54,0),IF(OR(Pricetype3=1,Pricetype3=4),IF(C54=0,0,(EURO(C54,Strikeprice3,0,0,($AH54+IF(Smile=TRUE(),VLOOKUP(MAX(-5,Strikeprice3-C54),Volsmile,2),0)),($A54-DateToday)+15,IF(Pricetype3=1,1,0),0))),C54)))</f>
        <v>33.2276797627294</v>
      </c>
      <c r="M54" s="318" t="n">
        <f aca="false">IF($A54="N/A"," ",IF(Pricetype3=2,MAX(D54,0),IF(OR(Pricetype3=1,Pricetype3=4),IF(D54=0,0,(EURO(D54,Strikeprice3,0,0,($AH54+IF(Smile=TRUE(),VLOOKUP(MAX(-5,Strikeprice3-D54),Volsmile,2),0)),($A54-DateToday)+15,IF(Pricetype3=1,1,0),0))),D54)))</f>
        <v>33.2276797627294</v>
      </c>
      <c r="N54" s="318" t="n">
        <f aca="false">IF($A54="N/A"," ",IF(Pricetype3=2,MAX(E54,0),IF(OR(Pricetype3=1,Pricetype3=4),IF(E54=0,0,(EURO(E54,Strikeprice3,0,0,($AK54+IF(Smile=TRUE(),VLOOKUP(MAX(-5,Strikeprice3-E54),Volsmile,2),0)),($A54-DateToday)+15,IF(Pricetype3=1,1,0),0))),E54)))</f>
        <v>0</v>
      </c>
      <c r="O54" s="318" t="n">
        <f aca="false">IF($A54="N/A"," ",IF(Pricetype3=2,MAX(F54,0),IF(OR(Pricetype3=1,Pricetype3=4),IF(F54=0,0,(EURO(F54,Strikeprice3,0,0,($AK54+IF(Smile=TRUE(),VLOOKUP(MAX(-5,Strikeprice3-F54),Volsmile,2),0)),($A54-DateToday)+15,IF(Pricetype3=1,1,0),0))),F54)))</f>
        <v>25.5</v>
      </c>
      <c r="P54" s="318" t="n">
        <f aca="false">IF($A54="N/A"," ",IF(Pricetype3=2,MAX(G54,0),IF(OR(Pricetype3=1,Pricetype3=4),IF(G54=0,0,(EURO(G54,Strikeprice3,0,0,($AK54+IF(Smile=TRUE(),VLOOKUP(MAX(-5,Strikeprice3-G54),Volsmile,2),0)),($A54-DateToday)+15,IF(Pricetype3=1,1,0),0))),G54)))</f>
        <v>25.5</v>
      </c>
      <c r="Q54" s="318" t="n">
        <f aca="false">IF($A54="N/A"," ",IF(Pricetype3=2,MAX(H54,0),IF(OR(Pricetype3=1,Pricetype3=4),IF(H54=0,0,(EURO(H54,Strikeprice3,0,0,($AK54+IF(Smile=TRUE(),VLOOKUP(MAX(-5,Strikeprice3-H54),Volsmile,2),0)),($A54-DateToday)+15,IF(Pricetype3=1,1,0),0))),H54)))</f>
        <v>0</v>
      </c>
      <c r="R54" s="318" t="n">
        <f aca="false">IF($A54="N/A"," ",IF(Pricetype3=2,MAX(I54,0),IF(OR(Pricetype3=1,Pricetype3=4),IF(I54=0,0,(EURO(I54,Strikeprice3,0,0,($AK54+IF(Smile=TRUE(),VLOOKUP(MAX(-5,Strikeprice3-I54),Volsmile,2),0)),($A54-DateToday)+15,IF(Pricetype3=1,1,0),0))),I54)))</f>
        <v>20</v>
      </c>
      <c r="S54" s="318" t="n">
        <f aca="false">IF($A54="N/A"," ",IF(Pricetype3=2,MAX(J54,0),IF(OR(Pricetype3=1,Pricetype3=4),IF(J54=0,0,(EURO(J54,Strikeprice3,0,0,($AK54+IF(Smile=TRUE(),VLOOKUP(MAX(-5,Strikeprice3-J54),Volsmile,2),0)),($A54-DateToday)+15,IF(Pricetype3=1,1,0),0))),J54)))</f>
        <v>20</v>
      </c>
      <c r="T54" s="318" t="n">
        <f aca="false">IF($A54="N/A"," ",IF(Pricetype3=2,MAX(K54,0),IF(OR(Pricetype3=1,Pricetype3=4),IF(K54=0,0,(EURO(K54,Strikeprice3,0,0,($AK54+IF(Smile=TRUE(),VLOOKUP(MAX(-5,Strikeprice3-K54),Volsmile,2),0)),($A54-DateToday)+15,IF(Pricetype3=1,1,0),0))),K54)))</f>
        <v>0</v>
      </c>
      <c r="U54" s="319" t="e">
        <f aca="false">IF($A54="N/A"," ",Volume3*$AM54)</f>
        <v>#N/A</v>
      </c>
      <c r="V54" s="320" t="e">
        <f aca="false">IF($A54="N/A"," ",$U54*(8*($BQ54))*L54)</f>
        <v>#N/A</v>
      </c>
      <c r="W54" s="320" t="e">
        <f aca="false">IF($A54="N/A"," ",$U54*(8*($BQ54))*M54)</f>
        <v>#N/A</v>
      </c>
      <c r="X54" s="320" t="e">
        <f aca="false">IF($A54="N/A"," ",$U54*(8*($BQ54))*N54)</f>
        <v>#N/A</v>
      </c>
      <c r="Y54" s="320" t="e">
        <f aca="false">IF($A54="N/A"," ",$U54*(8*($BR54))*O54)</f>
        <v>#N/A</v>
      </c>
      <c r="Z54" s="320" t="e">
        <f aca="false">IF($A54="N/A"," ",$U54*(8*($BR54))*P54)</f>
        <v>#N/A</v>
      </c>
      <c r="AA54" s="320" t="e">
        <f aca="false">IF($A54="N/A"," ",$U54*(8*($BR54))*Q54)</f>
        <v>#N/A</v>
      </c>
      <c r="AB54" s="320" t="e">
        <f aca="false">IF($A54="N/A"," ",$U54*(8*($BS54))*R54)</f>
        <v>#N/A</v>
      </c>
      <c r="AC54" s="320" t="e">
        <f aca="false">IF($A54="N/A"," ",$U54*(8*($BS54))*S54)</f>
        <v>#N/A</v>
      </c>
      <c r="AD54" s="320" t="e">
        <f aca="false">IF($A54="N/A"," ",$U54*(8*($BS54))*T54)</f>
        <v>#N/A</v>
      </c>
      <c r="AE54" s="320" t="e">
        <f aca="false">IF($A54="N/A"," ",SUM(V54:AD54))</f>
        <v>#N/A</v>
      </c>
      <c r="AF54" s="321" t="n">
        <f aca="false">IF(A54="N/A"," ",(VLOOKUP(A54,PowerVolTable,(IF(VolBMO3=2,7,IF(VolBMO3=1,6,8))),FALSE())))</f>
        <v>0.16</v>
      </c>
      <c r="AG54" s="321" t="n">
        <f aca="false">IF(A54="N/A"," ",(VLOOKUP(A54,IntraPowerVol,(IF(VolBMO3=2,3,IF(VolBMO3=1,2,4))),FALSE())*VLOOKUP(MONTH($A54),Volscale,2)))</f>
        <v>0.28</v>
      </c>
      <c r="AH54" s="321" t="n">
        <f aca="false">IF($A54="N/A"," ",IF(VolType3=1,AG54,AF54))</f>
        <v>0.28</v>
      </c>
      <c r="AI54" s="321" t="n">
        <f aca="false">IF($A54="N/A"," ",(VLOOKUP($A54,OffPwrVolTable,(IF(VolBMO3=2,7,IF(VolBMO3=1,6,8))),FALSE())))</f>
        <v>0.08</v>
      </c>
      <c r="AJ54" s="321" t="n">
        <f aca="false">IF($A54="N/A"," ",(VLOOKUP($A54,OffPwrVolTable,(IF(VolBMO3=2,3,IF(VolBMO3=1,2,4))),FALSE())*VLOOKUP(MONTH($A54),Volscale,2)))</f>
        <v>0.168</v>
      </c>
      <c r="AK54" s="321" t="n">
        <f aca="false">IF($A54="N/A"," ",IF(VolType3=1,AJ54,AI54))</f>
        <v>0.168</v>
      </c>
      <c r="AL54" s="321" t="e">
        <f aca="false">IF($A54="N/A"," ",IF(PV=1,0,'Pricing Inputs3'!R87))</f>
        <v>#N/A</v>
      </c>
      <c r="AM54" s="323" t="e">
        <f aca="false">IF($A54="N/A"," ",(1+AL54/2)^(-2*((EOMONTH(A54,0)+20)-DateToday)/365.25))</f>
        <v>#N/A</v>
      </c>
      <c r="BQ54" s="0" t="n">
        <f aca="false">IF($A54="N/A"," ",(VLOOKUP($A54,NumberofDaysTable,2)))</f>
        <v>23</v>
      </c>
      <c r="BR54" s="0" t="n">
        <f aca="false">IF($A54="N/A"," ",(VLOOKUP($A54,NumberofDaysTable,3)))</f>
        <v>4</v>
      </c>
      <c r="BS54" s="0" t="n">
        <f aca="false">IF($A54="N/A"," ",(VLOOKUP($A54,NumberofDaysTable,4)))</f>
        <v>4</v>
      </c>
    </row>
    <row r="55" customFormat="false" ht="12.75" hidden="false" customHeight="false" outlineLevel="0" collapsed="false">
      <c r="A55" s="315" t="n">
        <f aca="false">IF(A54="N/A","N/A",IF(EDATE(A54,1)&gt;Inputs!$Q$5,"N/A",EDATE(A54,1)))</f>
        <v>38808</v>
      </c>
      <c r="B55" s="316" t="n">
        <f aca="false">IF(A55="N/A"," ",YEAR(A55))</f>
        <v>2006</v>
      </c>
      <c r="C55" s="317" t="n">
        <f aca="false">IF($A55="N/A"," ",IF(Dayrun3=10,0,IF(Scaler3=1,(VLOOKUP(A55,ScaledPrice3,4)),(VLOOKUP(A55,ScaledPrice3,2)))))</f>
        <v>33.4276805256688</v>
      </c>
      <c r="D55" s="317" t="n">
        <f aca="false">IF(A55="N/A"," ",IF(Dayrun3&gt;=7,0,IF(Scaler3=2,VLOOKUP(A55,ScaledPrice3,2),(VLOOKUP(A55,ScaledPrice3,2))*(2-(VLOOKUP(A55,ScaledPrice3,3))))))</f>
        <v>33.4276805256688</v>
      </c>
      <c r="E55" s="317" t="n">
        <f aca="false">IF($A55="N/A"," ",IF(AND(Dayrun3&gt;=4,Dayrun3&lt;=9),0,VLOOKUP($A55,ScaledPrice3,9)))</f>
        <v>0</v>
      </c>
      <c r="F55" s="317" t="n">
        <f aca="false">IF(A55="N/A"," ",IF(OR(Dayrun3=2,Dayrun3=3,Dayrun3=5,Dayrun3=6,Dayrun3=8,Dayrun3=9),VLOOKUP(A55,ScaledPrice3,IF(Scaler3=1,6,5)),0))</f>
        <v>22</v>
      </c>
      <c r="G55" s="317" t="n">
        <f aca="false">IF(A55="N/A"," ",IF(OR(Dayrun3=2,Dayrun3=3,Dayrun3=5,Dayrun3=6),IF(Scaler3=2,F55,(VLOOKUP(A55,ScaledPrice3,5))*(2-(VLOOKUP(A55,ScaledPrice3,3)))),0))</f>
        <v>22</v>
      </c>
      <c r="H55" s="317" t="n">
        <f aca="false">IF($A55="N/A"," ",IF(OR(Dayrun3=2,Dayrun3=3,Dayrun3=10),VLOOKUP($A55,ScaledPrice3,9),0))</f>
        <v>0</v>
      </c>
      <c r="I55" s="317" t="n">
        <f aca="false">IF(A55="N/A"," ",IF(OR(Dayrun3=3,Dayrun3=6,Dayrun3=9),(VLOOKUP(A55,ScaledPrice3,IF(Scaler3=2,7,8))),0))</f>
        <v>16.4950008392334</v>
      </c>
      <c r="J55" s="317" t="n">
        <f aca="false">IF(A55="N/A"," ",IF(OR(Dayrun3=3,Dayrun3=6),IF(Scaler3=2,I55,(VLOOKUP(A55,ScaledPrice3,7))*(2-(VLOOKUP(A55,ScaledPrice3,3)))),0))</f>
        <v>16.4950008392334</v>
      </c>
      <c r="K55" s="317" t="n">
        <f aca="false">IF($A55="N/A"," ",IF(OR(Dayrun3=3,Dayrun3=10),VLOOKUP($A55,ScaledPrice3,9),0))</f>
        <v>0</v>
      </c>
      <c r="L55" s="318" t="n">
        <f aca="false">IF($A55="N/A"," ",IF(Pricetype3=2,MAX(C55,0),IF(OR(Pricetype3=1,Pricetype3=4),IF(C55=0,0,(EURO(C55,Strikeprice3,0,0,($AH55+IF(Smile=TRUE(),VLOOKUP(MAX(-5,Strikeprice3-C55),Volsmile,2),0)),($A55-DateToday)+15,IF(Pricetype3=1,1,0),0))),C55)))</f>
        <v>33.4276805256688</v>
      </c>
      <c r="M55" s="318" t="n">
        <f aca="false">IF($A55="N/A"," ",IF(Pricetype3=2,MAX(D55,0),IF(OR(Pricetype3=1,Pricetype3=4),IF(D55=0,0,(EURO(D55,Strikeprice3,0,0,($AH55+IF(Smile=TRUE(),VLOOKUP(MAX(-5,Strikeprice3-D55),Volsmile,2),0)),($A55-DateToday)+15,IF(Pricetype3=1,1,0),0))),D55)))</f>
        <v>33.4276805256688</v>
      </c>
      <c r="N55" s="318" t="n">
        <f aca="false">IF($A55="N/A"," ",IF(Pricetype3=2,MAX(E55,0),IF(OR(Pricetype3=1,Pricetype3=4),IF(E55=0,0,(EURO(E55,Strikeprice3,0,0,($AK55+IF(Smile=TRUE(),VLOOKUP(MAX(-5,Strikeprice3-E55),Volsmile,2),0)),($A55-DateToday)+15,IF(Pricetype3=1,1,0),0))),E55)))</f>
        <v>0</v>
      </c>
      <c r="O55" s="318" t="n">
        <f aca="false">IF($A55="N/A"," ",IF(Pricetype3=2,MAX(F55,0),IF(OR(Pricetype3=1,Pricetype3=4),IF(F55=0,0,(EURO(F55,Strikeprice3,0,0,($AK55+IF(Smile=TRUE(),VLOOKUP(MAX(-5,Strikeprice3-F55),Volsmile,2),0)),($A55-DateToday)+15,IF(Pricetype3=1,1,0),0))),F55)))</f>
        <v>22</v>
      </c>
      <c r="P55" s="318" t="n">
        <f aca="false">IF($A55="N/A"," ",IF(Pricetype3=2,MAX(G55,0),IF(OR(Pricetype3=1,Pricetype3=4),IF(G55=0,0,(EURO(G55,Strikeprice3,0,0,($AK55+IF(Smile=TRUE(),VLOOKUP(MAX(-5,Strikeprice3-G55),Volsmile,2),0)),($A55-DateToday)+15,IF(Pricetype3=1,1,0),0))),G55)))</f>
        <v>22</v>
      </c>
      <c r="Q55" s="318" t="n">
        <f aca="false">IF($A55="N/A"," ",IF(Pricetype3=2,MAX(H55,0),IF(OR(Pricetype3=1,Pricetype3=4),IF(H55=0,0,(EURO(H55,Strikeprice3,0,0,($AK55+IF(Smile=TRUE(),VLOOKUP(MAX(-5,Strikeprice3-H55),Volsmile,2),0)),($A55-DateToday)+15,IF(Pricetype3=1,1,0),0))),H55)))</f>
        <v>0</v>
      </c>
      <c r="R55" s="318" t="n">
        <f aca="false">IF($A55="N/A"," ",IF(Pricetype3=2,MAX(I55,0),IF(OR(Pricetype3=1,Pricetype3=4),IF(I55=0,0,(EURO(I55,Strikeprice3,0,0,($AK55+IF(Smile=TRUE(),VLOOKUP(MAX(-5,Strikeprice3-I55),Volsmile,2),0)),($A55-DateToday)+15,IF(Pricetype3=1,1,0),0))),I55)))</f>
        <v>16.4950008392334</v>
      </c>
      <c r="S55" s="318" t="n">
        <f aca="false">IF($A55="N/A"," ",IF(Pricetype3=2,MAX(J55,0),IF(OR(Pricetype3=1,Pricetype3=4),IF(J55=0,0,(EURO(J55,Strikeprice3,0,0,($AK55+IF(Smile=TRUE(),VLOOKUP(MAX(-5,Strikeprice3-J55),Volsmile,2),0)),($A55-DateToday)+15,IF(Pricetype3=1,1,0),0))),J55)))</f>
        <v>16.4950008392334</v>
      </c>
      <c r="T55" s="318" t="n">
        <f aca="false">IF($A55="N/A"," ",IF(Pricetype3=2,MAX(K55,0),IF(OR(Pricetype3=1,Pricetype3=4),IF(K55=0,0,(EURO(K55,Strikeprice3,0,0,($AK55+IF(Smile=TRUE(),VLOOKUP(MAX(-5,Strikeprice3-K55),Volsmile,2),0)),($A55-DateToday)+15,IF(Pricetype3=1,1,0),0))),K55)))</f>
        <v>0</v>
      </c>
      <c r="U55" s="319" t="e">
        <f aca="false">IF($A55="N/A"," ",Volume3*$AM55)</f>
        <v>#N/A</v>
      </c>
      <c r="V55" s="320" t="e">
        <f aca="false">IF($A55="N/A"," ",$U55*(8*($BQ55))*L55)</f>
        <v>#N/A</v>
      </c>
      <c r="W55" s="320" t="e">
        <f aca="false">IF($A55="N/A"," ",$U55*(8*($BQ55))*M55)</f>
        <v>#N/A</v>
      </c>
      <c r="X55" s="320" t="e">
        <f aca="false">IF($A55="N/A"," ",$U55*(8*($BQ55))*N55)</f>
        <v>#N/A</v>
      </c>
      <c r="Y55" s="320" t="e">
        <f aca="false">IF($A55="N/A"," ",$U55*(8*($BR55))*O55)</f>
        <v>#N/A</v>
      </c>
      <c r="Z55" s="320" t="e">
        <f aca="false">IF($A55="N/A"," ",$U55*(8*($BR55))*P55)</f>
        <v>#N/A</v>
      </c>
      <c r="AA55" s="320" t="e">
        <f aca="false">IF($A55="N/A"," ",$U55*(8*($BR55))*Q55)</f>
        <v>#N/A</v>
      </c>
      <c r="AB55" s="320" t="e">
        <f aca="false">IF($A55="N/A"," ",$U55*(8*($BS55))*R55)</f>
        <v>#N/A</v>
      </c>
      <c r="AC55" s="320" t="e">
        <f aca="false">IF($A55="N/A"," ",$U55*(8*($BS55))*S55)</f>
        <v>#N/A</v>
      </c>
      <c r="AD55" s="320" t="e">
        <f aca="false">IF($A55="N/A"," ",$U55*(8*($BS55))*T55)</f>
        <v>#N/A</v>
      </c>
      <c r="AE55" s="320" t="e">
        <f aca="false">IF($A55="N/A"," ",SUM(V55:AD55))</f>
        <v>#N/A</v>
      </c>
      <c r="AF55" s="321" t="n">
        <f aca="false">IF(A55="N/A"," ",(VLOOKUP(A55,PowerVolTable,(IF(VolBMO3=2,7,IF(VolBMO3=1,6,8))),FALSE())))</f>
        <v>0.16</v>
      </c>
      <c r="AG55" s="321" t="n">
        <f aca="false">IF(A55="N/A"," ",(VLOOKUP(A55,IntraPowerVol,(IF(VolBMO3=2,3,IF(VolBMO3=1,2,4))),FALSE())*VLOOKUP(MONTH($A55),Volscale,2)))</f>
        <v>0.28</v>
      </c>
      <c r="AH55" s="321" t="n">
        <f aca="false">IF($A55="N/A"," ",IF(VolType3=1,AG55,AF55))</f>
        <v>0.28</v>
      </c>
      <c r="AI55" s="321" t="n">
        <f aca="false">IF($A55="N/A"," ",(VLOOKUP($A55,OffPwrVolTable,(IF(VolBMO3=2,7,IF(VolBMO3=1,6,8))),FALSE())))</f>
        <v>0.08</v>
      </c>
      <c r="AJ55" s="321" t="n">
        <f aca="false">IF($A55="N/A"," ",(VLOOKUP($A55,OffPwrVolTable,(IF(VolBMO3=2,3,IF(VolBMO3=1,2,4))),FALSE())*VLOOKUP(MONTH($A55),Volscale,2)))</f>
        <v>0.168</v>
      </c>
      <c r="AK55" s="321" t="n">
        <f aca="false">IF($A55="N/A"," ",IF(VolType3=1,AJ55,AI55))</f>
        <v>0.168</v>
      </c>
      <c r="AL55" s="321" t="e">
        <f aca="false">IF($A55="N/A"," ",IF(PV=1,0,'Pricing Inputs3'!R88))</f>
        <v>#N/A</v>
      </c>
      <c r="AM55" s="323" t="e">
        <f aca="false">IF($A55="N/A"," ",(1+AL55/2)^(-2*((EOMONTH(A55,0)+20)-DateToday)/365.25))</f>
        <v>#N/A</v>
      </c>
      <c r="BQ55" s="0" t="n">
        <f aca="false">IF($A55="N/A"," ",(VLOOKUP($A55,NumberofDaysTable,2)))</f>
        <v>20</v>
      </c>
      <c r="BR55" s="0" t="n">
        <f aca="false">IF($A55="N/A"," ",(VLOOKUP($A55,NumberofDaysTable,3)))</f>
        <v>5</v>
      </c>
      <c r="BS55" s="0" t="n">
        <f aca="false">IF($A55="N/A"," ",(VLOOKUP($A55,NumberofDaysTable,4)))</f>
        <v>5</v>
      </c>
    </row>
    <row r="56" customFormat="false" ht="12.75" hidden="false" customHeight="false" outlineLevel="0" collapsed="false">
      <c r="A56" s="315" t="n">
        <f aca="false">IF(A55="N/A","N/A",IF(EDATE(A55,1)&gt;Inputs!$Q$5,"N/A",EDATE(A55,1)))</f>
        <v>38838</v>
      </c>
      <c r="B56" s="316" t="n">
        <f aca="false">IF(A56="N/A"," ",YEAR(A56))</f>
        <v>2006</v>
      </c>
      <c r="C56" s="317" t="n">
        <f aca="false">IF($A56="N/A"," ",IF(Dayrun3=10,0,IF(Scaler3=1,(VLOOKUP(A56,ScaledPrice3,4)),(VLOOKUP(A56,ScaledPrice3,2)))))</f>
        <v>36.7050018310547</v>
      </c>
      <c r="D56" s="317" t="n">
        <f aca="false">IF(A56="N/A"," ",IF(Dayrun3&gt;=7,0,IF(Scaler3=2,VLOOKUP(A56,ScaledPrice3,2),(VLOOKUP(A56,ScaledPrice3,2))*(2-(VLOOKUP(A56,ScaledPrice3,3))))))</f>
        <v>36.7050018310547</v>
      </c>
      <c r="E56" s="317" t="n">
        <f aca="false">IF($A56="N/A"," ",IF(AND(Dayrun3&gt;=4,Dayrun3&lt;=9),0,VLOOKUP($A56,ScaledPrice3,9)))</f>
        <v>0</v>
      </c>
      <c r="F56" s="317" t="n">
        <f aca="false">IF(A56="N/A"," ",IF(OR(Dayrun3=2,Dayrun3=3,Dayrun3=5,Dayrun3=6,Dayrun3=8,Dayrun3=9),VLOOKUP(A56,ScaledPrice3,IF(Scaler3=1,6,5)),0))</f>
        <v>22.2900009155273</v>
      </c>
      <c r="G56" s="317" t="n">
        <f aca="false">IF(A56="N/A"," ",IF(OR(Dayrun3=2,Dayrun3=3,Dayrun3=5,Dayrun3=6),IF(Scaler3=2,F56,(VLOOKUP(A56,ScaledPrice3,5))*(2-(VLOOKUP(A56,ScaledPrice3,3)))),0))</f>
        <v>22.2900009155273</v>
      </c>
      <c r="H56" s="317" t="n">
        <f aca="false">IF($A56="N/A"," ",IF(OR(Dayrun3=2,Dayrun3=3,Dayrun3=10),VLOOKUP($A56,ScaledPrice3,9),0))</f>
        <v>0</v>
      </c>
      <c r="I56" s="317" t="n">
        <f aca="false">IF(A56="N/A"," ",IF(OR(Dayrun3=3,Dayrun3=6,Dayrun3=9),(VLOOKUP(A56,ScaledPrice3,IF(Scaler3=2,7,8))),0))</f>
        <v>15.7950000762939</v>
      </c>
      <c r="J56" s="317" t="n">
        <f aca="false">IF(A56="N/A"," ",IF(OR(Dayrun3=3,Dayrun3=6),IF(Scaler3=2,I56,(VLOOKUP(A56,ScaledPrice3,7))*(2-(VLOOKUP(A56,ScaledPrice3,3)))),0))</f>
        <v>15.7950000762939</v>
      </c>
      <c r="K56" s="317" t="n">
        <f aca="false">IF($A56="N/A"," ",IF(OR(Dayrun3=3,Dayrun3=10),VLOOKUP($A56,ScaledPrice3,9),0))</f>
        <v>0</v>
      </c>
      <c r="L56" s="318" t="n">
        <f aca="false">IF($A56="N/A"," ",IF(Pricetype3=2,MAX(C56,0),IF(OR(Pricetype3=1,Pricetype3=4),IF(C56=0,0,(EURO(C56,Strikeprice3,0,0,($AH56+IF(Smile=TRUE(),VLOOKUP(MAX(-5,Strikeprice3-C56),Volsmile,2),0)),($A56-DateToday)+15,IF(Pricetype3=1,1,0),0))),C56)))</f>
        <v>36.7050018310547</v>
      </c>
      <c r="M56" s="318" t="n">
        <f aca="false">IF($A56="N/A"," ",IF(Pricetype3=2,MAX(D56,0),IF(OR(Pricetype3=1,Pricetype3=4),IF(D56=0,0,(EURO(D56,Strikeprice3,0,0,($AH56+IF(Smile=TRUE(),VLOOKUP(MAX(-5,Strikeprice3-D56),Volsmile,2),0)),($A56-DateToday)+15,IF(Pricetype3=1,1,0),0))),D56)))</f>
        <v>36.7050018310547</v>
      </c>
      <c r="N56" s="318" t="n">
        <f aca="false">IF($A56="N/A"," ",IF(Pricetype3=2,MAX(E56,0),IF(OR(Pricetype3=1,Pricetype3=4),IF(E56=0,0,(EURO(E56,Strikeprice3,0,0,($AK56+IF(Smile=TRUE(),VLOOKUP(MAX(-5,Strikeprice3-E56),Volsmile,2),0)),($A56-DateToday)+15,IF(Pricetype3=1,1,0),0))),E56)))</f>
        <v>0</v>
      </c>
      <c r="O56" s="318" t="n">
        <f aca="false">IF($A56="N/A"," ",IF(Pricetype3=2,MAX(F56,0),IF(OR(Pricetype3=1,Pricetype3=4),IF(F56=0,0,(EURO(F56,Strikeprice3,0,0,($AK56+IF(Smile=TRUE(),VLOOKUP(MAX(-5,Strikeprice3-F56),Volsmile,2),0)),($A56-DateToday)+15,IF(Pricetype3=1,1,0),0))),F56)))</f>
        <v>22.2900009155273</v>
      </c>
      <c r="P56" s="318" t="n">
        <f aca="false">IF($A56="N/A"," ",IF(Pricetype3=2,MAX(G56,0),IF(OR(Pricetype3=1,Pricetype3=4),IF(G56=0,0,(EURO(G56,Strikeprice3,0,0,($AK56+IF(Smile=TRUE(),VLOOKUP(MAX(-5,Strikeprice3-G56),Volsmile,2),0)),($A56-DateToday)+15,IF(Pricetype3=1,1,0),0))),G56)))</f>
        <v>22.2900009155273</v>
      </c>
      <c r="Q56" s="318" t="n">
        <f aca="false">IF($A56="N/A"," ",IF(Pricetype3=2,MAX(H56,0),IF(OR(Pricetype3=1,Pricetype3=4),IF(H56=0,0,(EURO(H56,Strikeprice3,0,0,($AK56+IF(Smile=TRUE(),VLOOKUP(MAX(-5,Strikeprice3-H56),Volsmile,2),0)),($A56-DateToday)+15,IF(Pricetype3=1,1,0),0))),H56)))</f>
        <v>0</v>
      </c>
      <c r="R56" s="318" t="n">
        <f aca="false">IF($A56="N/A"," ",IF(Pricetype3=2,MAX(I56,0),IF(OR(Pricetype3=1,Pricetype3=4),IF(I56=0,0,(EURO(I56,Strikeprice3,0,0,($AK56+IF(Smile=TRUE(),VLOOKUP(MAX(-5,Strikeprice3-I56),Volsmile,2),0)),($A56-DateToday)+15,IF(Pricetype3=1,1,0),0))),I56)))</f>
        <v>15.7950000762939</v>
      </c>
      <c r="S56" s="318" t="n">
        <f aca="false">IF($A56="N/A"," ",IF(Pricetype3=2,MAX(J56,0),IF(OR(Pricetype3=1,Pricetype3=4),IF(J56=0,0,(EURO(J56,Strikeprice3,0,0,($AK56+IF(Smile=TRUE(),VLOOKUP(MAX(-5,Strikeprice3-J56),Volsmile,2),0)),($A56-DateToday)+15,IF(Pricetype3=1,1,0),0))),J56)))</f>
        <v>15.7950000762939</v>
      </c>
      <c r="T56" s="318" t="n">
        <f aca="false">IF($A56="N/A"," ",IF(Pricetype3=2,MAX(K56,0),IF(OR(Pricetype3=1,Pricetype3=4),IF(K56=0,0,(EURO(K56,Strikeprice3,0,0,($AK56+IF(Smile=TRUE(),VLOOKUP(MAX(-5,Strikeprice3-K56),Volsmile,2),0)),($A56-DateToday)+15,IF(Pricetype3=1,1,0),0))),K56)))</f>
        <v>0</v>
      </c>
      <c r="U56" s="319" t="e">
        <f aca="false">IF($A56="N/A"," ",Volume3*$AM56)</f>
        <v>#N/A</v>
      </c>
      <c r="V56" s="320" t="e">
        <f aca="false">IF($A56="N/A"," ",$U56*(8*($BQ56))*L56)</f>
        <v>#N/A</v>
      </c>
      <c r="W56" s="320" t="e">
        <f aca="false">IF($A56="N/A"," ",$U56*(8*($BQ56))*M56)</f>
        <v>#N/A</v>
      </c>
      <c r="X56" s="320" t="e">
        <f aca="false">IF($A56="N/A"," ",$U56*(8*($BQ56))*N56)</f>
        <v>#N/A</v>
      </c>
      <c r="Y56" s="320" t="e">
        <f aca="false">IF($A56="N/A"," ",$U56*(8*($BR56))*O56)</f>
        <v>#N/A</v>
      </c>
      <c r="Z56" s="320" t="e">
        <f aca="false">IF($A56="N/A"," ",$U56*(8*($BR56))*P56)</f>
        <v>#N/A</v>
      </c>
      <c r="AA56" s="320" t="e">
        <f aca="false">IF($A56="N/A"," ",$U56*(8*($BR56))*Q56)</f>
        <v>#N/A</v>
      </c>
      <c r="AB56" s="320" t="e">
        <f aca="false">IF($A56="N/A"," ",$U56*(8*($BS56))*R56)</f>
        <v>#N/A</v>
      </c>
      <c r="AC56" s="320" t="e">
        <f aca="false">IF($A56="N/A"," ",$U56*(8*($BS56))*S56)</f>
        <v>#N/A</v>
      </c>
      <c r="AD56" s="320" t="e">
        <f aca="false">IF($A56="N/A"," ",$U56*(8*($BS56))*T56)</f>
        <v>#N/A</v>
      </c>
      <c r="AE56" s="320" t="e">
        <f aca="false">IF($A56="N/A"," ",SUM(V56:AD56))</f>
        <v>#N/A</v>
      </c>
      <c r="AF56" s="321" t="n">
        <f aca="false">IF(A56="N/A"," ",(VLOOKUP(A56,PowerVolTable,(IF(VolBMO3=2,7,IF(VolBMO3=1,6,8))),FALSE())))</f>
        <v>0.16</v>
      </c>
      <c r="AG56" s="321" t="n">
        <f aca="false">IF(A56="N/A"," ",(VLOOKUP(A56,IntraPowerVol,(IF(VolBMO3=2,3,IF(VolBMO3=1,2,4))),FALSE())*VLOOKUP(MONTH($A56),Volscale,2)))</f>
        <v>0.36</v>
      </c>
      <c r="AH56" s="321" t="n">
        <f aca="false">IF($A56="N/A"," ",IF(VolType3=1,AG56,AF56))</f>
        <v>0.36</v>
      </c>
      <c r="AI56" s="321" t="n">
        <f aca="false">IF($A56="N/A"," ",(VLOOKUP($A56,OffPwrVolTable,(IF(VolBMO3=2,7,IF(VolBMO3=1,6,8))),FALSE())))</f>
        <v>0.08</v>
      </c>
      <c r="AJ56" s="321" t="n">
        <f aca="false">IF($A56="N/A"," ",(VLOOKUP($A56,OffPwrVolTable,(IF(VolBMO3=2,3,IF(VolBMO3=1,2,4))),FALSE())*VLOOKUP(MONTH($A56),Volscale,2)))</f>
        <v>0.216</v>
      </c>
      <c r="AK56" s="321" t="n">
        <f aca="false">IF($A56="N/A"," ",IF(VolType3=1,AJ56,AI56))</f>
        <v>0.216</v>
      </c>
      <c r="AL56" s="321" t="e">
        <f aca="false">IF($A56="N/A"," ",IF(PV=1,0,'Pricing Inputs3'!R89))</f>
        <v>#N/A</v>
      </c>
      <c r="AM56" s="323" t="e">
        <f aca="false">IF($A56="N/A"," ",(1+AL56/2)^(-2*((EOMONTH(A56,0)+20)-DateToday)/365.25))</f>
        <v>#N/A</v>
      </c>
      <c r="BQ56" s="0" t="n">
        <f aca="false">IF($A56="N/A"," ",(VLOOKUP($A56,NumberofDaysTable,2)))</f>
        <v>22</v>
      </c>
      <c r="BR56" s="0" t="n">
        <f aca="false">IF($A56="N/A"," ",(VLOOKUP($A56,NumberofDaysTable,3)))</f>
        <v>4</v>
      </c>
      <c r="BS56" s="0" t="n">
        <f aca="false">IF($A56="N/A"," ",(VLOOKUP($A56,NumberofDaysTable,4)))</f>
        <v>5</v>
      </c>
    </row>
    <row r="57" customFormat="false" ht="12.75" hidden="false" customHeight="false" outlineLevel="0" collapsed="false">
      <c r="A57" s="315" t="n">
        <f aca="false">IF(A56="N/A","N/A",IF(EDATE(A56,1)&gt;Inputs!$Q$5,"N/A",EDATE(A56,1)))</f>
        <v>38869</v>
      </c>
      <c r="B57" s="316" t="n">
        <f aca="false">IF(A57="N/A"," ",YEAR(A57))</f>
        <v>2006</v>
      </c>
      <c r="C57" s="317" t="n">
        <f aca="false">IF($A57="N/A"," ",IF(Dayrun3=10,0,IF(Scaler3=1,(VLOOKUP(A57,ScaledPrice3,4)),(VLOOKUP(A57,ScaledPrice3,2)))))</f>
        <v>42.6250038146973</v>
      </c>
      <c r="D57" s="317" t="n">
        <f aca="false">IF(A57="N/A"," ",IF(Dayrun3&gt;=7,0,IF(Scaler3=2,VLOOKUP(A57,ScaledPrice3,2),(VLOOKUP(A57,ScaledPrice3,2))*(2-(VLOOKUP(A57,ScaledPrice3,3))))))</f>
        <v>42.6250038146973</v>
      </c>
      <c r="E57" s="317" t="n">
        <f aca="false">IF($A57="N/A"," ",IF(AND(Dayrun3&gt;=4,Dayrun3&lt;=9),0,VLOOKUP($A57,ScaledPrice3,9)))</f>
        <v>0</v>
      </c>
      <c r="F57" s="317" t="n">
        <f aca="false">IF(A57="N/A"," ",IF(OR(Dayrun3=2,Dayrun3=3,Dayrun3=5,Dayrun3=6,Dayrun3=8,Dayrun3=9),VLOOKUP(A57,ScaledPrice3,IF(Scaler3=1,6,5)),0))</f>
        <v>29.2900009155273</v>
      </c>
      <c r="G57" s="317" t="n">
        <f aca="false">IF(A57="N/A"," ",IF(OR(Dayrun3=2,Dayrun3=3,Dayrun3=5,Dayrun3=6),IF(Scaler3=2,F57,(VLOOKUP(A57,ScaledPrice3,5))*(2-(VLOOKUP(A57,ScaledPrice3,3)))),0))</f>
        <v>29.2900009155273</v>
      </c>
      <c r="H57" s="317" t="n">
        <f aca="false">IF($A57="N/A"," ",IF(OR(Dayrun3=2,Dayrun3=3,Dayrun3=10),VLOOKUP($A57,ScaledPrice3,9),0))</f>
        <v>0</v>
      </c>
      <c r="I57" s="317" t="n">
        <f aca="false">IF(A57="N/A"," ",IF(OR(Dayrun3=3,Dayrun3=6,Dayrun3=9),(VLOOKUP(A57,ScaledPrice3,IF(Scaler3=2,7,8))),0))</f>
        <v>19.7900009155273</v>
      </c>
      <c r="J57" s="317" t="n">
        <f aca="false">IF(A57="N/A"," ",IF(OR(Dayrun3=3,Dayrun3=6),IF(Scaler3=2,I57,(VLOOKUP(A57,ScaledPrice3,7))*(2-(VLOOKUP(A57,ScaledPrice3,3)))),0))</f>
        <v>19.7900009155273</v>
      </c>
      <c r="K57" s="317" t="n">
        <f aca="false">IF($A57="N/A"," ",IF(OR(Dayrun3=3,Dayrun3=10),VLOOKUP($A57,ScaledPrice3,9),0))</f>
        <v>0</v>
      </c>
      <c r="L57" s="318" t="n">
        <f aca="false">IF($A57="N/A"," ",IF(Pricetype3=2,MAX(C57,0),IF(OR(Pricetype3=1,Pricetype3=4),IF(C57=0,0,(EURO(C57,Strikeprice3,0,0,($AH57+IF(Smile=TRUE(),VLOOKUP(MAX(-5,Strikeprice3-C57),Volsmile,2),0)),($A57-DateToday)+15,IF(Pricetype3=1,1,0),0))),C57)))</f>
        <v>42.6250038146973</v>
      </c>
      <c r="M57" s="318" t="n">
        <f aca="false">IF($A57="N/A"," ",IF(Pricetype3=2,MAX(D57,0),IF(OR(Pricetype3=1,Pricetype3=4),IF(D57=0,0,(EURO(D57,Strikeprice3,0,0,($AH57+IF(Smile=TRUE(),VLOOKUP(MAX(-5,Strikeprice3-D57),Volsmile,2),0)),($A57-DateToday)+15,IF(Pricetype3=1,1,0),0))),D57)))</f>
        <v>42.6250038146973</v>
      </c>
      <c r="N57" s="318" t="n">
        <f aca="false">IF($A57="N/A"," ",IF(Pricetype3=2,MAX(E57,0),IF(OR(Pricetype3=1,Pricetype3=4),IF(E57=0,0,(EURO(E57,Strikeprice3,0,0,($AK57+IF(Smile=TRUE(),VLOOKUP(MAX(-5,Strikeprice3-E57),Volsmile,2),0)),($A57-DateToday)+15,IF(Pricetype3=1,1,0),0))),E57)))</f>
        <v>0</v>
      </c>
      <c r="O57" s="318" t="n">
        <f aca="false">IF($A57="N/A"," ",IF(Pricetype3=2,MAX(F57,0),IF(OR(Pricetype3=1,Pricetype3=4),IF(F57=0,0,(EURO(F57,Strikeprice3,0,0,($AK57+IF(Smile=TRUE(),VLOOKUP(MAX(-5,Strikeprice3-F57),Volsmile,2),0)),($A57-DateToday)+15,IF(Pricetype3=1,1,0),0))),F57)))</f>
        <v>29.2900009155273</v>
      </c>
      <c r="P57" s="318" t="n">
        <f aca="false">IF($A57="N/A"," ",IF(Pricetype3=2,MAX(G57,0),IF(OR(Pricetype3=1,Pricetype3=4),IF(G57=0,0,(EURO(G57,Strikeprice3,0,0,($AK57+IF(Smile=TRUE(),VLOOKUP(MAX(-5,Strikeprice3-G57),Volsmile,2),0)),($A57-DateToday)+15,IF(Pricetype3=1,1,0),0))),G57)))</f>
        <v>29.2900009155273</v>
      </c>
      <c r="Q57" s="318" t="n">
        <f aca="false">IF($A57="N/A"," ",IF(Pricetype3=2,MAX(H57,0),IF(OR(Pricetype3=1,Pricetype3=4),IF(H57=0,0,(EURO(H57,Strikeprice3,0,0,($AK57+IF(Smile=TRUE(),VLOOKUP(MAX(-5,Strikeprice3-H57),Volsmile,2),0)),($A57-DateToday)+15,IF(Pricetype3=1,1,0),0))),H57)))</f>
        <v>0</v>
      </c>
      <c r="R57" s="318" t="n">
        <f aca="false">IF($A57="N/A"," ",IF(Pricetype3=2,MAX(I57,0),IF(OR(Pricetype3=1,Pricetype3=4),IF(I57=0,0,(EURO(I57,Strikeprice3,0,0,($AK57+IF(Smile=TRUE(),VLOOKUP(MAX(-5,Strikeprice3-I57),Volsmile,2),0)),($A57-DateToday)+15,IF(Pricetype3=1,1,0),0))),I57)))</f>
        <v>19.7900009155273</v>
      </c>
      <c r="S57" s="318" t="n">
        <f aca="false">IF($A57="N/A"," ",IF(Pricetype3=2,MAX(J57,0),IF(OR(Pricetype3=1,Pricetype3=4),IF(J57=0,0,(EURO(J57,Strikeprice3,0,0,($AK57+IF(Smile=TRUE(),VLOOKUP(MAX(-5,Strikeprice3-J57),Volsmile,2),0)),($A57-DateToday)+15,IF(Pricetype3=1,1,0),0))),J57)))</f>
        <v>19.7900009155273</v>
      </c>
      <c r="T57" s="318" t="n">
        <f aca="false">IF($A57="N/A"," ",IF(Pricetype3=2,MAX(K57,0),IF(OR(Pricetype3=1,Pricetype3=4),IF(K57=0,0,(EURO(K57,Strikeprice3,0,0,($AK57+IF(Smile=TRUE(),VLOOKUP(MAX(-5,Strikeprice3-K57),Volsmile,2),0)),($A57-DateToday)+15,IF(Pricetype3=1,1,0),0))),K57)))</f>
        <v>0</v>
      </c>
      <c r="U57" s="319" t="e">
        <f aca="false">IF($A57="N/A"," ",Volume3*$AM57)</f>
        <v>#N/A</v>
      </c>
      <c r="V57" s="320" t="e">
        <f aca="false">IF($A57="N/A"," ",$U57*(8*($BQ57))*L57)</f>
        <v>#N/A</v>
      </c>
      <c r="W57" s="320" t="e">
        <f aca="false">IF($A57="N/A"," ",$U57*(8*($BQ57))*M57)</f>
        <v>#N/A</v>
      </c>
      <c r="X57" s="320" t="e">
        <f aca="false">IF($A57="N/A"," ",$U57*(8*($BQ57))*N57)</f>
        <v>#N/A</v>
      </c>
      <c r="Y57" s="320" t="e">
        <f aca="false">IF($A57="N/A"," ",$U57*(8*($BR57))*O57)</f>
        <v>#N/A</v>
      </c>
      <c r="Z57" s="320" t="e">
        <f aca="false">IF($A57="N/A"," ",$U57*(8*($BR57))*P57)</f>
        <v>#N/A</v>
      </c>
      <c r="AA57" s="320" t="e">
        <f aca="false">IF($A57="N/A"," ",$U57*(8*($BR57))*Q57)</f>
        <v>#N/A</v>
      </c>
      <c r="AB57" s="320" t="e">
        <f aca="false">IF($A57="N/A"," ",$U57*(8*($BS57))*R57)</f>
        <v>#N/A</v>
      </c>
      <c r="AC57" s="320" t="e">
        <f aca="false">IF($A57="N/A"," ",$U57*(8*($BS57))*S57)</f>
        <v>#N/A</v>
      </c>
      <c r="AD57" s="320" t="e">
        <f aca="false">IF($A57="N/A"," ",$U57*(8*($BS57))*T57)</f>
        <v>#N/A</v>
      </c>
      <c r="AE57" s="320" t="e">
        <f aca="false">IF($A57="N/A"," ",SUM(V57:AD57))</f>
        <v>#N/A</v>
      </c>
      <c r="AF57" s="321" t="n">
        <f aca="false">IF(A57="N/A"," ",(VLOOKUP(A57,PowerVolTable,(IF(VolBMO3=2,7,IF(VolBMO3=1,6,8))),FALSE())))</f>
        <v>0.16</v>
      </c>
      <c r="AG57" s="321" t="n">
        <f aca="false">IF(A57="N/A"," ",(VLOOKUP(A57,IntraPowerVol,(IF(VolBMO3=2,3,IF(VolBMO3=1,2,4))),FALSE())*VLOOKUP(MONTH($A57),Volscale,2)))</f>
        <v>0.36</v>
      </c>
      <c r="AH57" s="321" t="n">
        <f aca="false">IF($A57="N/A"," ",IF(VolType3=1,AG57,AF57))</f>
        <v>0.36</v>
      </c>
      <c r="AI57" s="321" t="n">
        <f aca="false">IF($A57="N/A"," ",(VLOOKUP($A57,OffPwrVolTable,(IF(VolBMO3=2,7,IF(VolBMO3=1,6,8))),FALSE())))</f>
        <v>0.08</v>
      </c>
      <c r="AJ57" s="321" t="n">
        <f aca="false">IF($A57="N/A"," ",(VLOOKUP($A57,OffPwrVolTable,(IF(VolBMO3=2,3,IF(VolBMO3=1,2,4))),FALSE())*VLOOKUP(MONTH($A57),Volscale,2)))</f>
        <v>0.216</v>
      </c>
      <c r="AK57" s="321" t="n">
        <f aca="false">IF($A57="N/A"," ",IF(VolType3=1,AJ57,AI57))</f>
        <v>0.216</v>
      </c>
      <c r="AL57" s="321" t="e">
        <f aca="false">IF($A57="N/A"," ",IF(PV=1,0,'Pricing Inputs3'!R90))</f>
        <v>#N/A</v>
      </c>
      <c r="AM57" s="323" t="e">
        <f aca="false">IF($A57="N/A"," ",(1+AL57/2)^(-2*((EOMONTH(A57,0)+20)-DateToday)/365.25))</f>
        <v>#N/A</v>
      </c>
      <c r="BQ57" s="0" t="n">
        <f aca="false">IF($A57="N/A"," ",(VLOOKUP($A57,NumberofDaysTable,2)))</f>
        <v>22</v>
      </c>
      <c r="BR57" s="0" t="n">
        <f aca="false">IF($A57="N/A"," ",(VLOOKUP($A57,NumberofDaysTable,3)))</f>
        <v>4</v>
      </c>
      <c r="BS57" s="0" t="n">
        <f aca="false">IF($A57="N/A"," ",(VLOOKUP($A57,NumberofDaysTable,4)))</f>
        <v>4</v>
      </c>
    </row>
    <row r="58" customFormat="false" ht="12.75" hidden="false" customHeight="false" outlineLevel="0" collapsed="false">
      <c r="A58" s="315" t="n">
        <f aca="false">IF(A57="N/A","N/A",IF(EDATE(A57,1)&gt;Inputs!$Q$5,"N/A",EDATE(A57,1)))</f>
        <v>38899</v>
      </c>
      <c r="B58" s="316" t="n">
        <f aca="false">IF(A58="N/A"," ",YEAR(A58))</f>
        <v>2006</v>
      </c>
      <c r="C58" s="317" t="n">
        <f aca="false">IF($A58="N/A"," ",IF(Dayrun3=10,0,IF(Scaler3=1,(VLOOKUP(A58,ScaledPrice3,4)),(VLOOKUP(A58,ScaledPrice3,2)))))</f>
        <v>51.75</v>
      </c>
      <c r="D58" s="317" t="n">
        <f aca="false">IF(A58="N/A"," ",IF(Dayrun3&gt;=7,0,IF(Scaler3=2,VLOOKUP(A58,ScaledPrice3,2),(VLOOKUP(A58,ScaledPrice3,2))*(2-(VLOOKUP(A58,ScaledPrice3,3))))))</f>
        <v>51.75</v>
      </c>
      <c r="E58" s="317" t="n">
        <f aca="false">IF($A58="N/A"," ",IF(AND(Dayrun3&gt;=4,Dayrun3&lt;=9),0,VLOOKUP($A58,ScaledPrice3,9)))</f>
        <v>0</v>
      </c>
      <c r="F58" s="317" t="n">
        <f aca="false">IF(A58="N/A"," ",IF(OR(Dayrun3=2,Dayrun3=3,Dayrun3=5,Dayrun3=6,Dayrun3=8,Dayrun3=9),VLOOKUP(A58,ScaledPrice3,IF(Scaler3=1,6,5)),0))</f>
        <v>35.2900009155273</v>
      </c>
      <c r="G58" s="317" t="n">
        <f aca="false">IF(A58="N/A"," ",IF(OR(Dayrun3=2,Dayrun3=3,Dayrun3=5,Dayrun3=6),IF(Scaler3=2,F58,(VLOOKUP(A58,ScaledPrice3,5))*(2-(VLOOKUP(A58,ScaledPrice3,3)))),0))</f>
        <v>35.2900009155273</v>
      </c>
      <c r="H58" s="317" t="n">
        <f aca="false">IF($A58="N/A"," ",IF(OR(Dayrun3=2,Dayrun3=3,Dayrun3=10),VLOOKUP($A58,ScaledPrice3,9),0))</f>
        <v>0</v>
      </c>
      <c r="I58" s="317" t="n">
        <f aca="false">IF(A58="N/A"," ",IF(OR(Dayrun3=3,Dayrun3=6,Dayrun3=9),(VLOOKUP(A58,ScaledPrice3,IF(Scaler3=2,7,8))),0))</f>
        <v>25.7900009155273</v>
      </c>
      <c r="J58" s="317" t="n">
        <f aca="false">IF(A58="N/A"," ",IF(OR(Dayrun3=3,Dayrun3=6),IF(Scaler3=2,I58,(VLOOKUP(A58,ScaledPrice3,7))*(2-(VLOOKUP(A58,ScaledPrice3,3)))),0))</f>
        <v>25.7900009155273</v>
      </c>
      <c r="K58" s="317" t="n">
        <f aca="false">IF($A58="N/A"," ",IF(OR(Dayrun3=3,Dayrun3=10),VLOOKUP($A58,ScaledPrice3,9),0))</f>
        <v>0</v>
      </c>
      <c r="L58" s="318" t="n">
        <f aca="false">IF($A58="N/A"," ",IF(Pricetype3=2,MAX(C58,0),IF(OR(Pricetype3=1,Pricetype3=4),IF(C58=0,0,(EURO(C58,Strikeprice3,0,0,($AH58+IF(Smile=TRUE(),VLOOKUP(MAX(-5,Strikeprice3-C58),Volsmile,2),0)),($A58-DateToday)+15,IF(Pricetype3=1,1,0),0))),C58)))</f>
        <v>51.75</v>
      </c>
      <c r="M58" s="318" t="n">
        <f aca="false">IF($A58="N/A"," ",IF(Pricetype3=2,MAX(D58,0),IF(OR(Pricetype3=1,Pricetype3=4),IF(D58=0,0,(EURO(D58,Strikeprice3,0,0,($AH58+IF(Smile=TRUE(),VLOOKUP(MAX(-5,Strikeprice3-D58),Volsmile,2),0)),($A58-DateToday)+15,IF(Pricetype3=1,1,0),0))),D58)))</f>
        <v>51.75</v>
      </c>
      <c r="N58" s="318" t="n">
        <f aca="false">IF($A58="N/A"," ",IF(Pricetype3=2,MAX(E58,0),IF(OR(Pricetype3=1,Pricetype3=4),IF(E58=0,0,(EURO(E58,Strikeprice3,0,0,($AK58+IF(Smile=TRUE(),VLOOKUP(MAX(-5,Strikeprice3-E58),Volsmile,2),0)),($A58-DateToday)+15,IF(Pricetype3=1,1,0),0))),E58)))</f>
        <v>0</v>
      </c>
      <c r="O58" s="318" t="n">
        <f aca="false">IF($A58="N/A"," ",IF(Pricetype3=2,MAX(F58,0),IF(OR(Pricetype3=1,Pricetype3=4),IF(F58=0,0,(EURO(F58,Strikeprice3,0,0,($AK58+IF(Smile=TRUE(),VLOOKUP(MAX(-5,Strikeprice3-F58),Volsmile,2),0)),($A58-DateToday)+15,IF(Pricetype3=1,1,0),0))),F58)))</f>
        <v>35.2900009155273</v>
      </c>
      <c r="P58" s="318" t="n">
        <f aca="false">IF($A58="N/A"," ",IF(Pricetype3=2,MAX(G58,0),IF(OR(Pricetype3=1,Pricetype3=4),IF(G58=0,0,(EURO(G58,Strikeprice3,0,0,($AK58+IF(Smile=TRUE(),VLOOKUP(MAX(-5,Strikeprice3-G58),Volsmile,2),0)),($A58-DateToday)+15,IF(Pricetype3=1,1,0),0))),G58)))</f>
        <v>35.2900009155273</v>
      </c>
      <c r="Q58" s="318" t="n">
        <f aca="false">IF($A58="N/A"," ",IF(Pricetype3=2,MAX(H58,0),IF(OR(Pricetype3=1,Pricetype3=4),IF(H58=0,0,(EURO(H58,Strikeprice3,0,0,($AK58+IF(Smile=TRUE(),VLOOKUP(MAX(-5,Strikeprice3-H58),Volsmile,2),0)),($A58-DateToday)+15,IF(Pricetype3=1,1,0),0))),H58)))</f>
        <v>0</v>
      </c>
      <c r="R58" s="318" t="n">
        <f aca="false">IF($A58="N/A"," ",IF(Pricetype3=2,MAX(I58,0),IF(OR(Pricetype3=1,Pricetype3=4),IF(I58=0,0,(EURO(I58,Strikeprice3,0,0,($AK58+IF(Smile=TRUE(),VLOOKUP(MAX(-5,Strikeprice3-I58),Volsmile,2),0)),($A58-DateToday)+15,IF(Pricetype3=1,1,0),0))),I58)))</f>
        <v>25.7900009155273</v>
      </c>
      <c r="S58" s="318" t="n">
        <f aca="false">IF($A58="N/A"," ",IF(Pricetype3=2,MAX(J58,0),IF(OR(Pricetype3=1,Pricetype3=4),IF(J58=0,0,(EURO(J58,Strikeprice3,0,0,($AK58+IF(Smile=TRUE(),VLOOKUP(MAX(-5,Strikeprice3-J58),Volsmile,2),0)),($A58-DateToday)+15,IF(Pricetype3=1,1,0),0))),J58)))</f>
        <v>25.7900009155273</v>
      </c>
      <c r="T58" s="318" t="n">
        <f aca="false">IF($A58="N/A"," ",IF(Pricetype3=2,MAX(K58,0),IF(OR(Pricetype3=1,Pricetype3=4),IF(K58=0,0,(EURO(K58,Strikeprice3,0,0,($AK58+IF(Smile=TRUE(),VLOOKUP(MAX(-5,Strikeprice3-K58),Volsmile,2),0)),($A58-DateToday)+15,IF(Pricetype3=1,1,0),0))),K58)))</f>
        <v>0</v>
      </c>
      <c r="U58" s="319" t="e">
        <f aca="false">IF($A58="N/A"," ",Volume3*$AM58)</f>
        <v>#N/A</v>
      </c>
      <c r="V58" s="320" t="e">
        <f aca="false">IF($A58="N/A"," ",$U58*(8*($BQ58))*L58)</f>
        <v>#N/A</v>
      </c>
      <c r="W58" s="320" t="e">
        <f aca="false">IF($A58="N/A"," ",$U58*(8*($BQ58))*M58)</f>
        <v>#N/A</v>
      </c>
      <c r="X58" s="320" t="e">
        <f aca="false">IF($A58="N/A"," ",$U58*(8*($BQ58))*N58)</f>
        <v>#N/A</v>
      </c>
      <c r="Y58" s="320" t="e">
        <f aca="false">IF($A58="N/A"," ",$U58*(8*($BR58))*O58)</f>
        <v>#N/A</v>
      </c>
      <c r="Z58" s="320" t="e">
        <f aca="false">IF($A58="N/A"," ",$U58*(8*($BR58))*P58)</f>
        <v>#N/A</v>
      </c>
      <c r="AA58" s="320" t="e">
        <f aca="false">IF($A58="N/A"," ",$U58*(8*($BR58))*Q58)</f>
        <v>#N/A</v>
      </c>
      <c r="AB58" s="320" t="e">
        <f aca="false">IF($A58="N/A"," ",$U58*(8*($BS58))*R58)</f>
        <v>#N/A</v>
      </c>
      <c r="AC58" s="320" t="e">
        <f aca="false">IF($A58="N/A"," ",$U58*(8*($BS58))*S58)</f>
        <v>#N/A</v>
      </c>
      <c r="AD58" s="320" t="e">
        <f aca="false">IF($A58="N/A"," ",$U58*(8*($BS58))*T58)</f>
        <v>#N/A</v>
      </c>
      <c r="AE58" s="320" t="e">
        <f aca="false">IF($A58="N/A"," ",SUM(V58:AD58))</f>
        <v>#N/A</v>
      </c>
      <c r="AF58" s="321" t="n">
        <f aca="false">IF(A58="N/A"," ",(VLOOKUP(A58,PowerVolTable,(IF(VolBMO3=2,7,IF(VolBMO3=1,6,8))),FALSE())))</f>
        <v>0.24</v>
      </c>
      <c r="AG58" s="321" t="n">
        <f aca="false">IF(A58="N/A"," ",(VLOOKUP(A58,IntraPowerVol,(IF(VolBMO3=2,3,IF(VolBMO3=1,2,4))),FALSE())*VLOOKUP(MONTH($A58),Volscale,2)))</f>
        <v>0.48</v>
      </c>
      <c r="AH58" s="321" t="n">
        <f aca="false">IF($A58="N/A"," ",IF(VolType3=1,AG58,AF58))</f>
        <v>0.48</v>
      </c>
      <c r="AI58" s="321" t="n">
        <f aca="false">IF($A58="N/A"," ",(VLOOKUP($A58,OffPwrVolTable,(IF(VolBMO3=2,7,IF(VolBMO3=1,6,8))),FALSE())))</f>
        <v>0.12</v>
      </c>
      <c r="AJ58" s="321" t="n">
        <f aca="false">IF($A58="N/A"," ",(VLOOKUP($A58,OffPwrVolTable,(IF(VolBMO3=2,3,IF(VolBMO3=1,2,4))),FALSE())*VLOOKUP(MONTH($A58),Volscale,2)))</f>
        <v>0.288</v>
      </c>
      <c r="AK58" s="321" t="n">
        <f aca="false">IF($A58="N/A"," ",IF(VolType3=1,AJ58,AI58))</f>
        <v>0.288</v>
      </c>
      <c r="AL58" s="321" t="e">
        <f aca="false">IF($A58="N/A"," ",IF(PV=1,0,'Pricing Inputs3'!R91))</f>
        <v>#N/A</v>
      </c>
      <c r="AM58" s="323" t="e">
        <f aca="false">IF($A58="N/A"," ",(1+AL58/2)^(-2*((EOMONTH(A58,0)+20)-DateToday)/365.25))</f>
        <v>#N/A</v>
      </c>
      <c r="BQ58" s="0" t="n">
        <f aca="false">IF($A58="N/A"," ",(VLOOKUP($A58,NumberofDaysTable,2)))</f>
        <v>20</v>
      </c>
      <c r="BR58" s="0" t="n">
        <f aca="false">IF($A58="N/A"," ",(VLOOKUP($A58,NumberofDaysTable,3)))</f>
        <v>5</v>
      </c>
      <c r="BS58" s="0" t="n">
        <f aca="false">IF($A58="N/A"," ",(VLOOKUP($A58,NumberofDaysTable,4)))</f>
        <v>6</v>
      </c>
    </row>
    <row r="59" customFormat="false" ht="12.75" hidden="false" customHeight="false" outlineLevel="0" collapsed="false">
      <c r="A59" s="315" t="n">
        <f aca="false">IF(A58="N/A","N/A",IF(EDATE(A58,1)&gt;Inputs!$Q$5,"N/A",EDATE(A58,1)))</f>
        <v>38930</v>
      </c>
      <c r="B59" s="316" t="n">
        <f aca="false">IF(A59="N/A"," ",YEAR(A59))</f>
        <v>2006</v>
      </c>
      <c r="C59" s="317" t="n">
        <f aca="false">IF($A59="N/A"," ",IF(Dayrun3=10,0,IF(Scaler3=1,(VLOOKUP(A59,ScaledPrice3,4)),(VLOOKUP(A59,ScaledPrice3,2)))))</f>
        <v>51.75</v>
      </c>
      <c r="D59" s="317" t="n">
        <f aca="false">IF(A59="N/A"," ",IF(Dayrun3&gt;=7,0,IF(Scaler3=2,VLOOKUP(A59,ScaledPrice3,2),(VLOOKUP(A59,ScaledPrice3,2))*(2-(VLOOKUP(A59,ScaledPrice3,3))))))</f>
        <v>51.75</v>
      </c>
      <c r="E59" s="317" t="n">
        <f aca="false">IF($A59="N/A"," ",IF(AND(Dayrun3&gt;=4,Dayrun3&lt;=9),0,VLOOKUP($A59,ScaledPrice3,9)))</f>
        <v>0</v>
      </c>
      <c r="F59" s="317" t="n">
        <f aca="false">IF(A59="N/A"," ",IF(OR(Dayrun3=2,Dayrun3=3,Dayrun3=5,Dayrun3=6,Dayrun3=8,Dayrun3=9),VLOOKUP(A59,ScaledPrice3,IF(Scaler3=1,6,5)),0))</f>
        <v>33.2900047302246</v>
      </c>
      <c r="G59" s="317" t="n">
        <f aca="false">IF(A59="N/A"," ",IF(OR(Dayrun3=2,Dayrun3=3,Dayrun3=5,Dayrun3=6),IF(Scaler3=2,F59,(VLOOKUP(A59,ScaledPrice3,5))*(2-(VLOOKUP(A59,ScaledPrice3,3)))),0))</f>
        <v>33.2900047302246</v>
      </c>
      <c r="H59" s="317" t="n">
        <f aca="false">IF($A59="N/A"," ",IF(OR(Dayrun3=2,Dayrun3=3,Dayrun3=10),VLOOKUP($A59,ScaledPrice3,9),0))</f>
        <v>0</v>
      </c>
      <c r="I59" s="317" t="n">
        <f aca="false">IF(A59="N/A"," ",IF(OR(Dayrun3=3,Dayrun3=6,Dayrun3=9),(VLOOKUP(A59,ScaledPrice3,IF(Scaler3=2,7,8))),0))</f>
        <v>25.7900009155273</v>
      </c>
      <c r="J59" s="317" t="n">
        <f aca="false">IF(A59="N/A"," ",IF(OR(Dayrun3=3,Dayrun3=6),IF(Scaler3=2,I59,(VLOOKUP(A59,ScaledPrice3,7))*(2-(VLOOKUP(A59,ScaledPrice3,3)))),0))</f>
        <v>25.7900009155273</v>
      </c>
      <c r="K59" s="317" t="n">
        <f aca="false">IF($A59="N/A"," ",IF(OR(Dayrun3=3,Dayrun3=10),VLOOKUP($A59,ScaledPrice3,9),0))</f>
        <v>0</v>
      </c>
      <c r="L59" s="318" t="n">
        <f aca="false">IF($A59="N/A"," ",IF(Pricetype3=2,MAX(C59,0),IF(OR(Pricetype3=1,Pricetype3=4),IF(C59=0,0,(EURO(C59,Strikeprice3,0,0,($AH59+IF(Smile=TRUE(),VLOOKUP(MAX(-5,Strikeprice3-C59),Volsmile,2),0)),($A59-DateToday)+15,IF(Pricetype3=1,1,0),0))),C59)))</f>
        <v>51.75</v>
      </c>
      <c r="M59" s="318" t="n">
        <f aca="false">IF($A59="N/A"," ",IF(Pricetype3=2,MAX(D59,0),IF(OR(Pricetype3=1,Pricetype3=4),IF(D59=0,0,(EURO(D59,Strikeprice3,0,0,($AH59+IF(Smile=TRUE(),VLOOKUP(MAX(-5,Strikeprice3-D59),Volsmile,2),0)),($A59-DateToday)+15,IF(Pricetype3=1,1,0),0))),D59)))</f>
        <v>51.75</v>
      </c>
      <c r="N59" s="318" t="n">
        <f aca="false">IF($A59="N/A"," ",IF(Pricetype3=2,MAX(E59,0),IF(OR(Pricetype3=1,Pricetype3=4),IF(E59=0,0,(EURO(E59,Strikeprice3,0,0,($AK59+IF(Smile=TRUE(),VLOOKUP(MAX(-5,Strikeprice3-E59),Volsmile,2),0)),($A59-DateToday)+15,IF(Pricetype3=1,1,0),0))),E59)))</f>
        <v>0</v>
      </c>
      <c r="O59" s="318" t="n">
        <f aca="false">IF($A59="N/A"," ",IF(Pricetype3=2,MAX(F59,0),IF(OR(Pricetype3=1,Pricetype3=4),IF(F59=0,0,(EURO(F59,Strikeprice3,0,0,($AK59+IF(Smile=TRUE(),VLOOKUP(MAX(-5,Strikeprice3-F59),Volsmile,2),0)),($A59-DateToday)+15,IF(Pricetype3=1,1,0),0))),F59)))</f>
        <v>33.2900047302246</v>
      </c>
      <c r="P59" s="318" t="n">
        <f aca="false">IF($A59="N/A"," ",IF(Pricetype3=2,MAX(G59,0),IF(OR(Pricetype3=1,Pricetype3=4),IF(G59=0,0,(EURO(G59,Strikeprice3,0,0,($AK59+IF(Smile=TRUE(),VLOOKUP(MAX(-5,Strikeprice3-G59),Volsmile,2),0)),($A59-DateToday)+15,IF(Pricetype3=1,1,0),0))),G59)))</f>
        <v>33.2900047302246</v>
      </c>
      <c r="Q59" s="318" t="n">
        <f aca="false">IF($A59="N/A"," ",IF(Pricetype3=2,MAX(H59,0),IF(OR(Pricetype3=1,Pricetype3=4),IF(H59=0,0,(EURO(H59,Strikeprice3,0,0,($AK59+IF(Smile=TRUE(),VLOOKUP(MAX(-5,Strikeprice3-H59),Volsmile,2),0)),($A59-DateToday)+15,IF(Pricetype3=1,1,0),0))),H59)))</f>
        <v>0</v>
      </c>
      <c r="R59" s="318" t="n">
        <f aca="false">IF($A59="N/A"," ",IF(Pricetype3=2,MAX(I59,0),IF(OR(Pricetype3=1,Pricetype3=4),IF(I59=0,0,(EURO(I59,Strikeprice3,0,0,($AK59+IF(Smile=TRUE(),VLOOKUP(MAX(-5,Strikeprice3-I59),Volsmile,2),0)),($A59-DateToday)+15,IF(Pricetype3=1,1,0),0))),I59)))</f>
        <v>25.7900009155273</v>
      </c>
      <c r="S59" s="318" t="n">
        <f aca="false">IF($A59="N/A"," ",IF(Pricetype3=2,MAX(J59,0),IF(OR(Pricetype3=1,Pricetype3=4),IF(J59=0,0,(EURO(J59,Strikeprice3,0,0,($AK59+IF(Smile=TRUE(),VLOOKUP(MAX(-5,Strikeprice3-J59),Volsmile,2),0)),($A59-DateToday)+15,IF(Pricetype3=1,1,0),0))),J59)))</f>
        <v>25.7900009155273</v>
      </c>
      <c r="T59" s="318" t="n">
        <f aca="false">IF($A59="N/A"," ",IF(Pricetype3=2,MAX(K59,0),IF(OR(Pricetype3=1,Pricetype3=4),IF(K59=0,0,(EURO(K59,Strikeprice3,0,0,($AK59+IF(Smile=TRUE(),VLOOKUP(MAX(-5,Strikeprice3-K59),Volsmile,2),0)),($A59-DateToday)+15,IF(Pricetype3=1,1,0),0))),K59)))</f>
        <v>0</v>
      </c>
      <c r="U59" s="319" t="e">
        <f aca="false">IF($A59="N/A"," ",Volume3*$AM59)</f>
        <v>#N/A</v>
      </c>
      <c r="V59" s="320" t="e">
        <f aca="false">IF($A59="N/A"," ",$U59*(8*($BQ59))*L59)</f>
        <v>#N/A</v>
      </c>
      <c r="W59" s="320" t="e">
        <f aca="false">IF($A59="N/A"," ",$U59*(8*($BQ59))*M59)</f>
        <v>#N/A</v>
      </c>
      <c r="X59" s="320" t="e">
        <f aca="false">IF($A59="N/A"," ",$U59*(8*($BQ59))*N59)</f>
        <v>#N/A</v>
      </c>
      <c r="Y59" s="320" t="e">
        <f aca="false">IF($A59="N/A"," ",$U59*(8*($BR59))*O59)</f>
        <v>#N/A</v>
      </c>
      <c r="Z59" s="320" t="e">
        <f aca="false">IF($A59="N/A"," ",$U59*(8*($BR59))*P59)</f>
        <v>#N/A</v>
      </c>
      <c r="AA59" s="320" t="e">
        <f aca="false">IF($A59="N/A"," ",$U59*(8*($BR59))*Q59)</f>
        <v>#N/A</v>
      </c>
      <c r="AB59" s="320" t="e">
        <f aca="false">IF($A59="N/A"," ",$U59*(8*($BS59))*R59)</f>
        <v>#N/A</v>
      </c>
      <c r="AC59" s="320" t="e">
        <f aca="false">IF($A59="N/A"," ",$U59*(8*($BS59))*S59)</f>
        <v>#N/A</v>
      </c>
      <c r="AD59" s="320" t="e">
        <f aca="false">IF($A59="N/A"," ",$U59*(8*($BS59))*T59)</f>
        <v>#N/A</v>
      </c>
      <c r="AE59" s="320" t="e">
        <f aca="false">IF($A59="N/A"," ",SUM(V59:AD59))</f>
        <v>#N/A</v>
      </c>
      <c r="AF59" s="321" t="n">
        <f aca="false">IF(A59="N/A"," ",(VLOOKUP(A59,PowerVolTable,(IF(VolBMO3=2,7,IF(VolBMO3=1,6,8))),FALSE())))</f>
        <v>0.24</v>
      </c>
      <c r="AG59" s="321" t="n">
        <f aca="false">IF(A59="N/A"," ",(VLOOKUP(A59,IntraPowerVol,(IF(VolBMO3=2,3,IF(VolBMO3=1,2,4))),FALSE())*VLOOKUP(MONTH($A59),Volscale,2)))</f>
        <v>0.48</v>
      </c>
      <c r="AH59" s="321" t="n">
        <f aca="false">IF($A59="N/A"," ",IF(VolType3=1,AG59,AF59))</f>
        <v>0.48</v>
      </c>
      <c r="AI59" s="321" t="n">
        <f aca="false">IF($A59="N/A"," ",(VLOOKUP($A59,OffPwrVolTable,(IF(VolBMO3=2,7,IF(VolBMO3=1,6,8))),FALSE())))</f>
        <v>0.12</v>
      </c>
      <c r="AJ59" s="321" t="n">
        <f aca="false">IF($A59="N/A"," ",(VLOOKUP($A59,OffPwrVolTable,(IF(VolBMO3=2,3,IF(VolBMO3=1,2,4))),FALSE())*VLOOKUP(MONTH($A59),Volscale,2)))</f>
        <v>0.288</v>
      </c>
      <c r="AK59" s="321" t="n">
        <f aca="false">IF($A59="N/A"," ",IF(VolType3=1,AJ59,AI59))</f>
        <v>0.288</v>
      </c>
      <c r="AL59" s="321" t="e">
        <f aca="false">IF($A59="N/A"," ",IF(PV=1,0,'Pricing Inputs3'!R92))</f>
        <v>#N/A</v>
      </c>
      <c r="AM59" s="323" t="e">
        <f aca="false">IF($A59="N/A"," ",(1+AL59/2)^(-2*((EOMONTH(A59,0)+20)-DateToday)/365.25))</f>
        <v>#N/A</v>
      </c>
      <c r="BQ59" s="0" t="n">
        <f aca="false">IF($A59="N/A"," ",(VLOOKUP($A59,NumberofDaysTable,2)))</f>
        <v>23</v>
      </c>
      <c r="BR59" s="0" t="n">
        <f aca="false">IF($A59="N/A"," ",(VLOOKUP($A59,NumberofDaysTable,3)))</f>
        <v>4</v>
      </c>
      <c r="BS59" s="0" t="n">
        <f aca="false">IF($A59="N/A"," ",(VLOOKUP($A59,NumberofDaysTable,4)))</f>
        <v>4</v>
      </c>
    </row>
    <row r="60" customFormat="false" ht="12.75" hidden="false" customHeight="false" outlineLevel="0" collapsed="false">
      <c r="A60" s="315" t="n">
        <f aca="false">IF(A59="N/A","N/A",IF(EDATE(A59,1)&gt;Inputs!$Q$5,"N/A",EDATE(A59,1)))</f>
        <v>38961</v>
      </c>
      <c r="B60" s="316" t="n">
        <f aca="false">IF(A60="N/A"," ",YEAR(A60))</f>
        <v>2006</v>
      </c>
      <c r="C60" s="317" t="n">
        <f aca="false">IF($A60="N/A"," ",IF(Dayrun3=10,0,IF(Scaler3=1,(VLOOKUP(A60,ScaledPrice3,4)),(VLOOKUP(A60,ScaledPrice3,2)))))</f>
        <v>30.8299999237061</v>
      </c>
      <c r="D60" s="317" t="n">
        <f aca="false">IF(A60="N/A"," ",IF(Dayrun3&gt;=7,0,IF(Scaler3=2,VLOOKUP(A60,ScaledPrice3,2),(VLOOKUP(A60,ScaledPrice3,2))*(2-(VLOOKUP(A60,ScaledPrice3,3))))))</f>
        <v>30.8299999237061</v>
      </c>
      <c r="E60" s="317" t="n">
        <f aca="false">IF($A60="N/A"," ",IF(AND(Dayrun3&gt;=4,Dayrun3&lt;=9),0,VLOOKUP($A60,ScaledPrice3,9)))</f>
        <v>0</v>
      </c>
      <c r="F60" s="317" t="n">
        <f aca="false">IF(A60="N/A"," ",IF(OR(Dayrun3=2,Dayrun3=3,Dayrun3=5,Dayrun3=6,Dayrun3=8,Dayrun3=9),VLOOKUP(A60,ScaledPrice3,IF(Scaler3=1,6,5)),0))</f>
        <v>25.2900009155273</v>
      </c>
      <c r="G60" s="317" t="n">
        <f aca="false">IF(A60="N/A"," ",IF(OR(Dayrun3=2,Dayrun3=3,Dayrun3=5,Dayrun3=6),IF(Scaler3=2,F60,(VLOOKUP(A60,ScaledPrice3,5))*(2-(VLOOKUP(A60,ScaledPrice3,3)))),0))</f>
        <v>25.2900009155273</v>
      </c>
      <c r="H60" s="317" t="n">
        <f aca="false">IF($A60="N/A"," ",IF(OR(Dayrun3=2,Dayrun3=3,Dayrun3=10),VLOOKUP($A60,ScaledPrice3,9),0))</f>
        <v>0</v>
      </c>
      <c r="I60" s="317" t="n">
        <f aca="false">IF(A60="N/A"," ",IF(OR(Dayrun3=3,Dayrun3=6,Dayrun3=9),(VLOOKUP(A60,ScaledPrice3,IF(Scaler3=2,7,8))),0))</f>
        <v>19.7900009155273</v>
      </c>
      <c r="J60" s="317" t="n">
        <f aca="false">IF(A60="N/A"," ",IF(OR(Dayrun3=3,Dayrun3=6),IF(Scaler3=2,I60,(VLOOKUP(A60,ScaledPrice3,7))*(2-(VLOOKUP(A60,ScaledPrice3,3)))),0))</f>
        <v>19.7900009155273</v>
      </c>
      <c r="K60" s="317" t="n">
        <f aca="false">IF($A60="N/A"," ",IF(OR(Dayrun3=3,Dayrun3=10),VLOOKUP($A60,ScaledPrice3,9),0))</f>
        <v>0</v>
      </c>
      <c r="L60" s="318" t="n">
        <f aca="false">IF($A60="N/A"," ",IF(Pricetype3=2,MAX(C60,0),IF(OR(Pricetype3=1,Pricetype3=4),IF(C60=0,0,(EURO(C60,Strikeprice3,0,0,($AH60+IF(Smile=TRUE(),VLOOKUP(MAX(-5,Strikeprice3-C60),Volsmile,2),0)),($A60-DateToday)+15,IF(Pricetype3=1,1,0),0))),C60)))</f>
        <v>30.8299999237061</v>
      </c>
      <c r="M60" s="318" t="n">
        <f aca="false">IF($A60="N/A"," ",IF(Pricetype3=2,MAX(D60,0),IF(OR(Pricetype3=1,Pricetype3=4),IF(D60=0,0,(EURO(D60,Strikeprice3,0,0,($AH60+IF(Smile=TRUE(),VLOOKUP(MAX(-5,Strikeprice3-D60),Volsmile,2),0)),($A60-DateToday)+15,IF(Pricetype3=1,1,0),0))),D60)))</f>
        <v>30.8299999237061</v>
      </c>
      <c r="N60" s="318" t="n">
        <f aca="false">IF($A60="N/A"," ",IF(Pricetype3=2,MAX(E60,0),IF(OR(Pricetype3=1,Pricetype3=4),IF(E60=0,0,(EURO(E60,Strikeprice3,0,0,($AK60+IF(Smile=TRUE(),VLOOKUP(MAX(-5,Strikeprice3-E60),Volsmile,2),0)),($A60-DateToday)+15,IF(Pricetype3=1,1,0),0))),E60)))</f>
        <v>0</v>
      </c>
      <c r="O60" s="318" t="n">
        <f aca="false">IF($A60="N/A"," ",IF(Pricetype3=2,MAX(F60,0),IF(OR(Pricetype3=1,Pricetype3=4),IF(F60=0,0,(EURO(F60,Strikeprice3,0,0,($AK60+IF(Smile=TRUE(),VLOOKUP(MAX(-5,Strikeprice3-F60),Volsmile,2),0)),($A60-DateToday)+15,IF(Pricetype3=1,1,0),0))),F60)))</f>
        <v>25.2900009155273</v>
      </c>
      <c r="P60" s="318" t="n">
        <f aca="false">IF($A60="N/A"," ",IF(Pricetype3=2,MAX(G60,0),IF(OR(Pricetype3=1,Pricetype3=4),IF(G60=0,0,(EURO(G60,Strikeprice3,0,0,($AK60+IF(Smile=TRUE(),VLOOKUP(MAX(-5,Strikeprice3-G60),Volsmile,2),0)),($A60-DateToday)+15,IF(Pricetype3=1,1,0),0))),G60)))</f>
        <v>25.2900009155273</v>
      </c>
      <c r="Q60" s="318" t="n">
        <f aca="false">IF($A60="N/A"," ",IF(Pricetype3=2,MAX(H60,0),IF(OR(Pricetype3=1,Pricetype3=4),IF(H60=0,0,(EURO(H60,Strikeprice3,0,0,($AK60+IF(Smile=TRUE(),VLOOKUP(MAX(-5,Strikeprice3-H60),Volsmile,2),0)),($A60-DateToday)+15,IF(Pricetype3=1,1,0),0))),H60)))</f>
        <v>0</v>
      </c>
      <c r="R60" s="318" t="n">
        <f aca="false">IF($A60="N/A"," ",IF(Pricetype3=2,MAX(I60,0),IF(OR(Pricetype3=1,Pricetype3=4),IF(I60=0,0,(EURO(I60,Strikeprice3,0,0,($AK60+IF(Smile=TRUE(),VLOOKUP(MAX(-5,Strikeprice3-I60),Volsmile,2),0)),($A60-DateToday)+15,IF(Pricetype3=1,1,0),0))),I60)))</f>
        <v>19.7900009155273</v>
      </c>
      <c r="S60" s="318" t="n">
        <f aca="false">IF($A60="N/A"," ",IF(Pricetype3=2,MAX(J60,0),IF(OR(Pricetype3=1,Pricetype3=4),IF(J60=0,0,(EURO(J60,Strikeprice3,0,0,($AK60+IF(Smile=TRUE(),VLOOKUP(MAX(-5,Strikeprice3-J60),Volsmile,2),0)),($A60-DateToday)+15,IF(Pricetype3=1,1,0),0))),J60)))</f>
        <v>19.7900009155273</v>
      </c>
      <c r="T60" s="318" t="n">
        <f aca="false">IF($A60="N/A"," ",IF(Pricetype3=2,MAX(K60,0),IF(OR(Pricetype3=1,Pricetype3=4),IF(K60=0,0,(EURO(K60,Strikeprice3,0,0,($AK60+IF(Smile=TRUE(),VLOOKUP(MAX(-5,Strikeprice3-K60),Volsmile,2),0)),($A60-DateToday)+15,IF(Pricetype3=1,1,0),0))),K60)))</f>
        <v>0</v>
      </c>
      <c r="U60" s="319" t="e">
        <f aca="false">IF($A60="N/A"," ",Volume3*$AM60)</f>
        <v>#N/A</v>
      </c>
      <c r="V60" s="320" t="e">
        <f aca="false">IF($A60="N/A"," ",$U60*(8*($BQ60))*L60)</f>
        <v>#N/A</v>
      </c>
      <c r="W60" s="320" t="e">
        <f aca="false">IF($A60="N/A"," ",$U60*(8*($BQ60))*M60)</f>
        <v>#N/A</v>
      </c>
      <c r="X60" s="320" t="e">
        <f aca="false">IF($A60="N/A"," ",$U60*(8*($BQ60))*N60)</f>
        <v>#N/A</v>
      </c>
      <c r="Y60" s="320" t="e">
        <f aca="false">IF($A60="N/A"," ",$U60*(8*($BR60))*O60)</f>
        <v>#N/A</v>
      </c>
      <c r="Z60" s="320" t="e">
        <f aca="false">IF($A60="N/A"," ",$U60*(8*($BR60))*P60)</f>
        <v>#N/A</v>
      </c>
      <c r="AA60" s="320" t="e">
        <f aca="false">IF($A60="N/A"," ",$U60*(8*($BR60))*Q60)</f>
        <v>#N/A</v>
      </c>
      <c r="AB60" s="320" t="e">
        <f aca="false">IF($A60="N/A"," ",$U60*(8*($BS60))*R60)</f>
        <v>#N/A</v>
      </c>
      <c r="AC60" s="320" t="e">
        <f aca="false">IF($A60="N/A"," ",$U60*(8*($BS60))*S60)</f>
        <v>#N/A</v>
      </c>
      <c r="AD60" s="320" t="e">
        <f aca="false">IF($A60="N/A"," ",$U60*(8*($BS60))*T60)</f>
        <v>#N/A</v>
      </c>
      <c r="AE60" s="320" t="e">
        <f aca="false">IF($A60="N/A"," ",SUM(V60:AD60))</f>
        <v>#N/A</v>
      </c>
      <c r="AF60" s="321" t="n">
        <f aca="false">IF(A60="N/A"," ",(VLOOKUP(A60,PowerVolTable,(IF(VolBMO3=2,7,IF(VolBMO3=1,6,8))),FALSE())))</f>
        <v>0.16</v>
      </c>
      <c r="AG60" s="321" t="n">
        <f aca="false">IF(A60="N/A"," ",(VLOOKUP(A60,IntraPowerVol,(IF(VolBMO3=2,3,IF(VolBMO3=1,2,4))),FALSE())*VLOOKUP(MONTH($A60),Volscale,2)))</f>
        <v>0.36</v>
      </c>
      <c r="AH60" s="321" t="n">
        <f aca="false">IF($A60="N/A"," ",IF(VolType3=1,AG60,AF60))</f>
        <v>0.36</v>
      </c>
      <c r="AI60" s="321" t="n">
        <f aca="false">IF($A60="N/A"," ",(VLOOKUP($A60,OffPwrVolTable,(IF(VolBMO3=2,7,IF(VolBMO3=1,6,8))),FALSE())))</f>
        <v>0.08</v>
      </c>
      <c r="AJ60" s="321" t="n">
        <f aca="false">IF($A60="N/A"," ",(VLOOKUP($A60,OffPwrVolTable,(IF(VolBMO3=2,3,IF(VolBMO3=1,2,4))),FALSE())*VLOOKUP(MONTH($A60),Volscale,2)))</f>
        <v>0.216</v>
      </c>
      <c r="AK60" s="321" t="n">
        <f aca="false">IF($A60="N/A"," ",IF(VolType3=1,AJ60,AI60))</f>
        <v>0.216</v>
      </c>
      <c r="AL60" s="321" t="e">
        <f aca="false">IF($A60="N/A"," ",IF(PV=1,0,'Pricing Inputs3'!R93))</f>
        <v>#N/A</v>
      </c>
      <c r="AM60" s="323" t="e">
        <f aca="false">IF($A60="N/A"," ",(1+AL60/2)^(-2*((EOMONTH(A60,0)+20)-DateToday)/365.25))</f>
        <v>#N/A</v>
      </c>
      <c r="BQ60" s="0" t="n">
        <f aca="false">IF($A60="N/A"," ",(VLOOKUP($A60,NumberofDaysTable,2)))</f>
        <v>20</v>
      </c>
      <c r="BR60" s="0" t="n">
        <f aca="false">IF($A60="N/A"," ",(VLOOKUP($A60,NumberofDaysTable,3)))</f>
        <v>5</v>
      </c>
      <c r="BS60" s="0" t="n">
        <f aca="false">IF($A60="N/A"," ",(VLOOKUP($A60,NumberofDaysTable,4)))</f>
        <v>5</v>
      </c>
    </row>
    <row r="61" customFormat="false" ht="12.75" hidden="false" customHeight="false" outlineLevel="0" collapsed="false">
      <c r="A61" s="315" t="n">
        <f aca="false">IF(A60="N/A","N/A",IF(EDATE(A60,1)&gt;Inputs!$Q$5,"N/A",EDATE(A60,1)))</f>
        <v>38991</v>
      </c>
      <c r="B61" s="316" t="n">
        <f aca="false">IF(A61="N/A"," ",YEAR(A61))</f>
        <v>2006</v>
      </c>
      <c r="C61" s="317" t="n">
        <f aca="false">IF($A61="N/A"," ",IF(Dayrun3=10,0,IF(Scaler3=1,(VLOOKUP(A61,ScaledPrice3,4)),(VLOOKUP(A61,ScaledPrice3,2)))))</f>
        <v>31.9815639257431</v>
      </c>
      <c r="D61" s="317" t="n">
        <f aca="false">IF(A61="N/A"," ",IF(Dayrun3&gt;=7,0,IF(Scaler3=2,VLOOKUP(A61,ScaledPrice3,2),(VLOOKUP(A61,ScaledPrice3,2))*(2-(VLOOKUP(A61,ScaledPrice3,3))))))</f>
        <v>31.9815639257431</v>
      </c>
      <c r="E61" s="317" t="n">
        <f aca="false">IF($A61="N/A"," ",IF(AND(Dayrun3&gt;=4,Dayrun3&lt;=9),0,VLOOKUP($A61,ScaledPrice3,9)))</f>
        <v>0</v>
      </c>
      <c r="F61" s="317" t="n">
        <f aca="false">IF(A61="N/A"," ",IF(OR(Dayrun3=2,Dayrun3=3,Dayrun3=5,Dayrun3=6,Dayrun3=8,Dayrun3=9),VLOOKUP(A61,ScaledPrice3,IF(Scaler3=1,6,5)),0))</f>
        <v>20.2860012054443</v>
      </c>
      <c r="G61" s="317" t="n">
        <f aca="false">IF(A61="N/A"," ",IF(OR(Dayrun3=2,Dayrun3=3,Dayrun3=5,Dayrun3=6),IF(Scaler3=2,F61,(VLOOKUP(A61,ScaledPrice3,5))*(2-(VLOOKUP(A61,ScaledPrice3,3)))),0))</f>
        <v>20.2860012054443</v>
      </c>
      <c r="H61" s="317" t="n">
        <f aca="false">IF($A61="N/A"," ",IF(OR(Dayrun3=2,Dayrun3=3,Dayrun3=10),VLOOKUP($A61,ScaledPrice3,9),0))</f>
        <v>0</v>
      </c>
      <c r="I61" s="317" t="n">
        <f aca="false">IF(A61="N/A"," ",IF(OR(Dayrun3=3,Dayrun3=6,Dayrun3=9),(VLOOKUP(A61,ScaledPrice3,IF(Scaler3=2,7,8))),0))</f>
        <v>14.7865009307861</v>
      </c>
      <c r="J61" s="317" t="n">
        <f aca="false">IF(A61="N/A"," ",IF(OR(Dayrun3=3,Dayrun3=6),IF(Scaler3=2,I61,(VLOOKUP(A61,ScaledPrice3,7))*(2-(VLOOKUP(A61,ScaledPrice3,3)))),0))</f>
        <v>14.7865009307861</v>
      </c>
      <c r="K61" s="317" t="n">
        <f aca="false">IF($A61="N/A"," ",IF(OR(Dayrun3=3,Dayrun3=10),VLOOKUP($A61,ScaledPrice3,9),0))</f>
        <v>0</v>
      </c>
      <c r="L61" s="318" t="n">
        <f aca="false">IF($A61="N/A"," ",IF(Pricetype3=2,MAX(C61,0),IF(OR(Pricetype3=1,Pricetype3=4),IF(C61=0,0,(EURO(C61,Strikeprice3,0,0,($AH61+IF(Smile=TRUE(),VLOOKUP(MAX(-5,Strikeprice3-C61),Volsmile,2),0)),($A61-DateToday)+15,IF(Pricetype3=1,1,0),0))),C61)))</f>
        <v>31.9815639257431</v>
      </c>
      <c r="M61" s="318" t="n">
        <f aca="false">IF($A61="N/A"," ",IF(Pricetype3=2,MAX(D61,0),IF(OR(Pricetype3=1,Pricetype3=4),IF(D61=0,0,(EURO(D61,Strikeprice3,0,0,($AH61+IF(Smile=TRUE(),VLOOKUP(MAX(-5,Strikeprice3-D61),Volsmile,2),0)),($A61-DateToday)+15,IF(Pricetype3=1,1,0),0))),D61)))</f>
        <v>31.9815639257431</v>
      </c>
      <c r="N61" s="318" t="n">
        <f aca="false">IF($A61="N/A"," ",IF(Pricetype3=2,MAX(E61,0),IF(OR(Pricetype3=1,Pricetype3=4),IF(E61=0,0,(EURO(E61,Strikeprice3,0,0,($AK61+IF(Smile=TRUE(),VLOOKUP(MAX(-5,Strikeprice3-E61),Volsmile,2),0)),($A61-DateToday)+15,IF(Pricetype3=1,1,0),0))),E61)))</f>
        <v>0</v>
      </c>
      <c r="O61" s="318" t="n">
        <f aca="false">IF($A61="N/A"," ",IF(Pricetype3=2,MAX(F61,0),IF(OR(Pricetype3=1,Pricetype3=4),IF(F61=0,0,(EURO(F61,Strikeprice3,0,0,($AK61+IF(Smile=TRUE(),VLOOKUP(MAX(-5,Strikeprice3-F61),Volsmile,2),0)),($A61-DateToday)+15,IF(Pricetype3=1,1,0),0))),F61)))</f>
        <v>20.2860012054443</v>
      </c>
      <c r="P61" s="318" t="n">
        <f aca="false">IF($A61="N/A"," ",IF(Pricetype3=2,MAX(G61,0),IF(OR(Pricetype3=1,Pricetype3=4),IF(G61=0,0,(EURO(G61,Strikeprice3,0,0,($AK61+IF(Smile=TRUE(),VLOOKUP(MAX(-5,Strikeprice3-G61),Volsmile,2),0)),($A61-DateToday)+15,IF(Pricetype3=1,1,0),0))),G61)))</f>
        <v>20.2860012054443</v>
      </c>
      <c r="Q61" s="318" t="n">
        <f aca="false">IF($A61="N/A"," ",IF(Pricetype3=2,MAX(H61,0),IF(OR(Pricetype3=1,Pricetype3=4),IF(H61=0,0,(EURO(H61,Strikeprice3,0,0,($AK61+IF(Smile=TRUE(),VLOOKUP(MAX(-5,Strikeprice3-H61),Volsmile,2),0)),($A61-DateToday)+15,IF(Pricetype3=1,1,0),0))),H61)))</f>
        <v>0</v>
      </c>
      <c r="R61" s="318" t="n">
        <f aca="false">IF($A61="N/A"," ",IF(Pricetype3=2,MAX(I61,0),IF(OR(Pricetype3=1,Pricetype3=4),IF(I61=0,0,(EURO(I61,Strikeprice3,0,0,($AK61+IF(Smile=TRUE(),VLOOKUP(MAX(-5,Strikeprice3-I61),Volsmile,2),0)),($A61-DateToday)+15,IF(Pricetype3=1,1,0),0))),I61)))</f>
        <v>14.7865009307861</v>
      </c>
      <c r="S61" s="318" t="n">
        <f aca="false">IF($A61="N/A"," ",IF(Pricetype3=2,MAX(J61,0),IF(OR(Pricetype3=1,Pricetype3=4),IF(J61=0,0,(EURO(J61,Strikeprice3,0,0,($AK61+IF(Smile=TRUE(),VLOOKUP(MAX(-5,Strikeprice3-J61),Volsmile,2),0)),($A61-DateToday)+15,IF(Pricetype3=1,1,0),0))),J61)))</f>
        <v>14.7865009307861</v>
      </c>
      <c r="T61" s="318" t="n">
        <f aca="false">IF($A61="N/A"," ",IF(Pricetype3=2,MAX(K61,0),IF(OR(Pricetype3=1,Pricetype3=4),IF(K61=0,0,(EURO(K61,Strikeprice3,0,0,($AK61+IF(Smile=TRUE(),VLOOKUP(MAX(-5,Strikeprice3-K61),Volsmile,2),0)),($A61-DateToday)+15,IF(Pricetype3=1,1,0),0))),K61)))</f>
        <v>0</v>
      </c>
      <c r="U61" s="319" t="e">
        <f aca="false">IF($A61="N/A"," ",Volume3*$AM61)</f>
        <v>#N/A</v>
      </c>
      <c r="V61" s="320" t="e">
        <f aca="false">IF($A61="N/A"," ",$U61*(8*($BQ61))*L61)</f>
        <v>#N/A</v>
      </c>
      <c r="W61" s="320" t="e">
        <f aca="false">IF($A61="N/A"," ",$U61*(8*($BQ61))*M61)</f>
        <v>#N/A</v>
      </c>
      <c r="X61" s="320" t="e">
        <f aca="false">IF($A61="N/A"," ",$U61*(8*($BQ61))*N61)</f>
        <v>#N/A</v>
      </c>
      <c r="Y61" s="320" t="e">
        <f aca="false">IF($A61="N/A"," ",$U61*(8*($BR61))*O61)</f>
        <v>#N/A</v>
      </c>
      <c r="Z61" s="320" t="e">
        <f aca="false">IF($A61="N/A"," ",$U61*(8*($BR61))*P61)</f>
        <v>#N/A</v>
      </c>
      <c r="AA61" s="320" t="e">
        <f aca="false">IF($A61="N/A"," ",$U61*(8*($BR61))*Q61)</f>
        <v>#N/A</v>
      </c>
      <c r="AB61" s="320" t="e">
        <f aca="false">IF($A61="N/A"," ",$U61*(8*($BS61))*R61)</f>
        <v>#N/A</v>
      </c>
      <c r="AC61" s="320" t="e">
        <f aca="false">IF($A61="N/A"," ",$U61*(8*($BS61))*S61)</f>
        <v>#N/A</v>
      </c>
      <c r="AD61" s="320" t="e">
        <f aca="false">IF($A61="N/A"," ",$U61*(8*($BS61))*T61)</f>
        <v>#N/A</v>
      </c>
      <c r="AE61" s="320" t="e">
        <f aca="false">IF($A61="N/A"," ",SUM(V61:AD61))</f>
        <v>#N/A</v>
      </c>
      <c r="AF61" s="321" t="n">
        <f aca="false">IF(A61="N/A"," ",(VLOOKUP(A61,PowerVolTable,(IF(VolBMO3=2,7,IF(VolBMO3=1,6,8))),FALSE())))</f>
        <v>0.16</v>
      </c>
      <c r="AG61" s="321" t="n">
        <f aca="false">IF(A61="N/A"," ",(VLOOKUP(A61,IntraPowerVol,(IF(VolBMO3=2,3,IF(VolBMO3=1,2,4))),FALSE())*VLOOKUP(MONTH($A61),Volscale,2)))</f>
        <v>0.36</v>
      </c>
      <c r="AH61" s="321" t="n">
        <f aca="false">IF($A61="N/A"," ",IF(VolType3=1,AG61,AF61))</f>
        <v>0.36</v>
      </c>
      <c r="AI61" s="321" t="n">
        <f aca="false">IF($A61="N/A"," ",(VLOOKUP($A61,OffPwrVolTable,(IF(VolBMO3=2,7,IF(VolBMO3=1,6,8))),FALSE())))</f>
        <v>0.08</v>
      </c>
      <c r="AJ61" s="321" t="n">
        <f aca="false">IF($A61="N/A"," ",(VLOOKUP($A61,OffPwrVolTable,(IF(VolBMO3=2,3,IF(VolBMO3=1,2,4))),FALSE())*VLOOKUP(MONTH($A61),Volscale,2)))</f>
        <v>0.216</v>
      </c>
      <c r="AK61" s="321" t="n">
        <f aca="false">IF($A61="N/A"," ",IF(VolType3=1,AJ61,AI61))</f>
        <v>0.216</v>
      </c>
      <c r="AL61" s="321" t="e">
        <f aca="false">IF($A61="N/A"," ",IF(PV=1,0,'Pricing Inputs3'!R94))</f>
        <v>#N/A</v>
      </c>
      <c r="AM61" s="323" t="e">
        <f aca="false">IF($A61="N/A"," ",(1+AL61/2)^(-2*((EOMONTH(A61,0)+20)-DateToday)/365.25))</f>
        <v>#N/A</v>
      </c>
      <c r="BQ61" s="0" t="n">
        <f aca="false">IF($A61="N/A"," ",(VLOOKUP($A61,NumberofDaysTable,2)))</f>
        <v>22</v>
      </c>
      <c r="BR61" s="0" t="n">
        <f aca="false">IF($A61="N/A"," ",(VLOOKUP($A61,NumberofDaysTable,3)))</f>
        <v>4</v>
      </c>
      <c r="BS61" s="0" t="n">
        <f aca="false">IF($A61="N/A"," ",(VLOOKUP($A61,NumberofDaysTable,4)))</f>
        <v>5</v>
      </c>
    </row>
    <row r="62" customFormat="false" ht="12.75" hidden="false" customHeight="false" outlineLevel="0" collapsed="false">
      <c r="A62" s="315" t="n">
        <f aca="false">IF(A61="N/A","N/A",IF(EDATE(A61,1)&gt;Inputs!$Q$5,"N/A",EDATE(A61,1)))</f>
        <v>39022</v>
      </c>
      <c r="B62" s="316" t="n">
        <f aca="false">IF(A62="N/A"," ",YEAR(A62))</f>
        <v>2006</v>
      </c>
      <c r="C62" s="317" t="n">
        <f aca="false">IF($A62="N/A"," ",IF(Dayrun3=10,0,IF(Scaler3=1,(VLOOKUP(A62,ScaledPrice3,4)),(VLOOKUP(A62,ScaledPrice3,2)))))</f>
        <v>32.0815623998642</v>
      </c>
      <c r="D62" s="317" t="n">
        <f aca="false">IF(A62="N/A"," ",IF(Dayrun3&gt;=7,0,IF(Scaler3=2,VLOOKUP(A62,ScaledPrice3,2),(VLOOKUP(A62,ScaledPrice3,2))*(2-(VLOOKUP(A62,ScaledPrice3,3))))))</f>
        <v>32.0815623998642</v>
      </c>
      <c r="E62" s="317" t="n">
        <f aca="false">IF($A62="N/A"," ",IF(AND(Dayrun3&gt;=4,Dayrun3&lt;=9),0,VLOOKUP($A62,ScaledPrice3,9)))</f>
        <v>0</v>
      </c>
      <c r="F62" s="317" t="n">
        <f aca="false">IF(A62="N/A"," ",IF(OR(Dayrun3=2,Dayrun3=3,Dayrun3=5,Dayrun3=6,Dayrun3=8,Dayrun3=9),VLOOKUP(A62,ScaledPrice3,IF(Scaler3=1,6,5)),0))</f>
        <v>22.2900009155273</v>
      </c>
      <c r="G62" s="317" t="n">
        <f aca="false">IF(A62="N/A"," ",IF(OR(Dayrun3=2,Dayrun3=3,Dayrun3=5,Dayrun3=6),IF(Scaler3=2,F62,(VLOOKUP(A62,ScaledPrice3,5))*(2-(VLOOKUP(A62,ScaledPrice3,3)))),0))</f>
        <v>22.2900009155273</v>
      </c>
      <c r="H62" s="317" t="n">
        <f aca="false">IF($A62="N/A"," ",IF(OR(Dayrun3=2,Dayrun3=3,Dayrun3=10),VLOOKUP($A62,ScaledPrice3,9),0))</f>
        <v>0</v>
      </c>
      <c r="I62" s="317" t="n">
        <f aca="false">IF(A62="N/A"," ",IF(OR(Dayrun3=3,Dayrun3=6,Dayrun3=9),(VLOOKUP(A62,ScaledPrice3,IF(Scaler3=2,7,8))),0))</f>
        <v>14.7900009155273</v>
      </c>
      <c r="J62" s="317" t="n">
        <f aca="false">IF(A62="N/A"," ",IF(OR(Dayrun3=3,Dayrun3=6),IF(Scaler3=2,I62,(VLOOKUP(A62,ScaledPrice3,7))*(2-(VLOOKUP(A62,ScaledPrice3,3)))),0))</f>
        <v>14.7900009155273</v>
      </c>
      <c r="K62" s="317" t="n">
        <f aca="false">IF($A62="N/A"," ",IF(OR(Dayrun3=3,Dayrun3=10),VLOOKUP($A62,ScaledPrice3,9),0))</f>
        <v>0</v>
      </c>
      <c r="L62" s="318" t="n">
        <f aca="false">IF($A62="N/A"," ",IF(Pricetype3=2,MAX(C62,0),IF(OR(Pricetype3=1,Pricetype3=4),IF(C62=0,0,(EURO(C62,Strikeprice3,0,0,($AH62+IF(Smile=TRUE(),VLOOKUP(MAX(-5,Strikeprice3-C62),Volsmile,2),0)),($A62-DateToday)+15,IF(Pricetype3=1,1,0),0))),C62)))</f>
        <v>32.0815623998642</v>
      </c>
      <c r="M62" s="318" t="n">
        <f aca="false">IF($A62="N/A"," ",IF(Pricetype3=2,MAX(D62,0),IF(OR(Pricetype3=1,Pricetype3=4),IF(D62=0,0,(EURO(D62,Strikeprice3,0,0,($AH62+IF(Smile=TRUE(),VLOOKUP(MAX(-5,Strikeprice3-D62),Volsmile,2),0)),($A62-DateToday)+15,IF(Pricetype3=1,1,0),0))),D62)))</f>
        <v>32.0815623998642</v>
      </c>
      <c r="N62" s="318" t="n">
        <f aca="false">IF($A62="N/A"," ",IF(Pricetype3=2,MAX(E62,0),IF(OR(Pricetype3=1,Pricetype3=4),IF(E62=0,0,(EURO(E62,Strikeprice3,0,0,($AK62+IF(Smile=TRUE(),VLOOKUP(MAX(-5,Strikeprice3-E62),Volsmile,2),0)),($A62-DateToday)+15,IF(Pricetype3=1,1,0),0))),E62)))</f>
        <v>0</v>
      </c>
      <c r="O62" s="318" t="n">
        <f aca="false">IF($A62="N/A"," ",IF(Pricetype3=2,MAX(F62,0),IF(OR(Pricetype3=1,Pricetype3=4),IF(F62=0,0,(EURO(F62,Strikeprice3,0,0,($AK62+IF(Smile=TRUE(),VLOOKUP(MAX(-5,Strikeprice3-F62),Volsmile,2),0)),($A62-DateToday)+15,IF(Pricetype3=1,1,0),0))),F62)))</f>
        <v>22.2900009155273</v>
      </c>
      <c r="P62" s="318" t="n">
        <f aca="false">IF($A62="N/A"," ",IF(Pricetype3=2,MAX(G62,0),IF(OR(Pricetype3=1,Pricetype3=4),IF(G62=0,0,(EURO(G62,Strikeprice3,0,0,($AK62+IF(Smile=TRUE(),VLOOKUP(MAX(-5,Strikeprice3-G62),Volsmile,2),0)),($A62-DateToday)+15,IF(Pricetype3=1,1,0),0))),G62)))</f>
        <v>22.2900009155273</v>
      </c>
      <c r="Q62" s="318" t="n">
        <f aca="false">IF($A62="N/A"," ",IF(Pricetype3=2,MAX(H62,0),IF(OR(Pricetype3=1,Pricetype3=4),IF(H62=0,0,(EURO(H62,Strikeprice3,0,0,($AK62+IF(Smile=TRUE(),VLOOKUP(MAX(-5,Strikeprice3-H62),Volsmile,2),0)),($A62-DateToday)+15,IF(Pricetype3=1,1,0),0))),H62)))</f>
        <v>0</v>
      </c>
      <c r="R62" s="318" t="n">
        <f aca="false">IF($A62="N/A"," ",IF(Pricetype3=2,MAX(I62,0),IF(OR(Pricetype3=1,Pricetype3=4),IF(I62=0,0,(EURO(I62,Strikeprice3,0,0,($AK62+IF(Smile=TRUE(),VLOOKUP(MAX(-5,Strikeprice3-I62),Volsmile,2),0)),($A62-DateToday)+15,IF(Pricetype3=1,1,0),0))),I62)))</f>
        <v>14.7900009155273</v>
      </c>
      <c r="S62" s="318" t="n">
        <f aca="false">IF($A62="N/A"," ",IF(Pricetype3=2,MAX(J62,0),IF(OR(Pricetype3=1,Pricetype3=4),IF(J62=0,0,(EURO(J62,Strikeprice3,0,0,($AK62+IF(Smile=TRUE(),VLOOKUP(MAX(-5,Strikeprice3-J62),Volsmile,2),0)),($A62-DateToday)+15,IF(Pricetype3=1,1,0),0))),J62)))</f>
        <v>14.7900009155273</v>
      </c>
      <c r="T62" s="318" t="n">
        <f aca="false">IF($A62="N/A"," ",IF(Pricetype3=2,MAX(K62,0),IF(OR(Pricetype3=1,Pricetype3=4),IF(K62=0,0,(EURO(K62,Strikeprice3,0,0,($AK62+IF(Smile=TRUE(),VLOOKUP(MAX(-5,Strikeprice3-K62),Volsmile,2),0)),($A62-DateToday)+15,IF(Pricetype3=1,1,0),0))),K62)))</f>
        <v>0</v>
      </c>
      <c r="U62" s="319" t="e">
        <f aca="false">IF($A62="N/A"," ",Volume3*$AM62)</f>
        <v>#N/A</v>
      </c>
      <c r="V62" s="320" t="e">
        <f aca="false">IF($A62="N/A"," ",$U62*(8*($BQ62))*L62)</f>
        <v>#N/A</v>
      </c>
      <c r="W62" s="320" t="e">
        <f aca="false">IF($A62="N/A"," ",$U62*(8*($BQ62))*M62)</f>
        <v>#N/A</v>
      </c>
      <c r="X62" s="320" t="e">
        <f aca="false">IF($A62="N/A"," ",$U62*(8*($BQ62))*N62)</f>
        <v>#N/A</v>
      </c>
      <c r="Y62" s="320" t="e">
        <f aca="false">IF($A62="N/A"," ",$U62*(8*($BR62))*O62)</f>
        <v>#N/A</v>
      </c>
      <c r="Z62" s="320" t="e">
        <f aca="false">IF($A62="N/A"," ",$U62*(8*($BR62))*P62)</f>
        <v>#N/A</v>
      </c>
      <c r="AA62" s="320" t="e">
        <f aca="false">IF($A62="N/A"," ",$U62*(8*($BR62))*Q62)</f>
        <v>#N/A</v>
      </c>
      <c r="AB62" s="320" t="e">
        <f aca="false">IF($A62="N/A"," ",$U62*(8*($BS62))*R62)</f>
        <v>#N/A</v>
      </c>
      <c r="AC62" s="320" t="e">
        <f aca="false">IF($A62="N/A"," ",$U62*(8*($BS62))*S62)</f>
        <v>#N/A</v>
      </c>
      <c r="AD62" s="320" t="e">
        <f aca="false">IF($A62="N/A"," ",$U62*(8*($BS62))*T62)</f>
        <v>#N/A</v>
      </c>
      <c r="AE62" s="320" t="e">
        <f aca="false">IF($A62="N/A"," ",SUM(V62:AD62))</f>
        <v>#N/A</v>
      </c>
      <c r="AF62" s="321" t="n">
        <f aca="false">IF(A62="N/A"," ",(VLOOKUP(A62,PowerVolTable,(IF(VolBMO3=2,7,IF(VolBMO3=1,6,8))),FALSE())))</f>
        <v>0.16</v>
      </c>
      <c r="AG62" s="321" t="n">
        <f aca="false">IF(A62="N/A"," ",(VLOOKUP(A62,IntraPowerVol,(IF(VolBMO3=2,3,IF(VolBMO3=1,2,4))),FALSE())*VLOOKUP(MONTH($A62),Volscale,2)))</f>
        <v>0.28</v>
      </c>
      <c r="AH62" s="321" t="n">
        <f aca="false">IF($A62="N/A"," ",IF(VolType3=1,AG62,AF62))</f>
        <v>0.28</v>
      </c>
      <c r="AI62" s="321" t="n">
        <f aca="false">IF($A62="N/A"," ",(VLOOKUP($A62,OffPwrVolTable,(IF(VolBMO3=2,7,IF(VolBMO3=1,6,8))),FALSE())))</f>
        <v>0.08</v>
      </c>
      <c r="AJ62" s="321" t="n">
        <f aca="false">IF($A62="N/A"," ",(VLOOKUP($A62,OffPwrVolTable,(IF(VolBMO3=2,3,IF(VolBMO3=1,2,4))),FALSE())*VLOOKUP(MONTH($A62),Volscale,2)))</f>
        <v>0.168</v>
      </c>
      <c r="AK62" s="321" t="n">
        <f aca="false">IF($A62="N/A"," ",IF(VolType3=1,AJ62,AI62))</f>
        <v>0.168</v>
      </c>
      <c r="AL62" s="321" t="e">
        <f aca="false">IF($A62="N/A"," ",IF(PV=1,0,'Pricing Inputs3'!R95))</f>
        <v>#N/A</v>
      </c>
      <c r="AM62" s="323" t="e">
        <f aca="false">IF($A62="N/A"," ",(1+AL62/2)^(-2*((EOMONTH(A62,0)+20)-DateToday)/365.25))</f>
        <v>#N/A</v>
      </c>
      <c r="BQ62" s="0" t="n">
        <f aca="false">IF($A62="N/A"," ",(VLOOKUP($A62,NumberofDaysTable,2)))</f>
        <v>21</v>
      </c>
      <c r="BR62" s="0" t="n">
        <f aca="false">IF($A62="N/A"," ",(VLOOKUP($A62,NumberofDaysTable,3)))</f>
        <v>4</v>
      </c>
      <c r="BS62" s="0" t="n">
        <f aca="false">IF($A62="N/A"," ",(VLOOKUP($A62,NumberofDaysTable,4)))</f>
        <v>5</v>
      </c>
    </row>
    <row r="63" customFormat="false" ht="12.75" hidden="false" customHeight="false" outlineLevel="0" collapsed="false">
      <c r="A63" s="315" t="n">
        <f aca="false">IF(A62="N/A","N/A",IF(EDATE(A62,1)&gt;Inputs!$Q$5,"N/A",EDATE(A62,1)))</f>
        <v>39052</v>
      </c>
      <c r="B63" s="316" t="n">
        <f aca="false">IF(A63="N/A"," ",YEAR(A63))</f>
        <v>2006</v>
      </c>
      <c r="C63" s="317" t="n">
        <f aca="false">IF($A63="N/A"," ",IF(Dayrun3=10,0,IF(Scaler3=1,(VLOOKUP(A63,ScaledPrice3,4)),(VLOOKUP(A63,ScaledPrice3,2)))))</f>
        <v>32.1815608739853</v>
      </c>
      <c r="D63" s="317" t="n">
        <f aca="false">IF(A63="N/A"," ",IF(Dayrun3&gt;=7,0,IF(Scaler3=2,VLOOKUP(A63,ScaledPrice3,2),(VLOOKUP(A63,ScaledPrice3,2))*(2-(VLOOKUP(A63,ScaledPrice3,3))))))</f>
        <v>32.1815608739853</v>
      </c>
      <c r="E63" s="317" t="n">
        <f aca="false">IF($A63="N/A"," ",IF(AND(Dayrun3&gt;=4,Dayrun3&lt;=9),0,VLOOKUP($A63,ScaledPrice3,9)))</f>
        <v>0</v>
      </c>
      <c r="F63" s="317" t="n">
        <f aca="false">IF(A63="N/A"," ",IF(OR(Dayrun3=2,Dayrun3=3,Dayrun3=5,Dayrun3=6,Dayrun3=8,Dayrun3=9),VLOOKUP(A63,ScaledPrice3,IF(Scaler3=1,6,5)),0))</f>
        <v>27.2900009155273</v>
      </c>
      <c r="G63" s="317" t="n">
        <f aca="false">IF(A63="N/A"," ",IF(OR(Dayrun3=2,Dayrun3=3,Dayrun3=5,Dayrun3=6),IF(Scaler3=2,F63,(VLOOKUP(A63,ScaledPrice3,5))*(2-(VLOOKUP(A63,ScaledPrice3,3)))),0))</f>
        <v>27.2900009155273</v>
      </c>
      <c r="H63" s="317" t="n">
        <f aca="false">IF($A63="N/A"," ",IF(OR(Dayrun3=2,Dayrun3=3,Dayrun3=10),VLOOKUP($A63,ScaledPrice3,9),0))</f>
        <v>0</v>
      </c>
      <c r="I63" s="317" t="n">
        <f aca="false">IF(A63="N/A"," ",IF(OR(Dayrun3=3,Dayrun3=6,Dayrun3=9),(VLOOKUP(A63,ScaledPrice3,IF(Scaler3=2,7,8))),0))</f>
        <v>21.7900009155273</v>
      </c>
      <c r="J63" s="317" t="n">
        <f aca="false">IF(A63="N/A"," ",IF(OR(Dayrun3=3,Dayrun3=6),IF(Scaler3=2,I63,(VLOOKUP(A63,ScaledPrice3,7))*(2-(VLOOKUP(A63,ScaledPrice3,3)))),0))</f>
        <v>21.7900009155273</v>
      </c>
      <c r="K63" s="317" t="n">
        <f aca="false">IF($A63="N/A"," ",IF(OR(Dayrun3=3,Dayrun3=10),VLOOKUP($A63,ScaledPrice3,9),0))</f>
        <v>0</v>
      </c>
      <c r="L63" s="318" t="n">
        <f aca="false">IF($A63="N/A"," ",IF(Pricetype3=2,MAX(C63,0),IF(OR(Pricetype3=1,Pricetype3=4),IF(C63=0,0,(EURO(C63,Strikeprice3,0,0,($AH63+IF(Smile=TRUE(),VLOOKUP(MAX(-5,Strikeprice3-C63),Volsmile,2),0)),($A63-DateToday)+15,IF(Pricetype3=1,1,0),0))),C63)))</f>
        <v>32.1815608739853</v>
      </c>
      <c r="M63" s="318" t="n">
        <f aca="false">IF($A63="N/A"," ",IF(Pricetype3=2,MAX(D63,0),IF(OR(Pricetype3=1,Pricetype3=4),IF(D63=0,0,(EURO(D63,Strikeprice3,0,0,($AH63+IF(Smile=TRUE(),VLOOKUP(MAX(-5,Strikeprice3-D63),Volsmile,2),0)),($A63-DateToday)+15,IF(Pricetype3=1,1,0),0))),D63)))</f>
        <v>32.1815608739853</v>
      </c>
      <c r="N63" s="318" t="n">
        <f aca="false">IF($A63="N/A"," ",IF(Pricetype3=2,MAX(E63,0),IF(OR(Pricetype3=1,Pricetype3=4),IF(E63=0,0,(EURO(E63,Strikeprice3,0,0,($AK63+IF(Smile=TRUE(),VLOOKUP(MAX(-5,Strikeprice3-E63),Volsmile,2),0)),($A63-DateToday)+15,IF(Pricetype3=1,1,0),0))),E63)))</f>
        <v>0</v>
      </c>
      <c r="O63" s="318" t="n">
        <f aca="false">IF($A63="N/A"," ",IF(Pricetype3=2,MAX(F63,0),IF(OR(Pricetype3=1,Pricetype3=4),IF(F63=0,0,(EURO(F63,Strikeprice3,0,0,($AK63+IF(Smile=TRUE(),VLOOKUP(MAX(-5,Strikeprice3-F63),Volsmile,2),0)),($A63-DateToday)+15,IF(Pricetype3=1,1,0),0))),F63)))</f>
        <v>27.2900009155273</v>
      </c>
      <c r="P63" s="318" t="n">
        <f aca="false">IF($A63="N/A"," ",IF(Pricetype3=2,MAX(G63,0),IF(OR(Pricetype3=1,Pricetype3=4),IF(G63=0,0,(EURO(G63,Strikeprice3,0,0,($AK63+IF(Smile=TRUE(),VLOOKUP(MAX(-5,Strikeprice3-G63),Volsmile,2),0)),($A63-DateToday)+15,IF(Pricetype3=1,1,0),0))),G63)))</f>
        <v>27.2900009155273</v>
      </c>
      <c r="Q63" s="318" t="n">
        <f aca="false">IF($A63="N/A"," ",IF(Pricetype3=2,MAX(H63,0),IF(OR(Pricetype3=1,Pricetype3=4),IF(H63=0,0,(EURO(H63,Strikeprice3,0,0,($AK63+IF(Smile=TRUE(),VLOOKUP(MAX(-5,Strikeprice3-H63),Volsmile,2),0)),($A63-DateToday)+15,IF(Pricetype3=1,1,0),0))),H63)))</f>
        <v>0</v>
      </c>
      <c r="R63" s="318" t="n">
        <f aca="false">IF($A63="N/A"," ",IF(Pricetype3=2,MAX(I63,0),IF(OR(Pricetype3=1,Pricetype3=4),IF(I63=0,0,(EURO(I63,Strikeprice3,0,0,($AK63+IF(Smile=TRUE(),VLOOKUP(MAX(-5,Strikeprice3-I63),Volsmile,2),0)),($A63-DateToday)+15,IF(Pricetype3=1,1,0),0))),I63)))</f>
        <v>21.7900009155273</v>
      </c>
      <c r="S63" s="318" t="n">
        <f aca="false">IF($A63="N/A"," ",IF(Pricetype3=2,MAX(J63,0),IF(OR(Pricetype3=1,Pricetype3=4),IF(J63=0,0,(EURO(J63,Strikeprice3,0,0,($AK63+IF(Smile=TRUE(),VLOOKUP(MAX(-5,Strikeprice3-J63),Volsmile,2),0)),($A63-DateToday)+15,IF(Pricetype3=1,1,0),0))),J63)))</f>
        <v>21.7900009155273</v>
      </c>
      <c r="T63" s="318" t="n">
        <f aca="false">IF($A63="N/A"," ",IF(Pricetype3=2,MAX(K63,0),IF(OR(Pricetype3=1,Pricetype3=4),IF(K63=0,0,(EURO(K63,Strikeprice3,0,0,($AK63+IF(Smile=TRUE(),VLOOKUP(MAX(-5,Strikeprice3-K63),Volsmile,2),0)),($A63-DateToday)+15,IF(Pricetype3=1,1,0),0))),K63)))</f>
        <v>0</v>
      </c>
      <c r="U63" s="319" t="e">
        <f aca="false">IF($A63="N/A"," ",Volume3*$AM63)</f>
        <v>#N/A</v>
      </c>
      <c r="V63" s="320" t="e">
        <f aca="false">IF($A63="N/A"," ",$U63*(8*($BQ63))*L63)</f>
        <v>#N/A</v>
      </c>
      <c r="W63" s="320" t="e">
        <f aca="false">IF($A63="N/A"," ",$U63*(8*($BQ63))*M63)</f>
        <v>#N/A</v>
      </c>
      <c r="X63" s="320" t="e">
        <f aca="false">IF($A63="N/A"," ",$U63*(8*($BQ63))*N63)</f>
        <v>#N/A</v>
      </c>
      <c r="Y63" s="320" t="e">
        <f aca="false">IF($A63="N/A"," ",$U63*(8*($BR63))*O63)</f>
        <v>#N/A</v>
      </c>
      <c r="Z63" s="320" t="e">
        <f aca="false">IF($A63="N/A"," ",$U63*(8*($BR63))*P63)</f>
        <v>#N/A</v>
      </c>
      <c r="AA63" s="320" t="e">
        <f aca="false">IF($A63="N/A"," ",$U63*(8*($BR63))*Q63)</f>
        <v>#N/A</v>
      </c>
      <c r="AB63" s="320" t="e">
        <f aca="false">IF($A63="N/A"," ",$U63*(8*($BS63))*R63)</f>
        <v>#N/A</v>
      </c>
      <c r="AC63" s="320" t="e">
        <f aca="false">IF($A63="N/A"," ",$U63*(8*($BS63))*S63)</f>
        <v>#N/A</v>
      </c>
      <c r="AD63" s="320" t="e">
        <f aca="false">IF($A63="N/A"," ",$U63*(8*($BS63))*T63)</f>
        <v>#N/A</v>
      </c>
      <c r="AE63" s="320" t="e">
        <f aca="false">IF($A63="N/A"," ",SUM(V63:AD63))</f>
        <v>#N/A</v>
      </c>
      <c r="AF63" s="321" t="n">
        <f aca="false">IF(A63="N/A"," ",(VLOOKUP(A63,PowerVolTable,(IF(VolBMO3=2,7,IF(VolBMO3=1,6,8))),FALSE())))</f>
        <v>0.16</v>
      </c>
      <c r="AG63" s="321" t="n">
        <f aca="false">IF(A63="N/A"," ",(VLOOKUP(A63,IntraPowerVol,(IF(VolBMO3=2,3,IF(VolBMO3=1,2,4))),FALSE())*VLOOKUP(MONTH($A63),Volscale,2)))</f>
        <v>0.28</v>
      </c>
      <c r="AH63" s="321" t="n">
        <f aca="false">IF($A63="N/A"," ",IF(VolType3=1,AG63,AF63))</f>
        <v>0.28</v>
      </c>
      <c r="AI63" s="321" t="n">
        <f aca="false">IF($A63="N/A"," ",(VLOOKUP($A63,OffPwrVolTable,(IF(VolBMO3=2,7,IF(VolBMO3=1,6,8))),FALSE())))</f>
        <v>0.08</v>
      </c>
      <c r="AJ63" s="321" t="n">
        <f aca="false">IF($A63="N/A"," ",(VLOOKUP($A63,OffPwrVolTable,(IF(VolBMO3=2,3,IF(VolBMO3=1,2,4))),FALSE())*VLOOKUP(MONTH($A63),Volscale,2)))</f>
        <v>0.168</v>
      </c>
      <c r="AK63" s="321" t="n">
        <f aca="false">IF($A63="N/A"," ",IF(VolType3=1,AJ63,AI63))</f>
        <v>0.168</v>
      </c>
      <c r="AL63" s="321" t="e">
        <f aca="false">IF($A63="N/A"," ",IF(PV=1,0,'Pricing Inputs3'!R96))</f>
        <v>#N/A</v>
      </c>
      <c r="AM63" s="323" t="e">
        <f aca="false">IF($A63="N/A"," ",(1+AL63/2)^(-2*((EOMONTH(A63,0)+20)-DateToday)/365.25))</f>
        <v>#N/A</v>
      </c>
      <c r="BQ63" s="0" t="n">
        <f aca="false">IF($A63="N/A"," ",(VLOOKUP($A63,NumberofDaysTable,2)))</f>
        <v>20</v>
      </c>
      <c r="BR63" s="0" t="n">
        <f aca="false">IF($A63="N/A"," ",(VLOOKUP($A63,NumberofDaysTable,3)))</f>
        <v>5</v>
      </c>
      <c r="BS63" s="0" t="n">
        <f aca="false">IF($A63="N/A"," ",(VLOOKUP($A63,NumberofDaysTable,4)))</f>
        <v>6</v>
      </c>
    </row>
    <row r="64" customFormat="false" ht="12.75" hidden="false" customHeight="false" outlineLevel="0" collapsed="false">
      <c r="A64" s="315" t="str">
        <f aca="false">IF(A63="N/A","N/A",IF(EDATE(A63,1)&gt;Inputs!$Q$5,"N/A",EDATE(A63,1)))</f>
        <v>N/A</v>
      </c>
      <c r="B64" s="316" t="str">
        <f aca="false">IF(A64="N/A"," ",YEAR(A64))</f>
        <v> </v>
      </c>
      <c r="C64" s="317" t="str">
        <f aca="false">IF($A64="N/A"," ",IF(Dayrun3=10,0,IF(Scaler3=1,(VLOOKUP(A64,ScaledPrice3,4)),(VLOOKUP(A64,ScaledPrice3,2)))))</f>
        <v> </v>
      </c>
      <c r="D64" s="317" t="str">
        <f aca="false">IF(A64="N/A"," ",IF(Dayrun3&gt;=7,0,IF(Scaler3=2,VLOOKUP(A64,ScaledPrice3,2),(VLOOKUP(A64,ScaledPrice3,2))*(2-(VLOOKUP(A64,ScaledPrice3,3))))))</f>
        <v> </v>
      </c>
      <c r="E64" s="317" t="str">
        <f aca="false">IF($A64="N/A"," ",IF(AND(Dayrun3&gt;=4,Dayrun3&lt;=9),0,VLOOKUP($A64,ScaledPrice3,9)))</f>
        <v> </v>
      </c>
      <c r="F64" s="317" t="str">
        <f aca="false">IF(A64="N/A"," ",IF(OR(Dayrun3=2,Dayrun3=3,Dayrun3=5,Dayrun3=6,Dayrun3=8,Dayrun3=9),VLOOKUP(A64,ScaledPrice3,IF(Scaler3=1,6,5)),0))</f>
        <v> </v>
      </c>
      <c r="G64" s="317" t="str">
        <f aca="false">IF(A64="N/A"," ",IF(OR(Dayrun3=2,Dayrun3=3,Dayrun3=5,Dayrun3=6),IF(Scaler3=2,F64,(VLOOKUP(A64,ScaledPrice3,5))*(2-(VLOOKUP(A64,ScaledPrice3,3)))),0))</f>
        <v> </v>
      </c>
      <c r="H64" s="317" t="str">
        <f aca="false">IF($A64="N/A"," ",IF(OR(Dayrun3=2,Dayrun3=3,Dayrun3=10),VLOOKUP($A64,ScaledPrice3,9),0))</f>
        <v> </v>
      </c>
      <c r="I64" s="317" t="str">
        <f aca="false">IF(A64="N/A"," ",IF(OR(Dayrun3=3,Dayrun3=6,Dayrun3=9),(VLOOKUP(A64,ScaledPrice3,IF(Scaler3=2,7,8))),0))</f>
        <v> </v>
      </c>
      <c r="J64" s="317" t="str">
        <f aca="false">IF(A64="N/A"," ",IF(OR(Dayrun3=3,Dayrun3=6),IF(Scaler3=2,I64,(VLOOKUP(A64,ScaledPrice3,7))*(2-(VLOOKUP(A64,ScaledPrice3,3)))),0))</f>
        <v> </v>
      </c>
      <c r="K64" s="317" t="str">
        <f aca="false">IF($A64="N/A"," ",IF(OR(Dayrun3=3,Dayrun3=10),VLOOKUP($A64,ScaledPrice3,9),0))</f>
        <v> </v>
      </c>
      <c r="L64" s="318" t="str">
        <f aca="false">IF($A64="N/A"," ",IF(Pricetype3=2,MAX(C64,0),IF(OR(Pricetype3=1,Pricetype3=4),IF(C64=0,0,(EURO(C64,Strikeprice3,0,0,($AH64+IF(Smile=TRUE(),VLOOKUP(MAX(-5,Strikeprice3-C64),Volsmile,2),0)),($A64-DateToday)+15,IF(Pricetype3=1,1,0),0))),C64)))</f>
        <v> </v>
      </c>
      <c r="M64" s="318" t="str">
        <f aca="false">IF($A64="N/A"," ",IF(Pricetype3=2,MAX(D64,0),IF(OR(Pricetype3=1,Pricetype3=4),IF(D64=0,0,(EURO(D64,Strikeprice3,0,0,($AH64+IF(Smile=TRUE(),VLOOKUP(MAX(-5,Strikeprice3-D64),Volsmile,2),0)),($A64-DateToday)+15,IF(Pricetype3=1,1,0),0))),D64)))</f>
        <v> </v>
      </c>
      <c r="N64" s="318" t="str">
        <f aca="false">IF($A64="N/A"," ",IF(Pricetype3=2,MAX(E64,0),IF(OR(Pricetype3=1,Pricetype3=4),IF(E64=0,0,(EURO(E64,Strikeprice3,0,0,($AK64+IF(Smile=TRUE(),VLOOKUP(MAX(-5,Strikeprice3-E64),Volsmile,2),0)),($A64-DateToday)+15,IF(Pricetype3=1,1,0),0))),E64)))</f>
        <v> </v>
      </c>
      <c r="O64" s="318" t="str">
        <f aca="false">IF($A64="N/A"," ",IF(Pricetype3=2,MAX(F64,0),IF(OR(Pricetype3=1,Pricetype3=4),IF(F64=0,0,(EURO(F64,Strikeprice3,0,0,($AK64+IF(Smile=TRUE(),VLOOKUP(MAX(-5,Strikeprice3-F64),Volsmile,2),0)),($A64-DateToday)+15,IF(Pricetype3=1,1,0),0))),F64)))</f>
        <v> </v>
      </c>
      <c r="P64" s="318" t="str">
        <f aca="false">IF($A64="N/A"," ",IF(Pricetype3=2,MAX(G64,0),IF(OR(Pricetype3=1,Pricetype3=4),IF(G64=0,0,(EURO(G64,Strikeprice3,0,0,($AK64+IF(Smile=TRUE(),VLOOKUP(MAX(-5,Strikeprice3-G64),Volsmile,2),0)),($A64-DateToday)+15,IF(Pricetype3=1,1,0),0))),G64)))</f>
        <v> </v>
      </c>
      <c r="Q64" s="318" t="str">
        <f aca="false">IF($A64="N/A"," ",IF(Pricetype3=2,MAX(H64,0),IF(OR(Pricetype3=1,Pricetype3=4),IF(H64=0,0,(EURO(H64,Strikeprice3,0,0,($AK64+IF(Smile=TRUE(),VLOOKUP(MAX(-5,Strikeprice3-H64),Volsmile,2),0)),($A64-DateToday)+15,IF(Pricetype3=1,1,0),0))),H64)))</f>
        <v> </v>
      </c>
      <c r="R64" s="318" t="str">
        <f aca="false">IF($A64="N/A"," ",IF(Pricetype3=2,MAX(I64,0),IF(OR(Pricetype3=1,Pricetype3=4),IF(I64=0,0,(EURO(I64,Strikeprice3,0,0,($AK64+IF(Smile=TRUE(),VLOOKUP(MAX(-5,Strikeprice3-I64),Volsmile,2),0)),($A64-DateToday)+15,IF(Pricetype3=1,1,0),0))),I64)))</f>
        <v> </v>
      </c>
      <c r="S64" s="318" t="str">
        <f aca="false">IF($A64="N/A"," ",IF(Pricetype3=2,MAX(J64,0),IF(OR(Pricetype3=1,Pricetype3=4),IF(J64=0,0,(EURO(J64,Strikeprice3,0,0,($AK64+IF(Smile=TRUE(),VLOOKUP(MAX(-5,Strikeprice3-J64),Volsmile,2),0)),($A64-DateToday)+15,IF(Pricetype3=1,1,0),0))),J64)))</f>
        <v> </v>
      </c>
      <c r="T64" s="318" t="str">
        <f aca="false">IF($A64="N/A"," ",IF(Pricetype3=2,MAX(K64,0),IF(OR(Pricetype3=1,Pricetype3=4),IF(K64=0,0,(EURO(K64,Strikeprice3,0,0,($AK64+IF(Smile=TRUE(),VLOOKUP(MAX(-5,Strikeprice3-K64),Volsmile,2),0)),($A64-DateToday)+15,IF(Pricetype3=1,1,0),0))),K64)))</f>
        <v> </v>
      </c>
      <c r="U64" s="319" t="str">
        <f aca="false">IF($A64="N/A"," ",Volume3*$AM64)</f>
        <v> </v>
      </c>
      <c r="V64" s="320" t="str">
        <f aca="false">IF($A64="N/A"," ",$U64*(8*($BQ64))*L64)</f>
        <v> </v>
      </c>
      <c r="W64" s="320" t="str">
        <f aca="false">IF($A64="N/A"," ",$U64*(8*($BQ64))*M64)</f>
        <v> </v>
      </c>
      <c r="X64" s="320" t="str">
        <f aca="false">IF($A64="N/A"," ",$U64*(8*($BQ64))*N64)</f>
        <v> </v>
      </c>
      <c r="Y64" s="320" t="str">
        <f aca="false">IF($A64="N/A"," ",$U64*(8*($BR64))*O64)</f>
        <v> </v>
      </c>
      <c r="Z64" s="320" t="str">
        <f aca="false">IF($A64="N/A"," ",$U64*(8*($BR64))*P64)</f>
        <v> </v>
      </c>
      <c r="AA64" s="320" t="str">
        <f aca="false">IF($A64="N/A"," ",$U64*(8*($BR64))*Q64)</f>
        <v> </v>
      </c>
      <c r="AB64" s="320" t="str">
        <f aca="false">IF($A64="N/A"," ",$U64*(8*($BS64))*R64)</f>
        <v> </v>
      </c>
      <c r="AC64" s="320" t="str">
        <f aca="false">IF($A64="N/A"," ",$U64*(8*($BS64))*S64)</f>
        <v> </v>
      </c>
      <c r="AD64" s="320" t="str">
        <f aca="false">IF($A64="N/A"," ",$U64*(8*($BS64))*T64)</f>
        <v> </v>
      </c>
      <c r="AE64" s="320" t="str">
        <f aca="false">IF($A64="N/A"," ",SUM(V64:AD64))</f>
        <v> </v>
      </c>
      <c r="AF64" s="321" t="str">
        <f aca="false">IF(A64="N/A"," ",(VLOOKUP(A64,PowerVolTable,(IF(VolBMO3=2,7,IF(VolBMO3=1,6,8))),FALSE())))</f>
        <v> </v>
      </c>
      <c r="AG64" s="321" t="str">
        <f aca="false">IF(A64="N/A"," ",(VLOOKUP(A64,IntraPowerVol,(IF(VolBMO3=2,3,IF(VolBMO3=1,2,4))),FALSE())*VLOOKUP(MONTH($A64),Volscale,2)))</f>
        <v> </v>
      </c>
      <c r="AH64" s="321" t="str">
        <f aca="false">IF($A64="N/A"," ",IF(VolType3=1,AG64,AF64))</f>
        <v> </v>
      </c>
      <c r="AI64" s="321" t="str">
        <f aca="false">IF($A64="N/A"," ",(VLOOKUP($A64,OffPwrVolTable,(IF(VolBMO3=2,7,IF(VolBMO3=1,6,8))),FALSE())))</f>
        <v> </v>
      </c>
      <c r="AJ64" s="321" t="str">
        <f aca="false">IF($A64="N/A"," ",(VLOOKUP($A64,OffPwrVolTable,(IF(VolBMO3=2,3,IF(VolBMO3=1,2,4))),FALSE())*VLOOKUP(MONTH($A64),Volscale,2)))</f>
        <v> </v>
      </c>
      <c r="AK64" s="321" t="str">
        <f aca="false">IF($A64="N/A"," ",IF(VolType3=1,AJ64,AI64))</f>
        <v> </v>
      </c>
      <c r="AL64" s="321" t="str">
        <f aca="false">IF($A64="N/A"," ",IF(PV=1,0,'Pricing Inputs3'!R97))</f>
        <v> </v>
      </c>
      <c r="AM64" s="323" t="str">
        <f aca="false">IF($A64="N/A"," ",(1+AL64/2)^(-2*((EOMONTH(A64,0)+20)-DateToday)/365.25))</f>
        <v> </v>
      </c>
      <c r="BQ64" s="0" t="str">
        <f aca="false">IF($A64="N/A"," ",(VLOOKUP($A64,NumberofDaysTable,2)))</f>
        <v> </v>
      </c>
      <c r="BR64" s="0" t="str">
        <f aca="false">IF($A64="N/A"," ",(VLOOKUP($A64,NumberofDaysTable,3)))</f>
        <v> </v>
      </c>
      <c r="BS64" s="0" t="str">
        <f aca="false">IF($A64="N/A"," ",(VLOOKUP($A64,NumberofDaysTable,4)))</f>
        <v> </v>
      </c>
    </row>
    <row r="65" customFormat="false" ht="12.75" hidden="false" customHeight="false" outlineLevel="0" collapsed="false">
      <c r="A65" s="315" t="str">
        <f aca="false">IF(A64="N/A","N/A",IF(EDATE(A64,1)&gt;Inputs!$Q$5,"N/A",EDATE(A64,1)))</f>
        <v>N/A</v>
      </c>
      <c r="B65" s="316" t="str">
        <f aca="false">IF(A65="N/A"," ",YEAR(A65))</f>
        <v> </v>
      </c>
      <c r="C65" s="317" t="str">
        <f aca="false">IF($A65="N/A"," ",IF(Dayrun3=10,0,IF(Scaler3=1,(VLOOKUP(A65,ScaledPrice3,4)),(VLOOKUP(A65,ScaledPrice3,2)))))</f>
        <v> </v>
      </c>
      <c r="D65" s="317" t="str">
        <f aca="false">IF(A65="N/A"," ",IF(Dayrun3&gt;=7,0,IF(Scaler3=2,VLOOKUP(A65,ScaledPrice3,2),(VLOOKUP(A65,ScaledPrice3,2))*(2-(VLOOKUP(A65,ScaledPrice3,3))))))</f>
        <v> </v>
      </c>
      <c r="E65" s="317" t="str">
        <f aca="false">IF($A65="N/A"," ",IF(AND(Dayrun3&gt;=4,Dayrun3&lt;=9),0,VLOOKUP($A65,ScaledPrice3,9)))</f>
        <v> </v>
      </c>
      <c r="F65" s="317" t="str">
        <f aca="false">IF(A65="N/A"," ",IF(OR(Dayrun3=2,Dayrun3=3,Dayrun3=5,Dayrun3=6,Dayrun3=8,Dayrun3=9),VLOOKUP(A65,ScaledPrice3,IF(Scaler3=1,6,5)),0))</f>
        <v> </v>
      </c>
      <c r="G65" s="317" t="str">
        <f aca="false">IF(A65="N/A"," ",IF(OR(Dayrun3=2,Dayrun3=3,Dayrun3=5,Dayrun3=6),IF(Scaler3=2,F65,(VLOOKUP(A65,ScaledPrice3,5))*(2-(VLOOKUP(A65,ScaledPrice3,3)))),0))</f>
        <v> </v>
      </c>
      <c r="H65" s="317" t="str">
        <f aca="false">IF($A65="N/A"," ",IF(OR(Dayrun3=2,Dayrun3=3,Dayrun3=10),VLOOKUP($A65,ScaledPrice3,9),0))</f>
        <v> </v>
      </c>
      <c r="I65" s="317" t="str">
        <f aca="false">IF(A65="N/A"," ",IF(OR(Dayrun3=3,Dayrun3=6,Dayrun3=9),(VLOOKUP(A65,ScaledPrice3,IF(Scaler3=2,7,8))),0))</f>
        <v> </v>
      </c>
      <c r="J65" s="317" t="str">
        <f aca="false">IF(A65="N/A"," ",IF(OR(Dayrun3=3,Dayrun3=6),IF(Scaler3=2,I65,(VLOOKUP(A65,ScaledPrice3,7))*(2-(VLOOKUP(A65,ScaledPrice3,3)))),0))</f>
        <v> </v>
      </c>
      <c r="K65" s="317" t="str">
        <f aca="false">IF($A65="N/A"," ",IF(OR(Dayrun3=3,Dayrun3=10),VLOOKUP($A65,ScaledPrice3,9),0))</f>
        <v> </v>
      </c>
      <c r="L65" s="318" t="str">
        <f aca="false">IF($A65="N/A"," ",IF(Pricetype3=2,MAX(C65,0),IF(OR(Pricetype3=1,Pricetype3=4),IF(C65=0,0,(EURO(C65,Strikeprice3,0,0,($AH65+IF(Smile=TRUE(),VLOOKUP(MAX(-5,Strikeprice3-C65),Volsmile,2),0)),($A65-DateToday)+15,IF(Pricetype3=1,1,0),0))),C65)))</f>
        <v> </v>
      </c>
      <c r="M65" s="318" t="str">
        <f aca="false">IF($A65="N/A"," ",IF(Pricetype3=2,MAX(D65,0),IF(OR(Pricetype3=1,Pricetype3=4),IF(D65=0,0,(EURO(D65,Strikeprice3,0,0,($AH65+IF(Smile=TRUE(),VLOOKUP(MAX(-5,Strikeprice3-D65),Volsmile,2),0)),($A65-DateToday)+15,IF(Pricetype3=1,1,0),0))),D65)))</f>
        <v> </v>
      </c>
      <c r="N65" s="318" t="str">
        <f aca="false">IF($A65="N/A"," ",IF(Pricetype3=2,MAX(E65,0),IF(OR(Pricetype3=1,Pricetype3=4),IF(E65=0,0,(EURO(E65,Strikeprice3,0,0,($AK65+IF(Smile=TRUE(),VLOOKUP(MAX(-5,Strikeprice3-E65),Volsmile,2),0)),($A65-DateToday)+15,IF(Pricetype3=1,1,0),0))),E65)))</f>
        <v> </v>
      </c>
      <c r="O65" s="318" t="str">
        <f aca="false">IF($A65="N/A"," ",IF(Pricetype3=2,MAX(F65,0),IF(OR(Pricetype3=1,Pricetype3=4),IF(F65=0,0,(EURO(F65,Strikeprice3,0,0,($AK65+IF(Smile=TRUE(),VLOOKUP(MAX(-5,Strikeprice3-F65),Volsmile,2),0)),($A65-DateToday)+15,IF(Pricetype3=1,1,0),0))),F65)))</f>
        <v> </v>
      </c>
      <c r="P65" s="318" t="str">
        <f aca="false">IF($A65="N/A"," ",IF(Pricetype3=2,MAX(G65,0),IF(OR(Pricetype3=1,Pricetype3=4),IF(G65=0,0,(EURO(G65,Strikeprice3,0,0,($AK65+IF(Smile=TRUE(),VLOOKUP(MAX(-5,Strikeprice3-G65),Volsmile,2),0)),($A65-DateToday)+15,IF(Pricetype3=1,1,0),0))),G65)))</f>
        <v> </v>
      </c>
      <c r="Q65" s="318" t="str">
        <f aca="false">IF($A65="N/A"," ",IF(Pricetype3=2,MAX(H65,0),IF(OR(Pricetype3=1,Pricetype3=4),IF(H65=0,0,(EURO(H65,Strikeprice3,0,0,($AK65+IF(Smile=TRUE(),VLOOKUP(MAX(-5,Strikeprice3-H65),Volsmile,2),0)),($A65-DateToday)+15,IF(Pricetype3=1,1,0),0))),H65)))</f>
        <v> </v>
      </c>
      <c r="R65" s="318" t="str">
        <f aca="false">IF($A65="N/A"," ",IF(Pricetype3=2,MAX(I65,0),IF(OR(Pricetype3=1,Pricetype3=4),IF(I65=0,0,(EURO(I65,Strikeprice3,0,0,($AK65+IF(Smile=TRUE(),VLOOKUP(MAX(-5,Strikeprice3-I65),Volsmile,2),0)),($A65-DateToday)+15,IF(Pricetype3=1,1,0),0))),I65)))</f>
        <v> </v>
      </c>
      <c r="S65" s="318" t="str">
        <f aca="false">IF($A65="N/A"," ",IF(Pricetype3=2,MAX(J65,0),IF(OR(Pricetype3=1,Pricetype3=4),IF(J65=0,0,(EURO(J65,Strikeprice3,0,0,($AK65+IF(Smile=TRUE(),VLOOKUP(MAX(-5,Strikeprice3-J65),Volsmile,2),0)),($A65-DateToday)+15,IF(Pricetype3=1,1,0),0))),J65)))</f>
        <v> </v>
      </c>
      <c r="T65" s="318" t="str">
        <f aca="false">IF($A65="N/A"," ",IF(Pricetype3=2,MAX(K65,0),IF(OR(Pricetype3=1,Pricetype3=4),IF(K65=0,0,(EURO(K65,Strikeprice3,0,0,($AK65+IF(Smile=TRUE(),VLOOKUP(MAX(-5,Strikeprice3-K65),Volsmile,2),0)),($A65-DateToday)+15,IF(Pricetype3=1,1,0),0))),K65)))</f>
        <v> </v>
      </c>
      <c r="U65" s="319" t="str">
        <f aca="false">IF($A65="N/A"," ",Volume3*$AM65)</f>
        <v> </v>
      </c>
      <c r="V65" s="320" t="str">
        <f aca="false">IF($A65="N/A"," ",$U65*(8*($BQ65))*L65)</f>
        <v> </v>
      </c>
      <c r="W65" s="320" t="str">
        <f aca="false">IF($A65="N/A"," ",$U65*(8*($BQ65))*M65)</f>
        <v> </v>
      </c>
      <c r="X65" s="320" t="str">
        <f aca="false">IF($A65="N/A"," ",$U65*(8*($BQ65))*N65)</f>
        <v> </v>
      </c>
      <c r="Y65" s="320" t="str">
        <f aca="false">IF($A65="N/A"," ",$U65*(8*($BR65))*O65)</f>
        <v> </v>
      </c>
      <c r="Z65" s="320" t="str">
        <f aca="false">IF($A65="N/A"," ",$U65*(8*($BR65))*P65)</f>
        <v> </v>
      </c>
      <c r="AA65" s="320" t="str">
        <f aca="false">IF($A65="N/A"," ",$U65*(8*($BR65))*Q65)</f>
        <v> </v>
      </c>
      <c r="AB65" s="320" t="str">
        <f aca="false">IF($A65="N/A"," ",$U65*(8*($BS65))*R65)</f>
        <v> </v>
      </c>
      <c r="AC65" s="320" t="str">
        <f aca="false">IF($A65="N/A"," ",$U65*(8*($BS65))*S65)</f>
        <v> </v>
      </c>
      <c r="AD65" s="320" t="str">
        <f aca="false">IF($A65="N/A"," ",$U65*(8*($BS65))*T65)</f>
        <v> </v>
      </c>
      <c r="AE65" s="320" t="str">
        <f aca="false">IF($A65="N/A"," ",SUM(V65:AD65))</f>
        <v> </v>
      </c>
      <c r="AF65" s="321" t="str">
        <f aca="false">IF(A65="N/A"," ",(VLOOKUP(A65,PowerVolTable,(IF(VolBMO3=2,7,IF(VolBMO3=1,6,8))),FALSE())))</f>
        <v> </v>
      </c>
      <c r="AG65" s="321" t="str">
        <f aca="false">IF(A65="N/A"," ",(VLOOKUP(A65,IntraPowerVol,(IF(VolBMO3=2,3,IF(VolBMO3=1,2,4))),FALSE())*VLOOKUP(MONTH($A65),Volscale,2)))</f>
        <v> </v>
      </c>
      <c r="AH65" s="321" t="str">
        <f aca="false">IF($A65="N/A"," ",IF(VolType3=1,AG65,AF65))</f>
        <v> </v>
      </c>
      <c r="AI65" s="321" t="str">
        <f aca="false">IF($A65="N/A"," ",(VLOOKUP($A65,OffPwrVolTable,(IF(VolBMO3=2,7,IF(VolBMO3=1,6,8))),FALSE())))</f>
        <v> </v>
      </c>
      <c r="AJ65" s="321" t="str">
        <f aca="false">IF($A65="N/A"," ",(VLOOKUP($A65,OffPwrVolTable,(IF(VolBMO3=2,3,IF(VolBMO3=1,2,4))),FALSE())*VLOOKUP(MONTH($A65),Volscale,2)))</f>
        <v> </v>
      </c>
      <c r="AK65" s="321" t="str">
        <f aca="false">IF($A65="N/A"," ",IF(VolType3=1,AJ65,AI65))</f>
        <v> </v>
      </c>
      <c r="AL65" s="321" t="str">
        <f aca="false">IF($A65="N/A"," ",IF(PV=1,0,'Pricing Inputs3'!R98))</f>
        <v> </v>
      </c>
      <c r="AM65" s="323" t="str">
        <f aca="false">IF($A65="N/A"," ",(1+AL65/2)^(-2*((EOMONTH(A65,0)+20)-DateToday)/365.25))</f>
        <v> </v>
      </c>
      <c r="BQ65" s="0" t="str">
        <f aca="false">IF($A65="N/A"," ",(VLOOKUP($A65,NumberofDaysTable,2)))</f>
        <v> </v>
      </c>
      <c r="BR65" s="0" t="str">
        <f aca="false">IF($A65="N/A"," ",(VLOOKUP($A65,NumberofDaysTable,3)))</f>
        <v> </v>
      </c>
      <c r="BS65" s="0" t="str">
        <f aca="false">IF($A65="N/A"," ",(VLOOKUP($A65,NumberofDaysTable,4)))</f>
        <v> </v>
      </c>
    </row>
    <row r="66" customFormat="false" ht="12.75" hidden="false" customHeight="false" outlineLevel="0" collapsed="false">
      <c r="A66" s="315" t="str">
        <f aca="false">IF(A65="N/A","N/A",IF(EDATE(A65,1)&gt;Inputs!$Q$5,"N/A",EDATE(A65,1)))</f>
        <v>N/A</v>
      </c>
      <c r="B66" s="316" t="str">
        <f aca="false">IF(A66="N/A"," ",YEAR(A66))</f>
        <v> </v>
      </c>
      <c r="C66" s="317" t="str">
        <f aca="false">IF($A66="N/A"," ",IF(Dayrun3=10,0,IF(Scaler3=1,(VLOOKUP(A66,ScaledPrice3,4)),(VLOOKUP(A66,ScaledPrice3,2)))))</f>
        <v> </v>
      </c>
      <c r="D66" s="317" t="str">
        <f aca="false">IF(A66="N/A"," ",IF(Dayrun3&gt;=7,0,IF(Scaler3=2,VLOOKUP(A66,ScaledPrice3,2),(VLOOKUP(A66,ScaledPrice3,2))*(2-(VLOOKUP(A66,ScaledPrice3,3))))))</f>
        <v> </v>
      </c>
      <c r="E66" s="317" t="str">
        <f aca="false">IF($A66="N/A"," ",IF(AND(Dayrun3&gt;=4,Dayrun3&lt;=9),0,VLOOKUP($A66,ScaledPrice3,9)))</f>
        <v> </v>
      </c>
      <c r="F66" s="317" t="str">
        <f aca="false">IF(A66="N/A"," ",IF(OR(Dayrun3=2,Dayrun3=3,Dayrun3=5,Dayrun3=6,Dayrun3=8,Dayrun3=9),VLOOKUP(A66,ScaledPrice3,IF(Scaler3=1,6,5)),0))</f>
        <v> </v>
      </c>
      <c r="G66" s="317" t="str">
        <f aca="false">IF(A66="N/A"," ",IF(OR(Dayrun3=2,Dayrun3=3,Dayrun3=5,Dayrun3=6),IF(Scaler3=2,F66,(VLOOKUP(A66,ScaledPrice3,5))*(2-(VLOOKUP(A66,ScaledPrice3,3)))),0))</f>
        <v> </v>
      </c>
      <c r="H66" s="317" t="str">
        <f aca="false">IF($A66="N/A"," ",IF(OR(Dayrun3=2,Dayrun3=3,Dayrun3=10),VLOOKUP($A66,ScaledPrice3,9),0))</f>
        <v> </v>
      </c>
      <c r="I66" s="317" t="str">
        <f aca="false">IF(A66="N/A"," ",IF(OR(Dayrun3=3,Dayrun3=6,Dayrun3=9),(VLOOKUP(A66,ScaledPrice3,IF(Scaler3=2,7,8))),0))</f>
        <v> </v>
      </c>
      <c r="J66" s="317" t="str">
        <f aca="false">IF(A66="N/A"," ",IF(OR(Dayrun3=3,Dayrun3=6),IF(Scaler3=2,I66,(VLOOKUP(A66,ScaledPrice3,7))*(2-(VLOOKUP(A66,ScaledPrice3,3)))),0))</f>
        <v> </v>
      </c>
      <c r="K66" s="317" t="str">
        <f aca="false">IF($A66="N/A"," ",IF(OR(Dayrun3=3,Dayrun3=10),VLOOKUP($A66,ScaledPrice3,9),0))</f>
        <v> </v>
      </c>
      <c r="L66" s="318" t="str">
        <f aca="false">IF($A66="N/A"," ",IF(Pricetype3=2,MAX(C66,0),IF(OR(Pricetype3=1,Pricetype3=4),IF(C66=0,0,(EURO(C66,Strikeprice3,0,0,($AH66+IF(Smile=TRUE(),VLOOKUP(MAX(-5,Strikeprice3-C66),Volsmile,2),0)),($A66-DateToday)+15,IF(Pricetype3=1,1,0),0))),C66)))</f>
        <v> </v>
      </c>
      <c r="M66" s="318" t="str">
        <f aca="false">IF($A66="N/A"," ",IF(Pricetype3=2,MAX(D66,0),IF(OR(Pricetype3=1,Pricetype3=4),IF(D66=0,0,(EURO(D66,Strikeprice3,0,0,($AH66+IF(Smile=TRUE(),VLOOKUP(MAX(-5,Strikeprice3-D66),Volsmile,2),0)),($A66-DateToday)+15,IF(Pricetype3=1,1,0),0))),D66)))</f>
        <v> </v>
      </c>
      <c r="N66" s="318" t="str">
        <f aca="false">IF($A66="N/A"," ",IF(Pricetype3=2,MAX(E66,0),IF(OR(Pricetype3=1,Pricetype3=4),IF(E66=0,0,(EURO(E66,Strikeprice3,0,0,($AK66+IF(Smile=TRUE(),VLOOKUP(MAX(-5,Strikeprice3-E66),Volsmile,2),0)),($A66-DateToday)+15,IF(Pricetype3=1,1,0),0))),E66)))</f>
        <v> </v>
      </c>
      <c r="O66" s="318" t="str">
        <f aca="false">IF($A66="N/A"," ",IF(Pricetype3=2,MAX(F66,0),IF(OR(Pricetype3=1,Pricetype3=4),IF(F66=0,0,(EURO(F66,Strikeprice3,0,0,($AK66+IF(Smile=TRUE(),VLOOKUP(MAX(-5,Strikeprice3-F66),Volsmile,2),0)),($A66-DateToday)+15,IF(Pricetype3=1,1,0),0))),F66)))</f>
        <v> </v>
      </c>
      <c r="P66" s="318" t="str">
        <f aca="false">IF($A66="N/A"," ",IF(Pricetype3=2,MAX(G66,0),IF(OR(Pricetype3=1,Pricetype3=4),IF(G66=0,0,(EURO(G66,Strikeprice3,0,0,($AK66+IF(Smile=TRUE(),VLOOKUP(MAX(-5,Strikeprice3-G66),Volsmile,2),0)),($A66-DateToday)+15,IF(Pricetype3=1,1,0),0))),G66)))</f>
        <v> </v>
      </c>
      <c r="Q66" s="318" t="str">
        <f aca="false">IF($A66="N/A"," ",IF(Pricetype3=2,MAX(H66,0),IF(OR(Pricetype3=1,Pricetype3=4),IF(H66=0,0,(EURO(H66,Strikeprice3,0,0,($AK66+IF(Smile=TRUE(),VLOOKUP(MAX(-5,Strikeprice3-H66),Volsmile,2),0)),($A66-DateToday)+15,IF(Pricetype3=1,1,0),0))),H66)))</f>
        <v> </v>
      </c>
      <c r="R66" s="318" t="str">
        <f aca="false">IF($A66="N/A"," ",IF(Pricetype3=2,MAX(I66,0),IF(OR(Pricetype3=1,Pricetype3=4),IF(I66=0,0,(EURO(I66,Strikeprice3,0,0,($AK66+IF(Smile=TRUE(),VLOOKUP(MAX(-5,Strikeprice3-I66),Volsmile,2),0)),($A66-DateToday)+15,IF(Pricetype3=1,1,0),0))),I66)))</f>
        <v> </v>
      </c>
      <c r="S66" s="318" t="str">
        <f aca="false">IF($A66="N/A"," ",IF(Pricetype3=2,MAX(J66,0),IF(OR(Pricetype3=1,Pricetype3=4),IF(J66=0,0,(EURO(J66,Strikeprice3,0,0,($AK66+IF(Smile=TRUE(),VLOOKUP(MAX(-5,Strikeprice3-J66),Volsmile,2),0)),($A66-DateToday)+15,IF(Pricetype3=1,1,0),0))),J66)))</f>
        <v> </v>
      </c>
      <c r="T66" s="318" t="str">
        <f aca="false">IF($A66="N/A"," ",IF(Pricetype3=2,MAX(K66,0),IF(OR(Pricetype3=1,Pricetype3=4),IF(K66=0,0,(EURO(K66,Strikeprice3,0,0,($AK66+IF(Smile=TRUE(),VLOOKUP(MAX(-5,Strikeprice3-K66),Volsmile,2),0)),($A66-DateToday)+15,IF(Pricetype3=1,1,0),0))),K66)))</f>
        <v> </v>
      </c>
      <c r="U66" s="319" t="str">
        <f aca="false">IF($A66="N/A"," ",Volume3*$AM66)</f>
        <v> </v>
      </c>
      <c r="V66" s="320" t="str">
        <f aca="false">IF($A66="N/A"," ",$U66*(8*($BQ66))*L66)</f>
        <v> </v>
      </c>
      <c r="W66" s="320" t="str">
        <f aca="false">IF($A66="N/A"," ",$U66*(8*($BQ66))*M66)</f>
        <v> </v>
      </c>
      <c r="X66" s="320" t="str">
        <f aca="false">IF($A66="N/A"," ",$U66*(8*($BQ66))*N66)</f>
        <v> </v>
      </c>
      <c r="Y66" s="320" t="str">
        <f aca="false">IF($A66="N/A"," ",$U66*(8*($BR66))*O66)</f>
        <v> </v>
      </c>
      <c r="Z66" s="320" t="str">
        <f aca="false">IF($A66="N/A"," ",$U66*(8*($BR66))*P66)</f>
        <v> </v>
      </c>
      <c r="AA66" s="320" t="str">
        <f aca="false">IF($A66="N/A"," ",$U66*(8*($BR66))*Q66)</f>
        <v> </v>
      </c>
      <c r="AB66" s="320" t="str">
        <f aca="false">IF($A66="N/A"," ",$U66*(8*($BS66))*R66)</f>
        <v> </v>
      </c>
      <c r="AC66" s="320" t="str">
        <f aca="false">IF($A66="N/A"," ",$U66*(8*($BS66))*S66)</f>
        <v> </v>
      </c>
      <c r="AD66" s="320" t="str">
        <f aca="false">IF($A66="N/A"," ",$U66*(8*($BS66))*T66)</f>
        <v> </v>
      </c>
      <c r="AE66" s="320" t="str">
        <f aca="false">IF($A66="N/A"," ",SUM(V66:AD66))</f>
        <v> </v>
      </c>
      <c r="AF66" s="321" t="str">
        <f aca="false">IF(A66="N/A"," ",(VLOOKUP(A66,PowerVolTable,(IF(VolBMO3=2,7,IF(VolBMO3=1,6,8))),FALSE())))</f>
        <v> </v>
      </c>
      <c r="AG66" s="321" t="str">
        <f aca="false">IF(A66="N/A"," ",(VLOOKUP(A66,IntraPowerVol,(IF(VolBMO3=2,3,IF(VolBMO3=1,2,4))),FALSE())*VLOOKUP(MONTH($A66),Volscale,2)))</f>
        <v> </v>
      </c>
      <c r="AH66" s="321" t="str">
        <f aca="false">IF($A66="N/A"," ",IF(VolType3=1,AG66,AF66))</f>
        <v> </v>
      </c>
      <c r="AI66" s="321" t="str">
        <f aca="false">IF($A66="N/A"," ",(VLOOKUP($A66,OffPwrVolTable,(IF(VolBMO3=2,7,IF(VolBMO3=1,6,8))),FALSE())))</f>
        <v> </v>
      </c>
      <c r="AJ66" s="321" t="str">
        <f aca="false">IF($A66="N/A"," ",(VLOOKUP($A66,OffPwrVolTable,(IF(VolBMO3=2,3,IF(VolBMO3=1,2,4))),FALSE())*VLOOKUP(MONTH($A66),Volscale,2)))</f>
        <v> </v>
      </c>
      <c r="AK66" s="321" t="str">
        <f aca="false">IF($A66="N/A"," ",IF(VolType3=1,AJ66,AI66))</f>
        <v> </v>
      </c>
      <c r="AL66" s="321" t="str">
        <f aca="false">IF($A66="N/A"," ",IF(PV=1,0,'Pricing Inputs3'!R99))</f>
        <v> </v>
      </c>
      <c r="AM66" s="323" t="str">
        <f aca="false">IF($A66="N/A"," ",(1+AL66/2)^(-2*((EOMONTH(A66,0)+20)-DateToday)/365.25))</f>
        <v> </v>
      </c>
      <c r="BQ66" s="0" t="str">
        <f aca="false">IF($A66="N/A"," ",(VLOOKUP($A66,NumberofDaysTable,2)))</f>
        <v> </v>
      </c>
      <c r="BR66" s="0" t="str">
        <f aca="false">IF($A66="N/A"," ",(VLOOKUP($A66,NumberofDaysTable,3)))</f>
        <v> </v>
      </c>
      <c r="BS66" s="0" t="str">
        <f aca="false">IF($A66="N/A"," ",(VLOOKUP($A66,NumberofDaysTable,4)))</f>
        <v> </v>
      </c>
    </row>
    <row r="67" customFormat="false" ht="12.75" hidden="false" customHeight="false" outlineLevel="0" collapsed="false">
      <c r="A67" s="315" t="str">
        <f aca="false">IF(A66="N/A","N/A",IF(EDATE(A66,1)&gt;Inputs!$Q$5,"N/A",EDATE(A66,1)))</f>
        <v>N/A</v>
      </c>
      <c r="B67" s="316" t="str">
        <f aca="false">IF(A67="N/A"," ",YEAR(A67))</f>
        <v> </v>
      </c>
      <c r="C67" s="317" t="str">
        <f aca="false">IF($A67="N/A"," ",IF(Dayrun3=10,0,IF(Scaler3=1,(VLOOKUP(A67,ScaledPrice3,4)),(VLOOKUP(A67,ScaledPrice3,2)))))</f>
        <v> </v>
      </c>
      <c r="D67" s="317" t="str">
        <f aca="false">IF(A67="N/A"," ",IF(Dayrun3&gt;=7,0,IF(Scaler3=2,VLOOKUP(A67,ScaledPrice3,2),(VLOOKUP(A67,ScaledPrice3,2))*(2-(VLOOKUP(A67,ScaledPrice3,3))))))</f>
        <v> </v>
      </c>
      <c r="E67" s="317" t="str">
        <f aca="false">IF($A67="N/A"," ",IF(AND(Dayrun3&gt;=4,Dayrun3&lt;=9),0,VLOOKUP($A67,ScaledPrice3,9)))</f>
        <v> </v>
      </c>
      <c r="F67" s="317" t="str">
        <f aca="false">IF(A67="N/A"," ",IF(OR(Dayrun3=2,Dayrun3=3,Dayrun3=5,Dayrun3=6,Dayrun3=8,Dayrun3=9),VLOOKUP(A67,ScaledPrice3,IF(Scaler3=1,6,5)),0))</f>
        <v> </v>
      </c>
      <c r="G67" s="317" t="str">
        <f aca="false">IF(A67="N/A"," ",IF(OR(Dayrun3=2,Dayrun3=3,Dayrun3=5,Dayrun3=6),IF(Scaler3=2,F67,(VLOOKUP(A67,ScaledPrice3,5))*(2-(VLOOKUP(A67,ScaledPrice3,3)))),0))</f>
        <v> </v>
      </c>
      <c r="H67" s="317" t="str">
        <f aca="false">IF($A67="N/A"," ",IF(OR(Dayrun3=2,Dayrun3=3,Dayrun3=10),VLOOKUP($A67,ScaledPrice3,9),0))</f>
        <v> </v>
      </c>
      <c r="I67" s="317" t="str">
        <f aca="false">IF(A67="N/A"," ",IF(OR(Dayrun3=3,Dayrun3=6,Dayrun3=9),(VLOOKUP(A67,ScaledPrice3,IF(Scaler3=2,7,8))),0))</f>
        <v> </v>
      </c>
      <c r="J67" s="317" t="str">
        <f aca="false">IF(A67="N/A"," ",IF(OR(Dayrun3=3,Dayrun3=6),IF(Scaler3=2,I67,(VLOOKUP(A67,ScaledPrice3,7))*(2-(VLOOKUP(A67,ScaledPrice3,3)))),0))</f>
        <v> </v>
      </c>
      <c r="K67" s="317" t="str">
        <f aca="false">IF($A67="N/A"," ",IF(OR(Dayrun3=3,Dayrun3=10),VLOOKUP($A67,ScaledPrice3,9),0))</f>
        <v> </v>
      </c>
      <c r="L67" s="318" t="str">
        <f aca="false">IF($A67="N/A"," ",IF(Pricetype3=2,MAX(C67,0),IF(OR(Pricetype3=1,Pricetype3=4),IF(C67=0,0,(EURO(C67,Strikeprice3,0,0,($AH67+IF(Smile=TRUE(),VLOOKUP(MAX(-5,Strikeprice3-C67),Volsmile,2),0)),($A67-DateToday)+15,IF(Pricetype3=1,1,0),0))),C67)))</f>
        <v> </v>
      </c>
      <c r="M67" s="318" t="str">
        <f aca="false">IF($A67="N/A"," ",IF(Pricetype3=2,MAX(D67,0),IF(OR(Pricetype3=1,Pricetype3=4),IF(D67=0,0,(EURO(D67,Strikeprice3,0,0,($AH67+IF(Smile=TRUE(),VLOOKUP(MAX(-5,Strikeprice3-D67),Volsmile,2),0)),($A67-DateToday)+15,IF(Pricetype3=1,1,0),0))),D67)))</f>
        <v> </v>
      </c>
      <c r="N67" s="318" t="str">
        <f aca="false">IF($A67="N/A"," ",IF(Pricetype3=2,MAX(E67,0),IF(OR(Pricetype3=1,Pricetype3=4),IF(E67=0,0,(EURO(E67,Strikeprice3,0,0,($AK67+IF(Smile=TRUE(),VLOOKUP(MAX(-5,Strikeprice3-E67),Volsmile,2),0)),($A67-DateToday)+15,IF(Pricetype3=1,1,0),0))),E67)))</f>
        <v> </v>
      </c>
      <c r="O67" s="318" t="str">
        <f aca="false">IF($A67="N/A"," ",IF(Pricetype3=2,MAX(F67,0),IF(OR(Pricetype3=1,Pricetype3=4),IF(F67=0,0,(EURO(F67,Strikeprice3,0,0,($AK67+IF(Smile=TRUE(),VLOOKUP(MAX(-5,Strikeprice3-F67),Volsmile,2),0)),($A67-DateToday)+15,IF(Pricetype3=1,1,0),0))),F67)))</f>
        <v> </v>
      </c>
      <c r="P67" s="318" t="str">
        <f aca="false">IF($A67="N/A"," ",IF(Pricetype3=2,MAX(G67,0),IF(OR(Pricetype3=1,Pricetype3=4),IF(G67=0,0,(EURO(G67,Strikeprice3,0,0,($AK67+IF(Smile=TRUE(),VLOOKUP(MAX(-5,Strikeprice3-G67),Volsmile,2),0)),($A67-DateToday)+15,IF(Pricetype3=1,1,0),0))),G67)))</f>
        <v> </v>
      </c>
      <c r="Q67" s="318" t="str">
        <f aca="false">IF($A67="N/A"," ",IF(Pricetype3=2,MAX(H67,0),IF(OR(Pricetype3=1,Pricetype3=4),IF(H67=0,0,(EURO(H67,Strikeprice3,0,0,($AK67+IF(Smile=TRUE(),VLOOKUP(MAX(-5,Strikeprice3-H67),Volsmile,2),0)),($A67-DateToday)+15,IF(Pricetype3=1,1,0),0))),H67)))</f>
        <v> </v>
      </c>
      <c r="R67" s="318" t="str">
        <f aca="false">IF($A67="N/A"," ",IF(Pricetype3=2,MAX(I67,0),IF(OR(Pricetype3=1,Pricetype3=4),IF(I67=0,0,(EURO(I67,Strikeprice3,0,0,($AK67+IF(Smile=TRUE(),VLOOKUP(MAX(-5,Strikeprice3-I67),Volsmile,2),0)),($A67-DateToday)+15,IF(Pricetype3=1,1,0),0))),I67)))</f>
        <v> </v>
      </c>
      <c r="S67" s="318" t="str">
        <f aca="false">IF($A67="N/A"," ",IF(Pricetype3=2,MAX(J67,0),IF(OR(Pricetype3=1,Pricetype3=4),IF(J67=0,0,(EURO(J67,Strikeprice3,0,0,($AK67+IF(Smile=TRUE(),VLOOKUP(MAX(-5,Strikeprice3-J67),Volsmile,2),0)),($A67-DateToday)+15,IF(Pricetype3=1,1,0),0))),J67)))</f>
        <v> </v>
      </c>
      <c r="T67" s="318" t="str">
        <f aca="false">IF($A67="N/A"," ",IF(Pricetype3=2,MAX(K67,0),IF(OR(Pricetype3=1,Pricetype3=4),IF(K67=0,0,(EURO(K67,Strikeprice3,0,0,($AK67+IF(Smile=TRUE(),VLOOKUP(MAX(-5,Strikeprice3-K67),Volsmile,2),0)),($A67-DateToday)+15,IF(Pricetype3=1,1,0),0))),K67)))</f>
        <v> </v>
      </c>
      <c r="U67" s="319" t="str">
        <f aca="false">IF($A67="N/A"," ",Volume3*$AM67)</f>
        <v> </v>
      </c>
      <c r="V67" s="320" t="str">
        <f aca="false">IF($A67="N/A"," ",$U67*(8*($BQ67))*L67)</f>
        <v> </v>
      </c>
      <c r="W67" s="320" t="str">
        <f aca="false">IF($A67="N/A"," ",$U67*(8*($BQ67))*M67)</f>
        <v> </v>
      </c>
      <c r="X67" s="320" t="str">
        <f aca="false">IF($A67="N/A"," ",$U67*(8*($BQ67))*N67)</f>
        <v> </v>
      </c>
      <c r="Y67" s="320" t="str">
        <f aca="false">IF($A67="N/A"," ",$U67*(8*($BR67))*O67)</f>
        <v> </v>
      </c>
      <c r="Z67" s="320" t="str">
        <f aca="false">IF($A67="N/A"," ",$U67*(8*($BR67))*P67)</f>
        <v> </v>
      </c>
      <c r="AA67" s="320" t="str">
        <f aca="false">IF($A67="N/A"," ",$U67*(8*($BR67))*Q67)</f>
        <v> </v>
      </c>
      <c r="AB67" s="320" t="str">
        <f aca="false">IF($A67="N/A"," ",$U67*(8*($BS67))*R67)</f>
        <v> </v>
      </c>
      <c r="AC67" s="320" t="str">
        <f aca="false">IF($A67="N/A"," ",$U67*(8*($BS67))*S67)</f>
        <v> </v>
      </c>
      <c r="AD67" s="320" t="str">
        <f aca="false">IF($A67="N/A"," ",$U67*(8*($BS67))*T67)</f>
        <v> </v>
      </c>
      <c r="AE67" s="320" t="str">
        <f aca="false">IF($A67="N/A"," ",SUM(V67:AD67))</f>
        <v> </v>
      </c>
      <c r="AF67" s="321" t="str">
        <f aca="false">IF(A67="N/A"," ",(VLOOKUP(A67,PowerVolTable,(IF(VolBMO3=2,7,IF(VolBMO3=1,6,8))),FALSE())))</f>
        <v> </v>
      </c>
      <c r="AG67" s="321" t="str">
        <f aca="false">IF(A67="N/A"," ",(VLOOKUP(A67,IntraPowerVol,(IF(VolBMO3=2,3,IF(VolBMO3=1,2,4))),FALSE())*VLOOKUP(MONTH($A67),Volscale,2)))</f>
        <v> </v>
      </c>
      <c r="AH67" s="321" t="str">
        <f aca="false">IF($A67="N/A"," ",IF(VolType3=1,AG67,AF67))</f>
        <v> </v>
      </c>
      <c r="AI67" s="321" t="str">
        <f aca="false">IF($A67="N/A"," ",(VLOOKUP($A67,OffPwrVolTable,(IF(VolBMO3=2,7,IF(VolBMO3=1,6,8))),FALSE())))</f>
        <v> </v>
      </c>
      <c r="AJ67" s="321" t="str">
        <f aca="false">IF($A67="N/A"," ",(VLOOKUP($A67,OffPwrVolTable,(IF(VolBMO3=2,3,IF(VolBMO3=1,2,4))),FALSE())*VLOOKUP(MONTH($A67),Volscale,2)))</f>
        <v> </v>
      </c>
      <c r="AK67" s="321" t="str">
        <f aca="false">IF($A67="N/A"," ",IF(VolType3=1,AJ67,AI67))</f>
        <v> </v>
      </c>
      <c r="AL67" s="321" t="str">
        <f aca="false">IF($A67="N/A"," ",IF(PV=1,0,'Pricing Inputs3'!R100))</f>
        <v> </v>
      </c>
      <c r="AM67" s="323" t="str">
        <f aca="false">IF($A67="N/A"," ",(1+AL67/2)^(-2*((EOMONTH(A67,0)+20)-DateToday)/365.25))</f>
        <v> </v>
      </c>
      <c r="BQ67" s="0" t="str">
        <f aca="false">IF($A67="N/A"," ",(VLOOKUP($A67,NumberofDaysTable,2)))</f>
        <v> </v>
      </c>
      <c r="BR67" s="0" t="str">
        <f aca="false">IF($A67="N/A"," ",(VLOOKUP($A67,NumberofDaysTable,3)))</f>
        <v> </v>
      </c>
      <c r="BS67" s="0" t="str">
        <f aca="false">IF($A67="N/A"," ",(VLOOKUP($A67,NumberofDaysTable,4)))</f>
        <v> </v>
      </c>
    </row>
    <row r="68" customFormat="false" ht="12.75" hidden="false" customHeight="false" outlineLevel="0" collapsed="false">
      <c r="A68" s="315" t="str">
        <f aca="false">IF(A67="N/A","N/A",IF(EDATE(A67,1)&gt;Inputs!$Q$5,"N/A",EDATE(A67,1)))</f>
        <v>N/A</v>
      </c>
      <c r="B68" s="316" t="str">
        <f aca="false">IF(A68="N/A"," ",YEAR(A68))</f>
        <v> </v>
      </c>
      <c r="C68" s="317" t="str">
        <f aca="false">IF($A68="N/A"," ",IF(Dayrun3=10,0,IF(Scaler3=1,(VLOOKUP(A68,ScaledPrice3,4)),(VLOOKUP(A68,ScaledPrice3,2)))))</f>
        <v> </v>
      </c>
      <c r="D68" s="317" t="str">
        <f aca="false">IF(A68="N/A"," ",IF(Dayrun3&gt;=7,0,IF(Scaler3=2,VLOOKUP(A68,ScaledPrice3,2),(VLOOKUP(A68,ScaledPrice3,2))*(2-(VLOOKUP(A68,ScaledPrice3,3))))))</f>
        <v> </v>
      </c>
      <c r="E68" s="317" t="str">
        <f aca="false">IF($A68="N/A"," ",IF(AND(Dayrun3&gt;=4,Dayrun3&lt;=9),0,VLOOKUP($A68,ScaledPrice3,9)))</f>
        <v> </v>
      </c>
      <c r="F68" s="317" t="str">
        <f aca="false">IF(A68="N/A"," ",IF(OR(Dayrun3=2,Dayrun3=3,Dayrun3=5,Dayrun3=6,Dayrun3=8,Dayrun3=9),VLOOKUP(A68,ScaledPrice3,IF(Scaler3=1,6,5)),0))</f>
        <v> </v>
      </c>
      <c r="G68" s="317" t="str">
        <f aca="false">IF(A68="N/A"," ",IF(OR(Dayrun3=2,Dayrun3=3,Dayrun3=5,Dayrun3=6),IF(Scaler3=2,F68,(VLOOKUP(A68,ScaledPrice3,5))*(2-(VLOOKUP(A68,ScaledPrice3,3)))),0))</f>
        <v> </v>
      </c>
      <c r="H68" s="317" t="str">
        <f aca="false">IF($A68="N/A"," ",IF(OR(Dayrun3=2,Dayrun3=3,Dayrun3=10),VLOOKUP($A68,ScaledPrice3,9),0))</f>
        <v> </v>
      </c>
      <c r="I68" s="317" t="str">
        <f aca="false">IF(A68="N/A"," ",IF(OR(Dayrun3=3,Dayrun3=6,Dayrun3=9),(VLOOKUP(A68,ScaledPrice3,IF(Scaler3=2,7,8))),0))</f>
        <v> </v>
      </c>
      <c r="J68" s="317" t="str">
        <f aca="false">IF(A68="N/A"," ",IF(OR(Dayrun3=3,Dayrun3=6),IF(Scaler3=2,I68,(VLOOKUP(A68,ScaledPrice3,7))*(2-(VLOOKUP(A68,ScaledPrice3,3)))),0))</f>
        <v> </v>
      </c>
      <c r="K68" s="317" t="str">
        <f aca="false">IF($A68="N/A"," ",IF(OR(Dayrun3=3,Dayrun3=10),VLOOKUP($A68,ScaledPrice3,9),0))</f>
        <v> </v>
      </c>
      <c r="L68" s="318" t="str">
        <f aca="false">IF($A68="N/A"," ",IF(Pricetype3=2,MAX(C68,0),IF(OR(Pricetype3=1,Pricetype3=4),IF(C68=0,0,(EURO(C68,Strikeprice3,0,0,($AH68+IF(Smile=TRUE(),VLOOKUP(MAX(-5,Strikeprice3-C68),Volsmile,2),0)),($A68-DateToday)+15,IF(Pricetype3=1,1,0),0))),C68)))</f>
        <v> </v>
      </c>
      <c r="M68" s="318" t="str">
        <f aca="false">IF($A68="N/A"," ",IF(Pricetype3=2,MAX(D68,0),IF(OR(Pricetype3=1,Pricetype3=4),IF(D68=0,0,(EURO(D68,Strikeprice3,0,0,($AH68+IF(Smile=TRUE(),VLOOKUP(MAX(-5,Strikeprice3-D68),Volsmile,2),0)),($A68-DateToday)+15,IF(Pricetype3=1,1,0),0))),D68)))</f>
        <v> </v>
      </c>
      <c r="N68" s="318" t="str">
        <f aca="false">IF($A68="N/A"," ",IF(Pricetype3=2,MAX(E68,0),IF(OR(Pricetype3=1,Pricetype3=4),IF(E68=0,0,(EURO(E68,Strikeprice3,0,0,($AK68+IF(Smile=TRUE(),VLOOKUP(MAX(-5,Strikeprice3-E68),Volsmile,2),0)),($A68-DateToday)+15,IF(Pricetype3=1,1,0),0))),E68)))</f>
        <v> </v>
      </c>
      <c r="O68" s="318" t="str">
        <f aca="false">IF($A68="N/A"," ",IF(Pricetype3=2,MAX(F68,0),IF(OR(Pricetype3=1,Pricetype3=4),IF(F68=0,0,(EURO(F68,Strikeprice3,0,0,($AK68+IF(Smile=TRUE(),VLOOKUP(MAX(-5,Strikeprice3-F68),Volsmile,2),0)),($A68-DateToday)+15,IF(Pricetype3=1,1,0),0))),F68)))</f>
        <v> </v>
      </c>
      <c r="P68" s="318" t="str">
        <f aca="false">IF($A68="N/A"," ",IF(Pricetype3=2,MAX(G68,0),IF(OR(Pricetype3=1,Pricetype3=4),IF(G68=0,0,(EURO(G68,Strikeprice3,0,0,($AK68+IF(Smile=TRUE(),VLOOKUP(MAX(-5,Strikeprice3-G68),Volsmile,2),0)),($A68-DateToday)+15,IF(Pricetype3=1,1,0),0))),G68)))</f>
        <v> </v>
      </c>
      <c r="Q68" s="318" t="str">
        <f aca="false">IF($A68="N/A"," ",IF(Pricetype3=2,MAX(H68,0),IF(OR(Pricetype3=1,Pricetype3=4),IF(H68=0,0,(EURO(H68,Strikeprice3,0,0,($AK68+IF(Smile=TRUE(),VLOOKUP(MAX(-5,Strikeprice3-H68),Volsmile,2),0)),($A68-DateToday)+15,IF(Pricetype3=1,1,0),0))),H68)))</f>
        <v> </v>
      </c>
      <c r="R68" s="318" t="str">
        <f aca="false">IF($A68="N/A"," ",IF(Pricetype3=2,MAX(I68,0),IF(OR(Pricetype3=1,Pricetype3=4),IF(I68=0,0,(EURO(I68,Strikeprice3,0,0,($AK68+IF(Smile=TRUE(),VLOOKUP(MAX(-5,Strikeprice3-I68),Volsmile,2),0)),($A68-DateToday)+15,IF(Pricetype3=1,1,0),0))),I68)))</f>
        <v> </v>
      </c>
      <c r="S68" s="318" t="str">
        <f aca="false">IF($A68="N/A"," ",IF(Pricetype3=2,MAX(J68,0),IF(OR(Pricetype3=1,Pricetype3=4),IF(J68=0,0,(EURO(J68,Strikeprice3,0,0,($AK68+IF(Smile=TRUE(),VLOOKUP(MAX(-5,Strikeprice3-J68),Volsmile,2),0)),($A68-DateToday)+15,IF(Pricetype3=1,1,0),0))),J68)))</f>
        <v> </v>
      </c>
      <c r="T68" s="318" t="str">
        <f aca="false">IF($A68="N/A"," ",IF(Pricetype3=2,MAX(K68,0),IF(OR(Pricetype3=1,Pricetype3=4),IF(K68=0,0,(EURO(K68,Strikeprice3,0,0,($AK68+IF(Smile=TRUE(),VLOOKUP(MAX(-5,Strikeprice3-K68),Volsmile,2),0)),($A68-DateToday)+15,IF(Pricetype3=1,1,0),0))),K68)))</f>
        <v> </v>
      </c>
      <c r="U68" s="319" t="str">
        <f aca="false">IF($A68="N/A"," ",Volume3*$AM68)</f>
        <v> </v>
      </c>
      <c r="V68" s="320" t="str">
        <f aca="false">IF($A68="N/A"," ",$U68*(8*($BQ68))*L68)</f>
        <v> </v>
      </c>
      <c r="W68" s="320" t="str">
        <f aca="false">IF($A68="N/A"," ",$U68*(8*($BQ68))*M68)</f>
        <v> </v>
      </c>
      <c r="X68" s="320" t="str">
        <f aca="false">IF($A68="N/A"," ",$U68*(8*($BQ68))*N68)</f>
        <v> </v>
      </c>
      <c r="Y68" s="320" t="str">
        <f aca="false">IF($A68="N/A"," ",$U68*(8*($BR68))*O68)</f>
        <v> </v>
      </c>
      <c r="Z68" s="320" t="str">
        <f aca="false">IF($A68="N/A"," ",$U68*(8*($BR68))*P68)</f>
        <v> </v>
      </c>
      <c r="AA68" s="320" t="str">
        <f aca="false">IF($A68="N/A"," ",$U68*(8*($BR68))*Q68)</f>
        <v> </v>
      </c>
      <c r="AB68" s="320" t="str">
        <f aca="false">IF($A68="N/A"," ",$U68*(8*($BS68))*R68)</f>
        <v> </v>
      </c>
      <c r="AC68" s="320" t="str">
        <f aca="false">IF($A68="N/A"," ",$U68*(8*($BS68))*S68)</f>
        <v> </v>
      </c>
      <c r="AD68" s="320" t="str">
        <f aca="false">IF($A68="N/A"," ",$U68*(8*($BS68))*T68)</f>
        <v> </v>
      </c>
      <c r="AE68" s="320" t="str">
        <f aca="false">IF($A68="N/A"," ",SUM(V68:AD68))</f>
        <v> </v>
      </c>
      <c r="AF68" s="321" t="str">
        <f aca="false">IF(A68="N/A"," ",(VLOOKUP(A68,PowerVolTable,(IF(VolBMO3=2,7,IF(VolBMO3=1,6,8))),FALSE())))</f>
        <v> </v>
      </c>
      <c r="AG68" s="321" t="str">
        <f aca="false">IF(A68="N/A"," ",(VLOOKUP(A68,IntraPowerVol,(IF(VolBMO3=2,3,IF(VolBMO3=1,2,4))),FALSE())*VLOOKUP(MONTH($A68),Volscale,2)))</f>
        <v> </v>
      </c>
      <c r="AH68" s="321" t="str">
        <f aca="false">IF($A68="N/A"," ",IF(VolType3=1,AG68,AF68))</f>
        <v> </v>
      </c>
      <c r="AI68" s="321" t="str">
        <f aca="false">IF($A68="N/A"," ",(VLOOKUP($A68,OffPwrVolTable,(IF(VolBMO3=2,7,IF(VolBMO3=1,6,8))),FALSE())))</f>
        <v> </v>
      </c>
      <c r="AJ68" s="321" t="str">
        <f aca="false">IF($A68="N/A"," ",(VLOOKUP($A68,OffPwrVolTable,(IF(VolBMO3=2,3,IF(VolBMO3=1,2,4))),FALSE())*VLOOKUP(MONTH($A68),Volscale,2)))</f>
        <v> </v>
      </c>
      <c r="AK68" s="321" t="str">
        <f aca="false">IF($A68="N/A"," ",IF(VolType3=1,AJ68,AI68))</f>
        <v> </v>
      </c>
      <c r="AL68" s="321" t="str">
        <f aca="false">IF($A68="N/A"," ",IF(PV=1,0,'Pricing Inputs3'!R101))</f>
        <v> </v>
      </c>
      <c r="AM68" s="323" t="str">
        <f aca="false">IF($A68="N/A"," ",(1+AL68/2)^(-2*((EOMONTH(A68,0)+20)-DateToday)/365.25))</f>
        <v> </v>
      </c>
      <c r="BQ68" s="0" t="str">
        <f aca="false">IF($A68="N/A"," ",(VLOOKUP($A68,NumberofDaysTable,2)))</f>
        <v> </v>
      </c>
      <c r="BR68" s="0" t="str">
        <f aca="false">IF($A68="N/A"," ",(VLOOKUP($A68,NumberofDaysTable,3)))</f>
        <v> </v>
      </c>
      <c r="BS68" s="0" t="str">
        <f aca="false">IF($A68="N/A"," ",(VLOOKUP($A68,NumberofDaysTable,4)))</f>
        <v> </v>
      </c>
    </row>
    <row r="69" customFormat="false" ht="12.75" hidden="false" customHeight="false" outlineLevel="0" collapsed="false">
      <c r="A69" s="315" t="str">
        <f aca="false">IF(A68="N/A","N/A",IF(EDATE(A68,1)&gt;Inputs!$Q$5,"N/A",EDATE(A68,1)))</f>
        <v>N/A</v>
      </c>
      <c r="B69" s="316" t="str">
        <f aca="false">IF(A69="N/A"," ",YEAR(A69))</f>
        <v> </v>
      </c>
      <c r="C69" s="317" t="str">
        <f aca="false">IF($A69="N/A"," ",IF(Dayrun3=10,0,IF(Scaler3=1,(VLOOKUP(A69,ScaledPrice3,4)),(VLOOKUP(A69,ScaledPrice3,2)))))</f>
        <v> </v>
      </c>
      <c r="D69" s="317" t="str">
        <f aca="false">IF(A69="N/A"," ",IF(Dayrun3&gt;=7,0,IF(Scaler3=2,VLOOKUP(A69,ScaledPrice3,2),(VLOOKUP(A69,ScaledPrice3,2))*(2-(VLOOKUP(A69,ScaledPrice3,3))))))</f>
        <v> </v>
      </c>
      <c r="E69" s="317" t="str">
        <f aca="false">IF($A69="N/A"," ",IF(AND(Dayrun3&gt;=4,Dayrun3&lt;=9),0,VLOOKUP($A69,ScaledPrice3,9)))</f>
        <v> </v>
      </c>
      <c r="F69" s="317" t="str">
        <f aca="false">IF(A69="N/A"," ",IF(OR(Dayrun3=2,Dayrun3=3,Dayrun3=5,Dayrun3=6,Dayrun3=8,Dayrun3=9),VLOOKUP(A69,ScaledPrice3,IF(Scaler3=1,6,5)),0))</f>
        <v> </v>
      </c>
      <c r="G69" s="317" t="str">
        <f aca="false">IF(A69="N/A"," ",IF(OR(Dayrun3=2,Dayrun3=3,Dayrun3=5,Dayrun3=6),IF(Scaler3=2,F69,(VLOOKUP(A69,ScaledPrice3,5))*(2-(VLOOKUP(A69,ScaledPrice3,3)))),0))</f>
        <v> </v>
      </c>
      <c r="H69" s="317" t="str">
        <f aca="false">IF($A69="N/A"," ",IF(OR(Dayrun3=2,Dayrun3=3,Dayrun3=10),VLOOKUP($A69,ScaledPrice3,9),0))</f>
        <v> </v>
      </c>
      <c r="I69" s="317" t="str">
        <f aca="false">IF(A69="N/A"," ",IF(OR(Dayrun3=3,Dayrun3=6,Dayrun3=9),(VLOOKUP(A69,ScaledPrice3,IF(Scaler3=2,7,8))),0))</f>
        <v> </v>
      </c>
      <c r="J69" s="317" t="str">
        <f aca="false">IF(A69="N/A"," ",IF(OR(Dayrun3=3,Dayrun3=6),IF(Scaler3=2,I69,(VLOOKUP(A69,ScaledPrice3,7))*(2-(VLOOKUP(A69,ScaledPrice3,3)))),0))</f>
        <v> </v>
      </c>
      <c r="K69" s="317" t="str">
        <f aca="false">IF($A69="N/A"," ",IF(OR(Dayrun3=3,Dayrun3=10),VLOOKUP($A69,ScaledPrice3,9),0))</f>
        <v> </v>
      </c>
      <c r="L69" s="318" t="str">
        <f aca="false">IF($A69="N/A"," ",IF(Pricetype3=2,MAX(C69,0),IF(OR(Pricetype3=1,Pricetype3=4),IF(C69=0,0,(EURO(C69,Strikeprice3,0,0,($AH69+IF(Smile=TRUE(),VLOOKUP(MAX(-5,Strikeprice3-C69),Volsmile,2),0)),($A69-DateToday)+15,IF(Pricetype3=1,1,0),0))),C69)))</f>
        <v> </v>
      </c>
      <c r="M69" s="318" t="str">
        <f aca="false">IF($A69="N/A"," ",IF(Pricetype3=2,MAX(D69,0),IF(OR(Pricetype3=1,Pricetype3=4),IF(D69=0,0,(EURO(D69,Strikeprice3,0,0,($AH69+IF(Smile=TRUE(),VLOOKUP(MAX(-5,Strikeprice3-D69),Volsmile,2),0)),($A69-DateToday)+15,IF(Pricetype3=1,1,0),0))),D69)))</f>
        <v> </v>
      </c>
      <c r="N69" s="318" t="str">
        <f aca="false">IF($A69="N/A"," ",IF(Pricetype3=2,MAX(E69,0),IF(OR(Pricetype3=1,Pricetype3=4),IF(E69=0,0,(EURO(E69,Strikeprice3,0,0,($AK69+IF(Smile=TRUE(),VLOOKUP(MAX(-5,Strikeprice3-E69),Volsmile,2),0)),($A69-DateToday)+15,IF(Pricetype3=1,1,0),0))),E69)))</f>
        <v> </v>
      </c>
      <c r="O69" s="318" t="str">
        <f aca="false">IF($A69="N/A"," ",IF(Pricetype3=2,MAX(F69,0),IF(OR(Pricetype3=1,Pricetype3=4),IF(F69=0,0,(EURO(F69,Strikeprice3,0,0,($AK69+IF(Smile=TRUE(),VLOOKUP(MAX(-5,Strikeprice3-F69),Volsmile,2),0)),($A69-DateToday)+15,IF(Pricetype3=1,1,0),0))),F69)))</f>
        <v> </v>
      </c>
      <c r="P69" s="318" t="str">
        <f aca="false">IF($A69="N/A"," ",IF(Pricetype3=2,MAX(G69,0),IF(OR(Pricetype3=1,Pricetype3=4),IF(G69=0,0,(EURO(G69,Strikeprice3,0,0,($AK69+IF(Smile=TRUE(),VLOOKUP(MAX(-5,Strikeprice3-G69),Volsmile,2),0)),($A69-DateToday)+15,IF(Pricetype3=1,1,0),0))),G69)))</f>
        <v> </v>
      </c>
      <c r="Q69" s="318" t="str">
        <f aca="false">IF($A69="N/A"," ",IF(Pricetype3=2,MAX(H69,0),IF(OR(Pricetype3=1,Pricetype3=4),IF(H69=0,0,(EURO(H69,Strikeprice3,0,0,($AK69+IF(Smile=TRUE(),VLOOKUP(MAX(-5,Strikeprice3-H69),Volsmile,2),0)),($A69-DateToday)+15,IF(Pricetype3=1,1,0),0))),H69)))</f>
        <v> </v>
      </c>
      <c r="R69" s="318" t="str">
        <f aca="false">IF($A69="N/A"," ",IF(Pricetype3=2,MAX(I69,0),IF(OR(Pricetype3=1,Pricetype3=4),IF(I69=0,0,(EURO(I69,Strikeprice3,0,0,($AK69+IF(Smile=TRUE(),VLOOKUP(MAX(-5,Strikeprice3-I69),Volsmile,2),0)),($A69-DateToday)+15,IF(Pricetype3=1,1,0),0))),I69)))</f>
        <v> </v>
      </c>
      <c r="S69" s="318" t="str">
        <f aca="false">IF($A69="N/A"," ",IF(Pricetype3=2,MAX(J69,0),IF(OR(Pricetype3=1,Pricetype3=4),IF(J69=0,0,(EURO(J69,Strikeprice3,0,0,($AK69+IF(Smile=TRUE(),VLOOKUP(MAX(-5,Strikeprice3-J69),Volsmile,2),0)),($A69-DateToday)+15,IF(Pricetype3=1,1,0),0))),J69)))</f>
        <v> </v>
      </c>
      <c r="T69" s="318" t="str">
        <f aca="false">IF($A69="N/A"," ",IF(Pricetype3=2,MAX(K69,0),IF(OR(Pricetype3=1,Pricetype3=4),IF(K69=0,0,(EURO(K69,Strikeprice3,0,0,($AK69+IF(Smile=TRUE(),VLOOKUP(MAX(-5,Strikeprice3-K69),Volsmile,2),0)),($A69-DateToday)+15,IF(Pricetype3=1,1,0),0))),K69)))</f>
        <v> </v>
      </c>
      <c r="U69" s="319" t="str">
        <f aca="false">IF($A69="N/A"," ",Volume3*$AM69)</f>
        <v> </v>
      </c>
      <c r="V69" s="320" t="str">
        <f aca="false">IF($A69="N/A"," ",$U69*(8*($BQ69))*L69)</f>
        <v> </v>
      </c>
      <c r="W69" s="320" t="str">
        <f aca="false">IF($A69="N/A"," ",$U69*(8*($BQ69))*M69)</f>
        <v> </v>
      </c>
      <c r="X69" s="320" t="str">
        <f aca="false">IF($A69="N/A"," ",$U69*(8*($BQ69))*N69)</f>
        <v> </v>
      </c>
      <c r="Y69" s="320" t="str">
        <f aca="false">IF($A69="N/A"," ",$U69*(8*($BR69))*O69)</f>
        <v> </v>
      </c>
      <c r="Z69" s="320" t="str">
        <f aca="false">IF($A69="N/A"," ",$U69*(8*($BR69))*P69)</f>
        <v> </v>
      </c>
      <c r="AA69" s="320" t="str">
        <f aca="false">IF($A69="N/A"," ",$U69*(8*($BR69))*Q69)</f>
        <v> </v>
      </c>
      <c r="AB69" s="320" t="str">
        <f aca="false">IF($A69="N/A"," ",$U69*(8*($BS69))*R69)</f>
        <v> </v>
      </c>
      <c r="AC69" s="320" t="str">
        <f aca="false">IF($A69="N/A"," ",$U69*(8*($BS69))*S69)</f>
        <v> </v>
      </c>
      <c r="AD69" s="320" t="str">
        <f aca="false">IF($A69="N/A"," ",$U69*(8*($BS69))*T69)</f>
        <v> </v>
      </c>
      <c r="AE69" s="320" t="str">
        <f aca="false">IF($A69="N/A"," ",SUM(V69:AD69))</f>
        <v> </v>
      </c>
      <c r="AF69" s="321" t="str">
        <f aca="false">IF(A69="N/A"," ",(VLOOKUP(A69,PowerVolTable,(IF(VolBMO3=2,7,IF(VolBMO3=1,6,8))),FALSE())))</f>
        <v> </v>
      </c>
      <c r="AG69" s="321" t="str">
        <f aca="false">IF(A69="N/A"," ",(VLOOKUP(A69,IntraPowerVol,(IF(VolBMO3=2,3,IF(VolBMO3=1,2,4))),FALSE())*VLOOKUP(MONTH($A69),Volscale,2)))</f>
        <v> </v>
      </c>
      <c r="AH69" s="321" t="str">
        <f aca="false">IF($A69="N/A"," ",IF(VolType3=1,AG69,AF69))</f>
        <v> </v>
      </c>
      <c r="AI69" s="321" t="str">
        <f aca="false">IF($A69="N/A"," ",(VLOOKUP($A69,OffPwrVolTable,(IF(VolBMO3=2,7,IF(VolBMO3=1,6,8))),FALSE())))</f>
        <v> </v>
      </c>
      <c r="AJ69" s="321" t="str">
        <f aca="false">IF($A69="N/A"," ",(VLOOKUP($A69,OffPwrVolTable,(IF(VolBMO3=2,3,IF(VolBMO3=1,2,4))),FALSE())*VLOOKUP(MONTH($A69),Volscale,2)))</f>
        <v> </v>
      </c>
      <c r="AK69" s="321" t="str">
        <f aca="false">IF($A69="N/A"," ",IF(VolType3=1,AJ69,AI69))</f>
        <v> </v>
      </c>
      <c r="AL69" s="321" t="str">
        <f aca="false">IF($A69="N/A"," ",IF(PV=1,0,'Pricing Inputs3'!R102))</f>
        <v> </v>
      </c>
      <c r="AM69" s="323" t="str">
        <f aca="false">IF($A69="N/A"," ",(1+AL69/2)^(-2*((EOMONTH(A69,0)+20)-DateToday)/365.25))</f>
        <v> </v>
      </c>
      <c r="BQ69" s="0" t="str">
        <f aca="false">IF($A69="N/A"," ",(VLOOKUP($A69,NumberofDaysTable,2)))</f>
        <v> </v>
      </c>
      <c r="BR69" s="0" t="str">
        <f aca="false">IF($A69="N/A"," ",(VLOOKUP($A69,NumberofDaysTable,3)))</f>
        <v> </v>
      </c>
      <c r="BS69" s="0" t="str">
        <f aca="false">IF($A69="N/A"," ",(VLOOKUP($A69,NumberofDaysTable,4)))</f>
        <v> </v>
      </c>
    </row>
    <row r="70" customFormat="false" ht="12.75" hidden="false" customHeight="false" outlineLevel="0" collapsed="false">
      <c r="A70" s="315" t="str">
        <f aca="false">IF(A69="N/A","N/A",IF(EDATE(A69,1)&gt;Inputs!$Q$5,"N/A",EDATE(A69,1)))</f>
        <v>N/A</v>
      </c>
      <c r="B70" s="316" t="str">
        <f aca="false">IF(A70="N/A"," ",YEAR(A70))</f>
        <v> </v>
      </c>
      <c r="C70" s="317" t="str">
        <f aca="false">IF($A70="N/A"," ",IF(Dayrun3=10,0,IF(Scaler3=1,(VLOOKUP(A70,ScaledPrice3,4)),(VLOOKUP(A70,ScaledPrice3,2)))))</f>
        <v> </v>
      </c>
      <c r="D70" s="317" t="str">
        <f aca="false">IF(A70="N/A"," ",IF(Dayrun3&gt;=7,0,IF(Scaler3=2,VLOOKUP(A70,ScaledPrice3,2),(VLOOKUP(A70,ScaledPrice3,2))*(2-(VLOOKUP(A70,ScaledPrice3,3))))))</f>
        <v> </v>
      </c>
      <c r="E70" s="317" t="str">
        <f aca="false">IF($A70="N/A"," ",IF(AND(Dayrun3&gt;=4,Dayrun3&lt;=9),0,VLOOKUP($A70,ScaledPrice3,9)))</f>
        <v> </v>
      </c>
      <c r="F70" s="317" t="str">
        <f aca="false">IF(A70="N/A"," ",IF(OR(Dayrun3=2,Dayrun3=3,Dayrun3=5,Dayrun3=6,Dayrun3=8,Dayrun3=9),VLOOKUP(A70,ScaledPrice3,IF(Scaler3=1,6,5)),0))</f>
        <v> </v>
      </c>
      <c r="G70" s="317" t="str">
        <f aca="false">IF(A70="N/A"," ",IF(OR(Dayrun3=2,Dayrun3=3,Dayrun3=5,Dayrun3=6),IF(Scaler3=2,F70,(VLOOKUP(A70,ScaledPrice3,5))*(2-(VLOOKUP(A70,ScaledPrice3,3)))),0))</f>
        <v> </v>
      </c>
      <c r="H70" s="317" t="str">
        <f aca="false">IF($A70="N/A"," ",IF(OR(Dayrun3=2,Dayrun3=3,Dayrun3=10),VLOOKUP($A70,ScaledPrice3,9),0))</f>
        <v> </v>
      </c>
      <c r="I70" s="317" t="str">
        <f aca="false">IF(A70="N/A"," ",IF(OR(Dayrun3=3,Dayrun3=6,Dayrun3=9),(VLOOKUP(A70,ScaledPrice3,IF(Scaler3=2,7,8))),0))</f>
        <v> </v>
      </c>
      <c r="J70" s="317" t="str">
        <f aca="false">IF(A70="N/A"," ",IF(OR(Dayrun3=3,Dayrun3=6),IF(Scaler3=2,I70,(VLOOKUP(A70,ScaledPrice3,7))*(2-(VLOOKUP(A70,ScaledPrice3,3)))),0))</f>
        <v> </v>
      </c>
      <c r="K70" s="317" t="str">
        <f aca="false">IF($A70="N/A"," ",IF(OR(Dayrun3=3,Dayrun3=10),VLOOKUP($A70,ScaledPrice3,9),0))</f>
        <v> </v>
      </c>
      <c r="L70" s="318" t="str">
        <f aca="false">IF($A70="N/A"," ",IF(Pricetype3=2,MAX(C70,0),IF(OR(Pricetype3=1,Pricetype3=4),IF(C70=0,0,(EURO(C70,Strikeprice3,0,0,($AH70+IF(Smile=TRUE(),VLOOKUP(MAX(-5,Strikeprice3-C70),Volsmile,2),0)),($A70-DateToday)+15,IF(Pricetype3=1,1,0),0))),C70)))</f>
        <v> </v>
      </c>
      <c r="M70" s="318" t="str">
        <f aca="false">IF($A70="N/A"," ",IF(Pricetype3=2,MAX(D70,0),IF(OR(Pricetype3=1,Pricetype3=4),IF(D70=0,0,(EURO(D70,Strikeprice3,0,0,($AH70+IF(Smile=TRUE(),VLOOKUP(MAX(-5,Strikeprice3-D70),Volsmile,2),0)),($A70-DateToday)+15,IF(Pricetype3=1,1,0),0))),D70)))</f>
        <v> </v>
      </c>
      <c r="N70" s="318" t="str">
        <f aca="false">IF($A70="N/A"," ",IF(Pricetype3=2,MAX(E70,0),IF(OR(Pricetype3=1,Pricetype3=4),IF(E70=0,0,(EURO(E70,Strikeprice3,0,0,($AK70+IF(Smile=TRUE(),VLOOKUP(MAX(-5,Strikeprice3-E70),Volsmile,2),0)),($A70-DateToday)+15,IF(Pricetype3=1,1,0),0))),E70)))</f>
        <v> </v>
      </c>
      <c r="O70" s="318" t="str">
        <f aca="false">IF($A70="N/A"," ",IF(Pricetype3=2,MAX(F70,0),IF(OR(Pricetype3=1,Pricetype3=4),IF(F70=0,0,(EURO(F70,Strikeprice3,0,0,($AK70+IF(Smile=TRUE(),VLOOKUP(MAX(-5,Strikeprice3-F70),Volsmile,2),0)),($A70-DateToday)+15,IF(Pricetype3=1,1,0),0))),F70)))</f>
        <v> </v>
      </c>
      <c r="P70" s="318" t="str">
        <f aca="false">IF($A70="N/A"," ",IF(Pricetype3=2,MAX(G70,0),IF(OR(Pricetype3=1,Pricetype3=4),IF(G70=0,0,(EURO(G70,Strikeprice3,0,0,($AK70+IF(Smile=TRUE(),VLOOKUP(MAX(-5,Strikeprice3-G70),Volsmile,2),0)),($A70-DateToday)+15,IF(Pricetype3=1,1,0),0))),G70)))</f>
        <v> </v>
      </c>
      <c r="Q70" s="318" t="str">
        <f aca="false">IF($A70="N/A"," ",IF(Pricetype3=2,MAX(H70,0),IF(OR(Pricetype3=1,Pricetype3=4),IF(H70=0,0,(EURO(H70,Strikeprice3,0,0,($AK70+IF(Smile=TRUE(),VLOOKUP(MAX(-5,Strikeprice3-H70),Volsmile,2),0)),($A70-DateToday)+15,IF(Pricetype3=1,1,0),0))),H70)))</f>
        <v> </v>
      </c>
      <c r="R70" s="318" t="str">
        <f aca="false">IF($A70="N/A"," ",IF(Pricetype3=2,MAX(I70,0),IF(OR(Pricetype3=1,Pricetype3=4),IF(I70=0,0,(EURO(I70,Strikeprice3,0,0,($AK70+IF(Smile=TRUE(),VLOOKUP(MAX(-5,Strikeprice3-I70),Volsmile,2),0)),($A70-DateToday)+15,IF(Pricetype3=1,1,0),0))),I70)))</f>
        <v> </v>
      </c>
      <c r="S70" s="318" t="str">
        <f aca="false">IF($A70="N/A"," ",IF(Pricetype3=2,MAX(J70,0),IF(OR(Pricetype3=1,Pricetype3=4),IF(J70=0,0,(EURO(J70,Strikeprice3,0,0,($AK70+IF(Smile=TRUE(),VLOOKUP(MAX(-5,Strikeprice3-J70),Volsmile,2),0)),($A70-DateToday)+15,IF(Pricetype3=1,1,0),0))),J70)))</f>
        <v> </v>
      </c>
      <c r="T70" s="318" t="str">
        <f aca="false">IF($A70="N/A"," ",IF(Pricetype3=2,MAX(K70,0),IF(OR(Pricetype3=1,Pricetype3=4),IF(K70=0,0,(EURO(K70,Strikeprice3,0,0,($AK70+IF(Smile=TRUE(),VLOOKUP(MAX(-5,Strikeprice3-K70),Volsmile,2),0)),($A70-DateToday)+15,IF(Pricetype3=1,1,0),0))),K70)))</f>
        <v> </v>
      </c>
      <c r="U70" s="319" t="str">
        <f aca="false">IF($A70="N/A"," ",Volume3*$AM70)</f>
        <v> </v>
      </c>
      <c r="V70" s="320" t="str">
        <f aca="false">IF($A70="N/A"," ",$U70*(8*($BQ70))*L70)</f>
        <v> </v>
      </c>
      <c r="W70" s="320" t="str">
        <f aca="false">IF($A70="N/A"," ",$U70*(8*($BQ70))*M70)</f>
        <v> </v>
      </c>
      <c r="X70" s="320" t="str">
        <f aca="false">IF($A70="N/A"," ",$U70*(8*($BQ70))*N70)</f>
        <v> </v>
      </c>
      <c r="Y70" s="320" t="str">
        <f aca="false">IF($A70="N/A"," ",$U70*(8*($BR70))*O70)</f>
        <v> </v>
      </c>
      <c r="Z70" s="320" t="str">
        <f aca="false">IF($A70="N/A"," ",$U70*(8*($BR70))*P70)</f>
        <v> </v>
      </c>
      <c r="AA70" s="320" t="str">
        <f aca="false">IF($A70="N/A"," ",$U70*(8*($BR70))*Q70)</f>
        <v> </v>
      </c>
      <c r="AB70" s="320" t="str">
        <f aca="false">IF($A70="N/A"," ",$U70*(8*($BS70))*R70)</f>
        <v> </v>
      </c>
      <c r="AC70" s="320" t="str">
        <f aca="false">IF($A70="N/A"," ",$U70*(8*($BS70))*S70)</f>
        <v> </v>
      </c>
      <c r="AD70" s="320" t="str">
        <f aca="false">IF($A70="N/A"," ",$U70*(8*($BS70))*T70)</f>
        <v> </v>
      </c>
      <c r="AE70" s="320" t="str">
        <f aca="false">IF($A70="N/A"," ",SUM(V70:AD70))</f>
        <v> </v>
      </c>
      <c r="AF70" s="321" t="str">
        <f aca="false">IF(A70="N/A"," ",(VLOOKUP(A70,PowerVolTable,(IF(VolBMO3=2,7,IF(VolBMO3=1,6,8))),FALSE())))</f>
        <v> </v>
      </c>
      <c r="AG70" s="321" t="str">
        <f aca="false">IF(A70="N/A"," ",(VLOOKUP(A70,IntraPowerVol,(IF(VolBMO3=2,3,IF(VolBMO3=1,2,4))),FALSE())*VLOOKUP(MONTH($A70),Volscale,2)))</f>
        <v> </v>
      </c>
      <c r="AH70" s="321" t="str">
        <f aca="false">IF($A70="N/A"," ",IF(VolType3=1,AG70,AF70))</f>
        <v> </v>
      </c>
      <c r="AI70" s="321" t="str">
        <f aca="false">IF($A70="N/A"," ",(VLOOKUP($A70,OffPwrVolTable,(IF(VolBMO3=2,7,IF(VolBMO3=1,6,8))),FALSE())))</f>
        <v> </v>
      </c>
      <c r="AJ70" s="321" t="str">
        <f aca="false">IF($A70="N/A"," ",(VLOOKUP($A70,OffPwrVolTable,(IF(VolBMO3=2,3,IF(VolBMO3=1,2,4))),FALSE())*VLOOKUP(MONTH($A70),Volscale,2)))</f>
        <v> </v>
      </c>
      <c r="AK70" s="321" t="str">
        <f aca="false">IF($A70="N/A"," ",IF(VolType3=1,AJ70,AI70))</f>
        <v> </v>
      </c>
      <c r="AL70" s="321" t="str">
        <f aca="false">IF($A70="N/A"," ",IF(PV=1,0,'Pricing Inputs3'!R103))</f>
        <v> </v>
      </c>
      <c r="AM70" s="323" t="str">
        <f aca="false">IF($A70="N/A"," ",(1+AL70/2)^(-2*((EOMONTH(A70,0)+20)-DateToday)/365.25))</f>
        <v> </v>
      </c>
      <c r="BQ70" s="0" t="str">
        <f aca="false">IF($A70="N/A"," ",(VLOOKUP($A70,NumberofDaysTable,2)))</f>
        <v> </v>
      </c>
      <c r="BR70" s="0" t="str">
        <f aca="false">IF($A70="N/A"," ",(VLOOKUP($A70,NumberofDaysTable,3)))</f>
        <v> </v>
      </c>
      <c r="BS70" s="0" t="str">
        <f aca="false">IF($A70="N/A"," ",(VLOOKUP($A70,NumberofDaysTable,4)))</f>
        <v> </v>
      </c>
    </row>
    <row r="71" customFormat="false" ht="12.75" hidden="false" customHeight="false" outlineLevel="0" collapsed="false">
      <c r="A71" s="315" t="str">
        <f aca="false">IF(A70="N/A","N/A",IF(EDATE(A70,1)&gt;Inputs!$Q$5,"N/A",EDATE(A70,1)))</f>
        <v>N/A</v>
      </c>
      <c r="B71" s="316" t="str">
        <f aca="false">IF(A71="N/A"," ",YEAR(A71))</f>
        <v> </v>
      </c>
      <c r="C71" s="317" t="str">
        <f aca="false">IF($A71="N/A"," ",IF(Dayrun3=10,0,IF(Scaler3=1,(VLOOKUP(A71,ScaledPrice3,4)),(VLOOKUP(A71,ScaledPrice3,2)))))</f>
        <v> </v>
      </c>
      <c r="D71" s="317" t="str">
        <f aca="false">IF(A71="N/A"," ",IF(Dayrun3&gt;=7,0,IF(Scaler3=2,VLOOKUP(A71,ScaledPrice3,2),(VLOOKUP(A71,ScaledPrice3,2))*(2-(VLOOKUP(A71,ScaledPrice3,3))))))</f>
        <v> </v>
      </c>
      <c r="E71" s="317" t="str">
        <f aca="false">IF($A71="N/A"," ",IF(AND(Dayrun3&gt;=4,Dayrun3&lt;=9),0,VLOOKUP($A71,ScaledPrice3,9)))</f>
        <v> </v>
      </c>
      <c r="F71" s="317" t="str">
        <f aca="false">IF(A71="N/A"," ",IF(OR(Dayrun3=2,Dayrun3=3,Dayrun3=5,Dayrun3=6,Dayrun3=8,Dayrun3=9),VLOOKUP(A71,ScaledPrice3,IF(Scaler3=1,6,5)),0))</f>
        <v> </v>
      </c>
      <c r="G71" s="317" t="str">
        <f aca="false">IF(A71="N/A"," ",IF(OR(Dayrun3=2,Dayrun3=3,Dayrun3=5,Dayrun3=6),IF(Scaler3=2,F71,(VLOOKUP(A71,ScaledPrice3,5))*(2-(VLOOKUP(A71,ScaledPrice3,3)))),0))</f>
        <v> </v>
      </c>
      <c r="H71" s="317" t="str">
        <f aca="false">IF($A71="N/A"," ",IF(OR(Dayrun3=2,Dayrun3=3,Dayrun3=10),VLOOKUP($A71,ScaledPrice3,9),0))</f>
        <v> </v>
      </c>
      <c r="I71" s="317" t="str">
        <f aca="false">IF(A71="N/A"," ",IF(OR(Dayrun3=3,Dayrun3=6,Dayrun3=9),(VLOOKUP(A71,ScaledPrice3,IF(Scaler3=2,7,8))),0))</f>
        <v> </v>
      </c>
      <c r="J71" s="317" t="str">
        <f aca="false">IF(A71="N/A"," ",IF(OR(Dayrun3=3,Dayrun3=6),IF(Scaler3=2,I71,(VLOOKUP(A71,ScaledPrice3,7))*(2-(VLOOKUP(A71,ScaledPrice3,3)))),0))</f>
        <v> </v>
      </c>
      <c r="K71" s="317" t="str">
        <f aca="false">IF($A71="N/A"," ",IF(OR(Dayrun3=3,Dayrun3=10),VLOOKUP($A71,ScaledPrice3,9),0))</f>
        <v> </v>
      </c>
      <c r="L71" s="318" t="str">
        <f aca="false">IF($A71="N/A"," ",IF(Pricetype3=2,MAX(C71,0),IF(OR(Pricetype3=1,Pricetype3=4),IF(C71=0,0,(EURO(C71,Strikeprice3,0,0,($AH71+IF(Smile=TRUE(),VLOOKUP(MAX(-5,Strikeprice3-C71),Volsmile,2),0)),($A71-DateToday)+15,IF(Pricetype3=1,1,0),0))),C71)))</f>
        <v> </v>
      </c>
      <c r="M71" s="318" t="str">
        <f aca="false">IF($A71="N/A"," ",IF(Pricetype3=2,MAX(D71,0),IF(OR(Pricetype3=1,Pricetype3=4),IF(D71=0,0,(EURO(D71,Strikeprice3,0,0,($AH71+IF(Smile=TRUE(),VLOOKUP(MAX(-5,Strikeprice3-D71),Volsmile,2),0)),($A71-DateToday)+15,IF(Pricetype3=1,1,0),0))),D71)))</f>
        <v> </v>
      </c>
      <c r="N71" s="318" t="str">
        <f aca="false">IF($A71="N/A"," ",IF(Pricetype3=2,MAX(E71,0),IF(OR(Pricetype3=1,Pricetype3=4),IF(E71=0,0,(EURO(E71,Strikeprice3,0,0,($AK71+IF(Smile=TRUE(),VLOOKUP(MAX(-5,Strikeprice3-E71),Volsmile,2),0)),($A71-DateToday)+15,IF(Pricetype3=1,1,0),0))),E71)))</f>
        <v> </v>
      </c>
      <c r="O71" s="318" t="str">
        <f aca="false">IF($A71="N/A"," ",IF(Pricetype3=2,MAX(F71,0),IF(OR(Pricetype3=1,Pricetype3=4),IF(F71=0,0,(EURO(F71,Strikeprice3,0,0,($AK71+IF(Smile=TRUE(),VLOOKUP(MAX(-5,Strikeprice3-F71),Volsmile,2),0)),($A71-DateToday)+15,IF(Pricetype3=1,1,0),0))),F71)))</f>
        <v> </v>
      </c>
      <c r="P71" s="318" t="str">
        <f aca="false">IF($A71="N/A"," ",IF(Pricetype3=2,MAX(G71,0),IF(OR(Pricetype3=1,Pricetype3=4),IF(G71=0,0,(EURO(G71,Strikeprice3,0,0,($AK71+IF(Smile=TRUE(),VLOOKUP(MAX(-5,Strikeprice3-G71),Volsmile,2),0)),($A71-DateToday)+15,IF(Pricetype3=1,1,0),0))),G71)))</f>
        <v> </v>
      </c>
      <c r="Q71" s="318" t="str">
        <f aca="false">IF($A71="N/A"," ",IF(Pricetype3=2,MAX(H71,0),IF(OR(Pricetype3=1,Pricetype3=4),IF(H71=0,0,(EURO(H71,Strikeprice3,0,0,($AK71+IF(Smile=TRUE(),VLOOKUP(MAX(-5,Strikeprice3-H71),Volsmile,2),0)),($A71-DateToday)+15,IF(Pricetype3=1,1,0),0))),H71)))</f>
        <v> </v>
      </c>
      <c r="R71" s="318" t="str">
        <f aca="false">IF($A71="N/A"," ",IF(Pricetype3=2,MAX(I71,0),IF(OR(Pricetype3=1,Pricetype3=4),IF(I71=0,0,(EURO(I71,Strikeprice3,0,0,($AK71+IF(Smile=TRUE(),VLOOKUP(MAX(-5,Strikeprice3-I71),Volsmile,2),0)),($A71-DateToday)+15,IF(Pricetype3=1,1,0),0))),I71)))</f>
        <v> </v>
      </c>
      <c r="S71" s="318" t="str">
        <f aca="false">IF($A71="N/A"," ",IF(Pricetype3=2,MAX(J71,0),IF(OR(Pricetype3=1,Pricetype3=4),IF(J71=0,0,(EURO(J71,Strikeprice3,0,0,($AK71+IF(Smile=TRUE(),VLOOKUP(MAX(-5,Strikeprice3-J71),Volsmile,2),0)),($A71-DateToday)+15,IF(Pricetype3=1,1,0),0))),J71)))</f>
        <v> </v>
      </c>
      <c r="T71" s="318" t="str">
        <f aca="false">IF($A71="N/A"," ",IF(Pricetype3=2,MAX(K71,0),IF(OR(Pricetype3=1,Pricetype3=4),IF(K71=0,0,(EURO(K71,Strikeprice3,0,0,($AK71+IF(Smile=TRUE(),VLOOKUP(MAX(-5,Strikeprice3-K71),Volsmile,2),0)),($A71-DateToday)+15,IF(Pricetype3=1,1,0),0))),K71)))</f>
        <v> </v>
      </c>
      <c r="U71" s="319" t="str">
        <f aca="false">IF($A71="N/A"," ",Volume3*$AM71)</f>
        <v> </v>
      </c>
      <c r="V71" s="320" t="str">
        <f aca="false">IF($A71="N/A"," ",$U71*(8*($BQ71))*L71)</f>
        <v> </v>
      </c>
      <c r="W71" s="320" t="str">
        <f aca="false">IF($A71="N/A"," ",$U71*(8*($BQ71))*M71)</f>
        <v> </v>
      </c>
      <c r="X71" s="320" t="str">
        <f aca="false">IF($A71="N/A"," ",$U71*(8*($BQ71))*N71)</f>
        <v> </v>
      </c>
      <c r="Y71" s="320" t="str">
        <f aca="false">IF($A71="N/A"," ",$U71*(8*($BR71))*O71)</f>
        <v> </v>
      </c>
      <c r="Z71" s="320" t="str">
        <f aca="false">IF($A71="N/A"," ",$U71*(8*($BR71))*P71)</f>
        <v> </v>
      </c>
      <c r="AA71" s="320" t="str">
        <f aca="false">IF($A71="N/A"," ",$U71*(8*($BR71))*Q71)</f>
        <v> </v>
      </c>
      <c r="AB71" s="320" t="str">
        <f aca="false">IF($A71="N/A"," ",$U71*(8*($BS71))*R71)</f>
        <v> </v>
      </c>
      <c r="AC71" s="320" t="str">
        <f aca="false">IF($A71="N/A"," ",$U71*(8*($BS71))*S71)</f>
        <v> </v>
      </c>
      <c r="AD71" s="320" t="str">
        <f aca="false">IF($A71="N/A"," ",$U71*(8*($BS71))*T71)</f>
        <v> </v>
      </c>
      <c r="AE71" s="320" t="str">
        <f aca="false">IF($A71="N/A"," ",SUM(V71:AD71))</f>
        <v> </v>
      </c>
      <c r="AF71" s="321" t="str">
        <f aca="false">IF(A71="N/A"," ",(VLOOKUP(A71,PowerVolTable,(IF(VolBMO3=2,7,IF(VolBMO3=1,6,8))),FALSE())))</f>
        <v> </v>
      </c>
      <c r="AG71" s="321" t="str">
        <f aca="false">IF(A71="N/A"," ",(VLOOKUP(A71,IntraPowerVol,(IF(VolBMO3=2,3,IF(VolBMO3=1,2,4))),FALSE())*VLOOKUP(MONTH($A71),Volscale,2)))</f>
        <v> </v>
      </c>
      <c r="AH71" s="321" t="str">
        <f aca="false">IF($A71="N/A"," ",IF(VolType3=1,AG71,AF71))</f>
        <v> </v>
      </c>
      <c r="AI71" s="321" t="str">
        <f aca="false">IF($A71="N/A"," ",(VLOOKUP($A71,OffPwrVolTable,(IF(VolBMO3=2,7,IF(VolBMO3=1,6,8))),FALSE())))</f>
        <v> </v>
      </c>
      <c r="AJ71" s="321" t="str">
        <f aca="false">IF($A71="N/A"," ",(VLOOKUP($A71,OffPwrVolTable,(IF(VolBMO3=2,3,IF(VolBMO3=1,2,4))),FALSE())*VLOOKUP(MONTH($A71),Volscale,2)))</f>
        <v> </v>
      </c>
      <c r="AK71" s="321" t="str">
        <f aca="false">IF($A71="N/A"," ",IF(VolType3=1,AJ71,AI71))</f>
        <v> </v>
      </c>
      <c r="AL71" s="321" t="str">
        <f aca="false">IF($A71="N/A"," ",IF(PV=1,0,'Pricing Inputs3'!R104))</f>
        <v> </v>
      </c>
      <c r="AM71" s="323" t="str">
        <f aca="false">IF($A71="N/A"," ",(1+AL71/2)^(-2*((EOMONTH(A71,0)+20)-DateToday)/365.25))</f>
        <v> </v>
      </c>
      <c r="BQ71" s="0" t="str">
        <f aca="false">IF($A71="N/A"," ",(VLOOKUP($A71,NumberofDaysTable,2)))</f>
        <v> </v>
      </c>
      <c r="BR71" s="0" t="str">
        <f aca="false">IF($A71="N/A"," ",(VLOOKUP($A71,NumberofDaysTable,3)))</f>
        <v> </v>
      </c>
      <c r="BS71" s="0" t="str">
        <f aca="false">IF($A71="N/A"," ",(VLOOKUP($A71,NumberofDaysTable,4)))</f>
        <v> </v>
      </c>
    </row>
    <row r="72" customFormat="false" ht="12.75" hidden="false" customHeight="false" outlineLevel="0" collapsed="false">
      <c r="A72" s="315" t="str">
        <f aca="false">IF(A71="N/A","N/A",IF(EDATE(A71,1)&gt;Inputs!$Q$5,"N/A",EDATE(A71,1)))</f>
        <v>N/A</v>
      </c>
      <c r="B72" s="316" t="str">
        <f aca="false">IF(A72="N/A"," ",YEAR(A72))</f>
        <v> </v>
      </c>
      <c r="C72" s="317" t="str">
        <f aca="false">IF($A72="N/A"," ",IF(Dayrun3=10,0,IF(Scaler3=1,(VLOOKUP(A72,ScaledPrice3,4)),(VLOOKUP(A72,ScaledPrice3,2)))))</f>
        <v> </v>
      </c>
      <c r="D72" s="317" t="str">
        <f aca="false">IF(A72="N/A"," ",IF(Dayrun3&gt;=7,0,IF(Scaler3=2,VLOOKUP(A72,ScaledPrice3,2),(VLOOKUP(A72,ScaledPrice3,2))*(2-(VLOOKUP(A72,ScaledPrice3,3))))))</f>
        <v> </v>
      </c>
      <c r="E72" s="317" t="str">
        <f aca="false">IF($A72="N/A"," ",IF(AND(Dayrun3&gt;=4,Dayrun3&lt;=9),0,VLOOKUP($A72,ScaledPrice3,9)))</f>
        <v> </v>
      </c>
      <c r="F72" s="317" t="str">
        <f aca="false">IF(A72="N/A"," ",IF(OR(Dayrun3=2,Dayrun3=3,Dayrun3=5,Dayrun3=6,Dayrun3=8,Dayrun3=9),VLOOKUP(A72,ScaledPrice3,IF(Scaler3=1,6,5)),0))</f>
        <v> </v>
      </c>
      <c r="G72" s="317" t="str">
        <f aca="false">IF(A72="N/A"," ",IF(OR(Dayrun3=2,Dayrun3=3,Dayrun3=5,Dayrun3=6),IF(Scaler3=2,F72,(VLOOKUP(A72,ScaledPrice3,5))*(2-(VLOOKUP(A72,ScaledPrice3,3)))),0))</f>
        <v> </v>
      </c>
      <c r="H72" s="317" t="str">
        <f aca="false">IF($A72="N/A"," ",IF(OR(Dayrun3=2,Dayrun3=3,Dayrun3=10),VLOOKUP($A72,ScaledPrice3,9),0))</f>
        <v> </v>
      </c>
      <c r="I72" s="317" t="str">
        <f aca="false">IF(A72="N/A"," ",IF(OR(Dayrun3=3,Dayrun3=6,Dayrun3=9),(VLOOKUP(A72,ScaledPrice3,IF(Scaler3=2,7,8))),0))</f>
        <v> </v>
      </c>
      <c r="J72" s="317" t="str">
        <f aca="false">IF(A72="N/A"," ",IF(OR(Dayrun3=3,Dayrun3=6),IF(Scaler3=2,I72,(VLOOKUP(A72,ScaledPrice3,7))*(2-(VLOOKUP(A72,ScaledPrice3,3)))),0))</f>
        <v> </v>
      </c>
      <c r="K72" s="317" t="str">
        <f aca="false">IF($A72="N/A"," ",IF(OR(Dayrun3=3,Dayrun3=10),VLOOKUP($A72,ScaledPrice3,9),0))</f>
        <v> </v>
      </c>
      <c r="L72" s="318" t="str">
        <f aca="false">IF($A72="N/A"," ",IF(Pricetype3=2,MAX(C72,0),IF(OR(Pricetype3=1,Pricetype3=4),IF(C72=0,0,(EURO(C72,Strikeprice3,0,0,($AH72+IF(Smile=TRUE(),VLOOKUP(MAX(-5,Strikeprice3-C72),Volsmile,2),0)),($A72-DateToday)+15,IF(Pricetype3=1,1,0),0))),C72)))</f>
        <v> </v>
      </c>
      <c r="M72" s="318" t="str">
        <f aca="false">IF($A72="N/A"," ",IF(Pricetype3=2,MAX(D72,0),IF(OR(Pricetype3=1,Pricetype3=4),IF(D72=0,0,(EURO(D72,Strikeprice3,0,0,($AH72+IF(Smile=TRUE(),VLOOKUP(MAX(-5,Strikeprice3-D72),Volsmile,2),0)),($A72-DateToday)+15,IF(Pricetype3=1,1,0),0))),D72)))</f>
        <v> </v>
      </c>
      <c r="N72" s="318" t="str">
        <f aca="false">IF($A72="N/A"," ",IF(Pricetype3=2,MAX(E72,0),IF(OR(Pricetype3=1,Pricetype3=4),IF(E72=0,0,(EURO(E72,Strikeprice3,0,0,($AK72+IF(Smile=TRUE(),VLOOKUP(MAX(-5,Strikeprice3-E72),Volsmile,2),0)),($A72-DateToday)+15,IF(Pricetype3=1,1,0),0))),E72)))</f>
        <v> </v>
      </c>
      <c r="O72" s="318" t="str">
        <f aca="false">IF($A72="N/A"," ",IF(Pricetype3=2,MAX(F72,0),IF(OR(Pricetype3=1,Pricetype3=4),IF(F72=0,0,(EURO(F72,Strikeprice3,0,0,($AK72+IF(Smile=TRUE(),VLOOKUP(MAX(-5,Strikeprice3-F72),Volsmile,2),0)),($A72-DateToday)+15,IF(Pricetype3=1,1,0),0))),F72)))</f>
        <v> </v>
      </c>
      <c r="P72" s="318" t="str">
        <f aca="false">IF($A72="N/A"," ",IF(Pricetype3=2,MAX(G72,0),IF(OR(Pricetype3=1,Pricetype3=4),IF(G72=0,0,(EURO(G72,Strikeprice3,0,0,($AK72+IF(Smile=TRUE(),VLOOKUP(MAX(-5,Strikeprice3-G72),Volsmile,2),0)),($A72-DateToday)+15,IF(Pricetype3=1,1,0),0))),G72)))</f>
        <v> </v>
      </c>
      <c r="Q72" s="318" t="str">
        <f aca="false">IF($A72="N/A"," ",IF(Pricetype3=2,MAX(H72,0),IF(OR(Pricetype3=1,Pricetype3=4),IF(H72=0,0,(EURO(H72,Strikeprice3,0,0,($AK72+IF(Smile=TRUE(),VLOOKUP(MAX(-5,Strikeprice3-H72),Volsmile,2),0)),($A72-DateToday)+15,IF(Pricetype3=1,1,0),0))),H72)))</f>
        <v> </v>
      </c>
      <c r="R72" s="318" t="str">
        <f aca="false">IF($A72="N/A"," ",IF(Pricetype3=2,MAX(I72,0),IF(OR(Pricetype3=1,Pricetype3=4),IF(I72=0,0,(EURO(I72,Strikeprice3,0,0,($AK72+IF(Smile=TRUE(),VLOOKUP(MAX(-5,Strikeprice3-I72),Volsmile,2),0)),($A72-DateToday)+15,IF(Pricetype3=1,1,0),0))),I72)))</f>
        <v> </v>
      </c>
      <c r="S72" s="318" t="str">
        <f aca="false">IF($A72="N/A"," ",IF(Pricetype3=2,MAX(J72,0),IF(OR(Pricetype3=1,Pricetype3=4),IF(J72=0,0,(EURO(J72,Strikeprice3,0,0,($AK72+IF(Smile=TRUE(),VLOOKUP(MAX(-5,Strikeprice3-J72),Volsmile,2),0)),($A72-DateToday)+15,IF(Pricetype3=1,1,0),0))),J72)))</f>
        <v> </v>
      </c>
      <c r="T72" s="318" t="str">
        <f aca="false">IF($A72="N/A"," ",IF(Pricetype3=2,MAX(K72,0),IF(OR(Pricetype3=1,Pricetype3=4),IF(K72=0,0,(EURO(K72,Strikeprice3,0,0,($AK72+IF(Smile=TRUE(),VLOOKUP(MAX(-5,Strikeprice3-K72),Volsmile,2),0)),($A72-DateToday)+15,IF(Pricetype3=1,1,0),0))),K72)))</f>
        <v> </v>
      </c>
      <c r="U72" s="319" t="str">
        <f aca="false">IF($A72="N/A"," ",Volume3*$AM72)</f>
        <v> </v>
      </c>
      <c r="V72" s="320" t="str">
        <f aca="false">IF($A72="N/A"," ",$U72*(8*($BQ72))*L72)</f>
        <v> </v>
      </c>
      <c r="W72" s="320" t="str">
        <f aca="false">IF($A72="N/A"," ",$U72*(8*($BQ72))*M72)</f>
        <v> </v>
      </c>
      <c r="X72" s="320" t="str">
        <f aca="false">IF($A72="N/A"," ",$U72*(8*($BQ72))*N72)</f>
        <v> </v>
      </c>
      <c r="Y72" s="320" t="str">
        <f aca="false">IF($A72="N/A"," ",$U72*(8*($BR72))*O72)</f>
        <v> </v>
      </c>
      <c r="Z72" s="320" t="str">
        <f aca="false">IF($A72="N/A"," ",$U72*(8*($BR72))*P72)</f>
        <v> </v>
      </c>
      <c r="AA72" s="320" t="str">
        <f aca="false">IF($A72="N/A"," ",$U72*(8*($BR72))*Q72)</f>
        <v> </v>
      </c>
      <c r="AB72" s="320" t="str">
        <f aca="false">IF($A72="N/A"," ",$U72*(8*($BS72))*R72)</f>
        <v> </v>
      </c>
      <c r="AC72" s="320" t="str">
        <f aca="false">IF($A72="N/A"," ",$U72*(8*($BS72))*S72)</f>
        <v> </v>
      </c>
      <c r="AD72" s="320" t="str">
        <f aca="false">IF($A72="N/A"," ",$U72*(8*($BS72))*T72)</f>
        <v> </v>
      </c>
      <c r="AE72" s="320" t="str">
        <f aca="false">IF($A72="N/A"," ",SUM(V72:AD72))</f>
        <v> </v>
      </c>
      <c r="AF72" s="321" t="str">
        <f aca="false">IF(A72="N/A"," ",(VLOOKUP(A72,PowerVolTable,(IF(VolBMO3=2,7,IF(VolBMO3=1,6,8))),FALSE())))</f>
        <v> </v>
      </c>
      <c r="AG72" s="321" t="str">
        <f aca="false">IF(A72="N/A"," ",(VLOOKUP(A72,IntraPowerVol,(IF(VolBMO3=2,3,IF(VolBMO3=1,2,4))),FALSE())*VLOOKUP(MONTH($A72),Volscale,2)))</f>
        <v> </v>
      </c>
      <c r="AH72" s="321" t="str">
        <f aca="false">IF($A72="N/A"," ",IF(VolType3=1,AG72,AF72))</f>
        <v> </v>
      </c>
      <c r="AI72" s="321" t="str">
        <f aca="false">IF($A72="N/A"," ",(VLOOKUP($A72,OffPwrVolTable,(IF(VolBMO3=2,7,IF(VolBMO3=1,6,8))),FALSE())))</f>
        <v> </v>
      </c>
      <c r="AJ72" s="321" t="str">
        <f aca="false">IF($A72="N/A"," ",(VLOOKUP($A72,OffPwrVolTable,(IF(VolBMO3=2,3,IF(VolBMO3=1,2,4))),FALSE())*VLOOKUP(MONTH($A72),Volscale,2)))</f>
        <v> </v>
      </c>
      <c r="AK72" s="321" t="str">
        <f aca="false">IF($A72="N/A"," ",IF(VolType3=1,AJ72,AI72))</f>
        <v> </v>
      </c>
      <c r="AL72" s="321" t="str">
        <f aca="false">IF($A72="N/A"," ",IF(PV=1,0,'Pricing Inputs3'!R105))</f>
        <v> </v>
      </c>
      <c r="AM72" s="323" t="str">
        <f aca="false">IF($A72="N/A"," ",(1+AL72/2)^(-2*((EOMONTH(A72,0)+20)-DateToday)/365.25))</f>
        <v> </v>
      </c>
      <c r="BQ72" s="0" t="str">
        <f aca="false">IF($A72="N/A"," ",(VLOOKUP($A72,NumberofDaysTable,2)))</f>
        <v> </v>
      </c>
      <c r="BR72" s="0" t="str">
        <f aca="false">IF($A72="N/A"," ",(VLOOKUP($A72,NumberofDaysTable,3)))</f>
        <v> </v>
      </c>
      <c r="BS72" s="0" t="str">
        <f aca="false">IF($A72="N/A"," ",(VLOOKUP($A72,NumberofDaysTable,4)))</f>
        <v> </v>
      </c>
    </row>
    <row r="73" customFormat="false" ht="12.75" hidden="false" customHeight="false" outlineLevel="0" collapsed="false">
      <c r="A73" s="315" t="str">
        <f aca="false">IF(A72="N/A","N/A",IF(EDATE(A72,1)&gt;Inputs!$Q$5,"N/A",EDATE(A72,1)))</f>
        <v>N/A</v>
      </c>
      <c r="B73" s="316" t="str">
        <f aca="false">IF(A73="N/A"," ",YEAR(A73))</f>
        <v> </v>
      </c>
      <c r="C73" s="317" t="str">
        <f aca="false">IF($A73="N/A"," ",IF(Dayrun3=10,0,IF(Scaler3=1,(VLOOKUP(A73,ScaledPrice3,4)),(VLOOKUP(A73,ScaledPrice3,2)))))</f>
        <v> </v>
      </c>
      <c r="D73" s="317" t="str">
        <f aca="false">IF(A73="N/A"," ",IF(Dayrun3&gt;=7,0,IF(Scaler3=2,VLOOKUP(A73,ScaledPrice3,2),(VLOOKUP(A73,ScaledPrice3,2))*(2-(VLOOKUP(A73,ScaledPrice3,3))))))</f>
        <v> </v>
      </c>
      <c r="E73" s="317" t="str">
        <f aca="false">IF($A73="N/A"," ",IF(AND(Dayrun3&gt;=4,Dayrun3&lt;=9),0,VLOOKUP($A73,ScaledPrice3,9)))</f>
        <v> </v>
      </c>
      <c r="F73" s="317" t="str">
        <f aca="false">IF(A73="N/A"," ",IF(OR(Dayrun3=2,Dayrun3=3,Dayrun3=5,Dayrun3=6,Dayrun3=8,Dayrun3=9),VLOOKUP(A73,ScaledPrice3,IF(Scaler3=1,6,5)),0))</f>
        <v> </v>
      </c>
      <c r="G73" s="317" t="str">
        <f aca="false">IF(A73="N/A"," ",IF(OR(Dayrun3=2,Dayrun3=3,Dayrun3=5,Dayrun3=6),IF(Scaler3=2,F73,(VLOOKUP(A73,ScaledPrice3,5))*(2-(VLOOKUP(A73,ScaledPrice3,3)))),0))</f>
        <v> </v>
      </c>
      <c r="H73" s="317" t="str">
        <f aca="false">IF($A73="N/A"," ",IF(OR(Dayrun3=2,Dayrun3=3,Dayrun3=10),VLOOKUP($A73,ScaledPrice3,9),0))</f>
        <v> </v>
      </c>
      <c r="I73" s="317" t="str">
        <f aca="false">IF(A73="N/A"," ",IF(OR(Dayrun3=3,Dayrun3=6,Dayrun3=9),(VLOOKUP(A73,ScaledPrice3,IF(Scaler3=2,7,8))),0))</f>
        <v> </v>
      </c>
      <c r="J73" s="317" t="str">
        <f aca="false">IF(A73="N/A"," ",IF(OR(Dayrun3=3,Dayrun3=6),IF(Scaler3=2,I73,(VLOOKUP(A73,ScaledPrice3,7))*(2-(VLOOKUP(A73,ScaledPrice3,3)))),0))</f>
        <v> </v>
      </c>
      <c r="K73" s="317" t="str">
        <f aca="false">IF($A73="N/A"," ",IF(OR(Dayrun3=3,Dayrun3=10),VLOOKUP($A73,ScaledPrice3,9),0))</f>
        <v> </v>
      </c>
      <c r="L73" s="318" t="str">
        <f aca="false">IF($A73="N/A"," ",IF(Pricetype3=2,MAX(C73,0),IF(OR(Pricetype3=1,Pricetype3=4),IF(C73=0,0,(EURO(C73,Strikeprice3,0,0,($AH73+IF(Smile=TRUE(),VLOOKUP(MAX(-5,Strikeprice3-C73),Volsmile,2),0)),($A73-DateToday)+15,IF(Pricetype3=1,1,0),0))),C73)))</f>
        <v> </v>
      </c>
      <c r="M73" s="318" t="str">
        <f aca="false">IF($A73="N/A"," ",IF(Pricetype3=2,MAX(D73,0),IF(OR(Pricetype3=1,Pricetype3=4),IF(D73=0,0,(EURO(D73,Strikeprice3,0,0,($AH73+IF(Smile=TRUE(),VLOOKUP(MAX(-5,Strikeprice3-D73),Volsmile,2),0)),($A73-DateToday)+15,IF(Pricetype3=1,1,0),0))),D73)))</f>
        <v> </v>
      </c>
      <c r="N73" s="318" t="str">
        <f aca="false">IF($A73="N/A"," ",IF(Pricetype3=2,MAX(E73,0),IF(OR(Pricetype3=1,Pricetype3=4),IF(E73=0,0,(EURO(E73,Strikeprice3,0,0,($AK73+IF(Smile=TRUE(),VLOOKUP(MAX(-5,Strikeprice3-E73),Volsmile,2),0)),($A73-DateToday)+15,IF(Pricetype3=1,1,0),0))),E73)))</f>
        <v> </v>
      </c>
      <c r="O73" s="318" t="str">
        <f aca="false">IF($A73="N/A"," ",IF(Pricetype3=2,MAX(F73,0),IF(OR(Pricetype3=1,Pricetype3=4),IF(F73=0,0,(EURO(F73,Strikeprice3,0,0,($AK73+IF(Smile=TRUE(),VLOOKUP(MAX(-5,Strikeprice3-F73),Volsmile,2),0)),($A73-DateToday)+15,IF(Pricetype3=1,1,0),0))),F73)))</f>
        <v> </v>
      </c>
      <c r="P73" s="318" t="str">
        <f aca="false">IF($A73="N/A"," ",IF(Pricetype3=2,MAX(G73,0),IF(OR(Pricetype3=1,Pricetype3=4),IF(G73=0,0,(EURO(G73,Strikeprice3,0,0,($AK73+IF(Smile=TRUE(),VLOOKUP(MAX(-5,Strikeprice3-G73),Volsmile,2),0)),($A73-DateToday)+15,IF(Pricetype3=1,1,0),0))),G73)))</f>
        <v> </v>
      </c>
      <c r="Q73" s="318" t="str">
        <f aca="false">IF($A73="N/A"," ",IF(Pricetype3=2,MAX(H73,0),IF(OR(Pricetype3=1,Pricetype3=4),IF(H73=0,0,(EURO(H73,Strikeprice3,0,0,($AK73+IF(Smile=TRUE(),VLOOKUP(MAX(-5,Strikeprice3-H73),Volsmile,2),0)),($A73-DateToday)+15,IF(Pricetype3=1,1,0),0))),H73)))</f>
        <v> </v>
      </c>
      <c r="R73" s="318" t="str">
        <f aca="false">IF($A73="N/A"," ",IF(Pricetype3=2,MAX(I73,0),IF(OR(Pricetype3=1,Pricetype3=4),IF(I73=0,0,(EURO(I73,Strikeprice3,0,0,($AK73+IF(Smile=TRUE(),VLOOKUP(MAX(-5,Strikeprice3-I73),Volsmile,2),0)),($A73-DateToday)+15,IF(Pricetype3=1,1,0),0))),I73)))</f>
        <v> </v>
      </c>
      <c r="S73" s="318" t="str">
        <f aca="false">IF($A73="N/A"," ",IF(Pricetype3=2,MAX(J73,0),IF(OR(Pricetype3=1,Pricetype3=4),IF(J73=0,0,(EURO(J73,Strikeprice3,0,0,($AK73+IF(Smile=TRUE(),VLOOKUP(MAX(-5,Strikeprice3-J73),Volsmile,2),0)),($A73-DateToday)+15,IF(Pricetype3=1,1,0),0))),J73)))</f>
        <v> </v>
      </c>
      <c r="T73" s="318" t="str">
        <f aca="false">IF($A73="N/A"," ",IF(Pricetype3=2,MAX(K73,0),IF(OR(Pricetype3=1,Pricetype3=4),IF(K73=0,0,(EURO(K73,Strikeprice3,0,0,($AK73+IF(Smile=TRUE(),VLOOKUP(MAX(-5,Strikeprice3-K73),Volsmile,2),0)),($A73-DateToday)+15,IF(Pricetype3=1,1,0),0))),K73)))</f>
        <v> </v>
      </c>
      <c r="U73" s="319" t="str">
        <f aca="false">IF($A73="N/A"," ",Volume3*$AM73)</f>
        <v> </v>
      </c>
      <c r="V73" s="320" t="str">
        <f aca="false">IF($A73="N/A"," ",$U73*(8*($BQ73))*L73)</f>
        <v> </v>
      </c>
      <c r="W73" s="320" t="str">
        <f aca="false">IF($A73="N/A"," ",$U73*(8*($BQ73))*M73)</f>
        <v> </v>
      </c>
      <c r="X73" s="320" t="str">
        <f aca="false">IF($A73="N/A"," ",$U73*(8*($BQ73))*N73)</f>
        <v> </v>
      </c>
      <c r="Y73" s="320" t="str">
        <f aca="false">IF($A73="N/A"," ",$U73*(8*($BR73))*O73)</f>
        <v> </v>
      </c>
      <c r="Z73" s="320" t="str">
        <f aca="false">IF($A73="N/A"," ",$U73*(8*($BR73))*P73)</f>
        <v> </v>
      </c>
      <c r="AA73" s="320" t="str">
        <f aca="false">IF($A73="N/A"," ",$U73*(8*($BR73))*Q73)</f>
        <v> </v>
      </c>
      <c r="AB73" s="320" t="str">
        <f aca="false">IF($A73="N/A"," ",$U73*(8*($BS73))*R73)</f>
        <v> </v>
      </c>
      <c r="AC73" s="320" t="str">
        <f aca="false">IF($A73="N/A"," ",$U73*(8*($BS73))*S73)</f>
        <v> </v>
      </c>
      <c r="AD73" s="320" t="str">
        <f aca="false">IF($A73="N/A"," ",$U73*(8*($BS73))*T73)</f>
        <v> </v>
      </c>
      <c r="AE73" s="320" t="str">
        <f aca="false">IF($A73="N/A"," ",SUM(V73:AD73))</f>
        <v> </v>
      </c>
      <c r="AF73" s="321" t="str">
        <f aca="false">IF(A73="N/A"," ",(VLOOKUP(A73,PowerVolTable,(IF(VolBMO3=2,7,IF(VolBMO3=1,6,8))),FALSE())))</f>
        <v> </v>
      </c>
      <c r="AG73" s="321" t="str">
        <f aca="false">IF(A73="N/A"," ",(VLOOKUP(A73,IntraPowerVol,(IF(VolBMO3=2,3,IF(VolBMO3=1,2,4))),FALSE())*VLOOKUP(MONTH($A73),Volscale,2)))</f>
        <v> </v>
      </c>
      <c r="AH73" s="321" t="str">
        <f aca="false">IF($A73="N/A"," ",IF(VolType3=1,AG73,AF73))</f>
        <v> </v>
      </c>
      <c r="AI73" s="321" t="str">
        <f aca="false">IF($A73="N/A"," ",(VLOOKUP($A73,OffPwrVolTable,(IF(VolBMO3=2,7,IF(VolBMO3=1,6,8))),FALSE())))</f>
        <v> </v>
      </c>
      <c r="AJ73" s="321" t="str">
        <f aca="false">IF($A73="N/A"," ",(VLOOKUP($A73,OffPwrVolTable,(IF(VolBMO3=2,3,IF(VolBMO3=1,2,4))),FALSE())*VLOOKUP(MONTH($A73),Volscale,2)))</f>
        <v> </v>
      </c>
      <c r="AK73" s="321" t="str">
        <f aca="false">IF($A73="N/A"," ",IF(VolType3=1,AJ73,AI73))</f>
        <v> </v>
      </c>
      <c r="AL73" s="321" t="str">
        <f aca="false">IF($A73="N/A"," ",IF(PV=1,0,'Pricing Inputs3'!R106))</f>
        <v> </v>
      </c>
      <c r="AM73" s="323" t="str">
        <f aca="false">IF($A73="N/A"," ",(1+AL73/2)^(-2*((EOMONTH(A73,0)+20)-DateToday)/365.25))</f>
        <v> </v>
      </c>
      <c r="BQ73" s="0" t="str">
        <f aca="false">IF($A73="N/A"," ",(VLOOKUP($A73,NumberofDaysTable,2)))</f>
        <v> </v>
      </c>
      <c r="BR73" s="0" t="str">
        <f aca="false">IF($A73="N/A"," ",(VLOOKUP($A73,NumberofDaysTable,3)))</f>
        <v> </v>
      </c>
      <c r="BS73" s="0" t="str">
        <f aca="false">IF($A73="N/A"," ",(VLOOKUP($A73,NumberofDaysTable,4)))</f>
        <v> </v>
      </c>
    </row>
    <row r="74" customFormat="false" ht="12.75" hidden="false" customHeight="false" outlineLevel="0" collapsed="false">
      <c r="A74" s="315" t="str">
        <f aca="false">IF(A73="N/A","N/A",IF(EDATE(A73,1)&gt;Inputs!$Q$5,"N/A",EDATE(A73,1)))</f>
        <v>N/A</v>
      </c>
      <c r="B74" s="316" t="str">
        <f aca="false">IF(A74="N/A"," ",YEAR(A74))</f>
        <v> </v>
      </c>
      <c r="C74" s="317" t="str">
        <f aca="false">IF($A74="N/A"," ",IF(Dayrun3=10,0,IF(Scaler3=1,(VLOOKUP(A74,ScaledPrice3,4)),(VLOOKUP(A74,ScaledPrice3,2)))))</f>
        <v> </v>
      </c>
      <c r="D74" s="317" t="str">
        <f aca="false">IF(A74="N/A"," ",IF(Dayrun3&gt;=7,0,IF(Scaler3=2,VLOOKUP(A74,ScaledPrice3,2),(VLOOKUP(A74,ScaledPrice3,2))*(2-(VLOOKUP(A74,ScaledPrice3,3))))))</f>
        <v> </v>
      </c>
      <c r="E74" s="317" t="str">
        <f aca="false">IF($A74="N/A"," ",IF(AND(Dayrun3&gt;=4,Dayrun3&lt;=9),0,VLOOKUP($A74,ScaledPrice3,9)))</f>
        <v> </v>
      </c>
      <c r="F74" s="317" t="str">
        <f aca="false">IF(A74="N/A"," ",IF(OR(Dayrun3=2,Dayrun3=3,Dayrun3=5,Dayrun3=6,Dayrun3=8,Dayrun3=9),VLOOKUP(A74,ScaledPrice3,IF(Scaler3=1,6,5)),0))</f>
        <v> </v>
      </c>
      <c r="G74" s="317" t="str">
        <f aca="false">IF(A74="N/A"," ",IF(OR(Dayrun3=2,Dayrun3=3,Dayrun3=5,Dayrun3=6),IF(Scaler3=2,F74,(VLOOKUP(A74,ScaledPrice3,5))*(2-(VLOOKUP(A74,ScaledPrice3,3)))),0))</f>
        <v> </v>
      </c>
      <c r="H74" s="317" t="str">
        <f aca="false">IF($A74="N/A"," ",IF(OR(Dayrun3=2,Dayrun3=3,Dayrun3=10),VLOOKUP($A74,ScaledPrice3,9),0))</f>
        <v> </v>
      </c>
      <c r="I74" s="317" t="str">
        <f aca="false">IF(A74="N/A"," ",IF(OR(Dayrun3=3,Dayrun3=6,Dayrun3=9),(VLOOKUP(A74,ScaledPrice3,IF(Scaler3=2,7,8))),0))</f>
        <v> </v>
      </c>
      <c r="J74" s="317" t="str">
        <f aca="false">IF(A74="N/A"," ",IF(OR(Dayrun3=3,Dayrun3=6),IF(Scaler3=2,I74,(VLOOKUP(A74,ScaledPrice3,7))*(2-(VLOOKUP(A74,ScaledPrice3,3)))),0))</f>
        <v> </v>
      </c>
      <c r="K74" s="317" t="str">
        <f aca="false">IF($A74="N/A"," ",IF(OR(Dayrun3=3,Dayrun3=10),VLOOKUP($A74,ScaledPrice3,9),0))</f>
        <v> </v>
      </c>
      <c r="L74" s="318" t="str">
        <f aca="false">IF($A74="N/A"," ",IF(Pricetype3=2,MAX(C74,0),IF(OR(Pricetype3=1,Pricetype3=4),IF(C74=0,0,(EURO(C74,Strikeprice3,0,0,($AH74+IF(Smile=TRUE(),VLOOKUP(MAX(-5,Strikeprice3-C74),Volsmile,2),0)),($A74-DateToday)+15,IF(Pricetype3=1,1,0),0))),C74)))</f>
        <v> </v>
      </c>
      <c r="M74" s="318" t="str">
        <f aca="false">IF($A74="N/A"," ",IF(Pricetype3=2,MAX(D74,0),IF(OR(Pricetype3=1,Pricetype3=4),IF(D74=0,0,(EURO(D74,Strikeprice3,0,0,($AH74+IF(Smile=TRUE(),VLOOKUP(MAX(-5,Strikeprice3-D74),Volsmile,2),0)),($A74-DateToday)+15,IF(Pricetype3=1,1,0),0))),D74)))</f>
        <v> </v>
      </c>
      <c r="N74" s="318" t="str">
        <f aca="false">IF($A74="N/A"," ",IF(Pricetype3=2,MAX(E74,0),IF(OR(Pricetype3=1,Pricetype3=4),IF(E74=0,0,(EURO(E74,Strikeprice3,0,0,($AK74+IF(Smile=TRUE(),VLOOKUP(MAX(-5,Strikeprice3-E74),Volsmile,2),0)),($A74-DateToday)+15,IF(Pricetype3=1,1,0),0))),E74)))</f>
        <v> </v>
      </c>
      <c r="O74" s="318" t="str">
        <f aca="false">IF($A74="N/A"," ",IF(Pricetype3=2,MAX(F74,0),IF(OR(Pricetype3=1,Pricetype3=4),IF(F74=0,0,(EURO(F74,Strikeprice3,0,0,($AK74+IF(Smile=TRUE(),VLOOKUP(MAX(-5,Strikeprice3-F74),Volsmile,2),0)),($A74-DateToday)+15,IF(Pricetype3=1,1,0),0))),F74)))</f>
        <v> </v>
      </c>
      <c r="P74" s="318" t="str">
        <f aca="false">IF($A74="N/A"," ",IF(Pricetype3=2,MAX(G74,0),IF(OR(Pricetype3=1,Pricetype3=4),IF(G74=0,0,(EURO(G74,Strikeprice3,0,0,($AK74+IF(Smile=TRUE(),VLOOKUP(MAX(-5,Strikeprice3-G74),Volsmile,2),0)),($A74-DateToday)+15,IF(Pricetype3=1,1,0),0))),G74)))</f>
        <v> </v>
      </c>
      <c r="Q74" s="318" t="str">
        <f aca="false">IF($A74="N/A"," ",IF(Pricetype3=2,MAX(H74,0),IF(OR(Pricetype3=1,Pricetype3=4),IF(H74=0,0,(EURO(H74,Strikeprice3,0,0,($AK74+IF(Smile=TRUE(),VLOOKUP(MAX(-5,Strikeprice3-H74),Volsmile,2),0)),($A74-DateToday)+15,IF(Pricetype3=1,1,0),0))),H74)))</f>
        <v> </v>
      </c>
      <c r="R74" s="318" t="str">
        <f aca="false">IF($A74="N/A"," ",IF(Pricetype3=2,MAX(I74,0),IF(OR(Pricetype3=1,Pricetype3=4),IF(I74=0,0,(EURO(I74,Strikeprice3,0,0,($AK74+IF(Smile=TRUE(),VLOOKUP(MAX(-5,Strikeprice3-I74),Volsmile,2),0)),($A74-DateToday)+15,IF(Pricetype3=1,1,0),0))),I74)))</f>
        <v> </v>
      </c>
      <c r="S74" s="318" t="str">
        <f aca="false">IF($A74="N/A"," ",IF(Pricetype3=2,MAX(J74,0),IF(OR(Pricetype3=1,Pricetype3=4),IF(J74=0,0,(EURO(J74,Strikeprice3,0,0,($AK74+IF(Smile=TRUE(),VLOOKUP(MAX(-5,Strikeprice3-J74),Volsmile,2),0)),($A74-DateToday)+15,IF(Pricetype3=1,1,0),0))),J74)))</f>
        <v> </v>
      </c>
      <c r="T74" s="318" t="str">
        <f aca="false">IF($A74="N/A"," ",IF(Pricetype3=2,MAX(K74,0),IF(OR(Pricetype3=1,Pricetype3=4),IF(K74=0,0,(EURO(K74,Strikeprice3,0,0,($AK74+IF(Smile=TRUE(),VLOOKUP(MAX(-5,Strikeprice3-K74),Volsmile,2),0)),($A74-DateToday)+15,IF(Pricetype3=1,1,0),0))),K74)))</f>
        <v> </v>
      </c>
      <c r="U74" s="319" t="str">
        <f aca="false">IF($A74="N/A"," ",Volume3*$AM74)</f>
        <v> </v>
      </c>
      <c r="V74" s="320" t="str">
        <f aca="false">IF($A74="N/A"," ",$U74*(8*($BQ74))*L74)</f>
        <v> </v>
      </c>
      <c r="W74" s="320" t="str">
        <f aca="false">IF($A74="N/A"," ",$U74*(8*($BQ74))*M74)</f>
        <v> </v>
      </c>
      <c r="X74" s="320" t="str">
        <f aca="false">IF($A74="N/A"," ",$U74*(8*($BQ74))*N74)</f>
        <v> </v>
      </c>
      <c r="Y74" s="320" t="str">
        <f aca="false">IF($A74="N/A"," ",$U74*(8*($BR74))*O74)</f>
        <v> </v>
      </c>
      <c r="Z74" s="320" t="str">
        <f aca="false">IF($A74="N/A"," ",$U74*(8*($BR74))*P74)</f>
        <v> </v>
      </c>
      <c r="AA74" s="320" t="str">
        <f aca="false">IF($A74="N/A"," ",$U74*(8*($BR74))*Q74)</f>
        <v> </v>
      </c>
      <c r="AB74" s="320" t="str">
        <f aca="false">IF($A74="N/A"," ",$U74*(8*($BS74))*R74)</f>
        <v> </v>
      </c>
      <c r="AC74" s="320" t="str">
        <f aca="false">IF($A74="N/A"," ",$U74*(8*($BS74))*S74)</f>
        <v> </v>
      </c>
      <c r="AD74" s="320" t="str">
        <f aca="false">IF($A74="N/A"," ",$U74*(8*($BS74))*T74)</f>
        <v> </v>
      </c>
      <c r="AE74" s="320" t="str">
        <f aca="false">IF($A74="N/A"," ",SUM(V74:AD74))</f>
        <v> </v>
      </c>
      <c r="AF74" s="321" t="str">
        <f aca="false">IF(A74="N/A"," ",(VLOOKUP(A74,PowerVolTable,(IF(VolBMO3=2,7,IF(VolBMO3=1,6,8))),FALSE())))</f>
        <v> </v>
      </c>
      <c r="AG74" s="321" t="str">
        <f aca="false">IF(A74="N/A"," ",(VLOOKUP(A74,IntraPowerVol,(IF(VolBMO3=2,3,IF(VolBMO3=1,2,4))),FALSE())*VLOOKUP(MONTH($A74),Volscale,2)))</f>
        <v> </v>
      </c>
      <c r="AH74" s="321" t="str">
        <f aca="false">IF($A74="N/A"," ",IF(VolType3=1,AG74,AF74))</f>
        <v> </v>
      </c>
      <c r="AI74" s="321" t="str">
        <f aca="false">IF($A74="N/A"," ",(VLOOKUP($A74,OffPwrVolTable,(IF(VolBMO3=2,7,IF(VolBMO3=1,6,8))),FALSE())))</f>
        <v> </v>
      </c>
      <c r="AJ74" s="321" t="str">
        <f aca="false">IF($A74="N/A"," ",(VLOOKUP($A74,OffPwrVolTable,(IF(VolBMO3=2,3,IF(VolBMO3=1,2,4))),FALSE())*VLOOKUP(MONTH($A74),Volscale,2)))</f>
        <v> </v>
      </c>
      <c r="AK74" s="321" t="str">
        <f aca="false">IF($A74="N/A"," ",IF(VolType3=1,AJ74,AI74))</f>
        <v> </v>
      </c>
      <c r="AL74" s="321" t="str">
        <f aca="false">IF($A74="N/A"," ",IF(PV=1,0,'Pricing Inputs3'!R107))</f>
        <v> </v>
      </c>
      <c r="AM74" s="323" t="str">
        <f aca="false">IF($A74="N/A"," ",(1+AL74/2)^(-2*((EOMONTH(A74,0)+20)-DateToday)/365.25))</f>
        <v> </v>
      </c>
      <c r="BQ74" s="0" t="str">
        <f aca="false">IF($A74="N/A"," ",(VLOOKUP($A74,NumberofDaysTable,2)))</f>
        <v> </v>
      </c>
      <c r="BR74" s="0" t="str">
        <f aca="false">IF($A74="N/A"," ",(VLOOKUP($A74,NumberofDaysTable,3)))</f>
        <v> </v>
      </c>
      <c r="BS74" s="0" t="str">
        <f aca="false">IF($A74="N/A"," ",(VLOOKUP($A74,NumberofDaysTable,4)))</f>
        <v> </v>
      </c>
    </row>
    <row r="75" customFormat="false" ht="12.75" hidden="false" customHeight="false" outlineLevel="0" collapsed="false">
      <c r="A75" s="315" t="str">
        <f aca="false">IF(A74="N/A","N/A",IF(EDATE(A74,1)&gt;Inputs!$Q$5,"N/A",EDATE(A74,1)))</f>
        <v>N/A</v>
      </c>
      <c r="B75" s="316" t="str">
        <f aca="false">IF(A75="N/A"," ",YEAR(A75))</f>
        <v> </v>
      </c>
      <c r="C75" s="317" t="str">
        <f aca="false">IF($A75="N/A"," ",IF(Dayrun3=10,0,IF(Scaler3=1,(VLOOKUP(A75,ScaledPrice3,4)),(VLOOKUP(A75,ScaledPrice3,2)))))</f>
        <v> </v>
      </c>
      <c r="D75" s="317" t="str">
        <f aca="false">IF(A75="N/A"," ",IF(Dayrun3&gt;=7,0,IF(Scaler3=2,VLOOKUP(A75,ScaledPrice3,2),(VLOOKUP(A75,ScaledPrice3,2))*(2-(VLOOKUP(A75,ScaledPrice3,3))))))</f>
        <v> </v>
      </c>
      <c r="E75" s="317" t="str">
        <f aca="false">IF($A75="N/A"," ",IF(AND(Dayrun3&gt;=4,Dayrun3&lt;=9),0,VLOOKUP($A75,ScaledPrice3,9)))</f>
        <v> </v>
      </c>
      <c r="F75" s="317" t="str">
        <f aca="false">IF(A75="N/A"," ",IF(OR(Dayrun3=2,Dayrun3=3,Dayrun3=5,Dayrun3=6,Dayrun3=8,Dayrun3=9),VLOOKUP(A75,ScaledPrice3,IF(Scaler3=1,6,5)),0))</f>
        <v> </v>
      </c>
      <c r="G75" s="317" t="str">
        <f aca="false">IF(A75="N/A"," ",IF(OR(Dayrun3=2,Dayrun3=3,Dayrun3=5,Dayrun3=6),IF(Scaler3=2,F75,(VLOOKUP(A75,ScaledPrice3,5))*(2-(VLOOKUP(A75,ScaledPrice3,3)))),0))</f>
        <v> </v>
      </c>
      <c r="H75" s="317" t="str">
        <f aca="false">IF($A75="N/A"," ",IF(OR(Dayrun3=2,Dayrun3=3,Dayrun3=10),VLOOKUP($A75,ScaledPrice3,9),0))</f>
        <v> </v>
      </c>
      <c r="I75" s="317" t="str">
        <f aca="false">IF(A75="N/A"," ",IF(OR(Dayrun3=3,Dayrun3=6,Dayrun3=9),(VLOOKUP(A75,ScaledPrice3,IF(Scaler3=2,7,8))),0))</f>
        <v> </v>
      </c>
      <c r="J75" s="317" t="str">
        <f aca="false">IF(A75="N/A"," ",IF(OR(Dayrun3=3,Dayrun3=6),IF(Scaler3=2,I75,(VLOOKUP(A75,ScaledPrice3,7))*(2-(VLOOKUP(A75,ScaledPrice3,3)))),0))</f>
        <v> </v>
      </c>
      <c r="K75" s="317" t="str">
        <f aca="false">IF($A75="N/A"," ",IF(OR(Dayrun3=3,Dayrun3=10),VLOOKUP($A75,ScaledPrice3,9),0))</f>
        <v> </v>
      </c>
      <c r="L75" s="318" t="str">
        <f aca="false">IF($A75="N/A"," ",IF(Pricetype3=2,MAX(C75,0),IF(OR(Pricetype3=1,Pricetype3=4),IF(C75=0,0,(EURO(C75,Strikeprice3,0,0,($AH75+IF(Smile=TRUE(),VLOOKUP(MAX(-5,Strikeprice3-C75),Volsmile,2),0)),($A75-DateToday)+15,IF(Pricetype3=1,1,0),0))),C75)))</f>
        <v> </v>
      </c>
      <c r="M75" s="318" t="str">
        <f aca="false">IF($A75="N/A"," ",IF(Pricetype3=2,MAX(D75,0),IF(OR(Pricetype3=1,Pricetype3=4),IF(D75=0,0,(EURO(D75,Strikeprice3,0,0,($AH75+IF(Smile=TRUE(),VLOOKUP(MAX(-5,Strikeprice3-D75),Volsmile,2),0)),($A75-DateToday)+15,IF(Pricetype3=1,1,0),0))),D75)))</f>
        <v> </v>
      </c>
      <c r="N75" s="318" t="str">
        <f aca="false">IF($A75="N/A"," ",IF(Pricetype3=2,MAX(E75,0),IF(OR(Pricetype3=1,Pricetype3=4),IF(E75=0,0,(EURO(E75,Strikeprice3,0,0,($AK75+IF(Smile=TRUE(),VLOOKUP(MAX(-5,Strikeprice3-E75),Volsmile,2),0)),($A75-DateToday)+15,IF(Pricetype3=1,1,0),0))),E75)))</f>
        <v> </v>
      </c>
      <c r="O75" s="318" t="str">
        <f aca="false">IF($A75="N/A"," ",IF(Pricetype3=2,MAX(F75,0),IF(OR(Pricetype3=1,Pricetype3=4),IF(F75=0,0,(EURO(F75,Strikeprice3,0,0,($AK75+IF(Smile=TRUE(),VLOOKUP(MAX(-5,Strikeprice3-F75),Volsmile,2),0)),($A75-DateToday)+15,IF(Pricetype3=1,1,0),0))),F75)))</f>
        <v> </v>
      </c>
      <c r="P75" s="318" t="str">
        <f aca="false">IF($A75="N/A"," ",IF(Pricetype3=2,MAX(G75,0),IF(OR(Pricetype3=1,Pricetype3=4),IF(G75=0,0,(EURO(G75,Strikeprice3,0,0,($AK75+IF(Smile=TRUE(),VLOOKUP(MAX(-5,Strikeprice3-G75),Volsmile,2),0)),($A75-DateToday)+15,IF(Pricetype3=1,1,0),0))),G75)))</f>
        <v> </v>
      </c>
      <c r="Q75" s="318" t="str">
        <f aca="false">IF($A75="N/A"," ",IF(Pricetype3=2,MAX(H75,0),IF(OR(Pricetype3=1,Pricetype3=4),IF(H75=0,0,(EURO(H75,Strikeprice3,0,0,($AK75+IF(Smile=TRUE(),VLOOKUP(MAX(-5,Strikeprice3-H75),Volsmile,2),0)),($A75-DateToday)+15,IF(Pricetype3=1,1,0),0))),H75)))</f>
        <v> </v>
      </c>
      <c r="R75" s="318" t="str">
        <f aca="false">IF($A75="N/A"," ",IF(Pricetype3=2,MAX(I75,0),IF(OR(Pricetype3=1,Pricetype3=4),IF(I75=0,0,(EURO(I75,Strikeprice3,0,0,($AK75+IF(Smile=TRUE(),VLOOKUP(MAX(-5,Strikeprice3-I75),Volsmile,2),0)),($A75-DateToday)+15,IF(Pricetype3=1,1,0),0))),I75)))</f>
        <v> </v>
      </c>
      <c r="S75" s="318" t="str">
        <f aca="false">IF($A75="N/A"," ",IF(Pricetype3=2,MAX(J75,0),IF(OR(Pricetype3=1,Pricetype3=4),IF(J75=0,0,(EURO(J75,Strikeprice3,0,0,($AK75+IF(Smile=TRUE(),VLOOKUP(MAX(-5,Strikeprice3-J75),Volsmile,2),0)),($A75-DateToday)+15,IF(Pricetype3=1,1,0),0))),J75)))</f>
        <v> </v>
      </c>
      <c r="T75" s="318" t="str">
        <f aca="false">IF($A75="N/A"," ",IF(Pricetype3=2,MAX(K75,0),IF(OR(Pricetype3=1,Pricetype3=4),IF(K75=0,0,(EURO(K75,Strikeprice3,0,0,($AK75+IF(Smile=TRUE(),VLOOKUP(MAX(-5,Strikeprice3-K75),Volsmile,2),0)),($A75-DateToday)+15,IF(Pricetype3=1,1,0),0))),K75)))</f>
        <v> </v>
      </c>
      <c r="U75" s="319" t="str">
        <f aca="false">IF($A75="N/A"," ",Volume3*$AM75)</f>
        <v> </v>
      </c>
      <c r="V75" s="320" t="str">
        <f aca="false">IF($A75="N/A"," ",$U75*(8*($BQ75))*L75)</f>
        <v> </v>
      </c>
      <c r="W75" s="320" t="str">
        <f aca="false">IF($A75="N/A"," ",$U75*(8*($BQ75))*M75)</f>
        <v> </v>
      </c>
      <c r="X75" s="320" t="str">
        <f aca="false">IF($A75="N/A"," ",$U75*(8*($BQ75))*N75)</f>
        <v> </v>
      </c>
      <c r="Y75" s="320" t="str">
        <f aca="false">IF($A75="N/A"," ",$U75*(8*($BR75))*O75)</f>
        <v> </v>
      </c>
      <c r="Z75" s="320" t="str">
        <f aca="false">IF($A75="N/A"," ",$U75*(8*($BR75))*P75)</f>
        <v> </v>
      </c>
      <c r="AA75" s="320" t="str">
        <f aca="false">IF($A75="N/A"," ",$U75*(8*($BR75))*Q75)</f>
        <v> </v>
      </c>
      <c r="AB75" s="320" t="str">
        <f aca="false">IF($A75="N/A"," ",$U75*(8*($BS75))*R75)</f>
        <v> </v>
      </c>
      <c r="AC75" s="320" t="str">
        <f aca="false">IF($A75="N/A"," ",$U75*(8*($BS75))*S75)</f>
        <v> </v>
      </c>
      <c r="AD75" s="320" t="str">
        <f aca="false">IF($A75="N/A"," ",$U75*(8*($BS75))*T75)</f>
        <v> </v>
      </c>
      <c r="AE75" s="320" t="str">
        <f aca="false">IF($A75="N/A"," ",SUM(V75:AD75))</f>
        <v> </v>
      </c>
      <c r="AF75" s="321" t="str">
        <f aca="false">IF(A75="N/A"," ",(VLOOKUP(A75,PowerVolTable,(IF(VolBMO3=2,7,IF(VolBMO3=1,6,8))),FALSE())))</f>
        <v> </v>
      </c>
      <c r="AG75" s="321" t="str">
        <f aca="false">IF(A75="N/A"," ",(VLOOKUP(A75,IntraPowerVol,(IF(VolBMO3=2,3,IF(VolBMO3=1,2,4))),FALSE())*VLOOKUP(MONTH($A75),Volscale,2)))</f>
        <v> </v>
      </c>
      <c r="AH75" s="321" t="str">
        <f aca="false">IF($A75="N/A"," ",IF(VolType3=1,AG75,AF75))</f>
        <v> </v>
      </c>
      <c r="AI75" s="321" t="str">
        <f aca="false">IF($A75="N/A"," ",(VLOOKUP($A75,OffPwrVolTable,(IF(VolBMO3=2,7,IF(VolBMO3=1,6,8))),FALSE())))</f>
        <v> </v>
      </c>
      <c r="AJ75" s="321" t="str">
        <f aca="false">IF($A75="N/A"," ",(VLOOKUP($A75,OffPwrVolTable,(IF(VolBMO3=2,3,IF(VolBMO3=1,2,4))),FALSE())*VLOOKUP(MONTH($A75),Volscale,2)))</f>
        <v> </v>
      </c>
      <c r="AK75" s="321" t="str">
        <f aca="false">IF($A75="N/A"," ",IF(VolType3=1,AJ75,AI75))</f>
        <v> </v>
      </c>
      <c r="AL75" s="321" t="str">
        <f aca="false">IF($A75="N/A"," ",IF(PV=1,0,'Pricing Inputs3'!R108))</f>
        <v> </v>
      </c>
      <c r="AM75" s="323" t="str">
        <f aca="false">IF($A75="N/A"," ",(1+AL75/2)^(-2*((EOMONTH(A75,0)+20)-DateToday)/365.25))</f>
        <v> </v>
      </c>
      <c r="BQ75" s="0" t="str">
        <f aca="false">IF($A75="N/A"," ",(VLOOKUP($A75,NumberofDaysTable,2)))</f>
        <v> </v>
      </c>
      <c r="BR75" s="0" t="str">
        <f aca="false">IF($A75="N/A"," ",(VLOOKUP($A75,NumberofDaysTable,3)))</f>
        <v> </v>
      </c>
      <c r="BS75" s="0" t="str">
        <f aca="false">IF($A75="N/A"," ",(VLOOKUP($A75,NumberofDaysTable,4)))</f>
        <v> </v>
      </c>
    </row>
    <row r="76" customFormat="false" ht="12.75" hidden="false" customHeight="false" outlineLevel="0" collapsed="false">
      <c r="A76" s="315" t="str">
        <f aca="false">IF(A75="N/A","N/A",IF(EDATE(A75,1)&gt;Inputs!$Q$5,"N/A",EDATE(A75,1)))</f>
        <v>N/A</v>
      </c>
      <c r="B76" s="316" t="str">
        <f aca="false">IF(A76="N/A"," ",YEAR(A76))</f>
        <v> </v>
      </c>
      <c r="C76" s="317" t="str">
        <f aca="false">IF($A76="N/A"," ",IF(Dayrun3=10,0,IF(Scaler3=1,(VLOOKUP(A76,ScaledPrice3,4)),(VLOOKUP(A76,ScaledPrice3,2)))))</f>
        <v> </v>
      </c>
      <c r="D76" s="317" t="str">
        <f aca="false">IF(A76="N/A"," ",IF(Dayrun3&gt;=7,0,IF(Scaler3=2,VLOOKUP(A76,ScaledPrice3,2),(VLOOKUP(A76,ScaledPrice3,2))*(2-(VLOOKUP(A76,ScaledPrice3,3))))))</f>
        <v> </v>
      </c>
      <c r="E76" s="317" t="str">
        <f aca="false">IF($A76="N/A"," ",IF(AND(Dayrun3&gt;=4,Dayrun3&lt;=9),0,VLOOKUP($A76,ScaledPrice3,9)))</f>
        <v> </v>
      </c>
      <c r="F76" s="317" t="str">
        <f aca="false">IF(A76="N/A"," ",IF(OR(Dayrun3=2,Dayrun3=3,Dayrun3=5,Dayrun3=6,Dayrun3=8,Dayrun3=9),VLOOKUP(A76,ScaledPrice3,IF(Scaler3=1,6,5)),0))</f>
        <v> </v>
      </c>
      <c r="G76" s="317" t="str">
        <f aca="false">IF(A76="N/A"," ",IF(OR(Dayrun3=2,Dayrun3=3,Dayrun3=5,Dayrun3=6),IF(Scaler3=2,F76,(VLOOKUP(A76,ScaledPrice3,5))*(2-(VLOOKUP(A76,ScaledPrice3,3)))),0))</f>
        <v> </v>
      </c>
      <c r="H76" s="317" t="str">
        <f aca="false">IF($A76="N/A"," ",IF(OR(Dayrun3=2,Dayrun3=3,Dayrun3=10),VLOOKUP($A76,ScaledPrice3,9),0))</f>
        <v> </v>
      </c>
      <c r="I76" s="317" t="str">
        <f aca="false">IF(A76="N/A"," ",IF(OR(Dayrun3=3,Dayrun3=6,Dayrun3=9),(VLOOKUP(A76,ScaledPrice3,IF(Scaler3=2,7,8))),0))</f>
        <v> </v>
      </c>
      <c r="J76" s="317" t="str">
        <f aca="false">IF(A76="N/A"," ",IF(OR(Dayrun3=3,Dayrun3=6),IF(Scaler3=2,I76,(VLOOKUP(A76,ScaledPrice3,7))*(2-(VLOOKUP(A76,ScaledPrice3,3)))),0))</f>
        <v> </v>
      </c>
      <c r="K76" s="317" t="str">
        <f aca="false">IF($A76="N/A"," ",IF(OR(Dayrun3=3,Dayrun3=10),VLOOKUP($A76,ScaledPrice3,9),0))</f>
        <v> </v>
      </c>
      <c r="L76" s="318" t="str">
        <f aca="false">IF($A76="N/A"," ",IF(Pricetype3=2,MAX(C76,0),IF(OR(Pricetype3=1,Pricetype3=4),IF(C76=0,0,(EURO(C76,Strikeprice3,0,0,($AH76+IF(Smile=TRUE(),VLOOKUP(MAX(-5,Strikeprice3-C76),Volsmile,2),0)),($A76-DateToday)+15,IF(Pricetype3=1,1,0),0))),C76)))</f>
        <v> </v>
      </c>
      <c r="M76" s="318" t="str">
        <f aca="false">IF($A76="N/A"," ",IF(Pricetype3=2,MAX(D76,0),IF(OR(Pricetype3=1,Pricetype3=4),IF(D76=0,0,(EURO(D76,Strikeprice3,0,0,($AH76+IF(Smile=TRUE(),VLOOKUP(MAX(-5,Strikeprice3-D76),Volsmile,2),0)),($A76-DateToday)+15,IF(Pricetype3=1,1,0),0))),D76)))</f>
        <v> </v>
      </c>
      <c r="N76" s="318" t="str">
        <f aca="false">IF($A76="N/A"," ",IF(Pricetype3=2,MAX(E76,0),IF(OR(Pricetype3=1,Pricetype3=4),IF(E76=0,0,(EURO(E76,Strikeprice3,0,0,($AK76+IF(Smile=TRUE(),VLOOKUP(MAX(-5,Strikeprice3-E76),Volsmile,2),0)),($A76-DateToday)+15,IF(Pricetype3=1,1,0),0))),E76)))</f>
        <v> </v>
      </c>
      <c r="O76" s="318" t="str">
        <f aca="false">IF($A76="N/A"," ",IF(Pricetype3=2,MAX(F76,0),IF(OR(Pricetype3=1,Pricetype3=4),IF(F76=0,0,(EURO(F76,Strikeprice3,0,0,($AK76+IF(Smile=TRUE(),VLOOKUP(MAX(-5,Strikeprice3-F76),Volsmile,2),0)),($A76-DateToday)+15,IF(Pricetype3=1,1,0),0))),F76)))</f>
        <v> </v>
      </c>
      <c r="P76" s="318" t="str">
        <f aca="false">IF($A76="N/A"," ",IF(Pricetype3=2,MAX(G76,0),IF(OR(Pricetype3=1,Pricetype3=4),IF(G76=0,0,(EURO(G76,Strikeprice3,0,0,($AK76+IF(Smile=TRUE(),VLOOKUP(MAX(-5,Strikeprice3-G76),Volsmile,2),0)),($A76-DateToday)+15,IF(Pricetype3=1,1,0),0))),G76)))</f>
        <v> </v>
      </c>
      <c r="Q76" s="318" t="str">
        <f aca="false">IF($A76="N/A"," ",IF(Pricetype3=2,MAX(H76,0),IF(OR(Pricetype3=1,Pricetype3=4),IF(H76=0,0,(EURO(H76,Strikeprice3,0,0,($AK76+IF(Smile=TRUE(),VLOOKUP(MAX(-5,Strikeprice3-H76),Volsmile,2),0)),($A76-DateToday)+15,IF(Pricetype3=1,1,0),0))),H76)))</f>
        <v> </v>
      </c>
      <c r="R76" s="318" t="str">
        <f aca="false">IF($A76="N/A"," ",IF(Pricetype3=2,MAX(I76,0),IF(OR(Pricetype3=1,Pricetype3=4),IF(I76=0,0,(EURO(I76,Strikeprice3,0,0,($AK76+IF(Smile=TRUE(),VLOOKUP(MAX(-5,Strikeprice3-I76),Volsmile,2),0)),($A76-DateToday)+15,IF(Pricetype3=1,1,0),0))),I76)))</f>
        <v> </v>
      </c>
      <c r="S76" s="318" t="str">
        <f aca="false">IF($A76="N/A"," ",IF(Pricetype3=2,MAX(J76,0),IF(OR(Pricetype3=1,Pricetype3=4),IF(J76=0,0,(EURO(J76,Strikeprice3,0,0,($AK76+IF(Smile=TRUE(),VLOOKUP(MAX(-5,Strikeprice3-J76),Volsmile,2),0)),($A76-DateToday)+15,IF(Pricetype3=1,1,0),0))),J76)))</f>
        <v> </v>
      </c>
      <c r="T76" s="318" t="str">
        <f aca="false">IF($A76="N/A"," ",IF(Pricetype3=2,MAX(K76,0),IF(OR(Pricetype3=1,Pricetype3=4),IF(K76=0,0,(EURO(K76,Strikeprice3,0,0,($AK76+IF(Smile=TRUE(),VLOOKUP(MAX(-5,Strikeprice3-K76),Volsmile,2),0)),($A76-DateToday)+15,IF(Pricetype3=1,1,0),0))),K76)))</f>
        <v> </v>
      </c>
      <c r="U76" s="319" t="str">
        <f aca="false">IF($A76="N/A"," ",Volume3*$AM76)</f>
        <v> </v>
      </c>
      <c r="V76" s="320" t="str">
        <f aca="false">IF($A76="N/A"," ",$U76*(8*($BQ76))*L76)</f>
        <v> </v>
      </c>
      <c r="W76" s="320" t="str">
        <f aca="false">IF($A76="N/A"," ",$U76*(8*($BQ76))*M76)</f>
        <v> </v>
      </c>
      <c r="X76" s="320" t="str">
        <f aca="false">IF($A76="N/A"," ",$U76*(8*($BQ76))*N76)</f>
        <v> </v>
      </c>
      <c r="Y76" s="320" t="str">
        <f aca="false">IF($A76="N/A"," ",$U76*(8*($BR76))*O76)</f>
        <v> </v>
      </c>
      <c r="Z76" s="320" t="str">
        <f aca="false">IF($A76="N/A"," ",$U76*(8*($BR76))*P76)</f>
        <v> </v>
      </c>
      <c r="AA76" s="320" t="str">
        <f aca="false">IF($A76="N/A"," ",$U76*(8*($BR76))*Q76)</f>
        <v> </v>
      </c>
      <c r="AB76" s="320" t="str">
        <f aca="false">IF($A76="N/A"," ",$U76*(8*($BS76))*R76)</f>
        <v> </v>
      </c>
      <c r="AC76" s="320" t="str">
        <f aca="false">IF($A76="N/A"," ",$U76*(8*($BS76))*S76)</f>
        <v> </v>
      </c>
      <c r="AD76" s="320" t="str">
        <f aca="false">IF($A76="N/A"," ",$U76*(8*($BS76))*T76)</f>
        <v> </v>
      </c>
      <c r="AE76" s="320" t="str">
        <f aca="false">IF($A76="N/A"," ",SUM(V76:AD76))</f>
        <v> </v>
      </c>
      <c r="AF76" s="321" t="str">
        <f aca="false">IF(A76="N/A"," ",(VLOOKUP(A76,PowerVolTable,(IF(VolBMO3=2,7,IF(VolBMO3=1,6,8))),FALSE())))</f>
        <v> </v>
      </c>
      <c r="AG76" s="321" t="str">
        <f aca="false">IF(A76="N/A"," ",(VLOOKUP(A76,IntraPowerVol,(IF(VolBMO3=2,3,IF(VolBMO3=1,2,4))),FALSE())*VLOOKUP(MONTH($A76),Volscale,2)))</f>
        <v> </v>
      </c>
      <c r="AH76" s="321" t="str">
        <f aca="false">IF($A76="N/A"," ",IF(VolType3=1,AG76,AF76))</f>
        <v> </v>
      </c>
      <c r="AI76" s="321" t="str">
        <f aca="false">IF($A76="N/A"," ",(VLOOKUP($A76,OffPwrVolTable,(IF(VolBMO3=2,7,IF(VolBMO3=1,6,8))),FALSE())))</f>
        <v> </v>
      </c>
      <c r="AJ76" s="321" t="str">
        <f aca="false">IF($A76="N/A"," ",(VLOOKUP($A76,OffPwrVolTable,(IF(VolBMO3=2,3,IF(VolBMO3=1,2,4))),FALSE())*VLOOKUP(MONTH($A76),Volscale,2)))</f>
        <v> </v>
      </c>
      <c r="AK76" s="321" t="str">
        <f aca="false">IF($A76="N/A"," ",IF(VolType3=1,AJ76,AI76))</f>
        <v> </v>
      </c>
      <c r="AL76" s="321" t="str">
        <f aca="false">IF($A76="N/A"," ",IF(PV=1,0,'Pricing Inputs3'!R109))</f>
        <v> </v>
      </c>
      <c r="AM76" s="323" t="str">
        <f aca="false">IF($A76="N/A"," ",(1+AL76/2)^(-2*((EOMONTH(A76,0)+20)-DateToday)/365.25))</f>
        <v> </v>
      </c>
      <c r="BQ76" s="0" t="str">
        <f aca="false">IF($A76="N/A"," ",(VLOOKUP($A76,NumberofDaysTable,2)))</f>
        <v> </v>
      </c>
      <c r="BR76" s="0" t="str">
        <f aca="false">IF($A76="N/A"," ",(VLOOKUP($A76,NumberofDaysTable,3)))</f>
        <v> </v>
      </c>
      <c r="BS76" s="0" t="str">
        <f aca="false">IF($A76="N/A"," ",(VLOOKUP($A76,NumberofDaysTable,4)))</f>
        <v> </v>
      </c>
    </row>
    <row r="77" customFormat="false" ht="12.75" hidden="false" customHeight="false" outlineLevel="0" collapsed="false">
      <c r="A77" s="315" t="str">
        <f aca="false">IF(A76="N/A","N/A",IF(EDATE(A76,1)&gt;Inputs!$Q$5,"N/A",EDATE(A76,1)))</f>
        <v>N/A</v>
      </c>
      <c r="B77" s="316" t="str">
        <f aca="false">IF(A77="N/A"," ",YEAR(A77))</f>
        <v> </v>
      </c>
      <c r="C77" s="317" t="str">
        <f aca="false">IF($A77="N/A"," ",IF(Dayrun3=10,0,IF(Scaler3=1,(VLOOKUP(A77,ScaledPrice3,4)),(VLOOKUP(A77,ScaledPrice3,2)))))</f>
        <v> </v>
      </c>
      <c r="D77" s="317" t="str">
        <f aca="false">IF(A77="N/A"," ",IF(Dayrun3&gt;=7,0,IF(Scaler3=2,VLOOKUP(A77,ScaledPrice3,2),(VLOOKUP(A77,ScaledPrice3,2))*(2-(VLOOKUP(A77,ScaledPrice3,3))))))</f>
        <v> </v>
      </c>
      <c r="E77" s="317" t="str">
        <f aca="false">IF($A77="N/A"," ",IF(AND(Dayrun3&gt;=4,Dayrun3&lt;=9),0,VLOOKUP($A77,ScaledPrice3,9)))</f>
        <v> </v>
      </c>
      <c r="F77" s="317" t="str">
        <f aca="false">IF(A77="N/A"," ",IF(OR(Dayrun3=2,Dayrun3=3,Dayrun3=5,Dayrun3=6,Dayrun3=8,Dayrun3=9),VLOOKUP(A77,ScaledPrice3,IF(Scaler3=1,6,5)),0))</f>
        <v> </v>
      </c>
      <c r="G77" s="317" t="str">
        <f aca="false">IF(A77="N/A"," ",IF(OR(Dayrun3=2,Dayrun3=3,Dayrun3=5,Dayrun3=6),IF(Scaler3=2,F77,(VLOOKUP(A77,ScaledPrice3,5))*(2-(VLOOKUP(A77,ScaledPrice3,3)))),0))</f>
        <v> </v>
      </c>
      <c r="H77" s="317" t="str">
        <f aca="false">IF($A77="N/A"," ",IF(OR(Dayrun3=2,Dayrun3=3,Dayrun3=10),VLOOKUP($A77,ScaledPrice3,9),0))</f>
        <v> </v>
      </c>
      <c r="I77" s="317" t="str">
        <f aca="false">IF(A77="N/A"," ",IF(OR(Dayrun3=3,Dayrun3=6,Dayrun3=9),(VLOOKUP(A77,ScaledPrice3,IF(Scaler3=2,7,8))),0))</f>
        <v> </v>
      </c>
      <c r="J77" s="317" t="str">
        <f aca="false">IF(A77="N/A"," ",IF(OR(Dayrun3=3,Dayrun3=6),IF(Scaler3=2,I77,(VLOOKUP(A77,ScaledPrice3,7))*(2-(VLOOKUP(A77,ScaledPrice3,3)))),0))</f>
        <v> </v>
      </c>
      <c r="K77" s="317" t="str">
        <f aca="false">IF($A77="N/A"," ",IF(OR(Dayrun3=3,Dayrun3=10),VLOOKUP($A77,ScaledPrice3,9),0))</f>
        <v> </v>
      </c>
      <c r="L77" s="318" t="str">
        <f aca="false">IF($A77="N/A"," ",IF(Pricetype3=2,MAX(C77,0),IF(OR(Pricetype3=1,Pricetype3=4),IF(C77=0,0,(EURO(C77,Strikeprice3,0,0,($AH77+IF(Smile=TRUE(),VLOOKUP(MAX(-5,Strikeprice3-C77),Volsmile,2),0)),($A77-DateToday)+15,IF(Pricetype3=1,1,0),0))),C77)))</f>
        <v> </v>
      </c>
      <c r="M77" s="318" t="str">
        <f aca="false">IF($A77="N/A"," ",IF(Pricetype3=2,MAX(D77,0),IF(OR(Pricetype3=1,Pricetype3=4),IF(D77=0,0,(EURO(D77,Strikeprice3,0,0,($AH77+IF(Smile=TRUE(),VLOOKUP(MAX(-5,Strikeprice3-D77),Volsmile,2),0)),($A77-DateToday)+15,IF(Pricetype3=1,1,0),0))),D77)))</f>
        <v> </v>
      </c>
      <c r="N77" s="318" t="str">
        <f aca="false">IF($A77="N/A"," ",IF(Pricetype3=2,MAX(E77,0),IF(OR(Pricetype3=1,Pricetype3=4),IF(E77=0,0,(EURO(E77,Strikeprice3,0,0,($AK77+IF(Smile=TRUE(),VLOOKUP(MAX(-5,Strikeprice3-E77),Volsmile,2),0)),($A77-DateToday)+15,IF(Pricetype3=1,1,0),0))),E77)))</f>
        <v> </v>
      </c>
      <c r="O77" s="318" t="str">
        <f aca="false">IF($A77="N/A"," ",IF(Pricetype3=2,MAX(F77,0),IF(OR(Pricetype3=1,Pricetype3=4),IF(F77=0,0,(EURO(F77,Strikeprice3,0,0,($AK77+IF(Smile=TRUE(),VLOOKUP(MAX(-5,Strikeprice3-F77),Volsmile,2),0)),($A77-DateToday)+15,IF(Pricetype3=1,1,0),0))),F77)))</f>
        <v> </v>
      </c>
      <c r="P77" s="318" t="str">
        <f aca="false">IF($A77="N/A"," ",IF(Pricetype3=2,MAX(G77,0),IF(OR(Pricetype3=1,Pricetype3=4),IF(G77=0,0,(EURO(G77,Strikeprice3,0,0,($AK77+IF(Smile=TRUE(),VLOOKUP(MAX(-5,Strikeprice3-G77),Volsmile,2),0)),($A77-DateToday)+15,IF(Pricetype3=1,1,0),0))),G77)))</f>
        <v> </v>
      </c>
      <c r="Q77" s="318" t="str">
        <f aca="false">IF($A77="N/A"," ",IF(Pricetype3=2,MAX(H77,0),IF(OR(Pricetype3=1,Pricetype3=4),IF(H77=0,0,(EURO(H77,Strikeprice3,0,0,($AK77+IF(Smile=TRUE(),VLOOKUP(MAX(-5,Strikeprice3-H77),Volsmile,2),0)),($A77-DateToday)+15,IF(Pricetype3=1,1,0),0))),H77)))</f>
        <v> </v>
      </c>
      <c r="R77" s="318" t="str">
        <f aca="false">IF($A77="N/A"," ",IF(Pricetype3=2,MAX(I77,0),IF(OR(Pricetype3=1,Pricetype3=4),IF(I77=0,0,(EURO(I77,Strikeprice3,0,0,($AK77+IF(Smile=TRUE(),VLOOKUP(MAX(-5,Strikeprice3-I77),Volsmile,2),0)),($A77-DateToday)+15,IF(Pricetype3=1,1,0),0))),I77)))</f>
        <v> </v>
      </c>
      <c r="S77" s="318" t="str">
        <f aca="false">IF($A77="N/A"," ",IF(Pricetype3=2,MAX(J77,0),IF(OR(Pricetype3=1,Pricetype3=4),IF(J77=0,0,(EURO(J77,Strikeprice3,0,0,($AK77+IF(Smile=TRUE(),VLOOKUP(MAX(-5,Strikeprice3-J77),Volsmile,2),0)),($A77-DateToday)+15,IF(Pricetype3=1,1,0),0))),J77)))</f>
        <v> </v>
      </c>
      <c r="T77" s="318" t="str">
        <f aca="false">IF($A77="N/A"," ",IF(Pricetype3=2,MAX(K77,0),IF(OR(Pricetype3=1,Pricetype3=4),IF(K77=0,0,(EURO(K77,Strikeprice3,0,0,($AK77+IF(Smile=TRUE(),VLOOKUP(MAX(-5,Strikeprice3-K77),Volsmile,2),0)),($A77-DateToday)+15,IF(Pricetype3=1,1,0),0))),K77)))</f>
        <v> </v>
      </c>
      <c r="U77" s="319" t="str">
        <f aca="false">IF($A77="N/A"," ",Volume3*$AM77)</f>
        <v> </v>
      </c>
      <c r="V77" s="320" t="str">
        <f aca="false">IF($A77="N/A"," ",$U77*(8*($BQ77))*L77)</f>
        <v> </v>
      </c>
      <c r="W77" s="320" t="str">
        <f aca="false">IF($A77="N/A"," ",$U77*(8*($BQ77))*M77)</f>
        <v> </v>
      </c>
      <c r="X77" s="320" t="str">
        <f aca="false">IF($A77="N/A"," ",$U77*(8*($BQ77))*N77)</f>
        <v> </v>
      </c>
      <c r="Y77" s="320" t="str">
        <f aca="false">IF($A77="N/A"," ",$U77*(8*($BR77))*O77)</f>
        <v> </v>
      </c>
      <c r="Z77" s="320" t="str">
        <f aca="false">IF($A77="N/A"," ",$U77*(8*($BR77))*P77)</f>
        <v> </v>
      </c>
      <c r="AA77" s="320" t="str">
        <f aca="false">IF($A77="N/A"," ",$U77*(8*($BR77))*Q77)</f>
        <v> </v>
      </c>
      <c r="AB77" s="320" t="str">
        <f aca="false">IF($A77="N/A"," ",$U77*(8*($BS77))*R77)</f>
        <v> </v>
      </c>
      <c r="AC77" s="320" t="str">
        <f aca="false">IF($A77="N/A"," ",$U77*(8*($BS77))*S77)</f>
        <v> </v>
      </c>
      <c r="AD77" s="320" t="str">
        <f aca="false">IF($A77="N/A"," ",$U77*(8*($BS77))*T77)</f>
        <v> </v>
      </c>
      <c r="AE77" s="320" t="str">
        <f aca="false">IF($A77="N/A"," ",SUM(V77:AD77))</f>
        <v> </v>
      </c>
      <c r="AF77" s="321" t="str">
        <f aca="false">IF(A77="N/A"," ",(VLOOKUP(A77,PowerVolTable,(IF(VolBMO3=2,7,IF(VolBMO3=1,6,8))),FALSE())))</f>
        <v> </v>
      </c>
      <c r="AG77" s="321" t="str">
        <f aca="false">IF(A77="N/A"," ",(VLOOKUP(A77,IntraPowerVol,(IF(VolBMO3=2,3,IF(VolBMO3=1,2,4))),FALSE())*VLOOKUP(MONTH($A77),Volscale,2)))</f>
        <v> </v>
      </c>
      <c r="AH77" s="321" t="str">
        <f aca="false">IF($A77="N/A"," ",IF(VolType3=1,AG77,AF77))</f>
        <v> </v>
      </c>
      <c r="AI77" s="321" t="str">
        <f aca="false">IF($A77="N/A"," ",(VLOOKUP($A77,OffPwrVolTable,(IF(VolBMO3=2,7,IF(VolBMO3=1,6,8))),FALSE())))</f>
        <v> </v>
      </c>
      <c r="AJ77" s="321" t="str">
        <f aca="false">IF($A77="N/A"," ",(VLOOKUP($A77,OffPwrVolTable,(IF(VolBMO3=2,3,IF(VolBMO3=1,2,4))),FALSE())*VLOOKUP(MONTH($A77),Volscale,2)))</f>
        <v> </v>
      </c>
      <c r="AK77" s="321" t="str">
        <f aca="false">IF($A77="N/A"," ",IF(VolType3=1,AJ77,AI77))</f>
        <v> </v>
      </c>
      <c r="AL77" s="321" t="str">
        <f aca="false">IF($A77="N/A"," ",IF(PV=1,0,'Pricing Inputs3'!R110))</f>
        <v> </v>
      </c>
      <c r="AM77" s="323" t="str">
        <f aca="false">IF($A77="N/A"," ",(1+AL77/2)^(-2*((EOMONTH(A77,0)+20)-DateToday)/365.25))</f>
        <v> </v>
      </c>
      <c r="BQ77" s="0" t="str">
        <f aca="false">IF($A77="N/A"," ",(VLOOKUP($A77,NumberofDaysTable,2)))</f>
        <v> </v>
      </c>
      <c r="BR77" s="0" t="str">
        <f aca="false">IF($A77="N/A"," ",(VLOOKUP($A77,NumberofDaysTable,3)))</f>
        <v> </v>
      </c>
      <c r="BS77" s="0" t="str">
        <f aca="false">IF($A77="N/A"," ",(VLOOKUP($A77,NumberofDaysTable,4)))</f>
        <v> </v>
      </c>
    </row>
    <row r="78" customFormat="false" ht="12.75" hidden="false" customHeight="false" outlineLevel="0" collapsed="false">
      <c r="A78" s="315" t="str">
        <f aca="false">IF(A77="N/A","N/A",IF(EDATE(A77,1)&gt;Inputs!$Q$5,"N/A",EDATE(A77,1)))</f>
        <v>N/A</v>
      </c>
      <c r="B78" s="316" t="str">
        <f aca="false">IF(A78="N/A"," ",YEAR(A78))</f>
        <v> </v>
      </c>
      <c r="C78" s="317" t="str">
        <f aca="false">IF($A78="N/A"," ",IF(Dayrun3=10,0,IF(Scaler3=1,(VLOOKUP(A78,ScaledPrice3,4)),(VLOOKUP(A78,ScaledPrice3,2)))))</f>
        <v> </v>
      </c>
      <c r="D78" s="317" t="str">
        <f aca="false">IF(A78="N/A"," ",IF(Dayrun3&gt;=7,0,IF(Scaler3=2,VLOOKUP(A78,ScaledPrice3,2),(VLOOKUP(A78,ScaledPrice3,2))*(2-(VLOOKUP(A78,ScaledPrice3,3))))))</f>
        <v> </v>
      </c>
      <c r="E78" s="317" t="str">
        <f aca="false">IF($A78="N/A"," ",IF(AND(Dayrun3&gt;=4,Dayrun3&lt;=9),0,VLOOKUP($A78,ScaledPrice3,9)))</f>
        <v> </v>
      </c>
      <c r="F78" s="317" t="str">
        <f aca="false">IF(A78="N/A"," ",IF(OR(Dayrun3=2,Dayrun3=3,Dayrun3=5,Dayrun3=6,Dayrun3=8,Dayrun3=9),VLOOKUP(A78,ScaledPrice3,IF(Scaler3=1,6,5)),0))</f>
        <v> </v>
      </c>
      <c r="G78" s="317" t="str">
        <f aca="false">IF(A78="N/A"," ",IF(OR(Dayrun3=2,Dayrun3=3,Dayrun3=5,Dayrun3=6),IF(Scaler3=2,F78,(VLOOKUP(A78,ScaledPrice3,5))*(2-(VLOOKUP(A78,ScaledPrice3,3)))),0))</f>
        <v> </v>
      </c>
      <c r="H78" s="317" t="str">
        <f aca="false">IF($A78="N/A"," ",IF(OR(Dayrun3=2,Dayrun3=3,Dayrun3=10),VLOOKUP($A78,ScaledPrice3,9),0))</f>
        <v> </v>
      </c>
      <c r="I78" s="317" t="str">
        <f aca="false">IF(A78="N/A"," ",IF(OR(Dayrun3=3,Dayrun3=6,Dayrun3=9),(VLOOKUP(A78,ScaledPrice3,IF(Scaler3=2,7,8))),0))</f>
        <v> </v>
      </c>
      <c r="J78" s="317" t="str">
        <f aca="false">IF(A78="N/A"," ",IF(OR(Dayrun3=3,Dayrun3=6),IF(Scaler3=2,I78,(VLOOKUP(A78,ScaledPrice3,7))*(2-(VLOOKUP(A78,ScaledPrice3,3)))),0))</f>
        <v> </v>
      </c>
      <c r="K78" s="317" t="str">
        <f aca="false">IF($A78="N/A"," ",IF(OR(Dayrun3=3,Dayrun3=10),VLOOKUP($A78,ScaledPrice3,9),0))</f>
        <v> </v>
      </c>
      <c r="L78" s="318" t="str">
        <f aca="false">IF($A78="N/A"," ",IF(Pricetype3=2,MAX(C78,0),IF(OR(Pricetype3=1,Pricetype3=4),IF(C78=0,0,(EURO(C78,Strikeprice3,0,0,($AH78+IF(Smile=TRUE(),VLOOKUP(MAX(-5,Strikeprice3-C78),Volsmile,2),0)),($A78-DateToday)+15,IF(Pricetype3=1,1,0),0))),C78)))</f>
        <v> </v>
      </c>
      <c r="M78" s="318" t="str">
        <f aca="false">IF($A78="N/A"," ",IF(Pricetype3=2,MAX(D78,0),IF(OR(Pricetype3=1,Pricetype3=4),IF(D78=0,0,(EURO(D78,Strikeprice3,0,0,($AH78+IF(Smile=TRUE(),VLOOKUP(MAX(-5,Strikeprice3-D78),Volsmile,2),0)),($A78-DateToday)+15,IF(Pricetype3=1,1,0),0))),D78)))</f>
        <v> </v>
      </c>
      <c r="N78" s="318" t="str">
        <f aca="false">IF($A78="N/A"," ",IF(Pricetype3=2,MAX(E78,0),IF(OR(Pricetype3=1,Pricetype3=4),IF(E78=0,0,(EURO(E78,Strikeprice3,0,0,($AK78+IF(Smile=TRUE(),VLOOKUP(MAX(-5,Strikeprice3-E78),Volsmile,2),0)),($A78-DateToday)+15,IF(Pricetype3=1,1,0),0))),E78)))</f>
        <v> </v>
      </c>
      <c r="O78" s="318" t="str">
        <f aca="false">IF($A78="N/A"," ",IF(Pricetype3=2,MAX(F78,0),IF(OR(Pricetype3=1,Pricetype3=4),IF(F78=0,0,(EURO(F78,Strikeprice3,0,0,($AK78+IF(Smile=TRUE(),VLOOKUP(MAX(-5,Strikeprice3-F78),Volsmile,2),0)),($A78-DateToday)+15,IF(Pricetype3=1,1,0),0))),F78)))</f>
        <v> </v>
      </c>
      <c r="P78" s="318" t="str">
        <f aca="false">IF($A78="N/A"," ",IF(Pricetype3=2,MAX(G78,0),IF(OR(Pricetype3=1,Pricetype3=4),IF(G78=0,0,(EURO(G78,Strikeprice3,0,0,($AK78+IF(Smile=TRUE(),VLOOKUP(MAX(-5,Strikeprice3-G78),Volsmile,2),0)),($A78-DateToday)+15,IF(Pricetype3=1,1,0),0))),G78)))</f>
        <v> </v>
      </c>
      <c r="Q78" s="318" t="str">
        <f aca="false">IF($A78="N/A"," ",IF(Pricetype3=2,MAX(H78,0),IF(OR(Pricetype3=1,Pricetype3=4),IF(H78=0,0,(EURO(H78,Strikeprice3,0,0,($AK78+IF(Smile=TRUE(),VLOOKUP(MAX(-5,Strikeprice3-H78),Volsmile,2),0)),($A78-DateToday)+15,IF(Pricetype3=1,1,0),0))),H78)))</f>
        <v> </v>
      </c>
      <c r="R78" s="318" t="str">
        <f aca="false">IF($A78="N/A"," ",IF(Pricetype3=2,MAX(I78,0),IF(OR(Pricetype3=1,Pricetype3=4),IF(I78=0,0,(EURO(I78,Strikeprice3,0,0,($AK78+IF(Smile=TRUE(),VLOOKUP(MAX(-5,Strikeprice3-I78),Volsmile,2),0)),($A78-DateToday)+15,IF(Pricetype3=1,1,0),0))),I78)))</f>
        <v> </v>
      </c>
      <c r="S78" s="318" t="str">
        <f aca="false">IF($A78="N/A"," ",IF(Pricetype3=2,MAX(J78,0),IF(OR(Pricetype3=1,Pricetype3=4),IF(J78=0,0,(EURO(J78,Strikeprice3,0,0,($AK78+IF(Smile=TRUE(),VLOOKUP(MAX(-5,Strikeprice3-J78),Volsmile,2),0)),($A78-DateToday)+15,IF(Pricetype3=1,1,0),0))),J78)))</f>
        <v> </v>
      </c>
      <c r="T78" s="318" t="str">
        <f aca="false">IF($A78="N/A"," ",IF(Pricetype3=2,MAX(K78,0),IF(OR(Pricetype3=1,Pricetype3=4),IF(K78=0,0,(EURO(K78,Strikeprice3,0,0,($AK78+IF(Smile=TRUE(),VLOOKUP(MAX(-5,Strikeprice3-K78),Volsmile,2),0)),($A78-DateToday)+15,IF(Pricetype3=1,1,0),0))),K78)))</f>
        <v> </v>
      </c>
      <c r="U78" s="319" t="str">
        <f aca="false">IF($A78="N/A"," ",Volume3*$AM78)</f>
        <v> </v>
      </c>
      <c r="V78" s="320" t="str">
        <f aca="false">IF($A78="N/A"," ",$U78*(8*($BQ78))*L78)</f>
        <v> </v>
      </c>
      <c r="W78" s="320" t="str">
        <f aca="false">IF($A78="N/A"," ",$U78*(8*($BQ78))*M78)</f>
        <v> </v>
      </c>
      <c r="X78" s="320" t="str">
        <f aca="false">IF($A78="N/A"," ",$U78*(8*($BQ78))*N78)</f>
        <v> </v>
      </c>
      <c r="Y78" s="320" t="str">
        <f aca="false">IF($A78="N/A"," ",$U78*(8*($BR78))*O78)</f>
        <v> </v>
      </c>
      <c r="Z78" s="320" t="str">
        <f aca="false">IF($A78="N/A"," ",$U78*(8*($BR78))*P78)</f>
        <v> </v>
      </c>
      <c r="AA78" s="320" t="str">
        <f aca="false">IF($A78="N/A"," ",$U78*(8*($BR78))*Q78)</f>
        <v> </v>
      </c>
      <c r="AB78" s="320" t="str">
        <f aca="false">IF($A78="N/A"," ",$U78*(8*($BS78))*R78)</f>
        <v> </v>
      </c>
      <c r="AC78" s="320" t="str">
        <f aca="false">IF($A78="N/A"," ",$U78*(8*($BS78))*S78)</f>
        <v> </v>
      </c>
      <c r="AD78" s="320" t="str">
        <f aca="false">IF($A78="N/A"," ",$U78*(8*($BS78))*T78)</f>
        <v> </v>
      </c>
      <c r="AE78" s="320" t="str">
        <f aca="false">IF($A78="N/A"," ",SUM(V78:AD78))</f>
        <v> </v>
      </c>
      <c r="AF78" s="321" t="str">
        <f aca="false">IF(A78="N/A"," ",(VLOOKUP(A78,PowerVolTable,(IF(VolBMO3=2,7,IF(VolBMO3=1,6,8))),FALSE())))</f>
        <v> </v>
      </c>
      <c r="AG78" s="321" t="str">
        <f aca="false">IF(A78="N/A"," ",(VLOOKUP(A78,IntraPowerVol,(IF(VolBMO3=2,3,IF(VolBMO3=1,2,4))),FALSE())*VLOOKUP(MONTH($A78),Volscale,2)))</f>
        <v> </v>
      </c>
      <c r="AH78" s="321" t="str">
        <f aca="false">IF($A78="N/A"," ",IF(VolType3=1,AG78,AF78))</f>
        <v> </v>
      </c>
      <c r="AI78" s="321" t="str">
        <f aca="false">IF($A78="N/A"," ",(VLOOKUP($A78,OffPwrVolTable,(IF(VolBMO3=2,7,IF(VolBMO3=1,6,8))),FALSE())))</f>
        <v> </v>
      </c>
      <c r="AJ78" s="321" t="str">
        <f aca="false">IF($A78="N/A"," ",(VLOOKUP($A78,OffPwrVolTable,(IF(VolBMO3=2,3,IF(VolBMO3=1,2,4))),FALSE())*VLOOKUP(MONTH($A78),Volscale,2)))</f>
        <v> </v>
      </c>
      <c r="AK78" s="321" t="str">
        <f aca="false">IF($A78="N/A"," ",IF(VolType3=1,AJ78,AI78))</f>
        <v> </v>
      </c>
      <c r="AL78" s="321" t="str">
        <f aca="false">IF($A78="N/A"," ",IF(PV=1,0,'Pricing Inputs3'!R111))</f>
        <v> </v>
      </c>
      <c r="AM78" s="323" t="str">
        <f aca="false">IF($A78="N/A"," ",(1+AL78/2)^(-2*((EOMONTH(A78,0)+20)-DateToday)/365.25))</f>
        <v> </v>
      </c>
      <c r="BQ78" s="0" t="str">
        <f aca="false">IF($A78="N/A"," ",(VLOOKUP($A78,NumberofDaysTable,2)))</f>
        <v> </v>
      </c>
      <c r="BR78" s="0" t="str">
        <f aca="false">IF($A78="N/A"," ",(VLOOKUP($A78,NumberofDaysTable,3)))</f>
        <v> </v>
      </c>
      <c r="BS78" s="0" t="str">
        <f aca="false">IF($A78="N/A"," ",(VLOOKUP($A78,NumberofDaysTable,4)))</f>
        <v> </v>
      </c>
    </row>
    <row r="79" customFormat="false" ht="12.75" hidden="false" customHeight="false" outlineLevel="0" collapsed="false">
      <c r="A79" s="315" t="str">
        <f aca="false">IF(A78="N/A","N/A",IF(EDATE(A78,1)&gt;Inputs!$Q$5,"N/A",EDATE(A78,1)))</f>
        <v>N/A</v>
      </c>
      <c r="B79" s="316" t="str">
        <f aca="false">IF(A79="N/A"," ",YEAR(A79))</f>
        <v> </v>
      </c>
      <c r="C79" s="317" t="str">
        <f aca="false">IF($A79="N/A"," ",IF(Dayrun3=10,0,IF(Scaler3=1,(VLOOKUP(A79,ScaledPrice3,4)),(VLOOKUP(A79,ScaledPrice3,2)))))</f>
        <v> </v>
      </c>
      <c r="D79" s="317" t="str">
        <f aca="false">IF(A79="N/A"," ",IF(Dayrun3&gt;=7,0,IF(Scaler3=2,VLOOKUP(A79,ScaledPrice3,2),(VLOOKUP(A79,ScaledPrice3,2))*(2-(VLOOKUP(A79,ScaledPrice3,3))))))</f>
        <v> </v>
      </c>
      <c r="E79" s="317" t="str">
        <f aca="false">IF($A79="N/A"," ",IF(AND(Dayrun3&gt;=4,Dayrun3&lt;=9),0,VLOOKUP($A79,ScaledPrice3,9)))</f>
        <v> </v>
      </c>
      <c r="F79" s="317" t="str">
        <f aca="false">IF(A79="N/A"," ",IF(OR(Dayrun3=2,Dayrun3=3,Dayrun3=5,Dayrun3=6,Dayrun3=8,Dayrun3=9),VLOOKUP(A79,ScaledPrice3,IF(Scaler3=1,6,5)),0))</f>
        <v> </v>
      </c>
      <c r="G79" s="317" t="str">
        <f aca="false">IF(A79="N/A"," ",IF(OR(Dayrun3=2,Dayrun3=3,Dayrun3=5,Dayrun3=6),IF(Scaler3=2,F79,(VLOOKUP(A79,ScaledPrice3,5))*(2-(VLOOKUP(A79,ScaledPrice3,3)))),0))</f>
        <v> </v>
      </c>
      <c r="H79" s="317" t="str">
        <f aca="false">IF($A79="N/A"," ",IF(OR(Dayrun3=2,Dayrun3=3,Dayrun3=10),VLOOKUP($A79,ScaledPrice3,9),0))</f>
        <v> </v>
      </c>
      <c r="I79" s="317" t="str">
        <f aca="false">IF(A79="N/A"," ",IF(OR(Dayrun3=3,Dayrun3=6,Dayrun3=9),(VLOOKUP(A79,ScaledPrice3,IF(Scaler3=2,7,8))),0))</f>
        <v> </v>
      </c>
      <c r="J79" s="317" t="str">
        <f aca="false">IF(A79="N/A"," ",IF(OR(Dayrun3=3,Dayrun3=6),IF(Scaler3=2,I79,(VLOOKUP(A79,ScaledPrice3,7))*(2-(VLOOKUP(A79,ScaledPrice3,3)))),0))</f>
        <v> </v>
      </c>
      <c r="K79" s="317" t="str">
        <f aca="false">IF($A79="N/A"," ",IF(OR(Dayrun3=3,Dayrun3=10),VLOOKUP($A79,ScaledPrice3,9),0))</f>
        <v> </v>
      </c>
      <c r="L79" s="318" t="str">
        <f aca="false">IF($A79="N/A"," ",IF(Pricetype3=2,MAX(C79,0),IF(OR(Pricetype3=1,Pricetype3=4),IF(C79=0,0,(EURO(C79,Strikeprice3,0,0,($AH79+IF(Smile=TRUE(),VLOOKUP(MAX(-5,Strikeprice3-C79),Volsmile,2),0)),($A79-DateToday)+15,IF(Pricetype3=1,1,0),0))),C79)))</f>
        <v> </v>
      </c>
      <c r="M79" s="318" t="str">
        <f aca="false">IF($A79="N/A"," ",IF(Pricetype3=2,MAX(D79,0),IF(OR(Pricetype3=1,Pricetype3=4),IF(D79=0,0,(EURO(D79,Strikeprice3,0,0,($AH79+IF(Smile=TRUE(),VLOOKUP(MAX(-5,Strikeprice3-D79),Volsmile,2),0)),($A79-DateToday)+15,IF(Pricetype3=1,1,0),0))),D79)))</f>
        <v> </v>
      </c>
      <c r="N79" s="318" t="str">
        <f aca="false">IF($A79="N/A"," ",IF(Pricetype3=2,MAX(E79,0),IF(OR(Pricetype3=1,Pricetype3=4),IF(E79=0,0,(EURO(E79,Strikeprice3,0,0,($AK79+IF(Smile=TRUE(),VLOOKUP(MAX(-5,Strikeprice3-E79),Volsmile,2),0)),($A79-DateToday)+15,IF(Pricetype3=1,1,0),0))),E79)))</f>
        <v> </v>
      </c>
      <c r="O79" s="318" t="str">
        <f aca="false">IF($A79="N/A"," ",IF(Pricetype3=2,MAX(F79,0),IF(OR(Pricetype3=1,Pricetype3=4),IF(F79=0,0,(EURO(F79,Strikeprice3,0,0,($AK79+IF(Smile=TRUE(),VLOOKUP(MAX(-5,Strikeprice3-F79),Volsmile,2),0)),($A79-DateToday)+15,IF(Pricetype3=1,1,0),0))),F79)))</f>
        <v> </v>
      </c>
      <c r="P79" s="318" t="str">
        <f aca="false">IF($A79="N/A"," ",IF(Pricetype3=2,MAX(G79,0),IF(OR(Pricetype3=1,Pricetype3=4),IF(G79=0,0,(EURO(G79,Strikeprice3,0,0,($AK79+IF(Smile=TRUE(),VLOOKUP(MAX(-5,Strikeprice3-G79),Volsmile,2),0)),($A79-DateToday)+15,IF(Pricetype3=1,1,0),0))),G79)))</f>
        <v> </v>
      </c>
      <c r="Q79" s="318" t="str">
        <f aca="false">IF($A79="N/A"," ",IF(Pricetype3=2,MAX(H79,0),IF(OR(Pricetype3=1,Pricetype3=4),IF(H79=0,0,(EURO(H79,Strikeprice3,0,0,($AK79+IF(Smile=TRUE(),VLOOKUP(MAX(-5,Strikeprice3-H79),Volsmile,2),0)),($A79-DateToday)+15,IF(Pricetype3=1,1,0),0))),H79)))</f>
        <v> </v>
      </c>
      <c r="R79" s="318" t="str">
        <f aca="false">IF($A79="N/A"," ",IF(Pricetype3=2,MAX(I79,0),IF(OR(Pricetype3=1,Pricetype3=4),IF(I79=0,0,(EURO(I79,Strikeprice3,0,0,($AK79+IF(Smile=TRUE(),VLOOKUP(MAX(-5,Strikeprice3-I79),Volsmile,2),0)),($A79-DateToday)+15,IF(Pricetype3=1,1,0),0))),I79)))</f>
        <v> </v>
      </c>
      <c r="S79" s="318" t="str">
        <f aca="false">IF($A79="N/A"," ",IF(Pricetype3=2,MAX(J79,0),IF(OR(Pricetype3=1,Pricetype3=4),IF(J79=0,0,(EURO(J79,Strikeprice3,0,0,($AK79+IF(Smile=TRUE(),VLOOKUP(MAX(-5,Strikeprice3-J79),Volsmile,2),0)),($A79-DateToday)+15,IF(Pricetype3=1,1,0),0))),J79)))</f>
        <v> </v>
      </c>
      <c r="T79" s="318" t="str">
        <f aca="false">IF($A79="N/A"," ",IF(Pricetype3=2,MAX(K79,0),IF(OR(Pricetype3=1,Pricetype3=4),IF(K79=0,0,(EURO(K79,Strikeprice3,0,0,($AK79+IF(Smile=TRUE(),VLOOKUP(MAX(-5,Strikeprice3-K79),Volsmile,2),0)),($A79-DateToday)+15,IF(Pricetype3=1,1,0),0))),K79)))</f>
        <v> </v>
      </c>
      <c r="U79" s="319" t="str">
        <f aca="false">IF($A79="N/A"," ",Volume3*$AM79)</f>
        <v> </v>
      </c>
      <c r="V79" s="320" t="str">
        <f aca="false">IF($A79="N/A"," ",$U79*(8*($BQ79))*L79)</f>
        <v> </v>
      </c>
      <c r="W79" s="320" t="str">
        <f aca="false">IF($A79="N/A"," ",$U79*(8*($BQ79))*M79)</f>
        <v> </v>
      </c>
      <c r="X79" s="320" t="str">
        <f aca="false">IF($A79="N/A"," ",$U79*(8*($BQ79))*N79)</f>
        <v> </v>
      </c>
      <c r="Y79" s="320" t="str">
        <f aca="false">IF($A79="N/A"," ",$U79*(8*($BR79))*O79)</f>
        <v> </v>
      </c>
      <c r="Z79" s="320" t="str">
        <f aca="false">IF($A79="N/A"," ",$U79*(8*($BR79))*P79)</f>
        <v> </v>
      </c>
      <c r="AA79" s="320" t="str">
        <f aca="false">IF($A79="N/A"," ",$U79*(8*($BR79))*Q79)</f>
        <v> </v>
      </c>
      <c r="AB79" s="320" t="str">
        <f aca="false">IF($A79="N/A"," ",$U79*(8*($BS79))*R79)</f>
        <v> </v>
      </c>
      <c r="AC79" s="320" t="str">
        <f aca="false">IF($A79="N/A"," ",$U79*(8*($BS79))*S79)</f>
        <v> </v>
      </c>
      <c r="AD79" s="320" t="str">
        <f aca="false">IF($A79="N/A"," ",$U79*(8*($BS79))*T79)</f>
        <v> </v>
      </c>
      <c r="AE79" s="320" t="str">
        <f aca="false">IF($A79="N/A"," ",SUM(V79:AD79))</f>
        <v> </v>
      </c>
      <c r="AF79" s="321" t="str">
        <f aca="false">IF(A79="N/A"," ",(VLOOKUP(A79,PowerVolTable,(IF(VolBMO3=2,7,IF(VolBMO3=1,6,8))),FALSE())))</f>
        <v> </v>
      </c>
      <c r="AG79" s="321" t="str">
        <f aca="false">IF(A79="N/A"," ",(VLOOKUP(A79,IntraPowerVol,(IF(VolBMO3=2,3,IF(VolBMO3=1,2,4))),FALSE())*VLOOKUP(MONTH($A79),Volscale,2)))</f>
        <v> </v>
      </c>
      <c r="AH79" s="321" t="str">
        <f aca="false">IF($A79="N/A"," ",IF(VolType3=1,AG79,AF79))</f>
        <v> </v>
      </c>
      <c r="AI79" s="321" t="str">
        <f aca="false">IF($A79="N/A"," ",(VLOOKUP($A79,OffPwrVolTable,(IF(VolBMO3=2,7,IF(VolBMO3=1,6,8))),FALSE())))</f>
        <v> </v>
      </c>
      <c r="AJ79" s="321" t="str">
        <f aca="false">IF($A79="N/A"," ",(VLOOKUP($A79,OffPwrVolTable,(IF(VolBMO3=2,3,IF(VolBMO3=1,2,4))),FALSE())*VLOOKUP(MONTH($A79),Volscale,2)))</f>
        <v> </v>
      </c>
      <c r="AK79" s="321" t="str">
        <f aca="false">IF($A79="N/A"," ",IF(VolType3=1,AJ79,AI79))</f>
        <v> </v>
      </c>
      <c r="AL79" s="321" t="str">
        <f aca="false">IF($A79="N/A"," ",IF(PV=1,0,'Pricing Inputs3'!R112))</f>
        <v> </v>
      </c>
      <c r="AM79" s="323" t="str">
        <f aca="false">IF($A79="N/A"," ",(1+AL79/2)^(-2*((EOMONTH(A79,0)+20)-DateToday)/365.25))</f>
        <v> </v>
      </c>
      <c r="BQ79" s="0" t="str">
        <f aca="false">IF($A79="N/A"," ",(VLOOKUP($A79,NumberofDaysTable,2)))</f>
        <v> </v>
      </c>
      <c r="BR79" s="0" t="str">
        <f aca="false">IF($A79="N/A"," ",(VLOOKUP($A79,NumberofDaysTable,3)))</f>
        <v> </v>
      </c>
      <c r="BS79" s="0" t="str">
        <f aca="false">IF($A79="N/A"," ",(VLOOKUP($A79,NumberofDaysTable,4)))</f>
        <v> </v>
      </c>
    </row>
    <row r="80" customFormat="false" ht="12.75" hidden="false" customHeight="false" outlineLevel="0" collapsed="false">
      <c r="A80" s="315" t="str">
        <f aca="false">IF(A79="N/A","N/A",IF(EDATE(A79,1)&gt;Inputs!$Q$5,"N/A",EDATE(A79,1)))</f>
        <v>N/A</v>
      </c>
      <c r="B80" s="316" t="str">
        <f aca="false">IF(A80="N/A"," ",YEAR(A80))</f>
        <v> </v>
      </c>
      <c r="C80" s="317" t="str">
        <f aca="false">IF($A80="N/A"," ",IF(Dayrun3=10,0,IF(Scaler3=1,(VLOOKUP(A80,ScaledPrice3,4)),(VLOOKUP(A80,ScaledPrice3,2)))))</f>
        <v> </v>
      </c>
      <c r="D80" s="317" t="str">
        <f aca="false">IF(A80="N/A"," ",IF(Dayrun3&gt;=7,0,IF(Scaler3=2,VLOOKUP(A80,ScaledPrice3,2),(VLOOKUP(A80,ScaledPrice3,2))*(2-(VLOOKUP(A80,ScaledPrice3,3))))))</f>
        <v> </v>
      </c>
      <c r="E80" s="317" t="str">
        <f aca="false">IF($A80="N/A"," ",IF(AND(Dayrun3&gt;=4,Dayrun3&lt;=9),0,VLOOKUP($A80,ScaledPrice3,9)))</f>
        <v> </v>
      </c>
      <c r="F80" s="317" t="str">
        <f aca="false">IF(A80="N/A"," ",IF(OR(Dayrun3=2,Dayrun3=3,Dayrun3=5,Dayrun3=6,Dayrun3=8,Dayrun3=9),VLOOKUP(A80,ScaledPrice3,IF(Scaler3=1,6,5)),0))</f>
        <v> </v>
      </c>
      <c r="G80" s="317" t="str">
        <f aca="false">IF(A80="N/A"," ",IF(OR(Dayrun3=2,Dayrun3=3,Dayrun3=5,Dayrun3=6),IF(Scaler3=2,F80,(VLOOKUP(A80,ScaledPrice3,5))*(2-(VLOOKUP(A80,ScaledPrice3,3)))),0))</f>
        <v> </v>
      </c>
      <c r="H80" s="317" t="str">
        <f aca="false">IF($A80="N/A"," ",IF(OR(Dayrun3=2,Dayrun3=3,Dayrun3=10),VLOOKUP($A80,ScaledPrice3,9),0))</f>
        <v> </v>
      </c>
      <c r="I80" s="317" t="str">
        <f aca="false">IF(A80="N/A"," ",IF(OR(Dayrun3=3,Dayrun3=6,Dayrun3=9),(VLOOKUP(A80,ScaledPrice3,IF(Scaler3=2,7,8))),0))</f>
        <v> </v>
      </c>
      <c r="J80" s="317" t="str">
        <f aca="false">IF(A80="N/A"," ",IF(OR(Dayrun3=3,Dayrun3=6),IF(Scaler3=2,I80,(VLOOKUP(A80,ScaledPrice3,7))*(2-(VLOOKUP(A80,ScaledPrice3,3)))),0))</f>
        <v> </v>
      </c>
      <c r="K80" s="317" t="str">
        <f aca="false">IF($A80="N/A"," ",IF(OR(Dayrun3=3,Dayrun3=10),VLOOKUP($A80,ScaledPrice3,9),0))</f>
        <v> </v>
      </c>
      <c r="L80" s="318" t="str">
        <f aca="false">IF($A80="N/A"," ",IF(Pricetype3=2,MAX(C80,0),IF(OR(Pricetype3=1,Pricetype3=4),IF(C80=0,0,(EURO(C80,Strikeprice3,0,0,($AH80+IF(Smile=TRUE(),VLOOKUP(MAX(-5,Strikeprice3-C80),Volsmile,2),0)),($A80-DateToday)+15,IF(Pricetype3=1,1,0),0))),C80)))</f>
        <v> </v>
      </c>
      <c r="M80" s="318" t="str">
        <f aca="false">IF($A80="N/A"," ",IF(Pricetype3=2,MAX(D80,0),IF(OR(Pricetype3=1,Pricetype3=4),IF(D80=0,0,(EURO(D80,Strikeprice3,0,0,($AH80+IF(Smile=TRUE(),VLOOKUP(MAX(-5,Strikeprice3-D80),Volsmile,2),0)),($A80-DateToday)+15,IF(Pricetype3=1,1,0),0))),D80)))</f>
        <v> </v>
      </c>
      <c r="N80" s="318" t="str">
        <f aca="false">IF($A80="N/A"," ",IF(Pricetype3=2,MAX(E80,0),IF(OR(Pricetype3=1,Pricetype3=4),IF(E80=0,0,(EURO(E80,Strikeprice3,0,0,($AK80+IF(Smile=TRUE(),VLOOKUP(MAX(-5,Strikeprice3-E80),Volsmile,2),0)),($A80-DateToday)+15,IF(Pricetype3=1,1,0),0))),E80)))</f>
        <v> </v>
      </c>
      <c r="O80" s="318" t="str">
        <f aca="false">IF($A80="N/A"," ",IF(Pricetype3=2,MAX(F80,0),IF(OR(Pricetype3=1,Pricetype3=4),IF(F80=0,0,(EURO(F80,Strikeprice3,0,0,($AK80+IF(Smile=TRUE(),VLOOKUP(MAX(-5,Strikeprice3-F80),Volsmile,2),0)),($A80-DateToday)+15,IF(Pricetype3=1,1,0),0))),F80)))</f>
        <v> </v>
      </c>
      <c r="P80" s="318" t="str">
        <f aca="false">IF($A80="N/A"," ",IF(Pricetype3=2,MAX(G80,0),IF(OR(Pricetype3=1,Pricetype3=4),IF(G80=0,0,(EURO(G80,Strikeprice3,0,0,($AK80+IF(Smile=TRUE(),VLOOKUP(MAX(-5,Strikeprice3-G80),Volsmile,2),0)),($A80-DateToday)+15,IF(Pricetype3=1,1,0),0))),G80)))</f>
        <v> </v>
      </c>
      <c r="Q80" s="318" t="str">
        <f aca="false">IF($A80="N/A"," ",IF(Pricetype3=2,MAX(H80,0),IF(OR(Pricetype3=1,Pricetype3=4),IF(H80=0,0,(EURO(H80,Strikeprice3,0,0,($AK80+IF(Smile=TRUE(),VLOOKUP(MAX(-5,Strikeprice3-H80),Volsmile,2),0)),($A80-DateToday)+15,IF(Pricetype3=1,1,0),0))),H80)))</f>
        <v> </v>
      </c>
      <c r="R80" s="318" t="str">
        <f aca="false">IF($A80="N/A"," ",IF(Pricetype3=2,MAX(I80,0),IF(OR(Pricetype3=1,Pricetype3=4),IF(I80=0,0,(EURO(I80,Strikeprice3,0,0,($AK80+IF(Smile=TRUE(),VLOOKUP(MAX(-5,Strikeprice3-I80),Volsmile,2),0)),($A80-DateToday)+15,IF(Pricetype3=1,1,0),0))),I80)))</f>
        <v> </v>
      </c>
      <c r="S80" s="318" t="str">
        <f aca="false">IF($A80="N/A"," ",IF(Pricetype3=2,MAX(J80,0),IF(OR(Pricetype3=1,Pricetype3=4),IF(J80=0,0,(EURO(J80,Strikeprice3,0,0,($AK80+IF(Smile=TRUE(),VLOOKUP(MAX(-5,Strikeprice3-J80),Volsmile,2),0)),($A80-DateToday)+15,IF(Pricetype3=1,1,0),0))),J80)))</f>
        <v> </v>
      </c>
      <c r="T80" s="318" t="str">
        <f aca="false">IF($A80="N/A"," ",IF(Pricetype3=2,MAX(K80,0),IF(OR(Pricetype3=1,Pricetype3=4),IF(K80=0,0,(EURO(K80,Strikeprice3,0,0,($AK80+IF(Smile=TRUE(),VLOOKUP(MAX(-5,Strikeprice3-K80),Volsmile,2),0)),($A80-DateToday)+15,IF(Pricetype3=1,1,0),0))),K80)))</f>
        <v> </v>
      </c>
      <c r="U80" s="319" t="str">
        <f aca="false">IF($A80="N/A"," ",Volume3*$AM80)</f>
        <v> </v>
      </c>
      <c r="V80" s="320" t="str">
        <f aca="false">IF($A80="N/A"," ",$U80*(8*($BQ80))*L80)</f>
        <v> </v>
      </c>
      <c r="W80" s="320" t="str">
        <f aca="false">IF($A80="N/A"," ",$U80*(8*($BQ80))*M80)</f>
        <v> </v>
      </c>
      <c r="X80" s="320" t="str">
        <f aca="false">IF($A80="N/A"," ",$U80*(8*($BQ80))*N80)</f>
        <v> </v>
      </c>
      <c r="Y80" s="320" t="str">
        <f aca="false">IF($A80="N/A"," ",$U80*(8*($BR80))*O80)</f>
        <v> </v>
      </c>
      <c r="Z80" s="320" t="str">
        <f aca="false">IF($A80="N/A"," ",$U80*(8*($BR80))*P80)</f>
        <v> </v>
      </c>
      <c r="AA80" s="320" t="str">
        <f aca="false">IF($A80="N/A"," ",$U80*(8*($BR80))*Q80)</f>
        <v> </v>
      </c>
      <c r="AB80" s="320" t="str">
        <f aca="false">IF($A80="N/A"," ",$U80*(8*($BS80))*R80)</f>
        <v> </v>
      </c>
      <c r="AC80" s="320" t="str">
        <f aca="false">IF($A80="N/A"," ",$U80*(8*($BS80))*S80)</f>
        <v> </v>
      </c>
      <c r="AD80" s="320" t="str">
        <f aca="false">IF($A80="N/A"," ",$U80*(8*($BS80))*T80)</f>
        <v> </v>
      </c>
      <c r="AE80" s="320" t="str">
        <f aca="false">IF($A80="N/A"," ",SUM(V80:AD80))</f>
        <v> </v>
      </c>
      <c r="AF80" s="321" t="str">
        <f aca="false">IF(A80="N/A"," ",(VLOOKUP(A80,PowerVolTable,(IF(VolBMO3=2,7,IF(VolBMO3=1,6,8))),FALSE())))</f>
        <v> </v>
      </c>
      <c r="AG80" s="321" t="str">
        <f aca="false">IF(A80="N/A"," ",(VLOOKUP(A80,IntraPowerVol,(IF(VolBMO3=2,3,IF(VolBMO3=1,2,4))),FALSE())*VLOOKUP(MONTH($A80),Volscale,2)))</f>
        <v> </v>
      </c>
      <c r="AH80" s="321" t="str">
        <f aca="false">IF($A80="N/A"," ",IF(VolType3=1,AG80,AF80))</f>
        <v> </v>
      </c>
      <c r="AI80" s="321" t="str">
        <f aca="false">IF($A80="N/A"," ",(VLOOKUP($A80,OffPwrVolTable,(IF(VolBMO3=2,7,IF(VolBMO3=1,6,8))),FALSE())))</f>
        <v> </v>
      </c>
      <c r="AJ80" s="321" t="str">
        <f aca="false">IF($A80="N/A"," ",(VLOOKUP($A80,OffPwrVolTable,(IF(VolBMO3=2,3,IF(VolBMO3=1,2,4))),FALSE())*VLOOKUP(MONTH($A80),Volscale,2)))</f>
        <v> </v>
      </c>
      <c r="AK80" s="321" t="str">
        <f aca="false">IF($A80="N/A"," ",IF(VolType3=1,AJ80,AI80))</f>
        <v> </v>
      </c>
      <c r="AL80" s="321" t="str">
        <f aca="false">IF($A80="N/A"," ",IF(PV=1,0,'Pricing Inputs3'!R113))</f>
        <v> </v>
      </c>
      <c r="AM80" s="323" t="str">
        <f aca="false">IF($A80="N/A"," ",(1+AL80/2)^(-2*((EOMONTH(A80,0)+20)-DateToday)/365.25))</f>
        <v> </v>
      </c>
      <c r="BQ80" s="0" t="str">
        <f aca="false">IF($A80="N/A"," ",(VLOOKUP($A80,NumberofDaysTable,2)))</f>
        <v> </v>
      </c>
      <c r="BR80" s="0" t="str">
        <f aca="false">IF($A80="N/A"," ",(VLOOKUP($A80,NumberofDaysTable,3)))</f>
        <v> </v>
      </c>
      <c r="BS80" s="0" t="str">
        <f aca="false">IF($A80="N/A"," ",(VLOOKUP($A80,NumberofDaysTable,4)))</f>
        <v> </v>
      </c>
    </row>
    <row r="81" customFormat="false" ht="12.75" hidden="false" customHeight="false" outlineLevel="0" collapsed="false">
      <c r="A81" s="315" t="str">
        <f aca="false">IF(A80="N/A","N/A",IF(EDATE(A80,1)&gt;Inputs!$Q$5,"N/A",EDATE(A80,1)))</f>
        <v>N/A</v>
      </c>
      <c r="B81" s="316" t="str">
        <f aca="false">IF(A81="N/A"," ",YEAR(A81))</f>
        <v> </v>
      </c>
      <c r="C81" s="317" t="str">
        <f aca="false">IF($A81="N/A"," ",IF(Dayrun3=10,0,IF(Scaler3=1,(VLOOKUP(A81,ScaledPrice3,4)),(VLOOKUP(A81,ScaledPrice3,2)))))</f>
        <v> </v>
      </c>
      <c r="D81" s="317" t="str">
        <f aca="false">IF(A81="N/A"," ",IF(Dayrun3&gt;=7,0,IF(Scaler3=2,VLOOKUP(A81,ScaledPrice3,2),(VLOOKUP(A81,ScaledPrice3,2))*(2-(VLOOKUP(A81,ScaledPrice3,3))))))</f>
        <v> </v>
      </c>
      <c r="E81" s="317" t="str">
        <f aca="false">IF($A81="N/A"," ",IF(AND(Dayrun3&gt;=4,Dayrun3&lt;=9),0,VLOOKUP($A81,ScaledPrice3,9)))</f>
        <v> </v>
      </c>
      <c r="F81" s="317" t="str">
        <f aca="false">IF(A81="N/A"," ",IF(OR(Dayrun3=2,Dayrun3=3,Dayrun3=5,Dayrun3=6,Dayrun3=8,Dayrun3=9),VLOOKUP(A81,ScaledPrice3,IF(Scaler3=1,6,5)),0))</f>
        <v> </v>
      </c>
      <c r="G81" s="317" t="str">
        <f aca="false">IF(A81="N/A"," ",IF(OR(Dayrun3=2,Dayrun3=3,Dayrun3=5,Dayrun3=6),IF(Scaler3=2,F81,(VLOOKUP(A81,ScaledPrice3,5))*(2-(VLOOKUP(A81,ScaledPrice3,3)))),0))</f>
        <v> </v>
      </c>
      <c r="H81" s="317" t="str">
        <f aca="false">IF($A81="N/A"," ",IF(OR(Dayrun3=2,Dayrun3=3,Dayrun3=10),VLOOKUP($A81,ScaledPrice3,9),0))</f>
        <v> </v>
      </c>
      <c r="I81" s="317" t="str">
        <f aca="false">IF(A81="N/A"," ",IF(OR(Dayrun3=3,Dayrun3=6,Dayrun3=9),(VLOOKUP(A81,ScaledPrice3,IF(Scaler3=2,7,8))),0))</f>
        <v> </v>
      </c>
      <c r="J81" s="317" t="str">
        <f aca="false">IF(A81="N/A"," ",IF(OR(Dayrun3=3,Dayrun3=6),IF(Scaler3=2,I81,(VLOOKUP(A81,ScaledPrice3,7))*(2-(VLOOKUP(A81,ScaledPrice3,3)))),0))</f>
        <v> </v>
      </c>
      <c r="K81" s="317" t="str">
        <f aca="false">IF($A81="N/A"," ",IF(OR(Dayrun3=3,Dayrun3=10),VLOOKUP($A81,ScaledPrice3,9),0))</f>
        <v> </v>
      </c>
      <c r="L81" s="318" t="str">
        <f aca="false">IF($A81="N/A"," ",IF(Pricetype3=2,MAX(C81,0),IF(OR(Pricetype3=1,Pricetype3=4),IF(C81=0,0,(EURO(C81,Strikeprice3,0,0,($AH81+IF(Smile=TRUE(),VLOOKUP(MAX(-5,Strikeprice3-C81),Volsmile,2),0)),($A81-DateToday)+15,IF(Pricetype3=1,1,0),0))),C81)))</f>
        <v> </v>
      </c>
      <c r="M81" s="318" t="str">
        <f aca="false">IF($A81="N/A"," ",IF(Pricetype3=2,MAX(D81,0),IF(OR(Pricetype3=1,Pricetype3=4),IF(D81=0,0,(EURO(D81,Strikeprice3,0,0,($AH81+IF(Smile=TRUE(),VLOOKUP(MAX(-5,Strikeprice3-D81),Volsmile,2),0)),($A81-DateToday)+15,IF(Pricetype3=1,1,0),0))),D81)))</f>
        <v> </v>
      </c>
      <c r="N81" s="318" t="str">
        <f aca="false">IF($A81="N/A"," ",IF(Pricetype3=2,MAX(E81,0),IF(OR(Pricetype3=1,Pricetype3=4),IF(E81=0,0,(EURO(E81,Strikeprice3,0,0,($AK81+IF(Smile=TRUE(),VLOOKUP(MAX(-5,Strikeprice3-E81),Volsmile,2),0)),($A81-DateToday)+15,IF(Pricetype3=1,1,0),0))),E81)))</f>
        <v> </v>
      </c>
      <c r="O81" s="318" t="str">
        <f aca="false">IF($A81="N/A"," ",IF(Pricetype3=2,MAX(F81,0),IF(OR(Pricetype3=1,Pricetype3=4),IF(F81=0,0,(EURO(F81,Strikeprice3,0,0,($AK81+IF(Smile=TRUE(),VLOOKUP(MAX(-5,Strikeprice3-F81),Volsmile,2),0)),($A81-DateToday)+15,IF(Pricetype3=1,1,0),0))),F81)))</f>
        <v> </v>
      </c>
      <c r="P81" s="318" t="str">
        <f aca="false">IF($A81="N/A"," ",IF(Pricetype3=2,MAX(G81,0),IF(OR(Pricetype3=1,Pricetype3=4),IF(G81=0,0,(EURO(G81,Strikeprice3,0,0,($AK81+IF(Smile=TRUE(),VLOOKUP(MAX(-5,Strikeprice3-G81),Volsmile,2),0)),($A81-DateToday)+15,IF(Pricetype3=1,1,0),0))),G81)))</f>
        <v> </v>
      </c>
      <c r="Q81" s="318" t="str">
        <f aca="false">IF($A81="N/A"," ",IF(Pricetype3=2,MAX(H81,0),IF(OR(Pricetype3=1,Pricetype3=4),IF(H81=0,0,(EURO(H81,Strikeprice3,0,0,($AK81+IF(Smile=TRUE(),VLOOKUP(MAX(-5,Strikeprice3-H81),Volsmile,2),0)),($A81-DateToday)+15,IF(Pricetype3=1,1,0),0))),H81)))</f>
        <v> </v>
      </c>
      <c r="R81" s="318" t="str">
        <f aca="false">IF($A81="N/A"," ",IF(Pricetype3=2,MAX(I81,0),IF(OR(Pricetype3=1,Pricetype3=4),IF(I81=0,0,(EURO(I81,Strikeprice3,0,0,($AK81+IF(Smile=TRUE(),VLOOKUP(MAX(-5,Strikeprice3-I81),Volsmile,2),0)),($A81-DateToday)+15,IF(Pricetype3=1,1,0),0))),I81)))</f>
        <v> </v>
      </c>
      <c r="S81" s="318" t="str">
        <f aca="false">IF($A81="N/A"," ",IF(Pricetype3=2,MAX(J81,0),IF(OR(Pricetype3=1,Pricetype3=4),IF(J81=0,0,(EURO(J81,Strikeprice3,0,0,($AK81+IF(Smile=TRUE(),VLOOKUP(MAX(-5,Strikeprice3-J81),Volsmile,2),0)),($A81-DateToday)+15,IF(Pricetype3=1,1,0),0))),J81)))</f>
        <v> </v>
      </c>
      <c r="T81" s="318" t="str">
        <f aca="false">IF($A81="N/A"," ",IF(Pricetype3=2,MAX(K81,0),IF(OR(Pricetype3=1,Pricetype3=4),IF(K81=0,0,(EURO(K81,Strikeprice3,0,0,($AK81+IF(Smile=TRUE(),VLOOKUP(MAX(-5,Strikeprice3-K81),Volsmile,2),0)),($A81-DateToday)+15,IF(Pricetype3=1,1,0),0))),K81)))</f>
        <v> </v>
      </c>
      <c r="U81" s="319" t="str">
        <f aca="false">IF($A81="N/A"," ",Volume3*$AM81)</f>
        <v> </v>
      </c>
      <c r="V81" s="320" t="str">
        <f aca="false">IF($A81="N/A"," ",$U81*(8*($BQ81))*L81)</f>
        <v> </v>
      </c>
      <c r="W81" s="320" t="str">
        <f aca="false">IF($A81="N/A"," ",$U81*(8*($BQ81))*M81)</f>
        <v> </v>
      </c>
      <c r="X81" s="320" t="str">
        <f aca="false">IF($A81="N/A"," ",$U81*(8*($BQ81))*N81)</f>
        <v> </v>
      </c>
      <c r="Y81" s="320" t="str">
        <f aca="false">IF($A81="N/A"," ",$U81*(8*($BR81))*O81)</f>
        <v> </v>
      </c>
      <c r="Z81" s="320" t="str">
        <f aca="false">IF($A81="N/A"," ",$U81*(8*($BR81))*P81)</f>
        <v> </v>
      </c>
      <c r="AA81" s="320" t="str">
        <f aca="false">IF($A81="N/A"," ",$U81*(8*($BR81))*Q81)</f>
        <v> </v>
      </c>
      <c r="AB81" s="320" t="str">
        <f aca="false">IF($A81="N/A"," ",$U81*(8*($BS81))*R81)</f>
        <v> </v>
      </c>
      <c r="AC81" s="320" t="str">
        <f aca="false">IF($A81="N/A"," ",$U81*(8*($BS81))*S81)</f>
        <v> </v>
      </c>
      <c r="AD81" s="320" t="str">
        <f aca="false">IF($A81="N/A"," ",$U81*(8*($BS81))*T81)</f>
        <v> </v>
      </c>
      <c r="AE81" s="320" t="str">
        <f aca="false">IF($A81="N/A"," ",SUM(V81:AD81))</f>
        <v> </v>
      </c>
      <c r="AF81" s="321" t="str">
        <f aca="false">IF(A81="N/A"," ",(VLOOKUP(A81,PowerVolTable,(IF(VolBMO3=2,7,IF(VolBMO3=1,6,8))),FALSE())))</f>
        <v> </v>
      </c>
      <c r="AG81" s="321" t="str">
        <f aca="false">IF(A81="N/A"," ",(VLOOKUP(A81,IntraPowerVol,(IF(VolBMO3=2,3,IF(VolBMO3=1,2,4))),FALSE())*VLOOKUP(MONTH($A81),Volscale,2)))</f>
        <v> </v>
      </c>
      <c r="AH81" s="321" t="str">
        <f aca="false">IF($A81="N/A"," ",IF(VolType3=1,AG81,AF81))</f>
        <v> </v>
      </c>
      <c r="AI81" s="321" t="str">
        <f aca="false">IF($A81="N/A"," ",(VLOOKUP($A81,OffPwrVolTable,(IF(VolBMO3=2,7,IF(VolBMO3=1,6,8))),FALSE())))</f>
        <v> </v>
      </c>
      <c r="AJ81" s="321" t="str">
        <f aca="false">IF($A81="N/A"," ",(VLOOKUP($A81,OffPwrVolTable,(IF(VolBMO3=2,3,IF(VolBMO3=1,2,4))),FALSE())*VLOOKUP(MONTH($A81),Volscale,2)))</f>
        <v> </v>
      </c>
      <c r="AK81" s="321" t="str">
        <f aca="false">IF($A81="N/A"," ",IF(VolType3=1,AJ81,AI81))</f>
        <v> </v>
      </c>
      <c r="AL81" s="321" t="str">
        <f aca="false">IF($A81="N/A"," ",IF(PV=1,0,'Pricing Inputs3'!R114))</f>
        <v> </v>
      </c>
      <c r="AM81" s="323" t="str">
        <f aca="false">IF($A81="N/A"," ",(1+AL81/2)^(-2*((EOMONTH(A81,0)+20)-DateToday)/365.25))</f>
        <v> </v>
      </c>
      <c r="BQ81" s="0" t="str">
        <f aca="false">IF($A81="N/A"," ",(VLOOKUP($A81,NumberofDaysTable,2)))</f>
        <v> </v>
      </c>
      <c r="BR81" s="0" t="str">
        <f aca="false">IF($A81="N/A"," ",(VLOOKUP($A81,NumberofDaysTable,3)))</f>
        <v> </v>
      </c>
      <c r="BS81" s="0" t="str">
        <f aca="false">IF($A81="N/A"," ",(VLOOKUP($A81,NumberofDaysTable,4)))</f>
        <v> </v>
      </c>
    </row>
    <row r="82" customFormat="false" ht="12.75" hidden="false" customHeight="false" outlineLevel="0" collapsed="false">
      <c r="A82" s="315" t="str">
        <f aca="false">IF(A81="N/A","N/A",IF(EDATE(A81,1)&gt;Inputs!$Q$5,"N/A",EDATE(A81,1)))</f>
        <v>N/A</v>
      </c>
      <c r="B82" s="316" t="str">
        <f aca="false">IF(A82="N/A"," ",YEAR(A82))</f>
        <v> </v>
      </c>
      <c r="C82" s="317" t="str">
        <f aca="false">IF($A82="N/A"," ",IF(Dayrun3=10,0,IF(Scaler3=1,(VLOOKUP(A82,ScaledPrice3,4)),(VLOOKUP(A82,ScaledPrice3,2)))))</f>
        <v> </v>
      </c>
      <c r="D82" s="317" t="str">
        <f aca="false">IF(A82="N/A"," ",IF(Dayrun3&gt;=7,0,IF(Scaler3=2,VLOOKUP(A82,ScaledPrice3,2),(VLOOKUP(A82,ScaledPrice3,2))*(2-(VLOOKUP(A82,ScaledPrice3,3))))))</f>
        <v> </v>
      </c>
      <c r="E82" s="317" t="str">
        <f aca="false">IF($A82="N/A"," ",IF(AND(Dayrun3&gt;=4,Dayrun3&lt;=9),0,VLOOKUP($A82,ScaledPrice3,9)))</f>
        <v> </v>
      </c>
      <c r="F82" s="317" t="str">
        <f aca="false">IF(A82="N/A"," ",IF(OR(Dayrun3=2,Dayrun3=3,Dayrun3=5,Dayrun3=6,Dayrun3=8,Dayrun3=9),VLOOKUP(A82,ScaledPrice3,IF(Scaler3=1,6,5)),0))</f>
        <v> </v>
      </c>
      <c r="G82" s="317" t="str">
        <f aca="false">IF(A82="N/A"," ",IF(OR(Dayrun3=2,Dayrun3=3,Dayrun3=5,Dayrun3=6),IF(Scaler3=2,F82,(VLOOKUP(A82,ScaledPrice3,5))*(2-(VLOOKUP(A82,ScaledPrice3,3)))),0))</f>
        <v> </v>
      </c>
      <c r="H82" s="317" t="str">
        <f aca="false">IF($A82="N/A"," ",IF(OR(Dayrun3=2,Dayrun3=3,Dayrun3=10),VLOOKUP($A82,ScaledPrice3,9),0))</f>
        <v> </v>
      </c>
      <c r="I82" s="317" t="str">
        <f aca="false">IF(A82="N/A"," ",IF(OR(Dayrun3=3,Dayrun3=6,Dayrun3=9),(VLOOKUP(A82,ScaledPrice3,IF(Scaler3=2,7,8))),0))</f>
        <v> </v>
      </c>
      <c r="J82" s="317" t="str">
        <f aca="false">IF(A82="N/A"," ",IF(OR(Dayrun3=3,Dayrun3=6),IF(Scaler3=2,I82,(VLOOKUP(A82,ScaledPrice3,7))*(2-(VLOOKUP(A82,ScaledPrice3,3)))),0))</f>
        <v> </v>
      </c>
      <c r="K82" s="317" t="str">
        <f aca="false">IF($A82="N/A"," ",IF(OR(Dayrun3=3,Dayrun3=10),VLOOKUP($A82,ScaledPrice3,9),0))</f>
        <v> </v>
      </c>
      <c r="L82" s="318" t="str">
        <f aca="false">IF($A82="N/A"," ",IF(Pricetype3=2,MAX(C82,0),IF(OR(Pricetype3=1,Pricetype3=4),IF(C82=0,0,(EURO(C82,Strikeprice3,0,0,($AH82+IF(Smile=TRUE(),VLOOKUP(MAX(-5,Strikeprice3-C82),Volsmile,2),0)),($A82-DateToday)+15,IF(Pricetype3=1,1,0),0))),C82)))</f>
        <v> </v>
      </c>
      <c r="M82" s="318" t="str">
        <f aca="false">IF($A82="N/A"," ",IF(Pricetype3=2,MAX(D82,0),IF(OR(Pricetype3=1,Pricetype3=4),IF(D82=0,0,(EURO(D82,Strikeprice3,0,0,($AH82+IF(Smile=TRUE(),VLOOKUP(MAX(-5,Strikeprice3-D82),Volsmile,2),0)),($A82-DateToday)+15,IF(Pricetype3=1,1,0),0))),D82)))</f>
        <v> </v>
      </c>
      <c r="N82" s="318" t="str">
        <f aca="false">IF($A82="N/A"," ",IF(Pricetype3=2,MAX(E82,0),IF(OR(Pricetype3=1,Pricetype3=4),IF(E82=0,0,(EURO(E82,Strikeprice3,0,0,($AK82+IF(Smile=TRUE(),VLOOKUP(MAX(-5,Strikeprice3-E82),Volsmile,2),0)),($A82-DateToday)+15,IF(Pricetype3=1,1,0),0))),E82)))</f>
        <v> </v>
      </c>
      <c r="O82" s="318" t="str">
        <f aca="false">IF($A82="N/A"," ",IF(Pricetype3=2,MAX(F82,0),IF(OR(Pricetype3=1,Pricetype3=4),IF(F82=0,0,(EURO(F82,Strikeprice3,0,0,($AK82+IF(Smile=TRUE(),VLOOKUP(MAX(-5,Strikeprice3-F82),Volsmile,2),0)),($A82-DateToday)+15,IF(Pricetype3=1,1,0),0))),F82)))</f>
        <v> </v>
      </c>
      <c r="P82" s="318" t="str">
        <f aca="false">IF($A82="N/A"," ",IF(Pricetype3=2,MAX(G82,0),IF(OR(Pricetype3=1,Pricetype3=4),IF(G82=0,0,(EURO(G82,Strikeprice3,0,0,($AK82+IF(Smile=TRUE(),VLOOKUP(MAX(-5,Strikeprice3-G82),Volsmile,2),0)),($A82-DateToday)+15,IF(Pricetype3=1,1,0),0))),G82)))</f>
        <v> </v>
      </c>
      <c r="Q82" s="318" t="str">
        <f aca="false">IF($A82="N/A"," ",IF(Pricetype3=2,MAX(H82,0),IF(OR(Pricetype3=1,Pricetype3=4),IF(H82=0,0,(EURO(H82,Strikeprice3,0,0,($AK82+IF(Smile=TRUE(),VLOOKUP(MAX(-5,Strikeprice3-H82),Volsmile,2),0)),($A82-DateToday)+15,IF(Pricetype3=1,1,0),0))),H82)))</f>
        <v> </v>
      </c>
      <c r="R82" s="318" t="str">
        <f aca="false">IF($A82="N/A"," ",IF(Pricetype3=2,MAX(I82,0),IF(OR(Pricetype3=1,Pricetype3=4),IF(I82=0,0,(EURO(I82,Strikeprice3,0,0,($AK82+IF(Smile=TRUE(),VLOOKUP(MAX(-5,Strikeprice3-I82),Volsmile,2),0)),($A82-DateToday)+15,IF(Pricetype3=1,1,0),0))),I82)))</f>
        <v> </v>
      </c>
      <c r="S82" s="318" t="str">
        <f aca="false">IF($A82="N/A"," ",IF(Pricetype3=2,MAX(J82,0),IF(OR(Pricetype3=1,Pricetype3=4),IF(J82=0,0,(EURO(J82,Strikeprice3,0,0,($AK82+IF(Smile=TRUE(),VLOOKUP(MAX(-5,Strikeprice3-J82),Volsmile,2),0)),($A82-DateToday)+15,IF(Pricetype3=1,1,0),0))),J82)))</f>
        <v> </v>
      </c>
      <c r="T82" s="318" t="str">
        <f aca="false">IF($A82="N/A"," ",IF(Pricetype3=2,MAX(K82,0),IF(OR(Pricetype3=1,Pricetype3=4),IF(K82=0,0,(EURO(K82,Strikeprice3,0,0,($AK82+IF(Smile=TRUE(),VLOOKUP(MAX(-5,Strikeprice3-K82),Volsmile,2),0)),($A82-DateToday)+15,IF(Pricetype3=1,1,0),0))),K82)))</f>
        <v> </v>
      </c>
      <c r="U82" s="319" t="str">
        <f aca="false">IF($A82="N/A"," ",Volume3*$AM82)</f>
        <v> </v>
      </c>
      <c r="V82" s="320" t="str">
        <f aca="false">IF($A82="N/A"," ",$U82*(8*($BQ82))*L82)</f>
        <v> </v>
      </c>
      <c r="W82" s="320" t="str">
        <f aca="false">IF($A82="N/A"," ",$U82*(8*($BQ82))*M82)</f>
        <v> </v>
      </c>
      <c r="X82" s="320" t="str">
        <f aca="false">IF($A82="N/A"," ",$U82*(8*($BQ82))*N82)</f>
        <v> </v>
      </c>
      <c r="Y82" s="320" t="str">
        <f aca="false">IF($A82="N/A"," ",$U82*(8*($BR82))*O82)</f>
        <v> </v>
      </c>
      <c r="Z82" s="320" t="str">
        <f aca="false">IF($A82="N/A"," ",$U82*(8*($BR82))*P82)</f>
        <v> </v>
      </c>
      <c r="AA82" s="320" t="str">
        <f aca="false">IF($A82="N/A"," ",$U82*(8*($BR82))*Q82)</f>
        <v> </v>
      </c>
      <c r="AB82" s="320" t="str">
        <f aca="false">IF($A82="N/A"," ",$U82*(8*($BS82))*R82)</f>
        <v> </v>
      </c>
      <c r="AC82" s="320" t="str">
        <f aca="false">IF($A82="N/A"," ",$U82*(8*($BS82))*S82)</f>
        <v> </v>
      </c>
      <c r="AD82" s="320" t="str">
        <f aca="false">IF($A82="N/A"," ",$U82*(8*($BS82))*T82)</f>
        <v> </v>
      </c>
      <c r="AE82" s="320" t="str">
        <f aca="false">IF($A82="N/A"," ",SUM(V82:AD82))</f>
        <v> </v>
      </c>
      <c r="AF82" s="321" t="str">
        <f aca="false">IF(A82="N/A"," ",(VLOOKUP(A82,PowerVolTable,(IF(VolBMO3=2,7,IF(VolBMO3=1,6,8))),FALSE())))</f>
        <v> </v>
      </c>
      <c r="AG82" s="321" t="str">
        <f aca="false">IF(A82="N/A"," ",(VLOOKUP(A82,IntraPowerVol,(IF(VolBMO3=2,3,IF(VolBMO3=1,2,4))),FALSE())*VLOOKUP(MONTH($A82),Volscale,2)))</f>
        <v> </v>
      </c>
      <c r="AH82" s="321" t="str">
        <f aca="false">IF($A82="N/A"," ",IF(VolType3=1,AG82,AF82))</f>
        <v> </v>
      </c>
      <c r="AI82" s="321" t="str">
        <f aca="false">IF($A82="N/A"," ",(VLOOKUP($A82,OffPwrVolTable,(IF(VolBMO3=2,7,IF(VolBMO3=1,6,8))),FALSE())))</f>
        <v> </v>
      </c>
      <c r="AJ82" s="321" t="str">
        <f aca="false">IF($A82="N/A"," ",(VLOOKUP($A82,OffPwrVolTable,(IF(VolBMO3=2,3,IF(VolBMO3=1,2,4))),FALSE())*VLOOKUP(MONTH($A82),Volscale,2)))</f>
        <v> </v>
      </c>
      <c r="AK82" s="321" t="str">
        <f aca="false">IF($A82="N/A"," ",IF(VolType3=1,AJ82,AI82))</f>
        <v> </v>
      </c>
      <c r="AL82" s="321" t="str">
        <f aca="false">IF($A82="N/A"," ",IF(PV=1,0,'Pricing Inputs3'!R115))</f>
        <v> </v>
      </c>
      <c r="AM82" s="323" t="str">
        <f aca="false">IF($A82="N/A"," ",(1+AL82/2)^(-2*((EOMONTH(A82,0)+20)-DateToday)/365.25))</f>
        <v> </v>
      </c>
      <c r="BQ82" s="0" t="str">
        <f aca="false">IF($A82="N/A"," ",(VLOOKUP($A82,NumberofDaysTable,2)))</f>
        <v> </v>
      </c>
      <c r="BR82" s="0" t="str">
        <f aca="false">IF($A82="N/A"," ",(VLOOKUP($A82,NumberofDaysTable,3)))</f>
        <v> </v>
      </c>
      <c r="BS82" s="0" t="str">
        <f aca="false">IF($A82="N/A"," ",(VLOOKUP($A82,NumberofDaysTable,4)))</f>
        <v> </v>
      </c>
    </row>
    <row r="83" customFormat="false" ht="12.75" hidden="false" customHeight="false" outlineLevel="0" collapsed="false">
      <c r="A83" s="315" t="str">
        <f aca="false">IF(A82="N/A","N/A",IF(EDATE(A82,1)&gt;Inputs!$Q$5,"N/A",EDATE(A82,1)))</f>
        <v>N/A</v>
      </c>
      <c r="B83" s="316" t="str">
        <f aca="false">IF(A83="N/A"," ",YEAR(A83))</f>
        <v> </v>
      </c>
      <c r="C83" s="317" t="str">
        <f aca="false">IF($A83="N/A"," ",IF(Dayrun3=10,0,IF(Scaler3=1,(VLOOKUP(A83,ScaledPrice3,4)),(VLOOKUP(A83,ScaledPrice3,2)))))</f>
        <v> </v>
      </c>
      <c r="D83" s="317" t="str">
        <f aca="false">IF(A83="N/A"," ",IF(Dayrun3&gt;=7,0,IF(Scaler3=2,VLOOKUP(A83,ScaledPrice3,2),(VLOOKUP(A83,ScaledPrice3,2))*(2-(VLOOKUP(A83,ScaledPrice3,3))))))</f>
        <v> </v>
      </c>
      <c r="E83" s="317" t="str">
        <f aca="false">IF($A83="N/A"," ",IF(AND(Dayrun3&gt;=4,Dayrun3&lt;=9),0,VLOOKUP($A83,ScaledPrice3,9)))</f>
        <v> </v>
      </c>
      <c r="F83" s="317" t="str">
        <f aca="false">IF(A83="N/A"," ",IF(OR(Dayrun3=2,Dayrun3=3,Dayrun3=5,Dayrun3=6,Dayrun3=8,Dayrun3=9),VLOOKUP(A83,ScaledPrice3,IF(Scaler3=1,6,5)),0))</f>
        <v> </v>
      </c>
      <c r="G83" s="317" t="str">
        <f aca="false">IF(A83="N/A"," ",IF(OR(Dayrun3=2,Dayrun3=3,Dayrun3=5,Dayrun3=6),IF(Scaler3=2,F83,(VLOOKUP(A83,ScaledPrice3,5))*(2-(VLOOKUP(A83,ScaledPrice3,3)))),0))</f>
        <v> </v>
      </c>
      <c r="H83" s="317" t="str">
        <f aca="false">IF($A83="N/A"," ",IF(OR(Dayrun3=2,Dayrun3=3,Dayrun3=10),VLOOKUP($A83,ScaledPrice3,9),0))</f>
        <v> </v>
      </c>
      <c r="I83" s="317" t="str">
        <f aca="false">IF(A83="N/A"," ",IF(OR(Dayrun3=3,Dayrun3=6,Dayrun3=9),(VLOOKUP(A83,ScaledPrice3,IF(Scaler3=2,7,8))),0))</f>
        <v> </v>
      </c>
      <c r="J83" s="317" t="str">
        <f aca="false">IF(A83="N/A"," ",IF(OR(Dayrun3=3,Dayrun3=6),IF(Scaler3=2,I83,(VLOOKUP(A83,ScaledPrice3,7))*(2-(VLOOKUP(A83,ScaledPrice3,3)))),0))</f>
        <v> </v>
      </c>
      <c r="K83" s="317" t="str">
        <f aca="false">IF($A83="N/A"," ",IF(OR(Dayrun3=3,Dayrun3=10),VLOOKUP($A83,ScaledPrice3,9),0))</f>
        <v> </v>
      </c>
      <c r="L83" s="318" t="str">
        <f aca="false">IF($A83="N/A"," ",IF(Pricetype3=2,MAX(C83,0),IF(OR(Pricetype3=1,Pricetype3=4),IF(C83=0,0,(EURO(C83,Strikeprice3,0,0,($AH83+IF(Smile=TRUE(),VLOOKUP(MAX(-5,Strikeprice3-C83),Volsmile,2),0)),($A83-DateToday)+15,IF(Pricetype3=1,1,0),0))),C83)))</f>
        <v> </v>
      </c>
      <c r="M83" s="318" t="str">
        <f aca="false">IF($A83="N/A"," ",IF(Pricetype3=2,MAX(D83,0),IF(OR(Pricetype3=1,Pricetype3=4),IF(D83=0,0,(EURO(D83,Strikeprice3,0,0,($AH83+IF(Smile=TRUE(),VLOOKUP(MAX(-5,Strikeprice3-D83),Volsmile,2),0)),($A83-DateToday)+15,IF(Pricetype3=1,1,0),0))),D83)))</f>
        <v> </v>
      </c>
      <c r="N83" s="318" t="str">
        <f aca="false">IF($A83="N/A"," ",IF(Pricetype3=2,MAX(E83,0),IF(OR(Pricetype3=1,Pricetype3=4),IF(E83=0,0,(EURO(E83,Strikeprice3,0,0,($AK83+IF(Smile=TRUE(),VLOOKUP(MAX(-5,Strikeprice3-E83),Volsmile,2),0)),($A83-DateToday)+15,IF(Pricetype3=1,1,0),0))),E83)))</f>
        <v> </v>
      </c>
      <c r="O83" s="318" t="str">
        <f aca="false">IF($A83="N/A"," ",IF(Pricetype3=2,MAX(F83,0),IF(OR(Pricetype3=1,Pricetype3=4),IF(F83=0,0,(EURO(F83,Strikeprice3,0,0,($AK83+IF(Smile=TRUE(),VLOOKUP(MAX(-5,Strikeprice3-F83),Volsmile,2),0)),($A83-DateToday)+15,IF(Pricetype3=1,1,0),0))),F83)))</f>
        <v> </v>
      </c>
      <c r="P83" s="318" t="str">
        <f aca="false">IF($A83="N/A"," ",IF(Pricetype3=2,MAX(G83,0),IF(OR(Pricetype3=1,Pricetype3=4),IF(G83=0,0,(EURO(G83,Strikeprice3,0,0,($AK83+IF(Smile=TRUE(),VLOOKUP(MAX(-5,Strikeprice3-G83),Volsmile,2),0)),($A83-DateToday)+15,IF(Pricetype3=1,1,0),0))),G83)))</f>
        <v> </v>
      </c>
      <c r="Q83" s="318" t="str">
        <f aca="false">IF($A83="N/A"," ",IF(Pricetype3=2,MAX(H83,0),IF(OR(Pricetype3=1,Pricetype3=4),IF(H83=0,0,(EURO(H83,Strikeprice3,0,0,($AK83+IF(Smile=TRUE(),VLOOKUP(MAX(-5,Strikeprice3-H83),Volsmile,2),0)),($A83-DateToday)+15,IF(Pricetype3=1,1,0),0))),H83)))</f>
        <v> </v>
      </c>
      <c r="R83" s="318" t="str">
        <f aca="false">IF($A83="N/A"," ",IF(Pricetype3=2,MAX(I83,0),IF(OR(Pricetype3=1,Pricetype3=4),IF(I83=0,0,(EURO(I83,Strikeprice3,0,0,($AK83+IF(Smile=TRUE(),VLOOKUP(MAX(-5,Strikeprice3-I83),Volsmile,2),0)),($A83-DateToday)+15,IF(Pricetype3=1,1,0),0))),I83)))</f>
        <v> </v>
      </c>
      <c r="S83" s="318" t="str">
        <f aca="false">IF($A83="N/A"," ",IF(Pricetype3=2,MAX(J83,0),IF(OR(Pricetype3=1,Pricetype3=4),IF(J83=0,0,(EURO(J83,Strikeprice3,0,0,($AK83+IF(Smile=TRUE(),VLOOKUP(MAX(-5,Strikeprice3-J83),Volsmile,2),0)),($A83-DateToday)+15,IF(Pricetype3=1,1,0),0))),J83)))</f>
        <v> </v>
      </c>
      <c r="T83" s="318" t="str">
        <f aca="false">IF($A83="N/A"," ",IF(Pricetype3=2,MAX(K83,0),IF(OR(Pricetype3=1,Pricetype3=4),IF(K83=0,0,(EURO(K83,Strikeprice3,0,0,($AK83+IF(Smile=TRUE(),VLOOKUP(MAX(-5,Strikeprice3-K83),Volsmile,2),0)),($A83-DateToday)+15,IF(Pricetype3=1,1,0),0))),K83)))</f>
        <v> </v>
      </c>
      <c r="U83" s="319" t="str">
        <f aca="false">IF($A83="N/A"," ",Volume3*$AM83)</f>
        <v> </v>
      </c>
      <c r="V83" s="320" t="str">
        <f aca="false">IF($A83="N/A"," ",$U83*(8*($BQ83))*L83)</f>
        <v> </v>
      </c>
      <c r="W83" s="320" t="str">
        <f aca="false">IF($A83="N/A"," ",$U83*(8*($BQ83))*M83)</f>
        <v> </v>
      </c>
      <c r="X83" s="320" t="str">
        <f aca="false">IF($A83="N/A"," ",$U83*(8*($BQ83))*N83)</f>
        <v> </v>
      </c>
      <c r="Y83" s="320" t="str">
        <f aca="false">IF($A83="N/A"," ",$U83*(8*($BR83))*O83)</f>
        <v> </v>
      </c>
      <c r="Z83" s="320" t="str">
        <f aca="false">IF($A83="N/A"," ",$U83*(8*($BR83))*P83)</f>
        <v> </v>
      </c>
      <c r="AA83" s="320" t="str">
        <f aca="false">IF($A83="N/A"," ",$U83*(8*($BR83))*Q83)</f>
        <v> </v>
      </c>
      <c r="AB83" s="320" t="str">
        <f aca="false">IF($A83="N/A"," ",$U83*(8*($BS83))*R83)</f>
        <v> </v>
      </c>
      <c r="AC83" s="320" t="str">
        <f aca="false">IF($A83="N/A"," ",$U83*(8*($BS83))*S83)</f>
        <v> </v>
      </c>
      <c r="AD83" s="320" t="str">
        <f aca="false">IF($A83="N/A"," ",$U83*(8*($BS83))*T83)</f>
        <v> </v>
      </c>
      <c r="AE83" s="320" t="str">
        <f aca="false">IF($A83="N/A"," ",SUM(V83:AD83))</f>
        <v> </v>
      </c>
      <c r="AF83" s="321" t="str">
        <f aca="false">IF(A83="N/A"," ",(VLOOKUP(A83,PowerVolTable,(IF(VolBMO3=2,7,IF(VolBMO3=1,6,8))),FALSE())))</f>
        <v> </v>
      </c>
      <c r="AG83" s="321" t="str">
        <f aca="false">IF(A83="N/A"," ",(VLOOKUP(A83,IntraPowerVol,(IF(VolBMO3=2,3,IF(VolBMO3=1,2,4))),FALSE())*VLOOKUP(MONTH($A83),Volscale,2)))</f>
        <v> </v>
      </c>
      <c r="AH83" s="321" t="str">
        <f aca="false">IF($A83="N/A"," ",IF(VolType3=1,AG83,AF83))</f>
        <v> </v>
      </c>
      <c r="AI83" s="321" t="str">
        <f aca="false">IF($A83="N/A"," ",(VLOOKUP($A83,OffPwrVolTable,(IF(VolBMO3=2,7,IF(VolBMO3=1,6,8))),FALSE())))</f>
        <v> </v>
      </c>
      <c r="AJ83" s="321" t="str">
        <f aca="false">IF($A83="N/A"," ",(VLOOKUP($A83,OffPwrVolTable,(IF(VolBMO3=2,3,IF(VolBMO3=1,2,4))),FALSE())*VLOOKUP(MONTH($A83),Volscale,2)))</f>
        <v> </v>
      </c>
      <c r="AK83" s="321" t="str">
        <f aca="false">IF($A83="N/A"," ",IF(VolType3=1,AJ83,AI83))</f>
        <v> </v>
      </c>
      <c r="AL83" s="321" t="str">
        <f aca="false">IF($A83="N/A"," ",IF(PV=1,0,'Pricing Inputs3'!R116))</f>
        <v> </v>
      </c>
      <c r="AM83" s="323" t="str">
        <f aca="false">IF($A83="N/A"," ",(1+AL83/2)^(-2*((EOMONTH(A83,0)+20)-DateToday)/365.25))</f>
        <v> </v>
      </c>
      <c r="BQ83" s="0" t="str">
        <f aca="false">IF($A83="N/A"," ",(VLOOKUP($A83,NumberofDaysTable,2)))</f>
        <v> </v>
      </c>
      <c r="BR83" s="0" t="str">
        <f aca="false">IF($A83="N/A"," ",(VLOOKUP($A83,NumberofDaysTable,3)))</f>
        <v> </v>
      </c>
      <c r="BS83" s="0" t="str">
        <f aca="false">IF($A83="N/A"," ",(VLOOKUP($A83,NumberofDaysTable,4)))</f>
        <v> </v>
      </c>
    </row>
    <row r="84" customFormat="false" ht="12.75" hidden="false" customHeight="false" outlineLevel="0" collapsed="false">
      <c r="A84" s="315" t="str">
        <f aca="false">IF(A83="N/A","N/A",IF(EDATE(A83,1)&gt;Inputs!$Q$5,"N/A",EDATE(A83,1)))</f>
        <v>N/A</v>
      </c>
      <c r="B84" s="316" t="str">
        <f aca="false">IF(A84="N/A"," ",YEAR(A84))</f>
        <v> </v>
      </c>
      <c r="C84" s="317" t="str">
        <f aca="false">IF($A84="N/A"," ",IF(Dayrun3=10,0,IF(Scaler3=1,(VLOOKUP(A84,ScaledPrice3,4)),(VLOOKUP(A84,ScaledPrice3,2)))))</f>
        <v> </v>
      </c>
      <c r="D84" s="317" t="str">
        <f aca="false">IF(A84="N/A"," ",IF(Dayrun3&gt;=7,0,IF(Scaler3=2,VLOOKUP(A84,ScaledPrice3,2),(VLOOKUP(A84,ScaledPrice3,2))*(2-(VLOOKUP(A84,ScaledPrice3,3))))))</f>
        <v> </v>
      </c>
      <c r="E84" s="317" t="str">
        <f aca="false">IF($A84="N/A"," ",IF(AND(Dayrun3&gt;=4,Dayrun3&lt;=9),0,VLOOKUP($A84,ScaledPrice3,9)))</f>
        <v> </v>
      </c>
      <c r="F84" s="317" t="str">
        <f aca="false">IF(A84="N/A"," ",IF(OR(Dayrun3=2,Dayrun3=3,Dayrun3=5,Dayrun3=6,Dayrun3=8,Dayrun3=9),VLOOKUP(A84,ScaledPrice3,IF(Scaler3=1,6,5)),0))</f>
        <v> </v>
      </c>
      <c r="G84" s="317" t="str">
        <f aca="false">IF(A84="N/A"," ",IF(OR(Dayrun3=2,Dayrun3=3,Dayrun3=5,Dayrun3=6),IF(Scaler3=2,F84,(VLOOKUP(A84,ScaledPrice3,5))*(2-(VLOOKUP(A84,ScaledPrice3,3)))),0))</f>
        <v> </v>
      </c>
      <c r="H84" s="317" t="str">
        <f aca="false">IF($A84="N/A"," ",IF(OR(Dayrun3=2,Dayrun3=3,Dayrun3=10),VLOOKUP($A84,ScaledPrice3,9),0))</f>
        <v> </v>
      </c>
      <c r="I84" s="317" t="str">
        <f aca="false">IF(A84="N/A"," ",IF(OR(Dayrun3=3,Dayrun3=6,Dayrun3=9),(VLOOKUP(A84,ScaledPrice3,IF(Scaler3=2,7,8))),0))</f>
        <v> </v>
      </c>
      <c r="J84" s="317" t="str">
        <f aca="false">IF(A84="N/A"," ",IF(OR(Dayrun3=3,Dayrun3=6),IF(Scaler3=2,I84,(VLOOKUP(A84,ScaledPrice3,7))*(2-(VLOOKUP(A84,ScaledPrice3,3)))),0))</f>
        <v> </v>
      </c>
      <c r="K84" s="317" t="str">
        <f aca="false">IF($A84="N/A"," ",IF(OR(Dayrun3=3,Dayrun3=10),VLOOKUP($A84,ScaledPrice3,9),0))</f>
        <v> </v>
      </c>
      <c r="L84" s="318" t="str">
        <f aca="false">IF($A84="N/A"," ",IF(Pricetype3=2,MAX(C84,0),IF(OR(Pricetype3=1,Pricetype3=4),IF(C84=0,0,(EURO(C84,Strikeprice3,0,0,($AH84+IF(Smile=TRUE(),VLOOKUP(MAX(-5,Strikeprice3-C84),Volsmile,2),0)),($A84-DateToday)+15,IF(Pricetype3=1,1,0),0))),C84)))</f>
        <v> </v>
      </c>
      <c r="M84" s="318" t="str">
        <f aca="false">IF($A84="N/A"," ",IF(Pricetype3=2,MAX(D84,0),IF(OR(Pricetype3=1,Pricetype3=4),IF(D84=0,0,(EURO(D84,Strikeprice3,0,0,($AH84+IF(Smile=TRUE(),VLOOKUP(MAX(-5,Strikeprice3-D84),Volsmile,2),0)),($A84-DateToday)+15,IF(Pricetype3=1,1,0),0))),D84)))</f>
        <v> </v>
      </c>
      <c r="N84" s="318" t="str">
        <f aca="false">IF($A84="N/A"," ",IF(Pricetype3=2,MAX(E84,0),IF(OR(Pricetype3=1,Pricetype3=4),IF(E84=0,0,(EURO(E84,Strikeprice3,0,0,($AK84+IF(Smile=TRUE(),VLOOKUP(MAX(-5,Strikeprice3-E84),Volsmile,2),0)),($A84-DateToday)+15,IF(Pricetype3=1,1,0),0))),E84)))</f>
        <v> </v>
      </c>
      <c r="O84" s="318" t="str">
        <f aca="false">IF($A84="N/A"," ",IF(Pricetype3=2,MAX(F84,0),IF(OR(Pricetype3=1,Pricetype3=4),IF(F84=0,0,(EURO(F84,Strikeprice3,0,0,($AK84+IF(Smile=TRUE(),VLOOKUP(MAX(-5,Strikeprice3-F84),Volsmile,2),0)),($A84-DateToday)+15,IF(Pricetype3=1,1,0),0))),F84)))</f>
        <v> </v>
      </c>
      <c r="P84" s="318" t="str">
        <f aca="false">IF($A84="N/A"," ",IF(Pricetype3=2,MAX(G84,0),IF(OR(Pricetype3=1,Pricetype3=4),IF(G84=0,0,(EURO(G84,Strikeprice3,0,0,($AK84+IF(Smile=TRUE(),VLOOKUP(MAX(-5,Strikeprice3-G84),Volsmile,2),0)),($A84-DateToday)+15,IF(Pricetype3=1,1,0),0))),G84)))</f>
        <v> </v>
      </c>
      <c r="Q84" s="318" t="str">
        <f aca="false">IF($A84="N/A"," ",IF(Pricetype3=2,MAX(H84,0),IF(OR(Pricetype3=1,Pricetype3=4),IF(H84=0,0,(EURO(H84,Strikeprice3,0,0,($AK84+IF(Smile=TRUE(),VLOOKUP(MAX(-5,Strikeprice3-H84),Volsmile,2),0)),($A84-DateToday)+15,IF(Pricetype3=1,1,0),0))),H84)))</f>
        <v> </v>
      </c>
      <c r="R84" s="318" t="str">
        <f aca="false">IF($A84="N/A"," ",IF(Pricetype3=2,MAX(I84,0),IF(OR(Pricetype3=1,Pricetype3=4),IF(I84=0,0,(EURO(I84,Strikeprice3,0,0,($AK84+IF(Smile=TRUE(),VLOOKUP(MAX(-5,Strikeprice3-I84),Volsmile,2),0)),($A84-DateToday)+15,IF(Pricetype3=1,1,0),0))),I84)))</f>
        <v> </v>
      </c>
      <c r="S84" s="318" t="str">
        <f aca="false">IF($A84="N/A"," ",IF(Pricetype3=2,MAX(J84,0),IF(OR(Pricetype3=1,Pricetype3=4),IF(J84=0,0,(EURO(J84,Strikeprice3,0,0,($AK84+IF(Smile=TRUE(),VLOOKUP(MAX(-5,Strikeprice3-J84),Volsmile,2),0)),($A84-DateToday)+15,IF(Pricetype3=1,1,0),0))),J84)))</f>
        <v> </v>
      </c>
      <c r="T84" s="318" t="str">
        <f aca="false">IF($A84="N/A"," ",IF(Pricetype3=2,MAX(K84,0),IF(OR(Pricetype3=1,Pricetype3=4),IF(K84=0,0,(EURO(K84,Strikeprice3,0,0,($AK84+IF(Smile=TRUE(),VLOOKUP(MAX(-5,Strikeprice3-K84),Volsmile,2),0)),($A84-DateToday)+15,IF(Pricetype3=1,1,0),0))),K84)))</f>
        <v> </v>
      </c>
      <c r="U84" s="319" t="str">
        <f aca="false">IF($A84="N/A"," ",Volume3*$AM84)</f>
        <v> </v>
      </c>
      <c r="V84" s="320" t="str">
        <f aca="false">IF($A84="N/A"," ",$U84*(8*($BQ84))*L84)</f>
        <v> </v>
      </c>
      <c r="W84" s="320" t="str">
        <f aca="false">IF($A84="N/A"," ",$U84*(8*($BQ84))*M84)</f>
        <v> </v>
      </c>
      <c r="X84" s="320" t="str">
        <f aca="false">IF($A84="N/A"," ",$U84*(8*($BQ84))*N84)</f>
        <v> </v>
      </c>
      <c r="Y84" s="320" t="str">
        <f aca="false">IF($A84="N/A"," ",$U84*(8*($BR84))*O84)</f>
        <v> </v>
      </c>
      <c r="Z84" s="320" t="str">
        <f aca="false">IF($A84="N/A"," ",$U84*(8*($BR84))*P84)</f>
        <v> </v>
      </c>
      <c r="AA84" s="320" t="str">
        <f aca="false">IF($A84="N/A"," ",$U84*(8*($BR84))*Q84)</f>
        <v> </v>
      </c>
      <c r="AB84" s="320" t="str">
        <f aca="false">IF($A84="N/A"," ",$U84*(8*($BS84))*R84)</f>
        <v> </v>
      </c>
      <c r="AC84" s="320" t="str">
        <f aca="false">IF($A84="N/A"," ",$U84*(8*($BS84))*S84)</f>
        <v> </v>
      </c>
      <c r="AD84" s="320" t="str">
        <f aca="false">IF($A84="N/A"," ",$U84*(8*($BS84))*T84)</f>
        <v> </v>
      </c>
      <c r="AE84" s="320" t="str">
        <f aca="false">IF($A84="N/A"," ",SUM(V84:AD84))</f>
        <v> </v>
      </c>
      <c r="AF84" s="321" t="str">
        <f aca="false">IF(A84="N/A"," ",(VLOOKUP(A84,PowerVolTable,(IF(VolBMO3=2,7,IF(VolBMO3=1,6,8))),FALSE())))</f>
        <v> </v>
      </c>
      <c r="AG84" s="321" t="str">
        <f aca="false">IF(A84="N/A"," ",(VLOOKUP(A84,IntraPowerVol,(IF(VolBMO3=2,3,IF(VolBMO3=1,2,4))),FALSE())*VLOOKUP(MONTH($A84),Volscale,2)))</f>
        <v> </v>
      </c>
      <c r="AH84" s="321" t="str">
        <f aca="false">IF($A84="N/A"," ",IF(VolType3=1,AG84,AF84))</f>
        <v> </v>
      </c>
      <c r="AI84" s="321" t="str">
        <f aca="false">IF($A84="N/A"," ",(VLOOKUP($A84,OffPwrVolTable,(IF(VolBMO3=2,7,IF(VolBMO3=1,6,8))),FALSE())))</f>
        <v> </v>
      </c>
      <c r="AJ84" s="321" t="str">
        <f aca="false">IF($A84="N/A"," ",(VLOOKUP($A84,OffPwrVolTable,(IF(VolBMO3=2,3,IF(VolBMO3=1,2,4))),FALSE())*VLOOKUP(MONTH($A84),Volscale,2)))</f>
        <v> </v>
      </c>
      <c r="AK84" s="321" t="str">
        <f aca="false">IF($A84="N/A"," ",IF(VolType3=1,AJ84,AI84))</f>
        <v> </v>
      </c>
      <c r="AL84" s="321" t="str">
        <f aca="false">IF($A84="N/A"," ",IF(PV=1,0,'Pricing Inputs3'!R117))</f>
        <v> </v>
      </c>
      <c r="AM84" s="323" t="str">
        <f aca="false">IF($A84="N/A"," ",(1+AL84/2)^(-2*((EOMONTH(A84,0)+20)-DateToday)/365.25))</f>
        <v> </v>
      </c>
      <c r="BQ84" s="0" t="str">
        <f aca="false">IF($A84="N/A"," ",(VLOOKUP($A84,NumberofDaysTable,2)))</f>
        <v> </v>
      </c>
      <c r="BR84" s="0" t="str">
        <f aca="false">IF($A84="N/A"," ",(VLOOKUP($A84,NumberofDaysTable,3)))</f>
        <v> </v>
      </c>
      <c r="BS84" s="0" t="str">
        <f aca="false">IF($A84="N/A"," ",(VLOOKUP($A84,NumberofDaysTable,4)))</f>
        <v> </v>
      </c>
    </row>
    <row r="85" customFormat="false" ht="12.75" hidden="false" customHeight="false" outlineLevel="0" collapsed="false">
      <c r="A85" s="315" t="str">
        <f aca="false">IF(A84="N/A","N/A",IF(EDATE(A84,1)&gt;Inputs!$Q$5,"N/A",EDATE(A84,1)))</f>
        <v>N/A</v>
      </c>
      <c r="B85" s="316" t="str">
        <f aca="false">IF(A85="N/A"," ",YEAR(A85))</f>
        <v> </v>
      </c>
      <c r="C85" s="317" t="str">
        <f aca="false">IF($A85="N/A"," ",IF(Dayrun3=10,0,IF(Scaler3=1,(VLOOKUP(A85,ScaledPrice3,4)),(VLOOKUP(A85,ScaledPrice3,2)))))</f>
        <v> </v>
      </c>
      <c r="D85" s="317" t="str">
        <f aca="false">IF(A85="N/A"," ",IF(Dayrun3&gt;=7,0,IF(Scaler3=2,VLOOKUP(A85,ScaledPrice3,2),(VLOOKUP(A85,ScaledPrice3,2))*(2-(VLOOKUP(A85,ScaledPrice3,3))))))</f>
        <v> </v>
      </c>
      <c r="E85" s="317" t="str">
        <f aca="false">IF($A85="N/A"," ",IF(AND(Dayrun3&gt;=4,Dayrun3&lt;=9),0,VLOOKUP($A85,ScaledPrice3,9)))</f>
        <v> </v>
      </c>
      <c r="F85" s="317" t="str">
        <f aca="false">IF(A85="N/A"," ",IF(OR(Dayrun3=2,Dayrun3=3,Dayrun3=5,Dayrun3=6,Dayrun3=8,Dayrun3=9),VLOOKUP(A85,ScaledPrice3,IF(Scaler3=1,6,5)),0))</f>
        <v> </v>
      </c>
      <c r="G85" s="317" t="str">
        <f aca="false">IF(A85="N/A"," ",IF(OR(Dayrun3=2,Dayrun3=3,Dayrun3=5,Dayrun3=6),IF(Scaler3=2,F85,(VLOOKUP(A85,ScaledPrice3,5))*(2-(VLOOKUP(A85,ScaledPrice3,3)))),0))</f>
        <v> </v>
      </c>
      <c r="H85" s="317" t="str">
        <f aca="false">IF($A85="N/A"," ",IF(OR(Dayrun3=2,Dayrun3=3,Dayrun3=10),VLOOKUP($A85,ScaledPrice3,9),0))</f>
        <v> </v>
      </c>
      <c r="I85" s="317" t="str">
        <f aca="false">IF(A85="N/A"," ",IF(OR(Dayrun3=3,Dayrun3=6,Dayrun3=9),(VLOOKUP(A85,ScaledPrice3,IF(Scaler3=2,7,8))),0))</f>
        <v> </v>
      </c>
      <c r="J85" s="317" t="str">
        <f aca="false">IF(A85="N/A"," ",IF(OR(Dayrun3=3,Dayrun3=6),IF(Scaler3=2,I85,(VLOOKUP(A85,ScaledPrice3,7))*(2-(VLOOKUP(A85,ScaledPrice3,3)))),0))</f>
        <v> </v>
      </c>
      <c r="K85" s="317" t="str">
        <f aca="false">IF($A85="N/A"," ",IF(OR(Dayrun3=3,Dayrun3=10),VLOOKUP($A85,ScaledPrice3,9),0))</f>
        <v> </v>
      </c>
      <c r="L85" s="318" t="str">
        <f aca="false">IF($A85="N/A"," ",IF(Pricetype3=2,MAX(C85,0),IF(OR(Pricetype3=1,Pricetype3=4),IF(C85=0,0,(EURO(C85,Strikeprice3,0,0,($AH85+IF(Smile=TRUE(),VLOOKUP(MAX(-5,Strikeprice3-C85),Volsmile,2),0)),($A85-DateToday)+15,IF(Pricetype3=1,1,0),0))),C85)))</f>
        <v> </v>
      </c>
      <c r="M85" s="318" t="str">
        <f aca="false">IF($A85="N/A"," ",IF(Pricetype3=2,MAX(D85,0),IF(OR(Pricetype3=1,Pricetype3=4),IF(D85=0,0,(EURO(D85,Strikeprice3,0,0,($AH85+IF(Smile=TRUE(),VLOOKUP(MAX(-5,Strikeprice3-D85),Volsmile,2),0)),($A85-DateToday)+15,IF(Pricetype3=1,1,0),0))),D85)))</f>
        <v> </v>
      </c>
      <c r="N85" s="318" t="str">
        <f aca="false">IF($A85="N/A"," ",IF(Pricetype3=2,MAX(E85,0),IF(OR(Pricetype3=1,Pricetype3=4),IF(E85=0,0,(EURO(E85,Strikeprice3,0,0,($AK85+IF(Smile=TRUE(),VLOOKUP(MAX(-5,Strikeprice3-E85),Volsmile,2),0)),($A85-DateToday)+15,IF(Pricetype3=1,1,0),0))),E85)))</f>
        <v> </v>
      </c>
      <c r="O85" s="318" t="str">
        <f aca="false">IF($A85="N/A"," ",IF(Pricetype3=2,MAX(F85,0),IF(OR(Pricetype3=1,Pricetype3=4),IF(F85=0,0,(EURO(F85,Strikeprice3,0,0,($AK85+IF(Smile=TRUE(),VLOOKUP(MAX(-5,Strikeprice3-F85),Volsmile,2),0)),($A85-DateToday)+15,IF(Pricetype3=1,1,0),0))),F85)))</f>
        <v> </v>
      </c>
      <c r="P85" s="318" t="str">
        <f aca="false">IF($A85="N/A"," ",IF(Pricetype3=2,MAX(G85,0),IF(OR(Pricetype3=1,Pricetype3=4),IF(G85=0,0,(EURO(G85,Strikeprice3,0,0,($AK85+IF(Smile=TRUE(),VLOOKUP(MAX(-5,Strikeprice3-G85),Volsmile,2),0)),($A85-DateToday)+15,IF(Pricetype3=1,1,0),0))),G85)))</f>
        <v> </v>
      </c>
      <c r="Q85" s="318" t="str">
        <f aca="false">IF($A85="N/A"," ",IF(Pricetype3=2,MAX(H85,0),IF(OR(Pricetype3=1,Pricetype3=4),IF(H85=0,0,(EURO(H85,Strikeprice3,0,0,($AK85+IF(Smile=TRUE(),VLOOKUP(MAX(-5,Strikeprice3-H85),Volsmile,2),0)),($A85-DateToday)+15,IF(Pricetype3=1,1,0),0))),H85)))</f>
        <v> </v>
      </c>
      <c r="R85" s="318" t="str">
        <f aca="false">IF($A85="N/A"," ",IF(Pricetype3=2,MAX(I85,0),IF(OR(Pricetype3=1,Pricetype3=4),IF(I85=0,0,(EURO(I85,Strikeprice3,0,0,($AK85+IF(Smile=TRUE(),VLOOKUP(MAX(-5,Strikeprice3-I85),Volsmile,2),0)),($A85-DateToday)+15,IF(Pricetype3=1,1,0),0))),I85)))</f>
        <v> </v>
      </c>
      <c r="S85" s="318" t="str">
        <f aca="false">IF($A85="N/A"," ",IF(Pricetype3=2,MAX(J85,0),IF(OR(Pricetype3=1,Pricetype3=4),IF(J85=0,0,(EURO(J85,Strikeprice3,0,0,($AK85+IF(Smile=TRUE(),VLOOKUP(MAX(-5,Strikeprice3-J85),Volsmile,2),0)),($A85-DateToday)+15,IF(Pricetype3=1,1,0),0))),J85)))</f>
        <v> </v>
      </c>
      <c r="T85" s="318" t="str">
        <f aca="false">IF($A85="N/A"," ",IF(Pricetype3=2,MAX(K85,0),IF(OR(Pricetype3=1,Pricetype3=4),IF(K85=0,0,(EURO(K85,Strikeprice3,0,0,($AK85+IF(Smile=TRUE(),VLOOKUP(MAX(-5,Strikeprice3-K85),Volsmile,2),0)),($A85-DateToday)+15,IF(Pricetype3=1,1,0),0))),K85)))</f>
        <v> </v>
      </c>
      <c r="U85" s="319" t="str">
        <f aca="false">IF($A85="N/A"," ",Volume3*$AM85)</f>
        <v> </v>
      </c>
      <c r="V85" s="320" t="str">
        <f aca="false">IF($A85="N/A"," ",$U85*(8*($BQ85))*L85)</f>
        <v> </v>
      </c>
      <c r="W85" s="320" t="str">
        <f aca="false">IF($A85="N/A"," ",$U85*(8*($BQ85))*M85)</f>
        <v> </v>
      </c>
      <c r="X85" s="320" t="str">
        <f aca="false">IF($A85="N/A"," ",$U85*(8*($BQ85))*N85)</f>
        <v> </v>
      </c>
      <c r="Y85" s="320" t="str">
        <f aca="false">IF($A85="N/A"," ",$U85*(8*($BR85))*O85)</f>
        <v> </v>
      </c>
      <c r="Z85" s="320" t="str">
        <f aca="false">IF($A85="N/A"," ",$U85*(8*($BR85))*P85)</f>
        <v> </v>
      </c>
      <c r="AA85" s="320" t="str">
        <f aca="false">IF($A85="N/A"," ",$U85*(8*($BR85))*Q85)</f>
        <v> </v>
      </c>
      <c r="AB85" s="320" t="str">
        <f aca="false">IF($A85="N/A"," ",$U85*(8*($BS85))*R85)</f>
        <v> </v>
      </c>
      <c r="AC85" s="320" t="str">
        <f aca="false">IF($A85="N/A"," ",$U85*(8*($BS85))*S85)</f>
        <v> </v>
      </c>
      <c r="AD85" s="320" t="str">
        <f aca="false">IF($A85="N/A"," ",$U85*(8*($BS85))*T85)</f>
        <v> </v>
      </c>
      <c r="AE85" s="320" t="str">
        <f aca="false">IF($A85="N/A"," ",SUM(V85:AD85))</f>
        <v> </v>
      </c>
      <c r="AF85" s="321" t="str">
        <f aca="false">IF(A85="N/A"," ",(VLOOKUP(A85,PowerVolTable,(IF(VolBMO3=2,7,IF(VolBMO3=1,6,8))),FALSE())))</f>
        <v> </v>
      </c>
      <c r="AG85" s="321" t="str">
        <f aca="false">IF(A85="N/A"," ",(VLOOKUP(A85,IntraPowerVol,(IF(VolBMO3=2,3,IF(VolBMO3=1,2,4))),FALSE())*VLOOKUP(MONTH($A85),Volscale,2)))</f>
        <v> </v>
      </c>
      <c r="AH85" s="321" t="str">
        <f aca="false">IF($A85="N/A"," ",IF(VolType3=1,AG85,AF85))</f>
        <v> </v>
      </c>
      <c r="AI85" s="321" t="str">
        <f aca="false">IF($A85="N/A"," ",(VLOOKUP($A85,OffPwrVolTable,(IF(VolBMO3=2,7,IF(VolBMO3=1,6,8))),FALSE())))</f>
        <v> </v>
      </c>
      <c r="AJ85" s="321" t="str">
        <f aca="false">IF($A85="N/A"," ",(VLOOKUP($A85,OffPwrVolTable,(IF(VolBMO3=2,3,IF(VolBMO3=1,2,4))),FALSE())*VLOOKUP(MONTH($A85),Volscale,2)))</f>
        <v> </v>
      </c>
      <c r="AK85" s="321" t="str">
        <f aca="false">IF($A85="N/A"," ",IF(VolType3=1,AJ85,AI85))</f>
        <v> </v>
      </c>
      <c r="AL85" s="321" t="str">
        <f aca="false">IF($A85="N/A"," ",IF(PV=1,0,'Pricing Inputs3'!R118))</f>
        <v> </v>
      </c>
      <c r="AM85" s="323" t="str">
        <f aca="false">IF($A85="N/A"," ",(1+AL85/2)^(-2*((EOMONTH(A85,0)+20)-DateToday)/365.25))</f>
        <v> </v>
      </c>
      <c r="BQ85" s="0" t="str">
        <f aca="false">IF($A85="N/A"," ",(VLOOKUP($A85,NumberofDaysTable,2)))</f>
        <v> </v>
      </c>
      <c r="BR85" s="0" t="str">
        <f aca="false">IF($A85="N/A"," ",(VLOOKUP($A85,NumberofDaysTable,3)))</f>
        <v> </v>
      </c>
      <c r="BS85" s="0" t="str">
        <f aca="false">IF($A85="N/A"," ",(VLOOKUP($A85,NumberofDaysTable,4)))</f>
        <v> </v>
      </c>
    </row>
    <row r="86" customFormat="false" ht="12.75" hidden="false" customHeight="false" outlineLevel="0" collapsed="false">
      <c r="A86" s="315" t="str">
        <f aca="false">IF(A85="N/A","N/A",IF(EDATE(A85,1)&gt;Inputs!$Q$5,"N/A",EDATE(A85,1)))</f>
        <v>N/A</v>
      </c>
      <c r="B86" s="316" t="str">
        <f aca="false">IF(A86="N/A"," ",YEAR(A86))</f>
        <v> </v>
      </c>
      <c r="C86" s="317" t="str">
        <f aca="false">IF($A86="N/A"," ",IF(Dayrun3=10,0,IF(Scaler3=1,(VLOOKUP(A86,ScaledPrice3,4)),(VLOOKUP(A86,ScaledPrice3,2)))))</f>
        <v> </v>
      </c>
      <c r="D86" s="317" t="str">
        <f aca="false">IF(A86="N/A"," ",IF(Dayrun3&gt;=7,0,IF(Scaler3=2,VLOOKUP(A86,ScaledPrice3,2),(VLOOKUP(A86,ScaledPrice3,2))*(2-(VLOOKUP(A86,ScaledPrice3,3))))))</f>
        <v> </v>
      </c>
      <c r="E86" s="317" t="str">
        <f aca="false">IF($A86="N/A"," ",IF(AND(Dayrun3&gt;=4,Dayrun3&lt;=9),0,VLOOKUP($A86,ScaledPrice3,9)))</f>
        <v> </v>
      </c>
      <c r="F86" s="317" t="str">
        <f aca="false">IF(A86="N/A"," ",IF(OR(Dayrun3=2,Dayrun3=3,Dayrun3=5,Dayrun3=6,Dayrun3=8,Dayrun3=9),VLOOKUP(A86,ScaledPrice3,IF(Scaler3=1,6,5)),0))</f>
        <v> </v>
      </c>
      <c r="G86" s="317" t="str">
        <f aca="false">IF(A86="N/A"," ",IF(OR(Dayrun3=2,Dayrun3=3,Dayrun3=5,Dayrun3=6),IF(Scaler3=2,F86,(VLOOKUP(A86,ScaledPrice3,5))*(2-(VLOOKUP(A86,ScaledPrice3,3)))),0))</f>
        <v> </v>
      </c>
      <c r="H86" s="317" t="str">
        <f aca="false">IF($A86="N/A"," ",IF(OR(Dayrun3=2,Dayrun3=3,Dayrun3=10),VLOOKUP($A86,ScaledPrice3,9),0))</f>
        <v> </v>
      </c>
      <c r="I86" s="317" t="str">
        <f aca="false">IF(A86="N/A"," ",IF(OR(Dayrun3=3,Dayrun3=6,Dayrun3=9),(VLOOKUP(A86,ScaledPrice3,IF(Scaler3=2,7,8))),0))</f>
        <v> </v>
      </c>
      <c r="J86" s="317" t="str">
        <f aca="false">IF(A86="N/A"," ",IF(OR(Dayrun3=3,Dayrun3=6),IF(Scaler3=2,I86,(VLOOKUP(A86,ScaledPrice3,7))*(2-(VLOOKUP(A86,ScaledPrice3,3)))),0))</f>
        <v> </v>
      </c>
      <c r="K86" s="317" t="str">
        <f aca="false">IF($A86="N/A"," ",IF(OR(Dayrun3=3,Dayrun3=10),VLOOKUP($A86,ScaledPrice3,9),0))</f>
        <v> </v>
      </c>
      <c r="L86" s="318" t="str">
        <f aca="false">IF($A86="N/A"," ",IF(Pricetype3=2,MAX(C86,0),IF(OR(Pricetype3=1,Pricetype3=4),IF(C86=0,0,(EURO(C86,Strikeprice3,0,0,($AH86+IF(Smile=TRUE(),VLOOKUP(MAX(-5,Strikeprice3-C86),Volsmile,2),0)),($A86-DateToday)+15,IF(Pricetype3=1,1,0),0))),C86)))</f>
        <v> </v>
      </c>
      <c r="M86" s="318" t="str">
        <f aca="false">IF($A86="N/A"," ",IF(Pricetype3=2,MAX(D86,0),IF(OR(Pricetype3=1,Pricetype3=4),IF(D86=0,0,(EURO(D86,Strikeprice3,0,0,($AH86+IF(Smile=TRUE(),VLOOKUP(MAX(-5,Strikeprice3-D86),Volsmile,2),0)),($A86-DateToday)+15,IF(Pricetype3=1,1,0),0))),D86)))</f>
        <v> </v>
      </c>
      <c r="N86" s="318" t="str">
        <f aca="false">IF($A86="N/A"," ",IF(Pricetype3=2,MAX(E86,0),IF(OR(Pricetype3=1,Pricetype3=4),IF(E86=0,0,(EURO(E86,Strikeprice3,0,0,($AK86+IF(Smile=TRUE(),VLOOKUP(MAX(-5,Strikeprice3-E86),Volsmile,2),0)),($A86-DateToday)+15,IF(Pricetype3=1,1,0),0))),E86)))</f>
        <v> </v>
      </c>
      <c r="O86" s="318" t="str">
        <f aca="false">IF($A86="N/A"," ",IF(Pricetype3=2,MAX(F86,0),IF(OR(Pricetype3=1,Pricetype3=4),IF(F86=0,0,(EURO(F86,Strikeprice3,0,0,($AK86+IF(Smile=TRUE(),VLOOKUP(MAX(-5,Strikeprice3-F86),Volsmile,2),0)),($A86-DateToday)+15,IF(Pricetype3=1,1,0),0))),F86)))</f>
        <v> </v>
      </c>
      <c r="P86" s="318" t="str">
        <f aca="false">IF($A86="N/A"," ",IF(Pricetype3=2,MAX(G86,0),IF(OR(Pricetype3=1,Pricetype3=4),IF(G86=0,0,(EURO(G86,Strikeprice3,0,0,($AK86+IF(Smile=TRUE(),VLOOKUP(MAX(-5,Strikeprice3-G86),Volsmile,2),0)),($A86-DateToday)+15,IF(Pricetype3=1,1,0),0))),G86)))</f>
        <v> </v>
      </c>
      <c r="Q86" s="318" t="str">
        <f aca="false">IF($A86="N/A"," ",IF(Pricetype3=2,MAX(H86,0),IF(OR(Pricetype3=1,Pricetype3=4),IF(H86=0,0,(EURO(H86,Strikeprice3,0,0,($AK86+IF(Smile=TRUE(),VLOOKUP(MAX(-5,Strikeprice3-H86),Volsmile,2),0)),($A86-DateToday)+15,IF(Pricetype3=1,1,0),0))),H86)))</f>
        <v> </v>
      </c>
      <c r="R86" s="318" t="str">
        <f aca="false">IF($A86="N/A"," ",IF(Pricetype3=2,MAX(I86,0),IF(OR(Pricetype3=1,Pricetype3=4),IF(I86=0,0,(EURO(I86,Strikeprice3,0,0,($AK86+IF(Smile=TRUE(),VLOOKUP(MAX(-5,Strikeprice3-I86),Volsmile,2),0)),($A86-DateToday)+15,IF(Pricetype3=1,1,0),0))),I86)))</f>
        <v> </v>
      </c>
      <c r="S86" s="318" t="str">
        <f aca="false">IF($A86="N/A"," ",IF(Pricetype3=2,MAX(J86,0),IF(OR(Pricetype3=1,Pricetype3=4),IF(J86=0,0,(EURO(J86,Strikeprice3,0,0,($AK86+IF(Smile=TRUE(),VLOOKUP(MAX(-5,Strikeprice3-J86),Volsmile,2),0)),($A86-DateToday)+15,IF(Pricetype3=1,1,0),0))),J86)))</f>
        <v> </v>
      </c>
      <c r="T86" s="318" t="str">
        <f aca="false">IF($A86="N/A"," ",IF(Pricetype3=2,MAX(K86,0),IF(OR(Pricetype3=1,Pricetype3=4),IF(K86=0,0,(EURO(K86,Strikeprice3,0,0,($AK86+IF(Smile=TRUE(),VLOOKUP(MAX(-5,Strikeprice3-K86),Volsmile,2),0)),($A86-DateToday)+15,IF(Pricetype3=1,1,0),0))),K86)))</f>
        <v> </v>
      </c>
      <c r="U86" s="319" t="str">
        <f aca="false">IF($A86="N/A"," ",Volume3*$AM86)</f>
        <v> </v>
      </c>
      <c r="V86" s="320" t="str">
        <f aca="false">IF($A86="N/A"," ",$U86*(8*($BQ86))*L86)</f>
        <v> </v>
      </c>
      <c r="W86" s="320" t="str">
        <f aca="false">IF($A86="N/A"," ",$U86*(8*($BQ86))*M86)</f>
        <v> </v>
      </c>
      <c r="X86" s="320" t="str">
        <f aca="false">IF($A86="N/A"," ",$U86*(8*($BQ86))*N86)</f>
        <v> </v>
      </c>
      <c r="Y86" s="320" t="str">
        <f aca="false">IF($A86="N/A"," ",$U86*(8*($BR86))*O86)</f>
        <v> </v>
      </c>
      <c r="Z86" s="320" t="str">
        <f aca="false">IF($A86="N/A"," ",$U86*(8*($BR86))*P86)</f>
        <v> </v>
      </c>
      <c r="AA86" s="320" t="str">
        <f aca="false">IF($A86="N/A"," ",$U86*(8*($BR86))*Q86)</f>
        <v> </v>
      </c>
      <c r="AB86" s="320" t="str">
        <f aca="false">IF($A86="N/A"," ",$U86*(8*($BS86))*R86)</f>
        <v> </v>
      </c>
      <c r="AC86" s="320" t="str">
        <f aca="false">IF($A86="N/A"," ",$U86*(8*($BS86))*S86)</f>
        <v> </v>
      </c>
      <c r="AD86" s="320" t="str">
        <f aca="false">IF($A86="N/A"," ",$U86*(8*($BS86))*T86)</f>
        <v> </v>
      </c>
      <c r="AE86" s="320" t="str">
        <f aca="false">IF($A86="N/A"," ",SUM(V86:AD86))</f>
        <v> </v>
      </c>
      <c r="AF86" s="321" t="str">
        <f aca="false">IF(A86="N/A"," ",(VLOOKUP(A86,PowerVolTable,(IF(VolBMO3=2,7,IF(VolBMO3=1,6,8))),FALSE())))</f>
        <v> </v>
      </c>
      <c r="AG86" s="321" t="str">
        <f aca="false">IF(A86="N/A"," ",(VLOOKUP(A86,IntraPowerVol,(IF(VolBMO3=2,3,IF(VolBMO3=1,2,4))),FALSE())*VLOOKUP(MONTH($A86),Volscale,2)))</f>
        <v> </v>
      </c>
      <c r="AH86" s="321" t="str">
        <f aca="false">IF($A86="N/A"," ",IF(VolType3=1,AG86,AF86))</f>
        <v> </v>
      </c>
      <c r="AI86" s="321" t="str">
        <f aca="false">IF($A86="N/A"," ",(VLOOKUP($A86,OffPwrVolTable,(IF(VolBMO3=2,7,IF(VolBMO3=1,6,8))),FALSE())))</f>
        <v> </v>
      </c>
      <c r="AJ86" s="321" t="str">
        <f aca="false">IF($A86="N/A"," ",(VLOOKUP($A86,OffPwrVolTable,(IF(VolBMO3=2,3,IF(VolBMO3=1,2,4))),FALSE())*VLOOKUP(MONTH($A86),Volscale,2)))</f>
        <v> </v>
      </c>
      <c r="AK86" s="321" t="str">
        <f aca="false">IF($A86="N/A"," ",IF(VolType3=1,AJ86,AI86))</f>
        <v> </v>
      </c>
      <c r="AL86" s="321" t="str">
        <f aca="false">IF($A86="N/A"," ",IF(PV=1,0,'Pricing Inputs3'!R119))</f>
        <v> </v>
      </c>
      <c r="AM86" s="323" t="str">
        <f aca="false">IF($A86="N/A"," ",(1+AL86/2)^(-2*((EOMONTH(A86,0)+20)-DateToday)/365.25))</f>
        <v> </v>
      </c>
      <c r="BQ86" s="0" t="str">
        <f aca="false">IF($A86="N/A"," ",(VLOOKUP($A86,NumberofDaysTable,2)))</f>
        <v> </v>
      </c>
      <c r="BR86" s="0" t="str">
        <f aca="false">IF($A86="N/A"," ",(VLOOKUP($A86,NumberofDaysTable,3)))</f>
        <v> </v>
      </c>
      <c r="BS86" s="0" t="str">
        <f aca="false">IF($A86="N/A"," ",(VLOOKUP($A86,NumberofDaysTable,4)))</f>
        <v> </v>
      </c>
    </row>
    <row r="87" customFormat="false" ht="12.75" hidden="false" customHeight="false" outlineLevel="0" collapsed="false">
      <c r="A87" s="315" t="str">
        <f aca="false">IF(A86="N/A","N/A",IF(EDATE(A86,1)&gt;Inputs!$Q$5,"N/A",EDATE(A86,1)))</f>
        <v>N/A</v>
      </c>
      <c r="B87" s="316" t="str">
        <f aca="false">IF(A87="N/A"," ",YEAR(A87))</f>
        <v> </v>
      </c>
      <c r="C87" s="317" t="str">
        <f aca="false">IF($A87="N/A"," ",IF(Dayrun3=10,0,IF(Scaler3=1,(VLOOKUP(A87,ScaledPrice3,4)),(VLOOKUP(A87,ScaledPrice3,2)))))</f>
        <v> </v>
      </c>
      <c r="D87" s="317" t="str">
        <f aca="false">IF(A87="N/A"," ",IF(Dayrun3&gt;=7,0,IF(Scaler3=2,VLOOKUP(A87,ScaledPrice3,2),(VLOOKUP(A87,ScaledPrice3,2))*(2-(VLOOKUP(A87,ScaledPrice3,3))))))</f>
        <v> </v>
      </c>
      <c r="E87" s="317" t="str">
        <f aca="false">IF($A87="N/A"," ",IF(AND(Dayrun3&gt;=4,Dayrun3&lt;=9),0,VLOOKUP($A87,ScaledPrice3,9)))</f>
        <v> </v>
      </c>
      <c r="F87" s="317" t="str">
        <f aca="false">IF(A87="N/A"," ",IF(OR(Dayrun3=2,Dayrun3=3,Dayrun3=5,Dayrun3=6,Dayrun3=8,Dayrun3=9),VLOOKUP(A87,ScaledPrice3,IF(Scaler3=1,6,5)),0))</f>
        <v> </v>
      </c>
      <c r="G87" s="317" t="str">
        <f aca="false">IF(A87="N/A"," ",IF(OR(Dayrun3=2,Dayrun3=3,Dayrun3=5,Dayrun3=6),IF(Scaler3=2,F87,(VLOOKUP(A87,ScaledPrice3,5))*(2-(VLOOKUP(A87,ScaledPrice3,3)))),0))</f>
        <v> </v>
      </c>
      <c r="H87" s="317" t="str">
        <f aca="false">IF($A87="N/A"," ",IF(OR(Dayrun3=2,Dayrun3=3,Dayrun3=10),VLOOKUP($A87,ScaledPrice3,9),0))</f>
        <v> </v>
      </c>
      <c r="I87" s="317" t="str">
        <f aca="false">IF(A87="N/A"," ",IF(OR(Dayrun3=3,Dayrun3=6,Dayrun3=9),(VLOOKUP(A87,ScaledPrice3,IF(Scaler3=2,7,8))),0))</f>
        <v> </v>
      </c>
      <c r="J87" s="317" t="str">
        <f aca="false">IF(A87="N/A"," ",IF(OR(Dayrun3=3,Dayrun3=6),IF(Scaler3=2,I87,(VLOOKUP(A87,ScaledPrice3,7))*(2-(VLOOKUP(A87,ScaledPrice3,3)))),0))</f>
        <v> </v>
      </c>
      <c r="K87" s="317" t="str">
        <f aca="false">IF($A87="N/A"," ",IF(OR(Dayrun3=3,Dayrun3=10),VLOOKUP($A87,ScaledPrice3,9),0))</f>
        <v> </v>
      </c>
      <c r="L87" s="318" t="str">
        <f aca="false">IF($A87="N/A"," ",IF(Pricetype3=2,MAX(C87,0),IF(OR(Pricetype3=1,Pricetype3=4),IF(C87=0,0,(EURO(C87,Strikeprice3,0,0,($AH87+IF(Smile=TRUE(),VLOOKUP(MAX(-5,Strikeprice3-C87),Volsmile,2),0)),($A87-DateToday)+15,IF(Pricetype3=1,1,0),0))),C87)))</f>
        <v> </v>
      </c>
      <c r="M87" s="318" t="str">
        <f aca="false">IF($A87="N/A"," ",IF(Pricetype3=2,MAX(D87,0),IF(OR(Pricetype3=1,Pricetype3=4),IF(D87=0,0,(EURO(D87,Strikeprice3,0,0,($AH87+IF(Smile=TRUE(),VLOOKUP(MAX(-5,Strikeprice3-D87),Volsmile,2),0)),($A87-DateToday)+15,IF(Pricetype3=1,1,0),0))),D87)))</f>
        <v> </v>
      </c>
      <c r="N87" s="318" t="str">
        <f aca="false">IF($A87="N/A"," ",IF(Pricetype3=2,MAX(E87,0),IF(OR(Pricetype3=1,Pricetype3=4),IF(E87=0,0,(EURO(E87,Strikeprice3,0,0,($AK87+IF(Smile=TRUE(),VLOOKUP(MAX(-5,Strikeprice3-E87),Volsmile,2),0)),($A87-DateToday)+15,IF(Pricetype3=1,1,0),0))),E87)))</f>
        <v> </v>
      </c>
      <c r="O87" s="318" t="str">
        <f aca="false">IF($A87="N/A"," ",IF(Pricetype3=2,MAX(F87,0),IF(OR(Pricetype3=1,Pricetype3=4),IF(F87=0,0,(EURO(F87,Strikeprice3,0,0,($AK87+IF(Smile=TRUE(),VLOOKUP(MAX(-5,Strikeprice3-F87),Volsmile,2),0)),($A87-DateToday)+15,IF(Pricetype3=1,1,0),0))),F87)))</f>
        <v> </v>
      </c>
      <c r="P87" s="318" t="str">
        <f aca="false">IF($A87="N/A"," ",IF(Pricetype3=2,MAX(G87,0),IF(OR(Pricetype3=1,Pricetype3=4),IF(G87=0,0,(EURO(G87,Strikeprice3,0,0,($AK87+IF(Smile=TRUE(),VLOOKUP(MAX(-5,Strikeprice3-G87),Volsmile,2),0)),($A87-DateToday)+15,IF(Pricetype3=1,1,0),0))),G87)))</f>
        <v> </v>
      </c>
      <c r="Q87" s="318" t="str">
        <f aca="false">IF($A87="N/A"," ",IF(Pricetype3=2,MAX(H87,0),IF(OR(Pricetype3=1,Pricetype3=4),IF(H87=0,0,(EURO(H87,Strikeprice3,0,0,($AK87+IF(Smile=TRUE(),VLOOKUP(MAX(-5,Strikeprice3-H87),Volsmile,2),0)),($A87-DateToday)+15,IF(Pricetype3=1,1,0),0))),H87)))</f>
        <v> </v>
      </c>
      <c r="R87" s="318" t="str">
        <f aca="false">IF($A87="N/A"," ",IF(Pricetype3=2,MAX(I87,0),IF(OR(Pricetype3=1,Pricetype3=4),IF(I87=0,0,(EURO(I87,Strikeprice3,0,0,($AK87+IF(Smile=TRUE(),VLOOKUP(MAX(-5,Strikeprice3-I87),Volsmile,2),0)),($A87-DateToday)+15,IF(Pricetype3=1,1,0),0))),I87)))</f>
        <v> </v>
      </c>
      <c r="S87" s="318" t="str">
        <f aca="false">IF($A87="N/A"," ",IF(Pricetype3=2,MAX(J87,0),IF(OR(Pricetype3=1,Pricetype3=4),IF(J87=0,0,(EURO(J87,Strikeprice3,0,0,($AK87+IF(Smile=TRUE(),VLOOKUP(MAX(-5,Strikeprice3-J87),Volsmile,2),0)),($A87-DateToday)+15,IF(Pricetype3=1,1,0),0))),J87)))</f>
        <v> </v>
      </c>
      <c r="T87" s="318" t="str">
        <f aca="false">IF($A87="N/A"," ",IF(Pricetype3=2,MAX(K87,0),IF(OR(Pricetype3=1,Pricetype3=4),IF(K87=0,0,(EURO(K87,Strikeprice3,0,0,($AK87+IF(Smile=TRUE(),VLOOKUP(MAX(-5,Strikeprice3-K87),Volsmile,2),0)),($A87-DateToday)+15,IF(Pricetype3=1,1,0),0))),K87)))</f>
        <v> </v>
      </c>
      <c r="U87" s="319" t="str">
        <f aca="false">IF($A87="N/A"," ",Volume3*$AM87)</f>
        <v> </v>
      </c>
      <c r="V87" s="320" t="str">
        <f aca="false">IF($A87="N/A"," ",$U87*(8*($BQ87))*L87)</f>
        <v> </v>
      </c>
      <c r="W87" s="320" t="str">
        <f aca="false">IF($A87="N/A"," ",$U87*(8*($BQ87))*M87)</f>
        <v> </v>
      </c>
      <c r="X87" s="320" t="str">
        <f aca="false">IF($A87="N/A"," ",$U87*(8*($BQ87))*N87)</f>
        <v> </v>
      </c>
      <c r="Y87" s="320" t="str">
        <f aca="false">IF($A87="N/A"," ",$U87*(8*($BR87))*O87)</f>
        <v> </v>
      </c>
      <c r="Z87" s="320" t="str">
        <f aca="false">IF($A87="N/A"," ",$U87*(8*($BR87))*P87)</f>
        <v> </v>
      </c>
      <c r="AA87" s="320" t="str">
        <f aca="false">IF($A87="N/A"," ",$U87*(8*($BR87))*Q87)</f>
        <v> </v>
      </c>
      <c r="AB87" s="320" t="str">
        <f aca="false">IF($A87="N/A"," ",$U87*(8*($BS87))*R87)</f>
        <v> </v>
      </c>
      <c r="AC87" s="320" t="str">
        <f aca="false">IF($A87="N/A"," ",$U87*(8*($BS87))*S87)</f>
        <v> </v>
      </c>
      <c r="AD87" s="320" t="str">
        <f aca="false">IF($A87="N/A"," ",$U87*(8*($BS87))*T87)</f>
        <v> </v>
      </c>
      <c r="AE87" s="320" t="str">
        <f aca="false">IF($A87="N/A"," ",SUM(V87:AD87))</f>
        <v> </v>
      </c>
      <c r="AF87" s="321" t="str">
        <f aca="false">IF(A87="N/A"," ",(VLOOKUP(A87,PowerVolTable,(IF(VolBMO3=2,7,IF(VolBMO3=1,6,8))),FALSE())))</f>
        <v> </v>
      </c>
      <c r="AG87" s="321" t="str">
        <f aca="false">IF(A87="N/A"," ",(VLOOKUP(A87,IntraPowerVol,(IF(VolBMO3=2,3,IF(VolBMO3=1,2,4))),FALSE())*VLOOKUP(MONTH($A87),Volscale,2)))</f>
        <v> </v>
      </c>
      <c r="AH87" s="321" t="str">
        <f aca="false">IF($A87="N/A"," ",IF(VolType3=1,AG87,AF87))</f>
        <v> </v>
      </c>
      <c r="AI87" s="321" t="str">
        <f aca="false">IF($A87="N/A"," ",(VLOOKUP($A87,OffPwrVolTable,(IF(VolBMO3=2,7,IF(VolBMO3=1,6,8))),FALSE())))</f>
        <v> </v>
      </c>
      <c r="AJ87" s="321" t="str">
        <f aca="false">IF($A87="N/A"," ",(VLOOKUP($A87,OffPwrVolTable,(IF(VolBMO3=2,3,IF(VolBMO3=1,2,4))),FALSE())*VLOOKUP(MONTH($A87),Volscale,2)))</f>
        <v> </v>
      </c>
      <c r="AK87" s="321" t="str">
        <f aca="false">IF($A87="N/A"," ",IF(VolType3=1,AJ87,AI87))</f>
        <v> </v>
      </c>
      <c r="AL87" s="321" t="str">
        <f aca="false">IF($A87="N/A"," ",IF(PV=1,0,'Pricing Inputs3'!R120))</f>
        <v> </v>
      </c>
      <c r="AM87" s="323" t="str">
        <f aca="false">IF($A87="N/A"," ",(1+AL87/2)^(-2*((EOMONTH(A87,0)+20)-DateToday)/365.25))</f>
        <v> </v>
      </c>
      <c r="BQ87" s="0" t="str">
        <f aca="false">IF($A87="N/A"," ",(VLOOKUP($A87,NumberofDaysTable,2)))</f>
        <v> </v>
      </c>
      <c r="BR87" s="0" t="str">
        <f aca="false">IF($A87="N/A"," ",(VLOOKUP($A87,NumberofDaysTable,3)))</f>
        <v> </v>
      </c>
      <c r="BS87" s="0" t="str">
        <f aca="false">IF($A87="N/A"," ",(VLOOKUP($A87,NumberofDaysTable,4)))</f>
        <v> </v>
      </c>
    </row>
    <row r="88" customFormat="false" ht="12.75" hidden="false" customHeight="false" outlineLevel="0" collapsed="false">
      <c r="A88" s="315" t="str">
        <f aca="false">IF(A87="N/A","N/A",IF(EDATE(A87,1)&gt;Inputs!$Q$5,"N/A",EDATE(A87,1)))</f>
        <v>N/A</v>
      </c>
      <c r="B88" s="316" t="str">
        <f aca="false">IF(A88="N/A"," ",YEAR(A88))</f>
        <v> </v>
      </c>
      <c r="C88" s="317" t="str">
        <f aca="false">IF($A88="N/A"," ",IF(Dayrun3=10,0,IF(Scaler3=1,(VLOOKUP(A88,ScaledPrice3,4)),(VLOOKUP(A88,ScaledPrice3,2)))))</f>
        <v> </v>
      </c>
      <c r="D88" s="317" t="str">
        <f aca="false">IF(A88="N/A"," ",IF(Dayrun3&gt;=7,0,IF(Scaler3=2,VLOOKUP(A88,ScaledPrice3,2),(VLOOKUP(A88,ScaledPrice3,2))*(2-(VLOOKUP(A88,ScaledPrice3,3))))))</f>
        <v> </v>
      </c>
      <c r="E88" s="317" t="str">
        <f aca="false">IF($A88="N/A"," ",IF(AND(Dayrun3&gt;=4,Dayrun3&lt;=9),0,VLOOKUP($A88,ScaledPrice3,9)))</f>
        <v> </v>
      </c>
      <c r="F88" s="317" t="str">
        <f aca="false">IF(A88="N/A"," ",IF(OR(Dayrun3=2,Dayrun3=3,Dayrun3=5,Dayrun3=6,Dayrun3=8,Dayrun3=9),VLOOKUP(A88,ScaledPrice3,IF(Scaler3=1,6,5)),0))</f>
        <v> </v>
      </c>
      <c r="G88" s="317" t="str">
        <f aca="false">IF(A88="N/A"," ",IF(OR(Dayrun3=2,Dayrun3=3,Dayrun3=5,Dayrun3=6),IF(Scaler3=2,F88,(VLOOKUP(A88,ScaledPrice3,5))*(2-(VLOOKUP(A88,ScaledPrice3,3)))),0))</f>
        <v> </v>
      </c>
      <c r="H88" s="317" t="str">
        <f aca="false">IF($A88="N/A"," ",IF(OR(Dayrun3=2,Dayrun3=3,Dayrun3=10),VLOOKUP($A88,ScaledPrice3,9),0))</f>
        <v> </v>
      </c>
      <c r="I88" s="317" t="str">
        <f aca="false">IF(A88="N/A"," ",IF(OR(Dayrun3=3,Dayrun3=6,Dayrun3=9),(VLOOKUP(A88,ScaledPrice3,IF(Scaler3=2,7,8))),0))</f>
        <v> </v>
      </c>
      <c r="J88" s="317" t="str">
        <f aca="false">IF(A88="N/A"," ",IF(OR(Dayrun3=3,Dayrun3=6),IF(Scaler3=2,I88,(VLOOKUP(A88,ScaledPrice3,7))*(2-(VLOOKUP(A88,ScaledPrice3,3)))),0))</f>
        <v> </v>
      </c>
      <c r="K88" s="317" t="str">
        <f aca="false">IF($A88="N/A"," ",IF(OR(Dayrun3=3,Dayrun3=10),VLOOKUP($A88,ScaledPrice3,9),0))</f>
        <v> </v>
      </c>
      <c r="L88" s="318" t="str">
        <f aca="false">IF($A88="N/A"," ",IF(Pricetype3=2,MAX(C88,0),IF(OR(Pricetype3=1,Pricetype3=4),IF(C88=0,0,(EURO(C88,Strikeprice3,0,0,($AH88+IF(Smile=TRUE(),VLOOKUP(MAX(-5,Strikeprice3-C88),Volsmile,2),0)),($A88-DateToday)+15,IF(Pricetype3=1,1,0),0))),C88)))</f>
        <v> </v>
      </c>
      <c r="M88" s="318" t="str">
        <f aca="false">IF($A88="N/A"," ",IF(Pricetype3=2,MAX(D88,0),IF(OR(Pricetype3=1,Pricetype3=4),IF(D88=0,0,(EURO(D88,Strikeprice3,0,0,($AH88+IF(Smile=TRUE(),VLOOKUP(MAX(-5,Strikeprice3-D88),Volsmile,2),0)),($A88-DateToday)+15,IF(Pricetype3=1,1,0),0))),D88)))</f>
        <v> </v>
      </c>
      <c r="N88" s="318" t="str">
        <f aca="false">IF($A88="N/A"," ",IF(Pricetype3=2,MAX(E88,0),IF(OR(Pricetype3=1,Pricetype3=4),IF(E88=0,0,(EURO(E88,Strikeprice3,0,0,($AK88+IF(Smile=TRUE(),VLOOKUP(MAX(-5,Strikeprice3-E88),Volsmile,2),0)),($A88-DateToday)+15,IF(Pricetype3=1,1,0),0))),E88)))</f>
        <v> </v>
      </c>
      <c r="O88" s="318" t="str">
        <f aca="false">IF($A88="N/A"," ",IF(Pricetype3=2,MAX(F88,0),IF(OR(Pricetype3=1,Pricetype3=4),IF(F88=0,0,(EURO(F88,Strikeprice3,0,0,($AK88+IF(Smile=TRUE(),VLOOKUP(MAX(-5,Strikeprice3-F88),Volsmile,2),0)),($A88-DateToday)+15,IF(Pricetype3=1,1,0),0))),F88)))</f>
        <v> </v>
      </c>
      <c r="P88" s="318" t="str">
        <f aca="false">IF($A88="N/A"," ",IF(Pricetype3=2,MAX(G88,0),IF(OR(Pricetype3=1,Pricetype3=4),IF(G88=0,0,(EURO(G88,Strikeprice3,0,0,($AK88+IF(Smile=TRUE(),VLOOKUP(MAX(-5,Strikeprice3-G88),Volsmile,2),0)),($A88-DateToday)+15,IF(Pricetype3=1,1,0),0))),G88)))</f>
        <v> </v>
      </c>
      <c r="Q88" s="318" t="str">
        <f aca="false">IF($A88="N/A"," ",IF(Pricetype3=2,MAX(H88,0),IF(OR(Pricetype3=1,Pricetype3=4),IF(H88=0,0,(EURO(H88,Strikeprice3,0,0,($AK88+IF(Smile=TRUE(),VLOOKUP(MAX(-5,Strikeprice3-H88),Volsmile,2),0)),($A88-DateToday)+15,IF(Pricetype3=1,1,0),0))),H88)))</f>
        <v> </v>
      </c>
      <c r="R88" s="318" t="str">
        <f aca="false">IF($A88="N/A"," ",IF(Pricetype3=2,MAX(I88,0),IF(OR(Pricetype3=1,Pricetype3=4),IF(I88=0,0,(EURO(I88,Strikeprice3,0,0,($AK88+IF(Smile=TRUE(),VLOOKUP(MAX(-5,Strikeprice3-I88),Volsmile,2),0)),($A88-DateToday)+15,IF(Pricetype3=1,1,0),0))),I88)))</f>
        <v> </v>
      </c>
      <c r="S88" s="318" t="str">
        <f aca="false">IF($A88="N/A"," ",IF(Pricetype3=2,MAX(J88,0),IF(OR(Pricetype3=1,Pricetype3=4),IF(J88=0,0,(EURO(J88,Strikeprice3,0,0,($AK88+IF(Smile=TRUE(),VLOOKUP(MAX(-5,Strikeprice3-J88),Volsmile,2),0)),($A88-DateToday)+15,IF(Pricetype3=1,1,0),0))),J88)))</f>
        <v> </v>
      </c>
      <c r="T88" s="318" t="str">
        <f aca="false">IF($A88="N/A"," ",IF(Pricetype3=2,MAX(K88,0),IF(OR(Pricetype3=1,Pricetype3=4),IF(K88=0,0,(EURO(K88,Strikeprice3,0,0,($AK88+IF(Smile=TRUE(),VLOOKUP(MAX(-5,Strikeprice3-K88),Volsmile,2),0)),($A88-DateToday)+15,IF(Pricetype3=1,1,0),0))),K88)))</f>
        <v> </v>
      </c>
      <c r="U88" s="319" t="str">
        <f aca="false">IF($A88="N/A"," ",Volume3*$AM88)</f>
        <v> </v>
      </c>
      <c r="V88" s="320" t="str">
        <f aca="false">IF($A88="N/A"," ",$U88*(8*($BQ88))*L88)</f>
        <v> </v>
      </c>
      <c r="W88" s="320" t="str">
        <f aca="false">IF($A88="N/A"," ",$U88*(8*($BQ88))*M88)</f>
        <v> </v>
      </c>
      <c r="X88" s="320" t="str">
        <f aca="false">IF($A88="N/A"," ",$U88*(8*($BQ88))*N88)</f>
        <v> </v>
      </c>
      <c r="Y88" s="320" t="str">
        <f aca="false">IF($A88="N/A"," ",$U88*(8*($BR88))*O88)</f>
        <v> </v>
      </c>
      <c r="Z88" s="320" t="str">
        <f aca="false">IF($A88="N/A"," ",$U88*(8*($BR88))*P88)</f>
        <v> </v>
      </c>
      <c r="AA88" s="320" t="str">
        <f aca="false">IF($A88="N/A"," ",$U88*(8*($BR88))*Q88)</f>
        <v> </v>
      </c>
      <c r="AB88" s="320" t="str">
        <f aca="false">IF($A88="N/A"," ",$U88*(8*($BS88))*R88)</f>
        <v> </v>
      </c>
      <c r="AC88" s="320" t="str">
        <f aca="false">IF($A88="N/A"," ",$U88*(8*($BS88))*S88)</f>
        <v> </v>
      </c>
      <c r="AD88" s="320" t="str">
        <f aca="false">IF($A88="N/A"," ",$U88*(8*($BS88))*T88)</f>
        <v> </v>
      </c>
      <c r="AE88" s="320" t="str">
        <f aca="false">IF($A88="N/A"," ",SUM(V88:AD88))</f>
        <v> </v>
      </c>
      <c r="AF88" s="321" t="str">
        <f aca="false">IF(A88="N/A"," ",(VLOOKUP(A88,PowerVolTable,(IF(VolBMO3=2,7,IF(VolBMO3=1,6,8))),FALSE())))</f>
        <v> </v>
      </c>
      <c r="AG88" s="321" t="str">
        <f aca="false">IF(A88="N/A"," ",(VLOOKUP(A88,IntraPowerVol,(IF(VolBMO3=2,3,IF(VolBMO3=1,2,4))),FALSE())*VLOOKUP(MONTH($A88),Volscale,2)))</f>
        <v> </v>
      </c>
      <c r="AH88" s="321" t="str">
        <f aca="false">IF($A88="N/A"," ",IF(VolType3=1,AG88,AF88))</f>
        <v> </v>
      </c>
      <c r="AI88" s="321" t="str">
        <f aca="false">IF($A88="N/A"," ",(VLOOKUP($A88,OffPwrVolTable,(IF(VolBMO3=2,7,IF(VolBMO3=1,6,8))),FALSE())))</f>
        <v> </v>
      </c>
      <c r="AJ88" s="321" t="str">
        <f aca="false">IF($A88="N/A"," ",(VLOOKUP($A88,OffPwrVolTable,(IF(VolBMO3=2,3,IF(VolBMO3=1,2,4))),FALSE())*VLOOKUP(MONTH($A88),Volscale,2)))</f>
        <v> </v>
      </c>
      <c r="AK88" s="321" t="str">
        <f aca="false">IF($A88="N/A"," ",IF(VolType3=1,AJ88,AI88))</f>
        <v> </v>
      </c>
      <c r="AL88" s="321" t="str">
        <f aca="false">IF($A88="N/A"," ",IF(PV=1,0,'Pricing Inputs3'!R121))</f>
        <v> </v>
      </c>
      <c r="AM88" s="323" t="str">
        <f aca="false">IF($A88="N/A"," ",(1+AL88/2)^(-2*((EOMONTH(A88,0)+20)-DateToday)/365.25))</f>
        <v> </v>
      </c>
      <c r="BQ88" s="0" t="str">
        <f aca="false">IF($A88="N/A"," ",(VLOOKUP($A88,NumberofDaysTable,2)))</f>
        <v> </v>
      </c>
      <c r="BR88" s="0" t="str">
        <f aca="false">IF($A88="N/A"," ",(VLOOKUP($A88,NumberofDaysTable,3)))</f>
        <v> </v>
      </c>
      <c r="BS88" s="0" t="str">
        <f aca="false">IF($A88="N/A"," ",(VLOOKUP($A88,NumberofDaysTable,4)))</f>
        <v> </v>
      </c>
    </row>
    <row r="89" customFormat="false" ht="12.75" hidden="false" customHeight="false" outlineLevel="0" collapsed="false">
      <c r="A89" s="315" t="str">
        <f aca="false">IF(A88="N/A","N/A",IF(EDATE(A88,1)&gt;Inputs!$Q$5,"N/A",EDATE(A88,1)))</f>
        <v>N/A</v>
      </c>
      <c r="B89" s="316" t="str">
        <f aca="false">IF(A89="N/A"," ",YEAR(A89))</f>
        <v> </v>
      </c>
      <c r="C89" s="317" t="str">
        <f aca="false">IF($A89="N/A"," ",IF(Dayrun3=10,0,IF(Scaler3=1,(VLOOKUP(A89,ScaledPrice3,4)),(VLOOKUP(A89,ScaledPrice3,2)))))</f>
        <v> </v>
      </c>
      <c r="D89" s="317" t="str">
        <f aca="false">IF(A89="N/A"," ",IF(Dayrun3&gt;=7,0,IF(Scaler3=2,VLOOKUP(A89,ScaledPrice3,2),(VLOOKUP(A89,ScaledPrice3,2))*(2-(VLOOKUP(A89,ScaledPrice3,3))))))</f>
        <v> </v>
      </c>
      <c r="E89" s="317" t="str">
        <f aca="false">IF($A89="N/A"," ",IF(AND(Dayrun3&gt;=4,Dayrun3&lt;=9),0,VLOOKUP($A89,ScaledPrice3,9)))</f>
        <v> </v>
      </c>
      <c r="F89" s="317" t="str">
        <f aca="false">IF(A89="N/A"," ",IF(OR(Dayrun3=2,Dayrun3=3,Dayrun3=5,Dayrun3=6,Dayrun3=8,Dayrun3=9),VLOOKUP(A89,ScaledPrice3,IF(Scaler3=1,6,5)),0))</f>
        <v> </v>
      </c>
      <c r="G89" s="317" t="str">
        <f aca="false">IF(A89="N/A"," ",IF(OR(Dayrun3=2,Dayrun3=3,Dayrun3=5,Dayrun3=6),IF(Scaler3=2,F89,(VLOOKUP(A89,ScaledPrice3,5))*(2-(VLOOKUP(A89,ScaledPrice3,3)))),0))</f>
        <v> </v>
      </c>
      <c r="H89" s="317" t="str">
        <f aca="false">IF($A89="N/A"," ",IF(OR(Dayrun3=2,Dayrun3=3,Dayrun3=10),VLOOKUP($A89,ScaledPrice3,9),0))</f>
        <v> </v>
      </c>
      <c r="I89" s="317" t="str">
        <f aca="false">IF(A89="N/A"," ",IF(OR(Dayrun3=3,Dayrun3=6,Dayrun3=9),(VLOOKUP(A89,ScaledPrice3,IF(Scaler3=2,7,8))),0))</f>
        <v> </v>
      </c>
      <c r="J89" s="317" t="str">
        <f aca="false">IF(A89="N/A"," ",IF(OR(Dayrun3=3,Dayrun3=6),IF(Scaler3=2,I89,(VLOOKUP(A89,ScaledPrice3,7))*(2-(VLOOKUP(A89,ScaledPrice3,3)))),0))</f>
        <v> </v>
      </c>
      <c r="K89" s="317" t="str">
        <f aca="false">IF($A89="N/A"," ",IF(OR(Dayrun3=3,Dayrun3=10),VLOOKUP($A89,ScaledPrice3,9),0))</f>
        <v> </v>
      </c>
      <c r="L89" s="318" t="str">
        <f aca="false">IF($A89="N/A"," ",IF(Pricetype3=2,MAX(C89,0),IF(OR(Pricetype3=1,Pricetype3=4),IF(C89=0,0,(EURO(C89,Strikeprice3,0,0,($AH89+IF(Smile=TRUE(),VLOOKUP(MAX(-5,Strikeprice3-C89),Volsmile,2),0)),($A89-DateToday)+15,IF(Pricetype3=1,1,0),0))),C89)))</f>
        <v> </v>
      </c>
      <c r="M89" s="318" t="str">
        <f aca="false">IF($A89="N/A"," ",IF(Pricetype3=2,MAX(D89,0),IF(OR(Pricetype3=1,Pricetype3=4),IF(D89=0,0,(EURO(D89,Strikeprice3,0,0,($AH89+IF(Smile=TRUE(),VLOOKUP(MAX(-5,Strikeprice3-D89),Volsmile,2),0)),($A89-DateToday)+15,IF(Pricetype3=1,1,0),0))),D89)))</f>
        <v> </v>
      </c>
      <c r="N89" s="318" t="str">
        <f aca="false">IF($A89="N/A"," ",IF(Pricetype3=2,MAX(E89,0),IF(OR(Pricetype3=1,Pricetype3=4),IF(E89=0,0,(EURO(E89,Strikeprice3,0,0,($AK89+IF(Smile=TRUE(),VLOOKUP(MAX(-5,Strikeprice3-E89),Volsmile,2),0)),($A89-DateToday)+15,IF(Pricetype3=1,1,0),0))),E89)))</f>
        <v> </v>
      </c>
      <c r="O89" s="318" t="str">
        <f aca="false">IF($A89="N/A"," ",IF(Pricetype3=2,MAX(F89,0),IF(OR(Pricetype3=1,Pricetype3=4),IF(F89=0,0,(EURO(F89,Strikeprice3,0,0,($AK89+IF(Smile=TRUE(),VLOOKUP(MAX(-5,Strikeprice3-F89),Volsmile,2),0)),($A89-DateToday)+15,IF(Pricetype3=1,1,0),0))),F89)))</f>
        <v> </v>
      </c>
      <c r="P89" s="318" t="str">
        <f aca="false">IF($A89="N/A"," ",IF(Pricetype3=2,MAX(G89,0),IF(OR(Pricetype3=1,Pricetype3=4),IF(G89=0,0,(EURO(G89,Strikeprice3,0,0,($AK89+IF(Smile=TRUE(),VLOOKUP(MAX(-5,Strikeprice3-G89),Volsmile,2),0)),($A89-DateToday)+15,IF(Pricetype3=1,1,0),0))),G89)))</f>
        <v> </v>
      </c>
      <c r="Q89" s="318" t="str">
        <f aca="false">IF($A89="N/A"," ",IF(Pricetype3=2,MAX(H89,0),IF(OR(Pricetype3=1,Pricetype3=4),IF(H89=0,0,(EURO(H89,Strikeprice3,0,0,($AK89+IF(Smile=TRUE(),VLOOKUP(MAX(-5,Strikeprice3-H89),Volsmile,2),0)),($A89-DateToday)+15,IF(Pricetype3=1,1,0),0))),H89)))</f>
        <v> </v>
      </c>
      <c r="R89" s="318" t="str">
        <f aca="false">IF($A89="N/A"," ",IF(Pricetype3=2,MAX(I89,0),IF(OR(Pricetype3=1,Pricetype3=4),IF(I89=0,0,(EURO(I89,Strikeprice3,0,0,($AK89+IF(Smile=TRUE(),VLOOKUP(MAX(-5,Strikeprice3-I89),Volsmile,2),0)),($A89-DateToday)+15,IF(Pricetype3=1,1,0),0))),I89)))</f>
        <v> </v>
      </c>
      <c r="S89" s="318" t="str">
        <f aca="false">IF($A89="N/A"," ",IF(Pricetype3=2,MAX(J89,0),IF(OR(Pricetype3=1,Pricetype3=4),IF(J89=0,0,(EURO(J89,Strikeprice3,0,0,($AK89+IF(Smile=TRUE(),VLOOKUP(MAX(-5,Strikeprice3-J89),Volsmile,2),0)),($A89-DateToday)+15,IF(Pricetype3=1,1,0),0))),J89)))</f>
        <v> </v>
      </c>
      <c r="T89" s="318" t="str">
        <f aca="false">IF($A89="N/A"," ",IF(Pricetype3=2,MAX(K89,0),IF(OR(Pricetype3=1,Pricetype3=4),IF(K89=0,0,(EURO(K89,Strikeprice3,0,0,($AK89+IF(Smile=TRUE(),VLOOKUP(MAX(-5,Strikeprice3-K89),Volsmile,2),0)),($A89-DateToday)+15,IF(Pricetype3=1,1,0),0))),K89)))</f>
        <v> </v>
      </c>
      <c r="U89" s="319" t="str">
        <f aca="false">IF($A89="N/A"," ",Volume3*$AM89)</f>
        <v> </v>
      </c>
      <c r="V89" s="320" t="str">
        <f aca="false">IF($A89="N/A"," ",$U89*(8*($BQ89))*L89)</f>
        <v> </v>
      </c>
      <c r="W89" s="320" t="str">
        <f aca="false">IF($A89="N/A"," ",$U89*(8*($BQ89))*M89)</f>
        <v> </v>
      </c>
      <c r="X89" s="320" t="str">
        <f aca="false">IF($A89="N/A"," ",$U89*(8*($BQ89))*N89)</f>
        <v> </v>
      </c>
      <c r="Y89" s="320" t="str">
        <f aca="false">IF($A89="N/A"," ",$U89*(8*($BR89))*O89)</f>
        <v> </v>
      </c>
      <c r="Z89" s="320" t="str">
        <f aca="false">IF($A89="N/A"," ",$U89*(8*($BR89))*P89)</f>
        <v> </v>
      </c>
      <c r="AA89" s="320" t="str">
        <f aca="false">IF($A89="N/A"," ",$U89*(8*($BR89))*Q89)</f>
        <v> </v>
      </c>
      <c r="AB89" s="320" t="str">
        <f aca="false">IF($A89="N/A"," ",$U89*(8*($BS89))*R89)</f>
        <v> </v>
      </c>
      <c r="AC89" s="320" t="str">
        <f aca="false">IF($A89="N/A"," ",$U89*(8*($BS89))*S89)</f>
        <v> </v>
      </c>
      <c r="AD89" s="320" t="str">
        <f aca="false">IF($A89="N/A"," ",$U89*(8*($BS89))*T89)</f>
        <v> </v>
      </c>
      <c r="AE89" s="320" t="str">
        <f aca="false">IF($A89="N/A"," ",SUM(V89:AD89))</f>
        <v> </v>
      </c>
      <c r="AF89" s="321" t="str">
        <f aca="false">IF(A89="N/A"," ",(VLOOKUP(A89,PowerVolTable,(IF(VolBMO3=2,7,IF(VolBMO3=1,6,8))),FALSE())))</f>
        <v> </v>
      </c>
      <c r="AG89" s="321" t="str">
        <f aca="false">IF(A89="N/A"," ",(VLOOKUP(A89,IntraPowerVol,(IF(VolBMO3=2,3,IF(VolBMO3=1,2,4))),FALSE())*VLOOKUP(MONTH($A89),Volscale,2)))</f>
        <v> </v>
      </c>
      <c r="AH89" s="321" t="str">
        <f aca="false">IF($A89="N/A"," ",IF(VolType3=1,AG89,AF89))</f>
        <v> </v>
      </c>
      <c r="AI89" s="321" t="str">
        <f aca="false">IF($A89="N/A"," ",(VLOOKUP($A89,OffPwrVolTable,(IF(VolBMO3=2,7,IF(VolBMO3=1,6,8))),FALSE())))</f>
        <v> </v>
      </c>
      <c r="AJ89" s="321" t="str">
        <f aca="false">IF($A89="N/A"," ",(VLOOKUP($A89,OffPwrVolTable,(IF(VolBMO3=2,3,IF(VolBMO3=1,2,4))),FALSE())*VLOOKUP(MONTH($A89),Volscale,2)))</f>
        <v> </v>
      </c>
      <c r="AK89" s="321" t="str">
        <f aca="false">IF($A89="N/A"," ",IF(VolType3=1,AJ89,AI89))</f>
        <v> </v>
      </c>
      <c r="AL89" s="321" t="str">
        <f aca="false">IF($A89="N/A"," ",IF(PV=1,0,'Pricing Inputs3'!R122))</f>
        <v> </v>
      </c>
      <c r="AM89" s="323" t="str">
        <f aca="false">IF($A89="N/A"," ",(1+AL89/2)^(-2*((EOMONTH(A89,0)+20)-DateToday)/365.25))</f>
        <v> </v>
      </c>
      <c r="BQ89" s="0" t="str">
        <f aca="false">IF($A89="N/A"," ",(VLOOKUP($A89,NumberofDaysTable,2)))</f>
        <v> </v>
      </c>
      <c r="BR89" s="0" t="str">
        <f aca="false">IF($A89="N/A"," ",(VLOOKUP($A89,NumberofDaysTable,3)))</f>
        <v> </v>
      </c>
      <c r="BS89" s="0" t="str">
        <f aca="false">IF($A89="N/A"," ",(VLOOKUP($A89,NumberofDaysTable,4)))</f>
        <v> </v>
      </c>
    </row>
    <row r="90" customFormat="false" ht="12.75" hidden="false" customHeight="false" outlineLevel="0" collapsed="false">
      <c r="A90" s="315" t="str">
        <f aca="false">IF(A89="N/A","N/A",IF(EDATE(A89,1)&gt;Inputs!$Q$5,"N/A",EDATE(A89,1)))</f>
        <v>N/A</v>
      </c>
      <c r="B90" s="316" t="str">
        <f aca="false">IF(A90="N/A"," ",YEAR(A90))</f>
        <v> </v>
      </c>
      <c r="C90" s="317" t="str">
        <f aca="false">IF($A90="N/A"," ",IF(Dayrun3=10,0,IF(Scaler3=1,(VLOOKUP(A90,ScaledPrice3,4)),(VLOOKUP(A90,ScaledPrice3,2)))))</f>
        <v> </v>
      </c>
      <c r="D90" s="317" t="str">
        <f aca="false">IF(A90="N/A"," ",IF(Dayrun3&gt;=7,0,IF(Scaler3=2,VLOOKUP(A90,ScaledPrice3,2),(VLOOKUP(A90,ScaledPrice3,2))*(2-(VLOOKUP(A90,ScaledPrice3,3))))))</f>
        <v> </v>
      </c>
      <c r="E90" s="317" t="str">
        <f aca="false">IF($A90="N/A"," ",IF(AND(Dayrun3&gt;=4,Dayrun3&lt;=9),0,VLOOKUP($A90,ScaledPrice3,9)))</f>
        <v> </v>
      </c>
      <c r="F90" s="317" t="str">
        <f aca="false">IF(A90="N/A"," ",IF(OR(Dayrun3=2,Dayrun3=3,Dayrun3=5,Dayrun3=6,Dayrun3=8,Dayrun3=9),VLOOKUP(A90,ScaledPrice3,IF(Scaler3=1,6,5)),0))</f>
        <v> </v>
      </c>
      <c r="G90" s="317" t="str">
        <f aca="false">IF(A90="N/A"," ",IF(OR(Dayrun3=2,Dayrun3=3,Dayrun3=5,Dayrun3=6),IF(Scaler3=2,F90,(VLOOKUP(A90,ScaledPrice3,5))*(2-(VLOOKUP(A90,ScaledPrice3,3)))),0))</f>
        <v> </v>
      </c>
      <c r="H90" s="317" t="str">
        <f aca="false">IF($A90="N/A"," ",IF(OR(Dayrun3=2,Dayrun3=3,Dayrun3=10),VLOOKUP($A90,ScaledPrice3,9),0))</f>
        <v> </v>
      </c>
      <c r="I90" s="317" t="str">
        <f aca="false">IF(A90="N/A"," ",IF(OR(Dayrun3=3,Dayrun3=6,Dayrun3=9),(VLOOKUP(A90,ScaledPrice3,IF(Scaler3=2,7,8))),0))</f>
        <v> </v>
      </c>
      <c r="J90" s="317" t="str">
        <f aca="false">IF(A90="N/A"," ",IF(OR(Dayrun3=3,Dayrun3=6),IF(Scaler3=2,I90,(VLOOKUP(A90,ScaledPrice3,7))*(2-(VLOOKUP(A90,ScaledPrice3,3)))),0))</f>
        <v> </v>
      </c>
      <c r="K90" s="317" t="str">
        <f aca="false">IF($A90="N/A"," ",IF(OR(Dayrun3=3,Dayrun3=10),VLOOKUP($A90,ScaledPrice3,9),0))</f>
        <v> </v>
      </c>
      <c r="L90" s="318" t="str">
        <f aca="false">IF($A90="N/A"," ",IF(Pricetype3=2,MAX(C90,0),IF(OR(Pricetype3=1,Pricetype3=4),IF(C90=0,0,(EURO(C90,Strikeprice3,0,0,($AH90+IF(Smile=TRUE(),VLOOKUP(MAX(-5,Strikeprice3-C90),Volsmile,2),0)),($A90-DateToday)+15,IF(Pricetype3=1,1,0),0))),C90)))</f>
        <v> </v>
      </c>
      <c r="M90" s="318" t="str">
        <f aca="false">IF($A90="N/A"," ",IF(Pricetype3=2,MAX(D90,0),IF(OR(Pricetype3=1,Pricetype3=4),IF(D90=0,0,(EURO(D90,Strikeprice3,0,0,($AH90+IF(Smile=TRUE(),VLOOKUP(MAX(-5,Strikeprice3-D90),Volsmile,2),0)),($A90-DateToday)+15,IF(Pricetype3=1,1,0),0))),D90)))</f>
        <v> </v>
      </c>
      <c r="N90" s="318" t="str">
        <f aca="false">IF($A90="N/A"," ",IF(Pricetype3=2,MAX(E90,0),IF(OR(Pricetype3=1,Pricetype3=4),IF(E90=0,0,(EURO(E90,Strikeprice3,0,0,($AK90+IF(Smile=TRUE(),VLOOKUP(MAX(-5,Strikeprice3-E90),Volsmile,2),0)),($A90-DateToday)+15,IF(Pricetype3=1,1,0),0))),E90)))</f>
        <v> </v>
      </c>
      <c r="O90" s="318" t="str">
        <f aca="false">IF($A90="N/A"," ",IF(Pricetype3=2,MAX(F90,0),IF(OR(Pricetype3=1,Pricetype3=4),IF(F90=0,0,(EURO(F90,Strikeprice3,0,0,($AK90+IF(Smile=TRUE(),VLOOKUP(MAX(-5,Strikeprice3-F90),Volsmile,2),0)),($A90-DateToday)+15,IF(Pricetype3=1,1,0),0))),F90)))</f>
        <v> </v>
      </c>
      <c r="P90" s="318" t="str">
        <f aca="false">IF($A90="N/A"," ",IF(Pricetype3=2,MAX(G90,0),IF(OR(Pricetype3=1,Pricetype3=4),IF(G90=0,0,(EURO(G90,Strikeprice3,0,0,($AK90+IF(Smile=TRUE(),VLOOKUP(MAX(-5,Strikeprice3-G90),Volsmile,2),0)),($A90-DateToday)+15,IF(Pricetype3=1,1,0),0))),G90)))</f>
        <v> </v>
      </c>
      <c r="Q90" s="318" t="str">
        <f aca="false">IF($A90="N/A"," ",IF(Pricetype3=2,MAX(H90,0),IF(OR(Pricetype3=1,Pricetype3=4),IF(H90=0,0,(EURO(H90,Strikeprice3,0,0,($AK90+IF(Smile=TRUE(),VLOOKUP(MAX(-5,Strikeprice3-H90),Volsmile,2),0)),($A90-DateToday)+15,IF(Pricetype3=1,1,0),0))),H90)))</f>
        <v> </v>
      </c>
      <c r="R90" s="318" t="str">
        <f aca="false">IF($A90="N/A"," ",IF(Pricetype3=2,MAX(I90,0),IF(OR(Pricetype3=1,Pricetype3=4),IF(I90=0,0,(EURO(I90,Strikeprice3,0,0,($AK90+IF(Smile=TRUE(),VLOOKUP(MAX(-5,Strikeprice3-I90),Volsmile,2),0)),($A90-DateToday)+15,IF(Pricetype3=1,1,0),0))),I90)))</f>
        <v> </v>
      </c>
      <c r="S90" s="318" t="str">
        <f aca="false">IF($A90="N/A"," ",IF(Pricetype3=2,MAX(J90,0),IF(OR(Pricetype3=1,Pricetype3=4),IF(J90=0,0,(EURO(J90,Strikeprice3,0,0,($AK90+IF(Smile=TRUE(),VLOOKUP(MAX(-5,Strikeprice3-J90),Volsmile,2),0)),($A90-DateToday)+15,IF(Pricetype3=1,1,0),0))),J90)))</f>
        <v> </v>
      </c>
      <c r="T90" s="318" t="str">
        <f aca="false">IF($A90="N/A"," ",IF(Pricetype3=2,MAX(K90,0),IF(OR(Pricetype3=1,Pricetype3=4),IF(K90=0,0,(EURO(K90,Strikeprice3,0,0,($AK90+IF(Smile=TRUE(),VLOOKUP(MAX(-5,Strikeprice3-K90),Volsmile,2),0)),($A90-DateToday)+15,IF(Pricetype3=1,1,0),0))),K90)))</f>
        <v> </v>
      </c>
      <c r="U90" s="319" t="str">
        <f aca="false">IF($A90="N/A"," ",Volume3*$AM90)</f>
        <v> </v>
      </c>
      <c r="V90" s="320" t="str">
        <f aca="false">IF($A90="N/A"," ",$U90*(8*($BQ90))*L90)</f>
        <v> </v>
      </c>
      <c r="W90" s="320" t="str">
        <f aca="false">IF($A90="N/A"," ",$U90*(8*($BQ90))*M90)</f>
        <v> </v>
      </c>
      <c r="X90" s="320" t="str">
        <f aca="false">IF($A90="N/A"," ",$U90*(8*($BQ90))*N90)</f>
        <v> </v>
      </c>
      <c r="Y90" s="320" t="str">
        <f aca="false">IF($A90="N/A"," ",$U90*(8*($BR90))*O90)</f>
        <v> </v>
      </c>
      <c r="Z90" s="320" t="str">
        <f aca="false">IF($A90="N/A"," ",$U90*(8*($BR90))*P90)</f>
        <v> </v>
      </c>
      <c r="AA90" s="320" t="str">
        <f aca="false">IF($A90="N/A"," ",$U90*(8*($BR90))*Q90)</f>
        <v> </v>
      </c>
      <c r="AB90" s="320" t="str">
        <f aca="false">IF($A90="N/A"," ",$U90*(8*($BS90))*R90)</f>
        <v> </v>
      </c>
      <c r="AC90" s="320" t="str">
        <f aca="false">IF($A90="N/A"," ",$U90*(8*($BS90))*S90)</f>
        <v> </v>
      </c>
      <c r="AD90" s="320" t="str">
        <f aca="false">IF($A90="N/A"," ",$U90*(8*($BS90))*T90)</f>
        <v> </v>
      </c>
      <c r="AE90" s="320" t="str">
        <f aca="false">IF($A90="N/A"," ",SUM(V90:AD90))</f>
        <v> </v>
      </c>
      <c r="AF90" s="321" t="str">
        <f aca="false">IF(A90="N/A"," ",(VLOOKUP(A90,PowerVolTable,(IF(VolBMO3=2,7,IF(VolBMO3=1,6,8))),FALSE())))</f>
        <v> </v>
      </c>
      <c r="AG90" s="321" t="str">
        <f aca="false">IF(A90="N/A"," ",(VLOOKUP(A90,IntraPowerVol,(IF(VolBMO3=2,3,IF(VolBMO3=1,2,4))),FALSE())*VLOOKUP(MONTH($A90),Volscale,2)))</f>
        <v> </v>
      </c>
      <c r="AH90" s="321" t="str">
        <f aca="false">IF($A90="N/A"," ",IF(VolType3=1,AG90,AF90))</f>
        <v> </v>
      </c>
      <c r="AI90" s="321" t="str">
        <f aca="false">IF($A90="N/A"," ",(VLOOKUP($A90,OffPwrVolTable,(IF(VolBMO3=2,7,IF(VolBMO3=1,6,8))),FALSE())))</f>
        <v> </v>
      </c>
      <c r="AJ90" s="321" t="str">
        <f aca="false">IF($A90="N/A"," ",(VLOOKUP($A90,OffPwrVolTable,(IF(VolBMO3=2,3,IF(VolBMO3=1,2,4))),FALSE())*VLOOKUP(MONTH($A90),Volscale,2)))</f>
        <v> </v>
      </c>
      <c r="AK90" s="321" t="str">
        <f aca="false">IF($A90="N/A"," ",IF(VolType3=1,AJ90,AI90))</f>
        <v> </v>
      </c>
      <c r="AL90" s="321" t="str">
        <f aca="false">IF($A90="N/A"," ",IF(PV=1,0,'Pricing Inputs3'!R123))</f>
        <v> </v>
      </c>
      <c r="AM90" s="323" t="str">
        <f aca="false">IF($A90="N/A"," ",(1+AL90/2)^(-2*((EOMONTH(A90,0)+20)-DateToday)/365.25))</f>
        <v> </v>
      </c>
      <c r="BQ90" s="0" t="str">
        <f aca="false">IF($A90="N/A"," ",(VLOOKUP($A90,NumberofDaysTable,2)))</f>
        <v> </v>
      </c>
      <c r="BR90" s="0" t="str">
        <f aca="false">IF($A90="N/A"," ",(VLOOKUP($A90,NumberofDaysTable,3)))</f>
        <v> </v>
      </c>
      <c r="BS90" s="0" t="str">
        <f aca="false">IF($A90="N/A"," ",(VLOOKUP($A90,NumberofDaysTable,4)))</f>
        <v> </v>
      </c>
    </row>
    <row r="91" customFormat="false" ht="12.75" hidden="false" customHeight="false" outlineLevel="0" collapsed="false">
      <c r="A91" s="315" t="str">
        <f aca="false">IF(A90="N/A","N/A",IF(EDATE(A90,1)&gt;Inputs!$Q$5,"N/A",EDATE(A90,1)))</f>
        <v>N/A</v>
      </c>
      <c r="B91" s="316" t="str">
        <f aca="false">IF(A91="N/A"," ",YEAR(A91))</f>
        <v> </v>
      </c>
      <c r="C91" s="317" t="str">
        <f aca="false">IF($A91="N/A"," ",IF(Dayrun3=10,0,IF(Scaler3=1,(VLOOKUP(A91,ScaledPrice3,4)),(VLOOKUP(A91,ScaledPrice3,2)))))</f>
        <v> </v>
      </c>
      <c r="D91" s="317" t="str">
        <f aca="false">IF(A91="N/A"," ",IF(Dayrun3&gt;=7,0,IF(Scaler3=2,VLOOKUP(A91,ScaledPrice3,2),(VLOOKUP(A91,ScaledPrice3,2))*(2-(VLOOKUP(A91,ScaledPrice3,3))))))</f>
        <v> </v>
      </c>
      <c r="E91" s="317" t="str">
        <f aca="false">IF($A91="N/A"," ",IF(AND(Dayrun3&gt;=4,Dayrun3&lt;=9),0,VLOOKUP($A91,ScaledPrice3,9)))</f>
        <v> </v>
      </c>
      <c r="F91" s="317" t="str">
        <f aca="false">IF(A91="N/A"," ",IF(OR(Dayrun3=2,Dayrun3=3,Dayrun3=5,Dayrun3=6,Dayrun3=8,Dayrun3=9),VLOOKUP(A91,ScaledPrice3,IF(Scaler3=1,6,5)),0))</f>
        <v> </v>
      </c>
      <c r="G91" s="317" t="str">
        <f aca="false">IF(A91="N/A"," ",IF(OR(Dayrun3=2,Dayrun3=3,Dayrun3=5,Dayrun3=6),IF(Scaler3=2,F91,(VLOOKUP(A91,ScaledPrice3,5))*(2-(VLOOKUP(A91,ScaledPrice3,3)))),0))</f>
        <v> </v>
      </c>
      <c r="H91" s="317" t="str">
        <f aca="false">IF($A91="N/A"," ",IF(OR(Dayrun3=2,Dayrun3=3,Dayrun3=10),VLOOKUP($A91,ScaledPrice3,9),0))</f>
        <v> </v>
      </c>
      <c r="I91" s="317" t="str">
        <f aca="false">IF(A91="N/A"," ",IF(OR(Dayrun3=3,Dayrun3=6,Dayrun3=9),(VLOOKUP(A91,ScaledPrice3,IF(Scaler3=2,7,8))),0))</f>
        <v> </v>
      </c>
      <c r="J91" s="317" t="str">
        <f aca="false">IF(A91="N/A"," ",IF(OR(Dayrun3=3,Dayrun3=6),IF(Scaler3=2,I91,(VLOOKUP(A91,ScaledPrice3,7))*(2-(VLOOKUP(A91,ScaledPrice3,3)))),0))</f>
        <v> </v>
      </c>
      <c r="K91" s="317" t="str">
        <f aca="false">IF($A91="N/A"," ",IF(OR(Dayrun3=3,Dayrun3=10),VLOOKUP($A91,ScaledPrice3,9),0))</f>
        <v> </v>
      </c>
      <c r="L91" s="318" t="str">
        <f aca="false">IF($A91="N/A"," ",IF(Pricetype3=2,MAX(C91,0),IF(OR(Pricetype3=1,Pricetype3=4),IF(C91=0,0,(EURO(C91,Strikeprice3,0,0,($AH91+IF(Smile=TRUE(),VLOOKUP(MAX(-5,Strikeprice3-C91),Volsmile,2),0)),($A91-DateToday)+15,IF(Pricetype3=1,1,0),0))),C91)))</f>
        <v> </v>
      </c>
      <c r="M91" s="318" t="str">
        <f aca="false">IF($A91="N/A"," ",IF(Pricetype3=2,MAX(D91,0),IF(OR(Pricetype3=1,Pricetype3=4),IF(D91=0,0,(EURO(D91,Strikeprice3,0,0,($AH91+IF(Smile=TRUE(),VLOOKUP(MAX(-5,Strikeprice3-D91),Volsmile,2),0)),($A91-DateToday)+15,IF(Pricetype3=1,1,0),0))),D91)))</f>
        <v> </v>
      </c>
      <c r="N91" s="318" t="str">
        <f aca="false">IF($A91="N/A"," ",IF(Pricetype3=2,MAX(E91,0),IF(OR(Pricetype3=1,Pricetype3=4),IF(E91=0,0,(EURO(E91,Strikeprice3,0,0,($AK91+IF(Smile=TRUE(),VLOOKUP(MAX(-5,Strikeprice3-E91),Volsmile,2),0)),($A91-DateToday)+15,IF(Pricetype3=1,1,0),0))),E91)))</f>
        <v> </v>
      </c>
      <c r="O91" s="318" t="str">
        <f aca="false">IF($A91="N/A"," ",IF(Pricetype3=2,MAX(F91,0),IF(OR(Pricetype3=1,Pricetype3=4),IF(F91=0,0,(EURO(F91,Strikeprice3,0,0,($AK91+IF(Smile=TRUE(),VLOOKUP(MAX(-5,Strikeprice3-F91),Volsmile,2),0)),($A91-DateToday)+15,IF(Pricetype3=1,1,0),0))),F91)))</f>
        <v> </v>
      </c>
      <c r="P91" s="318" t="str">
        <f aca="false">IF($A91="N/A"," ",IF(Pricetype3=2,MAX(G91,0),IF(OR(Pricetype3=1,Pricetype3=4),IF(G91=0,0,(EURO(G91,Strikeprice3,0,0,($AK91+IF(Smile=TRUE(),VLOOKUP(MAX(-5,Strikeprice3-G91),Volsmile,2),0)),($A91-DateToday)+15,IF(Pricetype3=1,1,0),0))),G91)))</f>
        <v> </v>
      </c>
      <c r="Q91" s="318" t="str">
        <f aca="false">IF($A91="N/A"," ",IF(Pricetype3=2,MAX(H91,0),IF(OR(Pricetype3=1,Pricetype3=4),IF(H91=0,0,(EURO(H91,Strikeprice3,0,0,($AK91+IF(Smile=TRUE(),VLOOKUP(MAX(-5,Strikeprice3-H91),Volsmile,2),0)),($A91-DateToday)+15,IF(Pricetype3=1,1,0),0))),H91)))</f>
        <v> </v>
      </c>
      <c r="R91" s="318" t="str">
        <f aca="false">IF($A91="N/A"," ",IF(Pricetype3=2,MAX(I91,0),IF(OR(Pricetype3=1,Pricetype3=4),IF(I91=0,0,(EURO(I91,Strikeprice3,0,0,($AK91+IF(Smile=TRUE(),VLOOKUP(MAX(-5,Strikeprice3-I91),Volsmile,2),0)),($A91-DateToday)+15,IF(Pricetype3=1,1,0),0))),I91)))</f>
        <v> </v>
      </c>
      <c r="S91" s="318" t="str">
        <f aca="false">IF($A91="N/A"," ",IF(Pricetype3=2,MAX(J91,0),IF(OR(Pricetype3=1,Pricetype3=4),IF(J91=0,0,(EURO(J91,Strikeprice3,0,0,($AK91+IF(Smile=TRUE(),VLOOKUP(MAX(-5,Strikeprice3-J91),Volsmile,2),0)),($A91-DateToday)+15,IF(Pricetype3=1,1,0),0))),J91)))</f>
        <v> </v>
      </c>
      <c r="T91" s="318" t="str">
        <f aca="false">IF($A91="N/A"," ",IF(Pricetype3=2,MAX(K91,0),IF(OR(Pricetype3=1,Pricetype3=4),IF(K91=0,0,(EURO(K91,Strikeprice3,0,0,($AK91+IF(Smile=TRUE(),VLOOKUP(MAX(-5,Strikeprice3-K91),Volsmile,2),0)),($A91-DateToday)+15,IF(Pricetype3=1,1,0),0))),K91)))</f>
        <v> </v>
      </c>
      <c r="U91" s="319" t="str">
        <f aca="false">IF($A91="N/A"," ",Volume3*$AM91)</f>
        <v> </v>
      </c>
      <c r="V91" s="320" t="str">
        <f aca="false">IF($A91="N/A"," ",$U91*(8*($BQ91))*L91)</f>
        <v> </v>
      </c>
      <c r="W91" s="320" t="str">
        <f aca="false">IF($A91="N/A"," ",$U91*(8*($BQ91))*M91)</f>
        <v> </v>
      </c>
      <c r="X91" s="320" t="str">
        <f aca="false">IF($A91="N/A"," ",$U91*(8*($BQ91))*N91)</f>
        <v> </v>
      </c>
      <c r="Y91" s="320" t="str">
        <f aca="false">IF($A91="N/A"," ",$U91*(8*($BR91))*O91)</f>
        <v> </v>
      </c>
      <c r="Z91" s="320" t="str">
        <f aca="false">IF($A91="N/A"," ",$U91*(8*($BR91))*P91)</f>
        <v> </v>
      </c>
      <c r="AA91" s="320" t="str">
        <f aca="false">IF($A91="N/A"," ",$U91*(8*($BR91))*Q91)</f>
        <v> </v>
      </c>
      <c r="AB91" s="320" t="str">
        <f aca="false">IF($A91="N/A"," ",$U91*(8*($BS91))*R91)</f>
        <v> </v>
      </c>
      <c r="AC91" s="320" t="str">
        <f aca="false">IF($A91="N/A"," ",$U91*(8*($BS91))*S91)</f>
        <v> </v>
      </c>
      <c r="AD91" s="320" t="str">
        <f aca="false">IF($A91="N/A"," ",$U91*(8*($BS91))*T91)</f>
        <v> </v>
      </c>
      <c r="AE91" s="320" t="str">
        <f aca="false">IF($A91="N/A"," ",SUM(V91:AD91))</f>
        <v> </v>
      </c>
      <c r="AF91" s="321" t="str">
        <f aca="false">IF(A91="N/A"," ",(VLOOKUP(A91,PowerVolTable,(IF(VolBMO3=2,7,IF(VolBMO3=1,6,8))),FALSE())))</f>
        <v> </v>
      </c>
      <c r="AG91" s="321" t="str">
        <f aca="false">IF(A91="N/A"," ",(VLOOKUP(A91,IntraPowerVol,(IF(VolBMO3=2,3,IF(VolBMO3=1,2,4))),FALSE())*VLOOKUP(MONTH($A91),Volscale,2)))</f>
        <v> </v>
      </c>
      <c r="AH91" s="321" t="str">
        <f aca="false">IF($A91="N/A"," ",IF(VolType3=1,AG91,AF91))</f>
        <v> </v>
      </c>
      <c r="AI91" s="321" t="str">
        <f aca="false">IF($A91="N/A"," ",(VLOOKUP($A91,OffPwrVolTable,(IF(VolBMO3=2,7,IF(VolBMO3=1,6,8))),FALSE())))</f>
        <v> </v>
      </c>
      <c r="AJ91" s="321" t="str">
        <f aca="false">IF($A91="N/A"," ",(VLOOKUP($A91,OffPwrVolTable,(IF(VolBMO3=2,3,IF(VolBMO3=1,2,4))),FALSE())*VLOOKUP(MONTH($A91),Volscale,2)))</f>
        <v> </v>
      </c>
      <c r="AK91" s="321" t="str">
        <f aca="false">IF($A91="N/A"," ",IF(VolType3=1,AJ91,AI91))</f>
        <v> </v>
      </c>
      <c r="AL91" s="321" t="str">
        <f aca="false">IF($A91="N/A"," ",IF(PV=1,0,'Pricing Inputs3'!R124))</f>
        <v> </v>
      </c>
      <c r="AM91" s="323" t="str">
        <f aca="false">IF($A91="N/A"," ",(1+AL91/2)^(-2*((EOMONTH(A91,0)+20)-DateToday)/365.25))</f>
        <v> </v>
      </c>
      <c r="BQ91" s="0" t="str">
        <f aca="false">IF($A91="N/A"," ",(VLOOKUP($A91,NumberofDaysTable,2)))</f>
        <v> </v>
      </c>
      <c r="BR91" s="0" t="str">
        <f aca="false">IF($A91="N/A"," ",(VLOOKUP($A91,NumberofDaysTable,3)))</f>
        <v> </v>
      </c>
      <c r="BS91" s="0" t="str">
        <f aca="false">IF($A91="N/A"," ",(VLOOKUP($A91,NumberofDaysTable,4)))</f>
        <v> </v>
      </c>
    </row>
    <row r="92" customFormat="false" ht="12.75" hidden="false" customHeight="false" outlineLevel="0" collapsed="false">
      <c r="A92" s="315" t="str">
        <f aca="false">IF(A91="N/A","N/A",IF(EDATE(A91,1)&gt;Inputs!$Q$5,"N/A",EDATE(A91,1)))</f>
        <v>N/A</v>
      </c>
      <c r="B92" s="316" t="str">
        <f aca="false">IF(A92="N/A"," ",YEAR(A92))</f>
        <v> </v>
      </c>
      <c r="C92" s="317" t="str">
        <f aca="false">IF($A92="N/A"," ",IF(Dayrun3=10,0,IF(Scaler3=1,(VLOOKUP(A92,ScaledPrice3,4)),(VLOOKUP(A92,ScaledPrice3,2)))))</f>
        <v> </v>
      </c>
      <c r="D92" s="317" t="str">
        <f aca="false">IF(A92="N/A"," ",IF(Dayrun3&gt;=7,0,IF(Scaler3=2,VLOOKUP(A92,ScaledPrice3,2),(VLOOKUP(A92,ScaledPrice3,2))*(2-(VLOOKUP(A92,ScaledPrice3,3))))))</f>
        <v> </v>
      </c>
      <c r="E92" s="317" t="str">
        <f aca="false">IF($A92="N/A"," ",IF(AND(Dayrun3&gt;=4,Dayrun3&lt;=9),0,VLOOKUP($A92,ScaledPrice3,9)))</f>
        <v> </v>
      </c>
      <c r="F92" s="317" t="str">
        <f aca="false">IF(A92="N/A"," ",IF(OR(Dayrun3=2,Dayrun3=3,Dayrun3=5,Dayrun3=6,Dayrun3=8,Dayrun3=9),VLOOKUP(A92,ScaledPrice3,IF(Scaler3=1,6,5)),0))</f>
        <v> </v>
      </c>
      <c r="G92" s="317" t="str">
        <f aca="false">IF(A92="N/A"," ",IF(OR(Dayrun3=2,Dayrun3=3,Dayrun3=5,Dayrun3=6),IF(Scaler3=2,F92,(VLOOKUP(A92,ScaledPrice3,5))*(2-(VLOOKUP(A92,ScaledPrice3,3)))),0))</f>
        <v> </v>
      </c>
      <c r="H92" s="317" t="str">
        <f aca="false">IF($A92="N/A"," ",IF(OR(Dayrun3=2,Dayrun3=3,Dayrun3=10),VLOOKUP($A92,ScaledPrice3,9),0))</f>
        <v> </v>
      </c>
      <c r="I92" s="317" t="str">
        <f aca="false">IF(A92="N/A"," ",IF(OR(Dayrun3=3,Dayrun3=6,Dayrun3=9),(VLOOKUP(A92,ScaledPrice3,IF(Scaler3=2,7,8))),0))</f>
        <v> </v>
      </c>
      <c r="J92" s="317" t="str">
        <f aca="false">IF(A92="N/A"," ",IF(OR(Dayrun3=3,Dayrun3=6),IF(Scaler3=2,I92,(VLOOKUP(A92,ScaledPrice3,7))*(2-(VLOOKUP(A92,ScaledPrice3,3)))),0))</f>
        <v> </v>
      </c>
      <c r="K92" s="317" t="str">
        <f aca="false">IF($A92="N/A"," ",IF(OR(Dayrun3=3,Dayrun3=10),VLOOKUP($A92,ScaledPrice3,9),0))</f>
        <v> </v>
      </c>
      <c r="L92" s="318" t="str">
        <f aca="false">IF($A92="N/A"," ",IF(Pricetype3=2,MAX(C92,0),IF(OR(Pricetype3=1,Pricetype3=4),IF(C92=0,0,(EURO(C92,Strikeprice3,0,0,($AH92+IF(Smile=TRUE(),VLOOKUP(MAX(-5,Strikeprice3-C92),Volsmile,2),0)),($A92-DateToday)+15,IF(Pricetype3=1,1,0),0))),C92)))</f>
        <v> </v>
      </c>
      <c r="M92" s="318" t="str">
        <f aca="false">IF($A92="N/A"," ",IF(Pricetype3=2,MAX(D92,0),IF(OR(Pricetype3=1,Pricetype3=4),IF(D92=0,0,(EURO(D92,Strikeprice3,0,0,($AH92+IF(Smile=TRUE(),VLOOKUP(MAX(-5,Strikeprice3-D92),Volsmile,2),0)),($A92-DateToday)+15,IF(Pricetype3=1,1,0),0))),D92)))</f>
        <v> </v>
      </c>
      <c r="N92" s="318" t="str">
        <f aca="false">IF($A92="N/A"," ",IF(Pricetype3=2,MAX(E92,0),IF(OR(Pricetype3=1,Pricetype3=4),IF(E92=0,0,(EURO(E92,Strikeprice3,0,0,($AK92+IF(Smile=TRUE(),VLOOKUP(MAX(-5,Strikeprice3-E92),Volsmile,2),0)),($A92-DateToday)+15,IF(Pricetype3=1,1,0),0))),E92)))</f>
        <v> </v>
      </c>
      <c r="O92" s="318" t="str">
        <f aca="false">IF($A92="N/A"," ",IF(Pricetype3=2,MAX(F92,0),IF(OR(Pricetype3=1,Pricetype3=4),IF(F92=0,0,(EURO(F92,Strikeprice3,0,0,($AK92+IF(Smile=TRUE(),VLOOKUP(MAX(-5,Strikeprice3-F92),Volsmile,2),0)),($A92-DateToday)+15,IF(Pricetype3=1,1,0),0))),F92)))</f>
        <v> </v>
      </c>
      <c r="P92" s="318" t="str">
        <f aca="false">IF($A92="N/A"," ",IF(Pricetype3=2,MAX(G92,0),IF(OR(Pricetype3=1,Pricetype3=4),IF(G92=0,0,(EURO(G92,Strikeprice3,0,0,($AK92+IF(Smile=TRUE(),VLOOKUP(MAX(-5,Strikeprice3-G92),Volsmile,2),0)),($A92-DateToday)+15,IF(Pricetype3=1,1,0),0))),G92)))</f>
        <v> </v>
      </c>
      <c r="Q92" s="318" t="str">
        <f aca="false">IF($A92="N/A"," ",IF(Pricetype3=2,MAX(H92,0),IF(OR(Pricetype3=1,Pricetype3=4),IF(H92=0,0,(EURO(H92,Strikeprice3,0,0,($AK92+IF(Smile=TRUE(),VLOOKUP(MAX(-5,Strikeprice3-H92),Volsmile,2),0)),($A92-DateToday)+15,IF(Pricetype3=1,1,0),0))),H92)))</f>
        <v> </v>
      </c>
      <c r="R92" s="318" t="str">
        <f aca="false">IF($A92="N/A"," ",IF(Pricetype3=2,MAX(I92,0),IF(OR(Pricetype3=1,Pricetype3=4),IF(I92=0,0,(EURO(I92,Strikeprice3,0,0,($AK92+IF(Smile=TRUE(),VLOOKUP(MAX(-5,Strikeprice3-I92),Volsmile,2),0)),($A92-DateToday)+15,IF(Pricetype3=1,1,0),0))),I92)))</f>
        <v> </v>
      </c>
      <c r="S92" s="318" t="str">
        <f aca="false">IF($A92="N/A"," ",IF(Pricetype3=2,MAX(J92,0),IF(OR(Pricetype3=1,Pricetype3=4),IF(J92=0,0,(EURO(J92,Strikeprice3,0,0,($AK92+IF(Smile=TRUE(),VLOOKUP(MAX(-5,Strikeprice3-J92),Volsmile,2),0)),($A92-DateToday)+15,IF(Pricetype3=1,1,0),0))),J92)))</f>
        <v> </v>
      </c>
      <c r="T92" s="318" t="str">
        <f aca="false">IF($A92="N/A"," ",IF(Pricetype3=2,MAX(K92,0),IF(OR(Pricetype3=1,Pricetype3=4),IF(K92=0,0,(EURO(K92,Strikeprice3,0,0,($AK92+IF(Smile=TRUE(),VLOOKUP(MAX(-5,Strikeprice3-K92),Volsmile,2),0)),($A92-DateToday)+15,IF(Pricetype3=1,1,0),0))),K92)))</f>
        <v> </v>
      </c>
      <c r="U92" s="319" t="str">
        <f aca="false">IF($A92="N/A"," ",Volume3*$AM92)</f>
        <v> </v>
      </c>
      <c r="V92" s="320" t="str">
        <f aca="false">IF($A92="N/A"," ",$U92*(8*($BQ92))*L92)</f>
        <v> </v>
      </c>
      <c r="W92" s="320" t="str">
        <f aca="false">IF($A92="N/A"," ",$U92*(8*($BQ92))*M92)</f>
        <v> </v>
      </c>
      <c r="X92" s="320" t="str">
        <f aca="false">IF($A92="N/A"," ",$U92*(8*($BQ92))*N92)</f>
        <v> </v>
      </c>
      <c r="Y92" s="320" t="str">
        <f aca="false">IF($A92="N/A"," ",$U92*(8*($BR92))*O92)</f>
        <v> </v>
      </c>
      <c r="Z92" s="320" t="str">
        <f aca="false">IF($A92="N/A"," ",$U92*(8*($BR92))*P92)</f>
        <v> </v>
      </c>
      <c r="AA92" s="320" t="str">
        <f aca="false">IF($A92="N/A"," ",$U92*(8*($BR92))*Q92)</f>
        <v> </v>
      </c>
      <c r="AB92" s="320" t="str">
        <f aca="false">IF($A92="N/A"," ",$U92*(8*($BS92))*R92)</f>
        <v> </v>
      </c>
      <c r="AC92" s="320" t="str">
        <f aca="false">IF($A92="N/A"," ",$U92*(8*($BS92))*S92)</f>
        <v> </v>
      </c>
      <c r="AD92" s="320" t="str">
        <f aca="false">IF($A92="N/A"," ",$U92*(8*($BS92))*T92)</f>
        <v> </v>
      </c>
      <c r="AE92" s="320" t="str">
        <f aca="false">IF($A92="N/A"," ",SUM(V92:AD92))</f>
        <v> </v>
      </c>
      <c r="AF92" s="321" t="str">
        <f aca="false">IF(A92="N/A"," ",(VLOOKUP(A92,PowerVolTable,(IF(VolBMO3=2,7,IF(VolBMO3=1,6,8))),FALSE())))</f>
        <v> </v>
      </c>
      <c r="AG92" s="321" t="str">
        <f aca="false">IF(A92="N/A"," ",(VLOOKUP(A92,IntraPowerVol,(IF(VolBMO3=2,3,IF(VolBMO3=1,2,4))),FALSE())*VLOOKUP(MONTH($A92),Volscale,2)))</f>
        <v> </v>
      </c>
      <c r="AH92" s="321" t="str">
        <f aca="false">IF($A92="N/A"," ",IF(VolType3=1,AG92,AF92))</f>
        <v> </v>
      </c>
      <c r="AI92" s="321" t="str">
        <f aca="false">IF($A92="N/A"," ",(VLOOKUP($A92,OffPwrVolTable,(IF(VolBMO3=2,7,IF(VolBMO3=1,6,8))),FALSE())))</f>
        <v> </v>
      </c>
      <c r="AJ92" s="321" t="str">
        <f aca="false">IF($A92="N/A"," ",(VLOOKUP($A92,OffPwrVolTable,(IF(VolBMO3=2,3,IF(VolBMO3=1,2,4))),FALSE())*VLOOKUP(MONTH($A92),Volscale,2)))</f>
        <v> </v>
      </c>
      <c r="AK92" s="321" t="str">
        <f aca="false">IF($A92="N/A"," ",IF(VolType3=1,AJ92,AI92))</f>
        <v> </v>
      </c>
      <c r="AL92" s="321" t="str">
        <f aca="false">IF($A92="N/A"," ",IF(PV=1,0,'Pricing Inputs3'!R125))</f>
        <v> </v>
      </c>
      <c r="AM92" s="323" t="str">
        <f aca="false">IF($A92="N/A"," ",(1+AL92/2)^(-2*((EOMONTH(A92,0)+20)-DateToday)/365.25))</f>
        <v> </v>
      </c>
      <c r="BQ92" s="0" t="str">
        <f aca="false">IF($A92="N/A"," ",(VLOOKUP($A92,NumberofDaysTable,2)))</f>
        <v> </v>
      </c>
      <c r="BR92" s="0" t="str">
        <f aca="false">IF($A92="N/A"," ",(VLOOKUP($A92,NumberofDaysTable,3)))</f>
        <v> </v>
      </c>
      <c r="BS92" s="0" t="str">
        <f aca="false">IF($A92="N/A"," ",(VLOOKUP($A92,NumberofDaysTable,4)))</f>
        <v> </v>
      </c>
    </row>
    <row r="93" customFormat="false" ht="12.75" hidden="false" customHeight="false" outlineLevel="0" collapsed="false">
      <c r="A93" s="315" t="str">
        <f aca="false">IF(A92="N/A","N/A",IF(EDATE(A92,1)&gt;Inputs!$Q$5,"N/A",EDATE(A92,1)))</f>
        <v>N/A</v>
      </c>
      <c r="B93" s="316" t="str">
        <f aca="false">IF(A93="N/A"," ",YEAR(A93))</f>
        <v> </v>
      </c>
      <c r="C93" s="317" t="str">
        <f aca="false">IF($A93="N/A"," ",IF(Dayrun3=10,0,IF(Scaler3=1,(VLOOKUP(A93,ScaledPrice3,4)),(VLOOKUP(A93,ScaledPrice3,2)))))</f>
        <v> </v>
      </c>
      <c r="D93" s="317" t="str">
        <f aca="false">IF(A93="N/A"," ",IF(Dayrun3&gt;=7,0,IF(Scaler3=2,VLOOKUP(A93,ScaledPrice3,2),(VLOOKUP(A93,ScaledPrice3,2))*(2-(VLOOKUP(A93,ScaledPrice3,3))))))</f>
        <v> </v>
      </c>
      <c r="E93" s="317" t="str">
        <f aca="false">IF($A93="N/A"," ",IF(AND(Dayrun3&gt;=4,Dayrun3&lt;=9),0,VLOOKUP($A93,ScaledPrice3,9)))</f>
        <v> </v>
      </c>
      <c r="F93" s="317" t="str">
        <f aca="false">IF(A93="N/A"," ",IF(OR(Dayrun3=2,Dayrun3=3,Dayrun3=5,Dayrun3=6,Dayrun3=8,Dayrun3=9),VLOOKUP(A93,ScaledPrice3,IF(Scaler3=1,6,5)),0))</f>
        <v> </v>
      </c>
      <c r="G93" s="317" t="str">
        <f aca="false">IF(A93="N/A"," ",IF(OR(Dayrun3=2,Dayrun3=3,Dayrun3=5,Dayrun3=6),IF(Scaler3=2,F93,(VLOOKUP(A93,ScaledPrice3,5))*(2-(VLOOKUP(A93,ScaledPrice3,3)))),0))</f>
        <v> </v>
      </c>
      <c r="H93" s="317" t="str">
        <f aca="false">IF($A93="N/A"," ",IF(OR(Dayrun3=2,Dayrun3=3,Dayrun3=10),VLOOKUP($A93,ScaledPrice3,9),0))</f>
        <v> </v>
      </c>
      <c r="I93" s="317" t="str">
        <f aca="false">IF(A93="N/A"," ",IF(OR(Dayrun3=3,Dayrun3=6,Dayrun3=9),(VLOOKUP(A93,ScaledPrice3,IF(Scaler3=2,7,8))),0))</f>
        <v> </v>
      </c>
      <c r="J93" s="317" t="str">
        <f aca="false">IF(A93="N/A"," ",IF(OR(Dayrun3=3,Dayrun3=6),IF(Scaler3=2,I93,(VLOOKUP(A93,ScaledPrice3,7))*(2-(VLOOKUP(A93,ScaledPrice3,3)))),0))</f>
        <v> </v>
      </c>
      <c r="K93" s="317" t="str">
        <f aca="false">IF($A93="N/A"," ",IF(OR(Dayrun3=3,Dayrun3=10),VLOOKUP($A93,ScaledPrice3,9),0))</f>
        <v> </v>
      </c>
      <c r="L93" s="318" t="str">
        <f aca="false">IF($A93="N/A"," ",IF(Pricetype3=2,MAX(C93,0),IF(OR(Pricetype3=1,Pricetype3=4),IF(C93=0,0,(EURO(C93,Strikeprice3,0,0,($AH93+IF(Smile=TRUE(),VLOOKUP(MAX(-5,Strikeprice3-C93),Volsmile,2),0)),($A93-DateToday)+15,IF(Pricetype3=1,1,0),0))),C93)))</f>
        <v> </v>
      </c>
      <c r="M93" s="318" t="str">
        <f aca="false">IF($A93="N/A"," ",IF(Pricetype3=2,MAX(D93,0),IF(OR(Pricetype3=1,Pricetype3=4),IF(D93=0,0,(EURO(D93,Strikeprice3,0,0,($AH93+IF(Smile=TRUE(),VLOOKUP(MAX(-5,Strikeprice3-D93),Volsmile,2),0)),($A93-DateToday)+15,IF(Pricetype3=1,1,0),0))),D93)))</f>
        <v> </v>
      </c>
      <c r="N93" s="318" t="str">
        <f aca="false">IF($A93="N/A"," ",IF(Pricetype3=2,MAX(E93,0),IF(OR(Pricetype3=1,Pricetype3=4),IF(E93=0,0,(EURO(E93,Strikeprice3,0,0,($AK93+IF(Smile=TRUE(),VLOOKUP(MAX(-5,Strikeprice3-E93),Volsmile,2),0)),($A93-DateToday)+15,IF(Pricetype3=1,1,0),0))),E93)))</f>
        <v> </v>
      </c>
      <c r="O93" s="318" t="str">
        <f aca="false">IF($A93="N/A"," ",IF(Pricetype3=2,MAX(F93,0),IF(OR(Pricetype3=1,Pricetype3=4),IF(F93=0,0,(EURO(F93,Strikeprice3,0,0,($AK93+IF(Smile=TRUE(),VLOOKUP(MAX(-5,Strikeprice3-F93),Volsmile,2),0)),($A93-DateToday)+15,IF(Pricetype3=1,1,0),0))),F93)))</f>
        <v> </v>
      </c>
      <c r="P93" s="318" t="str">
        <f aca="false">IF($A93="N/A"," ",IF(Pricetype3=2,MAX(G93,0),IF(OR(Pricetype3=1,Pricetype3=4),IF(G93=0,0,(EURO(G93,Strikeprice3,0,0,($AK93+IF(Smile=TRUE(),VLOOKUP(MAX(-5,Strikeprice3-G93),Volsmile,2),0)),($A93-DateToday)+15,IF(Pricetype3=1,1,0),0))),G93)))</f>
        <v> </v>
      </c>
      <c r="Q93" s="318" t="str">
        <f aca="false">IF($A93="N/A"," ",IF(Pricetype3=2,MAX(H93,0),IF(OR(Pricetype3=1,Pricetype3=4),IF(H93=0,0,(EURO(H93,Strikeprice3,0,0,($AK93+IF(Smile=TRUE(),VLOOKUP(MAX(-5,Strikeprice3-H93),Volsmile,2),0)),($A93-DateToday)+15,IF(Pricetype3=1,1,0),0))),H93)))</f>
        <v> </v>
      </c>
      <c r="R93" s="318" t="str">
        <f aca="false">IF($A93="N/A"," ",IF(Pricetype3=2,MAX(I93,0),IF(OR(Pricetype3=1,Pricetype3=4),IF(I93=0,0,(EURO(I93,Strikeprice3,0,0,($AK93+IF(Smile=TRUE(),VLOOKUP(MAX(-5,Strikeprice3-I93),Volsmile,2),0)),($A93-DateToday)+15,IF(Pricetype3=1,1,0),0))),I93)))</f>
        <v> </v>
      </c>
      <c r="S93" s="318" t="str">
        <f aca="false">IF($A93="N/A"," ",IF(Pricetype3=2,MAX(J93,0),IF(OR(Pricetype3=1,Pricetype3=4),IF(J93=0,0,(EURO(J93,Strikeprice3,0,0,($AK93+IF(Smile=TRUE(),VLOOKUP(MAX(-5,Strikeprice3-J93),Volsmile,2),0)),($A93-DateToday)+15,IF(Pricetype3=1,1,0),0))),J93)))</f>
        <v> </v>
      </c>
      <c r="T93" s="318" t="str">
        <f aca="false">IF($A93="N/A"," ",IF(Pricetype3=2,MAX(K93,0),IF(OR(Pricetype3=1,Pricetype3=4),IF(K93=0,0,(EURO(K93,Strikeprice3,0,0,($AK93+IF(Smile=TRUE(),VLOOKUP(MAX(-5,Strikeprice3-K93),Volsmile,2),0)),($A93-DateToday)+15,IF(Pricetype3=1,1,0),0))),K93)))</f>
        <v> </v>
      </c>
      <c r="U93" s="319" t="str">
        <f aca="false">IF($A93="N/A"," ",Volume3*$AM93)</f>
        <v> </v>
      </c>
      <c r="V93" s="320" t="str">
        <f aca="false">IF($A93="N/A"," ",$U93*(8*($BQ93))*L93)</f>
        <v> </v>
      </c>
      <c r="W93" s="320" t="str">
        <f aca="false">IF($A93="N/A"," ",$U93*(8*($BQ93))*M93)</f>
        <v> </v>
      </c>
      <c r="X93" s="320" t="str">
        <f aca="false">IF($A93="N/A"," ",$U93*(8*($BQ93))*N93)</f>
        <v> </v>
      </c>
      <c r="Y93" s="320" t="str">
        <f aca="false">IF($A93="N/A"," ",$U93*(8*($BR93))*O93)</f>
        <v> </v>
      </c>
      <c r="Z93" s="320" t="str">
        <f aca="false">IF($A93="N/A"," ",$U93*(8*($BR93))*P93)</f>
        <v> </v>
      </c>
      <c r="AA93" s="320" t="str">
        <f aca="false">IF($A93="N/A"," ",$U93*(8*($BR93))*Q93)</f>
        <v> </v>
      </c>
      <c r="AB93" s="320" t="str">
        <f aca="false">IF($A93="N/A"," ",$U93*(8*($BS93))*R93)</f>
        <v> </v>
      </c>
      <c r="AC93" s="320" t="str">
        <f aca="false">IF($A93="N/A"," ",$U93*(8*($BS93))*S93)</f>
        <v> </v>
      </c>
      <c r="AD93" s="320" t="str">
        <f aca="false">IF($A93="N/A"," ",$U93*(8*($BS93))*T93)</f>
        <v> </v>
      </c>
      <c r="AE93" s="320" t="str">
        <f aca="false">IF($A93="N/A"," ",SUM(V93:AD93))</f>
        <v> </v>
      </c>
      <c r="AF93" s="321" t="str">
        <f aca="false">IF(A93="N/A"," ",(VLOOKUP(A93,PowerVolTable,(IF(VolBMO3=2,7,IF(VolBMO3=1,6,8))),FALSE())))</f>
        <v> </v>
      </c>
      <c r="AG93" s="321" t="str">
        <f aca="false">IF(A93="N/A"," ",(VLOOKUP(A93,IntraPowerVol,(IF(VolBMO3=2,3,IF(VolBMO3=1,2,4))),FALSE())*VLOOKUP(MONTH($A93),Volscale,2)))</f>
        <v> </v>
      </c>
      <c r="AH93" s="321" t="str">
        <f aca="false">IF($A93="N/A"," ",IF(VolType3=1,AG93,AF93))</f>
        <v> </v>
      </c>
      <c r="AI93" s="321" t="str">
        <f aca="false">IF($A93="N/A"," ",(VLOOKUP($A93,OffPwrVolTable,(IF(VolBMO3=2,7,IF(VolBMO3=1,6,8))),FALSE())))</f>
        <v> </v>
      </c>
      <c r="AJ93" s="321" t="str">
        <f aca="false">IF($A93="N/A"," ",(VLOOKUP($A93,OffPwrVolTable,(IF(VolBMO3=2,3,IF(VolBMO3=1,2,4))),FALSE())*VLOOKUP(MONTH($A93),Volscale,2)))</f>
        <v> </v>
      </c>
      <c r="AK93" s="321" t="str">
        <f aca="false">IF($A93="N/A"," ",IF(VolType3=1,AJ93,AI93))</f>
        <v> </v>
      </c>
      <c r="AL93" s="321" t="str">
        <f aca="false">IF($A93="N/A"," ",IF(PV=1,0,'Pricing Inputs3'!R126))</f>
        <v> </v>
      </c>
      <c r="AM93" s="323" t="str">
        <f aca="false">IF($A93="N/A"," ",(1+AL93/2)^(-2*((EOMONTH(A93,0)+20)-DateToday)/365.25))</f>
        <v> </v>
      </c>
      <c r="BQ93" s="0" t="str">
        <f aca="false">IF($A93="N/A"," ",(VLOOKUP($A93,NumberofDaysTable,2)))</f>
        <v> </v>
      </c>
      <c r="BR93" s="0" t="str">
        <f aca="false">IF($A93="N/A"," ",(VLOOKUP($A93,NumberofDaysTable,3)))</f>
        <v> </v>
      </c>
      <c r="BS93" s="0" t="str">
        <f aca="false">IF($A93="N/A"," ",(VLOOKUP($A93,NumberofDaysTable,4)))</f>
        <v> </v>
      </c>
    </row>
    <row r="94" customFormat="false" ht="12.75" hidden="false" customHeight="false" outlineLevel="0" collapsed="false">
      <c r="A94" s="315" t="str">
        <f aca="false">IF(A93="N/A","N/A",IF(EDATE(A93,1)&gt;Inputs!$Q$5,"N/A",EDATE(A93,1)))</f>
        <v>N/A</v>
      </c>
      <c r="B94" s="316" t="str">
        <f aca="false">IF(A94="N/A"," ",YEAR(A94))</f>
        <v> </v>
      </c>
      <c r="C94" s="317" t="str">
        <f aca="false">IF($A94="N/A"," ",IF(Dayrun3=10,0,IF(Scaler3=1,(VLOOKUP(A94,ScaledPrice3,4)),(VLOOKUP(A94,ScaledPrice3,2)))))</f>
        <v> </v>
      </c>
      <c r="D94" s="317" t="str">
        <f aca="false">IF(A94="N/A"," ",IF(Dayrun3&gt;=7,0,IF(Scaler3=2,VLOOKUP(A94,ScaledPrice3,2),(VLOOKUP(A94,ScaledPrice3,2))*(2-(VLOOKUP(A94,ScaledPrice3,3))))))</f>
        <v> </v>
      </c>
      <c r="E94" s="317" t="str">
        <f aca="false">IF($A94="N/A"," ",IF(AND(Dayrun3&gt;=4,Dayrun3&lt;=9),0,VLOOKUP($A94,ScaledPrice3,9)))</f>
        <v> </v>
      </c>
      <c r="F94" s="317" t="str">
        <f aca="false">IF(A94="N/A"," ",IF(OR(Dayrun3=2,Dayrun3=3,Dayrun3=5,Dayrun3=6,Dayrun3=8,Dayrun3=9),VLOOKUP(A94,ScaledPrice3,IF(Scaler3=1,6,5)),0))</f>
        <v> </v>
      </c>
      <c r="G94" s="317" t="str">
        <f aca="false">IF(A94="N/A"," ",IF(OR(Dayrun3=2,Dayrun3=3,Dayrun3=5,Dayrun3=6),IF(Scaler3=2,F94,(VLOOKUP(A94,ScaledPrice3,5))*(2-(VLOOKUP(A94,ScaledPrice3,3)))),0))</f>
        <v> </v>
      </c>
      <c r="H94" s="317" t="str">
        <f aca="false">IF($A94="N/A"," ",IF(OR(Dayrun3=2,Dayrun3=3,Dayrun3=10),VLOOKUP($A94,ScaledPrice3,9),0))</f>
        <v> </v>
      </c>
      <c r="I94" s="317" t="str">
        <f aca="false">IF(A94="N/A"," ",IF(OR(Dayrun3=3,Dayrun3=6,Dayrun3=9),(VLOOKUP(A94,ScaledPrice3,IF(Scaler3=2,7,8))),0))</f>
        <v> </v>
      </c>
      <c r="J94" s="317" t="str">
        <f aca="false">IF(A94="N/A"," ",IF(OR(Dayrun3=3,Dayrun3=6),IF(Scaler3=2,I94,(VLOOKUP(A94,ScaledPrice3,7))*(2-(VLOOKUP(A94,ScaledPrice3,3)))),0))</f>
        <v> </v>
      </c>
      <c r="K94" s="317" t="str">
        <f aca="false">IF($A94="N/A"," ",IF(OR(Dayrun3=3,Dayrun3=10),VLOOKUP($A94,ScaledPrice3,9),0))</f>
        <v> </v>
      </c>
      <c r="L94" s="318" t="str">
        <f aca="false">IF($A94="N/A"," ",IF(Pricetype3=2,MAX(C94,0),IF(OR(Pricetype3=1,Pricetype3=4),IF(C94=0,0,(EURO(C94,Strikeprice3,0,0,($AH94+IF(Smile=TRUE(),VLOOKUP(MAX(-5,Strikeprice3-C94),Volsmile,2),0)),($A94-DateToday)+15,IF(Pricetype3=1,1,0),0))),C94)))</f>
        <v> </v>
      </c>
      <c r="M94" s="318" t="str">
        <f aca="false">IF($A94="N/A"," ",IF(Pricetype3=2,MAX(D94,0),IF(OR(Pricetype3=1,Pricetype3=4),IF(D94=0,0,(EURO(D94,Strikeprice3,0,0,($AH94+IF(Smile=TRUE(),VLOOKUP(MAX(-5,Strikeprice3-D94),Volsmile,2),0)),($A94-DateToday)+15,IF(Pricetype3=1,1,0),0))),D94)))</f>
        <v> </v>
      </c>
      <c r="N94" s="318" t="str">
        <f aca="false">IF($A94="N/A"," ",IF(Pricetype3=2,MAX(E94,0),IF(OR(Pricetype3=1,Pricetype3=4),IF(E94=0,0,(EURO(E94,Strikeprice3,0,0,($AK94+IF(Smile=TRUE(),VLOOKUP(MAX(-5,Strikeprice3-E94),Volsmile,2),0)),($A94-DateToday)+15,IF(Pricetype3=1,1,0),0))),E94)))</f>
        <v> </v>
      </c>
      <c r="O94" s="318" t="str">
        <f aca="false">IF($A94="N/A"," ",IF(Pricetype3=2,MAX(F94,0),IF(OR(Pricetype3=1,Pricetype3=4),IF(F94=0,0,(EURO(F94,Strikeprice3,0,0,($AK94+IF(Smile=TRUE(),VLOOKUP(MAX(-5,Strikeprice3-F94),Volsmile,2),0)),($A94-DateToday)+15,IF(Pricetype3=1,1,0),0))),F94)))</f>
        <v> </v>
      </c>
      <c r="P94" s="318" t="str">
        <f aca="false">IF($A94="N/A"," ",IF(Pricetype3=2,MAX(G94,0),IF(OR(Pricetype3=1,Pricetype3=4),IF(G94=0,0,(EURO(G94,Strikeprice3,0,0,($AK94+IF(Smile=TRUE(),VLOOKUP(MAX(-5,Strikeprice3-G94),Volsmile,2),0)),($A94-DateToday)+15,IF(Pricetype3=1,1,0),0))),G94)))</f>
        <v> </v>
      </c>
      <c r="Q94" s="318" t="str">
        <f aca="false">IF($A94="N/A"," ",IF(Pricetype3=2,MAX(H94,0),IF(OR(Pricetype3=1,Pricetype3=4),IF(H94=0,0,(EURO(H94,Strikeprice3,0,0,($AK94+IF(Smile=TRUE(),VLOOKUP(MAX(-5,Strikeprice3-H94),Volsmile,2),0)),($A94-DateToday)+15,IF(Pricetype3=1,1,0),0))),H94)))</f>
        <v> </v>
      </c>
      <c r="R94" s="318" t="str">
        <f aca="false">IF($A94="N/A"," ",IF(Pricetype3=2,MAX(I94,0),IF(OR(Pricetype3=1,Pricetype3=4),IF(I94=0,0,(EURO(I94,Strikeprice3,0,0,($AK94+IF(Smile=TRUE(),VLOOKUP(MAX(-5,Strikeprice3-I94),Volsmile,2),0)),($A94-DateToday)+15,IF(Pricetype3=1,1,0),0))),I94)))</f>
        <v> </v>
      </c>
      <c r="S94" s="318" t="str">
        <f aca="false">IF($A94="N/A"," ",IF(Pricetype3=2,MAX(J94,0),IF(OR(Pricetype3=1,Pricetype3=4),IF(J94=0,0,(EURO(J94,Strikeprice3,0,0,($AK94+IF(Smile=TRUE(),VLOOKUP(MAX(-5,Strikeprice3-J94),Volsmile,2),0)),($A94-DateToday)+15,IF(Pricetype3=1,1,0),0))),J94)))</f>
        <v> </v>
      </c>
      <c r="T94" s="318" t="str">
        <f aca="false">IF($A94="N/A"," ",IF(Pricetype3=2,MAX(K94,0),IF(OR(Pricetype3=1,Pricetype3=4),IF(K94=0,0,(EURO(K94,Strikeprice3,0,0,($AK94+IF(Smile=TRUE(),VLOOKUP(MAX(-5,Strikeprice3-K94),Volsmile,2),0)),($A94-DateToday)+15,IF(Pricetype3=1,1,0),0))),K94)))</f>
        <v> </v>
      </c>
      <c r="U94" s="319" t="str">
        <f aca="false">IF($A94="N/A"," ",Volume3*$AM94)</f>
        <v> </v>
      </c>
      <c r="V94" s="320" t="str">
        <f aca="false">IF($A94="N/A"," ",$U94*(8*($BQ94))*L94)</f>
        <v> </v>
      </c>
      <c r="W94" s="320" t="str">
        <f aca="false">IF($A94="N/A"," ",$U94*(8*($BQ94))*M94)</f>
        <v> </v>
      </c>
      <c r="X94" s="320" t="str">
        <f aca="false">IF($A94="N/A"," ",$U94*(8*($BQ94))*N94)</f>
        <v> </v>
      </c>
      <c r="Y94" s="320" t="str">
        <f aca="false">IF($A94="N/A"," ",$U94*(8*($BR94))*O94)</f>
        <v> </v>
      </c>
      <c r="Z94" s="320" t="str">
        <f aca="false">IF($A94="N/A"," ",$U94*(8*($BR94))*P94)</f>
        <v> </v>
      </c>
      <c r="AA94" s="320" t="str">
        <f aca="false">IF($A94="N/A"," ",$U94*(8*($BR94))*Q94)</f>
        <v> </v>
      </c>
      <c r="AB94" s="320" t="str">
        <f aca="false">IF($A94="N/A"," ",$U94*(8*($BS94))*R94)</f>
        <v> </v>
      </c>
      <c r="AC94" s="320" t="str">
        <f aca="false">IF($A94="N/A"," ",$U94*(8*($BS94))*S94)</f>
        <v> </v>
      </c>
      <c r="AD94" s="320" t="str">
        <f aca="false">IF($A94="N/A"," ",$U94*(8*($BS94))*T94)</f>
        <v> </v>
      </c>
      <c r="AE94" s="320" t="str">
        <f aca="false">IF($A94="N/A"," ",SUM(V94:AD94))</f>
        <v> </v>
      </c>
      <c r="AF94" s="321" t="str">
        <f aca="false">IF(A94="N/A"," ",(VLOOKUP(A94,PowerVolTable,(IF(VolBMO3=2,7,IF(VolBMO3=1,6,8))),FALSE())))</f>
        <v> </v>
      </c>
      <c r="AG94" s="321" t="str">
        <f aca="false">IF(A94="N/A"," ",(VLOOKUP(A94,IntraPowerVol,(IF(VolBMO3=2,3,IF(VolBMO3=1,2,4))),FALSE())*VLOOKUP(MONTH($A94),Volscale,2)))</f>
        <v> </v>
      </c>
      <c r="AH94" s="321" t="str">
        <f aca="false">IF($A94="N/A"," ",IF(VolType3=1,AG94,AF94))</f>
        <v> </v>
      </c>
      <c r="AI94" s="321" t="str">
        <f aca="false">IF($A94="N/A"," ",(VLOOKUP($A94,OffPwrVolTable,(IF(VolBMO3=2,7,IF(VolBMO3=1,6,8))),FALSE())))</f>
        <v> </v>
      </c>
      <c r="AJ94" s="321" t="str">
        <f aca="false">IF($A94="N/A"," ",(VLOOKUP($A94,OffPwrVolTable,(IF(VolBMO3=2,3,IF(VolBMO3=1,2,4))),FALSE())*VLOOKUP(MONTH($A94),Volscale,2)))</f>
        <v> </v>
      </c>
      <c r="AK94" s="321" t="str">
        <f aca="false">IF($A94="N/A"," ",IF(VolType3=1,AJ94,AI94))</f>
        <v> </v>
      </c>
      <c r="AL94" s="321" t="str">
        <f aca="false">IF($A94="N/A"," ",IF(PV=1,0,'Pricing Inputs3'!R127))</f>
        <v> </v>
      </c>
      <c r="AM94" s="323" t="str">
        <f aca="false">IF($A94="N/A"," ",(1+AL94/2)^(-2*((EOMONTH(A94,0)+20)-DateToday)/365.25))</f>
        <v> </v>
      </c>
      <c r="BQ94" s="0" t="str">
        <f aca="false">IF($A94="N/A"," ",(VLOOKUP($A94,NumberofDaysTable,2)))</f>
        <v> </v>
      </c>
      <c r="BR94" s="0" t="str">
        <f aca="false">IF($A94="N/A"," ",(VLOOKUP($A94,NumberofDaysTable,3)))</f>
        <v> </v>
      </c>
      <c r="BS94" s="0" t="str">
        <f aca="false">IF($A94="N/A"," ",(VLOOKUP($A94,NumberofDaysTable,4)))</f>
        <v> </v>
      </c>
    </row>
    <row r="95" customFormat="false" ht="12.75" hidden="false" customHeight="false" outlineLevel="0" collapsed="false">
      <c r="A95" s="315" t="str">
        <f aca="false">IF(A94="N/A","N/A",IF(EDATE(A94,1)&gt;Inputs!$Q$5,"N/A",EDATE(A94,1)))</f>
        <v>N/A</v>
      </c>
      <c r="B95" s="316" t="str">
        <f aca="false">IF(A95="N/A"," ",YEAR(A95))</f>
        <v> </v>
      </c>
      <c r="C95" s="317" t="str">
        <f aca="false">IF($A95="N/A"," ",IF(Dayrun3=10,0,IF(Scaler3=1,(VLOOKUP(A95,ScaledPrice3,4)),(VLOOKUP(A95,ScaledPrice3,2)))))</f>
        <v> </v>
      </c>
      <c r="D95" s="317" t="str">
        <f aca="false">IF(A95="N/A"," ",IF(Dayrun3&gt;=7,0,IF(Scaler3=2,VLOOKUP(A95,ScaledPrice3,2),(VLOOKUP(A95,ScaledPrice3,2))*(2-(VLOOKUP(A95,ScaledPrice3,3))))))</f>
        <v> </v>
      </c>
      <c r="E95" s="317" t="str">
        <f aca="false">IF($A95="N/A"," ",IF(AND(Dayrun3&gt;=4,Dayrun3&lt;=9),0,VLOOKUP($A95,ScaledPrice3,9)))</f>
        <v> </v>
      </c>
      <c r="F95" s="317" t="str">
        <f aca="false">IF(A95="N/A"," ",IF(OR(Dayrun3=2,Dayrun3=3,Dayrun3=5,Dayrun3=6,Dayrun3=8,Dayrun3=9),VLOOKUP(A95,ScaledPrice3,IF(Scaler3=1,6,5)),0))</f>
        <v> </v>
      </c>
      <c r="G95" s="317" t="str">
        <f aca="false">IF(A95="N/A"," ",IF(OR(Dayrun3=2,Dayrun3=3,Dayrun3=5,Dayrun3=6),IF(Scaler3=2,F95,(VLOOKUP(A95,ScaledPrice3,5))*(2-(VLOOKUP(A95,ScaledPrice3,3)))),0))</f>
        <v> </v>
      </c>
      <c r="H95" s="317" t="str">
        <f aca="false">IF($A95="N/A"," ",IF(OR(Dayrun3=2,Dayrun3=3,Dayrun3=10),VLOOKUP($A95,ScaledPrice3,9),0))</f>
        <v> </v>
      </c>
      <c r="I95" s="317" t="str">
        <f aca="false">IF(A95="N/A"," ",IF(OR(Dayrun3=3,Dayrun3=6,Dayrun3=9),(VLOOKUP(A95,ScaledPrice3,IF(Scaler3=2,7,8))),0))</f>
        <v> </v>
      </c>
      <c r="J95" s="317" t="str">
        <f aca="false">IF(A95="N/A"," ",IF(OR(Dayrun3=3,Dayrun3=6),IF(Scaler3=2,I95,(VLOOKUP(A95,ScaledPrice3,7))*(2-(VLOOKUP(A95,ScaledPrice3,3)))),0))</f>
        <v> </v>
      </c>
      <c r="K95" s="317" t="str">
        <f aca="false">IF($A95="N/A"," ",IF(OR(Dayrun3=3,Dayrun3=10),VLOOKUP($A95,ScaledPrice3,9),0))</f>
        <v> </v>
      </c>
      <c r="L95" s="318" t="str">
        <f aca="false">IF($A95="N/A"," ",IF(Pricetype3=2,MAX(C95,0),IF(OR(Pricetype3=1,Pricetype3=4),IF(C95=0,0,(EURO(C95,Strikeprice3,0,0,($AH95+IF(Smile=TRUE(),VLOOKUP(MAX(-5,Strikeprice3-C95),Volsmile,2),0)),($A95-DateToday)+15,IF(Pricetype3=1,1,0),0))),C95)))</f>
        <v> </v>
      </c>
      <c r="M95" s="318" t="str">
        <f aca="false">IF($A95="N/A"," ",IF(Pricetype3=2,MAX(D95,0),IF(OR(Pricetype3=1,Pricetype3=4),IF(D95=0,0,(EURO(D95,Strikeprice3,0,0,($AH95+IF(Smile=TRUE(),VLOOKUP(MAX(-5,Strikeprice3-D95),Volsmile,2),0)),($A95-DateToday)+15,IF(Pricetype3=1,1,0),0))),D95)))</f>
        <v> </v>
      </c>
      <c r="N95" s="318" t="str">
        <f aca="false">IF($A95="N/A"," ",IF(Pricetype3=2,MAX(E95,0),IF(OR(Pricetype3=1,Pricetype3=4),IF(E95=0,0,(EURO(E95,Strikeprice3,0,0,($AK95+IF(Smile=TRUE(),VLOOKUP(MAX(-5,Strikeprice3-E95),Volsmile,2),0)),($A95-DateToday)+15,IF(Pricetype3=1,1,0),0))),E95)))</f>
        <v> </v>
      </c>
      <c r="O95" s="318" t="str">
        <f aca="false">IF($A95="N/A"," ",IF(Pricetype3=2,MAX(F95,0),IF(OR(Pricetype3=1,Pricetype3=4),IF(F95=0,0,(EURO(F95,Strikeprice3,0,0,($AK95+IF(Smile=TRUE(),VLOOKUP(MAX(-5,Strikeprice3-F95),Volsmile,2),0)),($A95-DateToday)+15,IF(Pricetype3=1,1,0),0))),F95)))</f>
        <v> </v>
      </c>
      <c r="P95" s="318" t="str">
        <f aca="false">IF($A95="N/A"," ",IF(Pricetype3=2,MAX(G95,0),IF(OR(Pricetype3=1,Pricetype3=4),IF(G95=0,0,(EURO(G95,Strikeprice3,0,0,($AK95+IF(Smile=TRUE(),VLOOKUP(MAX(-5,Strikeprice3-G95),Volsmile,2),0)),($A95-DateToday)+15,IF(Pricetype3=1,1,0),0))),G95)))</f>
        <v> </v>
      </c>
      <c r="Q95" s="318" t="str">
        <f aca="false">IF($A95="N/A"," ",IF(Pricetype3=2,MAX(H95,0),IF(OR(Pricetype3=1,Pricetype3=4),IF(H95=0,0,(EURO(H95,Strikeprice3,0,0,($AK95+IF(Smile=TRUE(),VLOOKUP(MAX(-5,Strikeprice3-H95),Volsmile,2),0)),($A95-DateToday)+15,IF(Pricetype3=1,1,0),0))),H95)))</f>
        <v> </v>
      </c>
      <c r="R95" s="318" t="str">
        <f aca="false">IF($A95="N/A"," ",IF(Pricetype3=2,MAX(I95,0),IF(OR(Pricetype3=1,Pricetype3=4),IF(I95=0,0,(EURO(I95,Strikeprice3,0,0,($AK95+IF(Smile=TRUE(),VLOOKUP(MAX(-5,Strikeprice3-I95),Volsmile,2),0)),($A95-DateToday)+15,IF(Pricetype3=1,1,0),0))),I95)))</f>
        <v> </v>
      </c>
      <c r="S95" s="318" t="str">
        <f aca="false">IF($A95="N/A"," ",IF(Pricetype3=2,MAX(J95,0),IF(OR(Pricetype3=1,Pricetype3=4),IF(J95=0,0,(EURO(J95,Strikeprice3,0,0,($AK95+IF(Smile=TRUE(),VLOOKUP(MAX(-5,Strikeprice3-J95),Volsmile,2),0)),($A95-DateToday)+15,IF(Pricetype3=1,1,0),0))),J95)))</f>
        <v> </v>
      </c>
      <c r="T95" s="318" t="str">
        <f aca="false">IF($A95="N/A"," ",IF(Pricetype3=2,MAX(K95,0),IF(OR(Pricetype3=1,Pricetype3=4),IF(K95=0,0,(EURO(K95,Strikeprice3,0,0,($AK95+IF(Smile=TRUE(),VLOOKUP(MAX(-5,Strikeprice3-K95),Volsmile,2),0)),($A95-DateToday)+15,IF(Pricetype3=1,1,0),0))),K95)))</f>
        <v> </v>
      </c>
      <c r="U95" s="319" t="str">
        <f aca="false">IF($A95="N/A"," ",Volume3*$AM95)</f>
        <v> </v>
      </c>
      <c r="V95" s="320" t="str">
        <f aca="false">IF($A95="N/A"," ",$U95*(8*($BQ95))*L95)</f>
        <v> </v>
      </c>
      <c r="W95" s="320" t="str">
        <f aca="false">IF($A95="N/A"," ",$U95*(8*($BQ95))*M95)</f>
        <v> </v>
      </c>
      <c r="X95" s="320" t="str">
        <f aca="false">IF($A95="N/A"," ",$U95*(8*($BQ95))*N95)</f>
        <v> </v>
      </c>
      <c r="Y95" s="320" t="str">
        <f aca="false">IF($A95="N/A"," ",$U95*(8*($BR95))*O95)</f>
        <v> </v>
      </c>
      <c r="Z95" s="320" t="str">
        <f aca="false">IF($A95="N/A"," ",$U95*(8*($BR95))*P95)</f>
        <v> </v>
      </c>
      <c r="AA95" s="320" t="str">
        <f aca="false">IF($A95="N/A"," ",$U95*(8*($BR95))*Q95)</f>
        <v> </v>
      </c>
      <c r="AB95" s="320" t="str">
        <f aca="false">IF($A95="N/A"," ",$U95*(8*($BS95))*R95)</f>
        <v> </v>
      </c>
      <c r="AC95" s="320" t="str">
        <f aca="false">IF($A95="N/A"," ",$U95*(8*($BS95))*S95)</f>
        <v> </v>
      </c>
      <c r="AD95" s="320" t="str">
        <f aca="false">IF($A95="N/A"," ",$U95*(8*($BS95))*T95)</f>
        <v> </v>
      </c>
      <c r="AE95" s="320" t="str">
        <f aca="false">IF($A95="N/A"," ",SUM(V95:AD95))</f>
        <v> </v>
      </c>
      <c r="AF95" s="321" t="str">
        <f aca="false">IF(A95="N/A"," ",(VLOOKUP(A95,PowerVolTable,(IF(VolBMO3=2,7,IF(VolBMO3=1,6,8))),FALSE())))</f>
        <v> </v>
      </c>
      <c r="AG95" s="321" t="str">
        <f aca="false">IF(A95="N/A"," ",(VLOOKUP(A95,IntraPowerVol,(IF(VolBMO3=2,3,IF(VolBMO3=1,2,4))),FALSE())*VLOOKUP(MONTH($A95),Volscale,2)))</f>
        <v> </v>
      </c>
      <c r="AH95" s="321" t="str">
        <f aca="false">IF($A95="N/A"," ",IF(VolType3=1,AG95,AF95))</f>
        <v> </v>
      </c>
      <c r="AI95" s="321" t="str">
        <f aca="false">IF($A95="N/A"," ",(VLOOKUP($A95,OffPwrVolTable,(IF(VolBMO3=2,7,IF(VolBMO3=1,6,8))),FALSE())))</f>
        <v> </v>
      </c>
      <c r="AJ95" s="321" t="str">
        <f aca="false">IF($A95="N/A"," ",(VLOOKUP($A95,OffPwrVolTable,(IF(VolBMO3=2,3,IF(VolBMO3=1,2,4))),FALSE())*VLOOKUP(MONTH($A95),Volscale,2)))</f>
        <v> </v>
      </c>
      <c r="AK95" s="321" t="str">
        <f aca="false">IF($A95="N/A"," ",IF(VolType3=1,AJ95,AI95))</f>
        <v> </v>
      </c>
      <c r="AL95" s="321" t="str">
        <f aca="false">IF($A95="N/A"," ",IF(PV=1,0,'Pricing Inputs3'!R128))</f>
        <v> </v>
      </c>
      <c r="AM95" s="323" t="str">
        <f aca="false">IF($A95="N/A"," ",(1+AL95/2)^(-2*((EOMONTH(A95,0)+20)-DateToday)/365.25))</f>
        <v> </v>
      </c>
      <c r="BQ95" s="0" t="str">
        <f aca="false">IF($A95="N/A"," ",(VLOOKUP($A95,NumberofDaysTable,2)))</f>
        <v> </v>
      </c>
      <c r="BR95" s="0" t="str">
        <f aca="false">IF($A95="N/A"," ",(VLOOKUP($A95,NumberofDaysTable,3)))</f>
        <v> </v>
      </c>
      <c r="BS95" s="0" t="str">
        <f aca="false">IF($A95="N/A"," ",(VLOOKUP($A95,NumberofDaysTable,4)))</f>
        <v> </v>
      </c>
    </row>
    <row r="96" customFormat="false" ht="12.75" hidden="false" customHeight="false" outlineLevel="0" collapsed="false">
      <c r="A96" s="315" t="str">
        <f aca="false">IF(A95="N/A","N/A",IF(EDATE(A95,1)&gt;Inputs!$Q$5,"N/A",EDATE(A95,1)))</f>
        <v>N/A</v>
      </c>
      <c r="B96" s="316" t="str">
        <f aca="false">IF(A96="N/A"," ",YEAR(A96))</f>
        <v> </v>
      </c>
      <c r="C96" s="317" t="str">
        <f aca="false">IF($A96="N/A"," ",IF(Dayrun3=10,0,IF(Scaler3=1,(VLOOKUP(A96,ScaledPrice3,4)),(VLOOKUP(A96,ScaledPrice3,2)))))</f>
        <v> </v>
      </c>
      <c r="D96" s="317" t="str">
        <f aca="false">IF(A96="N/A"," ",IF(Dayrun3&gt;=7,0,IF(Scaler3=2,VLOOKUP(A96,ScaledPrice3,2),(VLOOKUP(A96,ScaledPrice3,2))*(2-(VLOOKUP(A96,ScaledPrice3,3))))))</f>
        <v> </v>
      </c>
      <c r="E96" s="317" t="str">
        <f aca="false">IF($A96="N/A"," ",IF(AND(Dayrun3&gt;=4,Dayrun3&lt;=9),0,VLOOKUP($A96,ScaledPrice3,9)))</f>
        <v> </v>
      </c>
      <c r="F96" s="317" t="str">
        <f aca="false">IF(A96="N/A"," ",IF(OR(Dayrun3=2,Dayrun3=3,Dayrun3=5,Dayrun3=6,Dayrun3=8,Dayrun3=9),VLOOKUP(A96,ScaledPrice3,IF(Scaler3=1,6,5)),0))</f>
        <v> </v>
      </c>
      <c r="G96" s="317" t="str">
        <f aca="false">IF(A96="N/A"," ",IF(OR(Dayrun3=2,Dayrun3=3,Dayrun3=5,Dayrun3=6),IF(Scaler3=2,F96,(VLOOKUP(A96,ScaledPrice3,5))*(2-(VLOOKUP(A96,ScaledPrice3,3)))),0))</f>
        <v> </v>
      </c>
      <c r="H96" s="317" t="str">
        <f aca="false">IF($A96="N/A"," ",IF(OR(Dayrun3=2,Dayrun3=3,Dayrun3=10),VLOOKUP($A96,ScaledPrice3,9),0))</f>
        <v> </v>
      </c>
      <c r="I96" s="317" t="str">
        <f aca="false">IF(A96="N/A"," ",IF(OR(Dayrun3=3,Dayrun3=6,Dayrun3=9),(VLOOKUP(A96,ScaledPrice3,IF(Scaler3=2,7,8))),0))</f>
        <v> </v>
      </c>
      <c r="J96" s="317" t="str">
        <f aca="false">IF(A96="N/A"," ",IF(OR(Dayrun3=3,Dayrun3=6),IF(Scaler3=2,I96,(VLOOKUP(A96,ScaledPrice3,7))*(2-(VLOOKUP(A96,ScaledPrice3,3)))),0))</f>
        <v> </v>
      </c>
      <c r="K96" s="317" t="str">
        <f aca="false">IF($A96="N/A"," ",IF(OR(Dayrun3=3,Dayrun3=10),VLOOKUP($A96,ScaledPrice3,9),0))</f>
        <v> </v>
      </c>
      <c r="L96" s="318" t="str">
        <f aca="false">IF($A96="N/A"," ",IF(Pricetype3=2,MAX(C96,0),IF(OR(Pricetype3=1,Pricetype3=4),IF(C96=0,0,(EURO(C96,Strikeprice3,0,0,($AH96+IF(Smile=TRUE(),VLOOKUP(MAX(-5,Strikeprice3-C96),Volsmile,2),0)),($A96-DateToday)+15,IF(Pricetype3=1,1,0),0))),C96)))</f>
        <v> </v>
      </c>
      <c r="M96" s="318" t="str">
        <f aca="false">IF($A96="N/A"," ",IF(Pricetype3=2,MAX(D96,0),IF(OR(Pricetype3=1,Pricetype3=4),IF(D96=0,0,(EURO(D96,Strikeprice3,0,0,($AH96+IF(Smile=TRUE(),VLOOKUP(MAX(-5,Strikeprice3-D96),Volsmile,2),0)),($A96-DateToday)+15,IF(Pricetype3=1,1,0),0))),D96)))</f>
        <v> </v>
      </c>
      <c r="N96" s="318" t="str">
        <f aca="false">IF($A96="N/A"," ",IF(Pricetype3=2,MAX(E96,0),IF(OR(Pricetype3=1,Pricetype3=4),IF(E96=0,0,(EURO(E96,Strikeprice3,0,0,($AK96+IF(Smile=TRUE(),VLOOKUP(MAX(-5,Strikeprice3-E96),Volsmile,2),0)),($A96-DateToday)+15,IF(Pricetype3=1,1,0),0))),E96)))</f>
        <v> </v>
      </c>
      <c r="O96" s="318" t="str">
        <f aca="false">IF($A96="N/A"," ",IF(Pricetype3=2,MAX(F96,0),IF(OR(Pricetype3=1,Pricetype3=4),IF(F96=0,0,(EURO(F96,Strikeprice3,0,0,($AK96+IF(Smile=TRUE(),VLOOKUP(MAX(-5,Strikeprice3-F96),Volsmile,2),0)),($A96-DateToday)+15,IF(Pricetype3=1,1,0),0))),F96)))</f>
        <v> </v>
      </c>
      <c r="P96" s="318" t="str">
        <f aca="false">IF($A96="N/A"," ",IF(Pricetype3=2,MAX(G96,0),IF(OR(Pricetype3=1,Pricetype3=4),IF(G96=0,0,(EURO(G96,Strikeprice3,0,0,($AK96+IF(Smile=TRUE(),VLOOKUP(MAX(-5,Strikeprice3-G96),Volsmile,2),0)),($A96-DateToday)+15,IF(Pricetype3=1,1,0),0))),G96)))</f>
        <v> </v>
      </c>
      <c r="Q96" s="318" t="str">
        <f aca="false">IF($A96="N/A"," ",IF(Pricetype3=2,MAX(H96,0),IF(OR(Pricetype3=1,Pricetype3=4),IF(H96=0,0,(EURO(H96,Strikeprice3,0,0,($AK96+IF(Smile=TRUE(),VLOOKUP(MAX(-5,Strikeprice3-H96),Volsmile,2),0)),($A96-DateToday)+15,IF(Pricetype3=1,1,0),0))),H96)))</f>
        <v> </v>
      </c>
      <c r="R96" s="318" t="str">
        <f aca="false">IF($A96="N/A"," ",IF(Pricetype3=2,MAX(I96,0),IF(OR(Pricetype3=1,Pricetype3=4),IF(I96=0,0,(EURO(I96,Strikeprice3,0,0,($AK96+IF(Smile=TRUE(),VLOOKUP(MAX(-5,Strikeprice3-I96),Volsmile,2),0)),($A96-DateToday)+15,IF(Pricetype3=1,1,0),0))),I96)))</f>
        <v> </v>
      </c>
      <c r="S96" s="318" t="str">
        <f aca="false">IF($A96="N/A"," ",IF(Pricetype3=2,MAX(J96,0),IF(OR(Pricetype3=1,Pricetype3=4),IF(J96=0,0,(EURO(J96,Strikeprice3,0,0,($AK96+IF(Smile=TRUE(),VLOOKUP(MAX(-5,Strikeprice3-J96),Volsmile,2),0)),($A96-DateToday)+15,IF(Pricetype3=1,1,0),0))),J96)))</f>
        <v> </v>
      </c>
      <c r="T96" s="318" t="str">
        <f aca="false">IF($A96="N/A"," ",IF(Pricetype3=2,MAX(K96,0),IF(OR(Pricetype3=1,Pricetype3=4),IF(K96=0,0,(EURO(K96,Strikeprice3,0,0,($AK96+IF(Smile=TRUE(),VLOOKUP(MAX(-5,Strikeprice3-K96),Volsmile,2),0)),($A96-DateToday)+15,IF(Pricetype3=1,1,0),0))),K96)))</f>
        <v> </v>
      </c>
      <c r="U96" s="319" t="str">
        <f aca="false">IF($A96="N/A"," ",Volume3*$AM96)</f>
        <v> </v>
      </c>
      <c r="V96" s="320" t="str">
        <f aca="false">IF($A96="N/A"," ",$U96*(8*($BQ96))*L96)</f>
        <v> </v>
      </c>
      <c r="W96" s="320" t="str">
        <f aca="false">IF($A96="N/A"," ",$U96*(8*($BQ96))*M96)</f>
        <v> </v>
      </c>
      <c r="X96" s="320" t="str">
        <f aca="false">IF($A96="N/A"," ",$U96*(8*($BQ96))*N96)</f>
        <v> </v>
      </c>
      <c r="Y96" s="320" t="str">
        <f aca="false">IF($A96="N/A"," ",$U96*(8*($BR96))*O96)</f>
        <v> </v>
      </c>
      <c r="Z96" s="320" t="str">
        <f aca="false">IF($A96="N/A"," ",$U96*(8*($BR96))*P96)</f>
        <v> </v>
      </c>
      <c r="AA96" s="320" t="str">
        <f aca="false">IF($A96="N/A"," ",$U96*(8*($BR96))*Q96)</f>
        <v> </v>
      </c>
      <c r="AB96" s="320" t="str">
        <f aca="false">IF($A96="N/A"," ",$U96*(8*($BS96))*R96)</f>
        <v> </v>
      </c>
      <c r="AC96" s="320" t="str">
        <f aca="false">IF($A96="N/A"," ",$U96*(8*($BS96))*S96)</f>
        <v> </v>
      </c>
      <c r="AD96" s="320" t="str">
        <f aca="false">IF($A96="N/A"," ",$U96*(8*($BS96))*T96)</f>
        <v> </v>
      </c>
      <c r="AE96" s="320" t="str">
        <f aca="false">IF($A96="N/A"," ",SUM(V96:AD96))</f>
        <v> </v>
      </c>
      <c r="AF96" s="321" t="str">
        <f aca="false">IF(A96="N/A"," ",(VLOOKUP(A96,PowerVolTable,(IF(VolBMO3=2,7,IF(VolBMO3=1,6,8))),FALSE())))</f>
        <v> </v>
      </c>
      <c r="AG96" s="321" t="str">
        <f aca="false">IF(A96="N/A"," ",(VLOOKUP(A96,IntraPowerVol,(IF(VolBMO3=2,3,IF(VolBMO3=1,2,4))),FALSE())*VLOOKUP(MONTH($A96),Volscale,2)))</f>
        <v> </v>
      </c>
      <c r="AH96" s="321" t="str">
        <f aca="false">IF($A96="N/A"," ",IF(VolType3=1,AG96,AF96))</f>
        <v> </v>
      </c>
      <c r="AI96" s="321" t="str">
        <f aca="false">IF($A96="N/A"," ",(VLOOKUP($A96,OffPwrVolTable,(IF(VolBMO3=2,7,IF(VolBMO3=1,6,8))),FALSE())))</f>
        <v> </v>
      </c>
      <c r="AJ96" s="321" t="str">
        <f aca="false">IF($A96="N/A"," ",(VLOOKUP($A96,OffPwrVolTable,(IF(VolBMO3=2,3,IF(VolBMO3=1,2,4))),FALSE())*VLOOKUP(MONTH($A96),Volscale,2)))</f>
        <v> </v>
      </c>
      <c r="AK96" s="321" t="str">
        <f aca="false">IF($A96="N/A"," ",IF(VolType3=1,AJ96,AI96))</f>
        <v> </v>
      </c>
      <c r="AL96" s="321" t="str">
        <f aca="false">IF($A96="N/A"," ",IF(PV=1,0,'Pricing Inputs3'!R129))</f>
        <v> </v>
      </c>
      <c r="AM96" s="323" t="str">
        <f aca="false">IF($A96="N/A"," ",(1+AL96/2)^(-2*((EOMONTH(A96,0)+20)-DateToday)/365.25))</f>
        <v> </v>
      </c>
      <c r="BQ96" s="0" t="str">
        <f aca="false">IF($A96="N/A"," ",(VLOOKUP($A96,NumberofDaysTable,2)))</f>
        <v> </v>
      </c>
      <c r="BR96" s="0" t="str">
        <f aca="false">IF($A96="N/A"," ",(VLOOKUP($A96,NumberofDaysTable,3)))</f>
        <v> </v>
      </c>
      <c r="BS96" s="0" t="str">
        <f aca="false">IF($A96="N/A"," ",(VLOOKUP($A96,NumberofDaysTable,4)))</f>
        <v> </v>
      </c>
    </row>
    <row r="97" customFormat="false" ht="12.75" hidden="false" customHeight="false" outlineLevel="0" collapsed="false">
      <c r="A97" s="315" t="str">
        <f aca="false">IF(A96="N/A","N/A",IF(EDATE(A96,1)&gt;Inputs!$Q$5,"N/A",EDATE(A96,1)))</f>
        <v>N/A</v>
      </c>
      <c r="B97" s="316" t="str">
        <f aca="false">IF(A97="N/A"," ",YEAR(A97))</f>
        <v> </v>
      </c>
      <c r="C97" s="317" t="str">
        <f aca="false">IF($A97="N/A"," ",IF(Dayrun3=10,0,IF(Scaler3=1,(VLOOKUP(A97,ScaledPrice3,4)),(VLOOKUP(A97,ScaledPrice3,2)))))</f>
        <v> </v>
      </c>
      <c r="D97" s="317" t="str">
        <f aca="false">IF(A97="N/A"," ",IF(Dayrun3&gt;=7,0,IF(Scaler3=2,VLOOKUP(A97,ScaledPrice3,2),(VLOOKUP(A97,ScaledPrice3,2))*(2-(VLOOKUP(A97,ScaledPrice3,3))))))</f>
        <v> </v>
      </c>
      <c r="E97" s="317" t="str">
        <f aca="false">IF($A97="N/A"," ",IF(AND(Dayrun3&gt;=4,Dayrun3&lt;=9),0,VLOOKUP($A97,ScaledPrice3,9)))</f>
        <v> </v>
      </c>
      <c r="F97" s="317" t="str">
        <f aca="false">IF(A97="N/A"," ",IF(OR(Dayrun3=2,Dayrun3=3,Dayrun3=5,Dayrun3=6,Dayrun3=8,Dayrun3=9),VLOOKUP(A97,ScaledPrice3,IF(Scaler3=1,6,5)),0))</f>
        <v> </v>
      </c>
      <c r="G97" s="317" t="str">
        <f aca="false">IF(A97="N/A"," ",IF(OR(Dayrun3=2,Dayrun3=3,Dayrun3=5,Dayrun3=6),IF(Scaler3=2,F97,(VLOOKUP(A97,ScaledPrice3,5))*(2-(VLOOKUP(A97,ScaledPrice3,3)))),0))</f>
        <v> </v>
      </c>
      <c r="H97" s="317" t="str">
        <f aca="false">IF($A97="N/A"," ",IF(OR(Dayrun3=2,Dayrun3=3,Dayrun3=10),VLOOKUP($A97,ScaledPrice3,9),0))</f>
        <v> </v>
      </c>
      <c r="I97" s="317" t="str">
        <f aca="false">IF(A97="N/A"," ",IF(OR(Dayrun3=3,Dayrun3=6,Dayrun3=9),(VLOOKUP(A97,ScaledPrice3,IF(Scaler3=2,7,8))),0))</f>
        <v> </v>
      </c>
      <c r="J97" s="317" t="str">
        <f aca="false">IF(A97="N/A"," ",IF(OR(Dayrun3=3,Dayrun3=6),IF(Scaler3=2,I97,(VLOOKUP(A97,ScaledPrice3,7))*(2-(VLOOKUP(A97,ScaledPrice3,3)))),0))</f>
        <v> </v>
      </c>
      <c r="K97" s="317" t="str">
        <f aca="false">IF($A97="N/A"," ",IF(OR(Dayrun3=3,Dayrun3=10),VLOOKUP($A97,ScaledPrice3,9),0))</f>
        <v> </v>
      </c>
      <c r="L97" s="318" t="str">
        <f aca="false">IF($A97="N/A"," ",IF(Pricetype3=2,MAX(C97,0),IF(OR(Pricetype3=1,Pricetype3=4),IF(C97=0,0,(EURO(C97,Strikeprice3,0,0,($AH97+IF(Smile=TRUE(),VLOOKUP(MAX(-5,Strikeprice3-C97),Volsmile,2),0)),($A97-DateToday)+15,IF(Pricetype3=1,1,0),0))),C97)))</f>
        <v> </v>
      </c>
      <c r="M97" s="318" t="str">
        <f aca="false">IF($A97="N/A"," ",IF(Pricetype3=2,MAX(D97,0),IF(OR(Pricetype3=1,Pricetype3=4),IF(D97=0,0,(EURO(D97,Strikeprice3,0,0,($AH97+IF(Smile=TRUE(),VLOOKUP(MAX(-5,Strikeprice3-D97),Volsmile,2),0)),($A97-DateToday)+15,IF(Pricetype3=1,1,0),0))),D97)))</f>
        <v> </v>
      </c>
      <c r="N97" s="318" t="str">
        <f aca="false">IF($A97="N/A"," ",IF(Pricetype3=2,MAX(E97,0),IF(OR(Pricetype3=1,Pricetype3=4),IF(E97=0,0,(EURO(E97,Strikeprice3,0,0,($AK97+IF(Smile=TRUE(),VLOOKUP(MAX(-5,Strikeprice3-E97),Volsmile,2),0)),($A97-DateToday)+15,IF(Pricetype3=1,1,0),0))),E97)))</f>
        <v> </v>
      </c>
      <c r="O97" s="318" t="str">
        <f aca="false">IF($A97="N/A"," ",IF(Pricetype3=2,MAX(F97,0),IF(OR(Pricetype3=1,Pricetype3=4),IF(F97=0,0,(EURO(F97,Strikeprice3,0,0,($AK97+IF(Smile=TRUE(),VLOOKUP(MAX(-5,Strikeprice3-F97),Volsmile,2),0)),($A97-DateToday)+15,IF(Pricetype3=1,1,0),0))),F97)))</f>
        <v> </v>
      </c>
      <c r="P97" s="318" t="str">
        <f aca="false">IF($A97="N/A"," ",IF(Pricetype3=2,MAX(G97,0),IF(OR(Pricetype3=1,Pricetype3=4),IF(G97=0,0,(EURO(G97,Strikeprice3,0,0,($AK97+IF(Smile=TRUE(),VLOOKUP(MAX(-5,Strikeprice3-G97),Volsmile,2),0)),($A97-DateToday)+15,IF(Pricetype3=1,1,0),0))),G97)))</f>
        <v> </v>
      </c>
      <c r="Q97" s="318" t="str">
        <f aca="false">IF($A97="N/A"," ",IF(Pricetype3=2,MAX(H97,0),IF(OR(Pricetype3=1,Pricetype3=4),IF(H97=0,0,(EURO(H97,Strikeprice3,0,0,($AK97+IF(Smile=TRUE(),VLOOKUP(MAX(-5,Strikeprice3-H97),Volsmile,2),0)),($A97-DateToday)+15,IF(Pricetype3=1,1,0),0))),H97)))</f>
        <v> </v>
      </c>
      <c r="R97" s="318" t="str">
        <f aca="false">IF($A97="N/A"," ",IF(Pricetype3=2,MAX(I97,0),IF(OR(Pricetype3=1,Pricetype3=4),IF(I97=0,0,(EURO(I97,Strikeprice3,0,0,($AK97+IF(Smile=TRUE(),VLOOKUP(MAX(-5,Strikeprice3-I97),Volsmile,2),0)),($A97-DateToday)+15,IF(Pricetype3=1,1,0),0))),I97)))</f>
        <v> </v>
      </c>
      <c r="S97" s="318" t="str">
        <f aca="false">IF($A97="N/A"," ",IF(Pricetype3=2,MAX(J97,0),IF(OR(Pricetype3=1,Pricetype3=4),IF(J97=0,0,(EURO(J97,Strikeprice3,0,0,($AK97+IF(Smile=TRUE(),VLOOKUP(MAX(-5,Strikeprice3-J97),Volsmile,2),0)),($A97-DateToday)+15,IF(Pricetype3=1,1,0),0))),J97)))</f>
        <v> </v>
      </c>
      <c r="T97" s="318" t="str">
        <f aca="false">IF($A97="N/A"," ",IF(Pricetype3=2,MAX(K97,0),IF(OR(Pricetype3=1,Pricetype3=4),IF(K97=0,0,(EURO(K97,Strikeprice3,0,0,($AK97+IF(Smile=TRUE(),VLOOKUP(MAX(-5,Strikeprice3-K97),Volsmile,2),0)),($A97-DateToday)+15,IF(Pricetype3=1,1,0),0))),K97)))</f>
        <v> </v>
      </c>
      <c r="U97" s="319" t="str">
        <f aca="false">IF($A97="N/A"," ",Volume3*$AM97)</f>
        <v> </v>
      </c>
      <c r="V97" s="320" t="str">
        <f aca="false">IF($A97="N/A"," ",$U97*(8*($BQ97))*L97)</f>
        <v> </v>
      </c>
      <c r="W97" s="320" t="str">
        <f aca="false">IF($A97="N/A"," ",$U97*(8*($BQ97))*M97)</f>
        <v> </v>
      </c>
      <c r="X97" s="320" t="str">
        <f aca="false">IF($A97="N/A"," ",$U97*(8*($BQ97))*N97)</f>
        <v> </v>
      </c>
      <c r="Y97" s="320" t="str">
        <f aca="false">IF($A97="N/A"," ",$U97*(8*($BR97))*O97)</f>
        <v> </v>
      </c>
      <c r="Z97" s="320" t="str">
        <f aca="false">IF($A97="N/A"," ",$U97*(8*($BR97))*P97)</f>
        <v> </v>
      </c>
      <c r="AA97" s="320" t="str">
        <f aca="false">IF($A97="N/A"," ",$U97*(8*($BR97))*Q97)</f>
        <v> </v>
      </c>
      <c r="AB97" s="320" t="str">
        <f aca="false">IF($A97="N/A"," ",$U97*(8*($BS97))*R97)</f>
        <v> </v>
      </c>
      <c r="AC97" s="320" t="str">
        <f aca="false">IF($A97="N/A"," ",$U97*(8*($BS97))*S97)</f>
        <v> </v>
      </c>
      <c r="AD97" s="320" t="str">
        <f aca="false">IF($A97="N/A"," ",$U97*(8*($BS97))*T97)</f>
        <v> </v>
      </c>
      <c r="AE97" s="320" t="str">
        <f aca="false">IF($A97="N/A"," ",SUM(V97:AD97))</f>
        <v> </v>
      </c>
      <c r="AF97" s="321" t="str">
        <f aca="false">IF(A97="N/A"," ",(VLOOKUP(A97,PowerVolTable,(IF(VolBMO3=2,7,IF(VolBMO3=1,6,8))),FALSE())))</f>
        <v> </v>
      </c>
      <c r="AG97" s="321" t="str">
        <f aca="false">IF(A97="N/A"," ",(VLOOKUP(A97,IntraPowerVol,(IF(VolBMO3=2,3,IF(VolBMO3=1,2,4))),FALSE())*VLOOKUP(MONTH($A97),Volscale,2)))</f>
        <v> </v>
      </c>
      <c r="AH97" s="321" t="str">
        <f aca="false">IF($A97="N/A"," ",IF(VolType3=1,AG97,AF97))</f>
        <v> </v>
      </c>
      <c r="AI97" s="321" t="str">
        <f aca="false">IF($A97="N/A"," ",(VLOOKUP($A97,OffPwrVolTable,(IF(VolBMO3=2,7,IF(VolBMO3=1,6,8))),FALSE())))</f>
        <v> </v>
      </c>
      <c r="AJ97" s="321" t="str">
        <f aca="false">IF($A97="N/A"," ",(VLOOKUP($A97,OffPwrVolTable,(IF(VolBMO3=2,3,IF(VolBMO3=1,2,4))),FALSE())*VLOOKUP(MONTH($A97),Volscale,2)))</f>
        <v> </v>
      </c>
      <c r="AK97" s="321" t="str">
        <f aca="false">IF($A97="N/A"," ",IF(VolType3=1,AJ97,AI97))</f>
        <v> </v>
      </c>
      <c r="AL97" s="321" t="str">
        <f aca="false">IF($A97="N/A"," ",IF(PV=1,0,'Pricing Inputs3'!R130))</f>
        <v> </v>
      </c>
      <c r="AM97" s="323" t="str">
        <f aca="false">IF($A97="N/A"," ",(1+AL97/2)^(-2*((EOMONTH(A97,0)+20)-DateToday)/365.25))</f>
        <v> </v>
      </c>
      <c r="BQ97" s="0" t="str">
        <f aca="false">IF($A97="N/A"," ",(VLOOKUP($A97,NumberofDaysTable,2)))</f>
        <v> </v>
      </c>
      <c r="BR97" s="0" t="str">
        <f aca="false">IF($A97="N/A"," ",(VLOOKUP($A97,NumberofDaysTable,3)))</f>
        <v> </v>
      </c>
      <c r="BS97" s="0" t="str">
        <f aca="false">IF($A97="N/A"," ",(VLOOKUP($A97,NumberofDaysTable,4)))</f>
        <v> </v>
      </c>
    </row>
    <row r="98" customFormat="false" ht="12.75" hidden="false" customHeight="false" outlineLevel="0" collapsed="false">
      <c r="A98" s="315" t="str">
        <f aca="false">IF(A97="N/A","N/A",IF(EDATE(A97,1)&gt;Inputs!$Q$5,"N/A",EDATE(A97,1)))</f>
        <v>N/A</v>
      </c>
      <c r="B98" s="316" t="str">
        <f aca="false">IF(A98="N/A"," ",YEAR(A98))</f>
        <v> </v>
      </c>
      <c r="C98" s="317" t="str">
        <f aca="false">IF($A98="N/A"," ",IF(Dayrun3=10,0,IF(Scaler3=1,(VLOOKUP(A98,ScaledPrice3,4)),(VLOOKUP(A98,ScaledPrice3,2)))))</f>
        <v> </v>
      </c>
      <c r="D98" s="317" t="str">
        <f aca="false">IF(A98="N/A"," ",IF(Dayrun3&gt;=7,0,IF(Scaler3=2,VLOOKUP(A98,ScaledPrice3,2),(VLOOKUP(A98,ScaledPrice3,2))*(2-(VLOOKUP(A98,ScaledPrice3,3))))))</f>
        <v> </v>
      </c>
      <c r="E98" s="317" t="str">
        <f aca="false">IF($A98="N/A"," ",IF(AND(Dayrun3&gt;=4,Dayrun3&lt;=9),0,VLOOKUP($A98,ScaledPrice3,9)))</f>
        <v> </v>
      </c>
      <c r="F98" s="317" t="str">
        <f aca="false">IF(A98="N/A"," ",IF(OR(Dayrun3=2,Dayrun3=3,Dayrun3=5,Dayrun3=6,Dayrun3=8,Dayrun3=9),VLOOKUP(A98,ScaledPrice3,IF(Scaler3=1,6,5)),0))</f>
        <v> </v>
      </c>
      <c r="G98" s="317" t="str">
        <f aca="false">IF(A98="N/A"," ",IF(OR(Dayrun3=2,Dayrun3=3,Dayrun3=5,Dayrun3=6),IF(Scaler3=2,F98,(VLOOKUP(A98,ScaledPrice3,5))*(2-(VLOOKUP(A98,ScaledPrice3,3)))),0))</f>
        <v> </v>
      </c>
      <c r="H98" s="317" t="str">
        <f aca="false">IF($A98="N/A"," ",IF(OR(Dayrun3=2,Dayrun3=3,Dayrun3=10),VLOOKUP($A98,ScaledPrice3,9),0))</f>
        <v> </v>
      </c>
      <c r="I98" s="317" t="str">
        <f aca="false">IF(A98="N/A"," ",IF(OR(Dayrun3=3,Dayrun3=6,Dayrun3=9),(VLOOKUP(A98,ScaledPrice3,IF(Scaler3=2,7,8))),0))</f>
        <v> </v>
      </c>
      <c r="J98" s="317" t="str">
        <f aca="false">IF(A98="N/A"," ",IF(OR(Dayrun3=3,Dayrun3=6),IF(Scaler3=2,I98,(VLOOKUP(A98,ScaledPrice3,7))*(2-(VLOOKUP(A98,ScaledPrice3,3)))),0))</f>
        <v> </v>
      </c>
      <c r="K98" s="317" t="str">
        <f aca="false">IF($A98="N/A"," ",IF(OR(Dayrun3=3,Dayrun3=10),VLOOKUP($A98,ScaledPrice3,9),0))</f>
        <v> </v>
      </c>
      <c r="L98" s="318" t="str">
        <f aca="false">IF($A98="N/A"," ",IF(Pricetype3=2,MAX(C98,0),IF(OR(Pricetype3=1,Pricetype3=4),IF(C98=0,0,(EURO(C98,Strikeprice3,0,0,($AH98+IF(Smile=TRUE(),VLOOKUP(MAX(-5,Strikeprice3-C98),Volsmile,2),0)),($A98-DateToday)+15,IF(Pricetype3=1,1,0),0))),C98)))</f>
        <v> </v>
      </c>
      <c r="M98" s="318" t="str">
        <f aca="false">IF($A98="N/A"," ",IF(Pricetype3=2,MAX(D98,0),IF(OR(Pricetype3=1,Pricetype3=4),IF(D98=0,0,(EURO(D98,Strikeprice3,0,0,($AH98+IF(Smile=TRUE(),VLOOKUP(MAX(-5,Strikeprice3-D98),Volsmile,2),0)),($A98-DateToday)+15,IF(Pricetype3=1,1,0),0))),D98)))</f>
        <v> </v>
      </c>
      <c r="N98" s="318" t="str">
        <f aca="false">IF($A98="N/A"," ",IF(Pricetype3=2,MAX(E98,0),IF(OR(Pricetype3=1,Pricetype3=4),IF(E98=0,0,(EURO(E98,Strikeprice3,0,0,($AK98+IF(Smile=TRUE(),VLOOKUP(MAX(-5,Strikeprice3-E98),Volsmile,2),0)),($A98-DateToday)+15,IF(Pricetype3=1,1,0),0))),E98)))</f>
        <v> </v>
      </c>
      <c r="O98" s="318" t="str">
        <f aca="false">IF($A98="N/A"," ",IF(Pricetype3=2,MAX(F98,0),IF(OR(Pricetype3=1,Pricetype3=4),IF(F98=0,0,(EURO(F98,Strikeprice3,0,0,($AK98+IF(Smile=TRUE(),VLOOKUP(MAX(-5,Strikeprice3-F98),Volsmile,2),0)),($A98-DateToday)+15,IF(Pricetype3=1,1,0),0))),F98)))</f>
        <v> </v>
      </c>
      <c r="P98" s="318" t="str">
        <f aca="false">IF($A98="N/A"," ",IF(Pricetype3=2,MAX(G98,0),IF(OR(Pricetype3=1,Pricetype3=4),IF(G98=0,0,(EURO(G98,Strikeprice3,0,0,($AK98+IF(Smile=TRUE(),VLOOKUP(MAX(-5,Strikeprice3-G98),Volsmile,2),0)),($A98-DateToday)+15,IF(Pricetype3=1,1,0),0))),G98)))</f>
        <v> </v>
      </c>
      <c r="Q98" s="318" t="str">
        <f aca="false">IF($A98="N/A"," ",IF(Pricetype3=2,MAX(H98,0),IF(OR(Pricetype3=1,Pricetype3=4),IF(H98=0,0,(EURO(H98,Strikeprice3,0,0,($AK98+IF(Smile=TRUE(),VLOOKUP(MAX(-5,Strikeprice3-H98),Volsmile,2),0)),($A98-DateToday)+15,IF(Pricetype3=1,1,0),0))),H98)))</f>
        <v> </v>
      </c>
      <c r="R98" s="318" t="str">
        <f aca="false">IF($A98="N/A"," ",IF(Pricetype3=2,MAX(I98,0),IF(OR(Pricetype3=1,Pricetype3=4),IF(I98=0,0,(EURO(I98,Strikeprice3,0,0,($AK98+IF(Smile=TRUE(),VLOOKUP(MAX(-5,Strikeprice3-I98),Volsmile,2),0)),($A98-DateToday)+15,IF(Pricetype3=1,1,0),0))),I98)))</f>
        <v> </v>
      </c>
      <c r="S98" s="318" t="str">
        <f aca="false">IF($A98="N/A"," ",IF(Pricetype3=2,MAX(J98,0),IF(OR(Pricetype3=1,Pricetype3=4),IF(J98=0,0,(EURO(J98,Strikeprice3,0,0,($AK98+IF(Smile=TRUE(),VLOOKUP(MAX(-5,Strikeprice3-J98),Volsmile,2),0)),($A98-DateToday)+15,IF(Pricetype3=1,1,0),0))),J98)))</f>
        <v> </v>
      </c>
      <c r="T98" s="318" t="str">
        <f aca="false">IF($A98="N/A"," ",IF(Pricetype3=2,MAX(K98,0),IF(OR(Pricetype3=1,Pricetype3=4),IF(K98=0,0,(EURO(K98,Strikeprice3,0,0,($AK98+IF(Smile=TRUE(),VLOOKUP(MAX(-5,Strikeprice3-K98),Volsmile,2),0)),($A98-DateToday)+15,IF(Pricetype3=1,1,0),0))),K98)))</f>
        <v> </v>
      </c>
      <c r="U98" s="319" t="str">
        <f aca="false">IF($A98="N/A"," ",Volume3*$AM98)</f>
        <v> </v>
      </c>
      <c r="V98" s="320" t="str">
        <f aca="false">IF($A98="N/A"," ",$U98*(8*($BQ98))*L98)</f>
        <v> </v>
      </c>
      <c r="W98" s="320" t="str">
        <f aca="false">IF($A98="N/A"," ",$U98*(8*($BQ98))*M98)</f>
        <v> </v>
      </c>
      <c r="X98" s="320" t="str">
        <f aca="false">IF($A98="N/A"," ",$U98*(8*($BQ98))*N98)</f>
        <v> </v>
      </c>
      <c r="Y98" s="320" t="str">
        <f aca="false">IF($A98="N/A"," ",$U98*(8*($BR98))*O98)</f>
        <v> </v>
      </c>
      <c r="Z98" s="320" t="str">
        <f aca="false">IF($A98="N/A"," ",$U98*(8*($BR98))*P98)</f>
        <v> </v>
      </c>
      <c r="AA98" s="320" t="str">
        <f aca="false">IF($A98="N/A"," ",$U98*(8*($BR98))*Q98)</f>
        <v> </v>
      </c>
      <c r="AB98" s="320" t="str">
        <f aca="false">IF($A98="N/A"," ",$U98*(8*($BS98))*R98)</f>
        <v> </v>
      </c>
      <c r="AC98" s="320" t="str">
        <f aca="false">IF($A98="N/A"," ",$U98*(8*($BS98))*S98)</f>
        <v> </v>
      </c>
      <c r="AD98" s="320" t="str">
        <f aca="false">IF($A98="N/A"," ",$U98*(8*($BS98))*T98)</f>
        <v> </v>
      </c>
      <c r="AE98" s="320" t="str">
        <f aca="false">IF($A98="N/A"," ",SUM(V98:AD98))</f>
        <v> </v>
      </c>
      <c r="AF98" s="321" t="str">
        <f aca="false">IF(A98="N/A"," ",(VLOOKUP(A98,PowerVolTable,(IF(VolBMO3=2,7,IF(VolBMO3=1,6,8))),FALSE())))</f>
        <v> </v>
      </c>
      <c r="AG98" s="321" t="str">
        <f aca="false">IF(A98="N/A"," ",(VLOOKUP(A98,IntraPowerVol,(IF(VolBMO3=2,3,IF(VolBMO3=1,2,4))),FALSE())*VLOOKUP(MONTH($A98),Volscale,2)))</f>
        <v> </v>
      </c>
      <c r="AH98" s="321" t="str">
        <f aca="false">IF($A98="N/A"," ",IF(VolType3=1,AG98,AF98))</f>
        <v> </v>
      </c>
      <c r="AI98" s="321" t="str">
        <f aca="false">IF($A98="N/A"," ",(VLOOKUP($A98,OffPwrVolTable,(IF(VolBMO3=2,7,IF(VolBMO3=1,6,8))),FALSE())))</f>
        <v> </v>
      </c>
      <c r="AJ98" s="321" t="str">
        <f aca="false">IF($A98="N/A"," ",(VLOOKUP($A98,OffPwrVolTable,(IF(VolBMO3=2,3,IF(VolBMO3=1,2,4))),FALSE())*VLOOKUP(MONTH($A98),Volscale,2)))</f>
        <v> </v>
      </c>
      <c r="AK98" s="321" t="str">
        <f aca="false">IF($A98="N/A"," ",IF(VolType3=1,AJ98,AI98))</f>
        <v> </v>
      </c>
      <c r="AL98" s="321" t="str">
        <f aca="false">IF($A98="N/A"," ",IF(PV=1,0,'Pricing Inputs3'!R131))</f>
        <v> </v>
      </c>
      <c r="AM98" s="323" t="str">
        <f aca="false">IF($A98="N/A"," ",(1+AL98/2)^(-2*((EOMONTH(A98,0)+20)-DateToday)/365.25))</f>
        <v> </v>
      </c>
      <c r="BQ98" s="0" t="str">
        <f aca="false">IF($A98="N/A"," ",(VLOOKUP($A98,NumberofDaysTable,2)))</f>
        <v> </v>
      </c>
      <c r="BR98" s="0" t="str">
        <f aca="false">IF($A98="N/A"," ",(VLOOKUP($A98,NumberofDaysTable,3)))</f>
        <v> </v>
      </c>
      <c r="BS98" s="0" t="str">
        <f aca="false">IF($A98="N/A"," ",(VLOOKUP($A98,NumberofDaysTable,4)))</f>
        <v> </v>
      </c>
    </row>
    <row r="99" customFormat="false" ht="12.75" hidden="false" customHeight="false" outlineLevel="0" collapsed="false">
      <c r="A99" s="315" t="str">
        <f aca="false">IF(A98="N/A","N/A",IF(EDATE(A98,1)&gt;Inputs!$Q$5,"N/A",EDATE(A98,1)))</f>
        <v>N/A</v>
      </c>
      <c r="B99" s="316" t="str">
        <f aca="false">IF(A99="N/A"," ",YEAR(A99))</f>
        <v> </v>
      </c>
      <c r="C99" s="317" t="str">
        <f aca="false">IF($A99="N/A"," ",IF(Dayrun3=10,0,IF(Scaler3=1,(VLOOKUP(A99,ScaledPrice3,4)),(VLOOKUP(A99,ScaledPrice3,2)))))</f>
        <v> </v>
      </c>
      <c r="D99" s="317" t="str">
        <f aca="false">IF(A99="N/A"," ",IF(Dayrun3&gt;=7,0,IF(Scaler3=2,VLOOKUP(A99,ScaledPrice3,2),(VLOOKUP(A99,ScaledPrice3,2))*(2-(VLOOKUP(A99,ScaledPrice3,3))))))</f>
        <v> </v>
      </c>
      <c r="E99" s="317" t="str">
        <f aca="false">IF($A99="N/A"," ",IF(AND(Dayrun3&gt;=4,Dayrun3&lt;=9),0,VLOOKUP($A99,ScaledPrice3,9)))</f>
        <v> </v>
      </c>
      <c r="F99" s="317" t="str">
        <f aca="false">IF(A99="N/A"," ",IF(OR(Dayrun3=2,Dayrun3=3,Dayrun3=5,Dayrun3=6,Dayrun3=8,Dayrun3=9),VLOOKUP(A99,ScaledPrice3,IF(Scaler3=1,6,5)),0))</f>
        <v> </v>
      </c>
      <c r="G99" s="317" t="str">
        <f aca="false">IF(A99="N/A"," ",IF(OR(Dayrun3=2,Dayrun3=3,Dayrun3=5,Dayrun3=6),IF(Scaler3=2,F99,(VLOOKUP(A99,ScaledPrice3,5))*(2-(VLOOKUP(A99,ScaledPrice3,3)))),0))</f>
        <v> </v>
      </c>
      <c r="H99" s="317" t="str">
        <f aca="false">IF($A99="N/A"," ",IF(OR(Dayrun3=2,Dayrun3=3,Dayrun3=10),VLOOKUP($A99,ScaledPrice3,9),0))</f>
        <v> </v>
      </c>
      <c r="I99" s="317" t="str">
        <f aca="false">IF(A99="N/A"," ",IF(OR(Dayrun3=3,Dayrun3=6,Dayrun3=9),(VLOOKUP(A99,ScaledPrice3,IF(Scaler3=2,7,8))),0))</f>
        <v> </v>
      </c>
      <c r="J99" s="317" t="str">
        <f aca="false">IF(A99="N/A"," ",IF(OR(Dayrun3=3,Dayrun3=6),IF(Scaler3=2,I99,(VLOOKUP(A99,ScaledPrice3,7))*(2-(VLOOKUP(A99,ScaledPrice3,3)))),0))</f>
        <v> </v>
      </c>
      <c r="K99" s="317" t="str">
        <f aca="false">IF($A99="N/A"," ",IF(OR(Dayrun3=3,Dayrun3=10),VLOOKUP($A99,ScaledPrice3,9),0))</f>
        <v> </v>
      </c>
      <c r="L99" s="318" t="str">
        <f aca="false">IF($A99="N/A"," ",IF(Pricetype3=2,MAX(C99,0),IF(OR(Pricetype3=1,Pricetype3=4),IF(C99=0,0,(EURO(C99,Strikeprice3,0,0,($AH99+IF(Smile=TRUE(),VLOOKUP(MAX(-5,Strikeprice3-C99),Volsmile,2),0)),($A99-DateToday)+15,IF(Pricetype3=1,1,0),0))),C99)))</f>
        <v> </v>
      </c>
      <c r="M99" s="318" t="str">
        <f aca="false">IF($A99="N/A"," ",IF(Pricetype3=2,MAX(D99,0),IF(OR(Pricetype3=1,Pricetype3=4),IF(D99=0,0,(EURO(D99,Strikeprice3,0,0,($AH99+IF(Smile=TRUE(),VLOOKUP(MAX(-5,Strikeprice3-D99),Volsmile,2),0)),($A99-DateToday)+15,IF(Pricetype3=1,1,0),0))),D99)))</f>
        <v> </v>
      </c>
      <c r="N99" s="318" t="str">
        <f aca="false">IF($A99="N/A"," ",IF(Pricetype3=2,MAX(E99,0),IF(OR(Pricetype3=1,Pricetype3=4),IF(E99=0,0,(EURO(E99,Strikeprice3,0,0,($AK99+IF(Smile=TRUE(),VLOOKUP(MAX(-5,Strikeprice3-E99),Volsmile,2),0)),($A99-DateToday)+15,IF(Pricetype3=1,1,0),0))),E99)))</f>
        <v> </v>
      </c>
      <c r="O99" s="318" t="str">
        <f aca="false">IF($A99="N/A"," ",IF(Pricetype3=2,MAX(F99,0),IF(OR(Pricetype3=1,Pricetype3=4),IF(F99=0,0,(EURO(F99,Strikeprice3,0,0,($AK99+IF(Smile=TRUE(),VLOOKUP(MAX(-5,Strikeprice3-F99),Volsmile,2),0)),($A99-DateToday)+15,IF(Pricetype3=1,1,0),0))),F99)))</f>
        <v> </v>
      </c>
      <c r="P99" s="318" t="str">
        <f aca="false">IF($A99="N/A"," ",IF(Pricetype3=2,MAX(G99,0),IF(OR(Pricetype3=1,Pricetype3=4),IF(G99=0,0,(EURO(G99,Strikeprice3,0,0,($AK99+IF(Smile=TRUE(),VLOOKUP(MAX(-5,Strikeprice3-G99),Volsmile,2),0)),($A99-DateToday)+15,IF(Pricetype3=1,1,0),0))),G99)))</f>
        <v> </v>
      </c>
      <c r="Q99" s="318" t="str">
        <f aca="false">IF($A99="N/A"," ",IF(Pricetype3=2,MAX(H99,0),IF(OR(Pricetype3=1,Pricetype3=4),IF(H99=0,0,(EURO(H99,Strikeprice3,0,0,($AK99+IF(Smile=TRUE(),VLOOKUP(MAX(-5,Strikeprice3-H99),Volsmile,2),0)),($A99-DateToday)+15,IF(Pricetype3=1,1,0),0))),H99)))</f>
        <v> </v>
      </c>
      <c r="R99" s="318" t="str">
        <f aca="false">IF($A99="N/A"," ",IF(Pricetype3=2,MAX(I99,0),IF(OR(Pricetype3=1,Pricetype3=4),IF(I99=0,0,(EURO(I99,Strikeprice3,0,0,($AK99+IF(Smile=TRUE(),VLOOKUP(MAX(-5,Strikeprice3-I99),Volsmile,2),0)),($A99-DateToday)+15,IF(Pricetype3=1,1,0),0))),I99)))</f>
        <v> </v>
      </c>
      <c r="S99" s="318" t="str">
        <f aca="false">IF($A99="N/A"," ",IF(Pricetype3=2,MAX(J99,0),IF(OR(Pricetype3=1,Pricetype3=4),IF(J99=0,0,(EURO(J99,Strikeprice3,0,0,($AK99+IF(Smile=TRUE(),VLOOKUP(MAX(-5,Strikeprice3-J99),Volsmile,2),0)),($A99-DateToday)+15,IF(Pricetype3=1,1,0),0))),J99)))</f>
        <v> </v>
      </c>
      <c r="T99" s="318" t="str">
        <f aca="false">IF($A99="N/A"," ",IF(Pricetype3=2,MAX(K99,0),IF(OR(Pricetype3=1,Pricetype3=4),IF(K99=0,0,(EURO(K99,Strikeprice3,0,0,($AK99+IF(Smile=TRUE(),VLOOKUP(MAX(-5,Strikeprice3-K99),Volsmile,2),0)),($A99-DateToday)+15,IF(Pricetype3=1,1,0),0))),K99)))</f>
        <v> </v>
      </c>
      <c r="U99" s="319" t="str">
        <f aca="false">IF($A99="N/A"," ",Volume3*$AM99)</f>
        <v> </v>
      </c>
      <c r="V99" s="320" t="str">
        <f aca="false">IF($A99="N/A"," ",$U99*(8*($BQ99))*L99)</f>
        <v> </v>
      </c>
      <c r="W99" s="320" t="str">
        <f aca="false">IF($A99="N/A"," ",$U99*(8*($BQ99))*M99)</f>
        <v> </v>
      </c>
      <c r="X99" s="320" t="str">
        <f aca="false">IF($A99="N/A"," ",$U99*(8*($BQ99))*N99)</f>
        <v> </v>
      </c>
      <c r="Y99" s="320" t="str">
        <f aca="false">IF($A99="N/A"," ",$U99*(8*($BR99))*O99)</f>
        <v> </v>
      </c>
      <c r="Z99" s="320" t="str">
        <f aca="false">IF($A99="N/A"," ",$U99*(8*($BR99))*P99)</f>
        <v> </v>
      </c>
      <c r="AA99" s="320" t="str">
        <f aca="false">IF($A99="N/A"," ",$U99*(8*($BR99))*Q99)</f>
        <v> </v>
      </c>
      <c r="AB99" s="320" t="str">
        <f aca="false">IF($A99="N/A"," ",$U99*(8*($BS99))*R99)</f>
        <v> </v>
      </c>
      <c r="AC99" s="320" t="str">
        <f aca="false">IF($A99="N/A"," ",$U99*(8*($BS99))*S99)</f>
        <v> </v>
      </c>
      <c r="AD99" s="320" t="str">
        <f aca="false">IF($A99="N/A"," ",$U99*(8*($BS99))*T99)</f>
        <v> </v>
      </c>
      <c r="AE99" s="320" t="str">
        <f aca="false">IF($A99="N/A"," ",SUM(V99:AD99))</f>
        <v> </v>
      </c>
      <c r="AF99" s="321" t="str">
        <f aca="false">IF(A99="N/A"," ",(VLOOKUP(A99,PowerVolTable,(IF(VolBMO3=2,7,IF(VolBMO3=1,6,8))),FALSE())))</f>
        <v> </v>
      </c>
      <c r="AG99" s="321" t="str">
        <f aca="false">IF(A99="N/A"," ",(VLOOKUP(A99,IntraPowerVol,(IF(VolBMO3=2,3,IF(VolBMO3=1,2,4))),FALSE())*VLOOKUP(MONTH($A99),Volscale,2)))</f>
        <v> </v>
      </c>
      <c r="AH99" s="321" t="str">
        <f aca="false">IF($A99="N/A"," ",IF(VolType3=1,AG99,AF99))</f>
        <v> </v>
      </c>
      <c r="AI99" s="321" t="str">
        <f aca="false">IF($A99="N/A"," ",(VLOOKUP($A99,OffPwrVolTable,(IF(VolBMO3=2,7,IF(VolBMO3=1,6,8))),FALSE())))</f>
        <v> </v>
      </c>
      <c r="AJ99" s="321" t="str">
        <f aca="false">IF($A99="N/A"," ",(VLOOKUP($A99,OffPwrVolTable,(IF(VolBMO3=2,3,IF(VolBMO3=1,2,4))),FALSE())*VLOOKUP(MONTH($A99),Volscale,2)))</f>
        <v> </v>
      </c>
      <c r="AK99" s="321" t="str">
        <f aca="false">IF($A99="N/A"," ",IF(VolType3=1,AJ99,AI99))</f>
        <v> </v>
      </c>
      <c r="AL99" s="321" t="str">
        <f aca="false">IF($A99="N/A"," ",IF(PV=1,0,'Pricing Inputs3'!R132))</f>
        <v> </v>
      </c>
      <c r="AM99" s="323" t="str">
        <f aca="false">IF($A99="N/A"," ",(1+AL99/2)^(-2*((EOMONTH(A99,0)+20)-DateToday)/365.25))</f>
        <v> </v>
      </c>
      <c r="BQ99" s="0" t="str">
        <f aca="false">IF($A99="N/A"," ",(VLOOKUP($A99,NumberofDaysTable,2)))</f>
        <v> </v>
      </c>
      <c r="BR99" s="0" t="str">
        <f aca="false">IF($A99="N/A"," ",(VLOOKUP($A99,NumberofDaysTable,3)))</f>
        <v> </v>
      </c>
      <c r="BS99" s="0" t="str">
        <f aca="false">IF($A99="N/A"," ",(VLOOKUP($A99,NumberofDaysTable,4)))</f>
        <v> </v>
      </c>
    </row>
    <row r="100" customFormat="false" ht="12.75" hidden="false" customHeight="false" outlineLevel="0" collapsed="false">
      <c r="A100" s="315" t="str">
        <f aca="false">IF(A99="N/A","N/A",IF(EDATE(A99,1)&gt;Inputs!$Q$5,"N/A",EDATE(A99,1)))</f>
        <v>N/A</v>
      </c>
      <c r="B100" s="316" t="str">
        <f aca="false">IF(A100="N/A"," ",YEAR(A100))</f>
        <v> </v>
      </c>
      <c r="C100" s="317" t="str">
        <f aca="false">IF($A100="N/A"," ",IF(Dayrun3=10,0,IF(Scaler3=1,(VLOOKUP(A100,ScaledPrice3,4)),(VLOOKUP(A100,ScaledPrice3,2)))))</f>
        <v> </v>
      </c>
      <c r="D100" s="317" t="str">
        <f aca="false">IF(A100="N/A"," ",IF(Dayrun3&gt;=7,0,IF(Scaler3=2,VLOOKUP(A100,ScaledPrice3,2),(VLOOKUP(A100,ScaledPrice3,2))*(2-(VLOOKUP(A100,ScaledPrice3,3))))))</f>
        <v> </v>
      </c>
      <c r="E100" s="317" t="str">
        <f aca="false">IF($A100="N/A"," ",IF(AND(Dayrun3&gt;=4,Dayrun3&lt;=9),0,VLOOKUP($A100,ScaledPrice3,9)))</f>
        <v> </v>
      </c>
      <c r="F100" s="317" t="str">
        <f aca="false">IF(A100="N/A"," ",IF(OR(Dayrun3=2,Dayrun3=3,Dayrun3=5,Dayrun3=6,Dayrun3=8,Dayrun3=9),VLOOKUP(A100,ScaledPrice3,IF(Scaler3=1,6,5)),0))</f>
        <v> </v>
      </c>
      <c r="G100" s="317" t="str">
        <f aca="false">IF(A100="N/A"," ",IF(OR(Dayrun3=2,Dayrun3=3,Dayrun3=5,Dayrun3=6),IF(Scaler3=2,F100,(VLOOKUP(A100,ScaledPrice3,5))*(2-(VLOOKUP(A100,ScaledPrice3,3)))),0))</f>
        <v> </v>
      </c>
      <c r="H100" s="317" t="str">
        <f aca="false">IF($A100="N/A"," ",IF(OR(Dayrun3=2,Dayrun3=3,Dayrun3=10),VLOOKUP($A100,ScaledPrice3,9),0))</f>
        <v> </v>
      </c>
      <c r="I100" s="317" t="str">
        <f aca="false">IF(A100="N/A"," ",IF(OR(Dayrun3=3,Dayrun3=6,Dayrun3=9),(VLOOKUP(A100,ScaledPrice3,IF(Scaler3=2,7,8))),0))</f>
        <v> </v>
      </c>
      <c r="J100" s="317" t="str">
        <f aca="false">IF(A100="N/A"," ",IF(OR(Dayrun3=3,Dayrun3=6),IF(Scaler3=2,I100,(VLOOKUP(A100,ScaledPrice3,7))*(2-(VLOOKUP(A100,ScaledPrice3,3)))),0))</f>
        <v> </v>
      </c>
      <c r="K100" s="317" t="str">
        <f aca="false">IF($A100="N/A"," ",IF(OR(Dayrun3=3,Dayrun3=10),VLOOKUP($A100,ScaledPrice3,9),0))</f>
        <v> </v>
      </c>
      <c r="L100" s="318" t="str">
        <f aca="false">IF($A100="N/A"," ",IF(Pricetype3=2,MAX(C100,0),IF(OR(Pricetype3=1,Pricetype3=4),IF(C100=0,0,(EURO(C100,Strikeprice3,0,0,($AH100+IF(Smile=TRUE(),VLOOKUP(MAX(-5,Strikeprice3-C100),Volsmile,2),0)),($A100-DateToday)+15,IF(Pricetype3=1,1,0),0))),C100)))</f>
        <v> </v>
      </c>
      <c r="M100" s="318" t="str">
        <f aca="false">IF($A100="N/A"," ",IF(Pricetype3=2,MAX(D100,0),IF(OR(Pricetype3=1,Pricetype3=4),IF(D100=0,0,(EURO(D100,Strikeprice3,0,0,($AH100+IF(Smile=TRUE(),VLOOKUP(MAX(-5,Strikeprice3-D100),Volsmile,2),0)),($A100-DateToday)+15,IF(Pricetype3=1,1,0),0))),D100)))</f>
        <v> </v>
      </c>
      <c r="N100" s="318" t="str">
        <f aca="false">IF($A100="N/A"," ",IF(Pricetype3=2,MAX(E100,0),IF(OR(Pricetype3=1,Pricetype3=4),IF(E100=0,0,(EURO(E100,Strikeprice3,0,0,($AK100+IF(Smile=TRUE(),VLOOKUP(MAX(-5,Strikeprice3-E100),Volsmile,2),0)),($A100-DateToday)+15,IF(Pricetype3=1,1,0),0))),E100)))</f>
        <v> </v>
      </c>
      <c r="O100" s="318" t="str">
        <f aca="false">IF($A100="N/A"," ",IF(Pricetype3=2,MAX(F100,0),IF(OR(Pricetype3=1,Pricetype3=4),IF(F100=0,0,(EURO(F100,Strikeprice3,0,0,($AK100+IF(Smile=TRUE(),VLOOKUP(MAX(-5,Strikeprice3-F100),Volsmile,2),0)),($A100-DateToday)+15,IF(Pricetype3=1,1,0),0))),F100)))</f>
        <v> </v>
      </c>
      <c r="P100" s="318" t="str">
        <f aca="false">IF($A100="N/A"," ",IF(Pricetype3=2,MAX(G100,0),IF(OR(Pricetype3=1,Pricetype3=4),IF(G100=0,0,(EURO(G100,Strikeprice3,0,0,($AK100+IF(Smile=TRUE(),VLOOKUP(MAX(-5,Strikeprice3-G100),Volsmile,2),0)),($A100-DateToday)+15,IF(Pricetype3=1,1,0),0))),G100)))</f>
        <v> </v>
      </c>
      <c r="Q100" s="318" t="str">
        <f aca="false">IF($A100="N/A"," ",IF(Pricetype3=2,MAX(H100,0),IF(OR(Pricetype3=1,Pricetype3=4),IF(H100=0,0,(EURO(H100,Strikeprice3,0,0,($AK100+IF(Smile=TRUE(),VLOOKUP(MAX(-5,Strikeprice3-H100),Volsmile,2),0)),($A100-DateToday)+15,IF(Pricetype3=1,1,0),0))),H100)))</f>
        <v> </v>
      </c>
      <c r="R100" s="318" t="str">
        <f aca="false">IF($A100="N/A"," ",IF(Pricetype3=2,MAX(I100,0),IF(OR(Pricetype3=1,Pricetype3=4),IF(I100=0,0,(EURO(I100,Strikeprice3,0,0,($AK100+IF(Smile=TRUE(),VLOOKUP(MAX(-5,Strikeprice3-I100),Volsmile,2),0)),($A100-DateToday)+15,IF(Pricetype3=1,1,0),0))),I100)))</f>
        <v> </v>
      </c>
      <c r="S100" s="318" t="str">
        <f aca="false">IF($A100="N/A"," ",IF(Pricetype3=2,MAX(J100,0),IF(OR(Pricetype3=1,Pricetype3=4),IF(J100=0,0,(EURO(J100,Strikeprice3,0,0,($AK100+IF(Smile=TRUE(),VLOOKUP(MAX(-5,Strikeprice3-J100),Volsmile,2),0)),($A100-DateToday)+15,IF(Pricetype3=1,1,0),0))),J100)))</f>
        <v> </v>
      </c>
      <c r="T100" s="318" t="str">
        <f aca="false">IF($A100="N/A"," ",IF(Pricetype3=2,MAX(K100,0),IF(OR(Pricetype3=1,Pricetype3=4),IF(K100=0,0,(EURO(K100,Strikeprice3,0,0,($AK100+IF(Smile=TRUE(),VLOOKUP(MAX(-5,Strikeprice3-K100),Volsmile,2),0)),($A100-DateToday)+15,IF(Pricetype3=1,1,0),0))),K100)))</f>
        <v> </v>
      </c>
      <c r="U100" s="319" t="str">
        <f aca="false">IF($A100="N/A"," ",Volume3*$AM100)</f>
        <v> </v>
      </c>
      <c r="V100" s="320" t="str">
        <f aca="false">IF($A100="N/A"," ",$U100*(8*($BQ100))*L100)</f>
        <v> </v>
      </c>
      <c r="W100" s="320" t="str">
        <f aca="false">IF($A100="N/A"," ",$U100*(8*($BQ100))*M100)</f>
        <v> </v>
      </c>
      <c r="X100" s="320" t="str">
        <f aca="false">IF($A100="N/A"," ",$U100*(8*($BQ100))*N100)</f>
        <v> </v>
      </c>
      <c r="Y100" s="320" t="str">
        <f aca="false">IF($A100="N/A"," ",$U100*(8*($BR100))*O100)</f>
        <v> </v>
      </c>
      <c r="Z100" s="320" t="str">
        <f aca="false">IF($A100="N/A"," ",$U100*(8*($BR100))*P100)</f>
        <v> </v>
      </c>
      <c r="AA100" s="320" t="str">
        <f aca="false">IF($A100="N/A"," ",$U100*(8*($BR100))*Q100)</f>
        <v> </v>
      </c>
      <c r="AB100" s="320" t="str">
        <f aca="false">IF($A100="N/A"," ",$U100*(8*($BS100))*R100)</f>
        <v> </v>
      </c>
      <c r="AC100" s="320" t="str">
        <f aca="false">IF($A100="N/A"," ",$U100*(8*($BS100))*S100)</f>
        <v> </v>
      </c>
      <c r="AD100" s="320" t="str">
        <f aca="false">IF($A100="N/A"," ",$U100*(8*($BS100))*T100)</f>
        <v> </v>
      </c>
      <c r="AE100" s="320" t="str">
        <f aca="false">IF($A100="N/A"," ",SUM(V100:AD100))</f>
        <v> </v>
      </c>
      <c r="AF100" s="321" t="str">
        <f aca="false">IF(A100="N/A"," ",(VLOOKUP(A100,PowerVolTable,(IF(VolBMO3=2,7,IF(VolBMO3=1,6,8))),FALSE())))</f>
        <v> </v>
      </c>
      <c r="AG100" s="321" t="str">
        <f aca="false">IF(A100="N/A"," ",(VLOOKUP(A100,IntraPowerVol,(IF(VolBMO3=2,3,IF(VolBMO3=1,2,4))),FALSE())*VLOOKUP(MONTH($A100),Volscale,2)))</f>
        <v> </v>
      </c>
      <c r="AH100" s="321" t="str">
        <f aca="false">IF($A100="N/A"," ",IF(VolType3=1,AG100,AF100))</f>
        <v> </v>
      </c>
      <c r="AI100" s="321" t="str">
        <f aca="false">IF($A100="N/A"," ",(VLOOKUP($A100,OffPwrVolTable,(IF(VolBMO3=2,7,IF(VolBMO3=1,6,8))),FALSE())))</f>
        <v> </v>
      </c>
      <c r="AJ100" s="321" t="str">
        <f aca="false">IF($A100="N/A"," ",(VLOOKUP($A100,OffPwrVolTable,(IF(VolBMO3=2,3,IF(VolBMO3=1,2,4))),FALSE())*VLOOKUP(MONTH($A100),Volscale,2)))</f>
        <v> </v>
      </c>
      <c r="AK100" s="321" t="str">
        <f aca="false">IF($A100="N/A"," ",IF(VolType3=1,AJ100,AI100))</f>
        <v> </v>
      </c>
      <c r="AL100" s="321" t="str">
        <f aca="false">IF($A100="N/A"," ",IF(PV=1,0,'Pricing Inputs3'!R133))</f>
        <v> </v>
      </c>
      <c r="AM100" s="323" t="str">
        <f aca="false">IF($A100="N/A"," ",(1+AL100/2)^(-2*((EOMONTH(A100,0)+20)-DateToday)/365.25))</f>
        <v> </v>
      </c>
      <c r="BQ100" s="0" t="str">
        <f aca="false">IF($A100="N/A"," ",(VLOOKUP($A100,NumberofDaysTable,2)))</f>
        <v> </v>
      </c>
      <c r="BR100" s="0" t="str">
        <f aca="false">IF($A100="N/A"," ",(VLOOKUP($A100,NumberofDaysTable,3)))</f>
        <v> </v>
      </c>
      <c r="BS100" s="0" t="str">
        <f aca="false">IF($A100="N/A"," ",(VLOOKUP($A100,NumberofDaysTable,4)))</f>
        <v> </v>
      </c>
    </row>
    <row r="101" customFormat="false" ht="12.75" hidden="false" customHeight="false" outlineLevel="0" collapsed="false">
      <c r="A101" s="315" t="str">
        <f aca="false">IF(A100="N/A","N/A",IF(EDATE(A100,1)&gt;Inputs!$Q$5,"N/A",EDATE(A100,1)))</f>
        <v>N/A</v>
      </c>
      <c r="B101" s="316" t="str">
        <f aca="false">IF(A101="N/A"," ",YEAR(A101))</f>
        <v> </v>
      </c>
      <c r="C101" s="317" t="str">
        <f aca="false">IF($A101="N/A"," ",IF(Dayrun3=10,0,IF(Scaler3=1,(VLOOKUP(A101,ScaledPrice3,4)),(VLOOKUP(A101,ScaledPrice3,2)))))</f>
        <v> </v>
      </c>
      <c r="D101" s="317" t="str">
        <f aca="false">IF(A101="N/A"," ",IF(Dayrun3&gt;=7,0,IF(Scaler3=2,VLOOKUP(A101,ScaledPrice3,2),(VLOOKUP(A101,ScaledPrice3,2))*(2-(VLOOKUP(A101,ScaledPrice3,3))))))</f>
        <v> </v>
      </c>
      <c r="E101" s="317" t="str">
        <f aca="false">IF($A101="N/A"," ",IF(AND(Dayrun3&gt;=4,Dayrun3&lt;=9),0,VLOOKUP($A101,ScaledPrice3,9)))</f>
        <v> </v>
      </c>
      <c r="F101" s="317" t="str">
        <f aca="false">IF(A101="N/A"," ",IF(OR(Dayrun3=2,Dayrun3=3,Dayrun3=5,Dayrun3=6,Dayrun3=8,Dayrun3=9),VLOOKUP(A101,ScaledPrice3,IF(Scaler3=1,6,5)),0))</f>
        <v> </v>
      </c>
      <c r="G101" s="317" t="str">
        <f aca="false">IF(A101="N/A"," ",IF(OR(Dayrun3=2,Dayrun3=3,Dayrun3=5,Dayrun3=6),IF(Scaler3=2,F101,(VLOOKUP(A101,ScaledPrice3,5))*(2-(VLOOKUP(A101,ScaledPrice3,3)))),0))</f>
        <v> </v>
      </c>
      <c r="H101" s="317" t="str">
        <f aca="false">IF($A101="N/A"," ",IF(OR(Dayrun3=2,Dayrun3=3,Dayrun3=10),VLOOKUP($A101,ScaledPrice3,9),0))</f>
        <v> </v>
      </c>
      <c r="I101" s="317" t="str">
        <f aca="false">IF(A101="N/A"," ",IF(OR(Dayrun3=3,Dayrun3=6,Dayrun3=9),(VLOOKUP(A101,ScaledPrice3,IF(Scaler3=2,7,8))),0))</f>
        <v> </v>
      </c>
      <c r="J101" s="317" t="str">
        <f aca="false">IF(A101="N/A"," ",IF(OR(Dayrun3=3,Dayrun3=6),IF(Scaler3=2,I101,(VLOOKUP(A101,ScaledPrice3,7))*(2-(VLOOKUP(A101,ScaledPrice3,3)))),0))</f>
        <v> </v>
      </c>
      <c r="K101" s="317" t="str">
        <f aca="false">IF($A101="N/A"," ",IF(OR(Dayrun3=3,Dayrun3=10),VLOOKUP($A101,ScaledPrice3,9),0))</f>
        <v> </v>
      </c>
      <c r="L101" s="318" t="str">
        <f aca="false">IF($A101="N/A"," ",IF(Pricetype3=2,MAX(C101,0),IF(OR(Pricetype3=1,Pricetype3=4),IF(C101=0,0,(EURO(C101,Strikeprice3,0,0,($AH101+IF(Smile=TRUE(),VLOOKUP(MAX(-5,Strikeprice3-C101),Volsmile,2),0)),($A101-DateToday)+15,IF(Pricetype3=1,1,0),0))),C101)))</f>
        <v> </v>
      </c>
      <c r="M101" s="318" t="str">
        <f aca="false">IF($A101="N/A"," ",IF(Pricetype3=2,MAX(D101,0),IF(OR(Pricetype3=1,Pricetype3=4),IF(D101=0,0,(EURO(D101,Strikeprice3,0,0,($AH101+IF(Smile=TRUE(),VLOOKUP(MAX(-5,Strikeprice3-D101),Volsmile,2),0)),($A101-DateToday)+15,IF(Pricetype3=1,1,0),0))),D101)))</f>
        <v> </v>
      </c>
      <c r="N101" s="318" t="str">
        <f aca="false">IF($A101="N/A"," ",IF(Pricetype3=2,MAX(E101,0),IF(OR(Pricetype3=1,Pricetype3=4),IF(E101=0,0,(EURO(E101,Strikeprice3,0,0,($AK101+IF(Smile=TRUE(),VLOOKUP(MAX(-5,Strikeprice3-E101),Volsmile,2),0)),($A101-DateToday)+15,IF(Pricetype3=1,1,0),0))),E101)))</f>
        <v> </v>
      </c>
      <c r="O101" s="318" t="str">
        <f aca="false">IF($A101="N/A"," ",IF(Pricetype3=2,MAX(F101,0),IF(OR(Pricetype3=1,Pricetype3=4),IF(F101=0,0,(EURO(F101,Strikeprice3,0,0,($AK101+IF(Smile=TRUE(),VLOOKUP(MAX(-5,Strikeprice3-F101),Volsmile,2),0)),($A101-DateToday)+15,IF(Pricetype3=1,1,0),0))),F101)))</f>
        <v> </v>
      </c>
      <c r="P101" s="318" t="str">
        <f aca="false">IF($A101="N/A"," ",IF(Pricetype3=2,MAX(G101,0),IF(OR(Pricetype3=1,Pricetype3=4),IF(G101=0,0,(EURO(G101,Strikeprice3,0,0,($AK101+IF(Smile=TRUE(),VLOOKUP(MAX(-5,Strikeprice3-G101),Volsmile,2),0)),($A101-DateToday)+15,IF(Pricetype3=1,1,0),0))),G101)))</f>
        <v> </v>
      </c>
      <c r="Q101" s="318" t="str">
        <f aca="false">IF($A101="N/A"," ",IF(Pricetype3=2,MAX(H101,0),IF(OR(Pricetype3=1,Pricetype3=4),IF(H101=0,0,(EURO(H101,Strikeprice3,0,0,($AK101+IF(Smile=TRUE(),VLOOKUP(MAX(-5,Strikeprice3-H101),Volsmile,2),0)),($A101-DateToday)+15,IF(Pricetype3=1,1,0),0))),H101)))</f>
        <v> </v>
      </c>
      <c r="R101" s="318" t="str">
        <f aca="false">IF($A101="N/A"," ",IF(Pricetype3=2,MAX(I101,0),IF(OR(Pricetype3=1,Pricetype3=4),IF(I101=0,0,(EURO(I101,Strikeprice3,0,0,($AK101+IF(Smile=TRUE(),VLOOKUP(MAX(-5,Strikeprice3-I101),Volsmile,2),0)),($A101-DateToday)+15,IF(Pricetype3=1,1,0),0))),I101)))</f>
        <v> </v>
      </c>
      <c r="S101" s="318" t="str">
        <f aca="false">IF($A101="N/A"," ",IF(Pricetype3=2,MAX(J101,0),IF(OR(Pricetype3=1,Pricetype3=4),IF(J101=0,0,(EURO(J101,Strikeprice3,0,0,($AK101+IF(Smile=TRUE(),VLOOKUP(MAX(-5,Strikeprice3-J101),Volsmile,2),0)),($A101-DateToday)+15,IF(Pricetype3=1,1,0),0))),J101)))</f>
        <v> </v>
      </c>
      <c r="T101" s="318" t="str">
        <f aca="false">IF($A101="N/A"," ",IF(Pricetype3=2,MAX(K101,0),IF(OR(Pricetype3=1,Pricetype3=4),IF(K101=0,0,(EURO(K101,Strikeprice3,0,0,($AK101+IF(Smile=TRUE(),VLOOKUP(MAX(-5,Strikeprice3-K101),Volsmile,2),0)),($A101-DateToday)+15,IF(Pricetype3=1,1,0),0))),K101)))</f>
        <v> </v>
      </c>
      <c r="U101" s="319" t="str">
        <f aca="false">IF($A101="N/A"," ",Volume3*$AM101)</f>
        <v> </v>
      </c>
      <c r="V101" s="320" t="str">
        <f aca="false">IF($A101="N/A"," ",$U101*(8*($BQ101))*L101)</f>
        <v> </v>
      </c>
      <c r="W101" s="320" t="str">
        <f aca="false">IF($A101="N/A"," ",$U101*(8*($BQ101))*M101)</f>
        <v> </v>
      </c>
      <c r="X101" s="320" t="str">
        <f aca="false">IF($A101="N/A"," ",$U101*(8*($BQ101))*N101)</f>
        <v> </v>
      </c>
      <c r="Y101" s="320" t="str">
        <f aca="false">IF($A101="N/A"," ",$U101*(8*($BR101))*O101)</f>
        <v> </v>
      </c>
      <c r="Z101" s="320" t="str">
        <f aca="false">IF($A101="N/A"," ",$U101*(8*($BR101))*P101)</f>
        <v> </v>
      </c>
      <c r="AA101" s="320" t="str">
        <f aca="false">IF($A101="N/A"," ",$U101*(8*($BR101))*Q101)</f>
        <v> </v>
      </c>
      <c r="AB101" s="320" t="str">
        <f aca="false">IF($A101="N/A"," ",$U101*(8*($BS101))*R101)</f>
        <v> </v>
      </c>
      <c r="AC101" s="320" t="str">
        <f aca="false">IF($A101="N/A"," ",$U101*(8*($BS101))*S101)</f>
        <v> </v>
      </c>
      <c r="AD101" s="320" t="str">
        <f aca="false">IF($A101="N/A"," ",$U101*(8*($BS101))*T101)</f>
        <v> </v>
      </c>
      <c r="AE101" s="320" t="str">
        <f aca="false">IF($A101="N/A"," ",SUM(V101:AD101))</f>
        <v> </v>
      </c>
      <c r="AF101" s="321" t="str">
        <f aca="false">IF(A101="N/A"," ",(VLOOKUP(A101,PowerVolTable,(IF(VolBMO3=2,7,IF(VolBMO3=1,6,8))),FALSE())))</f>
        <v> </v>
      </c>
      <c r="AG101" s="321" t="str">
        <f aca="false">IF(A101="N/A"," ",(VLOOKUP(A101,IntraPowerVol,(IF(VolBMO3=2,3,IF(VolBMO3=1,2,4))),FALSE())*VLOOKUP(MONTH($A101),Volscale,2)))</f>
        <v> </v>
      </c>
      <c r="AH101" s="321" t="str">
        <f aca="false">IF($A101="N/A"," ",IF(VolType3=1,AG101,AF101))</f>
        <v> </v>
      </c>
      <c r="AI101" s="321" t="str">
        <f aca="false">IF($A101="N/A"," ",(VLOOKUP($A101,OffPwrVolTable,(IF(VolBMO3=2,7,IF(VolBMO3=1,6,8))),FALSE())))</f>
        <v> </v>
      </c>
      <c r="AJ101" s="321" t="str">
        <f aca="false">IF($A101="N/A"," ",(VLOOKUP($A101,OffPwrVolTable,(IF(VolBMO3=2,3,IF(VolBMO3=1,2,4))),FALSE())*VLOOKUP(MONTH($A101),Volscale,2)))</f>
        <v> </v>
      </c>
      <c r="AK101" s="321" t="str">
        <f aca="false">IF($A101="N/A"," ",IF(VolType3=1,AJ101,AI101))</f>
        <v> </v>
      </c>
      <c r="AL101" s="321" t="str">
        <f aca="false">IF($A101="N/A"," ",IF(PV=1,0,'Pricing Inputs3'!R134))</f>
        <v> </v>
      </c>
      <c r="AM101" s="323" t="str">
        <f aca="false">IF($A101="N/A"," ",(1+AL101/2)^(-2*((EOMONTH(A101,0)+20)-DateToday)/365.25))</f>
        <v> </v>
      </c>
      <c r="BQ101" s="0" t="str">
        <f aca="false">IF($A101="N/A"," ",(VLOOKUP($A101,NumberofDaysTable,2)))</f>
        <v> </v>
      </c>
      <c r="BR101" s="0" t="str">
        <f aca="false">IF($A101="N/A"," ",(VLOOKUP($A101,NumberofDaysTable,3)))</f>
        <v> </v>
      </c>
      <c r="BS101" s="0" t="str">
        <f aca="false">IF($A101="N/A"," ",(VLOOKUP($A101,NumberofDaysTable,4)))</f>
        <v> </v>
      </c>
    </row>
    <row r="102" customFormat="false" ht="12.75" hidden="false" customHeight="false" outlineLevel="0" collapsed="false">
      <c r="A102" s="315" t="str">
        <f aca="false">IF(A101="N/A","N/A",IF(EDATE(A101,1)&gt;Inputs!$Q$5,"N/A",EDATE(A101,1)))</f>
        <v>N/A</v>
      </c>
      <c r="B102" s="316" t="str">
        <f aca="false">IF(A102="N/A"," ",YEAR(A102))</f>
        <v> </v>
      </c>
      <c r="C102" s="317" t="str">
        <f aca="false">IF($A102="N/A"," ",IF(Dayrun3=10,0,IF(Scaler3=1,(VLOOKUP(A102,ScaledPrice3,4)),(VLOOKUP(A102,ScaledPrice3,2)))))</f>
        <v> </v>
      </c>
      <c r="D102" s="317" t="str">
        <f aca="false">IF(A102="N/A"," ",IF(Dayrun3&gt;=7,0,IF(Scaler3=2,VLOOKUP(A102,ScaledPrice3,2),(VLOOKUP(A102,ScaledPrice3,2))*(2-(VLOOKUP(A102,ScaledPrice3,3))))))</f>
        <v> </v>
      </c>
      <c r="E102" s="317" t="str">
        <f aca="false">IF($A102="N/A"," ",IF(AND(Dayrun3&gt;=4,Dayrun3&lt;=9),0,VLOOKUP($A102,ScaledPrice3,9)))</f>
        <v> </v>
      </c>
      <c r="F102" s="317" t="str">
        <f aca="false">IF(A102="N/A"," ",IF(OR(Dayrun3=2,Dayrun3=3,Dayrun3=5,Dayrun3=6,Dayrun3=8,Dayrun3=9),VLOOKUP(A102,ScaledPrice3,IF(Scaler3=1,6,5)),0))</f>
        <v> </v>
      </c>
      <c r="G102" s="317" t="str">
        <f aca="false">IF(A102="N/A"," ",IF(OR(Dayrun3=2,Dayrun3=3,Dayrun3=5,Dayrun3=6),IF(Scaler3=2,F102,(VLOOKUP(A102,ScaledPrice3,5))*(2-(VLOOKUP(A102,ScaledPrice3,3)))),0))</f>
        <v> </v>
      </c>
      <c r="H102" s="317" t="str">
        <f aca="false">IF($A102="N/A"," ",IF(OR(Dayrun3=2,Dayrun3=3,Dayrun3=10),VLOOKUP($A102,ScaledPrice3,9),0))</f>
        <v> </v>
      </c>
      <c r="I102" s="317" t="str">
        <f aca="false">IF(A102="N/A"," ",IF(OR(Dayrun3=3,Dayrun3=6,Dayrun3=9),(VLOOKUP(A102,ScaledPrice3,IF(Scaler3=2,7,8))),0))</f>
        <v> </v>
      </c>
      <c r="J102" s="317" t="str">
        <f aca="false">IF(A102="N/A"," ",IF(OR(Dayrun3=3,Dayrun3=6),IF(Scaler3=2,I102,(VLOOKUP(A102,ScaledPrice3,7))*(2-(VLOOKUP(A102,ScaledPrice3,3)))),0))</f>
        <v> </v>
      </c>
      <c r="K102" s="317" t="str">
        <f aca="false">IF($A102="N/A"," ",IF(OR(Dayrun3=3,Dayrun3=10),VLOOKUP($A102,ScaledPrice3,9),0))</f>
        <v> </v>
      </c>
      <c r="L102" s="318" t="str">
        <f aca="false">IF($A102="N/A"," ",IF(Pricetype3=2,MAX(C102,0),IF(OR(Pricetype3=1,Pricetype3=4),IF(C102=0,0,(EURO(C102,Strikeprice3,0,0,($AH102+IF(Smile=TRUE(),VLOOKUP(MAX(-5,Strikeprice3-C102),Volsmile,2),0)),($A102-DateToday)+15,IF(Pricetype3=1,1,0),0))),C102)))</f>
        <v> </v>
      </c>
      <c r="M102" s="318" t="str">
        <f aca="false">IF($A102="N/A"," ",IF(Pricetype3=2,MAX(D102,0),IF(OR(Pricetype3=1,Pricetype3=4),IF(D102=0,0,(EURO(D102,Strikeprice3,0,0,($AH102+IF(Smile=TRUE(),VLOOKUP(MAX(-5,Strikeprice3-D102),Volsmile,2),0)),($A102-DateToday)+15,IF(Pricetype3=1,1,0),0))),D102)))</f>
        <v> </v>
      </c>
      <c r="N102" s="318" t="str">
        <f aca="false">IF($A102="N/A"," ",IF(Pricetype3=2,MAX(E102,0),IF(OR(Pricetype3=1,Pricetype3=4),IF(E102=0,0,(EURO(E102,Strikeprice3,0,0,($AK102+IF(Smile=TRUE(),VLOOKUP(MAX(-5,Strikeprice3-E102),Volsmile,2),0)),($A102-DateToday)+15,IF(Pricetype3=1,1,0),0))),E102)))</f>
        <v> </v>
      </c>
      <c r="O102" s="318" t="str">
        <f aca="false">IF($A102="N/A"," ",IF(Pricetype3=2,MAX(F102,0),IF(OR(Pricetype3=1,Pricetype3=4),IF(F102=0,0,(EURO(F102,Strikeprice3,0,0,($AK102+IF(Smile=TRUE(),VLOOKUP(MAX(-5,Strikeprice3-F102),Volsmile,2),0)),($A102-DateToday)+15,IF(Pricetype3=1,1,0),0))),F102)))</f>
        <v> </v>
      </c>
      <c r="P102" s="318" t="str">
        <f aca="false">IF($A102="N/A"," ",IF(Pricetype3=2,MAX(G102,0),IF(OR(Pricetype3=1,Pricetype3=4),IF(G102=0,0,(EURO(G102,Strikeprice3,0,0,($AK102+IF(Smile=TRUE(),VLOOKUP(MAX(-5,Strikeprice3-G102),Volsmile,2),0)),($A102-DateToday)+15,IF(Pricetype3=1,1,0),0))),G102)))</f>
        <v> </v>
      </c>
      <c r="Q102" s="318" t="str">
        <f aca="false">IF($A102="N/A"," ",IF(Pricetype3=2,MAX(H102,0),IF(OR(Pricetype3=1,Pricetype3=4),IF(H102=0,0,(EURO(H102,Strikeprice3,0,0,($AK102+IF(Smile=TRUE(),VLOOKUP(MAX(-5,Strikeprice3-H102),Volsmile,2),0)),($A102-DateToday)+15,IF(Pricetype3=1,1,0),0))),H102)))</f>
        <v> </v>
      </c>
      <c r="R102" s="318" t="str">
        <f aca="false">IF($A102="N/A"," ",IF(Pricetype3=2,MAX(I102,0),IF(OR(Pricetype3=1,Pricetype3=4),IF(I102=0,0,(EURO(I102,Strikeprice3,0,0,($AK102+IF(Smile=TRUE(),VLOOKUP(MAX(-5,Strikeprice3-I102),Volsmile,2),0)),($A102-DateToday)+15,IF(Pricetype3=1,1,0),0))),I102)))</f>
        <v> </v>
      </c>
      <c r="S102" s="318" t="str">
        <f aca="false">IF($A102="N/A"," ",IF(Pricetype3=2,MAX(J102,0),IF(OR(Pricetype3=1,Pricetype3=4),IF(J102=0,0,(EURO(J102,Strikeprice3,0,0,($AK102+IF(Smile=TRUE(),VLOOKUP(MAX(-5,Strikeprice3-J102),Volsmile,2),0)),($A102-DateToday)+15,IF(Pricetype3=1,1,0),0))),J102)))</f>
        <v> </v>
      </c>
      <c r="T102" s="318" t="str">
        <f aca="false">IF($A102="N/A"," ",IF(Pricetype3=2,MAX(K102,0),IF(OR(Pricetype3=1,Pricetype3=4),IF(K102=0,0,(EURO(K102,Strikeprice3,0,0,($AK102+IF(Smile=TRUE(),VLOOKUP(MAX(-5,Strikeprice3-K102),Volsmile,2),0)),($A102-DateToday)+15,IF(Pricetype3=1,1,0),0))),K102)))</f>
        <v> </v>
      </c>
      <c r="U102" s="319" t="str">
        <f aca="false">IF($A102="N/A"," ",Volume3*$AM102)</f>
        <v> </v>
      </c>
      <c r="V102" s="320" t="str">
        <f aca="false">IF($A102="N/A"," ",$U102*(8*($BQ102))*L102)</f>
        <v> </v>
      </c>
      <c r="W102" s="320" t="str">
        <f aca="false">IF($A102="N/A"," ",$U102*(8*($BQ102))*M102)</f>
        <v> </v>
      </c>
      <c r="X102" s="320" t="str">
        <f aca="false">IF($A102="N/A"," ",$U102*(8*($BQ102))*N102)</f>
        <v> </v>
      </c>
      <c r="Y102" s="320" t="str">
        <f aca="false">IF($A102="N/A"," ",$U102*(8*($BR102))*O102)</f>
        <v> </v>
      </c>
      <c r="Z102" s="320" t="str">
        <f aca="false">IF($A102="N/A"," ",$U102*(8*($BR102))*P102)</f>
        <v> </v>
      </c>
      <c r="AA102" s="320" t="str">
        <f aca="false">IF($A102="N/A"," ",$U102*(8*($BR102))*Q102)</f>
        <v> </v>
      </c>
      <c r="AB102" s="320" t="str">
        <f aca="false">IF($A102="N/A"," ",$U102*(8*($BS102))*R102)</f>
        <v> </v>
      </c>
      <c r="AC102" s="320" t="str">
        <f aca="false">IF($A102="N/A"," ",$U102*(8*($BS102))*S102)</f>
        <v> </v>
      </c>
      <c r="AD102" s="320" t="str">
        <f aca="false">IF($A102="N/A"," ",$U102*(8*($BS102))*T102)</f>
        <v> </v>
      </c>
      <c r="AE102" s="320" t="str">
        <f aca="false">IF($A102="N/A"," ",SUM(V102:AD102))</f>
        <v> </v>
      </c>
      <c r="AF102" s="321" t="str">
        <f aca="false">IF(A102="N/A"," ",(VLOOKUP(A102,PowerVolTable,(IF(VolBMO3=2,7,IF(VolBMO3=1,6,8))),FALSE())))</f>
        <v> </v>
      </c>
      <c r="AG102" s="321" t="str">
        <f aca="false">IF(A102="N/A"," ",(VLOOKUP(A102,IntraPowerVol,(IF(VolBMO3=2,3,IF(VolBMO3=1,2,4))),FALSE())*VLOOKUP(MONTH($A102),Volscale,2)))</f>
        <v> </v>
      </c>
      <c r="AH102" s="321" t="str">
        <f aca="false">IF($A102="N/A"," ",IF(VolType3=1,AG102,AF102))</f>
        <v> </v>
      </c>
      <c r="AI102" s="321" t="str">
        <f aca="false">IF($A102="N/A"," ",(VLOOKUP($A102,OffPwrVolTable,(IF(VolBMO3=2,7,IF(VolBMO3=1,6,8))),FALSE())))</f>
        <v> </v>
      </c>
      <c r="AJ102" s="321" t="str">
        <f aca="false">IF($A102="N/A"," ",(VLOOKUP($A102,OffPwrVolTable,(IF(VolBMO3=2,3,IF(VolBMO3=1,2,4))),FALSE())*VLOOKUP(MONTH($A102),Volscale,2)))</f>
        <v> </v>
      </c>
      <c r="AK102" s="321" t="str">
        <f aca="false">IF($A102="N/A"," ",IF(VolType3=1,AJ102,AI102))</f>
        <v> </v>
      </c>
      <c r="AL102" s="321" t="str">
        <f aca="false">IF($A102="N/A"," ",IF(PV=1,0,'Pricing Inputs3'!R135))</f>
        <v> </v>
      </c>
      <c r="AM102" s="323" t="str">
        <f aca="false">IF($A102="N/A"," ",(1+AL102/2)^(-2*((EOMONTH(A102,0)+20)-DateToday)/365.25))</f>
        <v> </v>
      </c>
      <c r="BQ102" s="0" t="str">
        <f aca="false">IF($A102="N/A"," ",(VLOOKUP($A102,NumberofDaysTable,2)))</f>
        <v> </v>
      </c>
      <c r="BR102" s="0" t="str">
        <f aca="false">IF($A102="N/A"," ",(VLOOKUP($A102,NumberofDaysTable,3)))</f>
        <v> </v>
      </c>
      <c r="BS102" s="0" t="str">
        <f aca="false">IF($A102="N/A"," ",(VLOOKUP($A102,NumberofDaysTable,4)))</f>
        <v> </v>
      </c>
    </row>
    <row r="103" customFormat="false" ht="12.75" hidden="false" customHeight="false" outlineLevel="0" collapsed="false">
      <c r="A103" s="315" t="str">
        <f aca="false">IF(A102="N/A","N/A",IF(EDATE(A102,1)&gt;Inputs!$Q$5,"N/A",EDATE(A102,1)))</f>
        <v>N/A</v>
      </c>
      <c r="B103" s="316" t="str">
        <f aca="false">IF(A103="N/A"," ",YEAR(A103))</f>
        <v> </v>
      </c>
      <c r="C103" s="317" t="str">
        <f aca="false">IF($A103="N/A"," ",IF(Dayrun3=10,0,IF(Scaler3=1,(VLOOKUP(A103,ScaledPrice3,4)),(VLOOKUP(A103,ScaledPrice3,2)))))</f>
        <v> </v>
      </c>
      <c r="D103" s="317" t="str">
        <f aca="false">IF(A103="N/A"," ",IF(Dayrun3&gt;=7,0,IF(Scaler3=2,VLOOKUP(A103,ScaledPrice3,2),(VLOOKUP(A103,ScaledPrice3,2))*(2-(VLOOKUP(A103,ScaledPrice3,3))))))</f>
        <v> </v>
      </c>
      <c r="E103" s="317" t="str">
        <f aca="false">IF($A103="N/A"," ",IF(AND(Dayrun3&gt;=4,Dayrun3&lt;=9),0,VLOOKUP($A103,ScaledPrice3,9)))</f>
        <v> </v>
      </c>
      <c r="F103" s="317" t="str">
        <f aca="false">IF(A103="N/A"," ",IF(OR(Dayrun3=2,Dayrun3=3,Dayrun3=5,Dayrun3=6,Dayrun3=8,Dayrun3=9),VLOOKUP(A103,ScaledPrice3,IF(Scaler3=1,6,5)),0))</f>
        <v> </v>
      </c>
      <c r="G103" s="317" t="str">
        <f aca="false">IF(A103="N/A"," ",IF(OR(Dayrun3=2,Dayrun3=3,Dayrun3=5,Dayrun3=6),IF(Scaler3=2,F103,(VLOOKUP(A103,ScaledPrice3,5))*(2-(VLOOKUP(A103,ScaledPrice3,3)))),0))</f>
        <v> </v>
      </c>
      <c r="H103" s="317" t="str">
        <f aca="false">IF($A103="N/A"," ",IF(OR(Dayrun3=2,Dayrun3=3,Dayrun3=10),VLOOKUP($A103,ScaledPrice3,9),0))</f>
        <v> </v>
      </c>
      <c r="I103" s="317" t="str">
        <f aca="false">IF(A103="N/A"," ",IF(OR(Dayrun3=3,Dayrun3=6,Dayrun3=9),(VLOOKUP(A103,ScaledPrice3,IF(Scaler3=2,7,8))),0))</f>
        <v> </v>
      </c>
      <c r="J103" s="317" t="str">
        <f aca="false">IF(A103="N/A"," ",IF(OR(Dayrun3=3,Dayrun3=6),IF(Scaler3=2,I103,(VLOOKUP(A103,ScaledPrice3,7))*(2-(VLOOKUP(A103,ScaledPrice3,3)))),0))</f>
        <v> </v>
      </c>
      <c r="K103" s="317" t="str">
        <f aca="false">IF($A103="N/A"," ",IF(OR(Dayrun3=3,Dayrun3=10),VLOOKUP($A103,ScaledPrice3,9),0))</f>
        <v> </v>
      </c>
      <c r="L103" s="318" t="str">
        <f aca="false">IF($A103="N/A"," ",IF(Pricetype3=2,MAX(C103,0),IF(OR(Pricetype3=1,Pricetype3=4),IF(C103=0,0,(EURO(C103,Strikeprice3,0,0,($AH103+IF(Smile=TRUE(),VLOOKUP(MAX(-5,Strikeprice3-C103),Volsmile,2),0)),($A103-DateToday)+15,IF(Pricetype3=1,1,0),0))),C103)))</f>
        <v> </v>
      </c>
      <c r="M103" s="318" t="str">
        <f aca="false">IF($A103="N/A"," ",IF(Pricetype3=2,MAX(D103,0),IF(OR(Pricetype3=1,Pricetype3=4),IF(D103=0,0,(EURO(D103,Strikeprice3,0,0,($AH103+IF(Smile=TRUE(),VLOOKUP(MAX(-5,Strikeprice3-D103),Volsmile,2),0)),($A103-DateToday)+15,IF(Pricetype3=1,1,0),0))),D103)))</f>
        <v> </v>
      </c>
      <c r="N103" s="318" t="str">
        <f aca="false">IF($A103="N/A"," ",IF(Pricetype3=2,MAX(E103,0),IF(OR(Pricetype3=1,Pricetype3=4),IF(E103=0,0,(EURO(E103,Strikeprice3,0,0,($AK103+IF(Smile=TRUE(),VLOOKUP(MAX(-5,Strikeprice3-E103),Volsmile,2),0)),($A103-DateToday)+15,IF(Pricetype3=1,1,0),0))),E103)))</f>
        <v> </v>
      </c>
      <c r="O103" s="318" t="str">
        <f aca="false">IF($A103="N/A"," ",IF(Pricetype3=2,MAX(F103,0),IF(OR(Pricetype3=1,Pricetype3=4),IF(F103=0,0,(EURO(F103,Strikeprice3,0,0,($AK103+IF(Smile=TRUE(),VLOOKUP(MAX(-5,Strikeprice3-F103),Volsmile,2),0)),($A103-DateToday)+15,IF(Pricetype3=1,1,0),0))),F103)))</f>
        <v> </v>
      </c>
      <c r="P103" s="318" t="str">
        <f aca="false">IF($A103="N/A"," ",IF(Pricetype3=2,MAX(G103,0),IF(OR(Pricetype3=1,Pricetype3=4),IF(G103=0,0,(EURO(G103,Strikeprice3,0,0,($AK103+IF(Smile=TRUE(),VLOOKUP(MAX(-5,Strikeprice3-G103),Volsmile,2),0)),($A103-DateToday)+15,IF(Pricetype3=1,1,0),0))),G103)))</f>
        <v> </v>
      </c>
      <c r="Q103" s="318" t="str">
        <f aca="false">IF($A103="N/A"," ",IF(Pricetype3=2,MAX(H103,0),IF(OR(Pricetype3=1,Pricetype3=4),IF(H103=0,0,(EURO(H103,Strikeprice3,0,0,($AK103+IF(Smile=TRUE(),VLOOKUP(MAX(-5,Strikeprice3-H103),Volsmile,2),0)),($A103-DateToday)+15,IF(Pricetype3=1,1,0),0))),H103)))</f>
        <v> </v>
      </c>
      <c r="R103" s="318" t="str">
        <f aca="false">IF($A103="N/A"," ",IF(Pricetype3=2,MAX(I103,0),IF(OR(Pricetype3=1,Pricetype3=4),IF(I103=0,0,(EURO(I103,Strikeprice3,0,0,($AK103+IF(Smile=TRUE(),VLOOKUP(MAX(-5,Strikeprice3-I103),Volsmile,2),0)),($A103-DateToday)+15,IF(Pricetype3=1,1,0),0))),I103)))</f>
        <v> </v>
      </c>
      <c r="S103" s="318" t="str">
        <f aca="false">IF($A103="N/A"," ",IF(Pricetype3=2,MAX(J103,0),IF(OR(Pricetype3=1,Pricetype3=4),IF(J103=0,0,(EURO(J103,Strikeprice3,0,0,($AK103+IF(Smile=TRUE(),VLOOKUP(MAX(-5,Strikeprice3-J103),Volsmile,2),0)),($A103-DateToday)+15,IF(Pricetype3=1,1,0),0))),J103)))</f>
        <v> </v>
      </c>
      <c r="T103" s="318" t="str">
        <f aca="false">IF($A103="N/A"," ",IF(Pricetype3=2,MAX(K103,0),IF(OR(Pricetype3=1,Pricetype3=4),IF(K103=0,0,(EURO(K103,Strikeprice3,0,0,($AK103+IF(Smile=TRUE(),VLOOKUP(MAX(-5,Strikeprice3-K103),Volsmile,2),0)),($A103-DateToday)+15,IF(Pricetype3=1,1,0),0))),K103)))</f>
        <v> </v>
      </c>
      <c r="U103" s="319" t="str">
        <f aca="false">IF($A103="N/A"," ",Volume3*$AM103)</f>
        <v> </v>
      </c>
      <c r="V103" s="320" t="str">
        <f aca="false">IF($A103="N/A"," ",$U103*(8*($BQ103))*L103)</f>
        <v> </v>
      </c>
      <c r="W103" s="320" t="str">
        <f aca="false">IF($A103="N/A"," ",$U103*(8*($BQ103))*M103)</f>
        <v> </v>
      </c>
      <c r="X103" s="320" t="str">
        <f aca="false">IF($A103="N/A"," ",$U103*(8*($BQ103))*N103)</f>
        <v> </v>
      </c>
      <c r="Y103" s="320" t="str">
        <f aca="false">IF($A103="N/A"," ",$U103*(8*($BR103))*O103)</f>
        <v> </v>
      </c>
      <c r="Z103" s="320" t="str">
        <f aca="false">IF($A103="N/A"," ",$U103*(8*($BR103))*P103)</f>
        <v> </v>
      </c>
      <c r="AA103" s="320" t="str">
        <f aca="false">IF($A103="N/A"," ",$U103*(8*($BR103))*Q103)</f>
        <v> </v>
      </c>
      <c r="AB103" s="320" t="str">
        <f aca="false">IF($A103="N/A"," ",$U103*(8*($BS103))*R103)</f>
        <v> </v>
      </c>
      <c r="AC103" s="320" t="str">
        <f aca="false">IF($A103="N/A"," ",$U103*(8*($BS103))*S103)</f>
        <v> </v>
      </c>
      <c r="AD103" s="320" t="str">
        <f aca="false">IF($A103="N/A"," ",$U103*(8*($BS103))*T103)</f>
        <v> </v>
      </c>
      <c r="AE103" s="320" t="str">
        <f aca="false">IF($A103="N/A"," ",SUM(V103:AD103))</f>
        <v> </v>
      </c>
      <c r="AF103" s="321" t="str">
        <f aca="false">IF(A103="N/A"," ",(VLOOKUP(A103,PowerVolTable,(IF(VolBMO3=2,7,IF(VolBMO3=1,6,8))),FALSE())))</f>
        <v> </v>
      </c>
      <c r="AG103" s="321" t="str">
        <f aca="false">IF(A103="N/A"," ",(VLOOKUP(A103,IntraPowerVol,(IF(VolBMO3=2,3,IF(VolBMO3=1,2,4))),FALSE())*VLOOKUP(MONTH($A103),Volscale,2)))</f>
        <v> </v>
      </c>
      <c r="AH103" s="321" t="str">
        <f aca="false">IF($A103="N/A"," ",IF(VolType3=1,AG103,AF103))</f>
        <v> </v>
      </c>
      <c r="AI103" s="321" t="str">
        <f aca="false">IF($A103="N/A"," ",(VLOOKUP($A103,OffPwrVolTable,(IF(VolBMO3=2,7,IF(VolBMO3=1,6,8))),FALSE())))</f>
        <v> </v>
      </c>
      <c r="AJ103" s="321" t="str">
        <f aca="false">IF($A103="N/A"," ",(VLOOKUP($A103,OffPwrVolTable,(IF(VolBMO3=2,3,IF(VolBMO3=1,2,4))),FALSE())*VLOOKUP(MONTH($A103),Volscale,2)))</f>
        <v> </v>
      </c>
      <c r="AK103" s="321" t="str">
        <f aca="false">IF($A103="N/A"," ",IF(VolType3=1,AJ103,AI103))</f>
        <v> </v>
      </c>
      <c r="AL103" s="321" t="str">
        <f aca="false">IF($A103="N/A"," ",IF(PV=1,0,'Pricing Inputs3'!R136))</f>
        <v> </v>
      </c>
      <c r="AM103" s="323" t="str">
        <f aca="false">IF($A103="N/A"," ",(1+AL103/2)^(-2*((EOMONTH(A103,0)+20)-DateToday)/365.25))</f>
        <v> </v>
      </c>
      <c r="BQ103" s="0" t="str">
        <f aca="false">IF($A103="N/A"," ",(VLOOKUP($A103,NumberofDaysTable,2)))</f>
        <v> </v>
      </c>
      <c r="BR103" s="0" t="str">
        <f aca="false">IF($A103="N/A"," ",(VLOOKUP($A103,NumberofDaysTable,3)))</f>
        <v> </v>
      </c>
      <c r="BS103" s="0" t="str">
        <f aca="false">IF($A103="N/A"," ",(VLOOKUP($A103,NumberofDaysTable,4)))</f>
        <v> </v>
      </c>
    </row>
    <row r="104" customFormat="false" ht="12.75" hidden="false" customHeight="false" outlineLevel="0" collapsed="false">
      <c r="A104" s="315" t="str">
        <f aca="false">IF(A103="N/A","N/A",IF(EDATE(A103,1)&gt;Inputs!$Q$5,"N/A",EDATE(A103,1)))</f>
        <v>N/A</v>
      </c>
      <c r="B104" s="316" t="str">
        <f aca="false">IF(A104="N/A"," ",YEAR(A104))</f>
        <v> </v>
      </c>
      <c r="C104" s="317" t="str">
        <f aca="false">IF($A104="N/A"," ",IF(Dayrun3=10,0,IF(Scaler3=1,(VLOOKUP(A104,ScaledPrice3,4)),(VLOOKUP(A104,ScaledPrice3,2)))))</f>
        <v> </v>
      </c>
      <c r="D104" s="317" t="str">
        <f aca="false">IF(A104="N/A"," ",IF(Dayrun3&gt;=7,0,IF(Scaler3=2,VLOOKUP(A104,ScaledPrice3,2),(VLOOKUP(A104,ScaledPrice3,2))*(2-(VLOOKUP(A104,ScaledPrice3,3))))))</f>
        <v> </v>
      </c>
      <c r="E104" s="317" t="str">
        <f aca="false">IF($A104="N/A"," ",IF(AND(Dayrun3&gt;=4,Dayrun3&lt;=9),0,VLOOKUP($A104,ScaledPrice3,9)))</f>
        <v> </v>
      </c>
      <c r="F104" s="317" t="str">
        <f aca="false">IF(A104="N/A"," ",IF(OR(Dayrun3=2,Dayrun3=3,Dayrun3=5,Dayrun3=6,Dayrun3=8,Dayrun3=9),VLOOKUP(A104,ScaledPrice3,IF(Scaler3=1,6,5)),0))</f>
        <v> </v>
      </c>
      <c r="G104" s="317" t="str">
        <f aca="false">IF(A104="N/A"," ",IF(OR(Dayrun3=2,Dayrun3=3,Dayrun3=5,Dayrun3=6),IF(Scaler3=2,F104,(VLOOKUP(A104,ScaledPrice3,5))*(2-(VLOOKUP(A104,ScaledPrice3,3)))),0))</f>
        <v> </v>
      </c>
      <c r="H104" s="317" t="str">
        <f aca="false">IF($A104="N/A"," ",IF(OR(Dayrun3=2,Dayrun3=3,Dayrun3=10),VLOOKUP($A104,ScaledPrice3,9),0))</f>
        <v> </v>
      </c>
      <c r="I104" s="317" t="str">
        <f aca="false">IF(A104="N/A"," ",IF(OR(Dayrun3=3,Dayrun3=6,Dayrun3=9),(VLOOKUP(A104,ScaledPrice3,IF(Scaler3=2,7,8))),0))</f>
        <v> </v>
      </c>
      <c r="J104" s="317" t="str">
        <f aca="false">IF(A104="N/A"," ",IF(OR(Dayrun3=3,Dayrun3=6),IF(Scaler3=2,I104,(VLOOKUP(A104,ScaledPrice3,7))*(2-(VLOOKUP(A104,ScaledPrice3,3)))),0))</f>
        <v> </v>
      </c>
      <c r="K104" s="317" t="str">
        <f aca="false">IF($A104="N/A"," ",IF(OR(Dayrun3=3,Dayrun3=10),VLOOKUP($A104,ScaledPrice3,9),0))</f>
        <v> </v>
      </c>
      <c r="L104" s="318" t="str">
        <f aca="false">IF($A104="N/A"," ",IF(Pricetype3=2,MAX(C104,0),IF(OR(Pricetype3=1,Pricetype3=4),IF(C104=0,0,(EURO(C104,Strikeprice3,0,0,($AH104+IF(Smile=TRUE(),VLOOKUP(MAX(-5,Strikeprice3-C104),Volsmile,2),0)),($A104-DateToday)+15,IF(Pricetype3=1,1,0),0))),C104)))</f>
        <v> </v>
      </c>
      <c r="M104" s="318" t="str">
        <f aca="false">IF($A104="N/A"," ",IF(Pricetype3=2,MAX(D104,0),IF(OR(Pricetype3=1,Pricetype3=4),IF(D104=0,0,(EURO(D104,Strikeprice3,0,0,($AH104+IF(Smile=TRUE(),VLOOKUP(MAX(-5,Strikeprice3-D104),Volsmile,2),0)),($A104-DateToday)+15,IF(Pricetype3=1,1,0),0))),D104)))</f>
        <v> </v>
      </c>
      <c r="N104" s="318" t="str">
        <f aca="false">IF($A104="N/A"," ",IF(Pricetype3=2,MAX(E104,0),IF(OR(Pricetype3=1,Pricetype3=4),IF(E104=0,0,(EURO(E104,Strikeprice3,0,0,($AK104+IF(Smile=TRUE(),VLOOKUP(MAX(-5,Strikeprice3-E104),Volsmile,2),0)),($A104-DateToday)+15,IF(Pricetype3=1,1,0),0))),E104)))</f>
        <v> </v>
      </c>
      <c r="O104" s="318" t="str">
        <f aca="false">IF($A104="N/A"," ",IF(Pricetype3=2,MAX(F104,0),IF(OR(Pricetype3=1,Pricetype3=4),IF(F104=0,0,(EURO(F104,Strikeprice3,0,0,($AK104+IF(Smile=TRUE(),VLOOKUP(MAX(-5,Strikeprice3-F104),Volsmile,2),0)),($A104-DateToday)+15,IF(Pricetype3=1,1,0),0))),F104)))</f>
        <v> </v>
      </c>
      <c r="P104" s="318" t="str">
        <f aca="false">IF($A104="N/A"," ",IF(Pricetype3=2,MAX(G104,0),IF(OR(Pricetype3=1,Pricetype3=4),IF(G104=0,0,(EURO(G104,Strikeprice3,0,0,($AK104+IF(Smile=TRUE(),VLOOKUP(MAX(-5,Strikeprice3-G104),Volsmile,2),0)),($A104-DateToday)+15,IF(Pricetype3=1,1,0),0))),G104)))</f>
        <v> </v>
      </c>
      <c r="Q104" s="318" t="str">
        <f aca="false">IF($A104="N/A"," ",IF(Pricetype3=2,MAX(H104,0),IF(OR(Pricetype3=1,Pricetype3=4),IF(H104=0,0,(EURO(H104,Strikeprice3,0,0,($AK104+IF(Smile=TRUE(),VLOOKUP(MAX(-5,Strikeprice3-H104),Volsmile,2),0)),($A104-DateToday)+15,IF(Pricetype3=1,1,0),0))),H104)))</f>
        <v> </v>
      </c>
      <c r="R104" s="318" t="str">
        <f aca="false">IF($A104="N/A"," ",IF(Pricetype3=2,MAX(I104,0),IF(OR(Pricetype3=1,Pricetype3=4),IF(I104=0,0,(EURO(I104,Strikeprice3,0,0,($AK104+IF(Smile=TRUE(),VLOOKUP(MAX(-5,Strikeprice3-I104),Volsmile,2),0)),($A104-DateToday)+15,IF(Pricetype3=1,1,0),0))),I104)))</f>
        <v> </v>
      </c>
      <c r="S104" s="318" t="str">
        <f aca="false">IF($A104="N/A"," ",IF(Pricetype3=2,MAX(J104,0),IF(OR(Pricetype3=1,Pricetype3=4),IF(J104=0,0,(EURO(J104,Strikeprice3,0,0,($AK104+IF(Smile=TRUE(),VLOOKUP(MAX(-5,Strikeprice3-J104),Volsmile,2),0)),($A104-DateToday)+15,IF(Pricetype3=1,1,0),0))),J104)))</f>
        <v> </v>
      </c>
      <c r="T104" s="318" t="str">
        <f aca="false">IF($A104="N/A"," ",IF(Pricetype3=2,MAX(K104,0),IF(OR(Pricetype3=1,Pricetype3=4),IF(K104=0,0,(EURO(K104,Strikeprice3,0,0,($AK104+IF(Smile=TRUE(),VLOOKUP(MAX(-5,Strikeprice3-K104),Volsmile,2),0)),($A104-DateToday)+15,IF(Pricetype3=1,1,0),0))),K104)))</f>
        <v> </v>
      </c>
      <c r="U104" s="319" t="str">
        <f aca="false">IF($A104="N/A"," ",Volume3*$AM104)</f>
        <v> </v>
      </c>
      <c r="V104" s="320" t="str">
        <f aca="false">IF($A104="N/A"," ",$U104*(8*($BQ104))*L104)</f>
        <v> </v>
      </c>
      <c r="W104" s="320" t="str">
        <f aca="false">IF($A104="N/A"," ",$U104*(8*($BQ104))*M104)</f>
        <v> </v>
      </c>
      <c r="X104" s="320" t="str">
        <f aca="false">IF($A104="N/A"," ",$U104*(8*($BQ104))*N104)</f>
        <v> </v>
      </c>
      <c r="Y104" s="320" t="str">
        <f aca="false">IF($A104="N/A"," ",$U104*(8*($BR104))*O104)</f>
        <v> </v>
      </c>
      <c r="Z104" s="320" t="str">
        <f aca="false">IF($A104="N/A"," ",$U104*(8*($BR104))*P104)</f>
        <v> </v>
      </c>
      <c r="AA104" s="320" t="str">
        <f aca="false">IF($A104="N/A"," ",$U104*(8*($BR104))*Q104)</f>
        <v> </v>
      </c>
      <c r="AB104" s="320" t="str">
        <f aca="false">IF($A104="N/A"," ",$U104*(8*($BS104))*R104)</f>
        <v> </v>
      </c>
      <c r="AC104" s="320" t="str">
        <f aca="false">IF($A104="N/A"," ",$U104*(8*($BS104))*S104)</f>
        <v> </v>
      </c>
      <c r="AD104" s="320" t="str">
        <f aca="false">IF($A104="N/A"," ",$U104*(8*($BS104))*T104)</f>
        <v> </v>
      </c>
      <c r="AE104" s="320" t="str">
        <f aca="false">IF($A104="N/A"," ",SUM(V104:AD104))</f>
        <v> </v>
      </c>
      <c r="AF104" s="321" t="str">
        <f aca="false">IF(A104="N/A"," ",(VLOOKUP(A104,PowerVolTable,(IF(VolBMO3=2,7,IF(VolBMO3=1,6,8))),FALSE())))</f>
        <v> </v>
      </c>
      <c r="AG104" s="321" t="str">
        <f aca="false">IF(A104="N/A"," ",(VLOOKUP(A104,IntraPowerVol,(IF(VolBMO3=2,3,IF(VolBMO3=1,2,4))),FALSE())*VLOOKUP(MONTH($A104),Volscale,2)))</f>
        <v> </v>
      </c>
      <c r="AH104" s="321" t="str">
        <f aca="false">IF($A104="N/A"," ",IF(VolType3=1,AG104,AF104))</f>
        <v> </v>
      </c>
      <c r="AI104" s="321" t="str">
        <f aca="false">IF($A104="N/A"," ",(VLOOKUP($A104,OffPwrVolTable,(IF(VolBMO3=2,7,IF(VolBMO3=1,6,8))),FALSE())))</f>
        <v> </v>
      </c>
      <c r="AJ104" s="321" t="str">
        <f aca="false">IF($A104="N/A"," ",(VLOOKUP($A104,OffPwrVolTable,(IF(VolBMO3=2,3,IF(VolBMO3=1,2,4))),FALSE())*VLOOKUP(MONTH($A104),Volscale,2)))</f>
        <v> </v>
      </c>
      <c r="AK104" s="321" t="str">
        <f aca="false">IF($A104="N/A"," ",IF(VolType3=1,AJ104,AI104))</f>
        <v> </v>
      </c>
      <c r="AL104" s="321" t="str">
        <f aca="false">IF($A104="N/A"," ",IF(PV=1,0,'Pricing Inputs3'!R137))</f>
        <v> </v>
      </c>
      <c r="AM104" s="323" t="str">
        <f aca="false">IF($A104="N/A"," ",(1+AL104/2)^(-2*((EOMONTH(A104,0)+20)-DateToday)/365.25))</f>
        <v> </v>
      </c>
      <c r="BQ104" s="0" t="str">
        <f aca="false">IF($A104="N/A"," ",(VLOOKUP($A104,NumberofDaysTable,2)))</f>
        <v> </v>
      </c>
      <c r="BR104" s="0" t="str">
        <f aca="false">IF($A104="N/A"," ",(VLOOKUP($A104,NumberofDaysTable,3)))</f>
        <v> </v>
      </c>
      <c r="BS104" s="0" t="str">
        <f aca="false">IF($A104="N/A"," ",(VLOOKUP($A104,NumberofDaysTable,4)))</f>
        <v> </v>
      </c>
    </row>
    <row r="105" customFormat="false" ht="12.75" hidden="false" customHeight="false" outlineLevel="0" collapsed="false">
      <c r="A105" s="315" t="str">
        <f aca="false">IF(A104="N/A","N/A",IF(EDATE(A104,1)&gt;Inputs!$Q$5,"N/A",EDATE(A104,1)))</f>
        <v>N/A</v>
      </c>
      <c r="B105" s="316" t="str">
        <f aca="false">IF(A105="N/A"," ",YEAR(A105))</f>
        <v> </v>
      </c>
      <c r="C105" s="317" t="str">
        <f aca="false">IF($A105="N/A"," ",IF(Dayrun3=10,0,IF(Scaler3=1,(VLOOKUP(A105,ScaledPrice3,4)),(VLOOKUP(A105,ScaledPrice3,2)))))</f>
        <v> </v>
      </c>
      <c r="D105" s="317" t="str">
        <f aca="false">IF(A105="N/A"," ",IF(Dayrun3&gt;=7,0,IF(Scaler3=2,VLOOKUP(A105,ScaledPrice3,2),(VLOOKUP(A105,ScaledPrice3,2))*(2-(VLOOKUP(A105,ScaledPrice3,3))))))</f>
        <v> </v>
      </c>
      <c r="E105" s="317" t="str">
        <f aca="false">IF($A105="N/A"," ",IF(AND(Dayrun3&gt;=4,Dayrun3&lt;=9),0,VLOOKUP($A105,ScaledPrice3,9)))</f>
        <v> </v>
      </c>
      <c r="F105" s="317" t="str">
        <f aca="false">IF(A105="N/A"," ",IF(OR(Dayrun3=2,Dayrun3=3,Dayrun3=5,Dayrun3=6,Dayrun3=8,Dayrun3=9),VLOOKUP(A105,ScaledPrice3,IF(Scaler3=1,6,5)),0))</f>
        <v> </v>
      </c>
      <c r="G105" s="317" t="str">
        <f aca="false">IF(A105="N/A"," ",IF(OR(Dayrun3=2,Dayrun3=3,Dayrun3=5,Dayrun3=6),IF(Scaler3=2,F105,(VLOOKUP(A105,ScaledPrice3,5))*(2-(VLOOKUP(A105,ScaledPrice3,3)))),0))</f>
        <v> </v>
      </c>
      <c r="H105" s="317" t="str">
        <f aca="false">IF($A105="N/A"," ",IF(OR(Dayrun3=2,Dayrun3=3,Dayrun3=10),VLOOKUP($A105,ScaledPrice3,9),0))</f>
        <v> </v>
      </c>
      <c r="I105" s="317" t="str">
        <f aca="false">IF(A105="N/A"," ",IF(OR(Dayrun3=3,Dayrun3=6,Dayrun3=9),(VLOOKUP(A105,ScaledPrice3,IF(Scaler3=2,7,8))),0))</f>
        <v> </v>
      </c>
      <c r="J105" s="317" t="str">
        <f aca="false">IF(A105="N/A"," ",IF(OR(Dayrun3=3,Dayrun3=6),IF(Scaler3=2,I105,(VLOOKUP(A105,ScaledPrice3,7))*(2-(VLOOKUP(A105,ScaledPrice3,3)))),0))</f>
        <v> </v>
      </c>
      <c r="K105" s="317" t="str">
        <f aca="false">IF($A105="N/A"," ",IF(OR(Dayrun3=3,Dayrun3=10),VLOOKUP($A105,ScaledPrice3,9),0))</f>
        <v> </v>
      </c>
      <c r="L105" s="318" t="str">
        <f aca="false">IF($A105="N/A"," ",IF(Pricetype3=2,MAX(C105,0),IF(OR(Pricetype3=1,Pricetype3=4),IF(C105=0,0,(EURO(C105,Strikeprice3,0,0,($AH105+IF(Smile=TRUE(),VLOOKUP(MAX(-5,Strikeprice3-C105),Volsmile,2),0)),($A105-DateToday)+15,IF(Pricetype3=1,1,0),0))),C105)))</f>
        <v> </v>
      </c>
      <c r="M105" s="318" t="str">
        <f aca="false">IF($A105="N/A"," ",IF(Pricetype3=2,MAX(D105,0),IF(OR(Pricetype3=1,Pricetype3=4),IF(D105=0,0,(EURO(D105,Strikeprice3,0,0,($AH105+IF(Smile=TRUE(),VLOOKUP(MAX(-5,Strikeprice3-D105),Volsmile,2),0)),($A105-DateToday)+15,IF(Pricetype3=1,1,0),0))),D105)))</f>
        <v> </v>
      </c>
      <c r="N105" s="318" t="str">
        <f aca="false">IF($A105="N/A"," ",IF(Pricetype3=2,MAX(E105,0),IF(OR(Pricetype3=1,Pricetype3=4),IF(E105=0,0,(EURO(E105,Strikeprice3,0,0,($AK105+IF(Smile=TRUE(),VLOOKUP(MAX(-5,Strikeprice3-E105),Volsmile,2),0)),($A105-DateToday)+15,IF(Pricetype3=1,1,0),0))),E105)))</f>
        <v> </v>
      </c>
      <c r="O105" s="318" t="str">
        <f aca="false">IF($A105="N/A"," ",IF(Pricetype3=2,MAX(F105,0),IF(OR(Pricetype3=1,Pricetype3=4),IF(F105=0,0,(EURO(F105,Strikeprice3,0,0,($AK105+IF(Smile=TRUE(),VLOOKUP(MAX(-5,Strikeprice3-F105),Volsmile,2),0)),($A105-DateToday)+15,IF(Pricetype3=1,1,0),0))),F105)))</f>
        <v> </v>
      </c>
      <c r="P105" s="318" t="str">
        <f aca="false">IF($A105="N/A"," ",IF(Pricetype3=2,MAX(G105,0),IF(OR(Pricetype3=1,Pricetype3=4),IF(G105=0,0,(EURO(G105,Strikeprice3,0,0,($AK105+IF(Smile=TRUE(),VLOOKUP(MAX(-5,Strikeprice3-G105),Volsmile,2),0)),($A105-DateToday)+15,IF(Pricetype3=1,1,0),0))),G105)))</f>
        <v> </v>
      </c>
      <c r="Q105" s="318" t="str">
        <f aca="false">IF($A105="N/A"," ",IF(Pricetype3=2,MAX(H105,0),IF(OR(Pricetype3=1,Pricetype3=4),IF(H105=0,0,(EURO(H105,Strikeprice3,0,0,($AK105+IF(Smile=TRUE(),VLOOKUP(MAX(-5,Strikeprice3-H105),Volsmile,2),0)),($A105-DateToday)+15,IF(Pricetype3=1,1,0),0))),H105)))</f>
        <v> </v>
      </c>
      <c r="R105" s="318" t="str">
        <f aca="false">IF($A105="N/A"," ",IF(Pricetype3=2,MAX(I105,0),IF(OR(Pricetype3=1,Pricetype3=4),IF(I105=0,0,(EURO(I105,Strikeprice3,0,0,($AK105+IF(Smile=TRUE(),VLOOKUP(MAX(-5,Strikeprice3-I105),Volsmile,2),0)),($A105-DateToday)+15,IF(Pricetype3=1,1,0),0))),I105)))</f>
        <v> </v>
      </c>
      <c r="S105" s="318" t="str">
        <f aca="false">IF($A105="N/A"," ",IF(Pricetype3=2,MAX(J105,0),IF(OR(Pricetype3=1,Pricetype3=4),IF(J105=0,0,(EURO(J105,Strikeprice3,0,0,($AK105+IF(Smile=TRUE(),VLOOKUP(MAX(-5,Strikeprice3-J105),Volsmile,2),0)),($A105-DateToday)+15,IF(Pricetype3=1,1,0),0))),J105)))</f>
        <v> </v>
      </c>
      <c r="T105" s="318" t="str">
        <f aca="false">IF($A105="N/A"," ",IF(Pricetype3=2,MAX(K105,0),IF(OR(Pricetype3=1,Pricetype3=4),IF(K105=0,0,(EURO(K105,Strikeprice3,0,0,($AK105+IF(Smile=TRUE(),VLOOKUP(MAX(-5,Strikeprice3-K105),Volsmile,2),0)),($A105-DateToday)+15,IF(Pricetype3=1,1,0),0))),K105)))</f>
        <v> </v>
      </c>
      <c r="U105" s="319" t="str">
        <f aca="false">IF($A105="N/A"," ",Volume3*$AM105)</f>
        <v> </v>
      </c>
      <c r="V105" s="320" t="str">
        <f aca="false">IF($A105="N/A"," ",$U105*(8*($BQ105))*L105)</f>
        <v> </v>
      </c>
      <c r="W105" s="320" t="str">
        <f aca="false">IF($A105="N/A"," ",$U105*(8*($BQ105))*M105)</f>
        <v> </v>
      </c>
      <c r="X105" s="320" t="str">
        <f aca="false">IF($A105="N/A"," ",$U105*(8*($BQ105))*N105)</f>
        <v> </v>
      </c>
      <c r="Y105" s="320" t="str">
        <f aca="false">IF($A105="N/A"," ",$U105*(8*($BR105))*O105)</f>
        <v> </v>
      </c>
      <c r="Z105" s="320" t="str">
        <f aca="false">IF($A105="N/A"," ",$U105*(8*($BR105))*P105)</f>
        <v> </v>
      </c>
      <c r="AA105" s="320" t="str">
        <f aca="false">IF($A105="N/A"," ",$U105*(8*($BR105))*Q105)</f>
        <v> </v>
      </c>
      <c r="AB105" s="320" t="str">
        <f aca="false">IF($A105="N/A"," ",$U105*(8*($BS105))*R105)</f>
        <v> </v>
      </c>
      <c r="AC105" s="320" t="str">
        <f aca="false">IF($A105="N/A"," ",$U105*(8*($BS105))*S105)</f>
        <v> </v>
      </c>
      <c r="AD105" s="320" t="str">
        <f aca="false">IF($A105="N/A"," ",$U105*(8*($BS105))*T105)</f>
        <v> </v>
      </c>
      <c r="AE105" s="320" t="str">
        <f aca="false">IF($A105="N/A"," ",SUM(V105:AD105))</f>
        <v> </v>
      </c>
      <c r="AF105" s="321" t="str">
        <f aca="false">IF(A105="N/A"," ",(VLOOKUP(A105,PowerVolTable,(IF(VolBMO3=2,7,IF(VolBMO3=1,6,8))),FALSE())))</f>
        <v> </v>
      </c>
      <c r="AG105" s="321" t="str">
        <f aca="false">IF(A105="N/A"," ",(VLOOKUP(A105,IntraPowerVol,(IF(VolBMO3=2,3,IF(VolBMO3=1,2,4))),FALSE())*VLOOKUP(MONTH($A105),Volscale,2)))</f>
        <v> </v>
      </c>
      <c r="AH105" s="321" t="str">
        <f aca="false">IF($A105="N/A"," ",IF(VolType3=1,AG105,AF105))</f>
        <v> </v>
      </c>
      <c r="AI105" s="321" t="str">
        <f aca="false">IF($A105="N/A"," ",(VLOOKUP($A105,OffPwrVolTable,(IF(VolBMO3=2,7,IF(VolBMO3=1,6,8))),FALSE())))</f>
        <v> </v>
      </c>
      <c r="AJ105" s="321" t="str">
        <f aca="false">IF($A105="N/A"," ",(VLOOKUP($A105,OffPwrVolTable,(IF(VolBMO3=2,3,IF(VolBMO3=1,2,4))),FALSE())*VLOOKUP(MONTH($A105),Volscale,2)))</f>
        <v> </v>
      </c>
      <c r="AK105" s="321" t="str">
        <f aca="false">IF($A105="N/A"," ",IF(VolType3=1,AJ105,AI105))</f>
        <v> </v>
      </c>
      <c r="AL105" s="321" t="str">
        <f aca="false">IF($A105="N/A"," ",IF(PV=1,0,'Pricing Inputs3'!R138))</f>
        <v> </v>
      </c>
      <c r="AM105" s="323" t="str">
        <f aca="false">IF($A105="N/A"," ",(1+AL105/2)^(-2*((EOMONTH(A105,0)+20)-DateToday)/365.25))</f>
        <v> </v>
      </c>
      <c r="BQ105" s="0" t="str">
        <f aca="false">IF($A105="N/A"," ",(VLOOKUP($A105,NumberofDaysTable,2)))</f>
        <v> </v>
      </c>
      <c r="BR105" s="0" t="str">
        <f aca="false">IF($A105="N/A"," ",(VLOOKUP($A105,NumberofDaysTable,3)))</f>
        <v> </v>
      </c>
      <c r="BS105" s="0" t="str">
        <f aca="false">IF($A105="N/A"," ",(VLOOKUP($A105,NumberofDaysTable,4)))</f>
        <v> </v>
      </c>
    </row>
    <row r="106" customFormat="false" ht="12.75" hidden="false" customHeight="false" outlineLevel="0" collapsed="false">
      <c r="A106" s="315" t="str">
        <f aca="false">IF(A105="N/A","N/A",IF(EDATE(A105,1)&gt;Inputs!$Q$5,"N/A",EDATE(A105,1)))</f>
        <v>N/A</v>
      </c>
      <c r="B106" s="316" t="str">
        <f aca="false">IF(A106="N/A"," ",YEAR(A106))</f>
        <v> </v>
      </c>
      <c r="C106" s="317" t="str">
        <f aca="false">IF($A106="N/A"," ",IF(Dayrun3=10,0,IF(Scaler3=1,(VLOOKUP(A106,ScaledPrice3,4)),(VLOOKUP(A106,ScaledPrice3,2)))))</f>
        <v> </v>
      </c>
      <c r="D106" s="317" t="str">
        <f aca="false">IF(A106="N/A"," ",IF(Dayrun3&gt;=7,0,IF(Scaler3=2,VLOOKUP(A106,ScaledPrice3,2),(VLOOKUP(A106,ScaledPrice3,2))*(2-(VLOOKUP(A106,ScaledPrice3,3))))))</f>
        <v> </v>
      </c>
      <c r="E106" s="317" t="str">
        <f aca="false">IF($A106="N/A"," ",IF(AND(Dayrun3&gt;=4,Dayrun3&lt;=9),0,VLOOKUP($A106,ScaledPrice3,9)))</f>
        <v> </v>
      </c>
      <c r="F106" s="317" t="str">
        <f aca="false">IF(A106="N/A"," ",IF(OR(Dayrun3=2,Dayrun3=3,Dayrun3=5,Dayrun3=6,Dayrun3=8,Dayrun3=9),VLOOKUP(A106,ScaledPrice3,IF(Scaler3=1,6,5)),0))</f>
        <v> </v>
      </c>
      <c r="G106" s="317" t="str">
        <f aca="false">IF(A106="N/A"," ",IF(OR(Dayrun3=2,Dayrun3=3,Dayrun3=5,Dayrun3=6),IF(Scaler3=2,F106,(VLOOKUP(A106,ScaledPrice3,5))*(2-(VLOOKUP(A106,ScaledPrice3,3)))),0))</f>
        <v> </v>
      </c>
      <c r="H106" s="317" t="str">
        <f aca="false">IF($A106="N/A"," ",IF(OR(Dayrun3=2,Dayrun3=3,Dayrun3=10),VLOOKUP($A106,ScaledPrice3,9),0))</f>
        <v> </v>
      </c>
      <c r="I106" s="317" t="str">
        <f aca="false">IF(A106="N/A"," ",IF(OR(Dayrun3=3,Dayrun3=6,Dayrun3=9),(VLOOKUP(A106,ScaledPrice3,IF(Scaler3=2,7,8))),0))</f>
        <v> </v>
      </c>
      <c r="J106" s="317" t="str">
        <f aca="false">IF(A106="N/A"," ",IF(OR(Dayrun3=3,Dayrun3=6),IF(Scaler3=2,I106,(VLOOKUP(A106,ScaledPrice3,7))*(2-(VLOOKUP(A106,ScaledPrice3,3)))),0))</f>
        <v> </v>
      </c>
      <c r="K106" s="317" t="str">
        <f aca="false">IF($A106="N/A"," ",IF(OR(Dayrun3=3,Dayrun3=10),VLOOKUP($A106,ScaledPrice3,9),0))</f>
        <v> </v>
      </c>
      <c r="L106" s="318" t="str">
        <f aca="false">IF($A106="N/A"," ",IF(Pricetype3=2,MAX(C106,0),IF(OR(Pricetype3=1,Pricetype3=4),IF(C106=0,0,(EURO(C106,Strikeprice3,0,0,($AH106+IF(Smile=TRUE(),VLOOKUP(MAX(-5,Strikeprice3-C106),Volsmile,2),0)),($A106-DateToday)+15,IF(Pricetype3=1,1,0),0))),C106)))</f>
        <v> </v>
      </c>
      <c r="M106" s="318" t="str">
        <f aca="false">IF($A106="N/A"," ",IF(Pricetype3=2,MAX(D106,0),IF(OR(Pricetype3=1,Pricetype3=4),IF(D106=0,0,(EURO(D106,Strikeprice3,0,0,($AH106+IF(Smile=TRUE(),VLOOKUP(MAX(-5,Strikeprice3-D106),Volsmile,2),0)),($A106-DateToday)+15,IF(Pricetype3=1,1,0),0))),D106)))</f>
        <v> </v>
      </c>
      <c r="N106" s="318" t="str">
        <f aca="false">IF($A106="N/A"," ",IF(Pricetype3=2,MAX(E106,0),IF(OR(Pricetype3=1,Pricetype3=4),IF(E106=0,0,(EURO(E106,Strikeprice3,0,0,($AK106+IF(Smile=TRUE(),VLOOKUP(MAX(-5,Strikeprice3-E106),Volsmile,2),0)),($A106-DateToday)+15,IF(Pricetype3=1,1,0),0))),E106)))</f>
        <v> </v>
      </c>
      <c r="O106" s="318" t="str">
        <f aca="false">IF($A106="N/A"," ",IF(Pricetype3=2,MAX(F106,0),IF(OR(Pricetype3=1,Pricetype3=4),IF(F106=0,0,(EURO(F106,Strikeprice3,0,0,($AK106+IF(Smile=TRUE(),VLOOKUP(MAX(-5,Strikeprice3-F106),Volsmile,2),0)),($A106-DateToday)+15,IF(Pricetype3=1,1,0),0))),F106)))</f>
        <v> </v>
      </c>
      <c r="P106" s="318" t="str">
        <f aca="false">IF($A106="N/A"," ",IF(Pricetype3=2,MAX(G106,0),IF(OR(Pricetype3=1,Pricetype3=4),IF(G106=0,0,(EURO(G106,Strikeprice3,0,0,($AK106+IF(Smile=TRUE(),VLOOKUP(MAX(-5,Strikeprice3-G106),Volsmile,2),0)),($A106-DateToday)+15,IF(Pricetype3=1,1,0),0))),G106)))</f>
        <v> </v>
      </c>
      <c r="Q106" s="318" t="str">
        <f aca="false">IF($A106="N/A"," ",IF(Pricetype3=2,MAX(H106,0),IF(OR(Pricetype3=1,Pricetype3=4),IF(H106=0,0,(EURO(H106,Strikeprice3,0,0,($AK106+IF(Smile=TRUE(),VLOOKUP(MAX(-5,Strikeprice3-H106),Volsmile,2),0)),($A106-DateToday)+15,IF(Pricetype3=1,1,0),0))),H106)))</f>
        <v> </v>
      </c>
      <c r="R106" s="318" t="str">
        <f aca="false">IF($A106="N/A"," ",IF(Pricetype3=2,MAX(I106,0),IF(OR(Pricetype3=1,Pricetype3=4),IF(I106=0,0,(EURO(I106,Strikeprice3,0,0,($AK106+IF(Smile=TRUE(),VLOOKUP(MAX(-5,Strikeprice3-I106),Volsmile,2),0)),($A106-DateToday)+15,IF(Pricetype3=1,1,0),0))),I106)))</f>
        <v> </v>
      </c>
      <c r="S106" s="318" t="str">
        <f aca="false">IF($A106="N/A"," ",IF(Pricetype3=2,MAX(J106,0),IF(OR(Pricetype3=1,Pricetype3=4),IF(J106=0,0,(EURO(J106,Strikeprice3,0,0,($AK106+IF(Smile=TRUE(),VLOOKUP(MAX(-5,Strikeprice3-J106),Volsmile,2),0)),($A106-DateToday)+15,IF(Pricetype3=1,1,0),0))),J106)))</f>
        <v> </v>
      </c>
      <c r="T106" s="318" t="str">
        <f aca="false">IF($A106="N/A"," ",IF(Pricetype3=2,MAX(K106,0),IF(OR(Pricetype3=1,Pricetype3=4),IF(K106=0,0,(EURO(K106,Strikeprice3,0,0,($AK106+IF(Smile=TRUE(),VLOOKUP(MAX(-5,Strikeprice3-K106),Volsmile,2),0)),($A106-DateToday)+15,IF(Pricetype3=1,1,0),0))),K106)))</f>
        <v> </v>
      </c>
      <c r="U106" s="319" t="str">
        <f aca="false">IF($A106="N/A"," ",Volume3*$AM106)</f>
        <v> </v>
      </c>
      <c r="V106" s="320" t="str">
        <f aca="false">IF($A106="N/A"," ",$U106*(8*($BQ106))*L106)</f>
        <v> </v>
      </c>
      <c r="W106" s="320" t="str">
        <f aca="false">IF($A106="N/A"," ",$U106*(8*($BQ106))*M106)</f>
        <v> </v>
      </c>
      <c r="X106" s="320" t="str">
        <f aca="false">IF($A106="N/A"," ",$U106*(8*($BQ106))*N106)</f>
        <v> </v>
      </c>
      <c r="Y106" s="320" t="str">
        <f aca="false">IF($A106="N/A"," ",$U106*(8*($BR106))*O106)</f>
        <v> </v>
      </c>
      <c r="Z106" s="320" t="str">
        <f aca="false">IF($A106="N/A"," ",$U106*(8*($BR106))*P106)</f>
        <v> </v>
      </c>
      <c r="AA106" s="320" t="str">
        <f aca="false">IF($A106="N/A"," ",$U106*(8*($BR106))*Q106)</f>
        <v> </v>
      </c>
      <c r="AB106" s="320" t="str">
        <f aca="false">IF($A106="N/A"," ",$U106*(8*($BS106))*R106)</f>
        <v> </v>
      </c>
      <c r="AC106" s="320" t="str">
        <f aca="false">IF($A106="N/A"," ",$U106*(8*($BS106))*S106)</f>
        <v> </v>
      </c>
      <c r="AD106" s="320" t="str">
        <f aca="false">IF($A106="N/A"," ",$U106*(8*($BS106))*T106)</f>
        <v> </v>
      </c>
      <c r="AE106" s="320" t="str">
        <f aca="false">IF($A106="N/A"," ",SUM(V106:AD106))</f>
        <v> </v>
      </c>
      <c r="AF106" s="321" t="str">
        <f aca="false">IF(A106="N/A"," ",(VLOOKUP(A106,PowerVolTable,(IF(VolBMO3=2,7,IF(VolBMO3=1,6,8))),FALSE())))</f>
        <v> </v>
      </c>
      <c r="AG106" s="321" t="str">
        <f aca="false">IF(A106="N/A"," ",(VLOOKUP(A106,IntraPowerVol,(IF(VolBMO3=2,3,IF(VolBMO3=1,2,4))),FALSE())*VLOOKUP(MONTH($A106),Volscale,2)))</f>
        <v> </v>
      </c>
      <c r="AH106" s="321" t="str">
        <f aca="false">IF($A106="N/A"," ",IF(VolType3=1,AG106,AF106))</f>
        <v> </v>
      </c>
      <c r="AI106" s="321" t="str">
        <f aca="false">IF($A106="N/A"," ",(VLOOKUP($A106,OffPwrVolTable,(IF(VolBMO3=2,7,IF(VolBMO3=1,6,8))),FALSE())))</f>
        <v> </v>
      </c>
      <c r="AJ106" s="321" t="str">
        <f aca="false">IF($A106="N/A"," ",(VLOOKUP($A106,OffPwrVolTable,(IF(VolBMO3=2,3,IF(VolBMO3=1,2,4))),FALSE())*VLOOKUP(MONTH($A106),Volscale,2)))</f>
        <v> </v>
      </c>
      <c r="AK106" s="321" t="str">
        <f aca="false">IF($A106="N/A"," ",IF(VolType3=1,AJ106,AI106))</f>
        <v> </v>
      </c>
      <c r="AL106" s="321" t="str">
        <f aca="false">IF($A106="N/A"," ",IF(PV=1,0,'Pricing Inputs3'!R139))</f>
        <v> </v>
      </c>
      <c r="AM106" s="323" t="str">
        <f aca="false">IF($A106="N/A"," ",(1+AL106/2)^(-2*((EOMONTH(A106,0)+20)-DateToday)/365.25))</f>
        <v> </v>
      </c>
      <c r="BQ106" s="0" t="str">
        <f aca="false">IF($A106="N/A"," ",(VLOOKUP($A106,NumberofDaysTable,2)))</f>
        <v> </v>
      </c>
      <c r="BR106" s="0" t="str">
        <f aca="false">IF($A106="N/A"," ",(VLOOKUP($A106,NumberofDaysTable,3)))</f>
        <v> </v>
      </c>
      <c r="BS106" s="0" t="str">
        <f aca="false">IF($A106="N/A"," ",(VLOOKUP($A106,NumberofDaysTable,4)))</f>
        <v> </v>
      </c>
    </row>
    <row r="107" customFormat="false" ht="12.75" hidden="false" customHeight="false" outlineLevel="0" collapsed="false">
      <c r="A107" s="315" t="str">
        <f aca="false">IF(A106="N/A","N/A",IF(EDATE(A106,1)&gt;Inputs!$Q$5,"N/A",EDATE(A106,1)))</f>
        <v>N/A</v>
      </c>
      <c r="B107" s="316" t="str">
        <f aca="false">IF(A107="N/A"," ",YEAR(A107))</f>
        <v> </v>
      </c>
      <c r="C107" s="317" t="str">
        <f aca="false">IF($A107="N/A"," ",IF(Dayrun3=10,0,IF(Scaler3=1,(VLOOKUP(A107,ScaledPrice3,4)),(VLOOKUP(A107,ScaledPrice3,2)))))</f>
        <v> </v>
      </c>
      <c r="D107" s="317" t="str">
        <f aca="false">IF(A107="N/A"," ",IF(Dayrun3&gt;=7,0,IF(Scaler3=2,VLOOKUP(A107,ScaledPrice3,2),(VLOOKUP(A107,ScaledPrice3,2))*(2-(VLOOKUP(A107,ScaledPrice3,3))))))</f>
        <v> </v>
      </c>
      <c r="E107" s="317" t="str">
        <f aca="false">IF($A107="N/A"," ",IF(AND(Dayrun3&gt;=4,Dayrun3&lt;=9),0,VLOOKUP($A107,ScaledPrice3,9)))</f>
        <v> </v>
      </c>
      <c r="F107" s="317" t="str">
        <f aca="false">IF(A107="N/A"," ",IF(OR(Dayrun3=2,Dayrun3=3,Dayrun3=5,Dayrun3=6,Dayrun3=8,Dayrun3=9),VLOOKUP(A107,ScaledPrice3,IF(Scaler3=1,6,5)),0))</f>
        <v> </v>
      </c>
      <c r="G107" s="317" t="str">
        <f aca="false">IF(A107="N/A"," ",IF(OR(Dayrun3=2,Dayrun3=3,Dayrun3=5,Dayrun3=6),IF(Scaler3=2,F107,(VLOOKUP(A107,ScaledPrice3,5))*(2-(VLOOKUP(A107,ScaledPrice3,3)))),0))</f>
        <v> </v>
      </c>
      <c r="H107" s="317" t="str">
        <f aca="false">IF($A107="N/A"," ",IF(OR(Dayrun3=2,Dayrun3=3,Dayrun3=10),VLOOKUP($A107,ScaledPrice3,9),0))</f>
        <v> </v>
      </c>
      <c r="I107" s="317" t="str">
        <f aca="false">IF(A107="N/A"," ",IF(OR(Dayrun3=3,Dayrun3=6,Dayrun3=9),(VLOOKUP(A107,ScaledPrice3,IF(Scaler3=2,7,8))),0))</f>
        <v> </v>
      </c>
      <c r="J107" s="317" t="str">
        <f aca="false">IF(A107="N/A"," ",IF(OR(Dayrun3=3,Dayrun3=6),IF(Scaler3=2,I107,(VLOOKUP(A107,ScaledPrice3,7))*(2-(VLOOKUP(A107,ScaledPrice3,3)))),0))</f>
        <v> </v>
      </c>
      <c r="K107" s="317" t="str">
        <f aca="false">IF($A107="N/A"," ",IF(OR(Dayrun3=3,Dayrun3=10),VLOOKUP($A107,ScaledPrice3,9),0))</f>
        <v> </v>
      </c>
      <c r="L107" s="318" t="str">
        <f aca="false">IF($A107="N/A"," ",IF(Pricetype3=2,MAX(C107,0),IF(OR(Pricetype3=1,Pricetype3=4),IF(C107=0,0,(EURO(C107,Strikeprice3,0,0,($AH107+IF(Smile=TRUE(),VLOOKUP(MAX(-5,Strikeprice3-C107),Volsmile,2),0)),($A107-DateToday)+15,IF(Pricetype3=1,1,0),0))),C107)))</f>
        <v> </v>
      </c>
      <c r="M107" s="318" t="str">
        <f aca="false">IF($A107="N/A"," ",IF(Pricetype3=2,MAX(D107,0),IF(OR(Pricetype3=1,Pricetype3=4),IF(D107=0,0,(EURO(D107,Strikeprice3,0,0,($AH107+IF(Smile=TRUE(),VLOOKUP(MAX(-5,Strikeprice3-D107),Volsmile,2),0)),($A107-DateToday)+15,IF(Pricetype3=1,1,0),0))),D107)))</f>
        <v> </v>
      </c>
      <c r="N107" s="318" t="str">
        <f aca="false">IF($A107="N/A"," ",IF(Pricetype3=2,MAX(E107,0),IF(OR(Pricetype3=1,Pricetype3=4),IF(E107=0,0,(EURO(E107,Strikeprice3,0,0,($AK107+IF(Smile=TRUE(),VLOOKUP(MAX(-5,Strikeprice3-E107),Volsmile,2),0)),($A107-DateToday)+15,IF(Pricetype3=1,1,0),0))),E107)))</f>
        <v> </v>
      </c>
      <c r="O107" s="318" t="str">
        <f aca="false">IF($A107="N/A"," ",IF(Pricetype3=2,MAX(F107,0),IF(OR(Pricetype3=1,Pricetype3=4),IF(F107=0,0,(EURO(F107,Strikeprice3,0,0,($AK107+IF(Smile=TRUE(),VLOOKUP(MAX(-5,Strikeprice3-F107),Volsmile,2),0)),($A107-DateToday)+15,IF(Pricetype3=1,1,0),0))),F107)))</f>
        <v> </v>
      </c>
      <c r="P107" s="318" t="str">
        <f aca="false">IF($A107="N/A"," ",IF(Pricetype3=2,MAX(G107,0),IF(OR(Pricetype3=1,Pricetype3=4),IF(G107=0,0,(EURO(G107,Strikeprice3,0,0,($AK107+IF(Smile=TRUE(),VLOOKUP(MAX(-5,Strikeprice3-G107),Volsmile,2),0)),($A107-DateToday)+15,IF(Pricetype3=1,1,0),0))),G107)))</f>
        <v> </v>
      </c>
      <c r="Q107" s="318" t="str">
        <f aca="false">IF($A107="N/A"," ",IF(Pricetype3=2,MAX(H107,0),IF(OR(Pricetype3=1,Pricetype3=4),IF(H107=0,0,(EURO(H107,Strikeprice3,0,0,($AK107+IF(Smile=TRUE(),VLOOKUP(MAX(-5,Strikeprice3-H107),Volsmile,2),0)),($A107-DateToday)+15,IF(Pricetype3=1,1,0),0))),H107)))</f>
        <v> </v>
      </c>
      <c r="R107" s="318" t="str">
        <f aca="false">IF($A107="N/A"," ",IF(Pricetype3=2,MAX(I107,0),IF(OR(Pricetype3=1,Pricetype3=4),IF(I107=0,0,(EURO(I107,Strikeprice3,0,0,($AK107+IF(Smile=TRUE(),VLOOKUP(MAX(-5,Strikeprice3-I107),Volsmile,2),0)),($A107-DateToday)+15,IF(Pricetype3=1,1,0),0))),I107)))</f>
        <v> </v>
      </c>
      <c r="S107" s="318" t="str">
        <f aca="false">IF($A107="N/A"," ",IF(Pricetype3=2,MAX(J107,0),IF(OR(Pricetype3=1,Pricetype3=4),IF(J107=0,0,(EURO(J107,Strikeprice3,0,0,($AK107+IF(Smile=TRUE(),VLOOKUP(MAX(-5,Strikeprice3-J107),Volsmile,2),0)),($A107-DateToday)+15,IF(Pricetype3=1,1,0),0))),J107)))</f>
        <v> </v>
      </c>
      <c r="T107" s="318" t="str">
        <f aca="false">IF($A107="N/A"," ",IF(Pricetype3=2,MAX(K107,0),IF(OR(Pricetype3=1,Pricetype3=4),IF(K107=0,0,(EURO(K107,Strikeprice3,0,0,($AK107+IF(Smile=TRUE(),VLOOKUP(MAX(-5,Strikeprice3-K107),Volsmile,2),0)),($A107-DateToday)+15,IF(Pricetype3=1,1,0),0))),K107)))</f>
        <v> </v>
      </c>
      <c r="U107" s="319" t="str">
        <f aca="false">IF($A107="N/A"," ",Volume3*$AM107)</f>
        <v> </v>
      </c>
      <c r="V107" s="320" t="str">
        <f aca="false">IF($A107="N/A"," ",$U107*(8*($BQ107))*L107)</f>
        <v> </v>
      </c>
      <c r="W107" s="320" t="str">
        <f aca="false">IF($A107="N/A"," ",$U107*(8*($BQ107))*M107)</f>
        <v> </v>
      </c>
      <c r="X107" s="320" t="str">
        <f aca="false">IF($A107="N/A"," ",$U107*(8*($BQ107))*N107)</f>
        <v> </v>
      </c>
      <c r="Y107" s="320" t="str">
        <f aca="false">IF($A107="N/A"," ",$U107*(8*($BR107))*O107)</f>
        <v> </v>
      </c>
      <c r="Z107" s="320" t="str">
        <f aca="false">IF($A107="N/A"," ",$U107*(8*($BR107))*P107)</f>
        <v> </v>
      </c>
      <c r="AA107" s="320" t="str">
        <f aca="false">IF($A107="N/A"," ",$U107*(8*($BR107))*Q107)</f>
        <v> </v>
      </c>
      <c r="AB107" s="320" t="str">
        <f aca="false">IF($A107="N/A"," ",$U107*(8*($BS107))*R107)</f>
        <v> </v>
      </c>
      <c r="AC107" s="320" t="str">
        <f aca="false">IF($A107="N/A"," ",$U107*(8*($BS107))*S107)</f>
        <v> </v>
      </c>
      <c r="AD107" s="320" t="str">
        <f aca="false">IF($A107="N/A"," ",$U107*(8*($BS107))*T107)</f>
        <v> </v>
      </c>
      <c r="AE107" s="320" t="str">
        <f aca="false">IF($A107="N/A"," ",SUM(V107:AD107))</f>
        <v> </v>
      </c>
      <c r="AF107" s="321" t="str">
        <f aca="false">IF(A107="N/A"," ",(VLOOKUP(A107,PowerVolTable,(IF(VolBMO3=2,7,IF(VolBMO3=1,6,8))),FALSE())))</f>
        <v> </v>
      </c>
      <c r="AG107" s="321" t="str">
        <f aca="false">IF(A107="N/A"," ",(VLOOKUP(A107,IntraPowerVol,(IF(VolBMO3=2,3,IF(VolBMO3=1,2,4))),FALSE())*VLOOKUP(MONTH($A107),Volscale,2)))</f>
        <v> </v>
      </c>
      <c r="AH107" s="321" t="str">
        <f aca="false">IF($A107="N/A"," ",IF(VolType3=1,AG107,AF107))</f>
        <v> </v>
      </c>
      <c r="AI107" s="321" t="str">
        <f aca="false">IF($A107="N/A"," ",(VLOOKUP($A107,OffPwrVolTable,(IF(VolBMO3=2,7,IF(VolBMO3=1,6,8))),FALSE())))</f>
        <v> </v>
      </c>
      <c r="AJ107" s="321" t="str">
        <f aca="false">IF($A107="N/A"," ",(VLOOKUP($A107,OffPwrVolTable,(IF(VolBMO3=2,3,IF(VolBMO3=1,2,4))),FALSE())*VLOOKUP(MONTH($A107),Volscale,2)))</f>
        <v> </v>
      </c>
      <c r="AK107" s="321" t="str">
        <f aca="false">IF($A107="N/A"," ",IF(VolType3=1,AJ107,AI107))</f>
        <v> </v>
      </c>
      <c r="AL107" s="321" t="str">
        <f aca="false">IF($A107="N/A"," ",IF(PV=1,0,'Pricing Inputs3'!R140))</f>
        <v> </v>
      </c>
      <c r="AM107" s="323" t="str">
        <f aca="false">IF($A107="N/A"," ",(1+AL107/2)^(-2*((EOMONTH(A107,0)+20)-DateToday)/365.25))</f>
        <v> </v>
      </c>
      <c r="BQ107" s="0" t="str">
        <f aca="false">IF($A107="N/A"," ",(VLOOKUP($A107,NumberofDaysTable,2)))</f>
        <v> </v>
      </c>
      <c r="BR107" s="0" t="str">
        <f aca="false">IF($A107="N/A"," ",(VLOOKUP($A107,NumberofDaysTable,3)))</f>
        <v> </v>
      </c>
      <c r="BS107" s="0" t="str">
        <f aca="false">IF($A107="N/A"," ",(VLOOKUP($A107,NumberofDaysTable,4)))</f>
        <v> </v>
      </c>
    </row>
    <row r="108" customFormat="false" ht="12.75" hidden="false" customHeight="false" outlineLevel="0" collapsed="false">
      <c r="A108" s="315" t="str">
        <f aca="false">IF(A107="N/A","N/A",IF(EDATE(A107,1)&gt;Inputs!$Q$5,"N/A",EDATE(A107,1)))</f>
        <v>N/A</v>
      </c>
      <c r="B108" s="316" t="str">
        <f aca="false">IF(A108="N/A"," ",YEAR(A108))</f>
        <v> </v>
      </c>
      <c r="C108" s="317" t="str">
        <f aca="false">IF($A108="N/A"," ",IF(Dayrun3=10,0,IF(Scaler3=1,(VLOOKUP(A108,ScaledPrice3,4)),(VLOOKUP(A108,ScaledPrice3,2)))))</f>
        <v> </v>
      </c>
      <c r="D108" s="317" t="str">
        <f aca="false">IF(A108="N/A"," ",IF(Dayrun3&gt;=7,0,IF(Scaler3=2,VLOOKUP(A108,ScaledPrice3,2),(VLOOKUP(A108,ScaledPrice3,2))*(2-(VLOOKUP(A108,ScaledPrice3,3))))))</f>
        <v> </v>
      </c>
      <c r="E108" s="317" t="str">
        <f aca="false">IF($A108="N/A"," ",IF(AND(Dayrun3&gt;=4,Dayrun3&lt;=9),0,VLOOKUP($A108,ScaledPrice3,9)))</f>
        <v> </v>
      </c>
      <c r="F108" s="317" t="str">
        <f aca="false">IF(A108="N/A"," ",IF(OR(Dayrun3=2,Dayrun3=3,Dayrun3=5,Dayrun3=6,Dayrun3=8,Dayrun3=9),VLOOKUP(A108,ScaledPrice3,IF(Scaler3=1,6,5)),0))</f>
        <v> </v>
      </c>
      <c r="G108" s="317" t="str">
        <f aca="false">IF(A108="N/A"," ",IF(OR(Dayrun3=2,Dayrun3=3,Dayrun3=5,Dayrun3=6),IF(Scaler3=2,F108,(VLOOKUP(A108,ScaledPrice3,5))*(2-(VLOOKUP(A108,ScaledPrice3,3)))),0))</f>
        <v> </v>
      </c>
      <c r="H108" s="317" t="str">
        <f aca="false">IF($A108="N/A"," ",IF(OR(Dayrun3=2,Dayrun3=3,Dayrun3=10),VLOOKUP($A108,ScaledPrice3,9),0))</f>
        <v> </v>
      </c>
      <c r="I108" s="317" t="str">
        <f aca="false">IF(A108="N/A"," ",IF(OR(Dayrun3=3,Dayrun3=6,Dayrun3=9),(VLOOKUP(A108,ScaledPrice3,IF(Scaler3=2,7,8))),0))</f>
        <v> </v>
      </c>
      <c r="J108" s="317" t="str">
        <f aca="false">IF(A108="N/A"," ",IF(OR(Dayrun3=3,Dayrun3=6),IF(Scaler3=2,I108,(VLOOKUP(A108,ScaledPrice3,7))*(2-(VLOOKUP(A108,ScaledPrice3,3)))),0))</f>
        <v> </v>
      </c>
      <c r="K108" s="317" t="str">
        <f aca="false">IF($A108="N/A"," ",IF(OR(Dayrun3=3,Dayrun3=10),VLOOKUP($A108,ScaledPrice3,9),0))</f>
        <v> </v>
      </c>
      <c r="L108" s="318" t="str">
        <f aca="false">IF($A108="N/A"," ",IF(Pricetype3=2,MAX(C108,0),IF(OR(Pricetype3=1,Pricetype3=4),IF(C108=0,0,(EURO(C108,Strikeprice3,0,0,($AH108+IF(Smile=TRUE(),VLOOKUP(MAX(-5,Strikeprice3-C108),Volsmile,2),0)),($A108-DateToday)+15,IF(Pricetype3=1,1,0),0))),C108)))</f>
        <v> </v>
      </c>
      <c r="M108" s="318" t="str">
        <f aca="false">IF($A108="N/A"," ",IF(Pricetype3=2,MAX(D108,0),IF(OR(Pricetype3=1,Pricetype3=4),IF(D108=0,0,(EURO(D108,Strikeprice3,0,0,($AH108+IF(Smile=TRUE(),VLOOKUP(MAX(-5,Strikeprice3-D108),Volsmile,2),0)),($A108-DateToday)+15,IF(Pricetype3=1,1,0),0))),D108)))</f>
        <v> </v>
      </c>
      <c r="N108" s="318" t="str">
        <f aca="false">IF($A108="N/A"," ",IF(Pricetype3=2,MAX(E108,0),IF(OR(Pricetype3=1,Pricetype3=4),IF(E108=0,0,(EURO(E108,Strikeprice3,0,0,($AK108+IF(Smile=TRUE(),VLOOKUP(MAX(-5,Strikeprice3-E108),Volsmile,2),0)),($A108-DateToday)+15,IF(Pricetype3=1,1,0),0))),E108)))</f>
        <v> </v>
      </c>
      <c r="O108" s="318" t="str">
        <f aca="false">IF($A108="N/A"," ",IF(Pricetype3=2,MAX(F108,0),IF(OR(Pricetype3=1,Pricetype3=4),IF(F108=0,0,(EURO(F108,Strikeprice3,0,0,($AK108+IF(Smile=TRUE(),VLOOKUP(MAX(-5,Strikeprice3-F108),Volsmile,2),0)),($A108-DateToday)+15,IF(Pricetype3=1,1,0),0))),F108)))</f>
        <v> </v>
      </c>
      <c r="P108" s="318" t="str">
        <f aca="false">IF($A108="N/A"," ",IF(Pricetype3=2,MAX(G108,0),IF(OR(Pricetype3=1,Pricetype3=4),IF(G108=0,0,(EURO(G108,Strikeprice3,0,0,($AK108+IF(Smile=TRUE(),VLOOKUP(MAX(-5,Strikeprice3-G108),Volsmile,2),0)),($A108-DateToday)+15,IF(Pricetype3=1,1,0),0))),G108)))</f>
        <v> </v>
      </c>
      <c r="Q108" s="318" t="str">
        <f aca="false">IF($A108="N/A"," ",IF(Pricetype3=2,MAX(H108,0),IF(OR(Pricetype3=1,Pricetype3=4),IF(H108=0,0,(EURO(H108,Strikeprice3,0,0,($AK108+IF(Smile=TRUE(),VLOOKUP(MAX(-5,Strikeprice3-H108),Volsmile,2),0)),($A108-DateToday)+15,IF(Pricetype3=1,1,0),0))),H108)))</f>
        <v> </v>
      </c>
      <c r="R108" s="318" t="str">
        <f aca="false">IF($A108="N/A"," ",IF(Pricetype3=2,MAX(I108,0),IF(OR(Pricetype3=1,Pricetype3=4),IF(I108=0,0,(EURO(I108,Strikeprice3,0,0,($AK108+IF(Smile=TRUE(),VLOOKUP(MAX(-5,Strikeprice3-I108),Volsmile,2),0)),($A108-DateToday)+15,IF(Pricetype3=1,1,0),0))),I108)))</f>
        <v> </v>
      </c>
      <c r="S108" s="318" t="str">
        <f aca="false">IF($A108="N/A"," ",IF(Pricetype3=2,MAX(J108,0),IF(OR(Pricetype3=1,Pricetype3=4),IF(J108=0,0,(EURO(J108,Strikeprice3,0,0,($AK108+IF(Smile=TRUE(),VLOOKUP(MAX(-5,Strikeprice3-J108),Volsmile,2),0)),($A108-DateToday)+15,IF(Pricetype3=1,1,0),0))),J108)))</f>
        <v> </v>
      </c>
      <c r="T108" s="318" t="str">
        <f aca="false">IF($A108="N/A"," ",IF(Pricetype3=2,MAX(K108,0),IF(OR(Pricetype3=1,Pricetype3=4),IF(K108=0,0,(EURO(K108,Strikeprice3,0,0,($AK108+IF(Smile=TRUE(),VLOOKUP(MAX(-5,Strikeprice3-K108),Volsmile,2),0)),($A108-DateToday)+15,IF(Pricetype3=1,1,0),0))),K108)))</f>
        <v> </v>
      </c>
      <c r="U108" s="319" t="str">
        <f aca="false">IF($A108="N/A"," ",Volume3*$AM108)</f>
        <v> </v>
      </c>
      <c r="V108" s="320" t="str">
        <f aca="false">IF($A108="N/A"," ",$U108*(8*($BQ108))*L108)</f>
        <v> </v>
      </c>
      <c r="W108" s="320" t="str">
        <f aca="false">IF($A108="N/A"," ",$U108*(8*($BQ108))*M108)</f>
        <v> </v>
      </c>
      <c r="X108" s="320" t="str">
        <f aca="false">IF($A108="N/A"," ",$U108*(8*($BQ108))*N108)</f>
        <v> </v>
      </c>
      <c r="Y108" s="320" t="str">
        <f aca="false">IF($A108="N/A"," ",$U108*(8*($BR108))*O108)</f>
        <v> </v>
      </c>
      <c r="Z108" s="320" t="str">
        <f aca="false">IF($A108="N/A"," ",$U108*(8*($BR108))*P108)</f>
        <v> </v>
      </c>
      <c r="AA108" s="320" t="str">
        <f aca="false">IF($A108="N/A"," ",$U108*(8*($BR108))*Q108)</f>
        <v> </v>
      </c>
      <c r="AB108" s="320" t="str">
        <f aca="false">IF($A108="N/A"," ",$U108*(8*($BS108))*R108)</f>
        <v> </v>
      </c>
      <c r="AC108" s="320" t="str">
        <f aca="false">IF($A108="N/A"," ",$U108*(8*($BS108))*S108)</f>
        <v> </v>
      </c>
      <c r="AD108" s="320" t="str">
        <f aca="false">IF($A108="N/A"," ",$U108*(8*($BS108))*T108)</f>
        <v> </v>
      </c>
      <c r="AE108" s="320" t="str">
        <f aca="false">IF($A108="N/A"," ",SUM(V108:AD108))</f>
        <v> </v>
      </c>
      <c r="AF108" s="321" t="str">
        <f aca="false">IF(A108="N/A"," ",(VLOOKUP(A108,PowerVolTable,(IF(VolBMO3=2,7,IF(VolBMO3=1,6,8))),FALSE())))</f>
        <v> </v>
      </c>
      <c r="AG108" s="321" t="str">
        <f aca="false">IF(A108="N/A"," ",(VLOOKUP(A108,IntraPowerVol,(IF(VolBMO3=2,3,IF(VolBMO3=1,2,4))),FALSE())*VLOOKUP(MONTH($A108),Volscale,2)))</f>
        <v> </v>
      </c>
      <c r="AH108" s="321" t="str">
        <f aca="false">IF($A108="N/A"," ",IF(VolType3=1,AG108,AF108))</f>
        <v> </v>
      </c>
      <c r="AI108" s="321" t="str">
        <f aca="false">IF($A108="N/A"," ",(VLOOKUP($A108,OffPwrVolTable,(IF(VolBMO3=2,7,IF(VolBMO3=1,6,8))),FALSE())))</f>
        <v> </v>
      </c>
      <c r="AJ108" s="321" t="str">
        <f aca="false">IF($A108="N/A"," ",(VLOOKUP($A108,OffPwrVolTable,(IF(VolBMO3=2,3,IF(VolBMO3=1,2,4))),FALSE())*VLOOKUP(MONTH($A108),Volscale,2)))</f>
        <v> </v>
      </c>
      <c r="AK108" s="321" t="str">
        <f aca="false">IF($A108="N/A"," ",IF(VolType3=1,AJ108,AI108))</f>
        <v> </v>
      </c>
      <c r="AL108" s="321" t="str">
        <f aca="false">IF($A108="N/A"," ",IF(PV=1,0,'Pricing Inputs3'!R141))</f>
        <v> </v>
      </c>
      <c r="AM108" s="323" t="str">
        <f aca="false">IF($A108="N/A"," ",(1+AL108/2)^(-2*((EOMONTH(A108,0)+20)-DateToday)/365.25))</f>
        <v> </v>
      </c>
      <c r="BQ108" s="0" t="str">
        <f aca="false">IF($A108="N/A"," ",(VLOOKUP($A108,NumberofDaysTable,2)))</f>
        <v> </v>
      </c>
      <c r="BR108" s="0" t="str">
        <f aca="false">IF($A108="N/A"," ",(VLOOKUP($A108,NumberofDaysTable,3)))</f>
        <v> </v>
      </c>
      <c r="BS108" s="0" t="str">
        <f aca="false">IF($A108="N/A"," ",(VLOOKUP($A108,NumberofDaysTable,4)))</f>
        <v> </v>
      </c>
    </row>
    <row r="109" customFormat="false" ht="12.75" hidden="false" customHeight="false" outlineLevel="0" collapsed="false">
      <c r="A109" s="315" t="str">
        <f aca="false">IF(A108="N/A","N/A",IF(EDATE(A108,1)&gt;Inputs!$Q$5,"N/A",EDATE(A108,1)))</f>
        <v>N/A</v>
      </c>
      <c r="B109" s="316" t="str">
        <f aca="false">IF(A109="N/A"," ",YEAR(A109))</f>
        <v> </v>
      </c>
      <c r="C109" s="317" t="str">
        <f aca="false">IF($A109="N/A"," ",IF(Dayrun3=10,0,IF(Scaler3=1,(VLOOKUP(A109,ScaledPrice3,4)),(VLOOKUP(A109,ScaledPrice3,2)))))</f>
        <v> </v>
      </c>
      <c r="D109" s="317" t="str">
        <f aca="false">IF(A109="N/A"," ",IF(Dayrun3&gt;=7,0,IF(Scaler3=2,VLOOKUP(A109,ScaledPrice3,2),(VLOOKUP(A109,ScaledPrice3,2))*(2-(VLOOKUP(A109,ScaledPrice3,3))))))</f>
        <v> </v>
      </c>
      <c r="E109" s="317" t="str">
        <f aca="false">IF($A109="N/A"," ",IF(AND(Dayrun3&gt;=4,Dayrun3&lt;=9),0,VLOOKUP($A109,ScaledPrice3,9)))</f>
        <v> </v>
      </c>
      <c r="F109" s="317" t="str">
        <f aca="false">IF(A109="N/A"," ",IF(OR(Dayrun3=2,Dayrun3=3,Dayrun3=5,Dayrun3=6,Dayrun3=8,Dayrun3=9),VLOOKUP(A109,ScaledPrice3,IF(Scaler3=1,6,5)),0))</f>
        <v> </v>
      </c>
      <c r="G109" s="317" t="str">
        <f aca="false">IF(A109="N/A"," ",IF(OR(Dayrun3=2,Dayrun3=3,Dayrun3=5,Dayrun3=6),IF(Scaler3=2,F109,(VLOOKUP(A109,ScaledPrice3,5))*(2-(VLOOKUP(A109,ScaledPrice3,3)))),0))</f>
        <v> </v>
      </c>
      <c r="H109" s="317" t="str">
        <f aca="false">IF($A109="N/A"," ",IF(OR(Dayrun3=2,Dayrun3=3,Dayrun3=10),VLOOKUP($A109,ScaledPrice3,9),0))</f>
        <v> </v>
      </c>
      <c r="I109" s="317" t="str">
        <f aca="false">IF(A109="N/A"," ",IF(OR(Dayrun3=3,Dayrun3=6,Dayrun3=9),(VLOOKUP(A109,ScaledPrice3,IF(Scaler3=2,7,8))),0))</f>
        <v> </v>
      </c>
      <c r="J109" s="317" t="str">
        <f aca="false">IF(A109="N/A"," ",IF(OR(Dayrun3=3,Dayrun3=6),IF(Scaler3=2,I109,(VLOOKUP(A109,ScaledPrice3,7))*(2-(VLOOKUP(A109,ScaledPrice3,3)))),0))</f>
        <v> </v>
      </c>
      <c r="K109" s="317" t="str">
        <f aca="false">IF($A109="N/A"," ",IF(OR(Dayrun3=3,Dayrun3=10),VLOOKUP($A109,ScaledPrice3,9),0))</f>
        <v> </v>
      </c>
      <c r="L109" s="318" t="str">
        <f aca="false">IF($A109="N/A"," ",IF(Pricetype3=2,MAX(C109,0),IF(OR(Pricetype3=1,Pricetype3=4),IF(C109=0,0,(EURO(C109,Strikeprice3,0,0,($AH109+IF(Smile=TRUE(),VLOOKUP(MAX(-5,Strikeprice3-C109),Volsmile,2),0)),($A109-DateToday)+15,IF(Pricetype3=1,1,0),0))),C109)))</f>
        <v> </v>
      </c>
      <c r="M109" s="318" t="str">
        <f aca="false">IF($A109="N/A"," ",IF(Pricetype3=2,MAX(D109,0),IF(OR(Pricetype3=1,Pricetype3=4),IF(D109=0,0,(EURO(D109,Strikeprice3,0,0,($AH109+IF(Smile=TRUE(),VLOOKUP(MAX(-5,Strikeprice3-D109),Volsmile,2),0)),($A109-DateToday)+15,IF(Pricetype3=1,1,0),0))),D109)))</f>
        <v> </v>
      </c>
      <c r="N109" s="318" t="str">
        <f aca="false">IF($A109="N/A"," ",IF(Pricetype3=2,MAX(E109,0),IF(OR(Pricetype3=1,Pricetype3=4),IF(E109=0,0,(EURO(E109,Strikeprice3,0,0,($AK109+IF(Smile=TRUE(),VLOOKUP(MAX(-5,Strikeprice3-E109),Volsmile,2),0)),($A109-DateToday)+15,IF(Pricetype3=1,1,0),0))),E109)))</f>
        <v> </v>
      </c>
      <c r="O109" s="318" t="str">
        <f aca="false">IF($A109="N/A"," ",IF(Pricetype3=2,MAX(F109,0),IF(OR(Pricetype3=1,Pricetype3=4),IF(F109=0,0,(EURO(F109,Strikeprice3,0,0,($AK109+IF(Smile=TRUE(),VLOOKUP(MAX(-5,Strikeprice3-F109),Volsmile,2),0)),($A109-DateToday)+15,IF(Pricetype3=1,1,0),0))),F109)))</f>
        <v> </v>
      </c>
      <c r="P109" s="318" t="str">
        <f aca="false">IF($A109="N/A"," ",IF(Pricetype3=2,MAX(G109,0),IF(OR(Pricetype3=1,Pricetype3=4),IF(G109=0,0,(EURO(G109,Strikeprice3,0,0,($AK109+IF(Smile=TRUE(),VLOOKUP(MAX(-5,Strikeprice3-G109),Volsmile,2),0)),($A109-DateToday)+15,IF(Pricetype3=1,1,0),0))),G109)))</f>
        <v> </v>
      </c>
      <c r="Q109" s="318" t="str">
        <f aca="false">IF($A109="N/A"," ",IF(Pricetype3=2,MAX(H109,0),IF(OR(Pricetype3=1,Pricetype3=4),IF(H109=0,0,(EURO(H109,Strikeprice3,0,0,($AK109+IF(Smile=TRUE(),VLOOKUP(MAX(-5,Strikeprice3-H109),Volsmile,2),0)),($A109-DateToday)+15,IF(Pricetype3=1,1,0),0))),H109)))</f>
        <v> </v>
      </c>
      <c r="R109" s="318" t="str">
        <f aca="false">IF($A109="N/A"," ",IF(Pricetype3=2,MAX(I109,0),IF(OR(Pricetype3=1,Pricetype3=4),IF(I109=0,0,(EURO(I109,Strikeprice3,0,0,($AK109+IF(Smile=TRUE(),VLOOKUP(MAX(-5,Strikeprice3-I109),Volsmile,2),0)),($A109-DateToday)+15,IF(Pricetype3=1,1,0),0))),I109)))</f>
        <v> </v>
      </c>
      <c r="S109" s="318" t="str">
        <f aca="false">IF($A109="N/A"," ",IF(Pricetype3=2,MAX(J109,0),IF(OR(Pricetype3=1,Pricetype3=4),IF(J109=0,0,(EURO(J109,Strikeprice3,0,0,($AK109+IF(Smile=TRUE(),VLOOKUP(MAX(-5,Strikeprice3-J109),Volsmile,2),0)),($A109-DateToday)+15,IF(Pricetype3=1,1,0),0))),J109)))</f>
        <v> </v>
      </c>
      <c r="T109" s="318" t="str">
        <f aca="false">IF($A109="N/A"," ",IF(Pricetype3=2,MAX(K109,0),IF(OR(Pricetype3=1,Pricetype3=4),IF(K109=0,0,(EURO(K109,Strikeprice3,0,0,($AK109+IF(Smile=TRUE(),VLOOKUP(MAX(-5,Strikeprice3-K109),Volsmile,2),0)),($A109-DateToday)+15,IF(Pricetype3=1,1,0),0))),K109)))</f>
        <v> </v>
      </c>
      <c r="U109" s="319" t="str">
        <f aca="false">IF($A109="N/A"," ",Volume3*$AM109)</f>
        <v> </v>
      </c>
      <c r="V109" s="320" t="str">
        <f aca="false">IF($A109="N/A"," ",$U109*(8*($BQ109))*L109)</f>
        <v> </v>
      </c>
      <c r="W109" s="320" t="str">
        <f aca="false">IF($A109="N/A"," ",$U109*(8*($BQ109))*M109)</f>
        <v> </v>
      </c>
      <c r="X109" s="320" t="str">
        <f aca="false">IF($A109="N/A"," ",$U109*(8*($BQ109))*N109)</f>
        <v> </v>
      </c>
      <c r="Y109" s="320" t="str">
        <f aca="false">IF($A109="N/A"," ",$U109*(8*($BR109))*O109)</f>
        <v> </v>
      </c>
      <c r="Z109" s="320" t="str">
        <f aca="false">IF($A109="N/A"," ",$U109*(8*($BR109))*P109)</f>
        <v> </v>
      </c>
      <c r="AA109" s="320" t="str">
        <f aca="false">IF($A109="N/A"," ",$U109*(8*($BR109))*Q109)</f>
        <v> </v>
      </c>
      <c r="AB109" s="320" t="str">
        <f aca="false">IF($A109="N/A"," ",$U109*(8*($BS109))*R109)</f>
        <v> </v>
      </c>
      <c r="AC109" s="320" t="str">
        <f aca="false">IF($A109="N/A"," ",$U109*(8*($BS109))*S109)</f>
        <v> </v>
      </c>
      <c r="AD109" s="320" t="str">
        <f aca="false">IF($A109="N/A"," ",$U109*(8*($BS109))*T109)</f>
        <v> </v>
      </c>
      <c r="AE109" s="320" t="str">
        <f aca="false">IF($A109="N/A"," ",SUM(V109:AD109))</f>
        <v> </v>
      </c>
      <c r="AF109" s="321" t="str">
        <f aca="false">IF(A109="N/A"," ",(VLOOKUP(A109,PowerVolTable,(IF(VolBMO3=2,7,IF(VolBMO3=1,6,8))),FALSE())))</f>
        <v> </v>
      </c>
      <c r="AG109" s="321" t="str">
        <f aca="false">IF(A109="N/A"," ",(VLOOKUP(A109,IntraPowerVol,(IF(VolBMO3=2,3,IF(VolBMO3=1,2,4))),FALSE())*VLOOKUP(MONTH($A109),Volscale,2)))</f>
        <v> </v>
      </c>
      <c r="AH109" s="321" t="str">
        <f aca="false">IF($A109="N/A"," ",IF(VolType3=1,AG109,AF109))</f>
        <v> </v>
      </c>
      <c r="AI109" s="321" t="str">
        <f aca="false">IF($A109="N/A"," ",(VLOOKUP($A109,OffPwrVolTable,(IF(VolBMO3=2,7,IF(VolBMO3=1,6,8))),FALSE())))</f>
        <v> </v>
      </c>
      <c r="AJ109" s="321" t="str">
        <f aca="false">IF($A109="N/A"," ",(VLOOKUP($A109,OffPwrVolTable,(IF(VolBMO3=2,3,IF(VolBMO3=1,2,4))),FALSE())*VLOOKUP(MONTH($A109),Volscale,2)))</f>
        <v> </v>
      </c>
      <c r="AK109" s="321" t="str">
        <f aca="false">IF($A109="N/A"," ",IF(VolType3=1,AJ109,AI109))</f>
        <v> </v>
      </c>
      <c r="AL109" s="321" t="str">
        <f aca="false">IF($A109="N/A"," ",IF(PV=1,0,'Pricing Inputs3'!R142))</f>
        <v> </v>
      </c>
      <c r="AM109" s="323" t="str">
        <f aca="false">IF($A109="N/A"," ",(1+AL109/2)^(-2*((EOMONTH(A109,0)+20)-DateToday)/365.25))</f>
        <v> </v>
      </c>
      <c r="BQ109" s="0" t="str">
        <f aca="false">IF($A109="N/A"," ",(VLOOKUP($A109,NumberofDaysTable,2)))</f>
        <v> </v>
      </c>
      <c r="BR109" s="0" t="str">
        <f aca="false">IF($A109="N/A"," ",(VLOOKUP($A109,NumberofDaysTable,3)))</f>
        <v> </v>
      </c>
      <c r="BS109" s="0" t="str">
        <f aca="false">IF($A109="N/A"," ",(VLOOKUP($A109,NumberofDaysTable,4)))</f>
        <v> </v>
      </c>
    </row>
    <row r="110" customFormat="false" ht="12.75" hidden="false" customHeight="false" outlineLevel="0" collapsed="false">
      <c r="A110" s="315" t="str">
        <f aca="false">IF(A109="N/A","N/A",IF(EDATE(A109,1)&gt;Inputs!$Q$5,"N/A",EDATE(A109,1)))</f>
        <v>N/A</v>
      </c>
      <c r="B110" s="316" t="str">
        <f aca="false">IF(A110="N/A"," ",YEAR(A110))</f>
        <v> </v>
      </c>
      <c r="C110" s="317" t="str">
        <f aca="false">IF($A110="N/A"," ",IF(Dayrun3=10,0,IF(Scaler3=1,(VLOOKUP(A110,ScaledPrice3,4)),(VLOOKUP(A110,ScaledPrice3,2)))))</f>
        <v> </v>
      </c>
      <c r="D110" s="317" t="str">
        <f aca="false">IF(A110="N/A"," ",IF(Dayrun3&gt;=7,0,IF(Scaler3=2,VLOOKUP(A110,ScaledPrice3,2),(VLOOKUP(A110,ScaledPrice3,2))*(2-(VLOOKUP(A110,ScaledPrice3,3))))))</f>
        <v> </v>
      </c>
      <c r="E110" s="317" t="str">
        <f aca="false">IF($A110="N/A"," ",IF(AND(Dayrun3&gt;=4,Dayrun3&lt;=9),0,VLOOKUP($A110,ScaledPrice3,9)))</f>
        <v> </v>
      </c>
      <c r="F110" s="317" t="str">
        <f aca="false">IF(A110="N/A"," ",IF(OR(Dayrun3=2,Dayrun3=3,Dayrun3=5,Dayrun3=6,Dayrun3=8,Dayrun3=9),VLOOKUP(A110,ScaledPrice3,IF(Scaler3=1,6,5)),0))</f>
        <v> </v>
      </c>
      <c r="G110" s="317" t="str">
        <f aca="false">IF(A110="N/A"," ",IF(OR(Dayrun3=2,Dayrun3=3,Dayrun3=5,Dayrun3=6),IF(Scaler3=2,F110,(VLOOKUP(A110,ScaledPrice3,5))*(2-(VLOOKUP(A110,ScaledPrice3,3)))),0))</f>
        <v> </v>
      </c>
      <c r="H110" s="317" t="str">
        <f aca="false">IF($A110="N/A"," ",IF(OR(Dayrun3=2,Dayrun3=3,Dayrun3=10),VLOOKUP($A110,ScaledPrice3,9),0))</f>
        <v> </v>
      </c>
      <c r="I110" s="317" t="str">
        <f aca="false">IF(A110="N/A"," ",IF(OR(Dayrun3=3,Dayrun3=6,Dayrun3=9),(VLOOKUP(A110,ScaledPrice3,IF(Scaler3=2,7,8))),0))</f>
        <v> </v>
      </c>
      <c r="J110" s="317" t="str">
        <f aca="false">IF(A110="N/A"," ",IF(OR(Dayrun3=3,Dayrun3=6),IF(Scaler3=2,I110,(VLOOKUP(A110,ScaledPrice3,7))*(2-(VLOOKUP(A110,ScaledPrice3,3)))),0))</f>
        <v> </v>
      </c>
      <c r="K110" s="317" t="str">
        <f aca="false">IF($A110="N/A"," ",IF(OR(Dayrun3=3,Dayrun3=10),VLOOKUP($A110,ScaledPrice3,9),0))</f>
        <v> </v>
      </c>
      <c r="L110" s="318" t="str">
        <f aca="false">IF($A110="N/A"," ",IF(Pricetype3=2,MAX(C110,0),IF(OR(Pricetype3=1,Pricetype3=4),IF(C110=0,0,(EURO(C110,Strikeprice3,0,0,($AH110+IF(Smile=TRUE(),VLOOKUP(MAX(-5,Strikeprice3-C110),Volsmile,2),0)),($A110-DateToday)+15,IF(Pricetype3=1,1,0),0))),C110)))</f>
        <v> </v>
      </c>
      <c r="M110" s="318" t="str">
        <f aca="false">IF($A110="N/A"," ",IF(Pricetype3=2,MAX(D110,0),IF(OR(Pricetype3=1,Pricetype3=4),IF(D110=0,0,(EURO(D110,Strikeprice3,0,0,($AH110+IF(Smile=TRUE(),VLOOKUP(MAX(-5,Strikeprice3-D110),Volsmile,2),0)),($A110-DateToday)+15,IF(Pricetype3=1,1,0),0))),D110)))</f>
        <v> </v>
      </c>
      <c r="N110" s="318" t="str">
        <f aca="false">IF($A110="N/A"," ",IF(Pricetype3=2,MAX(E110,0),IF(OR(Pricetype3=1,Pricetype3=4),IF(E110=0,0,(EURO(E110,Strikeprice3,0,0,($AK110+IF(Smile=TRUE(),VLOOKUP(MAX(-5,Strikeprice3-E110),Volsmile,2),0)),($A110-DateToday)+15,IF(Pricetype3=1,1,0),0))),E110)))</f>
        <v> </v>
      </c>
      <c r="O110" s="318" t="str">
        <f aca="false">IF($A110="N/A"," ",IF(Pricetype3=2,MAX(F110,0),IF(OR(Pricetype3=1,Pricetype3=4),IF(F110=0,0,(EURO(F110,Strikeprice3,0,0,($AK110+IF(Smile=TRUE(),VLOOKUP(MAX(-5,Strikeprice3-F110),Volsmile,2),0)),($A110-DateToday)+15,IF(Pricetype3=1,1,0),0))),F110)))</f>
        <v> </v>
      </c>
      <c r="P110" s="318" t="str">
        <f aca="false">IF($A110="N/A"," ",IF(Pricetype3=2,MAX(G110,0),IF(OR(Pricetype3=1,Pricetype3=4),IF(G110=0,0,(EURO(G110,Strikeprice3,0,0,($AK110+IF(Smile=TRUE(),VLOOKUP(MAX(-5,Strikeprice3-G110),Volsmile,2),0)),($A110-DateToday)+15,IF(Pricetype3=1,1,0),0))),G110)))</f>
        <v> </v>
      </c>
      <c r="Q110" s="318" t="str">
        <f aca="false">IF($A110="N/A"," ",IF(Pricetype3=2,MAX(H110,0),IF(OR(Pricetype3=1,Pricetype3=4),IF(H110=0,0,(EURO(H110,Strikeprice3,0,0,($AK110+IF(Smile=TRUE(),VLOOKUP(MAX(-5,Strikeprice3-H110),Volsmile,2),0)),($A110-DateToday)+15,IF(Pricetype3=1,1,0),0))),H110)))</f>
        <v> </v>
      </c>
      <c r="R110" s="318" t="str">
        <f aca="false">IF($A110="N/A"," ",IF(Pricetype3=2,MAX(I110,0),IF(OR(Pricetype3=1,Pricetype3=4),IF(I110=0,0,(EURO(I110,Strikeprice3,0,0,($AK110+IF(Smile=TRUE(),VLOOKUP(MAX(-5,Strikeprice3-I110),Volsmile,2),0)),($A110-DateToday)+15,IF(Pricetype3=1,1,0),0))),I110)))</f>
        <v> </v>
      </c>
      <c r="S110" s="318" t="str">
        <f aca="false">IF($A110="N/A"," ",IF(Pricetype3=2,MAX(J110,0),IF(OR(Pricetype3=1,Pricetype3=4),IF(J110=0,0,(EURO(J110,Strikeprice3,0,0,($AK110+IF(Smile=TRUE(),VLOOKUP(MAX(-5,Strikeprice3-J110),Volsmile,2),0)),($A110-DateToday)+15,IF(Pricetype3=1,1,0),0))),J110)))</f>
        <v> </v>
      </c>
      <c r="T110" s="318" t="str">
        <f aca="false">IF($A110="N/A"," ",IF(Pricetype3=2,MAX(K110,0),IF(OR(Pricetype3=1,Pricetype3=4),IF(K110=0,0,(EURO(K110,Strikeprice3,0,0,($AK110+IF(Smile=TRUE(),VLOOKUP(MAX(-5,Strikeprice3-K110),Volsmile,2),0)),($A110-DateToday)+15,IF(Pricetype3=1,1,0),0))),K110)))</f>
        <v> </v>
      </c>
      <c r="U110" s="319" t="str">
        <f aca="false">IF($A110="N/A"," ",Volume3*$AM110)</f>
        <v> </v>
      </c>
      <c r="V110" s="320" t="str">
        <f aca="false">IF($A110="N/A"," ",$U110*(8*($BQ110))*L110)</f>
        <v> </v>
      </c>
      <c r="W110" s="320" t="str">
        <f aca="false">IF($A110="N/A"," ",$U110*(8*($BQ110))*M110)</f>
        <v> </v>
      </c>
      <c r="X110" s="320" t="str">
        <f aca="false">IF($A110="N/A"," ",$U110*(8*($BQ110))*N110)</f>
        <v> </v>
      </c>
      <c r="Y110" s="320" t="str">
        <f aca="false">IF($A110="N/A"," ",$U110*(8*($BR110))*O110)</f>
        <v> </v>
      </c>
      <c r="Z110" s="320" t="str">
        <f aca="false">IF($A110="N/A"," ",$U110*(8*($BR110))*P110)</f>
        <v> </v>
      </c>
      <c r="AA110" s="320" t="str">
        <f aca="false">IF($A110="N/A"," ",$U110*(8*($BR110))*Q110)</f>
        <v> </v>
      </c>
      <c r="AB110" s="320" t="str">
        <f aca="false">IF($A110="N/A"," ",$U110*(8*($BS110))*R110)</f>
        <v> </v>
      </c>
      <c r="AC110" s="320" t="str">
        <f aca="false">IF($A110="N/A"," ",$U110*(8*($BS110))*S110)</f>
        <v> </v>
      </c>
      <c r="AD110" s="320" t="str">
        <f aca="false">IF($A110="N/A"," ",$U110*(8*($BS110))*T110)</f>
        <v> </v>
      </c>
      <c r="AE110" s="320" t="str">
        <f aca="false">IF($A110="N/A"," ",SUM(V110:AD110))</f>
        <v> </v>
      </c>
      <c r="AF110" s="321" t="str">
        <f aca="false">IF(A110="N/A"," ",(VLOOKUP(A110,PowerVolTable,(IF(VolBMO3=2,7,IF(VolBMO3=1,6,8))),FALSE())))</f>
        <v> </v>
      </c>
      <c r="AG110" s="321" t="str">
        <f aca="false">IF(A110="N/A"," ",(VLOOKUP(A110,IntraPowerVol,(IF(VolBMO3=2,3,IF(VolBMO3=1,2,4))),FALSE())*VLOOKUP(MONTH($A110),Volscale,2)))</f>
        <v> </v>
      </c>
      <c r="AH110" s="321" t="str">
        <f aca="false">IF($A110="N/A"," ",IF(VolType3=1,AG110,AF110))</f>
        <v> </v>
      </c>
      <c r="AI110" s="321" t="str">
        <f aca="false">IF($A110="N/A"," ",(VLOOKUP($A110,OffPwrVolTable,(IF(VolBMO3=2,7,IF(VolBMO3=1,6,8))),FALSE())))</f>
        <v> </v>
      </c>
      <c r="AJ110" s="321" t="str">
        <f aca="false">IF($A110="N/A"," ",(VLOOKUP($A110,OffPwrVolTable,(IF(VolBMO3=2,3,IF(VolBMO3=1,2,4))),FALSE())*VLOOKUP(MONTH($A110),Volscale,2)))</f>
        <v> </v>
      </c>
      <c r="AK110" s="321" t="str">
        <f aca="false">IF($A110="N/A"," ",IF(VolType3=1,AJ110,AI110))</f>
        <v> </v>
      </c>
      <c r="AL110" s="321" t="str">
        <f aca="false">IF($A110="N/A"," ",IF(PV=1,0,'Pricing Inputs3'!R143))</f>
        <v> </v>
      </c>
      <c r="AM110" s="323" t="str">
        <f aca="false">IF($A110="N/A"," ",(1+AL110/2)^(-2*((EOMONTH(A110,0)+20)-DateToday)/365.25))</f>
        <v> </v>
      </c>
      <c r="BQ110" s="0" t="str">
        <f aca="false">IF($A110="N/A"," ",(VLOOKUP($A110,NumberofDaysTable,2)))</f>
        <v> </v>
      </c>
      <c r="BR110" s="0" t="str">
        <f aca="false">IF($A110="N/A"," ",(VLOOKUP($A110,NumberofDaysTable,3)))</f>
        <v> </v>
      </c>
      <c r="BS110" s="0" t="str">
        <f aca="false">IF($A110="N/A"," ",(VLOOKUP($A110,NumberofDaysTable,4)))</f>
        <v> </v>
      </c>
    </row>
    <row r="111" customFormat="false" ht="12.75" hidden="false" customHeight="false" outlineLevel="0" collapsed="false">
      <c r="A111" s="315" t="str">
        <f aca="false">IF(A110="N/A","N/A",IF(EDATE(A110,1)&gt;Inputs!$Q$5,"N/A",EDATE(A110,1)))</f>
        <v>N/A</v>
      </c>
      <c r="B111" s="316" t="str">
        <f aca="false">IF(A111="N/A"," ",YEAR(A111))</f>
        <v> </v>
      </c>
      <c r="C111" s="317" t="str">
        <f aca="false">IF($A111="N/A"," ",IF(Dayrun3=10,0,IF(Scaler3=1,(VLOOKUP(A111,ScaledPrice3,4)),(VLOOKUP(A111,ScaledPrice3,2)))))</f>
        <v> </v>
      </c>
      <c r="D111" s="317" t="str">
        <f aca="false">IF(A111="N/A"," ",IF(Dayrun3&gt;=7,0,IF(Scaler3=2,VLOOKUP(A111,ScaledPrice3,2),(VLOOKUP(A111,ScaledPrice3,2))*(2-(VLOOKUP(A111,ScaledPrice3,3))))))</f>
        <v> </v>
      </c>
      <c r="E111" s="317" t="str">
        <f aca="false">IF($A111="N/A"," ",IF(AND(Dayrun3&gt;=4,Dayrun3&lt;=9),0,VLOOKUP($A111,ScaledPrice3,9)))</f>
        <v> </v>
      </c>
      <c r="F111" s="317" t="str">
        <f aca="false">IF(A111="N/A"," ",IF(OR(Dayrun3=2,Dayrun3=3,Dayrun3=5,Dayrun3=6,Dayrun3=8,Dayrun3=9),VLOOKUP(A111,ScaledPrice3,IF(Scaler3=1,6,5)),0))</f>
        <v> </v>
      </c>
      <c r="G111" s="317" t="str">
        <f aca="false">IF(A111="N/A"," ",IF(OR(Dayrun3=2,Dayrun3=3,Dayrun3=5,Dayrun3=6),IF(Scaler3=2,F111,(VLOOKUP(A111,ScaledPrice3,5))*(2-(VLOOKUP(A111,ScaledPrice3,3)))),0))</f>
        <v> </v>
      </c>
      <c r="H111" s="317" t="str">
        <f aca="false">IF($A111="N/A"," ",IF(OR(Dayrun3=2,Dayrun3=3,Dayrun3=10),VLOOKUP($A111,ScaledPrice3,9),0))</f>
        <v> </v>
      </c>
      <c r="I111" s="317" t="str">
        <f aca="false">IF(A111="N/A"," ",IF(OR(Dayrun3=3,Dayrun3=6,Dayrun3=9),(VLOOKUP(A111,ScaledPrice3,IF(Scaler3=2,7,8))),0))</f>
        <v> </v>
      </c>
      <c r="J111" s="317" t="str">
        <f aca="false">IF(A111="N/A"," ",IF(OR(Dayrun3=3,Dayrun3=6),IF(Scaler3=2,I111,(VLOOKUP(A111,ScaledPrice3,7))*(2-(VLOOKUP(A111,ScaledPrice3,3)))),0))</f>
        <v> </v>
      </c>
      <c r="K111" s="317" t="str">
        <f aca="false">IF($A111="N/A"," ",IF(OR(Dayrun3=3,Dayrun3=10),VLOOKUP($A111,ScaledPrice3,9),0))</f>
        <v> </v>
      </c>
      <c r="L111" s="318" t="str">
        <f aca="false">IF($A111="N/A"," ",IF(Pricetype3=2,MAX(C111,0),IF(OR(Pricetype3=1,Pricetype3=4),IF(C111=0,0,(EURO(C111,Strikeprice3,0,0,($AH111+IF(Smile=TRUE(),VLOOKUP(MAX(-5,Strikeprice3-C111),Volsmile,2),0)),($A111-DateToday)+15,IF(Pricetype3=1,1,0),0))),C111)))</f>
        <v> </v>
      </c>
      <c r="M111" s="318" t="str">
        <f aca="false">IF($A111="N/A"," ",IF(Pricetype3=2,MAX(D111,0),IF(OR(Pricetype3=1,Pricetype3=4),IF(D111=0,0,(EURO(D111,Strikeprice3,0,0,($AH111+IF(Smile=TRUE(),VLOOKUP(MAX(-5,Strikeprice3-D111),Volsmile,2),0)),($A111-DateToday)+15,IF(Pricetype3=1,1,0),0))),D111)))</f>
        <v> </v>
      </c>
      <c r="N111" s="318" t="str">
        <f aca="false">IF($A111="N/A"," ",IF(Pricetype3=2,MAX(E111,0),IF(OR(Pricetype3=1,Pricetype3=4),IF(E111=0,0,(EURO(E111,Strikeprice3,0,0,($AK111+IF(Smile=TRUE(),VLOOKUP(MAX(-5,Strikeprice3-E111),Volsmile,2),0)),($A111-DateToday)+15,IF(Pricetype3=1,1,0),0))),E111)))</f>
        <v> </v>
      </c>
      <c r="O111" s="318" t="str">
        <f aca="false">IF($A111="N/A"," ",IF(Pricetype3=2,MAX(F111,0),IF(OR(Pricetype3=1,Pricetype3=4),IF(F111=0,0,(EURO(F111,Strikeprice3,0,0,($AK111+IF(Smile=TRUE(),VLOOKUP(MAX(-5,Strikeprice3-F111),Volsmile,2),0)),($A111-DateToday)+15,IF(Pricetype3=1,1,0),0))),F111)))</f>
        <v> </v>
      </c>
      <c r="P111" s="318" t="str">
        <f aca="false">IF($A111="N/A"," ",IF(Pricetype3=2,MAX(G111,0),IF(OR(Pricetype3=1,Pricetype3=4),IF(G111=0,0,(EURO(G111,Strikeprice3,0,0,($AK111+IF(Smile=TRUE(),VLOOKUP(MAX(-5,Strikeprice3-G111),Volsmile,2),0)),($A111-DateToday)+15,IF(Pricetype3=1,1,0),0))),G111)))</f>
        <v> </v>
      </c>
      <c r="Q111" s="318" t="str">
        <f aca="false">IF($A111="N/A"," ",IF(Pricetype3=2,MAX(H111,0),IF(OR(Pricetype3=1,Pricetype3=4),IF(H111=0,0,(EURO(H111,Strikeprice3,0,0,($AK111+IF(Smile=TRUE(),VLOOKUP(MAX(-5,Strikeprice3-H111),Volsmile,2),0)),($A111-DateToday)+15,IF(Pricetype3=1,1,0),0))),H111)))</f>
        <v> </v>
      </c>
      <c r="R111" s="318" t="str">
        <f aca="false">IF($A111="N/A"," ",IF(Pricetype3=2,MAX(I111,0),IF(OR(Pricetype3=1,Pricetype3=4),IF(I111=0,0,(EURO(I111,Strikeprice3,0,0,($AK111+IF(Smile=TRUE(),VLOOKUP(MAX(-5,Strikeprice3-I111),Volsmile,2),0)),($A111-DateToday)+15,IF(Pricetype3=1,1,0),0))),I111)))</f>
        <v> </v>
      </c>
      <c r="S111" s="318" t="str">
        <f aca="false">IF($A111="N/A"," ",IF(Pricetype3=2,MAX(J111,0),IF(OR(Pricetype3=1,Pricetype3=4),IF(J111=0,0,(EURO(J111,Strikeprice3,0,0,($AK111+IF(Smile=TRUE(),VLOOKUP(MAX(-5,Strikeprice3-J111),Volsmile,2),0)),($A111-DateToday)+15,IF(Pricetype3=1,1,0),0))),J111)))</f>
        <v> </v>
      </c>
      <c r="T111" s="318" t="str">
        <f aca="false">IF($A111="N/A"," ",IF(Pricetype3=2,MAX(K111,0),IF(OR(Pricetype3=1,Pricetype3=4),IF(K111=0,0,(EURO(K111,Strikeprice3,0,0,($AK111+IF(Smile=TRUE(),VLOOKUP(MAX(-5,Strikeprice3-K111),Volsmile,2),0)),($A111-DateToday)+15,IF(Pricetype3=1,1,0),0))),K111)))</f>
        <v> </v>
      </c>
      <c r="U111" s="319" t="str">
        <f aca="false">IF($A111="N/A"," ",Volume3*$AM111)</f>
        <v> </v>
      </c>
      <c r="V111" s="320" t="str">
        <f aca="false">IF($A111="N/A"," ",$U111*(8*($BQ111))*L111)</f>
        <v> </v>
      </c>
      <c r="W111" s="320" t="str">
        <f aca="false">IF($A111="N/A"," ",$U111*(8*($BQ111))*M111)</f>
        <v> </v>
      </c>
      <c r="X111" s="320" t="str">
        <f aca="false">IF($A111="N/A"," ",$U111*(8*($BQ111))*N111)</f>
        <v> </v>
      </c>
      <c r="Y111" s="320" t="str">
        <f aca="false">IF($A111="N/A"," ",$U111*(8*($BR111))*O111)</f>
        <v> </v>
      </c>
      <c r="Z111" s="320" t="str">
        <f aca="false">IF($A111="N/A"," ",$U111*(8*($BR111))*P111)</f>
        <v> </v>
      </c>
      <c r="AA111" s="320" t="str">
        <f aca="false">IF($A111="N/A"," ",$U111*(8*($BR111))*Q111)</f>
        <v> </v>
      </c>
      <c r="AB111" s="320" t="str">
        <f aca="false">IF($A111="N/A"," ",$U111*(8*($BS111))*R111)</f>
        <v> </v>
      </c>
      <c r="AC111" s="320" t="str">
        <f aca="false">IF($A111="N/A"," ",$U111*(8*($BS111))*S111)</f>
        <v> </v>
      </c>
      <c r="AD111" s="320" t="str">
        <f aca="false">IF($A111="N/A"," ",$U111*(8*($BS111))*T111)</f>
        <v> </v>
      </c>
      <c r="AE111" s="320" t="str">
        <f aca="false">IF($A111="N/A"," ",SUM(V111:AD111))</f>
        <v> </v>
      </c>
      <c r="AF111" s="321" t="str">
        <f aca="false">IF(A111="N/A"," ",(VLOOKUP(A111,PowerVolTable,(IF(VolBMO3=2,7,IF(VolBMO3=1,6,8))),FALSE())))</f>
        <v> </v>
      </c>
      <c r="AG111" s="321" t="str">
        <f aca="false">IF(A111="N/A"," ",(VLOOKUP(A111,IntraPowerVol,(IF(VolBMO3=2,3,IF(VolBMO3=1,2,4))),FALSE())*VLOOKUP(MONTH($A111),Volscale,2)))</f>
        <v> </v>
      </c>
      <c r="AH111" s="321" t="str">
        <f aca="false">IF($A111="N/A"," ",IF(VolType3=1,AG111,AF111))</f>
        <v> </v>
      </c>
      <c r="AI111" s="321" t="str">
        <f aca="false">IF($A111="N/A"," ",(VLOOKUP($A111,OffPwrVolTable,(IF(VolBMO3=2,7,IF(VolBMO3=1,6,8))),FALSE())))</f>
        <v> </v>
      </c>
      <c r="AJ111" s="321" t="str">
        <f aca="false">IF($A111="N/A"," ",(VLOOKUP($A111,OffPwrVolTable,(IF(VolBMO3=2,3,IF(VolBMO3=1,2,4))),FALSE())*VLOOKUP(MONTH($A111),Volscale,2)))</f>
        <v> </v>
      </c>
      <c r="AK111" s="321" t="str">
        <f aca="false">IF($A111="N/A"," ",IF(VolType3=1,AJ111,AI111))</f>
        <v> </v>
      </c>
      <c r="AL111" s="321" t="str">
        <f aca="false">IF($A111="N/A"," ",IF(PV=1,0,'Pricing Inputs3'!R144))</f>
        <v> </v>
      </c>
      <c r="AM111" s="323" t="str">
        <f aca="false">IF($A111="N/A"," ",(1+AL111/2)^(-2*((EOMONTH(A111,0)+20)-DateToday)/365.25))</f>
        <v> </v>
      </c>
      <c r="BQ111" s="0" t="str">
        <f aca="false">IF($A111="N/A"," ",(VLOOKUP($A111,NumberofDaysTable,2)))</f>
        <v> </v>
      </c>
      <c r="BR111" s="0" t="str">
        <f aca="false">IF($A111="N/A"," ",(VLOOKUP($A111,NumberofDaysTable,3)))</f>
        <v> </v>
      </c>
      <c r="BS111" s="0" t="str">
        <f aca="false">IF($A111="N/A"," ",(VLOOKUP($A111,NumberofDaysTable,4)))</f>
        <v> </v>
      </c>
    </row>
    <row r="112" customFormat="false" ht="12.75" hidden="false" customHeight="false" outlineLevel="0" collapsed="false">
      <c r="A112" s="315" t="str">
        <f aca="false">IF(A111="N/A","N/A",IF(EDATE(A111,1)&gt;Inputs!$Q$5,"N/A",EDATE(A111,1)))</f>
        <v>N/A</v>
      </c>
      <c r="B112" s="316" t="str">
        <f aca="false">IF(A112="N/A"," ",YEAR(A112))</f>
        <v> </v>
      </c>
      <c r="C112" s="317" t="str">
        <f aca="false">IF($A112="N/A"," ",IF(Dayrun3=10,0,IF(Scaler3=1,(VLOOKUP(A112,ScaledPrice3,4)),(VLOOKUP(A112,ScaledPrice3,2)))))</f>
        <v> </v>
      </c>
      <c r="D112" s="317" t="str">
        <f aca="false">IF(A112="N/A"," ",IF(Dayrun3&gt;=7,0,IF(Scaler3=2,VLOOKUP(A112,ScaledPrice3,2),(VLOOKUP(A112,ScaledPrice3,2))*(2-(VLOOKUP(A112,ScaledPrice3,3))))))</f>
        <v> </v>
      </c>
      <c r="E112" s="317" t="str">
        <f aca="false">IF($A112="N/A"," ",IF(AND(Dayrun3&gt;=4,Dayrun3&lt;=9),0,VLOOKUP($A112,ScaledPrice3,9)))</f>
        <v> </v>
      </c>
      <c r="F112" s="317" t="str">
        <f aca="false">IF(A112="N/A"," ",IF(OR(Dayrun3=2,Dayrun3=3,Dayrun3=5,Dayrun3=6,Dayrun3=8,Dayrun3=9),VLOOKUP(A112,ScaledPrice3,IF(Scaler3=1,6,5)),0))</f>
        <v> </v>
      </c>
      <c r="G112" s="317" t="str">
        <f aca="false">IF(A112="N/A"," ",IF(OR(Dayrun3=2,Dayrun3=3,Dayrun3=5,Dayrun3=6),IF(Scaler3=2,F112,(VLOOKUP(A112,ScaledPrice3,5))*(2-(VLOOKUP(A112,ScaledPrice3,3)))),0))</f>
        <v> </v>
      </c>
      <c r="H112" s="317" t="str">
        <f aca="false">IF($A112="N/A"," ",IF(OR(Dayrun3=2,Dayrun3=3,Dayrun3=10),VLOOKUP($A112,ScaledPrice3,9),0))</f>
        <v> </v>
      </c>
      <c r="I112" s="317" t="str">
        <f aca="false">IF(A112="N/A"," ",IF(OR(Dayrun3=3,Dayrun3=6,Dayrun3=9),(VLOOKUP(A112,ScaledPrice3,IF(Scaler3=2,7,8))),0))</f>
        <v> </v>
      </c>
      <c r="J112" s="317" t="str">
        <f aca="false">IF(A112="N/A"," ",IF(OR(Dayrun3=3,Dayrun3=6),IF(Scaler3=2,I112,(VLOOKUP(A112,ScaledPrice3,7))*(2-(VLOOKUP(A112,ScaledPrice3,3)))),0))</f>
        <v> </v>
      </c>
      <c r="K112" s="317" t="str">
        <f aca="false">IF($A112="N/A"," ",IF(OR(Dayrun3=3,Dayrun3=10),VLOOKUP($A112,ScaledPrice3,9),0))</f>
        <v> </v>
      </c>
      <c r="L112" s="318" t="str">
        <f aca="false">IF($A112="N/A"," ",IF(Pricetype3=2,MAX(C112,0),IF(OR(Pricetype3=1,Pricetype3=4),IF(C112=0,0,(EURO(C112,Strikeprice3,0,0,($AH112+IF(Smile=TRUE(),VLOOKUP(MAX(-5,Strikeprice3-C112),Volsmile,2),0)),($A112-DateToday)+15,IF(Pricetype3=1,1,0),0))),C112)))</f>
        <v> </v>
      </c>
      <c r="M112" s="318" t="str">
        <f aca="false">IF($A112="N/A"," ",IF(Pricetype3=2,MAX(D112,0),IF(OR(Pricetype3=1,Pricetype3=4),IF(D112=0,0,(EURO(D112,Strikeprice3,0,0,($AH112+IF(Smile=TRUE(),VLOOKUP(MAX(-5,Strikeprice3-D112),Volsmile,2),0)),($A112-DateToday)+15,IF(Pricetype3=1,1,0),0))),D112)))</f>
        <v> </v>
      </c>
      <c r="N112" s="318" t="str">
        <f aca="false">IF($A112="N/A"," ",IF(Pricetype3=2,MAX(E112,0),IF(OR(Pricetype3=1,Pricetype3=4),IF(E112=0,0,(EURO(E112,Strikeprice3,0,0,($AK112+IF(Smile=TRUE(),VLOOKUP(MAX(-5,Strikeprice3-E112),Volsmile,2),0)),($A112-DateToday)+15,IF(Pricetype3=1,1,0),0))),E112)))</f>
        <v> </v>
      </c>
      <c r="O112" s="318" t="str">
        <f aca="false">IF($A112="N/A"," ",IF(Pricetype3=2,MAX(F112,0),IF(OR(Pricetype3=1,Pricetype3=4),IF(F112=0,0,(EURO(F112,Strikeprice3,0,0,($AK112+IF(Smile=TRUE(),VLOOKUP(MAX(-5,Strikeprice3-F112),Volsmile,2),0)),($A112-DateToday)+15,IF(Pricetype3=1,1,0),0))),F112)))</f>
        <v> </v>
      </c>
      <c r="P112" s="318" t="str">
        <f aca="false">IF($A112="N/A"," ",IF(Pricetype3=2,MAX(G112,0),IF(OR(Pricetype3=1,Pricetype3=4),IF(G112=0,0,(EURO(G112,Strikeprice3,0,0,($AK112+IF(Smile=TRUE(),VLOOKUP(MAX(-5,Strikeprice3-G112),Volsmile,2),0)),($A112-DateToday)+15,IF(Pricetype3=1,1,0),0))),G112)))</f>
        <v> </v>
      </c>
      <c r="Q112" s="318" t="str">
        <f aca="false">IF($A112="N/A"," ",IF(Pricetype3=2,MAX(H112,0),IF(OR(Pricetype3=1,Pricetype3=4),IF(H112=0,0,(EURO(H112,Strikeprice3,0,0,($AK112+IF(Smile=TRUE(),VLOOKUP(MAX(-5,Strikeprice3-H112),Volsmile,2),0)),($A112-DateToday)+15,IF(Pricetype3=1,1,0),0))),H112)))</f>
        <v> </v>
      </c>
      <c r="R112" s="318" t="str">
        <f aca="false">IF($A112="N/A"," ",IF(Pricetype3=2,MAX(I112,0),IF(OR(Pricetype3=1,Pricetype3=4),IF(I112=0,0,(EURO(I112,Strikeprice3,0,0,($AK112+IF(Smile=TRUE(),VLOOKUP(MAX(-5,Strikeprice3-I112),Volsmile,2),0)),($A112-DateToday)+15,IF(Pricetype3=1,1,0),0))),I112)))</f>
        <v> </v>
      </c>
      <c r="S112" s="318" t="str">
        <f aca="false">IF($A112="N/A"," ",IF(Pricetype3=2,MAX(J112,0),IF(OR(Pricetype3=1,Pricetype3=4),IF(J112=0,0,(EURO(J112,Strikeprice3,0,0,($AK112+IF(Smile=TRUE(),VLOOKUP(MAX(-5,Strikeprice3-J112),Volsmile,2),0)),($A112-DateToday)+15,IF(Pricetype3=1,1,0),0))),J112)))</f>
        <v> </v>
      </c>
      <c r="T112" s="318" t="str">
        <f aca="false">IF($A112="N/A"," ",IF(Pricetype3=2,MAX(K112,0),IF(OR(Pricetype3=1,Pricetype3=4),IF(K112=0,0,(EURO(K112,Strikeprice3,0,0,($AK112+IF(Smile=TRUE(),VLOOKUP(MAX(-5,Strikeprice3-K112),Volsmile,2),0)),($A112-DateToday)+15,IF(Pricetype3=1,1,0),0))),K112)))</f>
        <v> </v>
      </c>
      <c r="U112" s="319" t="str">
        <f aca="false">IF($A112="N/A"," ",Volume3*$AM112)</f>
        <v> </v>
      </c>
      <c r="V112" s="320" t="str">
        <f aca="false">IF($A112="N/A"," ",$U112*(8*($BQ112))*L112)</f>
        <v> </v>
      </c>
      <c r="W112" s="320" t="str">
        <f aca="false">IF($A112="N/A"," ",$U112*(8*($BQ112))*M112)</f>
        <v> </v>
      </c>
      <c r="X112" s="320" t="str">
        <f aca="false">IF($A112="N/A"," ",$U112*(8*($BQ112))*N112)</f>
        <v> </v>
      </c>
      <c r="Y112" s="320" t="str">
        <f aca="false">IF($A112="N/A"," ",$U112*(8*($BR112))*O112)</f>
        <v> </v>
      </c>
      <c r="Z112" s="320" t="str">
        <f aca="false">IF($A112="N/A"," ",$U112*(8*($BR112))*P112)</f>
        <v> </v>
      </c>
      <c r="AA112" s="320" t="str">
        <f aca="false">IF($A112="N/A"," ",$U112*(8*($BR112))*Q112)</f>
        <v> </v>
      </c>
      <c r="AB112" s="320" t="str">
        <f aca="false">IF($A112="N/A"," ",$U112*(8*($BS112))*R112)</f>
        <v> </v>
      </c>
      <c r="AC112" s="320" t="str">
        <f aca="false">IF($A112="N/A"," ",$U112*(8*($BS112))*S112)</f>
        <v> </v>
      </c>
      <c r="AD112" s="320" t="str">
        <f aca="false">IF($A112="N/A"," ",$U112*(8*($BS112))*T112)</f>
        <v> </v>
      </c>
      <c r="AE112" s="320" t="str">
        <f aca="false">IF($A112="N/A"," ",SUM(V112:AD112))</f>
        <v> </v>
      </c>
      <c r="AF112" s="321" t="str">
        <f aca="false">IF(A112="N/A"," ",(VLOOKUP(A112,PowerVolTable,(IF(VolBMO3=2,7,IF(VolBMO3=1,6,8))),FALSE())))</f>
        <v> </v>
      </c>
      <c r="AG112" s="321" t="str">
        <f aca="false">IF(A112="N/A"," ",(VLOOKUP(A112,IntraPowerVol,(IF(VolBMO3=2,3,IF(VolBMO3=1,2,4))),FALSE())*VLOOKUP(MONTH($A112),Volscale,2)))</f>
        <v> </v>
      </c>
      <c r="AH112" s="321" t="str">
        <f aca="false">IF($A112="N/A"," ",IF(VolType3=1,AG112,AF112))</f>
        <v> </v>
      </c>
      <c r="AI112" s="321" t="str">
        <f aca="false">IF($A112="N/A"," ",(VLOOKUP($A112,OffPwrVolTable,(IF(VolBMO3=2,7,IF(VolBMO3=1,6,8))),FALSE())))</f>
        <v> </v>
      </c>
      <c r="AJ112" s="321" t="str">
        <f aca="false">IF($A112="N/A"," ",(VLOOKUP($A112,OffPwrVolTable,(IF(VolBMO3=2,3,IF(VolBMO3=1,2,4))),FALSE())*VLOOKUP(MONTH($A112),Volscale,2)))</f>
        <v> </v>
      </c>
      <c r="AK112" s="321" t="str">
        <f aca="false">IF($A112="N/A"," ",IF(VolType3=1,AJ112,AI112))</f>
        <v> </v>
      </c>
      <c r="AL112" s="321" t="str">
        <f aca="false">IF($A112="N/A"," ",IF(PV=1,0,'Pricing Inputs3'!R145))</f>
        <v> </v>
      </c>
      <c r="AM112" s="323" t="str">
        <f aca="false">IF($A112="N/A"," ",(1+AL112/2)^(-2*((EOMONTH(A112,0)+20)-DateToday)/365.25))</f>
        <v> </v>
      </c>
      <c r="BQ112" s="0" t="str">
        <f aca="false">IF($A112="N/A"," ",(VLOOKUP($A112,NumberofDaysTable,2)))</f>
        <v> </v>
      </c>
      <c r="BR112" s="0" t="str">
        <f aca="false">IF($A112="N/A"," ",(VLOOKUP($A112,NumberofDaysTable,3)))</f>
        <v> </v>
      </c>
      <c r="BS112" s="0" t="str">
        <f aca="false">IF($A112="N/A"," ",(VLOOKUP($A112,NumberofDaysTable,4)))</f>
        <v> </v>
      </c>
    </row>
    <row r="113" customFormat="false" ht="12.75" hidden="false" customHeight="false" outlineLevel="0" collapsed="false">
      <c r="A113" s="315" t="str">
        <f aca="false">IF(A112="N/A","N/A",IF(EDATE(A112,1)&gt;Inputs!$Q$5,"N/A",EDATE(A112,1)))</f>
        <v>N/A</v>
      </c>
      <c r="B113" s="316" t="str">
        <f aca="false">IF(A113="N/A"," ",YEAR(A113))</f>
        <v> </v>
      </c>
      <c r="C113" s="317" t="str">
        <f aca="false">IF($A113="N/A"," ",IF(Dayrun3=10,0,IF(Scaler3=1,(VLOOKUP(A113,ScaledPrice3,4)),(VLOOKUP(A113,ScaledPrice3,2)))))</f>
        <v> </v>
      </c>
      <c r="D113" s="317" t="str">
        <f aca="false">IF(A113="N/A"," ",IF(Dayrun3&gt;=7,0,IF(Scaler3=2,VLOOKUP(A113,ScaledPrice3,2),(VLOOKUP(A113,ScaledPrice3,2))*(2-(VLOOKUP(A113,ScaledPrice3,3))))))</f>
        <v> </v>
      </c>
      <c r="E113" s="317" t="str">
        <f aca="false">IF($A113="N/A"," ",IF(AND(Dayrun3&gt;=4,Dayrun3&lt;=9),0,VLOOKUP($A113,ScaledPrice3,9)))</f>
        <v> </v>
      </c>
      <c r="F113" s="317" t="str">
        <f aca="false">IF(A113="N/A"," ",IF(OR(Dayrun3=2,Dayrun3=3,Dayrun3=5,Dayrun3=6,Dayrun3=8,Dayrun3=9),VLOOKUP(A113,ScaledPrice3,IF(Scaler3=1,6,5)),0))</f>
        <v> </v>
      </c>
      <c r="G113" s="317" t="str">
        <f aca="false">IF(A113="N/A"," ",IF(OR(Dayrun3=2,Dayrun3=3,Dayrun3=5,Dayrun3=6),IF(Scaler3=2,F113,(VLOOKUP(A113,ScaledPrice3,5))*(2-(VLOOKUP(A113,ScaledPrice3,3)))),0))</f>
        <v> </v>
      </c>
      <c r="H113" s="317" t="str">
        <f aca="false">IF($A113="N/A"," ",IF(OR(Dayrun3=2,Dayrun3=3,Dayrun3=10),VLOOKUP($A113,ScaledPrice3,9),0))</f>
        <v> </v>
      </c>
      <c r="I113" s="317" t="str">
        <f aca="false">IF(A113="N/A"," ",IF(OR(Dayrun3=3,Dayrun3=6,Dayrun3=9),(VLOOKUP(A113,ScaledPrice3,IF(Scaler3=2,7,8))),0))</f>
        <v> </v>
      </c>
      <c r="J113" s="317" t="str">
        <f aca="false">IF(A113="N/A"," ",IF(OR(Dayrun3=3,Dayrun3=6),IF(Scaler3=2,I113,(VLOOKUP(A113,ScaledPrice3,7))*(2-(VLOOKUP(A113,ScaledPrice3,3)))),0))</f>
        <v> </v>
      </c>
      <c r="K113" s="317" t="str">
        <f aca="false">IF($A113="N/A"," ",IF(OR(Dayrun3=3,Dayrun3=10),VLOOKUP($A113,ScaledPrice3,9),0))</f>
        <v> </v>
      </c>
      <c r="L113" s="318" t="str">
        <f aca="false">IF($A113="N/A"," ",IF(Pricetype3=2,MAX(C113,0),IF(OR(Pricetype3=1,Pricetype3=4),IF(C113=0,0,(EURO(C113,Strikeprice3,0,0,($AH113+IF(Smile=TRUE(),VLOOKUP(MAX(-5,Strikeprice3-C113),Volsmile,2),0)),($A113-DateToday)+15,IF(Pricetype3=1,1,0),0))),C113)))</f>
        <v> </v>
      </c>
      <c r="M113" s="318" t="str">
        <f aca="false">IF($A113="N/A"," ",IF(Pricetype3=2,MAX(D113,0),IF(OR(Pricetype3=1,Pricetype3=4),IF(D113=0,0,(EURO(D113,Strikeprice3,0,0,($AH113+IF(Smile=TRUE(),VLOOKUP(MAX(-5,Strikeprice3-D113),Volsmile,2),0)),($A113-DateToday)+15,IF(Pricetype3=1,1,0),0))),D113)))</f>
        <v> </v>
      </c>
      <c r="N113" s="318" t="str">
        <f aca="false">IF($A113="N/A"," ",IF(Pricetype3=2,MAX(E113,0),IF(OR(Pricetype3=1,Pricetype3=4),IF(E113=0,0,(EURO(E113,Strikeprice3,0,0,($AK113+IF(Smile=TRUE(),VLOOKUP(MAX(-5,Strikeprice3-E113),Volsmile,2),0)),($A113-DateToday)+15,IF(Pricetype3=1,1,0),0))),E113)))</f>
        <v> </v>
      </c>
      <c r="O113" s="318" t="str">
        <f aca="false">IF($A113="N/A"," ",IF(Pricetype3=2,MAX(F113,0),IF(OR(Pricetype3=1,Pricetype3=4),IF(F113=0,0,(EURO(F113,Strikeprice3,0,0,($AK113+IF(Smile=TRUE(),VLOOKUP(MAX(-5,Strikeprice3-F113),Volsmile,2),0)),($A113-DateToday)+15,IF(Pricetype3=1,1,0),0))),F113)))</f>
        <v> </v>
      </c>
      <c r="P113" s="318" t="str">
        <f aca="false">IF($A113="N/A"," ",IF(Pricetype3=2,MAX(G113,0),IF(OR(Pricetype3=1,Pricetype3=4),IF(G113=0,0,(EURO(G113,Strikeprice3,0,0,($AK113+IF(Smile=TRUE(),VLOOKUP(MAX(-5,Strikeprice3-G113),Volsmile,2),0)),($A113-DateToday)+15,IF(Pricetype3=1,1,0),0))),G113)))</f>
        <v> </v>
      </c>
      <c r="Q113" s="318" t="str">
        <f aca="false">IF($A113="N/A"," ",IF(Pricetype3=2,MAX(H113,0),IF(OR(Pricetype3=1,Pricetype3=4),IF(H113=0,0,(EURO(H113,Strikeprice3,0,0,($AK113+IF(Smile=TRUE(),VLOOKUP(MAX(-5,Strikeprice3-H113),Volsmile,2),0)),($A113-DateToday)+15,IF(Pricetype3=1,1,0),0))),H113)))</f>
        <v> </v>
      </c>
      <c r="R113" s="318" t="str">
        <f aca="false">IF($A113="N/A"," ",IF(Pricetype3=2,MAX(I113,0),IF(OR(Pricetype3=1,Pricetype3=4),IF(I113=0,0,(EURO(I113,Strikeprice3,0,0,($AK113+IF(Smile=TRUE(),VLOOKUP(MAX(-5,Strikeprice3-I113),Volsmile,2),0)),($A113-DateToday)+15,IF(Pricetype3=1,1,0),0))),I113)))</f>
        <v> </v>
      </c>
      <c r="S113" s="318" t="str">
        <f aca="false">IF($A113="N/A"," ",IF(Pricetype3=2,MAX(J113,0),IF(OR(Pricetype3=1,Pricetype3=4),IF(J113=0,0,(EURO(J113,Strikeprice3,0,0,($AK113+IF(Smile=TRUE(),VLOOKUP(MAX(-5,Strikeprice3-J113),Volsmile,2),0)),($A113-DateToday)+15,IF(Pricetype3=1,1,0),0))),J113)))</f>
        <v> </v>
      </c>
      <c r="T113" s="318" t="str">
        <f aca="false">IF($A113="N/A"," ",IF(Pricetype3=2,MAX(K113,0),IF(OR(Pricetype3=1,Pricetype3=4),IF(K113=0,0,(EURO(K113,Strikeprice3,0,0,($AK113+IF(Smile=TRUE(),VLOOKUP(MAX(-5,Strikeprice3-K113),Volsmile,2),0)),($A113-DateToday)+15,IF(Pricetype3=1,1,0),0))),K113)))</f>
        <v> </v>
      </c>
      <c r="U113" s="319" t="str">
        <f aca="false">IF($A113="N/A"," ",Volume3*$AM113)</f>
        <v> </v>
      </c>
      <c r="V113" s="320" t="str">
        <f aca="false">IF($A113="N/A"," ",$U113*(8*($BQ113))*L113)</f>
        <v> </v>
      </c>
      <c r="W113" s="320" t="str">
        <f aca="false">IF($A113="N/A"," ",$U113*(8*($BQ113))*M113)</f>
        <v> </v>
      </c>
      <c r="X113" s="320" t="str">
        <f aca="false">IF($A113="N/A"," ",$U113*(8*($BQ113))*N113)</f>
        <v> </v>
      </c>
      <c r="Y113" s="320" t="str">
        <f aca="false">IF($A113="N/A"," ",$U113*(8*($BR113))*O113)</f>
        <v> </v>
      </c>
      <c r="Z113" s="320" t="str">
        <f aca="false">IF($A113="N/A"," ",$U113*(8*($BR113))*P113)</f>
        <v> </v>
      </c>
      <c r="AA113" s="320" t="str">
        <f aca="false">IF($A113="N/A"," ",$U113*(8*($BR113))*Q113)</f>
        <v> </v>
      </c>
      <c r="AB113" s="320" t="str">
        <f aca="false">IF($A113="N/A"," ",$U113*(8*($BS113))*R113)</f>
        <v> </v>
      </c>
      <c r="AC113" s="320" t="str">
        <f aca="false">IF($A113="N/A"," ",$U113*(8*($BS113))*S113)</f>
        <v> </v>
      </c>
      <c r="AD113" s="320" t="str">
        <f aca="false">IF($A113="N/A"," ",$U113*(8*($BS113))*T113)</f>
        <v> </v>
      </c>
      <c r="AE113" s="320" t="str">
        <f aca="false">IF($A113="N/A"," ",SUM(V113:AD113))</f>
        <v> </v>
      </c>
      <c r="AF113" s="321" t="str">
        <f aca="false">IF(A113="N/A"," ",(VLOOKUP(A113,PowerVolTable,(IF(VolBMO3=2,7,IF(VolBMO3=1,6,8))),FALSE())))</f>
        <v> </v>
      </c>
      <c r="AG113" s="321" t="str">
        <f aca="false">IF(A113="N/A"," ",(VLOOKUP(A113,IntraPowerVol,(IF(VolBMO3=2,3,IF(VolBMO3=1,2,4))),FALSE())*VLOOKUP(MONTH($A113),Volscale,2)))</f>
        <v> </v>
      </c>
      <c r="AH113" s="321" t="str">
        <f aca="false">IF($A113="N/A"," ",IF(VolType3=1,AG113,AF113))</f>
        <v> </v>
      </c>
      <c r="AI113" s="321" t="str">
        <f aca="false">IF($A113="N/A"," ",(VLOOKUP($A113,OffPwrVolTable,(IF(VolBMO3=2,7,IF(VolBMO3=1,6,8))),FALSE())))</f>
        <v> </v>
      </c>
      <c r="AJ113" s="321" t="str">
        <f aca="false">IF($A113="N/A"," ",(VLOOKUP($A113,OffPwrVolTable,(IF(VolBMO3=2,3,IF(VolBMO3=1,2,4))),FALSE())*VLOOKUP(MONTH($A113),Volscale,2)))</f>
        <v> </v>
      </c>
      <c r="AK113" s="321" t="str">
        <f aca="false">IF($A113="N/A"," ",IF(VolType3=1,AJ113,AI113))</f>
        <v> </v>
      </c>
      <c r="AL113" s="321" t="str">
        <f aca="false">IF($A113="N/A"," ",IF(PV=1,0,'Pricing Inputs3'!R146))</f>
        <v> </v>
      </c>
      <c r="AM113" s="323" t="str">
        <f aca="false">IF($A113="N/A"," ",(1+AL113/2)^(-2*((EOMONTH(A113,0)+20)-DateToday)/365.25))</f>
        <v> </v>
      </c>
      <c r="BQ113" s="0" t="str">
        <f aca="false">IF($A113="N/A"," ",(VLOOKUP($A113,NumberofDaysTable,2)))</f>
        <v> </v>
      </c>
      <c r="BR113" s="0" t="str">
        <f aca="false">IF($A113="N/A"," ",(VLOOKUP($A113,NumberofDaysTable,3)))</f>
        <v> </v>
      </c>
      <c r="BS113" s="0" t="str">
        <f aca="false">IF($A113="N/A"," ",(VLOOKUP($A113,NumberofDaysTable,4)))</f>
        <v> </v>
      </c>
    </row>
    <row r="114" customFormat="false" ht="12.75" hidden="false" customHeight="false" outlineLevel="0" collapsed="false">
      <c r="A114" s="315" t="str">
        <f aca="false">IF(A113="N/A","N/A",IF(EDATE(A113,1)&gt;Inputs!$Q$5,"N/A",EDATE(A113,1)))</f>
        <v>N/A</v>
      </c>
      <c r="B114" s="316" t="str">
        <f aca="false">IF(A114="N/A"," ",YEAR(A114))</f>
        <v> </v>
      </c>
      <c r="C114" s="317" t="str">
        <f aca="false">IF($A114="N/A"," ",IF(Dayrun3=10,0,IF(Scaler3=1,(VLOOKUP(A114,ScaledPrice3,4)),(VLOOKUP(A114,ScaledPrice3,2)))))</f>
        <v> </v>
      </c>
      <c r="D114" s="317" t="str">
        <f aca="false">IF(A114="N/A"," ",IF(Dayrun3&gt;=7,0,IF(Scaler3=2,VLOOKUP(A114,ScaledPrice3,2),(VLOOKUP(A114,ScaledPrice3,2))*(2-(VLOOKUP(A114,ScaledPrice3,3))))))</f>
        <v> </v>
      </c>
      <c r="E114" s="317" t="str">
        <f aca="false">IF($A114="N/A"," ",IF(AND(Dayrun3&gt;=4,Dayrun3&lt;=9),0,VLOOKUP($A114,ScaledPrice3,9)))</f>
        <v> </v>
      </c>
      <c r="F114" s="317" t="str">
        <f aca="false">IF(A114="N/A"," ",IF(OR(Dayrun3=2,Dayrun3=3,Dayrun3=5,Dayrun3=6,Dayrun3=8,Dayrun3=9),VLOOKUP(A114,ScaledPrice3,IF(Scaler3=1,6,5)),0))</f>
        <v> </v>
      </c>
      <c r="G114" s="317" t="str">
        <f aca="false">IF(A114="N/A"," ",IF(OR(Dayrun3=2,Dayrun3=3,Dayrun3=5,Dayrun3=6),IF(Scaler3=2,F114,(VLOOKUP(A114,ScaledPrice3,5))*(2-(VLOOKUP(A114,ScaledPrice3,3)))),0))</f>
        <v> </v>
      </c>
      <c r="H114" s="317" t="str">
        <f aca="false">IF($A114="N/A"," ",IF(OR(Dayrun3=2,Dayrun3=3,Dayrun3=10),VLOOKUP($A114,ScaledPrice3,9),0))</f>
        <v> </v>
      </c>
      <c r="I114" s="317" t="str">
        <f aca="false">IF(A114="N/A"," ",IF(OR(Dayrun3=3,Dayrun3=6,Dayrun3=9),(VLOOKUP(A114,ScaledPrice3,IF(Scaler3=2,7,8))),0))</f>
        <v> </v>
      </c>
      <c r="J114" s="317" t="str">
        <f aca="false">IF(A114="N/A"," ",IF(OR(Dayrun3=3,Dayrun3=6),IF(Scaler3=2,I114,(VLOOKUP(A114,ScaledPrice3,7))*(2-(VLOOKUP(A114,ScaledPrice3,3)))),0))</f>
        <v> </v>
      </c>
      <c r="K114" s="317" t="str">
        <f aca="false">IF($A114="N/A"," ",IF(OR(Dayrun3=3,Dayrun3=10),VLOOKUP($A114,ScaledPrice3,9),0))</f>
        <v> </v>
      </c>
      <c r="L114" s="318" t="str">
        <f aca="false">IF($A114="N/A"," ",IF(Pricetype3=2,MAX(C114,0),IF(OR(Pricetype3=1,Pricetype3=4),IF(C114=0,0,(EURO(C114,Strikeprice3,0,0,($AH114+IF(Smile=TRUE(),VLOOKUP(MAX(-5,Strikeprice3-C114),Volsmile,2),0)),($A114-DateToday)+15,IF(Pricetype3=1,1,0),0))),C114)))</f>
        <v> </v>
      </c>
      <c r="M114" s="318" t="str">
        <f aca="false">IF($A114="N/A"," ",IF(Pricetype3=2,MAX(D114,0),IF(OR(Pricetype3=1,Pricetype3=4),IF(D114=0,0,(EURO(D114,Strikeprice3,0,0,($AH114+IF(Smile=TRUE(),VLOOKUP(MAX(-5,Strikeprice3-D114),Volsmile,2),0)),($A114-DateToday)+15,IF(Pricetype3=1,1,0),0))),D114)))</f>
        <v> </v>
      </c>
      <c r="N114" s="318" t="str">
        <f aca="false">IF($A114="N/A"," ",IF(Pricetype3=2,MAX(E114,0),IF(OR(Pricetype3=1,Pricetype3=4),IF(E114=0,0,(EURO(E114,Strikeprice3,0,0,($AK114+IF(Smile=TRUE(),VLOOKUP(MAX(-5,Strikeprice3-E114),Volsmile,2),0)),($A114-DateToday)+15,IF(Pricetype3=1,1,0),0))),E114)))</f>
        <v> </v>
      </c>
      <c r="O114" s="318" t="str">
        <f aca="false">IF($A114="N/A"," ",IF(Pricetype3=2,MAX(F114,0),IF(OR(Pricetype3=1,Pricetype3=4),IF(F114=0,0,(EURO(F114,Strikeprice3,0,0,($AK114+IF(Smile=TRUE(),VLOOKUP(MAX(-5,Strikeprice3-F114),Volsmile,2),0)),($A114-DateToday)+15,IF(Pricetype3=1,1,0),0))),F114)))</f>
        <v> </v>
      </c>
      <c r="P114" s="318" t="str">
        <f aca="false">IF($A114="N/A"," ",IF(Pricetype3=2,MAX(G114,0),IF(OR(Pricetype3=1,Pricetype3=4),IF(G114=0,0,(EURO(G114,Strikeprice3,0,0,($AK114+IF(Smile=TRUE(),VLOOKUP(MAX(-5,Strikeprice3-G114),Volsmile,2),0)),($A114-DateToday)+15,IF(Pricetype3=1,1,0),0))),G114)))</f>
        <v> </v>
      </c>
      <c r="Q114" s="318" t="str">
        <f aca="false">IF($A114="N/A"," ",IF(Pricetype3=2,MAX(H114,0),IF(OR(Pricetype3=1,Pricetype3=4),IF(H114=0,0,(EURO(H114,Strikeprice3,0,0,($AK114+IF(Smile=TRUE(),VLOOKUP(MAX(-5,Strikeprice3-H114),Volsmile,2),0)),($A114-DateToday)+15,IF(Pricetype3=1,1,0),0))),H114)))</f>
        <v> </v>
      </c>
      <c r="R114" s="318" t="str">
        <f aca="false">IF($A114="N/A"," ",IF(Pricetype3=2,MAX(I114,0),IF(OR(Pricetype3=1,Pricetype3=4),IF(I114=0,0,(EURO(I114,Strikeprice3,0,0,($AK114+IF(Smile=TRUE(),VLOOKUP(MAX(-5,Strikeprice3-I114),Volsmile,2),0)),($A114-DateToday)+15,IF(Pricetype3=1,1,0),0))),I114)))</f>
        <v> </v>
      </c>
      <c r="S114" s="318" t="str">
        <f aca="false">IF($A114="N/A"," ",IF(Pricetype3=2,MAX(J114,0),IF(OR(Pricetype3=1,Pricetype3=4),IF(J114=0,0,(EURO(J114,Strikeprice3,0,0,($AK114+IF(Smile=TRUE(),VLOOKUP(MAX(-5,Strikeprice3-J114),Volsmile,2),0)),($A114-DateToday)+15,IF(Pricetype3=1,1,0),0))),J114)))</f>
        <v> </v>
      </c>
      <c r="T114" s="318" t="str">
        <f aca="false">IF($A114="N/A"," ",IF(Pricetype3=2,MAX(K114,0),IF(OR(Pricetype3=1,Pricetype3=4),IF(K114=0,0,(EURO(K114,Strikeprice3,0,0,($AK114+IF(Smile=TRUE(),VLOOKUP(MAX(-5,Strikeprice3-K114),Volsmile,2),0)),($A114-DateToday)+15,IF(Pricetype3=1,1,0),0))),K114)))</f>
        <v> </v>
      </c>
      <c r="U114" s="319" t="str">
        <f aca="false">IF($A114="N/A"," ",Volume3*$AM114)</f>
        <v> </v>
      </c>
      <c r="V114" s="320" t="str">
        <f aca="false">IF($A114="N/A"," ",$U114*(8*($BQ114))*L114)</f>
        <v> </v>
      </c>
      <c r="W114" s="320" t="str">
        <f aca="false">IF($A114="N/A"," ",$U114*(8*($BQ114))*M114)</f>
        <v> </v>
      </c>
      <c r="X114" s="320" t="str">
        <f aca="false">IF($A114="N/A"," ",$U114*(8*($BQ114))*N114)</f>
        <v> </v>
      </c>
      <c r="Y114" s="320" t="str">
        <f aca="false">IF($A114="N/A"," ",$U114*(8*($BR114))*O114)</f>
        <v> </v>
      </c>
      <c r="Z114" s="320" t="str">
        <f aca="false">IF($A114="N/A"," ",$U114*(8*($BR114))*P114)</f>
        <v> </v>
      </c>
      <c r="AA114" s="320" t="str">
        <f aca="false">IF($A114="N/A"," ",$U114*(8*($BR114))*Q114)</f>
        <v> </v>
      </c>
      <c r="AB114" s="320" t="str">
        <f aca="false">IF($A114="N/A"," ",$U114*(8*($BS114))*R114)</f>
        <v> </v>
      </c>
      <c r="AC114" s="320" t="str">
        <f aca="false">IF($A114="N/A"," ",$U114*(8*($BS114))*S114)</f>
        <v> </v>
      </c>
      <c r="AD114" s="320" t="str">
        <f aca="false">IF($A114="N/A"," ",$U114*(8*($BS114))*T114)</f>
        <v> </v>
      </c>
      <c r="AE114" s="320" t="str">
        <f aca="false">IF($A114="N/A"," ",SUM(V114:AD114))</f>
        <v> </v>
      </c>
      <c r="AF114" s="321" t="str">
        <f aca="false">IF(A114="N/A"," ",(VLOOKUP(A114,PowerVolTable,(IF(VolBMO3=2,7,IF(VolBMO3=1,6,8))),FALSE())))</f>
        <v> </v>
      </c>
      <c r="AG114" s="321" t="str">
        <f aca="false">IF(A114="N/A"," ",(VLOOKUP(A114,IntraPowerVol,(IF(VolBMO3=2,3,IF(VolBMO3=1,2,4))),FALSE())*VLOOKUP(MONTH($A114),Volscale,2)))</f>
        <v> </v>
      </c>
      <c r="AH114" s="321" t="str">
        <f aca="false">IF($A114="N/A"," ",IF(VolType3=1,AG114,AF114))</f>
        <v> </v>
      </c>
      <c r="AI114" s="321" t="str">
        <f aca="false">IF($A114="N/A"," ",(VLOOKUP($A114,OffPwrVolTable,(IF(VolBMO3=2,7,IF(VolBMO3=1,6,8))),FALSE())))</f>
        <v> </v>
      </c>
      <c r="AJ114" s="321" t="str">
        <f aca="false">IF($A114="N/A"," ",(VLOOKUP($A114,OffPwrVolTable,(IF(VolBMO3=2,3,IF(VolBMO3=1,2,4))),FALSE())*VLOOKUP(MONTH($A114),Volscale,2)))</f>
        <v> </v>
      </c>
      <c r="AK114" s="321" t="str">
        <f aca="false">IF($A114="N/A"," ",IF(VolType3=1,AJ114,AI114))</f>
        <v> </v>
      </c>
      <c r="AL114" s="321" t="str">
        <f aca="false">IF($A114="N/A"," ",IF(PV=1,0,'Pricing Inputs3'!R147))</f>
        <v> </v>
      </c>
      <c r="AM114" s="323" t="str">
        <f aca="false">IF($A114="N/A"," ",(1+AL114/2)^(-2*((EOMONTH(A114,0)+20)-DateToday)/365.25))</f>
        <v> </v>
      </c>
      <c r="BQ114" s="0" t="str">
        <f aca="false">IF($A114="N/A"," ",(VLOOKUP($A114,NumberofDaysTable,2)))</f>
        <v> </v>
      </c>
      <c r="BR114" s="0" t="str">
        <f aca="false">IF($A114="N/A"," ",(VLOOKUP($A114,NumberofDaysTable,3)))</f>
        <v> </v>
      </c>
      <c r="BS114" s="0" t="str">
        <f aca="false">IF($A114="N/A"," ",(VLOOKUP($A114,NumberofDaysTable,4)))</f>
        <v> </v>
      </c>
    </row>
    <row r="115" customFormat="false" ht="12.75" hidden="false" customHeight="false" outlineLevel="0" collapsed="false">
      <c r="A115" s="315" t="str">
        <f aca="false">IF(A114="N/A","N/A",IF(EDATE(A114,1)&gt;Inputs!$Q$5,"N/A",EDATE(A114,1)))</f>
        <v>N/A</v>
      </c>
      <c r="B115" s="316" t="str">
        <f aca="false">IF(A115="N/A"," ",YEAR(A115))</f>
        <v> </v>
      </c>
      <c r="C115" s="317" t="str">
        <f aca="false">IF($A115="N/A"," ",IF(Dayrun3=10,0,IF(Scaler3=1,(VLOOKUP(A115,ScaledPrice3,4)),(VLOOKUP(A115,ScaledPrice3,2)))))</f>
        <v> </v>
      </c>
      <c r="D115" s="317" t="str">
        <f aca="false">IF(A115="N/A"," ",IF(Dayrun3&gt;=7,0,IF(Scaler3=2,VLOOKUP(A115,ScaledPrice3,2),(VLOOKUP(A115,ScaledPrice3,2))*(2-(VLOOKUP(A115,ScaledPrice3,3))))))</f>
        <v> </v>
      </c>
      <c r="E115" s="317" t="str">
        <f aca="false">IF($A115="N/A"," ",IF(AND(Dayrun3&gt;=4,Dayrun3&lt;=9),0,VLOOKUP($A115,ScaledPrice3,9)))</f>
        <v> </v>
      </c>
      <c r="F115" s="317" t="str">
        <f aca="false">IF(A115="N/A"," ",IF(OR(Dayrun3=2,Dayrun3=3,Dayrun3=5,Dayrun3=6,Dayrun3=8,Dayrun3=9),VLOOKUP(A115,ScaledPrice3,IF(Scaler3=1,6,5)),0))</f>
        <v> </v>
      </c>
      <c r="G115" s="317" t="str">
        <f aca="false">IF(A115="N/A"," ",IF(OR(Dayrun3=2,Dayrun3=3,Dayrun3=5,Dayrun3=6),IF(Scaler3=2,F115,(VLOOKUP(A115,ScaledPrice3,5))*(2-(VLOOKUP(A115,ScaledPrice3,3)))),0))</f>
        <v> </v>
      </c>
      <c r="H115" s="317" t="str">
        <f aca="false">IF($A115="N/A"," ",IF(OR(Dayrun3=2,Dayrun3=3,Dayrun3=10),VLOOKUP($A115,ScaledPrice3,9),0))</f>
        <v> </v>
      </c>
      <c r="I115" s="317" t="str">
        <f aca="false">IF(A115="N/A"," ",IF(OR(Dayrun3=3,Dayrun3=6,Dayrun3=9),(VLOOKUP(A115,ScaledPrice3,IF(Scaler3=2,7,8))),0))</f>
        <v> </v>
      </c>
      <c r="J115" s="317" t="str">
        <f aca="false">IF(A115="N/A"," ",IF(OR(Dayrun3=3,Dayrun3=6),IF(Scaler3=2,I115,(VLOOKUP(A115,ScaledPrice3,7))*(2-(VLOOKUP(A115,ScaledPrice3,3)))),0))</f>
        <v> </v>
      </c>
      <c r="K115" s="317" t="str">
        <f aca="false">IF($A115="N/A"," ",IF(OR(Dayrun3=3,Dayrun3=10),VLOOKUP($A115,ScaledPrice3,9),0))</f>
        <v> </v>
      </c>
      <c r="L115" s="318" t="str">
        <f aca="false">IF($A115="N/A"," ",IF(Pricetype3=2,MAX(C115,0),IF(OR(Pricetype3=1,Pricetype3=4),IF(C115=0,0,(EURO(C115,Strikeprice3,0,0,($AH115+IF(Smile=TRUE(),VLOOKUP(MAX(-5,Strikeprice3-C115),Volsmile,2),0)),($A115-DateToday)+15,IF(Pricetype3=1,1,0),0))),C115)))</f>
        <v> </v>
      </c>
      <c r="M115" s="318" t="str">
        <f aca="false">IF($A115="N/A"," ",IF(Pricetype3=2,MAX(D115,0),IF(OR(Pricetype3=1,Pricetype3=4),IF(D115=0,0,(EURO(D115,Strikeprice3,0,0,($AH115+IF(Smile=TRUE(),VLOOKUP(MAX(-5,Strikeprice3-D115),Volsmile,2),0)),($A115-DateToday)+15,IF(Pricetype3=1,1,0),0))),D115)))</f>
        <v> </v>
      </c>
      <c r="N115" s="318" t="str">
        <f aca="false">IF($A115="N/A"," ",IF(Pricetype3=2,MAX(E115,0),IF(OR(Pricetype3=1,Pricetype3=4),IF(E115=0,0,(EURO(E115,Strikeprice3,0,0,($AK115+IF(Smile=TRUE(),VLOOKUP(MAX(-5,Strikeprice3-E115),Volsmile,2),0)),($A115-DateToday)+15,IF(Pricetype3=1,1,0),0))),E115)))</f>
        <v> </v>
      </c>
      <c r="O115" s="318" t="str">
        <f aca="false">IF($A115="N/A"," ",IF(Pricetype3=2,MAX(F115,0),IF(OR(Pricetype3=1,Pricetype3=4),IF(F115=0,0,(EURO(F115,Strikeprice3,0,0,($AK115+IF(Smile=TRUE(),VLOOKUP(MAX(-5,Strikeprice3-F115),Volsmile,2),0)),($A115-DateToday)+15,IF(Pricetype3=1,1,0),0))),F115)))</f>
        <v> </v>
      </c>
      <c r="P115" s="318" t="str">
        <f aca="false">IF($A115="N/A"," ",IF(Pricetype3=2,MAX(G115,0),IF(OR(Pricetype3=1,Pricetype3=4),IF(G115=0,0,(EURO(G115,Strikeprice3,0,0,($AK115+IF(Smile=TRUE(),VLOOKUP(MAX(-5,Strikeprice3-G115),Volsmile,2),0)),($A115-DateToday)+15,IF(Pricetype3=1,1,0),0))),G115)))</f>
        <v> </v>
      </c>
      <c r="Q115" s="318" t="str">
        <f aca="false">IF($A115="N/A"," ",IF(Pricetype3=2,MAX(H115,0),IF(OR(Pricetype3=1,Pricetype3=4),IF(H115=0,0,(EURO(H115,Strikeprice3,0,0,($AK115+IF(Smile=TRUE(),VLOOKUP(MAX(-5,Strikeprice3-H115),Volsmile,2),0)),($A115-DateToday)+15,IF(Pricetype3=1,1,0),0))),H115)))</f>
        <v> </v>
      </c>
      <c r="R115" s="318" t="str">
        <f aca="false">IF($A115="N/A"," ",IF(Pricetype3=2,MAX(I115,0),IF(OR(Pricetype3=1,Pricetype3=4),IF(I115=0,0,(EURO(I115,Strikeprice3,0,0,($AK115+IF(Smile=TRUE(),VLOOKUP(MAX(-5,Strikeprice3-I115),Volsmile,2),0)),($A115-DateToday)+15,IF(Pricetype3=1,1,0),0))),I115)))</f>
        <v> </v>
      </c>
      <c r="S115" s="318" t="str">
        <f aca="false">IF($A115="N/A"," ",IF(Pricetype3=2,MAX(J115,0),IF(OR(Pricetype3=1,Pricetype3=4),IF(J115=0,0,(EURO(J115,Strikeprice3,0,0,($AK115+IF(Smile=TRUE(),VLOOKUP(MAX(-5,Strikeprice3-J115),Volsmile,2),0)),($A115-DateToday)+15,IF(Pricetype3=1,1,0),0))),J115)))</f>
        <v> </v>
      </c>
      <c r="T115" s="318" t="str">
        <f aca="false">IF($A115="N/A"," ",IF(Pricetype3=2,MAX(K115,0),IF(OR(Pricetype3=1,Pricetype3=4),IF(K115=0,0,(EURO(K115,Strikeprice3,0,0,($AK115+IF(Smile=TRUE(),VLOOKUP(MAX(-5,Strikeprice3-K115),Volsmile,2),0)),($A115-DateToday)+15,IF(Pricetype3=1,1,0),0))),K115)))</f>
        <v> </v>
      </c>
      <c r="U115" s="319" t="str">
        <f aca="false">IF($A115="N/A"," ",Volume3*$AM115)</f>
        <v> </v>
      </c>
      <c r="V115" s="320" t="str">
        <f aca="false">IF($A115="N/A"," ",$U115*(8*($BQ115))*L115)</f>
        <v> </v>
      </c>
      <c r="W115" s="320" t="str">
        <f aca="false">IF($A115="N/A"," ",$U115*(8*($BQ115))*M115)</f>
        <v> </v>
      </c>
      <c r="X115" s="320" t="str">
        <f aca="false">IF($A115="N/A"," ",$U115*(8*($BQ115))*N115)</f>
        <v> </v>
      </c>
      <c r="Y115" s="320" t="str">
        <f aca="false">IF($A115="N/A"," ",$U115*(8*($BR115))*O115)</f>
        <v> </v>
      </c>
      <c r="Z115" s="320" t="str">
        <f aca="false">IF($A115="N/A"," ",$U115*(8*($BR115))*P115)</f>
        <v> </v>
      </c>
      <c r="AA115" s="320" t="str">
        <f aca="false">IF($A115="N/A"," ",$U115*(8*($BR115))*Q115)</f>
        <v> </v>
      </c>
      <c r="AB115" s="320" t="str">
        <f aca="false">IF($A115="N/A"," ",$U115*(8*($BS115))*R115)</f>
        <v> </v>
      </c>
      <c r="AC115" s="320" t="str">
        <f aca="false">IF($A115="N/A"," ",$U115*(8*($BS115))*S115)</f>
        <v> </v>
      </c>
      <c r="AD115" s="320" t="str">
        <f aca="false">IF($A115="N/A"," ",$U115*(8*($BS115))*T115)</f>
        <v> </v>
      </c>
      <c r="AE115" s="320" t="str">
        <f aca="false">IF($A115="N/A"," ",SUM(V115:AD115))</f>
        <v> </v>
      </c>
      <c r="AF115" s="321" t="str">
        <f aca="false">IF(A115="N/A"," ",(VLOOKUP(A115,PowerVolTable,(IF(VolBMO3=2,7,IF(VolBMO3=1,6,8))),FALSE())))</f>
        <v> </v>
      </c>
      <c r="AG115" s="321" t="str">
        <f aca="false">IF(A115="N/A"," ",(VLOOKUP(A115,IntraPowerVol,(IF(VolBMO3=2,3,IF(VolBMO3=1,2,4))),FALSE())*VLOOKUP(MONTH($A115),Volscale,2)))</f>
        <v> </v>
      </c>
      <c r="AH115" s="321" t="str">
        <f aca="false">IF($A115="N/A"," ",IF(VolType3=1,AG115,AF115))</f>
        <v> </v>
      </c>
      <c r="AI115" s="321" t="str">
        <f aca="false">IF($A115="N/A"," ",(VLOOKUP($A115,OffPwrVolTable,(IF(VolBMO3=2,7,IF(VolBMO3=1,6,8))),FALSE())))</f>
        <v> </v>
      </c>
      <c r="AJ115" s="321" t="str">
        <f aca="false">IF($A115="N/A"," ",(VLOOKUP($A115,OffPwrVolTable,(IF(VolBMO3=2,3,IF(VolBMO3=1,2,4))),FALSE())*VLOOKUP(MONTH($A115),Volscale,2)))</f>
        <v> </v>
      </c>
      <c r="AK115" s="321" t="str">
        <f aca="false">IF($A115="N/A"," ",IF(VolType3=1,AJ115,AI115))</f>
        <v> </v>
      </c>
      <c r="AL115" s="321" t="str">
        <f aca="false">IF($A115="N/A"," ",IF(PV=1,0,'Pricing Inputs3'!R148))</f>
        <v> </v>
      </c>
      <c r="AM115" s="323" t="str">
        <f aca="false">IF($A115="N/A"," ",(1+AL115/2)^(-2*((EOMONTH(A115,0)+20)-DateToday)/365.25))</f>
        <v> </v>
      </c>
      <c r="BQ115" s="0" t="str">
        <f aca="false">IF($A115="N/A"," ",(VLOOKUP($A115,NumberofDaysTable,2)))</f>
        <v> </v>
      </c>
      <c r="BR115" s="0" t="str">
        <f aca="false">IF($A115="N/A"," ",(VLOOKUP($A115,NumberofDaysTable,3)))</f>
        <v> </v>
      </c>
      <c r="BS115" s="0" t="str">
        <f aca="false">IF($A115="N/A"," ",(VLOOKUP($A115,NumberofDaysTable,4)))</f>
        <v> </v>
      </c>
    </row>
    <row r="116" customFormat="false" ht="12.75" hidden="false" customHeight="false" outlineLevel="0" collapsed="false">
      <c r="A116" s="315" t="str">
        <f aca="false">IF(A115="N/A","N/A",IF(EDATE(A115,1)&gt;Inputs!$Q$5,"N/A",EDATE(A115,1)))</f>
        <v>N/A</v>
      </c>
      <c r="B116" s="316" t="str">
        <f aca="false">IF(A116="N/A"," ",YEAR(A116))</f>
        <v> </v>
      </c>
      <c r="C116" s="317" t="str">
        <f aca="false">IF($A116="N/A"," ",IF(Dayrun3=10,0,IF(Scaler3=1,(VLOOKUP(A116,ScaledPrice3,4)),(VLOOKUP(A116,ScaledPrice3,2)))))</f>
        <v> </v>
      </c>
      <c r="D116" s="317" t="str">
        <f aca="false">IF(A116="N/A"," ",IF(Dayrun3&gt;=7,0,IF(Scaler3=2,VLOOKUP(A116,ScaledPrice3,2),(VLOOKUP(A116,ScaledPrice3,2))*(2-(VLOOKUP(A116,ScaledPrice3,3))))))</f>
        <v> </v>
      </c>
      <c r="E116" s="317" t="str">
        <f aca="false">IF($A116="N/A"," ",IF(AND(Dayrun3&gt;=4,Dayrun3&lt;=9),0,VLOOKUP($A116,ScaledPrice3,9)))</f>
        <v> </v>
      </c>
      <c r="F116" s="317" t="str">
        <f aca="false">IF(A116="N/A"," ",IF(OR(Dayrun3=2,Dayrun3=3,Dayrun3=5,Dayrun3=6,Dayrun3=8,Dayrun3=9),VLOOKUP(A116,ScaledPrice3,IF(Scaler3=1,6,5)),0))</f>
        <v> </v>
      </c>
      <c r="G116" s="317" t="str">
        <f aca="false">IF(A116="N/A"," ",IF(OR(Dayrun3=2,Dayrun3=3,Dayrun3=5,Dayrun3=6),IF(Scaler3=2,F116,(VLOOKUP(A116,ScaledPrice3,5))*(2-(VLOOKUP(A116,ScaledPrice3,3)))),0))</f>
        <v> </v>
      </c>
      <c r="H116" s="317" t="str">
        <f aca="false">IF($A116="N/A"," ",IF(OR(Dayrun3=2,Dayrun3=3,Dayrun3=10),VLOOKUP($A116,ScaledPrice3,9),0))</f>
        <v> </v>
      </c>
      <c r="I116" s="317" t="str">
        <f aca="false">IF(A116="N/A"," ",IF(OR(Dayrun3=3,Dayrun3=6,Dayrun3=9),(VLOOKUP(A116,ScaledPrice3,IF(Scaler3=2,7,8))),0))</f>
        <v> </v>
      </c>
      <c r="J116" s="317" t="str">
        <f aca="false">IF(A116="N/A"," ",IF(OR(Dayrun3=3,Dayrun3=6),IF(Scaler3=2,I116,(VLOOKUP(A116,ScaledPrice3,7))*(2-(VLOOKUP(A116,ScaledPrice3,3)))),0))</f>
        <v> </v>
      </c>
      <c r="K116" s="317" t="str">
        <f aca="false">IF($A116="N/A"," ",IF(OR(Dayrun3=3,Dayrun3=10),VLOOKUP($A116,ScaledPrice3,9),0))</f>
        <v> </v>
      </c>
      <c r="L116" s="318" t="str">
        <f aca="false">IF($A116="N/A"," ",IF(Pricetype3=2,MAX(C116,0),IF(OR(Pricetype3=1,Pricetype3=4),IF(C116=0,0,(EURO(C116,Strikeprice3,0,0,($AH116+IF(Smile=TRUE(),VLOOKUP(MAX(-5,Strikeprice3-C116),Volsmile,2),0)),($A116-DateToday)+15,IF(Pricetype3=1,1,0),0))),C116)))</f>
        <v> </v>
      </c>
      <c r="M116" s="318" t="str">
        <f aca="false">IF($A116="N/A"," ",IF(Pricetype3=2,MAX(D116,0),IF(OR(Pricetype3=1,Pricetype3=4),IF(D116=0,0,(EURO(D116,Strikeprice3,0,0,($AH116+IF(Smile=TRUE(),VLOOKUP(MAX(-5,Strikeprice3-D116),Volsmile,2),0)),($A116-DateToday)+15,IF(Pricetype3=1,1,0),0))),D116)))</f>
        <v> </v>
      </c>
      <c r="N116" s="318" t="str">
        <f aca="false">IF($A116="N/A"," ",IF(Pricetype3=2,MAX(E116,0),IF(OR(Pricetype3=1,Pricetype3=4),IF(E116=0,0,(EURO(E116,Strikeprice3,0,0,($AK116+IF(Smile=TRUE(),VLOOKUP(MAX(-5,Strikeprice3-E116),Volsmile,2),0)),($A116-DateToday)+15,IF(Pricetype3=1,1,0),0))),E116)))</f>
        <v> </v>
      </c>
      <c r="O116" s="318" t="str">
        <f aca="false">IF($A116="N/A"," ",IF(Pricetype3=2,MAX(F116,0),IF(OR(Pricetype3=1,Pricetype3=4),IF(F116=0,0,(EURO(F116,Strikeprice3,0,0,($AK116+IF(Smile=TRUE(),VLOOKUP(MAX(-5,Strikeprice3-F116),Volsmile,2),0)),($A116-DateToday)+15,IF(Pricetype3=1,1,0),0))),F116)))</f>
        <v> </v>
      </c>
      <c r="P116" s="318" t="str">
        <f aca="false">IF($A116="N/A"," ",IF(Pricetype3=2,MAX(G116,0),IF(OR(Pricetype3=1,Pricetype3=4),IF(G116=0,0,(EURO(G116,Strikeprice3,0,0,($AK116+IF(Smile=TRUE(),VLOOKUP(MAX(-5,Strikeprice3-G116),Volsmile,2),0)),($A116-DateToday)+15,IF(Pricetype3=1,1,0),0))),G116)))</f>
        <v> </v>
      </c>
      <c r="Q116" s="318" t="str">
        <f aca="false">IF($A116="N/A"," ",IF(Pricetype3=2,MAX(H116,0),IF(OR(Pricetype3=1,Pricetype3=4),IF(H116=0,0,(EURO(H116,Strikeprice3,0,0,($AK116+IF(Smile=TRUE(),VLOOKUP(MAX(-5,Strikeprice3-H116),Volsmile,2),0)),($A116-DateToday)+15,IF(Pricetype3=1,1,0),0))),H116)))</f>
        <v> </v>
      </c>
      <c r="R116" s="318" t="str">
        <f aca="false">IF($A116="N/A"," ",IF(Pricetype3=2,MAX(I116,0),IF(OR(Pricetype3=1,Pricetype3=4),IF(I116=0,0,(EURO(I116,Strikeprice3,0,0,($AK116+IF(Smile=TRUE(),VLOOKUP(MAX(-5,Strikeprice3-I116),Volsmile,2),0)),($A116-DateToday)+15,IF(Pricetype3=1,1,0),0))),I116)))</f>
        <v> </v>
      </c>
      <c r="S116" s="318" t="str">
        <f aca="false">IF($A116="N/A"," ",IF(Pricetype3=2,MAX(J116,0),IF(OR(Pricetype3=1,Pricetype3=4),IF(J116=0,0,(EURO(J116,Strikeprice3,0,0,($AK116+IF(Smile=TRUE(),VLOOKUP(MAX(-5,Strikeprice3-J116),Volsmile,2),0)),($A116-DateToday)+15,IF(Pricetype3=1,1,0),0))),J116)))</f>
        <v> </v>
      </c>
      <c r="T116" s="318" t="str">
        <f aca="false">IF($A116="N/A"," ",IF(Pricetype3=2,MAX(K116,0),IF(OR(Pricetype3=1,Pricetype3=4),IF(K116=0,0,(EURO(K116,Strikeprice3,0,0,($AK116+IF(Smile=TRUE(),VLOOKUP(MAX(-5,Strikeprice3-K116),Volsmile,2),0)),($A116-DateToday)+15,IF(Pricetype3=1,1,0),0))),K116)))</f>
        <v> </v>
      </c>
      <c r="U116" s="319" t="str">
        <f aca="false">IF($A116="N/A"," ",Volume3*$AM116)</f>
        <v> </v>
      </c>
      <c r="V116" s="320" t="str">
        <f aca="false">IF($A116="N/A"," ",$U116*(8*($BQ116))*L116)</f>
        <v> </v>
      </c>
      <c r="W116" s="320" t="str">
        <f aca="false">IF($A116="N/A"," ",$U116*(8*($BQ116))*M116)</f>
        <v> </v>
      </c>
      <c r="X116" s="320" t="str">
        <f aca="false">IF($A116="N/A"," ",$U116*(8*($BQ116))*N116)</f>
        <v> </v>
      </c>
      <c r="Y116" s="320" t="str">
        <f aca="false">IF($A116="N/A"," ",$U116*(8*($BR116))*O116)</f>
        <v> </v>
      </c>
      <c r="Z116" s="320" t="str">
        <f aca="false">IF($A116="N/A"," ",$U116*(8*($BR116))*P116)</f>
        <v> </v>
      </c>
      <c r="AA116" s="320" t="str">
        <f aca="false">IF($A116="N/A"," ",$U116*(8*($BR116))*Q116)</f>
        <v> </v>
      </c>
      <c r="AB116" s="320" t="str">
        <f aca="false">IF($A116="N/A"," ",$U116*(8*($BS116))*R116)</f>
        <v> </v>
      </c>
      <c r="AC116" s="320" t="str">
        <f aca="false">IF($A116="N/A"," ",$U116*(8*($BS116))*S116)</f>
        <v> </v>
      </c>
      <c r="AD116" s="320" t="str">
        <f aca="false">IF($A116="N/A"," ",$U116*(8*($BS116))*T116)</f>
        <v> </v>
      </c>
      <c r="AE116" s="320" t="str">
        <f aca="false">IF($A116="N/A"," ",SUM(V116:AD116))</f>
        <v> </v>
      </c>
      <c r="AF116" s="321" t="str">
        <f aca="false">IF(A116="N/A"," ",(VLOOKUP(A116,PowerVolTable,(IF(VolBMO3=2,7,IF(VolBMO3=1,6,8))),FALSE())))</f>
        <v> </v>
      </c>
      <c r="AG116" s="321" t="str">
        <f aca="false">IF(A116="N/A"," ",(VLOOKUP(A116,IntraPowerVol,(IF(VolBMO3=2,3,IF(VolBMO3=1,2,4))),FALSE())*VLOOKUP(MONTH($A116),Volscale,2)))</f>
        <v> </v>
      </c>
      <c r="AH116" s="321" t="str">
        <f aca="false">IF($A116="N/A"," ",IF(VolType3=1,AG116,AF116))</f>
        <v> </v>
      </c>
      <c r="AI116" s="321" t="str">
        <f aca="false">IF($A116="N/A"," ",(VLOOKUP($A116,OffPwrVolTable,(IF(VolBMO3=2,7,IF(VolBMO3=1,6,8))),FALSE())))</f>
        <v> </v>
      </c>
      <c r="AJ116" s="321" t="str">
        <f aca="false">IF($A116="N/A"," ",(VLOOKUP($A116,OffPwrVolTable,(IF(VolBMO3=2,3,IF(VolBMO3=1,2,4))),FALSE())*VLOOKUP(MONTH($A116),Volscale,2)))</f>
        <v> </v>
      </c>
      <c r="AK116" s="321" t="str">
        <f aca="false">IF($A116="N/A"," ",IF(VolType3=1,AJ116,AI116))</f>
        <v> </v>
      </c>
      <c r="AL116" s="321" t="str">
        <f aca="false">IF($A116="N/A"," ",IF(PV=1,0,'Pricing Inputs3'!R149))</f>
        <v> </v>
      </c>
      <c r="AM116" s="323" t="str">
        <f aca="false">IF($A116="N/A"," ",(1+AL116/2)^(-2*((EOMONTH(A116,0)+20)-DateToday)/365.25))</f>
        <v> </v>
      </c>
      <c r="BQ116" s="0" t="str">
        <f aca="false">IF($A116="N/A"," ",(VLOOKUP($A116,NumberofDaysTable,2)))</f>
        <v> </v>
      </c>
      <c r="BR116" s="0" t="str">
        <f aca="false">IF($A116="N/A"," ",(VLOOKUP($A116,NumberofDaysTable,3)))</f>
        <v> </v>
      </c>
      <c r="BS116" s="0" t="str">
        <f aca="false">IF($A116="N/A"," ",(VLOOKUP($A116,NumberofDaysTable,4)))</f>
        <v> </v>
      </c>
    </row>
    <row r="117" customFormat="false" ht="12.75" hidden="false" customHeight="false" outlineLevel="0" collapsed="false">
      <c r="A117" s="315" t="str">
        <f aca="false">IF(A116="N/A","N/A",IF(EDATE(A116,1)&gt;Inputs!$Q$5,"N/A",EDATE(A116,1)))</f>
        <v>N/A</v>
      </c>
      <c r="B117" s="316" t="str">
        <f aca="false">IF(A117="N/A"," ",YEAR(A117))</f>
        <v> </v>
      </c>
      <c r="C117" s="317" t="str">
        <f aca="false">IF($A117="N/A"," ",IF(Dayrun3=10,0,IF(Scaler3=1,(VLOOKUP(A117,ScaledPrice3,4)),(VLOOKUP(A117,ScaledPrice3,2)))))</f>
        <v> </v>
      </c>
      <c r="D117" s="317" t="str">
        <f aca="false">IF(A117="N/A"," ",IF(Dayrun3&gt;=7,0,IF(Scaler3=2,VLOOKUP(A117,ScaledPrice3,2),(VLOOKUP(A117,ScaledPrice3,2))*(2-(VLOOKUP(A117,ScaledPrice3,3))))))</f>
        <v> </v>
      </c>
      <c r="E117" s="317" t="str">
        <f aca="false">IF($A117="N/A"," ",IF(AND(Dayrun3&gt;=4,Dayrun3&lt;=9),0,VLOOKUP($A117,ScaledPrice3,9)))</f>
        <v> </v>
      </c>
      <c r="F117" s="317" t="str">
        <f aca="false">IF(A117="N/A"," ",IF(OR(Dayrun3=2,Dayrun3=3,Dayrun3=5,Dayrun3=6,Dayrun3=8,Dayrun3=9),VLOOKUP(A117,ScaledPrice3,IF(Scaler3=1,6,5)),0))</f>
        <v> </v>
      </c>
      <c r="G117" s="317" t="str">
        <f aca="false">IF(A117="N/A"," ",IF(OR(Dayrun3=2,Dayrun3=3,Dayrun3=5,Dayrun3=6),IF(Scaler3=2,F117,(VLOOKUP(A117,ScaledPrice3,5))*(2-(VLOOKUP(A117,ScaledPrice3,3)))),0))</f>
        <v> </v>
      </c>
      <c r="H117" s="317" t="str">
        <f aca="false">IF($A117="N/A"," ",IF(OR(Dayrun3=2,Dayrun3=3,Dayrun3=10),VLOOKUP($A117,ScaledPrice3,9),0))</f>
        <v> </v>
      </c>
      <c r="I117" s="317" t="str">
        <f aca="false">IF(A117="N/A"," ",IF(OR(Dayrun3=3,Dayrun3=6,Dayrun3=9),(VLOOKUP(A117,ScaledPrice3,IF(Scaler3=2,7,8))),0))</f>
        <v> </v>
      </c>
      <c r="J117" s="317" t="str">
        <f aca="false">IF(A117="N/A"," ",IF(OR(Dayrun3=3,Dayrun3=6),IF(Scaler3=2,I117,(VLOOKUP(A117,ScaledPrice3,7))*(2-(VLOOKUP(A117,ScaledPrice3,3)))),0))</f>
        <v> </v>
      </c>
      <c r="K117" s="317" t="str">
        <f aca="false">IF($A117="N/A"," ",IF(OR(Dayrun3=3,Dayrun3=10),VLOOKUP($A117,ScaledPrice3,9),0))</f>
        <v> </v>
      </c>
      <c r="L117" s="318" t="str">
        <f aca="false">IF($A117="N/A"," ",IF(Pricetype3=2,MAX(C117,0),IF(OR(Pricetype3=1,Pricetype3=4),IF(C117=0,0,(EURO(C117,Strikeprice3,0,0,($AH117+IF(Smile=TRUE(),VLOOKUP(MAX(-5,Strikeprice3-C117),Volsmile,2),0)),($A117-DateToday)+15,IF(Pricetype3=1,1,0),0))),C117)))</f>
        <v> </v>
      </c>
      <c r="M117" s="318" t="str">
        <f aca="false">IF($A117="N/A"," ",IF(Pricetype3=2,MAX(D117,0),IF(OR(Pricetype3=1,Pricetype3=4),IF(D117=0,0,(EURO(D117,Strikeprice3,0,0,($AH117+IF(Smile=TRUE(),VLOOKUP(MAX(-5,Strikeprice3-D117),Volsmile,2),0)),($A117-DateToday)+15,IF(Pricetype3=1,1,0),0))),D117)))</f>
        <v> </v>
      </c>
      <c r="N117" s="318" t="str">
        <f aca="false">IF($A117="N/A"," ",IF(Pricetype3=2,MAX(E117,0),IF(OR(Pricetype3=1,Pricetype3=4),IF(E117=0,0,(EURO(E117,Strikeprice3,0,0,($AK117+IF(Smile=TRUE(),VLOOKUP(MAX(-5,Strikeprice3-E117),Volsmile,2),0)),($A117-DateToday)+15,IF(Pricetype3=1,1,0),0))),E117)))</f>
        <v> </v>
      </c>
      <c r="O117" s="318" t="str">
        <f aca="false">IF($A117="N/A"," ",IF(Pricetype3=2,MAX(F117,0),IF(OR(Pricetype3=1,Pricetype3=4),IF(F117=0,0,(EURO(F117,Strikeprice3,0,0,($AK117+IF(Smile=TRUE(),VLOOKUP(MAX(-5,Strikeprice3-F117),Volsmile,2),0)),($A117-DateToday)+15,IF(Pricetype3=1,1,0),0))),F117)))</f>
        <v> </v>
      </c>
      <c r="P117" s="318" t="str">
        <f aca="false">IF($A117="N/A"," ",IF(Pricetype3=2,MAX(G117,0),IF(OR(Pricetype3=1,Pricetype3=4),IF(G117=0,0,(EURO(G117,Strikeprice3,0,0,($AK117+IF(Smile=TRUE(),VLOOKUP(MAX(-5,Strikeprice3-G117),Volsmile,2),0)),($A117-DateToday)+15,IF(Pricetype3=1,1,0),0))),G117)))</f>
        <v> </v>
      </c>
      <c r="Q117" s="318" t="str">
        <f aca="false">IF($A117="N/A"," ",IF(Pricetype3=2,MAX(H117,0),IF(OR(Pricetype3=1,Pricetype3=4),IF(H117=0,0,(EURO(H117,Strikeprice3,0,0,($AK117+IF(Smile=TRUE(),VLOOKUP(MAX(-5,Strikeprice3-H117),Volsmile,2),0)),($A117-DateToday)+15,IF(Pricetype3=1,1,0),0))),H117)))</f>
        <v> </v>
      </c>
      <c r="R117" s="318" t="str">
        <f aca="false">IF($A117="N/A"," ",IF(Pricetype3=2,MAX(I117,0),IF(OR(Pricetype3=1,Pricetype3=4),IF(I117=0,0,(EURO(I117,Strikeprice3,0,0,($AK117+IF(Smile=TRUE(),VLOOKUP(MAX(-5,Strikeprice3-I117),Volsmile,2),0)),($A117-DateToday)+15,IF(Pricetype3=1,1,0),0))),I117)))</f>
        <v> </v>
      </c>
      <c r="S117" s="318" t="str">
        <f aca="false">IF($A117="N/A"," ",IF(Pricetype3=2,MAX(J117,0),IF(OR(Pricetype3=1,Pricetype3=4),IF(J117=0,0,(EURO(J117,Strikeprice3,0,0,($AK117+IF(Smile=TRUE(),VLOOKUP(MAX(-5,Strikeprice3-J117),Volsmile,2),0)),($A117-DateToday)+15,IF(Pricetype3=1,1,0),0))),J117)))</f>
        <v> </v>
      </c>
      <c r="T117" s="318" t="str">
        <f aca="false">IF($A117="N/A"," ",IF(Pricetype3=2,MAX(K117,0),IF(OR(Pricetype3=1,Pricetype3=4),IF(K117=0,0,(EURO(K117,Strikeprice3,0,0,($AK117+IF(Smile=TRUE(),VLOOKUP(MAX(-5,Strikeprice3-K117),Volsmile,2),0)),($A117-DateToday)+15,IF(Pricetype3=1,1,0),0))),K117)))</f>
        <v> </v>
      </c>
      <c r="U117" s="319" t="str">
        <f aca="false">IF($A117="N/A"," ",Volume3*$AM117)</f>
        <v> </v>
      </c>
      <c r="V117" s="320" t="str">
        <f aca="false">IF($A117="N/A"," ",$U117*(8*($BQ117))*L117)</f>
        <v> </v>
      </c>
      <c r="W117" s="320" t="str">
        <f aca="false">IF($A117="N/A"," ",$U117*(8*($BQ117))*M117)</f>
        <v> </v>
      </c>
      <c r="X117" s="320" t="str">
        <f aca="false">IF($A117="N/A"," ",$U117*(8*($BQ117))*N117)</f>
        <v> </v>
      </c>
      <c r="Y117" s="320" t="str">
        <f aca="false">IF($A117="N/A"," ",$U117*(8*($BR117))*O117)</f>
        <v> </v>
      </c>
      <c r="Z117" s="320" t="str">
        <f aca="false">IF($A117="N/A"," ",$U117*(8*($BR117))*P117)</f>
        <v> </v>
      </c>
      <c r="AA117" s="320" t="str">
        <f aca="false">IF($A117="N/A"," ",$U117*(8*($BR117))*Q117)</f>
        <v> </v>
      </c>
      <c r="AB117" s="320" t="str">
        <f aca="false">IF($A117="N/A"," ",$U117*(8*($BS117))*R117)</f>
        <v> </v>
      </c>
      <c r="AC117" s="320" t="str">
        <f aca="false">IF($A117="N/A"," ",$U117*(8*($BS117))*S117)</f>
        <v> </v>
      </c>
      <c r="AD117" s="320" t="str">
        <f aca="false">IF($A117="N/A"," ",$U117*(8*($BS117))*T117)</f>
        <v> </v>
      </c>
      <c r="AE117" s="320" t="str">
        <f aca="false">IF($A117="N/A"," ",SUM(V117:AD117))</f>
        <v> </v>
      </c>
      <c r="AF117" s="321" t="str">
        <f aca="false">IF(A117="N/A"," ",(VLOOKUP(A117,PowerVolTable,(IF(VolBMO3=2,7,IF(VolBMO3=1,6,8))),FALSE())))</f>
        <v> </v>
      </c>
      <c r="AG117" s="321" t="str">
        <f aca="false">IF(A117="N/A"," ",(VLOOKUP(A117,IntraPowerVol,(IF(VolBMO3=2,3,IF(VolBMO3=1,2,4))),FALSE())*VLOOKUP(MONTH($A117),Volscale,2)))</f>
        <v> </v>
      </c>
      <c r="AH117" s="321" t="str">
        <f aca="false">IF($A117="N/A"," ",IF(VolType3=1,AG117,AF117))</f>
        <v> </v>
      </c>
      <c r="AI117" s="321" t="str">
        <f aca="false">IF($A117="N/A"," ",(VLOOKUP($A117,OffPwrVolTable,(IF(VolBMO3=2,7,IF(VolBMO3=1,6,8))),FALSE())))</f>
        <v> </v>
      </c>
      <c r="AJ117" s="321" t="str">
        <f aca="false">IF($A117="N/A"," ",(VLOOKUP($A117,OffPwrVolTable,(IF(VolBMO3=2,3,IF(VolBMO3=1,2,4))),FALSE())*VLOOKUP(MONTH($A117),Volscale,2)))</f>
        <v> </v>
      </c>
      <c r="AK117" s="321" t="str">
        <f aca="false">IF($A117="N/A"," ",IF(VolType3=1,AJ117,AI117))</f>
        <v> </v>
      </c>
      <c r="AL117" s="321" t="str">
        <f aca="false">IF($A117="N/A"," ",IF(PV=1,0,'Pricing Inputs3'!R150))</f>
        <v> </v>
      </c>
      <c r="AM117" s="323" t="str">
        <f aca="false">IF($A117="N/A"," ",(1+AL117/2)^(-2*((EOMONTH(A117,0)+20)-DateToday)/365.25))</f>
        <v> </v>
      </c>
      <c r="BQ117" s="0" t="str">
        <f aca="false">IF($A117="N/A"," ",(VLOOKUP($A117,NumberofDaysTable,2)))</f>
        <v> </v>
      </c>
      <c r="BR117" s="0" t="str">
        <f aca="false">IF($A117="N/A"," ",(VLOOKUP($A117,NumberofDaysTable,3)))</f>
        <v> </v>
      </c>
      <c r="BS117" s="0" t="str">
        <f aca="false">IF($A117="N/A"," ",(VLOOKUP($A117,NumberofDaysTable,4)))</f>
        <v> </v>
      </c>
    </row>
    <row r="118" customFormat="false" ht="12.75" hidden="false" customHeight="false" outlineLevel="0" collapsed="false">
      <c r="A118" s="315" t="str">
        <f aca="false">IF(A117="N/A","N/A",IF(EDATE(A117,1)&gt;Inputs!$Q$5,"N/A",EDATE(A117,1)))</f>
        <v>N/A</v>
      </c>
      <c r="B118" s="316" t="str">
        <f aca="false">IF(A118="N/A"," ",YEAR(A118))</f>
        <v> </v>
      </c>
      <c r="C118" s="317" t="str">
        <f aca="false">IF($A118="N/A"," ",IF(Dayrun3=10,0,IF(Scaler3=1,(VLOOKUP(A118,ScaledPrice3,4)),(VLOOKUP(A118,ScaledPrice3,2)))))</f>
        <v> </v>
      </c>
      <c r="D118" s="317" t="str">
        <f aca="false">IF(A118="N/A"," ",IF(Dayrun3&gt;=7,0,IF(Scaler3=2,VLOOKUP(A118,ScaledPrice3,2),(VLOOKUP(A118,ScaledPrice3,2))*(2-(VLOOKUP(A118,ScaledPrice3,3))))))</f>
        <v> </v>
      </c>
      <c r="E118" s="317" t="str">
        <f aca="false">IF($A118="N/A"," ",IF(AND(Dayrun3&gt;=4,Dayrun3&lt;=9),0,VLOOKUP($A118,ScaledPrice3,9)))</f>
        <v> </v>
      </c>
      <c r="F118" s="317" t="str">
        <f aca="false">IF(A118="N/A"," ",IF(OR(Dayrun3=2,Dayrun3=3,Dayrun3=5,Dayrun3=6,Dayrun3=8,Dayrun3=9),VLOOKUP(A118,ScaledPrice3,IF(Scaler3=1,6,5)),0))</f>
        <v> </v>
      </c>
      <c r="G118" s="317" t="str">
        <f aca="false">IF(A118="N/A"," ",IF(OR(Dayrun3=2,Dayrun3=3,Dayrun3=5,Dayrun3=6),IF(Scaler3=2,F118,(VLOOKUP(A118,ScaledPrice3,5))*(2-(VLOOKUP(A118,ScaledPrice3,3)))),0))</f>
        <v> </v>
      </c>
      <c r="H118" s="317" t="str">
        <f aca="false">IF($A118="N/A"," ",IF(OR(Dayrun3=2,Dayrun3=3,Dayrun3=10),VLOOKUP($A118,ScaledPrice3,9),0))</f>
        <v> </v>
      </c>
      <c r="I118" s="317" t="str">
        <f aca="false">IF(A118="N/A"," ",IF(OR(Dayrun3=3,Dayrun3=6,Dayrun3=9),(VLOOKUP(A118,ScaledPrice3,IF(Scaler3=2,7,8))),0))</f>
        <v> </v>
      </c>
      <c r="J118" s="317" t="str">
        <f aca="false">IF(A118="N/A"," ",IF(OR(Dayrun3=3,Dayrun3=6),IF(Scaler3=2,I118,(VLOOKUP(A118,ScaledPrice3,7))*(2-(VLOOKUP(A118,ScaledPrice3,3)))),0))</f>
        <v> </v>
      </c>
      <c r="K118" s="317" t="str">
        <f aca="false">IF($A118="N/A"," ",IF(OR(Dayrun3=3,Dayrun3=10),VLOOKUP($A118,ScaledPrice3,9),0))</f>
        <v> </v>
      </c>
      <c r="L118" s="318" t="str">
        <f aca="false">IF($A118="N/A"," ",IF(Pricetype3=2,MAX(C118,0),IF(OR(Pricetype3=1,Pricetype3=4),IF(C118=0,0,(EURO(C118,Strikeprice3,0,0,($AH118+IF(Smile=TRUE(),VLOOKUP(MAX(-5,Strikeprice3-C118),Volsmile,2),0)),($A118-DateToday)+15,IF(Pricetype3=1,1,0),0))),C118)))</f>
        <v> </v>
      </c>
      <c r="M118" s="318" t="str">
        <f aca="false">IF($A118="N/A"," ",IF(Pricetype3=2,MAX(D118,0),IF(OR(Pricetype3=1,Pricetype3=4),IF(D118=0,0,(EURO(D118,Strikeprice3,0,0,($AH118+IF(Smile=TRUE(),VLOOKUP(MAX(-5,Strikeprice3-D118),Volsmile,2),0)),($A118-DateToday)+15,IF(Pricetype3=1,1,0),0))),D118)))</f>
        <v> </v>
      </c>
      <c r="N118" s="318" t="str">
        <f aca="false">IF($A118="N/A"," ",IF(Pricetype3=2,MAX(E118,0),IF(OR(Pricetype3=1,Pricetype3=4),IF(E118=0,0,(EURO(E118,Strikeprice3,0,0,($AK118+IF(Smile=TRUE(),VLOOKUP(MAX(-5,Strikeprice3-E118),Volsmile,2),0)),($A118-DateToday)+15,IF(Pricetype3=1,1,0),0))),E118)))</f>
        <v> </v>
      </c>
      <c r="O118" s="318" t="str">
        <f aca="false">IF($A118="N/A"," ",IF(Pricetype3=2,MAX(F118,0),IF(OR(Pricetype3=1,Pricetype3=4),IF(F118=0,0,(EURO(F118,Strikeprice3,0,0,($AK118+IF(Smile=TRUE(),VLOOKUP(MAX(-5,Strikeprice3-F118),Volsmile,2),0)),($A118-DateToday)+15,IF(Pricetype3=1,1,0),0))),F118)))</f>
        <v> </v>
      </c>
      <c r="P118" s="318" t="str">
        <f aca="false">IF($A118="N/A"," ",IF(Pricetype3=2,MAX(G118,0),IF(OR(Pricetype3=1,Pricetype3=4),IF(G118=0,0,(EURO(G118,Strikeprice3,0,0,($AK118+IF(Smile=TRUE(),VLOOKUP(MAX(-5,Strikeprice3-G118),Volsmile,2),0)),($A118-DateToday)+15,IF(Pricetype3=1,1,0),0))),G118)))</f>
        <v> </v>
      </c>
      <c r="Q118" s="318" t="str">
        <f aca="false">IF($A118="N/A"," ",IF(Pricetype3=2,MAX(H118,0),IF(OR(Pricetype3=1,Pricetype3=4),IF(H118=0,0,(EURO(H118,Strikeprice3,0,0,($AK118+IF(Smile=TRUE(),VLOOKUP(MAX(-5,Strikeprice3-H118),Volsmile,2),0)),($A118-DateToday)+15,IF(Pricetype3=1,1,0),0))),H118)))</f>
        <v> </v>
      </c>
      <c r="R118" s="318" t="str">
        <f aca="false">IF($A118="N/A"," ",IF(Pricetype3=2,MAX(I118,0),IF(OR(Pricetype3=1,Pricetype3=4),IF(I118=0,0,(EURO(I118,Strikeprice3,0,0,($AK118+IF(Smile=TRUE(),VLOOKUP(MAX(-5,Strikeprice3-I118),Volsmile,2),0)),($A118-DateToday)+15,IF(Pricetype3=1,1,0),0))),I118)))</f>
        <v> </v>
      </c>
      <c r="S118" s="318" t="str">
        <f aca="false">IF($A118="N/A"," ",IF(Pricetype3=2,MAX(J118,0),IF(OR(Pricetype3=1,Pricetype3=4),IF(J118=0,0,(EURO(J118,Strikeprice3,0,0,($AK118+IF(Smile=TRUE(),VLOOKUP(MAX(-5,Strikeprice3-J118),Volsmile,2),0)),($A118-DateToday)+15,IF(Pricetype3=1,1,0),0))),J118)))</f>
        <v> </v>
      </c>
      <c r="T118" s="318" t="str">
        <f aca="false">IF($A118="N/A"," ",IF(Pricetype3=2,MAX(K118,0),IF(OR(Pricetype3=1,Pricetype3=4),IF(K118=0,0,(EURO(K118,Strikeprice3,0,0,($AK118+IF(Smile=TRUE(),VLOOKUP(MAX(-5,Strikeprice3-K118),Volsmile,2),0)),($A118-DateToday)+15,IF(Pricetype3=1,1,0),0))),K118)))</f>
        <v> </v>
      </c>
      <c r="U118" s="319" t="str">
        <f aca="false">IF($A118="N/A"," ",Volume3*$AM118)</f>
        <v> </v>
      </c>
      <c r="V118" s="320" t="str">
        <f aca="false">IF($A118="N/A"," ",$U118*(8*($BQ118))*L118)</f>
        <v> </v>
      </c>
      <c r="W118" s="320" t="str">
        <f aca="false">IF($A118="N/A"," ",$U118*(8*($BQ118))*M118)</f>
        <v> </v>
      </c>
      <c r="X118" s="320" t="str">
        <f aca="false">IF($A118="N/A"," ",$U118*(8*($BQ118))*N118)</f>
        <v> </v>
      </c>
      <c r="Y118" s="320" t="str">
        <f aca="false">IF($A118="N/A"," ",$U118*(8*($BR118))*O118)</f>
        <v> </v>
      </c>
      <c r="Z118" s="320" t="str">
        <f aca="false">IF($A118="N/A"," ",$U118*(8*($BR118))*P118)</f>
        <v> </v>
      </c>
      <c r="AA118" s="320" t="str">
        <f aca="false">IF($A118="N/A"," ",$U118*(8*($BR118))*Q118)</f>
        <v> </v>
      </c>
      <c r="AB118" s="320" t="str">
        <f aca="false">IF($A118="N/A"," ",$U118*(8*($BS118))*R118)</f>
        <v> </v>
      </c>
      <c r="AC118" s="320" t="str">
        <f aca="false">IF($A118="N/A"," ",$U118*(8*($BS118))*S118)</f>
        <v> </v>
      </c>
      <c r="AD118" s="320" t="str">
        <f aca="false">IF($A118="N/A"," ",$U118*(8*($BS118))*T118)</f>
        <v> </v>
      </c>
      <c r="AE118" s="320" t="str">
        <f aca="false">IF($A118="N/A"," ",SUM(V118:AD118))</f>
        <v> </v>
      </c>
      <c r="AF118" s="321" t="str">
        <f aca="false">IF(A118="N/A"," ",(VLOOKUP(A118,PowerVolTable,(IF(VolBMO3=2,7,IF(VolBMO3=1,6,8))),FALSE())))</f>
        <v> </v>
      </c>
      <c r="AG118" s="321" t="str">
        <f aca="false">IF(A118="N/A"," ",(VLOOKUP(A118,IntraPowerVol,(IF(VolBMO3=2,3,IF(VolBMO3=1,2,4))),FALSE())*VLOOKUP(MONTH($A118),Volscale,2)))</f>
        <v> </v>
      </c>
      <c r="AH118" s="321" t="str">
        <f aca="false">IF($A118="N/A"," ",IF(VolType3=1,AG118,AF118))</f>
        <v> </v>
      </c>
      <c r="AI118" s="321" t="str">
        <f aca="false">IF($A118="N/A"," ",(VLOOKUP($A118,OffPwrVolTable,(IF(VolBMO3=2,7,IF(VolBMO3=1,6,8))),FALSE())))</f>
        <v> </v>
      </c>
      <c r="AJ118" s="321" t="str">
        <f aca="false">IF($A118="N/A"," ",(VLOOKUP($A118,OffPwrVolTable,(IF(VolBMO3=2,3,IF(VolBMO3=1,2,4))),FALSE())*VLOOKUP(MONTH($A118),Volscale,2)))</f>
        <v> </v>
      </c>
      <c r="AK118" s="321" t="str">
        <f aca="false">IF($A118="N/A"," ",IF(VolType3=1,AJ118,AI118))</f>
        <v> </v>
      </c>
      <c r="AL118" s="321" t="str">
        <f aca="false">IF($A118="N/A"," ",IF(PV=1,0,'Pricing Inputs3'!R151))</f>
        <v> </v>
      </c>
      <c r="AM118" s="323" t="str">
        <f aca="false">IF($A118="N/A"," ",(1+AL118/2)^(-2*((EOMONTH(A118,0)+20)-DateToday)/365.25))</f>
        <v> </v>
      </c>
      <c r="BQ118" s="0" t="str">
        <f aca="false">IF($A118="N/A"," ",(VLOOKUP($A118,NumberofDaysTable,2)))</f>
        <v> </v>
      </c>
      <c r="BR118" s="0" t="str">
        <f aca="false">IF($A118="N/A"," ",(VLOOKUP($A118,NumberofDaysTable,3)))</f>
        <v> </v>
      </c>
      <c r="BS118" s="0" t="str">
        <f aca="false">IF($A118="N/A"," ",(VLOOKUP($A118,NumberofDaysTable,4)))</f>
        <v> </v>
      </c>
    </row>
    <row r="119" customFormat="false" ht="12.75" hidden="false" customHeight="false" outlineLevel="0" collapsed="false">
      <c r="A119" s="315" t="str">
        <f aca="false">IF(A118="N/A","N/A",IF(EDATE(A118,1)&gt;Inputs!$Q$5,"N/A",EDATE(A118,1)))</f>
        <v>N/A</v>
      </c>
      <c r="B119" s="316" t="str">
        <f aca="false">IF(A119="N/A"," ",YEAR(A119))</f>
        <v> </v>
      </c>
      <c r="C119" s="317" t="str">
        <f aca="false">IF($A119="N/A"," ",IF(Dayrun3=10,0,IF(Scaler3=1,(VLOOKUP(A119,ScaledPrice3,4)),(VLOOKUP(A119,ScaledPrice3,2)))))</f>
        <v> </v>
      </c>
      <c r="D119" s="317" t="str">
        <f aca="false">IF(A119="N/A"," ",IF(Dayrun3&gt;=7,0,IF(Scaler3=2,VLOOKUP(A119,ScaledPrice3,2),(VLOOKUP(A119,ScaledPrice3,2))*(2-(VLOOKUP(A119,ScaledPrice3,3))))))</f>
        <v> </v>
      </c>
      <c r="E119" s="317" t="str">
        <f aca="false">IF($A119="N/A"," ",IF(AND(Dayrun3&gt;=4,Dayrun3&lt;=9),0,VLOOKUP($A119,ScaledPrice3,9)))</f>
        <v> </v>
      </c>
      <c r="F119" s="317" t="str">
        <f aca="false">IF(A119="N/A"," ",IF(OR(Dayrun3=2,Dayrun3=3,Dayrun3=5,Dayrun3=6,Dayrun3=8,Dayrun3=9),VLOOKUP(A119,ScaledPrice3,IF(Scaler3=1,6,5)),0))</f>
        <v> </v>
      </c>
      <c r="G119" s="317" t="str">
        <f aca="false">IF(A119="N/A"," ",IF(OR(Dayrun3=2,Dayrun3=3,Dayrun3=5,Dayrun3=6),IF(Scaler3=2,F119,(VLOOKUP(A119,ScaledPrice3,5))*(2-(VLOOKUP(A119,ScaledPrice3,3)))),0))</f>
        <v> </v>
      </c>
      <c r="H119" s="317" t="str">
        <f aca="false">IF($A119="N/A"," ",IF(OR(Dayrun3=2,Dayrun3=3,Dayrun3=10),VLOOKUP($A119,ScaledPrice3,9),0))</f>
        <v> </v>
      </c>
      <c r="I119" s="317" t="str">
        <f aca="false">IF(A119="N/A"," ",IF(OR(Dayrun3=3,Dayrun3=6,Dayrun3=9),(VLOOKUP(A119,ScaledPrice3,IF(Scaler3=2,7,8))),0))</f>
        <v> </v>
      </c>
      <c r="J119" s="317" t="str">
        <f aca="false">IF(A119="N/A"," ",IF(OR(Dayrun3=3,Dayrun3=6),IF(Scaler3=2,I119,(VLOOKUP(A119,ScaledPrice3,7))*(2-(VLOOKUP(A119,ScaledPrice3,3)))),0))</f>
        <v> </v>
      </c>
      <c r="K119" s="317" t="str">
        <f aca="false">IF($A119="N/A"," ",IF(OR(Dayrun3=3,Dayrun3=10),VLOOKUP($A119,ScaledPrice3,9),0))</f>
        <v> </v>
      </c>
      <c r="L119" s="318" t="str">
        <f aca="false">IF($A119="N/A"," ",IF(Pricetype3=2,MAX(C119,0),IF(OR(Pricetype3=1,Pricetype3=4),IF(C119=0,0,(EURO(C119,Strikeprice3,0,0,($AH119+IF(Smile=TRUE(),VLOOKUP(MAX(-5,Strikeprice3-C119),Volsmile,2),0)),($A119-DateToday)+15,IF(Pricetype3=1,1,0),0))),C119)))</f>
        <v> </v>
      </c>
      <c r="M119" s="318" t="str">
        <f aca="false">IF($A119="N/A"," ",IF(Pricetype3=2,MAX(D119,0),IF(OR(Pricetype3=1,Pricetype3=4),IF(D119=0,0,(EURO(D119,Strikeprice3,0,0,($AH119+IF(Smile=TRUE(),VLOOKUP(MAX(-5,Strikeprice3-D119),Volsmile,2),0)),($A119-DateToday)+15,IF(Pricetype3=1,1,0),0))),D119)))</f>
        <v> </v>
      </c>
      <c r="N119" s="318" t="str">
        <f aca="false">IF($A119="N/A"," ",IF(Pricetype3=2,MAX(E119,0),IF(OR(Pricetype3=1,Pricetype3=4),IF(E119=0,0,(EURO(E119,Strikeprice3,0,0,($AK119+IF(Smile=TRUE(),VLOOKUP(MAX(-5,Strikeprice3-E119),Volsmile,2),0)),($A119-DateToday)+15,IF(Pricetype3=1,1,0),0))),E119)))</f>
        <v> </v>
      </c>
      <c r="O119" s="318" t="str">
        <f aca="false">IF($A119="N/A"," ",IF(Pricetype3=2,MAX(F119,0),IF(OR(Pricetype3=1,Pricetype3=4),IF(F119=0,0,(EURO(F119,Strikeprice3,0,0,($AK119+IF(Smile=TRUE(),VLOOKUP(MAX(-5,Strikeprice3-F119),Volsmile,2),0)),($A119-DateToday)+15,IF(Pricetype3=1,1,0),0))),F119)))</f>
        <v> </v>
      </c>
      <c r="P119" s="318" t="str">
        <f aca="false">IF($A119="N/A"," ",IF(Pricetype3=2,MAX(G119,0),IF(OR(Pricetype3=1,Pricetype3=4),IF(G119=0,0,(EURO(G119,Strikeprice3,0,0,($AK119+IF(Smile=TRUE(),VLOOKUP(MAX(-5,Strikeprice3-G119),Volsmile,2),0)),($A119-DateToday)+15,IF(Pricetype3=1,1,0),0))),G119)))</f>
        <v> </v>
      </c>
      <c r="Q119" s="318" t="str">
        <f aca="false">IF($A119="N/A"," ",IF(Pricetype3=2,MAX(H119,0),IF(OR(Pricetype3=1,Pricetype3=4),IF(H119=0,0,(EURO(H119,Strikeprice3,0,0,($AK119+IF(Smile=TRUE(),VLOOKUP(MAX(-5,Strikeprice3-H119),Volsmile,2),0)),($A119-DateToday)+15,IF(Pricetype3=1,1,0),0))),H119)))</f>
        <v> </v>
      </c>
      <c r="R119" s="318" t="str">
        <f aca="false">IF($A119="N/A"," ",IF(Pricetype3=2,MAX(I119,0),IF(OR(Pricetype3=1,Pricetype3=4),IF(I119=0,0,(EURO(I119,Strikeprice3,0,0,($AK119+IF(Smile=TRUE(),VLOOKUP(MAX(-5,Strikeprice3-I119),Volsmile,2),0)),($A119-DateToday)+15,IF(Pricetype3=1,1,0),0))),I119)))</f>
        <v> </v>
      </c>
      <c r="S119" s="318" t="str">
        <f aca="false">IF($A119="N/A"," ",IF(Pricetype3=2,MAX(J119,0),IF(OR(Pricetype3=1,Pricetype3=4),IF(J119=0,0,(EURO(J119,Strikeprice3,0,0,($AK119+IF(Smile=TRUE(),VLOOKUP(MAX(-5,Strikeprice3-J119),Volsmile,2),0)),($A119-DateToday)+15,IF(Pricetype3=1,1,0),0))),J119)))</f>
        <v> </v>
      </c>
      <c r="T119" s="318" t="str">
        <f aca="false">IF($A119="N/A"," ",IF(Pricetype3=2,MAX(K119,0),IF(OR(Pricetype3=1,Pricetype3=4),IF(K119=0,0,(EURO(K119,Strikeprice3,0,0,($AK119+IF(Smile=TRUE(),VLOOKUP(MAX(-5,Strikeprice3-K119),Volsmile,2),0)),($A119-DateToday)+15,IF(Pricetype3=1,1,0),0))),K119)))</f>
        <v> </v>
      </c>
      <c r="U119" s="319" t="str">
        <f aca="false">IF($A119="N/A"," ",Volume3*$AM119)</f>
        <v> </v>
      </c>
      <c r="V119" s="320" t="str">
        <f aca="false">IF($A119="N/A"," ",$U119*(8*($BQ119))*L119)</f>
        <v> </v>
      </c>
      <c r="W119" s="320" t="str">
        <f aca="false">IF($A119="N/A"," ",$U119*(8*($BQ119))*M119)</f>
        <v> </v>
      </c>
      <c r="X119" s="320" t="str">
        <f aca="false">IF($A119="N/A"," ",$U119*(8*($BQ119))*N119)</f>
        <v> </v>
      </c>
      <c r="Y119" s="320" t="str">
        <f aca="false">IF($A119="N/A"," ",$U119*(8*($BR119))*O119)</f>
        <v> </v>
      </c>
      <c r="Z119" s="320" t="str">
        <f aca="false">IF($A119="N/A"," ",$U119*(8*($BR119))*P119)</f>
        <v> </v>
      </c>
      <c r="AA119" s="320" t="str">
        <f aca="false">IF($A119="N/A"," ",$U119*(8*($BR119))*Q119)</f>
        <v> </v>
      </c>
      <c r="AB119" s="320" t="str">
        <f aca="false">IF($A119="N/A"," ",$U119*(8*($BS119))*R119)</f>
        <v> </v>
      </c>
      <c r="AC119" s="320" t="str">
        <f aca="false">IF($A119="N/A"," ",$U119*(8*($BS119))*S119)</f>
        <v> </v>
      </c>
      <c r="AD119" s="320" t="str">
        <f aca="false">IF($A119="N/A"," ",$U119*(8*($BS119))*T119)</f>
        <v> </v>
      </c>
      <c r="AE119" s="320" t="str">
        <f aca="false">IF($A119="N/A"," ",SUM(V119:AD119))</f>
        <v> </v>
      </c>
      <c r="AF119" s="321" t="str">
        <f aca="false">IF(A119="N/A"," ",(VLOOKUP(A119,PowerVolTable,(IF(VolBMO3=2,7,IF(VolBMO3=1,6,8))),FALSE())))</f>
        <v> </v>
      </c>
      <c r="AG119" s="321" t="str">
        <f aca="false">IF(A119="N/A"," ",(VLOOKUP(A119,IntraPowerVol,(IF(VolBMO3=2,3,IF(VolBMO3=1,2,4))),FALSE())*VLOOKUP(MONTH($A119),Volscale,2)))</f>
        <v> </v>
      </c>
      <c r="AH119" s="321" t="str">
        <f aca="false">IF($A119="N/A"," ",IF(VolType3=1,AG119,AF119))</f>
        <v> </v>
      </c>
      <c r="AI119" s="321" t="str">
        <f aca="false">IF($A119="N/A"," ",(VLOOKUP($A119,OffPwrVolTable,(IF(VolBMO3=2,7,IF(VolBMO3=1,6,8))),FALSE())))</f>
        <v> </v>
      </c>
      <c r="AJ119" s="321" t="str">
        <f aca="false">IF($A119="N/A"," ",(VLOOKUP($A119,OffPwrVolTable,(IF(VolBMO3=2,3,IF(VolBMO3=1,2,4))),FALSE())*VLOOKUP(MONTH($A119),Volscale,2)))</f>
        <v> </v>
      </c>
      <c r="AK119" s="321" t="str">
        <f aca="false">IF($A119="N/A"," ",IF(VolType3=1,AJ119,AI119))</f>
        <v> </v>
      </c>
      <c r="AL119" s="321" t="str">
        <f aca="false">IF($A119="N/A"," ",IF(PV=1,0,'Pricing Inputs3'!R152))</f>
        <v> </v>
      </c>
      <c r="AM119" s="323" t="str">
        <f aca="false">IF($A119="N/A"," ",(1+AL119/2)^(-2*((EOMONTH(A119,0)+20)-DateToday)/365.25))</f>
        <v> </v>
      </c>
      <c r="BQ119" s="0" t="str">
        <f aca="false">IF($A119="N/A"," ",(VLOOKUP($A119,NumberofDaysTable,2)))</f>
        <v> </v>
      </c>
      <c r="BR119" s="0" t="str">
        <f aca="false">IF($A119="N/A"," ",(VLOOKUP($A119,NumberofDaysTable,3)))</f>
        <v> </v>
      </c>
      <c r="BS119" s="0" t="str">
        <f aca="false">IF($A119="N/A"," ",(VLOOKUP($A119,NumberofDaysTable,4)))</f>
        <v> </v>
      </c>
    </row>
    <row r="120" customFormat="false" ht="12.75" hidden="false" customHeight="false" outlineLevel="0" collapsed="false">
      <c r="A120" s="315" t="str">
        <f aca="false">IF(A119="N/A","N/A",IF(EDATE(A119,1)&gt;Inputs!$Q$5,"N/A",EDATE(A119,1)))</f>
        <v>N/A</v>
      </c>
      <c r="B120" s="316" t="str">
        <f aca="false">IF(A120="N/A"," ",YEAR(A120))</f>
        <v> </v>
      </c>
      <c r="C120" s="317" t="str">
        <f aca="false">IF($A120="N/A"," ",IF(Dayrun3=10,0,IF(Scaler3=1,(VLOOKUP(A120,ScaledPrice3,4)),(VLOOKUP(A120,ScaledPrice3,2)))))</f>
        <v> </v>
      </c>
      <c r="D120" s="317" t="str">
        <f aca="false">IF(A120="N/A"," ",IF(Dayrun3&gt;=7,0,IF(Scaler3=2,VLOOKUP(A120,ScaledPrice3,2),(VLOOKUP(A120,ScaledPrice3,2))*(2-(VLOOKUP(A120,ScaledPrice3,3))))))</f>
        <v> </v>
      </c>
      <c r="E120" s="317" t="str">
        <f aca="false">IF($A120="N/A"," ",IF(AND(Dayrun3&gt;=4,Dayrun3&lt;=9),0,VLOOKUP($A120,ScaledPrice3,9)))</f>
        <v> </v>
      </c>
      <c r="F120" s="317" t="str">
        <f aca="false">IF(A120="N/A"," ",IF(OR(Dayrun3=2,Dayrun3=3,Dayrun3=5,Dayrun3=6,Dayrun3=8,Dayrun3=9),VLOOKUP(A120,ScaledPrice3,IF(Scaler3=1,6,5)),0))</f>
        <v> </v>
      </c>
      <c r="G120" s="317" t="str">
        <f aca="false">IF(A120="N/A"," ",IF(OR(Dayrun3=2,Dayrun3=3,Dayrun3=5,Dayrun3=6),IF(Scaler3=2,F120,(VLOOKUP(A120,ScaledPrice3,5))*(2-(VLOOKUP(A120,ScaledPrice3,3)))),0))</f>
        <v> </v>
      </c>
      <c r="H120" s="317" t="str">
        <f aca="false">IF($A120="N/A"," ",IF(OR(Dayrun3=2,Dayrun3=3,Dayrun3=10),VLOOKUP($A120,ScaledPrice3,9),0))</f>
        <v> </v>
      </c>
      <c r="I120" s="317" t="str">
        <f aca="false">IF(A120="N/A"," ",IF(OR(Dayrun3=3,Dayrun3=6,Dayrun3=9),(VLOOKUP(A120,ScaledPrice3,IF(Scaler3=2,7,8))),0))</f>
        <v> </v>
      </c>
      <c r="J120" s="317" t="str">
        <f aca="false">IF(A120="N/A"," ",IF(OR(Dayrun3=3,Dayrun3=6),IF(Scaler3=2,I120,(VLOOKUP(A120,ScaledPrice3,7))*(2-(VLOOKUP(A120,ScaledPrice3,3)))),0))</f>
        <v> </v>
      </c>
      <c r="K120" s="317" t="str">
        <f aca="false">IF($A120="N/A"," ",IF(OR(Dayrun3=3,Dayrun3=10),VLOOKUP($A120,ScaledPrice3,9),0))</f>
        <v> </v>
      </c>
      <c r="L120" s="318" t="str">
        <f aca="false">IF($A120="N/A"," ",IF(Pricetype3=2,MAX(C120,0),IF(OR(Pricetype3=1,Pricetype3=4),IF(C120=0,0,(EURO(C120,Strikeprice3,0,0,($AH120+IF(Smile=TRUE(),VLOOKUP(MAX(-5,Strikeprice3-C120),Volsmile,2),0)),($A120-DateToday)+15,IF(Pricetype3=1,1,0),0))),C120)))</f>
        <v> </v>
      </c>
      <c r="M120" s="318" t="str">
        <f aca="false">IF($A120="N/A"," ",IF(Pricetype3=2,MAX(D120,0),IF(OR(Pricetype3=1,Pricetype3=4),IF(D120=0,0,(EURO(D120,Strikeprice3,0,0,($AH120+IF(Smile=TRUE(),VLOOKUP(MAX(-5,Strikeprice3-D120),Volsmile,2),0)),($A120-DateToday)+15,IF(Pricetype3=1,1,0),0))),D120)))</f>
        <v> </v>
      </c>
      <c r="N120" s="318" t="str">
        <f aca="false">IF($A120="N/A"," ",IF(Pricetype3=2,MAX(E120,0),IF(OR(Pricetype3=1,Pricetype3=4),IF(E120=0,0,(EURO(E120,Strikeprice3,0,0,($AK120+IF(Smile=TRUE(),VLOOKUP(MAX(-5,Strikeprice3-E120),Volsmile,2),0)),($A120-DateToday)+15,IF(Pricetype3=1,1,0),0))),E120)))</f>
        <v> </v>
      </c>
      <c r="O120" s="318" t="str">
        <f aca="false">IF($A120="N/A"," ",IF(Pricetype3=2,MAX(F120,0),IF(OR(Pricetype3=1,Pricetype3=4),IF(F120=0,0,(EURO(F120,Strikeprice3,0,0,($AK120+IF(Smile=TRUE(),VLOOKUP(MAX(-5,Strikeprice3-F120),Volsmile,2),0)),($A120-DateToday)+15,IF(Pricetype3=1,1,0),0))),F120)))</f>
        <v> </v>
      </c>
      <c r="P120" s="318" t="str">
        <f aca="false">IF($A120="N/A"," ",IF(Pricetype3=2,MAX(G120,0),IF(OR(Pricetype3=1,Pricetype3=4),IF(G120=0,0,(EURO(G120,Strikeprice3,0,0,($AK120+IF(Smile=TRUE(),VLOOKUP(MAX(-5,Strikeprice3-G120),Volsmile,2),0)),($A120-DateToday)+15,IF(Pricetype3=1,1,0),0))),G120)))</f>
        <v> </v>
      </c>
      <c r="Q120" s="318" t="str">
        <f aca="false">IF($A120="N/A"," ",IF(Pricetype3=2,MAX(H120,0),IF(OR(Pricetype3=1,Pricetype3=4),IF(H120=0,0,(EURO(H120,Strikeprice3,0,0,($AK120+IF(Smile=TRUE(),VLOOKUP(MAX(-5,Strikeprice3-H120),Volsmile,2),0)),($A120-DateToday)+15,IF(Pricetype3=1,1,0),0))),H120)))</f>
        <v> </v>
      </c>
      <c r="R120" s="318" t="str">
        <f aca="false">IF($A120="N/A"," ",IF(Pricetype3=2,MAX(I120,0),IF(OR(Pricetype3=1,Pricetype3=4),IF(I120=0,0,(EURO(I120,Strikeprice3,0,0,($AK120+IF(Smile=TRUE(),VLOOKUP(MAX(-5,Strikeprice3-I120),Volsmile,2),0)),($A120-DateToday)+15,IF(Pricetype3=1,1,0),0))),I120)))</f>
        <v> </v>
      </c>
      <c r="S120" s="318" t="str">
        <f aca="false">IF($A120="N/A"," ",IF(Pricetype3=2,MAX(J120,0),IF(OR(Pricetype3=1,Pricetype3=4),IF(J120=0,0,(EURO(J120,Strikeprice3,0,0,($AK120+IF(Smile=TRUE(),VLOOKUP(MAX(-5,Strikeprice3-J120),Volsmile,2),0)),($A120-DateToday)+15,IF(Pricetype3=1,1,0),0))),J120)))</f>
        <v> </v>
      </c>
      <c r="T120" s="318" t="str">
        <f aca="false">IF($A120="N/A"," ",IF(Pricetype3=2,MAX(K120,0),IF(OR(Pricetype3=1,Pricetype3=4),IF(K120=0,0,(EURO(K120,Strikeprice3,0,0,($AK120+IF(Smile=TRUE(),VLOOKUP(MAX(-5,Strikeprice3-K120),Volsmile,2),0)),($A120-DateToday)+15,IF(Pricetype3=1,1,0),0))),K120)))</f>
        <v> </v>
      </c>
      <c r="U120" s="319" t="str">
        <f aca="false">IF($A120="N/A"," ",Volume3*$AM120)</f>
        <v> </v>
      </c>
      <c r="V120" s="320" t="str">
        <f aca="false">IF($A120="N/A"," ",$U120*(8*($BQ120))*L120)</f>
        <v> </v>
      </c>
      <c r="W120" s="320" t="str">
        <f aca="false">IF($A120="N/A"," ",$U120*(8*($BQ120))*M120)</f>
        <v> </v>
      </c>
      <c r="X120" s="320" t="str">
        <f aca="false">IF($A120="N/A"," ",$U120*(8*($BQ120))*N120)</f>
        <v> </v>
      </c>
      <c r="Y120" s="320" t="str">
        <f aca="false">IF($A120="N/A"," ",$U120*(8*($BR120))*O120)</f>
        <v> </v>
      </c>
      <c r="Z120" s="320" t="str">
        <f aca="false">IF($A120="N/A"," ",$U120*(8*($BR120))*P120)</f>
        <v> </v>
      </c>
      <c r="AA120" s="320" t="str">
        <f aca="false">IF($A120="N/A"," ",$U120*(8*($BR120))*Q120)</f>
        <v> </v>
      </c>
      <c r="AB120" s="320" t="str">
        <f aca="false">IF($A120="N/A"," ",$U120*(8*($BS120))*R120)</f>
        <v> </v>
      </c>
      <c r="AC120" s="320" t="str">
        <f aca="false">IF($A120="N/A"," ",$U120*(8*($BS120))*S120)</f>
        <v> </v>
      </c>
      <c r="AD120" s="320" t="str">
        <f aca="false">IF($A120="N/A"," ",$U120*(8*($BS120))*T120)</f>
        <v> </v>
      </c>
      <c r="AE120" s="320" t="str">
        <f aca="false">IF($A120="N/A"," ",SUM(V120:AD120))</f>
        <v> </v>
      </c>
      <c r="AF120" s="321" t="str">
        <f aca="false">IF(A120="N/A"," ",(VLOOKUP(A120,PowerVolTable,(IF(VolBMO3=2,7,IF(VolBMO3=1,6,8))),FALSE())))</f>
        <v> </v>
      </c>
      <c r="AG120" s="321" t="str">
        <f aca="false">IF(A120="N/A"," ",(VLOOKUP(A120,IntraPowerVol,(IF(VolBMO3=2,3,IF(VolBMO3=1,2,4))),FALSE())*VLOOKUP(MONTH($A120),Volscale,2)))</f>
        <v> </v>
      </c>
      <c r="AH120" s="321" t="str">
        <f aca="false">IF($A120="N/A"," ",IF(VolType3=1,AG120,AF120))</f>
        <v> </v>
      </c>
      <c r="AI120" s="321" t="str">
        <f aca="false">IF($A120="N/A"," ",(VLOOKUP($A120,OffPwrVolTable,(IF(VolBMO3=2,7,IF(VolBMO3=1,6,8))),FALSE())))</f>
        <v> </v>
      </c>
      <c r="AJ120" s="321" t="str">
        <f aca="false">IF($A120="N/A"," ",(VLOOKUP($A120,OffPwrVolTable,(IF(VolBMO3=2,3,IF(VolBMO3=1,2,4))),FALSE())*VLOOKUP(MONTH($A120),Volscale,2)))</f>
        <v> </v>
      </c>
      <c r="AK120" s="321" t="str">
        <f aca="false">IF($A120="N/A"," ",IF(VolType3=1,AJ120,AI120))</f>
        <v> </v>
      </c>
      <c r="AL120" s="321" t="str">
        <f aca="false">IF($A120="N/A"," ",IF(PV=1,0,'Pricing Inputs3'!R153))</f>
        <v> </v>
      </c>
      <c r="AM120" s="323" t="str">
        <f aca="false">IF($A120="N/A"," ",(1+AL120/2)^(-2*((EOMONTH(A120,0)+20)-DateToday)/365.25))</f>
        <v> </v>
      </c>
      <c r="BQ120" s="0" t="str">
        <f aca="false">IF($A120="N/A"," ",(VLOOKUP($A120,NumberofDaysTable,2)))</f>
        <v> </v>
      </c>
      <c r="BR120" s="0" t="str">
        <f aca="false">IF($A120="N/A"," ",(VLOOKUP($A120,NumberofDaysTable,3)))</f>
        <v> </v>
      </c>
      <c r="BS120" s="0" t="str">
        <f aca="false">IF($A120="N/A"," ",(VLOOKUP($A120,NumberofDaysTable,4)))</f>
        <v> </v>
      </c>
    </row>
    <row r="121" customFormat="false" ht="12.75" hidden="false" customHeight="false" outlineLevel="0" collapsed="false">
      <c r="A121" s="315" t="str">
        <f aca="false">IF(A120="N/A","N/A",IF(EDATE(A120,1)&gt;Inputs!$Q$5,"N/A",EDATE(A120,1)))</f>
        <v>N/A</v>
      </c>
      <c r="B121" s="316" t="str">
        <f aca="false">IF(A121="N/A"," ",YEAR(A121))</f>
        <v> </v>
      </c>
      <c r="C121" s="317" t="str">
        <f aca="false">IF($A121="N/A"," ",IF(Dayrun3=10,0,IF(Scaler3=1,(VLOOKUP(A121,ScaledPrice3,4)),(VLOOKUP(A121,ScaledPrice3,2)))))</f>
        <v> </v>
      </c>
      <c r="D121" s="317" t="str">
        <f aca="false">IF(A121="N/A"," ",IF(Dayrun3&gt;=7,0,IF(Scaler3=2,VLOOKUP(A121,ScaledPrice3,2),(VLOOKUP(A121,ScaledPrice3,2))*(2-(VLOOKUP(A121,ScaledPrice3,3))))))</f>
        <v> </v>
      </c>
      <c r="E121" s="317" t="str">
        <f aca="false">IF($A121="N/A"," ",IF(AND(Dayrun3&gt;=4,Dayrun3&lt;=9),0,VLOOKUP($A121,ScaledPrice3,9)))</f>
        <v> </v>
      </c>
      <c r="F121" s="317" t="str">
        <f aca="false">IF(A121="N/A"," ",IF(OR(Dayrun3=2,Dayrun3=3,Dayrun3=5,Dayrun3=6,Dayrun3=8,Dayrun3=9),VLOOKUP(A121,ScaledPrice3,IF(Scaler3=1,6,5)),0))</f>
        <v> </v>
      </c>
      <c r="G121" s="317" t="str">
        <f aca="false">IF(A121="N/A"," ",IF(OR(Dayrun3=2,Dayrun3=3,Dayrun3=5,Dayrun3=6),IF(Scaler3=2,F121,(VLOOKUP(A121,ScaledPrice3,5))*(2-(VLOOKUP(A121,ScaledPrice3,3)))),0))</f>
        <v> </v>
      </c>
      <c r="H121" s="317" t="str">
        <f aca="false">IF($A121="N/A"," ",IF(OR(Dayrun3=2,Dayrun3=3,Dayrun3=10),VLOOKUP($A121,ScaledPrice3,9),0))</f>
        <v> </v>
      </c>
      <c r="I121" s="317" t="str">
        <f aca="false">IF(A121="N/A"," ",IF(OR(Dayrun3=3,Dayrun3=6,Dayrun3=9),(VLOOKUP(A121,ScaledPrice3,IF(Scaler3=2,7,8))),0))</f>
        <v> </v>
      </c>
      <c r="J121" s="317" t="str">
        <f aca="false">IF(A121="N/A"," ",IF(OR(Dayrun3=3,Dayrun3=6),IF(Scaler3=2,I121,(VLOOKUP(A121,ScaledPrice3,7))*(2-(VLOOKUP(A121,ScaledPrice3,3)))),0))</f>
        <v> </v>
      </c>
      <c r="K121" s="317" t="str">
        <f aca="false">IF($A121="N/A"," ",IF(OR(Dayrun3=3,Dayrun3=10),VLOOKUP($A121,ScaledPrice3,9),0))</f>
        <v> </v>
      </c>
      <c r="L121" s="318" t="str">
        <f aca="false">IF($A121="N/A"," ",IF(Pricetype3=2,MAX(C121,0),IF(OR(Pricetype3=1,Pricetype3=4),IF(C121=0,0,(EURO(C121,Strikeprice3,0,0,($AH121+IF(Smile=TRUE(),VLOOKUP(MAX(-5,Strikeprice3-C121),Volsmile,2),0)),($A121-DateToday)+15,IF(Pricetype3=1,1,0),0))),C121)))</f>
        <v> </v>
      </c>
      <c r="M121" s="318" t="str">
        <f aca="false">IF($A121="N/A"," ",IF(Pricetype3=2,MAX(D121,0),IF(OR(Pricetype3=1,Pricetype3=4),IF(D121=0,0,(EURO(D121,Strikeprice3,0,0,($AH121+IF(Smile=TRUE(),VLOOKUP(MAX(-5,Strikeprice3-D121),Volsmile,2),0)),($A121-DateToday)+15,IF(Pricetype3=1,1,0),0))),D121)))</f>
        <v> </v>
      </c>
      <c r="N121" s="318" t="str">
        <f aca="false">IF($A121="N/A"," ",IF(Pricetype3=2,MAX(E121,0),IF(OR(Pricetype3=1,Pricetype3=4),IF(E121=0,0,(EURO(E121,Strikeprice3,0,0,($AK121+IF(Smile=TRUE(),VLOOKUP(MAX(-5,Strikeprice3-E121),Volsmile,2),0)),($A121-DateToday)+15,IF(Pricetype3=1,1,0),0))),E121)))</f>
        <v> </v>
      </c>
      <c r="O121" s="318" t="str">
        <f aca="false">IF($A121="N/A"," ",IF(Pricetype3=2,MAX(F121,0),IF(OR(Pricetype3=1,Pricetype3=4),IF(F121=0,0,(EURO(F121,Strikeprice3,0,0,($AK121+IF(Smile=TRUE(),VLOOKUP(MAX(-5,Strikeprice3-F121),Volsmile,2),0)),($A121-DateToday)+15,IF(Pricetype3=1,1,0),0))),F121)))</f>
        <v> </v>
      </c>
      <c r="P121" s="318" t="str">
        <f aca="false">IF($A121="N/A"," ",IF(Pricetype3=2,MAX(G121,0),IF(OR(Pricetype3=1,Pricetype3=4),IF(G121=0,0,(EURO(G121,Strikeprice3,0,0,($AK121+IF(Smile=TRUE(),VLOOKUP(MAX(-5,Strikeprice3-G121),Volsmile,2),0)),($A121-DateToday)+15,IF(Pricetype3=1,1,0),0))),G121)))</f>
        <v> </v>
      </c>
      <c r="Q121" s="318" t="str">
        <f aca="false">IF($A121="N/A"," ",IF(Pricetype3=2,MAX(H121,0),IF(OR(Pricetype3=1,Pricetype3=4),IF(H121=0,0,(EURO(H121,Strikeprice3,0,0,($AK121+IF(Smile=TRUE(),VLOOKUP(MAX(-5,Strikeprice3-H121),Volsmile,2),0)),($A121-DateToday)+15,IF(Pricetype3=1,1,0),0))),H121)))</f>
        <v> </v>
      </c>
      <c r="R121" s="318" t="str">
        <f aca="false">IF($A121="N/A"," ",IF(Pricetype3=2,MAX(I121,0),IF(OR(Pricetype3=1,Pricetype3=4),IF(I121=0,0,(EURO(I121,Strikeprice3,0,0,($AK121+IF(Smile=TRUE(),VLOOKUP(MAX(-5,Strikeprice3-I121),Volsmile,2),0)),($A121-DateToday)+15,IF(Pricetype3=1,1,0),0))),I121)))</f>
        <v> </v>
      </c>
      <c r="S121" s="318" t="str">
        <f aca="false">IF($A121="N/A"," ",IF(Pricetype3=2,MAX(J121,0),IF(OR(Pricetype3=1,Pricetype3=4),IF(J121=0,0,(EURO(J121,Strikeprice3,0,0,($AK121+IF(Smile=TRUE(),VLOOKUP(MAX(-5,Strikeprice3-J121),Volsmile,2),0)),($A121-DateToday)+15,IF(Pricetype3=1,1,0),0))),J121)))</f>
        <v> </v>
      </c>
      <c r="T121" s="318" t="str">
        <f aca="false">IF($A121="N/A"," ",IF(Pricetype3=2,MAX(K121,0),IF(OR(Pricetype3=1,Pricetype3=4),IF(K121=0,0,(EURO(K121,Strikeprice3,0,0,($AK121+IF(Smile=TRUE(),VLOOKUP(MAX(-5,Strikeprice3-K121),Volsmile,2),0)),($A121-DateToday)+15,IF(Pricetype3=1,1,0),0))),K121)))</f>
        <v> </v>
      </c>
      <c r="U121" s="319" t="str">
        <f aca="false">IF($A121="N/A"," ",Volume3*$AM121)</f>
        <v> </v>
      </c>
      <c r="V121" s="320" t="str">
        <f aca="false">IF($A121="N/A"," ",$U121*(8*($BQ121))*L121)</f>
        <v> </v>
      </c>
      <c r="W121" s="320" t="str">
        <f aca="false">IF($A121="N/A"," ",$U121*(8*($BQ121))*M121)</f>
        <v> </v>
      </c>
      <c r="X121" s="320" t="str">
        <f aca="false">IF($A121="N/A"," ",$U121*(8*($BQ121))*N121)</f>
        <v> </v>
      </c>
      <c r="Y121" s="320" t="str">
        <f aca="false">IF($A121="N/A"," ",$U121*(8*($BR121))*O121)</f>
        <v> </v>
      </c>
      <c r="Z121" s="320" t="str">
        <f aca="false">IF($A121="N/A"," ",$U121*(8*($BR121))*P121)</f>
        <v> </v>
      </c>
      <c r="AA121" s="320" t="str">
        <f aca="false">IF($A121="N/A"," ",$U121*(8*($BR121))*Q121)</f>
        <v> </v>
      </c>
      <c r="AB121" s="320" t="str">
        <f aca="false">IF($A121="N/A"," ",$U121*(8*($BS121))*R121)</f>
        <v> </v>
      </c>
      <c r="AC121" s="320" t="str">
        <f aca="false">IF($A121="N/A"," ",$U121*(8*($BS121))*S121)</f>
        <v> </v>
      </c>
      <c r="AD121" s="320" t="str">
        <f aca="false">IF($A121="N/A"," ",$U121*(8*($BS121))*T121)</f>
        <v> </v>
      </c>
      <c r="AE121" s="320" t="str">
        <f aca="false">IF($A121="N/A"," ",SUM(V121:AD121))</f>
        <v> </v>
      </c>
      <c r="AF121" s="321" t="str">
        <f aca="false">IF(A121="N/A"," ",(VLOOKUP(A121,PowerVolTable,(IF(VolBMO3=2,7,IF(VolBMO3=1,6,8))),FALSE())))</f>
        <v> </v>
      </c>
      <c r="AG121" s="321" t="str">
        <f aca="false">IF(A121="N/A"," ",(VLOOKUP(A121,IntraPowerVol,(IF(VolBMO3=2,3,IF(VolBMO3=1,2,4))),FALSE())*VLOOKUP(MONTH($A121),Volscale,2)))</f>
        <v> </v>
      </c>
      <c r="AH121" s="321" t="str">
        <f aca="false">IF($A121="N/A"," ",IF(VolType3=1,AG121,AF121))</f>
        <v> </v>
      </c>
      <c r="AI121" s="321" t="str">
        <f aca="false">IF($A121="N/A"," ",(VLOOKUP($A121,OffPwrVolTable,(IF(VolBMO3=2,7,IF(VolBMO3=1,6,8))),FALSE())))</f>
        <v> </v>
      </c>
      <c r="AJ121" s="321" t="str">
        <f aca="false">IF($A121="N/A"," ",(VLOOKUP($A121,OffPwrVolTable,(IF(VolBMO3=2,3,IF(VolBMO3=1,2,4))),FALSE())*VLOOKUP(MONTH($A121),Volscale,2)))</f>
        <v> </v>
      </c>
      <c r="AK121" s="321" t="str">
        <f aca="false">IF($A121="N/A"," ",IF(VolType3=1,AJ121,AI121))</f>
        <v> </v>
      </c>
      <c r="AL121" s="321" t="str">
        <f aca="false">IF($A121="N/A"," ",IF(PV=1,0,'Pricing Inputs3'!R154))</f>
        <v> </v>
      </c>
      <c r="AM121" s="323" t="str">
        <f aca="false">IF($A121="N/A"," ",(1+AL121/2)^(-2*((EOMONTH(A121,0)+20)-DateToday)/365.25))</f>
        <v> </v>
      </c>
      <c r="BQ121" s="0" t="str">
        <f aca="false">IF($A121="N/A"," ",(VLOOKUP($A121,NumberofDaysTable,2)))</f>
        <v> </v>
      </c>
      <c r="BR121" s="0" t="str">
        <f aca="false">IF($A121="N/A"," ",(VLOOKUP($A121,NumberofDaysTable,3)))</f>
        <v> </v>
      </c>
      <c r="BS121" s="0" t="str">
        <f aca="false">IF($A121="N/A"," ",(VLOOKUP($A121,NumberofDaysTable,4)))</f>
        <v> </v>
      </c>
    </row>
    <row r="122" customFormat="false" ht="12.75" hidden="false" customHeight="false" outlineLevel="0" collapsed="false">
      <c r="A122" s="315" t="str">
        <f aca="false">IF(A121="N/A","N/A",IF(EDATE(A121,1)&gt;Inputs!$Q$5,"N/A",EDATE(A121,1)))</f>
        <v>N/A</v>
      </c>
      <c r="B122" s="316" t="str">
        <f aca="false">IF(A122="N/A"," ",YEAR(A122))</f>
        <v> </v>
      </c>
      <c r="C122" s="317" t="str">
        <f aca="false">IF($A122="N/A"," ",IF(Dayrun3=10,0,IF(Scaler3=1,(VLOOKUP(A122,ScaledPrice3,4)),(VLOOKUP(A122,ScaledPrice3,2)))))</f>
        <v> </v>
      </c>
      <c r="D122" s="317" t="str">
        <f aca="false">IF(A122="N/A"," ",IF(Dayrun3&gt;=7,0,IF(Scaler3=2,VLOOKUP(A122,ScaledPrice3,2),(VLOOKUP(A122,ScaledPrice3,2))*(2-(VLOOKUP(A122,ScaledPrice3,3))))))</f>
        <v> </v>
      </c>
      <c r="E122" s="317" t="str">
        <f aca="false">IF($A122="N/A"," ",IF(AND(Dayrun3&gt;=4,Dayrun3&lt;=9),0,VLOOKUP($A122,ScaledPrice3,9)))</f>
        <v> </v>
      </c>
      <c r="F122" s="317" t="str">
        <f aca="false">IF(A122="N/A"," ",IF(OR(Dayrun3=2,Dayrun3=3,Dayrun3=5,Dayrun3=6,Dayrun3=8,Dayrun3=9),VLOOKUP(A122,ScaledPrice3,IF(Scaler3=1,6,5)),0))</f>
        <v> </v>
      </c>
      <c r="G122" s="317" t="str">
        <f aca="false">IF(A122="N/A"," ",IF(OR(Dayrun3=2,Dayrun3=3,Dayrun3=5,Dayrun3=6),IF(Scaler3=2,F122,(VLOOKUP(A122,ScaledPrice3,5))*(2-(VLOOKUP(A122,ScaledPrice3,3)))),0))</f>
        <v> </v>
      </c>
      <c r="H122" s="317" t="str">
        <f aca="false">IF($A122="N/A"," ",IF(OR(Dayrun3=2,Dayrun3=3,Dayrun3=10),VLOOKUP($A122,ScaledPrice3,9),0))</f>
        <v> </v>
      </c>
      <c r="I122" s="317" t="str">
        <f aca="false">IF(A122="N/A"," ",IF(OR(Dayrun3=3,Dayrun3=6,Dayrun3=9),(VLOOKUP(A122,ScaledPrice3,IF(Scaler3=2,7,8))),0))</f>
        <v> </v>
      </c>
      <c r="J122" s="317" t="str">
        <f aca="false">IF(A122="N/A"," ",IF(OR(Dayrun3=3,Dayrun3=6),IF(Scaler3=2,I122,(VLOOKUP(A122,ScaledPrice3,7))*(2-(VLOOKUP(A122,ScaledPrice3,3)))),0))</f>
        <v> </v>
      </c>
      <c r="K122" s="317" t="str">
        <f aca="false">IF($A122="N/A"," ",IF(OR(Dayrun3=3,Dayrun3=10),VLOOKUP($A122,ScaledPrice3,9),0))</f>
        <v> </v>
      </c>
      <c r="L122" s="318" t="str">
        <f aca="false">IF($A122="N/A"," ",IF(Pricetype3=2,MAX(C122,0),IF(OR(Pricetype3=1,Pricetype3=4),IF(C122=0,0,(EURO(C122,Strikeprice3,0,0,($AH122+IF(Smile=TRUE(),VLOOKUP(MAX(-5,Strikeprice3-C122),Volsmile,2),0)),($A122-DateToday)+15,IF(Pricetype3=1,1,0),0))),C122)))</f>
        <v> </v>
      </c>
      <c r="M122" s="318" t="str">
        <f aca="false">IF($A122="N/A"," ",IF(Pricetype3=2,MAX(D122,0),IF(OR(Pricetype3=1,Pricetype3=4),IF(D122=0,0,(EURO(D122,Strikeprice3,0,0,($AH122+IF(Smile=TRUE(),VLOOKUP(MAX(-5,Strikeprice3-D122),Volsmile,2),0)),($A122-DateToday)+15,IF(Pricetype3=1,1,0),0))),D122)))</f>
        <v> </v>
      </c>
      <c r="N122" s="318" t="str">
        <f aca="false">IF($A122="N/A"," ",IF(Pricetype3=2,MAX(E122,0),IF(OR(Pricetype3=1,Pricetype3=4),IF(E122=0,0,(EURO(E122,Strikeprice3,0,0,($AK122+IF(Smile=TRUE(),VLOOKUP(MAX(-5,Strikeprice3-E122),Volsmile,2),0)),($A122-DateToday)+15,IF(Pricetype3=1,1,0),0))),E122)))</f>
        <v> </v>
      </c>
      <c r="O122" s="318" t="str">
        <f aca="false">IF($A122="N/A"," ",IF(Pricetype3=2,MAX(F122,0),IF(OR(Pricetype3=1,Pricetype3=4),IF(F122=0,0,(EURO(F122,Strikeprice3,0,0,($AK122+IF(Smile=TRUE(),VLOOKUP(MAX(-5,Strikeprice3-F122),Volsmile,2),0)),($A122-DateToday)+15,IF(Pricetype3=1,1,0),0))),F122)))</f>
        <v> </v>
      </c>
      <c r="P122" s="318" t="str">
        <f aca="false">IF($A122="N/A"," ",IF(Pricetype3=2,MAX(G122,0),IF(OR(Pricetype3=1,Pricetype3=4),IF(G122=0,0,(EURO(G122,Strikeprice3,0,0,($AK122+IF(Smile=TRUE(),VLOOKUP(MAX(-5,Strikeprice3-G122),Volsmile,2),0)),($A122-DateToday)+15,IF(Pricetype3=1,1,0),0))),G122)))</f>
        <v> </v>
      </c>
      <c r="Q122" s="318" t="str">
        <f aca="false">IF($A122="N/A"," ",IF(Pricetype3=2,MAX(H122,0),IF(OR(Pricetype3=1,Pricetype3=4),IF(H122=0,0,(EURO(H122,Strikeprice3,0,0,($AK122+IF(Smile=TRUE(),VLOOKUP(MAX(-5,Strikeprice3-H122),Volsmile,2),0)),($A122-DateToday)+15,IF(Pricetype3=1,1,0),0))),H122)))</f>
        <v> </v>
      </c>
      <c r="R122" s="318" t="str">
        <f aca="false">IF($A122="N/A"," ",IF(Pricetype3=2,MAX(I122,0),IF(OR(Pricetype3=1,Pricetype3=4),IF(I122=0,0,(EURO(I122,Strikeprice3,0,0,($AK122+IF(Smile=TRUE(),VLOOKUP(MAX(-5,Strikeprice3-I122),Volsmile,2),0)),($A122-DateToday)+15,IF(Pricetype3=1,1,0),0))),I122)))</f>
        <v> </v>
      </c>
      <c r="S122" s="318" t="str">
        <f aca="false">IF($A122="N/A"," ",IF(Pricetype3=2,MAX(J122,0),IF(OR(Pricetype3=1,Pricetype3=4),IF(J122=0,0,(EURO(J122,Strikeprice3,0,0,($AK122+IF(Smile=TRUE(),VLOOKUP(MAX(-5,Strikeprice3-J122),Volsmile,2),0)),($A122-DateToday)+15,IF(Pricetype3=1,1,0),0))),J122)))</f>
        <v> </v>
      </c>
      <c r="T122" s="318" t="str">
        <f aca="false">IF($A122="N/A"," ",IF(Pricetype3=2,MAX(K122,0),IF(OR(Pricetype3=1,Pricetype3=4),IF(K122=0,0,(EURO(K122,Strikeprice3,0,0,($AK122+IF(Smile=TRUE(),VLOOKUP(MAX(-5,Strikeprice3-K122),Volsmile,2),0)),($A122-DateToday)+15,IF(Pricetype3=1,1,0),0))),K122)))</f>
        <v> </v>
      </c>
      <c r="U122" s="319" t="str">
        <f aca="false">IF($A122="N/A"," ",Volume3*$AM122)</f>
        <v> </v>
      </c>
      <c r="V122" s="320" t="str">
        <f aca="false">IF($A122="N/A"," ",$U122*(8*($BQ122))*L122)</f>
        <v> </v>
      </c>
      <c r="W122" s="320" t="str">
        <f aca="false">IF($A122="N/A"," ",$U122*(8*($BQ122))*M122)</f>
        <v> </v>
      </c>
      <c r="X122" s="320" t="str">
        <f aca="false">IF($A122="N/A"," ",$U122*(8*($BQ122))*N122)</f>
        <v> </v>
      </c>
      <c r="Y122" s="320" t="str">
        <f aca="false">IF($A122="N/A"," ",$U122*(8*($BR122))*O122)</f>
        <v> </v>
      </c>
      <c r="Z122" s="320" t="str">
        <f aca="false">IF($A122="N/A"," ",$U122*(8*($BR122))*P122)</f>
        <v> </v>
      </c>
      <c r="AA122" s="320" t="str">
        <f aca="false">IF($A122="N/A"," ",$U122*(8*($BR122))*Q122)</f>
        <v> </v>
      </c>
      <c r="AB122" s="320" t="str">
        <f aca="false">IF($A122="N/A"," ",$U122*(8*($BS122))*R122)</f>
        <v> </v>
      </c>
      <c r="AC122" s="320" t="str">
        <f aca="false">IF($A122="N/A"," ",$U122*(8*($BS122))*S122)</f>
        <v> </v>
      </c>
      <c r="AD122" s="320" t="str">
        <f aca="false">IF($A122="N/A"," ",$U122*(8*($BS122))*T122)</f>
        <v> </v>
      </c>
      <c r="AE122" s="320" t="str">
        <f aca="false">IF($A122="N/A"," ",SUM(V122:AD122))</f>
        <v> </v>
      </c>
      <c r="AF122" s="321" t="str">
        <f aca="false">IF(A122="N/A"," ",(VLOOKUP(A122,PowerVolTable,(IF(VolBMO3=2,7,IF(VolBMO3=1,6,8))),FALSE())))</f>
        <v> </v>
      </c>
      <c r="AG122" s="321" t="str">
        <f aca="false">IF(A122="N/A"," ",(VLOOKUP(A122,IntraPowerVol,(IF(VolBMO3=2,3,IF(VolBMO3=1,2,4))),FALSE())*VLOOKUP(MONTH($A122),Volscale,2)))</f>
        <v> </v>
      </c>
      <c r="AH122" s="321" t="str">
        <f aca="false">IF($A122="N/A"," ",IF(VolType3=1,AG122,AF122))</f>
        <v> </v>
      </c>
      <c r="AI122" s="321" t="str">
        <f aca="false">IF($A122="N/A"," ",(VLOOKUP($A122,OffPwrVolTable,(IF(VolBMO3=2,7,IF(VolBMO3=1,6,8))),FALSE())))</f>
        <v> </v>
      </c>
      <c r="AJ122" s="321" t="str">
        <f aca="false">IF($A122="N/A"," ",(VLOOKUP($A122,OffPwrVolTable,(IF(VolBMO3=2,3,IF(VolBMO3=1,2,4))),FALSE())*VLOOKUP(MONTH($A122),Volscale,2)))</f>
        <v> </v>
      </c>
      <c r="AK122" s="321" t="str">
        <f aca="false">IF($A122="N/A"," ",IF(VolType3=1,AJ122,AI122))</f>
        <v> </v>
      </c>
      <c r="AL122" s="321" t="str">
        <f aca="false">IF($A122="N/A"," ",IF(PV=1,0,'Pricing Inputs3'!R155))</f>
        <v> </v>
      </c>
      <c r="AM122" s="323" t="str">
        <f aca="false">IF($A122="N/A"," ",(1+AL122/2)^(-2*((EOMONTH(A122,0)+20)-DateToday)/365.25))</f>
        <v> </v>
      </c>
      <c r="BQ122" s="0" t="str">
        <f aca="false">IF($A122="N/A"," ",(VLOOKUP($A122,NumberofDaysTable,2)))</f>
        <v> </v>
      </c>
      <c r="BR122" s="0" t="str">
        <f aca="false">IF($A122="N/A"," ",(VLOOKUP($A122,NumberofDaysTable,3)))</f>
        <v> </v>
      </c>
      <c r="BS122" s="0" t="str">
        <f aca="false">IF($A122="N/A"," ",(VLOOKUP($A122,NumberofDaysTable,4)))</f>
        <v> </v>
      </c>
    </row>
    <row r="123" customFormat="false" ht="12.75" hidden="false" customHeight="false" outlineLevel="0" collapsed="false">
      <c r="A123" s="315" t="str">
        <f aca="false">IF(A122="N/A","N/A",IF(EDATE(A122,1)&gt;Inputs!$Q$5,"N/A",EDATE(A122,1)))</f>
        <v>N/A</v>
      </c>
      <c r="B123" s="316" t="str">
        <f aca="false">IF(A123="N/A"," ",YEAR(A123))</f>
        <v> </v>
      </c>
      <c r="C123" s="317" t="str">
        <f aca="false">IF($A123="N/A"," ",IF(Dayrun3=10,0,IF(Scaler3=1,(VLOOKUP(A123,ScaledPrice3,4)),(VLOOKUP(A123,ScaledPrice3,2)))))</f>
        <v> </v>
      </c>
      <c r="D123" s="317" t="str">
        <f aca="false">IF(A123="N/A"," ",IF(Dayrun3&gt;=7,0,IF(Scaler3=2,VLOOKUP(A123,ScaledPrice3,2),(VLOOKUP(A123,ScaledPrice3,2))*(2-(VLOOKUP(A123,ScaledPrice3,3))))))</f>
        <v> </v>
      </c>
      <c r="E123" s="317" t="str">
        <f aca="false">IF($A123="N/A"," ",IF(AND(Dayrun3&gt;=4,Dayrun3&lt;=9),0,VLOOKUP($A123,ScaledPrice3,9)))</f>
        <v> </v>
      </c>
      <c r="F123" s="317" t="str">
        <f aca="false">IF(A123="N/A"," ",IF(OR(Dayrun3=2,Dayrun3=3,Dayrun3=5,Dayrun3=6,Dayrun3=8,Dayrun3=9),VLOOKUP(A123,ScaledPrice3,IF(Scaler3=1,6,5)),0))</f>
        <v> </v>
      </c>
      <c r="G123" s="317" t="str">
        <f aca="false">IF(A123="N/A"," ",IF(OR(Dayrun3=2,Dayrun3=3,Dayrun3=5,Dayrun3=6),IF(Scaler3=2,F123,(VLOOKUP(A123,ScaledPrice3,5))*(2-(VLOOKUP(A123,ScaledPrice3,3)))),0))</f>
        <v> </v>
      </c>
      <c r="H123" s="317" t="str">
        <f aca="false">IF($A123="N/A"," ",IF(OR(Dayrun3=2,Dayrun3=3,Dayrun3=10),VLOOKUP($A123,ScaledPrice3,9),0))</f>
        <v> </v>
      </c>
      <c r="I123" s="317" t="str">
        <f aca="false">IF(A123="N/A"," ",IF(OR(Dayrun3=3,Dayrun3=6,Dayrun3=9),(VLOOKUP(A123,ScaledPrice3,IF(Scaler3=2,7,8))),0))</f>
        <v> </v>
      </c>
      <c r="J123" s="317" t="str">
        <f aca="false">IF(A123="N/A"," ",IF(OR(Dayrun3=3,Dayrun3=6),IF(Scaler3=2,I123,(VLOOKUP(A123,ScaledPrice3,7))*(2-(VLOOKUP(A123,ScaledPrice3,3)))),0))</f>
        <v> </v>
      </c>
      <c r="K123" s="317" t="str">
        <f aca="false">IF($A123="N/A"," ",IF(OR(Dayrun3=3,Dayrun3=10),VLOOKUP($A123,ScaledPrice3,9),0))</f>
        <v> </v>
      </c>
      <c r="L123" s="318" t="str">
        <f aca="false">IF($A123="N/A"," ",IF(Pricetype3=2,MAX(C123,0),IF(OR(Pricetype3=1,Pricetype3=4),IF(C123=0,0,(EURO(C123,Strikeprice3,0,0,($AH123+IF(Smile=TRUE(),VLOOKUP(MAX(-5,Strikeprice3-C123),Volsmile,2),0)),($A123-DateToday)+15,IF(Pricetype3=1,1,0),0))),C123)))</f>
        <v> </v>
      </c>
      <c r="M123" s="318" t="str">
        <f aca="false">IF($A123="N/A"," ",IF(Pricetype3=2,MAX(D123,0),IF(OR(Pricetype3=1,Pricetype3=4),IF(D123=0,0,(EURO(D123,Strikeprice3,0,0,($AH123+IF(Smile=TRUE(),VLOOKUP(MAX(-5,Strikeprice3-D123),Volsmile,2),0)),($A123-DateToday)+15,IF(Pricetype3=1,1,0),0))),D123)))</f>
        <v> </v>
      </c>
      <c r="N123" s="318" t="str">
        <f aca="false">IF($A123="N/A"," ",IF(Pricetype3=2,MAX(E123,0),IF(OR(Pricetype3=1,Pricetype3=4),IF(E123=0,0,(EURO(E123,Strikeprice3,0,0,($AK123+IF(Smile=TRUE(),VLOOKUP(MAX(-5,Strikeprice3-E123),Volsmile,2),0)),($A123-DateToday)+15,IF(Pricetype3=1,1,0),0))),E123)))</f>
        <v> </v>
      </c>
      <c r="O123" s="318" t="str">
        <f aca="false">IF($A123="N/A"," ",IF(Pricetype3=2,MAX(F123,0),IF(OR(Pricetype3=1,Pricetype3=4),IF(F123=0,0,(EURO(F123,Strikeprice3,0,0,($AK123+IF(Smile=TRUE(),VLOOKUP(MAX(-5,Strikeprice3-F123),Volsmile,2),0)),($A123-DateToday)+15,IF(Pricetype3=1,1,0),0))),F123)))</f>
        <v> </v>
      </c>
      <c r="P123" s="318" t="str">
        <f aca="false">IF($A123="N/A"," ",IF(Pricetype3=2,MAX(G123,0),IF(OR(Pricetype3=1,Pricetype3=4),IF(G123=0,0,(EURO(G123,Strikeprice3,0,0,($AK123+IF(Smile=TRUE(),VLOOKUP(MAX(-5,Strikeprice3-G123),Volsmile,2),0)),($A123-DateToday)+15,IF(Pricetype3=1,1,0),0))),G123)))</f>
        <v> </v>
      </c>
      <c r="Q123" s="318" t="str">
        <f aca="false">IF($A123="N/A"," ",IF(Pricetype3=2,MAX(H123,0),IF(OR(Pricetype3=1,Pricetype3=4),IF(H123=0,0,(EURO(H123,Strikeprice3,0,0,($AK123+IF(Smile=TRUE(),VLOOKUP(MAX(-5,Strikeprice3-H123),Volsmile,2),0)),($A123-DateToday)+15,IF(Pricetype3=1,1,0),0))),H123)))</f>
        <v> </v>
      </c>
      <c r="R123" s="318" t="str">
        <f aca="false">IF($A123="N/A"," ",IF(Pricetype3=2,MAX(I123,0),IF(OR(Pricetype3=1,Pricetype3=4),IF(I123=0,0,(EURO(I123,Strikeprice3,0,0,($AK123+IF(Smile=TRUE(),VLOOKUP(MAX(-5,Strikeprice3-I123),Volsmile,2),0)),($A123-DateToday)+15,IF(Pricetype3=1,1,0),0))),I123)))</f>
        <v> </v>
      </c>
      <c r="S123" s="318" t="str">
        <f aca="false">IF($A123="N/A"," ",IF(Pricetype3=2,MAX(J123,0),IF(OR(Pricetype3=1,Pricetype3=4),IF(J123=0,0,(EURO(J123,Strikeprice3,0,0,($AK123+IF(Smile=TRUE(),VLOOKUP(MAX(-5,Strikeprice3-J123),Volsmile,2),0)),($A123-DateToday)+15,IF(Pricetype3=1,1,0),0))),J123)))</f>
        <v> </v>
      </c>
      <c r="T123" s="318" t="str">
        <f aca="false">IF($A123="N/A"," ",IF(Pricetype3=2,MAX(K123,0),IF(OR(Pricetype3=1,Pricetype3=4),IF(K123=0,0,(EURO(K123,Strikeprice3,0,0,($AK123+IF(Smile=TRUE(),VLOOKUP(MAX(-5,Strikeprice3-K123),Volsmile,2),0)),($A123-DateToday)+15,IF(Pricetype3=1,1,0),0))),K123)))</f>
        <v> </v>
      </c>
      <c r="U123" s="319" t="str">
        <f aca="false">IF($A123="N/A"," ",Volume3*$AM123)</f>
        <v> </v>
      </c>
      <c r="V123" s="320" t="str">
        <f aca="false">IF($A123="N/A"," ",$U123*(8*($BQ123))*L123)</f>
        <v> </v>
      </c>
      <c r="W123" s="320" t="str">
        <f aca="false">IF($A123="N/A"," ",$U123*(8*($BQ123))*M123)</f>
        <v> </v>
      </c>
      <c r="X123" s="320" t="str">
        <f aca="false">IF($A123="N/A"," ",$U123*(8*($BQ123))*N123)</f>
        <v> </v>
      </c>
      <c r="Y123" s="320" t="str">
        <f aca="false">IF($A123="N/A"," ",$U123*(8*($BR123))*O123)</f>
        <v> </v>
      </c>
      <c r="Z123" s="320" t="str">
        <f aca="false">IF($A123="N/A"," ",$U123*(8*($BR123))*P123)</f>
        <v> </v>
      </c>
      <c r="AA123" s="320" t="str">
        <f aca="false">IF($A123="N/A"," ",$U123*(8*($BR123))*Q123)</f>
        <v> </v>
      </c>
      <c r="AB123" s="320" t="str">
        <f aca="false">IF($A123="N/A"," ",$U123*(8*($BS123))*R123)</f>
        <v> </v>
      </c>
      <c r="AC123" s="320" t="str">
        <f aca="false">IF($A123="N/A"," ",$U123*(8*($BS123))*S123)</f>
        <v> </v>
      </c>
      <c r="AD123" s="320" t="str">
        <f aca="false">IF($A123="N/A"," ",$U123*(8*($BS123))*T123)</f>
        <v> </v>
      </c>
      <c r="AE123" s="320" t="str">
        <f aca="false">IF($A123="N/A"," ",SUM(V123:AD123))</f>
        <v> </v>
      </c>
      <c r="AF123" s="321" t="str">
        <f aca="false">IF(A123="N/A"," ",(VLOOKUP(A123,PowerVolTable,(IF(VolBMO3=2,7,IF(VolBMO3=1,6,8))),FALSE())))</f>
        <v> </v>
      </c>
      <c r="AG123" s="321" t="str">
        <f aca="false">IF(A123="N/A"," ",(VLOOKUP(A123,IntraPowerVol,(IF(VolBMO3=2,3,IF(VolBMO3=1,2,4))),FALSE())*VLOOKUP(MONTH($A123),Volscale,2)))</f>
        <v> </v>
      </c>
      <c r="AH123" s="321" t="str">
        <f aca="false">IF($A123="N/A"," ",IF(VolType3=1,AG123,AF123))</f>
        <v> </v>
      </c>
      <c r="AI123" s="321" t="str">
        <f aca="false">IF($A123="N/A"," ",(VLOOKUP($A123,OffPwrVolTable,(IF(VolBMO3=2,7,IF(VolBMO3=1,6,8))),FALSE())))</f>
        <v> </v>
      </c>
      <c r="AJ123" s="321" t="str">
        <f aca="false">IF($A123="N/A"," ",(VLOOKUP($A123,OffPwrVolTable,(IF(VolBMO3=2,3,IF(VolBMO3=1,2,4))),FALSE())*VLOOKUP(MONTH($A123),Volscale,2)))</f>
        <v> </v>
      </c>
      <c r="AK123" s="321" t="str">
        <f aca="false">IF($A123="N/A"," ",IF(VolType3=1,AJ123,AI123))</f>
        <v> </v>
      </c>
      <c r="AL123" s="321" t="str">
        <f aca="false">IF($A123="N/A"," ",IF(PV=1,0,'Pricing Inputs3'!R156))</f>
        <v> </v>
      </c>
      <c r="AM123" s="323" t="str">
        <f aca="false">IF($A123="N/A"," ",(1+AL123/2)^(-2*((EOMONTH(A123,0)+20)-DateToday)/365.25))</f>
        <v> </v>
      </c>
      <c r="BQ123" s="0" t="str">
        <f aca="false">IF($A123="N/A"," ",(VLOOKUP($A123,NumberofDaysTable,2)))</f>
        <v> </v>
      </c>
      <c r="BR123" s="0" t="str">
        <f aca="false">IF($A123="N/A"," ",(VLOOKUP($A123,NumberofDaysTable,3)))</f>
        <v> </v>
      </c>
      <c r="BS123" s="0" t="str">
        <f aca="false">IF($A123="N/A"," ",(VLOOKUP($A123,NumberofDaysTable,4)))</f>
        <v> </v>
      </c>
    </row>
    <row r="124" customFormat="false" ht="12.75" hidden="false" customHeight="false" outlineLevel="0" collapsed="false">
      <c r="A124" s="315" t="str">
        <f aca="false">IF(A123="N/A","N/A",IF(EDATE(A123,1)&gt;Inputs!$Q$5,"N/A",EDATE(A123,1)))</f>
        <v>N/A</v>
      </c>
      <c r="B124" s="316" t="str">
        <f aca="false">IF(A124="N/A"," ",YEAR(A124))</f>
        <v> </v>
      </c>
      <c r="C124" s="317" t="str">
        <f aca="false">IF($A124="N/A"," ",IF(Dayrun3=10,0,IF(Scaler3=1,(VLOOKUP(A124,ScaledPrice3,4)),(VLOOKUP(A124,ScaledPrice3,2)))))</f>
        <v> </v>
      </c>
      <c r="D124" s="317" t="str">
        <f aca="false">IF(A124="N/A"," ",IF(Dayrun3&gt;=7,0,IF(Scaler3=2,VLOOKUP(A124,ScaledPrice3,2),(VLOOKUP(A124,ScaledPrice3,2))*(2-(VLOOKUP(A124,ScaledPrice3,3))))))</f>
        <v> </v>
      </c>
      <c r="E124" s="317" t="str">
        <f aca="false">IF($A124="N/A"," ",IF(AND(Dayrun3&gt;=4,Dayrun3&lt;=9),0,VLOOKUP($A124,ScaledPrice3,9)))</f>
        <v> </v>
      </c>
      <c r="F124" s="317" t="str">
        <f aca="false">IF(A124="N/A"," ",IF(OR(Dayrun3=2,Dayrun3=3,Dayrun3=5,Dayrun3=6,Dayrun3=8,Dayrun3=9),VLOOKUP(A124,ScaledPrice3,IF(Scaler3=1,6,5)),0))</f>
        <v> </v>
      </c>
      <c r="G124" s="317" t="str">
        <f aca="false">IF(A124="N/A"," ",IF(OR(Dayrun3=2,Dayrun3=3,Dayrun3=5,Dayrun3=6),IF(Scaler3=2,F124,(VLOOKUP(A124,ScaledPrice3,5))*(2-(VLOOKUP(A124,ScaledPrice3,3)))),0))</f>
        <v> </v>
      </c>
      <c r="H124" s="317" t="str">
        <f aca="false">IF($A124="N/A"," ",IF(OR(Dayrun3=2,Dayrun3=3,Dayrun3=10),VLOOKUP($A124,ScaledPrice3,9),0))</f>
        <v> </v>
      </c>
      <c r="I124" s="317" t="str">
        <f aca="false">IF(A124="N/A"," ",IF(OR(Dayrun3=3,Dayrun3=6,Dayrun3=9),(VLOOKUP(A124,ScaledPrice3,IF(Scaler3=2,7,8))),0))</f>
        <v> </v>
      </c>
      <c r="J124" s="317" t="str">
        <f aca="false">IF(A124="N/A"," ",IF(OR(Dayrun3=3,Dayrun3=6),IF(Scaler3=2,I124,(VLOOKUP(A124,ScaledPrice3,7))*(2-(VLOOKUP(A124,ScaledPrice3,3)))),0))</f>
        <v> </v>
      </c>
      <c r="K124" s="317" t="str">
        <f aca="false">IF($A124="N/A"," ",IF(OR(Dayrun3=3,Dayrun3=10),VLOOKUP($A124,ScaledPrice3,9),0))</f>
        <v> </v>
      </c>
      <c r="L124" s="318" t="str">
        <f aca="false">IF($A124="N/A"," ",IF(Pricetype3=2,MAX(C124,0),IF(OR(Pricetype3=1,Pricetype3=4),IF(C124=0,0,(EURO(C124,Strikeprice3,0,0,($AH124+IF(Smile=TRUE(),VLOOKUP(MAX(-5,Strikeprice3-C124),Volsmile,2),0)),($A124-DateToday)+15,IF(Pricetype3=1,1,0),0))),C124)))</f>
        <v> </v>
      </c>
      <c r="M124" s="318" t="str">
        <f aca="false">IF($A124="N/A"," ",IF(Pricetype3=2,MAX(D124,0),IF(OR(Pricetype3=1,Pricetype3=4),IF(D124=0,0,(EURO(D124,Strikeprice3,0,0,($AH124+IF(Smile=TRUE(),VLOOKUP(MAX(-5,Strikeprice3-D124),Volsmile,2),0)),($A124-DateToday)+15,IF(Pricetype3=1,1,0),0))),D124)))</f>
        <v> </v>
      </c>
      <c r="N124" s="318" t="str">
        <f aca="false">IF($A124="N/A"," ",IF(Pricetype3=2,MAX(E124,0),IF(OR(Pricetype3=1,Pricetype3=4),IF(E124=0,0,(EURO(E124,Strikeprice3,0,0,($AK124+IF(Smile=TRUE(),VLOOKUP(MAX(-5,Strikeprice3-E124),Volsmile,2),0)),($A124-DateToday)+15,IF(Pricetype3=1,1,0),0))),E124)))</f>
        <v> </v>
      </c>
      <c r="O124" s="318" t="str">
        <f aca="false">IF($A124="N/A"," ",IF(Pricetype3=2,MAX(F124,0),IF(OR(Pricetype3=1,Pricetype3=4),IF(F124=0,0,(EURO(F124,Strikeprice3,0,0,($AK124+IF(Smile=TRUE(),VLOOKUP(MAX(-5,Strikeprice3-F124),Volsmile,2),0)),($A124-DateToday)+15,IF(Pricetype3=1,1,0),0))),F124)))</f>
        <v> </v>
      </c>
      <c r="P124" s="318" t="str">
        <f aca="false">IF($A124="N/A"," ",IF(Pricetype3=2,MAX(G124,0),IF(OR(Pricetype3=1,Pricetype3=4),IF(G124=0,0,(EURO(G124,Strikeprice3,0,0,($AK124+IF(Smile=TRUE(),VLOOKUP(MAX(-5,Strikeprice3-G124),Volsmile,2),0)),($A124-DateToday)+15,IF(Pricetype3=1,1,0),0))),G124)))</f>
        <v> </v>
      </c>
      <c r="Q124" s="318" t="str">
        <f aca="false">IF($A124="N/A"," ",IF(Pricetype3=2,MAX(H124,0),IF(OR(Pricetype3=1,Pricetype3=4),IF(H124=0,0,(EURO(H124,Strikeprice3,0,0,($AK124+IF(Smile=TRUE(),VLOOKUP(MAX(-5,Strikeprice3-H124),Volsmile,2),0)),($A124-DateToday)+15,IF(Pricetype3=1,1,0),0))),H124)))</f>
        <v> </v>
      </c>
      <c r="R124" s="318" t="str">
        <f aca="false">IF($A124="N/A"," ",IF(Pricetype3=2,MAX(I124,0),IF(OR(Pricetype3=1,Pricetype3=4),IF(I124=0,0,(EURO(I124,Strikeprice3,0,0,($AK124+IF(Smile=TRUE(),VLOOKUP(MAX(-5,Strikeprice3-I124),Volsmile,2),0)),($A124-DateToday)+15,IF(Pricetype3=1,1,0),0))),I124)))</f>
        <v> </v>
      </c>
      <c r="S124" s="318" t="str">
        <f aca="false">IF($A124="N/A"," ",IF(Pricetype3=2,MAX(J124,0),IF(OR(Pricetype3=1,Pricetype3=4),IF(J124=0,0,(EURO(J124,Strikeprice3,0,0,($AK124+IF(Smile=TRUE(),VLOOKUP(MAX(-5,Strikeprice3-J124),Volsmile,2),0)),($A124-DateToday)+15,IF(Pricetype3=1,1,0),0))),J124)))</f>
        <v> </v>
      </c>
      <c r="T124" s="318" t="str">
        <f aca="false">IF($A124="N/A"," ",IF(Pricetype3=2,MAX(K124,0),IF(OR(Pricetype3=1,Pricetype3=4),IF(K124=0,0,(EURO(K124,Strikeprice3,0,0,($AK124+IF(Smile=TRUE(),VLOOKUP(MAX(-5,Strikeprice3-K124),Volsmile,2),0)),($A124-DateToday)+15,IF(Pricetype3=1,1,0),0))),K124)))</f>
        <v> </v>
      </c>
      <c r="U124" s="319" t="str">
        <f aca="false">IF($A124="N/A"," ",Volume3*$AM124)</f>
        <v> </v>
      </c>
      <c r="V124" s="320" t="str">
        <f aca="false">IF($A124="N/A"," ",$U124*(8*($BQ124))*L124)</f>
        <v> </v>
      </c>
      <c r="W124" s="320" t="str">
        <f aca="false">IF($A124="N/A"," ",$U124*(8*($BQ124))*M124)</f>
        <v> </v>
      </c>
      <c r="X124" s="320" t="str">
        <f aca="false">IF($A124="N/A"," ",$U124*(8*($BQ124))*N124)</f>
        <v> </v>
      </c>
      <c r="Y124" s="320" t="str">
        <f aca="false">IF($A124="N/A"," ",$U124*(8*($BR124))*O124)</f>
        <v> </v>
      </c>
      <c r="Z124" s="320" t="str">
        <f aca="false">IF($A124="N/A"," ",$U124*(8*($BR124))*P124)</f>
        <v> </v>
      </c>
      <c r="AA124" s="320" t="str">
        <f aca="false">IF($A124="N/A"," ",$U124*(8*($BR124))*Q124)</f>
        <v> </v>
      </c>
      <c r="AB124" s="320" t="str">
        <f aca="false">IF($A124="N/A"," ",$U124*(8*($BS124))*R124)</f>
        <v> </v>
      </c>
      <c r="AC124" s="320" t="str">
        <f aca="false">IF($A124="N/A"," ",$U124*(8*($BS124))*S124)</f>
        <v> </v>
      </c>
      <c r="AD124" s="320" t="str">
        <f aca="false">IF($A124="N/A"," ",$U124*(8*($BS124))*T124)</f>
        <v> </v>
      </c>
      <c r="AE124" s="320" t="str">
        <f aca="false">IF($A124="N/A"," ",SUM(V124:AD124))</f>
        <v> </v>
      </c>
      <c r="AF124" s="321" t="str">
        <f aca="false">IF(A124="N/A"," ",(VLOOKUP(A124,PowerVolTable,(IF(VolBMO3=2,7,IF(VolBMO3=1,6,8))),FALSE())))</f>
        <v> </v>
      </c>
      <c r="AG124" s="321" t="str">
        <f aca="false">IF(A124="N/A"," ",(VLOOKUP(A124,IntraPowerVol,(IF(VolBMO3=2,3,IF(VolBMO3=1,2,4))),FALSE())*VLOOKUP(MONTH($A124),Volscale,2)))</f>
        <v> </v>
      </c>
      <c r="AH124" s="321" t="str">
        <f aca="false">IF($A124="N/A"," ",IF(VolType3=1,AG124,AF124))</f>
        <v> </v>
      </c>
      <c r="AI124" s="321" t="str">
        <f aca="false">IF($A124="N/A"," ",(VLOOKUP($A124,OffPwrVolTable,(IF(VolBMO3=2,7,IF(VolBMO3=1,6,8))),FALSE())))</f>
        <v> </v>
      </c>
      <c r="AJ124" s="321" t="str">
        <f aca="false">IF($A124="N/A"," ",(VLOOKUP($A124,OffPwrVolTable,(IF(VolBMO3=2,3,IF(VolBMO3=1,2,4))),FALSE())*VLOOKUP(MONTH($A124),Volscale,2)))</f>
        <v> </v>
      </c>
      <c r="AK124" s="321" t="str">
        <f aca="false">IF($A124="N/A"," ",IF(VolType3=1,AJ124,AI124))</f>
        <v> </v>
      </c>
      <c r="AL124" s="321" t="str">
        <f aca="false">IF($A124="N/A"," ",IF(PV=1,0,'Pricing Inputs3'!R157))</f>
        <v> </v>
      </c>
      <c r="AM124" s="323" t="str">
        <f aca="false">IF($A124="N/A"," ",(1+AL124/2)^(-2*((EOMONTH(A124,0)+20)-DateToday)/365.25))</f>
        <v> </v>
      </c>
      <c r="BQ124" s="0" t="str">
        <f aca="false">IF($A124="N/A"," ",(VLOOKUP($A124,NumberofDaysTable,2)))</f>
        <v> </v>
      </c>
      <c r="BR124" s="0" t="str">
        <f aca="false">IF($A124="N/A"," ",(VLOOKUP($A124,NumberofDaysTable,3)))</f>
        <v> </v>
      </c>
      <c r="BS124" s="0" t="str">
        <f aca="false">IF($A124="N/A"," ",(VLOOKUP($A124,NumberofDaysTable,4)))</f>
        <v> </v>
      </c>
    </row>
    <row r="125" customFormat="false" ht="12.75" hidden="false" customHeight="false" outlineLevel="0" collapsed="false">
      <c r="A125" s="315" t="str">
        <f aca="false">IF(A124="N/A","N/A",IF(EDATE(A124,1)&gt;Inputs!$Q$5,"N/A",EDATE(A124,1)))</f>
        <v>N/A</v>
      </c>
      <c r="B125" s="316" t="str">
        <f aca="false">IF(A125="N/A"," ",YEAR(A125))</f>
        <v> </v>
      </c>
      <c r="C125" s="317" t="str">
        <f aca="false">IF($A125="N/A"," ",IF(Dayrun3=10,0,IF(Scaler3=1,(VLOOKUP(A125,ScaledPrice3,4)),(VLOOKUP(A125,ScaledPrice3,2)))))</f>
        <v> </v>
      </c>
      <c r="D125" s="317" t="str">
        <f aca="false">IF(A125="N/A"," ",IF(Dayrun3&gt;=7,0,IF(Scaler3=2,VLOOKUP(A125,ScaledPrice3,2),(VLOOKUP(A125,ScaledPrice3,2))*(2-(VLOOKUP(A125,ScaledPrice3,3))))))</f>
        <v> </v>
      </c>
      <c r="E125" s="317" t="str">
        <f aca="false">IF($A125="N/A"," ",IF(AND(Dayrun3&gt;=4,Dayrun3&lt;=9),0,VLOOKUP($A125,ScaledPrice3,9)))</f>
        <v> </v>
      </c>
      <c r="F125" s="317" t="str">
        <f aca="false">IF(A125="N/A"," ",IF(OR(Dayrun3=2,Dayrun3=3,Dayrun3=5,Dayrun3=6,Dayrun3=8,Dayrun3=9),VLOOKUP(A125,ScaledPrice3,IF(Scaler3=1,6,5)),0))</f>
        <v> </v>
      </c>
      <c r="G125" s="317" t="str">
        <f aca="false">IF(A125="N/A"," ",IF(OR(Dayrun3=2,Dayrun3=3,Dayrun3=5,Dayrun3=6),IF(Scaler3=2,F125,(VLOOKUP(A125,ScaledPrice3,5))*(2-(VLOOKUP(A125,ScaledPrice3,3)))),0))</f>
        <v> </v>
      </c>
      <c r="H125" s="317" t="str">
        <f aca="false">IF($A125="N/A"," ",IF(OR(Dayrun3=2,Dayrun3=3,Dayrun3=10),VLOOKUP($A125,ScaledPrice3,9),0))</f>
        <v> </v>
      </c>
      <c r="I125" s="317" t="str">
        <f aca="false">IF(A125="N/A"," ",IF(OR(Dayrun3=3,Dayrun3=6,Dayrun3=9),(VLOOKUP(A125,ScaledPrice3,IF(Scaler3=2,7,8))),0))</f>
        <v> </v>
      </c>
      <c r="J125" s="317" t="str">
        <f aca="false">IF(A125="N/A"," ",IF(OR(Dayrun3=3,Dayrun3=6),IF(Scaler3=2,I125,(VLOOKUP(A125,ScaledPrice3,7))*(2-(VLOOKUP(A125,ScaledPrice3,3)))),0))</f>
        <v> </v>
      </c>
      <c r="K125" s="317" t="str">
        <f aca="false">IF($A125="N/A"," ",IF(OR(Dayrun3=3,Dayrun3=10),VLOOKUP($A125,ScaledPrice3,9),0))</f>
        <v> </v>
      </c>
      <c r="L125" s="318" t="str">
        <f aca="false">IF($A125="N/A"," ",IF(Pricetype3=2,MAX(C125,0),IF(OR(Pricetype3=1,Pricetype3=4),IF(C125=0,0,(EURO(C125,Strikeprice3,0,0,($AH125+IF(Smile=TRUE(),VLOOKUP(MAX(-5,Strikeprice3-C125),Volsmile,2),0)),($A125-DateToday)+15,IF(Pricetype3=1,1,0),0))),C125)))</f>
        <v> </v>
      </c>
      <c r="M125" s="318" t="str">
        <f aca="false">IF($A125="N/A"," ",IF(Pricetype3=2,MAX(D125,0),IF(OR(Pricetype3=1,Pricetype3=4),IF(D125=0,0,(EURO(D125,Strikeprice3,0,0,($AH125+IF(Smile=TRUE(),VLOOKUP(MAX(-5,Strikeprice3-D125),Volsmile,2),0)),($A125-DateToday)+15,IF(Pricetype3=1,1,0),0))),D125)))</f>
        <v> </v>
      </c>
      <c r="N125" s="318" t="str">
        <f aca="false">IF($A125="N/A"," ",IF(Pricetype3=2,MAX(E125,0),IF(OR(Pricetype3=1,Pricetype3=4),IF(E125=0,0,(EURO(E125,Strikeprice3,0,0,($AK125+IF(Smile=TRUE(),VLOOKUP(MAX(-5,Strikeprice3-E125),Volsmile,2),0)),($A125-DateToday)+15,IF(Pricetype3=1,1,0),0))),E125)))</f>
        <v> </v>
      </c>
      <c r="O125" s="318" t="str">
        <f aca="false">IF($A125="N/A"," ",IF(Pricetype3=2,MAX(F125,0),IF(OR(Pricetype3=1,Pricetype3=4),IF(F125=0,0,(EURO(F125,Strikeprice3,0,0,($AK125+IF(Smile=TRUE(),VLOOKUP(MAX(-5,Strikeprice3-F125),Volsmile,2),0)),($A125-DateToday)+15,IF(Pricetype3=1,1,0),0))),F125)))</f>
        <v> </v>
      </c>
      <c r="P125" s="318" t="str">
        <f aca="false">IF($A125="N/A"," ",IF(Pricetype3=2,MAX(G125,0),IF(OR(Pricetype3=1,Pricetype3=4),IF(G125=0,0,(EURO(G125,Strikeprice3,0,0,($AK125+IF(Smile=TRUE(),VLOOKUP(MAX(-5,Strikeprice3-G125),Volsmile,2),0)),($A125-DateToday)+15,IF(Pricetype3=1,1,0),0))),G125)))</f>
        <v> </v>
      </c>
      <c r="Q125" s="318" t="str">
        <f aca="false">IF($A125="N/A"," ",IF(Pricetype3=2,MAX(H125,0),IF(OR(Pricetype3=1,Pricetype3=4),IF(H125=0,0,(EURO(H125,Strikeprice3,0,0,($AK125+IF(Smile=TRUE(),VLOOKUP(MAX(-5,Strikeprice3-H125),Volsmile,2),0)),($A125-DateToday)+15,IF(Pricetype3=1,1,0),0))),H125)))</f>
        <v> </v>
      </c>
      <c r="R125" s="318" t="str">
        <f aca="false">IF($A125="N/A"," ",IF(Pricetype3=2,MAX(I125,0),IF(OR(Pricetype3=1,Pricetype3=4),IF(I125=0,0,(EURO(I125,Strikeprice3,0,0,($AK125+IF(Smile=TRUE(),VLOOKUP(MAX(-5,Strikeprice3-I125),Volsmile,2),0)),($A125-DateToday)+15,IF(Pricetype3=1,1,0),0))),I125)))</f>
        <v> </v>
      </c>
      <c r="S125" s="318" t="str">
        <f aca="false">IF($A125="N/A"," ",IF(Pricetype3=2,MAX(J125,0),IF(OR(Pricetype3=1,Pricetype3=4),IF(J125=0,0,(EURO(J125,Strikeprice3,0,0,($AK125+IF(Smile=TRUE(),VLOOKUP(MAX(-5,Strikeprice3-J125),Volsmile,2),0)),($A125-DateToday)+15,IF(Pricetype3=1,1,0),0))),J125)))</f>
        <v> </v>
      </c>
      <c r="T125" s="318" t="str">
        <f aca="false">IF($A125="N/A"," ",IF(Pricetype3=2,MAX(K125,0),IF(OR(Pricetype3=1,Pricetype3=4),IF(K125=0,0,(EURO(K125,Strikeprice3,0,0,($AK125+IF(Smile=TRUE(),VLOOKUP(MAX(-5,Strikeprice3-K125),Volsmile,2),0)),($A125-DateToday)+15,IF(Pricetype3=1,1,0),0))),K125)))</f>
        <v> </v>
      </c>
      <c r="U125" s="319" t="str">
        <f aca="false">IF($A125="N/A"," ",Volume3*$AM125)</f>
        <v> </v>
      </c>
      <c r="V125" s="320" t="str">
        <f aca="false">IF($A125="N/A"," ",$U125*(8*($BQ125))*L125)</f>
        <v> </v>
      </c>
      <c r="W125" s="320" t="str">
        <f aca="false">IF($A125="N/A"," ",$U125*(8*($BQ125))*M125)</f>
        <v> </v>
      </c>
      <c r="X125" s="320" t="str">
        <f aca="false">IF($A125="N/A"," ",$U125*(8*($BQ125))*N125)</f>
        <v> </v>
      </c>
      <c r="Y125" s="320" t="str">
        <f aca="false">IF($A125="N/A"," ",$U125*(8*($BR125))*O125)</f>
        <v> </v>
      </c>
      <c r="Z125" s="320" t="str">
        <f aca="false">IF($A125="N/A"," ",$U125*(8*($BR125))*P125)</f>
        <v> </v>
      </c>
      <c r="AA125" s="320" t="str">
        <f aca="false">IF($A125="N/A"," ",$U125*(8*($BR125))*Q125)</f>
        <v> </v>
      </c>
      <c r="AB125" s="320" t="str">
        <f aca="false">IF($A125="N/A"," ",$U125*(8*($BS125))*R125)</f>
        <v> </v>
      </c>
      <c r="AC125" s="320" t="str">
        <f aca="false">IF($A125="N/A"," ",$U125*(8*($BS125))*S125)</f>
        <v> </v>
      </c>
      <c r="AD125" s="320" t="str">
        <f aca="false">IF($A125="N/A"," ",$U125*(8*($BS125))*T125)</f>
        <v> </v>
      </c>
      <c r="AE125" s="320" t="str">
        <f aca="false">IF($A125="N/A"," ",SUM(V125:AD125))</f>
        <v> </v>
      </c>
      <c r="AF125" s="321" t="str">
        <f aca="false">IF(A125="N/A"," ",(VLOOKUP(A125,PowerVolTable,(IF(VolBMO3=2,7,IF(VolBMO3=1,6,8))),FALSE())))</f>
        <v> </v>
      </c>
      <c r="AG125" s="321" t="str">
        <f aca="false">IF(A125="N/A"," ",(VLOOKUP(A125,IntraPowerVol,(IF(VolBMO3=2,3,IF(VolBMO3=1,2,4))),FALSE())*VLOOKUP(MONTH($A125),Volscale,2)))</f>
        <v> </v>
      </c>
      <c r="AH125" s="321" t="str">
        <f aca="false">IF($A125="N/A"," ",IF(VolType3=1,AG125,AF125))</f>
        <v> </v>
      </c>
      <c r="AI125" s="321" t="str">
        <f aca="false">IF($A125="N/A"," ",(VLOOKUP($A125,OffPwrVolTable,(IF(VolBMO3=2,7,IF(VolBMO3=1,6,8))),FALSE())))</f>
        <v> </v>
      </c>
      <c r="AJ125" s="321" t="str">
        <f aca="false">IF($A125="N/A"," ",(VLOOKUP($A125,OffPwrVolTable,(IF(VolBMO3=2,3,IF(VolBMO3=1,2,4))),FALSE())*VLOOKUP(MONTH($A125),Volscale,2)))</f>
        <v> </v>
      </c>
      <c r="AK125" s="321" t="str">
        <f aca="false">IF($A125="N/A"," ",IF(VolType3=1,AJ125,AI125))</f>
        <v> </v>
      </c>
      <c r="AL125" s="321" t="str">
        <f aca="false">IF($A125="N/A"," ",IF(PV=1,0,'Pricing Inputs3'!R158))</f>
        <v> </v>
      </c>
      <c r="AM125" s="323" t="str">
        <f aca="false">IF($A125="N/A"," ",(1+AL125/2)^(-2*((EOMONTH(A125,0)+20)-DateToday)/365.25))</f>
        <v> </v>
      </c>
      <c r="BQ125" s="0" t="str">
        <f aca="false">IF($A125="N/A"," ",(VLOOKUP($A125,NumberofDaysTable,2)))</f>
        <v> </v>
      </c>
      <c r="BR125" s="0" t="str">
        <f aca="false">IF($A125="N/A"," ",(VLOOKUP($A125,NumberofDaysTable,3)))</f>
        <v> </v>
      </c>
      <c r="BS125" s="0" t="str">
        <f aca="false">IF($A125="N/A"," ",(VLOOKUP($A125,NumberofDaysTable,4)))</f>
        <v> </v>
      </c>
    </row>
    <row r="126" customFormat="false" ht="12.75" hidden="false" customHeight="false" outlineLevel="0" collapsed="false">
      <c r="A126" s="315" t="str">
        <f aca="false">IF(A125="N/A","N/A",IF(EDATE(A125,1)&gt;Inputs!$Q$5,"N/A",EDATE(A125,1)))</f>
        <v>N/A</v>
      </c>
      <c r="B126" s="316" t="str">
        <f aca="false">IF(A126="N/A"," ",YEAR(A126))</f>
        <v> </v>
      </c>
      <c r="C126" s="317" t="str">
        <f aca="false">IF($A126="N/A"," ",IF(Dayrun3=10,0,IF(Scaler3=1,(VLOOKUP(A126,ScaledPrice3,4)),(VLOOKUP(A126,ScaledPrice3,2)))))</f>
        <v> </v>
      </c>
      <c r="D126" s="317" t="str">
        <f aca="false">IF(A126="N/A"," ",IF(Dayrun3&gt;=7,0,IF(Scaler3=2,VLOOKUP(A126,ScaledPrice3,2),(VLOOKUP(A126,ScaledPrice3,2))*(2-(VLOOKUP(A126,ScaledPrice3,3))))))</f>
        <v> </v>
      </c>
      <c r="E126" s="317" t="str">
        <f aca="false">IF($A126="N/A"," ",IF(AND(Dayrun3&gt;=4,Dayrun3&lt;=9),0,VLOOKUP($A126,ScaledPrice3,9)))</f>
        <v> </v>
      </c>
      <c r="F126" s="317" t="str">
        <f aca="false">IF(A126="N/A"," ",IF(OR(Dayrun3=2,Dayrun3=3,Dayrun3=5,Dayrun3=6,Dayrun3=8,Dayrun3=9),VLOOKUP(A126,ScaledPrice3,IF(Scaler3=1,6,5)),0))</f>
        <v> </v>
      </c>
      <c r="G126" s="317" t="str">
        <f aca="false">IF(A126="N/A"," ",IF(OR(Dayrun3=2,Dayrun3=3,Dayrun3=5,Dayrun3=6),IF(Scaler3=2,F126,(VLOOKUP(A126,ScaledPrice3,5))*(2-(VLOOKUP(A126,ScaledPrice3,3)))),0))</f>
        <v> </v>
      </c>
      <c r="H126" s="317" t="str">
        <f aca="false">IF($A126="N/A"," ",IF(OR(Dayrun3=2,Dayrun3=3,Dayrun3=10),VLOOKUP($A126,ScaledPrice3,9),0))</f>
        <v> </v>
      </c>
      <c r="I126" s="317" t="str">
        <f aca="false">IF(A126="N/A"," ",IF(OR(Dayrun3=3,Dayrun3=6,Dayrun3=9),(VLOOKUP(A126,ScaledPrice3,IF(Scaler3=2,7,8))),0))</f>
        <v> </v>
      </c>
      <c r="J126" s="317" t="str">
        <f aca="false">IF(A126="N/A"," ",IF(OR(Dayrun3=3,Dayrun3=6),IF(Scaler3=2,I126,(VLOOKUP(A126,ScaledPrice3,7))*(2-(VLOOKUP(A126,ScaledPrice3,3)))),0))</f>
        <v> </v>
      </c>
      <c r="K126" s="317" t="str">
        <f aca="false">IF($A126="N/A"," ",IF(OR(Dayrun3=3,Dayrun3=10),VLOOKUP($A126,ScaledPrice3,9),0))</f>
        <v> </v>
      </c>
      <c r="L126" s="318" t="str">
        <f aca="false">IF($A126="N/A"," ",IF(Pricetype3=2,MAX(C126,0),IF(OR(Pricetype3=1,Pricetype3=4),IF(C126=0,0,(EURO(C126,Strikeprice3,0,0,($AH126+IF(Smile=TRUE(),VLOOKUP(MAX(-5,Strikeprice3-C126),Volsmile,2),0)),($A126-DateToday)+15,IF(Pricetype3=1,1,0),0))),C126)))</f>
        <v> </v>
      </c>
      <c r="M126" s="318" t="str">
        <f aca="false">IF($A126="N/A"," ",IF(Pricetype3=2,MAX(D126,0),IF(OR(Pricetype3=1,Pricetype3=4),IF(D126=0,0,(EURO(D126,Strikeprice3,0,0,($AH126+IF(Smile=TRUE(),VLOOKUP(MAX(-5,Strikeprice3-D126),Volsmile,2),0)),($A126-DateToday)+15,IF(Pricetype3=1,1,0),0))),D126)))</f>
        <v> </v>
      </c>
      <c r="N126" s="318" t="str">
        <f aca="false">IF($A126="N/A"," ",IF(Pricetype3=2,MAX(E126,0),IF(OR(Pricetype3=1,Pricetype3=4),IF(E126=0,0,(EURO(E126,Strikeprice3,0,0,($AK126+IF(Smile=TRUE(),VLOOKUP(MAX(-5,Strikeprice3-E126),Volsmile,2),0)),($A126-DateToday)+15,IF(Pricetype3=1,1,0),0))),E126)))</f>
        <v> </v>
      </c>
      <c r="O126" s="318" t="str">
        <f aca="false">IF($A126="N/A"," ",IF(Pricetype3=2,MAX(F126,0),IF(OR(Pricetype3=1,Pricetype3=4),IF(F126=0,0,(EURO(F126,Strikeprice3,0,0,($AK126+IF(Smile=TRUE(),VLOOKUP(MAX(-5,Strikeprice3-F126),Volsmile,2),0)),($A126-DateToday)+15,IF(Pricetype3=1,1,0),0))),F126)))</f>
        <v> </v>
      </c>
      <c r="P126" s="318" t="str">
        <f aca="false">IF($A126="N/A"," ",IF(Pricetype3=2,MAX(G126,0),IF(OR(Pricetype3=1,Pricetype3=4),IF(G126=0,0,(EURO(G126,Strikeprice3,0,0,($AK126+IF(Smile=TRUE(),VLOOKUP(MAX(-5,Strikeprice3-G126),Volsmile,2),0)),($A126-DateToday)+15,IF(Pricetype3=1,1,0),0))),G126)))</f>
        <v> </v>
      </c>
      <c r="Q126" s="318" t="str">
        <f aca="false">IF($A126="N/A"," ",IF(Pricetype3=2,MAX(H126,0),IF(OR(Pricetype3=1,Pricetype3=4),IF(H126=0,0,(EURO(H126,Strikeprice3,0,0,($AK126+IF(Smile=TRUE(),VLOOKUP(MAX(-5,Strikeprice3-H126),Volsmile,2),0)),($A126-DateToday)+15,IF(Pricetype3=1,1,0),0))),H126)))</f>
        <v> </v>
      </c>
      <c r="R126" s="318" t="str">
        <f aca="false">IF($A126="N/A"," ",IF(Pricetype3=2,MAX(I126,0),IF(OR(Pricetype3=1,Pricetype3=4),IF(I126=0,0,(EURO(I126,Strikeprice3,0,0,($AK126+IF(Smile=TRUE(),VLOOKUP(MAX(-5,Strikeprice3-I126),Volsmile,2),0)),($A126-DateToday)+15,IF(Pricetype3=1,1,0),0))),I126)))</f>
        <v> </v>
      </c>
      <c r="S126" s="318" t="str">
        <f aca="false">IF($A126="N/A"," ",IF(Pricetype3=2,MAX(J126,0),IF(OR(Pricetype3=1,Pricetype3=4),IF(J126=0,0,(EURO(J126,Strikeprice3,0,0,($AK126+IF(Smile=TRUE(),VLOOKUP(MAX(-5,Strikeprice3-J126),Volsmile,2),0)),($A126-DateToday)+15,IF(Pricetype3=1,1,0),0))),J126)))</f>
        <v> </v>
      </c>
      <c r="T126" s="318" t="str">
        <f aca="false">IF($A126="N/A"," ",IF(Pricetype3=2,MAX(K126,0),IF(OR(Pricetype3=1,Pricetype3=4),IF(K126=0,0,(EURO(K126,Strikeprice3,0,0,($AK126+IF(Smile=TRUE(),VLOOKUP(MAX(-5,Strikeprice3-K126),Volsmile,2),0)),($A126-DateToday)+15,IF(Pricetype3=1,1,0),0))),K126)))</f>
        <v> </v>
      </c>
      <c r="U126" s="319" t="str">
        <f aca="false">IF($A126="N/A"," ",Volume3*$AM126)</f>
        <v> </v>
      </c>
      <c r="V126" s="320" t="str">
        <f aca="false">IF($A126="N/A"," ",$U126*(8*($BQ126))*L126)</f>
        <v> </v>
      </c>
      <c r="W126" s="320" t="str">
        <f aca="false">IF($A126="N/A"," ",$U126*(8*($BQ126))*M126)</f>
        <v> </v>
      </c>
      <c r="X126" s="320" t="str">
        <f aca="false">IF($A126="N/A"," ",$U126*(8*($BQ126))*N126)</f>
        <v> </v>
      </c>
      <c r="Y126" s="320" t="str">
        <f aca="false">IF($A126="N/A"," ",$U126*(8*($BR126))*O126)</f>
        <v> </v>
      </c>
      <c r="Z126" s="320" t="str">
        <f aca="false">IF($A126="N/A"," ",$U126*(8*($BR126))*P126)</f>
        <v> </v>
      </c>
      <c r="AA126" s="320" t="str">
        <f aca="false">IF($A126="N/A"," ",$U126*(8*($BR126))*Q126)</f>
        <v> </v>
      </c>
      <c r="AB126" s="320" t="str">
        <f aca="false">IF($A126="N/A"," ",$U126*(8*($BS126))*R126)</f>
        <v> </v>
      </c>
      <c r="AC126" s="320" t="str">
        <f aca="false">IF($A126="N/A"," ",$U126*(8*($BS126))*S126)</f>
        <v> </v>
      </c>
      <c r="AD126" s="320" t="str">
        <f aca="false">IF($A126="N/A"," ",$U126*(8*($BS126))*T126)</f>
        <v> </v>
      </c>
      <c r="AE126" s="320" t="str">
        <f aca="false">IF($A126="N/A"," ",SUM(V126:AD126))</f>
        <v> </v>
      </c>
      <c r="AF126" s="321" t="str">
        <f aca="false">IF(A126="N/A"," ",(VLOOKUP(A126,PowerVolTable,(IF(VolBMO3=2,7,IF(VolBMO3=1,6,8))),FALSE())))</f>
        <v> </v>
      </c>
      <c r="AG126" s="321" t="str">
        <f aca="false">IF(A126="N/A"," ",(VLOOKUP(A126,IntraPowerVol,(IF(VolBMO3=2,3,IF(VolBMO3=1,2,4))),FALSE())*VLOOKUP(MONTH($A126),Volscale,2)))</f>
        <v> </v>
      </c>
      <c r="AH126" s="321" t="str">
        <f aca="false">IF($A126="N/A"," ",IF(VolType3=1,AG126,AF126))</f>
        <v> </v>
      </c>
      <c r="AI126" s="321" t="str">
        <f aca="false">IF($A126="N/A"," ",(VLOOKUP($A126,OffPwrVolTable,(IF(VolBMO3=2,7,IF(VolBMO3=1,6,8))),FALSE())))</f>
        <v> </v>
      </c>
      <c r="AJ126" s="321" t="str">
        <f aca="false">IF($A126="N/A"," ",(VLOOKUP($A126,OffPwrVolTable,(IF(VolBMO3=2,3,IF(VolBMO3=1,2,4))),FALSE())*VLOOKUP(MONTH($A126),Volscale,2)))</f>
        <v> </v>
      </c>
      <c r="AK126" s="321" t="str">
        <f aca="false">IF($A126="N/A"," ",IF(VolType3=1,AJ126,AI126))</f>
        <v> </v>
      </c>
      <c r="AL126" s="321" t="str">
        <f aca="false">IF($A126="N/A"," ",IF(PV=1,0,'Pricing Inputs3'!R159))</f>
        <v> </v>
      </c>
      <c r="AM126" s="323" t="str">
        <f aca="false">IF($A126="N/A"," ",(1+AL126/2)^(-2*((EOMONTH(A126,0)+20)-DateToday)/365.25))</f>
        <v> </v>
      </c>
      <c r="BQ126" s="0" t="str">
        <f aca="false">IF($A126="N/A"," ",(VLOOKUP($A126,NumberofDaysTable,2)))</f>
        <v> </v>
      </c>
      <c r="BR126" s="0" t="str">
        <f aca="false">IF($A126="N/A"," ",(VLOOKUP($A126,NumberofDaysTable,3)))</f>
        <v> </v>
      </c>
      <c r="BS126" s="0" t="str">
        <f aca="false">IF($A126="N/A"," ",(VLOOKUP($A126,NumberofDaysTable,4)))</f>
        <v> </v>
      </c>
    </row>
    <row r="127" customFormat="false" ht="12.75" hidden="false" customHeight="false" outlineLevel="0" collapsed="false">
      <c r="A127" s="315" t="str">
        <f aca="false">IF(A126="N/A","N/A",IF(EDATE(A126,1)&gt;Inputs!$Q$5,"N/A",EDATE(A126,1)))</f>
        <v>N/A</v>
      </c>
      <c r="B127" s="316" t="str">
        <f aca="false">IF(A127="N/A"," ",YEAR(A127))</f>
        <v> </v>
      </c>
      <c r="C127" s="317" t="str">
        <f aca="false">IF($A127="N/A"," ",IF(Dayrun3=10,0,IF(Scaler3=1,(VLOOKUP(A127,ScaledPrice3,4)),(VLOOKUP(A127,ScaledPrice3,2)))))</f>
        <v> </v>
      </c>
      <c r="D127" s="317" t="str">
        <f aca="false">IF(A127="N/A"," ",IF(Dayrun3&gt;=7,0,IF(Scaler3=2,VLOOKUP(A127,ScaledPrice3,2),(VLOOKUP(A127,ScaledPrice3,2))*(2-(VLOOKUP(A127,ScaledPrice3,3))))))</f>
        <v> </v>
      </c>
      <c r="E127" s="317" t="str">
        <f aca="false">IF($A127="N/A"," ",IF(AND(Dayrun3&gt;=4,Dayrun3&lt;=9),0,VLOOKUP($A127,ScaledPrice3,9)))</f>
        <v> </v>
      </c>
      <c r="F127" s="317" t="str">
        <f aca="false">IF(A127="N/A"," ",IF(OR(Dayrun3=2,Dayrun3=3,Dayrun3=5,Dayrun3=6,Dayrun3=8,Dayrun3=9),VLOOKUP(A127,ScaledPrice3,IF(Scaler3=1,6,5)),0))</f>
        <v> </v>
      </c>
      <c r="G127" s="317" t="str">
        <f aca="false">IF(A127="N/A"," ",IF(OR(Dayrun3=2,Dayrun3=3,Dayrun3=5,Dayrun3=6),IF(Scaler3=2,F127,(VLOOKUP(A127,ScaledPrice3,5))*(2-(VLOOKUP(A127,ScaledPrice3,3)))),0))</f>
        <v> </v>
      </c>
      <c r="H127" s="317" t="str">
        <f aca="false">IF($A127="N/A"," ",IF(OR(Dayrun3=2,Dayrun3=3,Dayrun3=10),VLOOKUP($A127,ScaledPrice3,9),0))</f>
        <v> </v>
      </c>
      <c r="I127" s="317" t="str">
        <f aca="false">IF(A127="N/A"," ",IF(OR(Dayrun3=3,Dayrun3=6,Dayrun3=9),(VLOOKUP(A127,ScaledPrice3,IF(Scaler3=2,7,8))),0))</f>
        <v> </v>
      </c>
      <c r="J127" s="317" t="str">
        <f aca="false">IF(A127="N/A"," ",IF(OR(Dayrun3=3,Dayrun3=6),IF(Scaler3=2,I127,(VLOOKUP(A127,ScaledPrice3,7))*(2-(VLOOKUP(A127,ScaledPrice3,3)))),0))</f>
        <v> </v>
      </c>
      <c r="K127" s="317" t="str">
        <f aca="false">IF($A127="N/A"," ",IF(OR(Dayrun3=3,Dayrun3=10),VLOOKUP($A127,ScaledPrice3,9),0))</f>
        <v> </v>
      </c>
      <c r="L127" s="318" t="str">
        <f aca="false">IF($A127="N/A"," ",IF(Pricetype3=2,MAX(C127,0),IF(OR(Pricetype3=1,Pricetype3=4),IF(C127=0,0,(EURO(C127,Strikeprice3,0,0,($AH127+IF(Smile=TRUE(),VLOOKUP(MAX(-5,Strikeprice3-C127),Volsmile,2),0)),($A127-DateToday)+15,IF(Pricetype3=1,1,0),0))),C127)))</f>
        <v> </v>
      </c>
      <c r="M127" s="318" t="str">
        <f aca="false">IF($A127="N/A"," ",IF(Pricetype3=2,MAX(D127,0),IF(OR(Pricetype3=1,Pricetype3=4),IF(D127=0,0,(EURO(D127,Strikeprice3,0,0,($AH127+IF(Smile=TRUE(),VLOOKUP(MAX(-5,Strikeprice3-D127),Volsmile,2),0)),($A127-DateToday)+15,IF(Pricetype3=1,1,0),0))),D127)))</f>
        <v> </v>
      </c>
      <c r="N127" s="318" t="str">
        <f aca="false">IF($A127="N/A"," ",IF(Pricetype3=2,MAX(E127,0),IF(OR(Pricetype3=1,Pricetype3=4),IF(E127=0,0,(EURO(E127,Strikeprice3,0,0,($AK127+IF(Smile=TRUE(),VLOOKUP(MAX(-5,Strikeprice3-E127),Volsmile,2),0)),($A127-DateToday)+15,IF(Pricetype3=1,1,0),0))),E127)))</f>
        <v> </v>
      </c>
      <c r="O127" s="318" t="str">
        <f aca="false">IF($A127="N/A"," ",IF(Pricetype3=2,MAX(F127,0),IF(OR(Pricetype3=1,Pricetype3=4),IF(F127=0,0,(EURO(F127,Strikeprice3,0,0,($AK127+IF(Smile=TRUE(),VLOOKUP(MAX(-5,Strikeprice3-F127),Volsmile,2),0)),($A127-DateToday)+15,IF(Pricetype3=1,1,0),0))),F127)))</f>
        <v> </v>
      </c>
      <c r="P127" s="318" t="str">
        <f aca="false">IF($A127="N/A"," ",IF(Pricetype3=2,MAX(G127,0),IF(OR(Pricetype3=1,Pricetype3=4),IF(G127=0,0,(EURO(G127,Strikeprice3,0,0,($AK127+IF(Smile=TRUE(),VLOOKUP(MAX(-5,Strikeprice3-G127),Volsmile,2),0)),($A127-DateToday)+15,IF(Pricetype3=1,1,0),0))),G127)))</f>
        <v> </v>
      </c>
      <c r="Q127" s="318" t="str">
        <f aca="false">IF($A127="N/A"," ",IF(Pricetype3=2,MAX(H127,0),IF(OR(Pricetype3=1,Pricetype3=4),IF(H127=0,0,(EURO(H127,Strikeprice3,0,0,($AK127+IF(Smile=TRUE(),VLOOKUP(MAX(-5,Strikeprice3-H127),Volsmile,2),0)),($A127-DateToday)+15,IF(Pricetype3=1,1,0),0))),H127)))</f>
        <v> </v>
      </c>
      <c r="R127" s="318" t="str">
        <f aca="false">IF($A127="N/A"," ",IF(Pricetype3=2,MAX(I127,0),IF(OR(Pricetype3=1,Pricetype3=4),IF(I127=0,0,(EURO(I127,Strikeprice3,0,0,($AK127+IF(Smile=TRUE(),VLOOKUP(MAX(-5,Strikeprice3-I127),Volsmile,2),0)),($A127-DateToday)+15,IF(Pricetype3=1,1,0),0))),I127)))</f>
        <v> </v>
      </c>
      <c r="S127" s="318" t="str">
        <f aca="false">IF($A127="N/A"," ",IF(Pricetype3=2,MAX(J127,0),IF(OR(Pricetype3=1,Pricetype3=4),IF(J127=0,0,(EURO(J127,Strikeprice3,0,0,($AK127+IF(Smile=TRUE(),VLOOKUP(MAX(-5,Strikeprice3-J127),Volsmile,2),0)),($A127-DateToday)+15,IF(Pricetype3=1,1,0),0))),J127)))</f>
        <v> </v>
      </c>
      <c r="T127" s="318" t="str">
        <f aca="false">IF($A127="N/A"," ",IF(Pricetype3=2,MAX(K127,0),IF(OR(Pricetype3=1,Pricetype3=4),IF(K127=0,0,(EURO(K127,Strikeprice3,0,0,($AK127+IF(Smile=TRUE(),VLOOKUP(MAX(-5,Strikeprice3-K127),Volsmile,2),0)),($A127-DateToday)+15,IF(Pricetype3=1,1,0),0))),K127)))</f>
        <v> </v>
      </c>
      <c r="U127" s="319" t="str">
        <f aca="false">IF($A127="N/A"," ",Volume3*$AM127)</f>
        <v> </v>
      </c>
      <c r="V127" s="320" t="str">
        <f aca="false">IF($A127="N/A"," ",$U127*(8*($BQ127))*L127)</f>
        <v> </v>
      </c>
      <c r="W127" s="320" t="str">
        <f aca="false">IF($A127="N/A"," ",$U127*(8*($BQ127))*M127)</f>
        <v> </v>
      </c>
      <c r="X127" s="320" t="str">
        <f aca="false">IF($A127="N/A"," ",$U127*(8*($BQ127))*N127)</f>
        <v> </v>
      </c>
      <c r="Y127" s="320" t="str">
        <f aca="false">IF($A127="N/A"," ",$U127*(8*($BR127))*O127)</f>
        <v> </v>
      </c>
      <c r="Z127" s="320" t="str">
        <f aca="false">IF($A127="N/A"," ",$U127*(8*($BR127))*P127)</f>
        <v> </v>
      </c>
      <c r="AA127" s="320" t="str">
        <f aca="false">IF($A127="N/A"," ",$U127*(8*($BR127))*Q127)</f>
        <v> </v>
      </c>
      <c r="AB127" s="320" t="str">
        <f aca="false">IF($A127="N/A"," ",$U127*(8*($BS127))*R127)</f>
        <v> </v>
      </c>
      <c r="AC127" s="320" t="str">
        <f aca="false">IF($A127="N/A"," ",$U127*(8*($BS127))*S127)</f>
        <v> </v>
      </c>
      <c r="AD127" s="320" t="str">
        <f aca="false">IF($A127="N/A"," ",$U127*(8*($BS127))*T127)</f>
        <v> </v>
      </c>
      <c r="AE127" s="320" t="str">
        <f aca="false">IF($A127="N/A"," ",SUM(V127:AD127))</f>
        <v> </v>
      </c>
      <c r="AF127" s="321" t="str">
        <f aca="false">IF(A127="N/A"," ",(VLOOKUP(A127,PowerVolTable,(IF(VolBMO3=2,7,IF(VolBMO3=1,6,8))),FALSE())))</f>
        <v> </v>
      </c>
      <c r="AG127" s="321" t="str">
        <f aca="false">IF(A127="N/A"," ",(VLOOKUP(A127,IntraPowerVol,(IF(VolBMO3=2,3,IF(VolBMO3=1,2,4))),FALSE())*VLOOKUP(MONTH($A127),Volscale,2)))</f>
        <v> </v>
      </c>
      <c r="AH127" s="321" t="str">
        <f aca="false">IF($A127="N/A"," ",IF(VolType3=1,AG127,AF127))</f>
        <v> </v>
      </c>
      <c r="AI127" s="321" t="str">
        <f aca="false">IF($A127="N/A"," ",(VLOOKUP($A127,OffPwrVolTable,(IF(VolBMO3=2,7,IF(VolBMO3=1,6,8))),FALSE())))</f>
        <v> </v>
      </c>
      <c r="AJ127" s="321" t="str">
        <f aca="false">IF($A127="N/A"," ",(VLOOKUP($A127,OffPwrVolTable,(IF(VolBMO3=2,3,IF(VolBMO3=1,2,4))),FALSE())*VLOOKUP(MONTH($A127),Volscale,2)))</f>
        <v> </v>
      </c>
      <c r="AK127" s="321" t="str">
        <f aca="false">IF($A127="N/A"," ",IF(VolType3=1,AJ127,AI127))</f>
        <v> </v>
      </c>
      <c r="AL127" s="321" t="str">
        <f aca="false">IF($A127="N/A"," ",IF(PV=1,0,'Pricing Inputs3'!R160))</f>
        <v> </v>
      </c>
      <c r="AM127" s="323" t="str">
        <f aca="false">IF($A127="N/A"," ",(1+AL127/2)^(-2*((EOMONTH(A127,0)+20)-DateToday)/365.25))</f>
        <v> </v>
      </c>
      <c r="BQ127" s="0" t="str">
        <f aca="false">IF($A127="N/A"," ",(VLOOKUP($A127,NumberofDaysTable,2)))</f>
        <v> </v>
      </c>
      <c r="BR127" s="0" t="str">
        <f aca="false">IF($A127="N/A"," ",(VLOOKUP($A127,NumberofDaysTable,3)))</f>
        <v> </v>
      </c>
      <c r="BS127" s="0" t="str">
        <f aca="false">IF($A127="N/A"," ",(VLOOKUP($A127,NumberofDaysTable,4)))</f>
        <v> </v>
      </c>
    </row>
    <row r="128" customFormat="false" ht="12.75" hidden="false" customHeight="false" outlineLevel="0" collapsed="false">
      <c r="A128" s="315" t="str">
        <f aca="false">IF(A127="N/A","N/A",IF(EDATE(A127,1)&gt;Inputs!$Q$5,"N/A",EDATE(A127,1)))</f>
        <v>N/A</v>
      </c>
      <c r="B128" s="316" t="str">
        <f aca="false">IF(A128="N/A"," ",YEAR(A128))</f>
        <v> </v>
      </c>
      <c r="C128" s="317" t="str">
        <f aca="false">IF($A128="N/A"," ",IF(Dayrun3=10,0,IF(Scaler3=1,(VLOOKUP(A128,ScaledPrice3,4)),(VLOOKUP(A128,ScaledPrice3,2)))))</f>
        <v> </v>
      </c>
      <c r="D128" s="317" t="str">
        <f aca="false">IF(A128="N/A"," ",IF(Dayrun3&gt;=7,0,IF(Scaler3=2,VLOOKUP(A128,ScaledPrice3,2),(VLOOKUP(A128,ScaledPrice3,2))*(2-(VLOOKUP(A128,ScaledPrice3,3))))))</f>
        <v> </v>
      </c>
      <c r="E128" s="317" t="str">
        <f aca="false">IF($A128="N/A"," ",IF(AND(Dayrun3&gt;=4,Dayrun3&lt;=9),0,VLOOKUP($A128,ScaledPrice3,9)))</f>
        <v> </v>
      </c>
      <c r="F128" s="317" t="str">
        <f aca="false">IF(A128="N/A"," ",IF(OR(Dayrun3=2,Dayrun3=3,Dayrun3=5,Dayrun3=6,Dayrun3=8,Dayrun3=9),VLOOKUP(A128,ScaledPrice3,IF(Scaler3=1,6,5)),0))</f>
        <v> </v>
      </c>
      <c r="G128" s="317" t="str">
        <f aca="false">IF(A128="N/A"," ",IF(OR(Dayrun3=2,Dayrun3=3,Dayrun3=5,Dayrun3=6),IF(Scaler3=2,F128,(VLOOKUP(A128,ScaledPrice3,5))*(2-(VLOOKUP(A128,ScaledPrice3,3)))),0))</f>
        <v> </v>
      </c>
      <c r="H128" s="317" t="str">
        <f aca="false">IF($A128="N/A"," ",IF(OR(Dayrun3=2,Dayrun3=3,Dayrun3=10),VLOOKUP($A128,ScaledPrice3,9),0))</f>
        <v> </v>
      </c>
      <c r="I128" s="317" t="str">
        <f aca="false">IF(A128="N/A"," ",IF(OR(Dayrun3=3,Dayrun3=6,Dayrun3=9),(VLOOKUP(A128,ScaledPrice3,IF(Scaler3=2,7,8))),0))</f>
        <v> </v>
      </c>
      <c r="J128" s="317" t="str">
        <f aca="false">IF(A128="N/A"," ",IF(OR(Dayrun3=3,Dayrun3=6),IF(Scaler3=2,I128,(VLOOKUP(A128,ScaledPrice3,7))*(2-(VLOOKUP(A128,ScaledPrice3,3)))),0))</f>
        <v> </v>
      </c>
      <c r="K128" s="317" t="str">
        <f aca="false">IF($A128="N/A"," ",IF(OR(Dayrun3=3,Dayrun3=10),VLOOKUP($A128,ScaledPrice3,9),0))</f>
        <v> </v>
      </c>
      <c r="L128" s="318" t="str">
        <f aca="false">IF($A128="N/A"," ",IF(Pricetype3=2,MAX(C128,0),IF(OR(Pricetype3=1,Pricetype3=4),IF(C128=0,0,(EURO(C128,Strikeprice3,0,0,($AH128+IF(Smile=TRUE(),VLOOKUP(MAX(-5,Strikeprice3-C128),Volsmile,2),0)),($A128-DateToday)+15,IF(Pricetype3=1,1,0),0))),C128)))</f>
        <v> </v>
      </c>
      <c r="M128" s="318" t="str">
        <f aca="false">IF($A128="N/A"," ",IF(Pricetype3=2,MAX(D128,0),IF(OR(Pricetype3=1,Pricetype3=4),IF(D128=0,0,(EURO(D128,Strikeprice3,0,0,($AH128+IF(Smile=TRUE(),VLOOKUP(MAX(-5,Strikeprice3-D128),Volsmile,2),0)),($A128-DateToday)+15,IF(Pricetype3=1,1,0),0))),D128)))</f>
        <v> </v>
      </c>
      <c r="N128" s="318" t="str">
        <f aca="false">IF($A128="N/A"," ",IF(Pricetype3=2,MAX(E128,0),IF(OR(Pricetype3=1,Pricetype3=4),IF(E128=0,0,(EURO(E128,Strikeprice3,0,0,($AK128+IF(Smile=TRUE(),VLOOKUP(MAX(-5,Strikeprice3-E128),Volsmile,2),0)),($A128-DateToday)+15,IF(Pricetype3=1,1,0),0))),E128)))</f>
        <v> </v>
      </c>
      <c r="O128" s="318" t="str">
        <f aca="false">IF($A128="N/A"," ",IF(Pricetype3=2,MAX(F128,0),IF(OR(Pricetype3=1,Pricetype3=4),IF(F128=0,0,(EURO(F128,Strikeprice3,0,0,($AK128+IF(Smile=TRUE(),VLOOKUP(MAX(-5,Strikeprice3-F128),Volsmile,2),0)),($A128-DateToday)+15,IF(Pricetype3=1,1,0),0))),F128)))</f>
        <v> </v>
      </c>
      <c r="P128" s="318" t="str">
        <f aca="false">IF($A128="N/A"," ",IF(Pricetype3=2,MAX(G128,0),IF(OR(Pricetype3=1,Pricetype3=4),IF(G128=0,0,(EURO(G128,Strikeprice3,0,0,($AK128+IF(Smile=TRUE(),VLOOKUP(MAX(-5,Strikeprice3-G128),Volsmile,2),0)),($A128-DateToday)+15,IF(Pricetype3=1,1,0),0))),G128)))</f>
        <v> </v>
      </c>
      <c r="Q128" s="318" t="str">
        <f aca="false">IF($A128="N/A"," ",IF(Pricetype3=2,MAX(H128,0),IF(OR(Pricetype3=1,Pricetype3=4),IF(H128=0,0,(EURO(H128,Strikeprice3,0,0,($AK128+IF(Smile=TRUE(),VLOOKUP(MAX(-5,Strikeprice3-H128),Volsmile,2),0)),($A128-DateToday)+15,IF(Pricetype3=1,1,0),0))),H128)))</f>
        <v> </v>
      </c>
      <c r="R128" s="318" t="str">
        <f aca="false">IF($A128="N/A"," ",IF(Pricetype3=2,MAX(I128,0),IF(OR(Pricetype3=1,Pricetype3=4),IF(I128=0,0,(EURO(I128,Strikeprice3,0,0,($AK128+IF(Smile=TRUE(),VLOOKUP(MAX(-5,Strikeprice3-I128),Volsmile,2),0)),($A128-DateToday)+15,IF(Pricetype3=1,1,0),0))),I128)))</f>
        <v> </v>
      </c>
      <c r="S128" s="318" t="str">
        <f aca="false">IF($A128="N/A"," ",IF(Pricetype3=2,MAX(J128,0),IF(OR(Pricetype3=1,Pricetype3=4),IF(J128=0,0,(EURO(J128,Strikeprice3,0,0,($AK128+IF(Smile=TRUE(),VLOOKUP(MAX(-5,Strikeprice3-J128),Volsmile,2),0)),($A128-DateToday)+15,IF(Pricetype3=1,1,0),0))),J128)))</f>
        <v> </v>
      </c>
      <c r="T128" s="318" t="str">
        <f aca="false">IF($A128="N/A"," ",IF(Pricetype3=2,MAX(K128,0),IF(OR(Pricetype3=1,Pricetype3=4),IF(K128=0,0,(EURO(K128,Strikeprice3,0,0,($AK128+IF(Smile=TRUE(),VLOOKUP(MAX(-5,Strikeprice3-K128),Volsmile,2),0)),($A128-DateToday)+15,IF(Pricetype3=1,1,0),0))),K128)))</f>
        <v> </v>
      </c>
      <c r="U128" s="319" t="str">
        <f aca="false">IF($A128="N/A"," ",Volume3*$AM128)</f>
        <v> </v>
      </c>
      <c r="V128" s="320" t="str">
        <f aca="false">IF($A128="N/A"," ",$U128*(8*($BQ128))*L128)</f>
        <v> </v>
      </c>
      <c r="W128" s="320" t="str">
        <f aca="false">IF($A128="N/A"," ",$U128*(8*($BQ128))*M128)</f>
        <v> </v>
      </c>
      <c r="X128" s="320" t="str">
        <f aca="false">IF($A128="N/A"," ",$U128*(8*($BQ128))*N128)</f>
        <v> </v>
      </c>
      <c r="Y128" s="320" t="str">
        <f aca="false">IF($A128="N/A"," ",$U128*(8*($BR128))*O128)</f>
        <v> </v>
      </c>
      <c r="Z128" s="320" t="str">
        <f aca="false">IF($A128="N/A"," ",$U128*(8*($BR128))*P128)</f>
        <v> </v>
      </c>
      <c r="AA128" s="320" t="str">
        <f aca="false">IF($A128="N/A"," ",$U128*(8*($BR128))*Q128)</f>
        <v> </v>
      </c>
      <c r="AB128" s="320" t="str">
        <f aca="false">IF($A128="N/A"," ",$U128*(8*($BS128))*R128)</f>
        <v> </v>
      </c>
      <c r="AC128" s="320" t="str">
        <f aca="false">IF($A128="N/A"," ",$U128*(8*($BS128))*S128)</f>
        <v> </v>
      </c>
      <c r="AD128" s="320" t="str">
        <f aca="false">IF($A128="N/A"," ",$U128*(8*($BS128))*T128)</f>
        <v> </v>
      </c>
      <c r="AE128" s="320" t="str">
        <f aca="false">IF($A128="N/A"," ",SUM(V128:AD128))</f>
        <v> </v>
      </c>
      <c r="AF128" s="321" t="str">
        <f aca="false">IF(A128="N/A"," ",(VLOOKUP(A128,PowerVolTable,(IF(VolBMO3=2,7,IF(VolBMO3=1,6,8))),FALSE())))</f>
        <v> </v>
      </c>
      <c r="AG128" s="321" t="str">
        <f aca="false">IF(A128="N/A"," ",(VLOOKUP(A128,IntraPowerVol,(IF(VolBMO3=2,3,IF(VolBMO3=1,2,4))),FALSE())*VLOOKUP(MONTH($A128),Volscale,2)))</f>
        <v> </v>
      </c>
      <c r="AH128" s="321" t="str">
        <f aca="false">IF($A128="N/A"," ",IF(VolType3=1,AG128,AF128))</f>
        <v> </v>
      </c>
      <c r="AI128" s="321" t="str">
        <f aca="false">IF($A128="N/A"," ",(VLOOKUP($A128,OffPwrVolTable,(IF(VolBMO3=2,7,IF(VolBMO3=1,6,8))),FALSE())))</f>
        <v> </v>
      </c>
      <c r="AJ128" s="321" t="str">
        <f aca="false">IF($A128="N/A"," ",(VLOOKUP($A128,OffPwrVolTable,(IF(VolBMO3=2,3,IF(VolBMO3=1,2,4))),FALSE())*VLOOKUP(MONTH($A128),Volscale,2)))</f>
        <v> </v>
      </c>
      <c r="AK128" s="321" t="str">
        <f aca="false">IF($A128="N/A"," ",IF(VolType3=1,AJ128,AI128))</f>
        <v> </v>
      </c>
      <c r="AL128" s="321" t="str">
        <f aca="false">IF($A128="N/A"," ",IF(PV=1,0,'Pricing Inputs3'!R161))</f>
        <v> </v>
      </c>
      <c r="AM128" s="323" t="str">
        <f aca="false">IF($A128="N/A"," ",(1+AL128/2)^(-2*((EOMONTH(A128,0)+20)-DateToday)/365.25))</f>
        <v> </v>
      </c>
      <c r="BQ128" s="0" t="str">
        <f aca="false">IF($A128="N/A"," ",(VLOOKUP($A128,NumberofDaysTable,2)))</f>
        <v> </v>
      </c>
      <c r="BR128" s="0" t="str">
        <f aca="false">IF($A128="N/A"," ",(VLOOKUP($A128,NumberofDaysTable,3)))</f>
        <v> </v>
      </c>
      <c r="BS128" s="0" t="str">
        <f aca="false">IF($A128="N/A"," ",(VLOOKUP($A128,NumberofDaysTable,4)))</f>
        <v> </v>
      </c>
    </row>
    <row r="129" customFormat="false" ht="12.75" hidden="false" customHeight="false" outlineLevel="0" collapsed="false">
      <c r="A129" s="315" t="str">
        <f aca="false">IF(A128="N/A","N/A",IF(EDATE(A128,1)&gt;Inputs!$Q$5,"N/A",EDATE(A128,1)))</f>
        <v>N/A</v>
      </c>
      <c r="B129" s="316" t="str">
        <f aca="false">IF(A129="N/A"," ",YEAR(A129))</f>
        <v> </v>
      </c>
      <c r="C129" s="317" t="str">
        <f aca="false">IF($A129="N/A"," ",IF(Dayrun3=10,0,IF(Scaler3=1,(VLOOKUP(A129,ScaledPrice3,4)),(VLOOKUP(A129,ScaledPrice3,2)))))</f>
        <v> </v>
      </c>
      <c r="D129" s="317" t="str">
        <f aca="false">IF(A129="N/A"," ",IF(Dayrun3&gt;=7,0,IF(Scaler3=2,VLOOKUP(A129,ScaledPrice3,2),(VLOOKUP(A129,ScaledPrice3,2))*(2-(VLOOKUP(A129,ScaledPrice3,3))))))</f>
        <v> </v>
      </c>
      <c r="E129" s="317" t="str">
        <f aca="false">IF($A129="N/A"," ",IF(AND(Dayrun3&gt;=4,Dayrun3&lt;=9),0,VLOOKUP($A129,ScaledPrice3,9)))</f>
        <v> </v>
      </c>
      <c r="F129" s="317" t="str">
        <f aca="false">IF(A129="N/A"," ",IF(OR(Dayrun3=2,Dayrun3=3,Dayrun3=5,Dayrun3=6,Dayrun3=8,Dayrun3=9),VLOOKUP(A129,ScaledPrice3,IF(Scaler3=1,6,5)),0))</f>
        <v> </v>
      </c>
      <c r="G129" s="317" t="str">
        <f aca="false">IF(A129="N/A"," ",IF(OR(Dayrun3=2,Dayrun3=3,Dayrun3=5,Dayrun3=6),IF(Scaler3=2,F129,(VLOOKUP(A129,ScaledPrice3,5))*(2-(VLOOKUP(A129,ScaledPrice3,3)))),0))</f>
        <v> </v>
      </c>
      <c r="H129" s="317" t="str">
        <f aca="false">IF($A129="N/A"," ",IF(OR(Dayrun3=2,Dayrun3=3,Dayrun3=10),VLOOKUP($A129,ScaledPrice3,9),0))</f>
        <v> </v>
      </c>
      <c r="I129" s="317" t="str">
        <f aca="false">IF(A129="N/A"," ",IF(OR(Dayrun3=3,Dayrun3=6,Dayrun3=9),(VLOOKUP(A129,ScaledPrice3,IF(Scaler3=2,7,8))),0))</f>
        <v> </v>
      </c>
      <c r="J129" s="317" t="str">
        <f aca="false">IF(A129="N/A"," ",IF(OR(Dayrun3=3,Dayrun3=6),IF(Scaler3=2,I129,(VLOOKUP(A129,ScaledPrice3,7))*(2-(VLOOKUP(A129,ScaledPrice3,3)))),0))</f>
        <v> </v>
      </c>
      <c r="K129" s="317" t="str">
        <f aca="false">IF($A129="N/A"," ",IF(OR(Dayrun3=3,Dayrun3=10),VLOOKUP($A129,ScaledPrice3,9),0))</f>
        <v> </v>
      </c>
      <c r="L129" s="318" t="str">
        <f aca="false">IF($A129="N/A"," ",IF(Pricetype3=2,MAX(C129,0),IF(OR(Pricetype3=1,Pricetype3=4),IF(C129=0,0,(EURO(C129,Strikeprice3,0,0,($AH129+IF(Smile=TRUE(),VLOOKUP(MAX(-5,Strikeprice3-C129),Volsmile,2),0)),($A129-DateToday)+15,IF(Pricetype3=1,1,0),0))),C129)))</f>
        <v> </v>
      </c>
      <c r="M129" s="318" t="str">
        <f aca="false">IF($A129="N/A"," ",IF(Pricetype3=2,MAX(D129,0),IF(OR(Pricetype3=1,Pricetype3=4),IF(D129=0,0,(EURO(D129,Strikeprice3,0,0,($AH129+IF(Smile=TRUE(),VLOOKUP(MAX(-5,Strikeprice3-D129),Volsmile,2),0)),($A129-DateToday)+15,IF(Pricetype3=1,1,0),0))),D129)))</f>
        <v> </v>
      </c>
      <c r="N129" s="318" t="str">
        <f aca="false">IF($A129="N/A"," ",IF(Pricetype3=2,MAX(E129,0),IF(OR(Pricetype3=1,Pricetype3=4),IF(E129=0,0,(EURO(E129,Strikeprice3,0,0,($AK129+IF(Smile=TRUE(),VLOOKUP(MAX(-5,Strikeprice3-E129),Volsmile,2),0)),($A129-DateToday)+15,IF(Pricetype3=1,1,0),0))),E129)))</f>
        <v> </v>
      </c>
      <c r="O129" s="318" t="str">
        <f aca="false">IF($A129="N/A"," ",IF(Pricetype3=2,MAX(F129,0),IF(OR(Pricetype3=1,Pricetype3=4),IF(F129=0,0,(EURO(F129,Strikeprice3,0,0,($AK129+IF(Smile=TRUE(),VLOOKUP(MAX(-5,Strikeprice3-F129),Volsmile,2),0)),($A129-DateToday)+15,IF(Pricetype3=1,1,0),0))),F129)))</f>
        <v> </v>
      </c>
      <c r="P129" s="318" t="str">
        <f aca="false">IF($A129="N/A"," ",IF(Pricetype3=2,MAX(G129,0),IF(OR(Pricetype3=1,Pricetype3=4),IF(G129=0,0,(EURO(G129,Strikeprice3,0,0,($AK129+IF(Smile=TRUE(),VLOOKUP(MAX(-5,Strikeprice3-G129),Volsmile,2),0)),($A129-DateToday)+15,IF(Pricetype3=1,1,0),0))),G129)))</f>
        <v> </v>
      </c>
      <c r="Q129" s="318" t="str">
        <f aca="false">IF($A129="N/A"," ",IF(Pricetype3=2,MAX(H129,0),IF(OR(Pricetype3=1,Pricetype3=4),IF(H129=0,0,(EURO(H129,Strikeprice3,0,0,($AK129+IF(Smile=TRUE(),VLOOKUP(MAX(-5,Strikeprice3-H129),Volsmile,2),0)),($A129-DateToday)+15,IF(Pricetype3=1,1,0),0))),H129)))</f>
        <v> </v>
      </c>
      <c r="R129" s="318" t="str">
        <f aca="false">IF($A129="N/A"," ",IF(Pricetype3=2,MAX(I129,0),IF(OR(Pricetype3=1,Pricetype3=4),IF(I129=0,0,(EURO(I129,Strikeprice3,0,0,($AK129+IF(Smile=TRUE(),VLOOKUP(MAX(-5,Strikeprice3-I129),Volsmile,2),0)),($A129-DateToday)+15,IF(Pricetype3=1,1,0),0))),I129)))</f>
        <v> </v>
      </c>
      <c r="S129" s="318" t="str">
        <f aca="false">IF($A129="N/A"," ",IF(Pricetype3=2,MAX(J129,0),IF(OR(Pricetype3=1,Pricetype3=4),IF(J129=0,0,(EURO(J129,Strikeprice3,0,0,($AK129+IF(Smile=TRUE(),VLOOKUP(MAX(-5,Strikeprice3-J129),Volsmile,2),0)),($A129-DateToday)+15,IF(Pricetype3=1,1,0),0))),J129)))</f>
        <v> </v>
      </c>
      <c r="T129" s="318" t="str">
        <f aca="false">IF($A129="N/A"," ",IF(Pricetype3=2,MAX(K129,0),IF(OR(Pricetype3=1,Pricetype3=4),IF(K129=0,0,(EURO(K129,Strikeprice3,0,0,($AK129+IF(Smile=TRUE(),VLOOKUP(MAX(-5,Strikeprice3-K129),Volsmile,2),0)),($A129-DateToday)+15,IF(Pricetype3=1,1,0),0))),K129)))</f>
        <v> </v>
      </c>
      <c r="U129" s="319" t="str">
        <f aca="false">IF($A129="N/A"," ",Volume3*$AM129)</f>
        <v> </v>
      </c>
      <c r="V129" s="320" t="str">
        <f aca="false">IF($A129="N/A"," ",$U129*(8*($BQ129))*L129)</f>
        <v> </v>
      </c>
      <c r="W129" s="320" t="str">
        <f aca="false">IF($A129="N/A"," ",$U129*(8*($BQ129))*M129)</f>
        <v> </v>
      </c>
      <c r="X129" s="320" t="str">
        <f aca="false">IF($A129="N/A"," ",$U129*(8*($BQ129))*N129)</f>
        <v> </v>
      </c>
      <c r="Y129" s="320" t="str">
        <f aca="false">IF($A129="N/A"," ",$U129*(8*($BR129))*O129)</f>
        <v> </v>
      </c>
      <c r="Z129" s="320" t="str">
        <f aca="false">IF($A129="N/A"," ",$U129*(8*($BR129))*P129)</f>
        <v> </v>
      </c>
      <c r="AA129" s="320" t="str">
        <f aca="false">IF($A129="N/A"," ",$U129*(8*($BR129))*Q129)</f>
        <v> </v>
      </c>
      <c r="AB129" s="320" t="str">
        <f aca="false">IF($A129="N/A"," ",$U129*(8*($BS129))*R129)</f>
        <v> </v>
      </c>
      <c r="AC129" s="320" t="str">
        <f aca="false">IF($A129="N/A"," ",$U129*(8*($BS129))*S129)</f>
        <v> </v>
      </c>
      <c r="AD129" s="320" t="str">
        <f aca="false">IF($A129="N/A"," ",$U129*(8*($BS129))*T129)</f>
        <v> </v>
      </c>
      <c r="AE129" s="320" t="str">
        <f aca="false">IF($A129="N/A"," ",SUM(V129:AD129))</f>
        <v> </v>
      </c>
      <c r="AF129" s="321" t="str">
        <f aca="false">IF(A129="N/A"," ",(VLOOKUP(A129,PowerVolTable,(IF(VolBMO3=2,7,IF(VolBMO3=1,6,8))),FALSE())))</f>
        <v> </v>
      </c>
      <c r="AG129" s="321" t="str">
        <f aca="false">IF(A129="N/A"," ",(VLOOKUP(A129,IntraPowerVol,(IF(VolBMO3=2,3,IF(VolBMO3=1,2,4))),FALSE())*VLOOKUP(MONTH($A129),Volscale,2)))</f>
        <v> </v>
      </c>
      <c r="AH129" s="321" t="str">
        <f aca="false">IF($A129="N/A"," ",IF(VolType3=1,AG129,AF129))</f>
        <v> </v>
      </c>
      <c r="AI129" s="321" t="str">
        <f aca="false">IF($A129="N/A"," ",(VLOOKUP($A129,OffPwrVolTable,(IF(VolBMO3=2,7,IF(VolBMO3=1,6,8))),FALSE())))</f>
        <v> </v>
      </c>
      <c r="AJ129" s="321" t="str">
        <f aca="false">IF($A129="N/A"," ",(VLOOKUP($A129,OffPwrVolTable,(IF(VolBMO3=2,3,IF(VolBMO3=1,2,4))),FALSE())*VLOOKUP(MONTH($A129),Volscale,2)))</f>
        <v> </v>
      </c>
      <c r="AK129" s="321" t="str">
        <f aca="false">IF($A129="N/A"," ",IF(VolType3=1,AJ129,AI129))</f>
        <v> </v>
      </c>
      <c r="AL129" s="321" t="str">
        <f aca="false">IF($A129="N/A"," ",IF(PV=1,0,'Pricing Inputs3'!R162))</f>
        <v> </v>
      </c>
      <c r="AM129" s="323" t="str">
        <f aca="false">IF($A129="N/A"," ",(1+AL129/2)^(-2*((EOMONTH(A129,0)+20)-DateToday)/365.25))</f>
        <v> </v>
      </c>
      <c r="BQ129" s="0" t="str">
        <f aca="false">IF($A129="N/A"," ",(VLOOKUP($A129,NumberofDaysTable,2)))</f>
        <v> </v>
      </c>
      <c r="BR129" s="0" t="str">
        <f aca="false">IF($A129="N/A"," ",(VLOOKUP($A129,NumberofDaysTable,3)))</f>
        <v> </v>
      </c>
      <c r="BS129" s="0" t="str">
        <f aca="false">IF($A129="N/A"," ",(VLOOKUP($A129,NumberofDaysTable,4)))</f>
        <v> </v>
      </c>
    </row>
    <row r="130" customFormat="false" ht="12.75" hidden="false" customHeight="false" outlineLevel="0" collapsed="false">
      <c r="A130" s="315" t="str">
        <f aca="false">IF(A129="N/A","N/A",IF(EDATE(A129,1)&gt;Inputs!$Q$5,"N/A",EDATE(A129,1)))</f>
        <v>N/A</v>
      </c>
      <c r="B130" s="316" t="str">
        <f aca="false">IF(A130="N/A"," ",YEAR(A130))</f>
        <v> </v>
      </c>
      <c r="C130" s="317" t="str">
        <f aca="false">IF($A130="N/A"," ",IF(Dayrun3=10,0,IF(Scaler3=1,(VLOOKUP(A130,ScaledPrice3,4)),(VLOOKUP(A130,ScaledPrice3,2)))))</f>
        <v> </v>
      </c>
      <c r="D130" s="317" t="str">
        <f aca="false">IF(A130="N/A"," ",IF(Dayrun3&gt;=7,0,IF(Scaler3=2,VLOOKUP(A130,ScaledPrice3,2),(VLOOKUP(A130,ScaledPrice3,2))*(2-(VLOOKUP(A130,ScaledPrice3,3))))))</f>
        <v> </v>
      </c>
      <c r="E130" s="317" t="str">
        <f aca="false">IF($A130="N/A"," ",IF(AND(Dayrun3&gt;=4,Dayrun3&lt;=9),0,VLOOKUP($A130,ScaledPrice3,9)))</f>
        <v> </v>
      </c>
      <c r="F130" s="317" t="str">
        <f aca="false">IF(A130="N/A"," ",IF(OR(Dayrun3=2,Dayrun3=3,Dayrun3=5,Dayrun3=6,Dayrun3=8,Dayrun3=9),VLOOKUP(A130,ScaledPrice3,IF(Scaler3=1,6,5)),0))</f>
        <v> </v>
      </c>
      <c r="G130" s="317" t="str">
        <f aca="false">IF(A130="N/A"," ",IF(OR(Dayrun3=2,Dayrun3=3,Dayrun3=5,Dayrun3=6),IF(Scaler3=2,F130,(VLOOKUP(A130,ScaledPrice3,5))*(2-(VLOOKUP(A130,ScaledPrice3,3)))),0))</f>
        <v> </v>
      </c>
      <c r="H130" s="317" t="str">
        <f aca="false">IF($A130="N/A"," ",IF(OR(Dayrun3=2,Dayrun3=3,Dayrun3=10),VLOOKUP($A130,ScaledPrice3,9),0))</f>
        <v> </v>
      </c>
      <c r="I130" s="317" t="str">
        <f aca="false">IF(A130="N/A"," ",IF(OR(Dayrun3=3,Dayrun3=6,Dayrun3=9),(VLOOKUP(A130,ScaledPrice3,IF(Scaler3=2,7,8))),0))</f>
        <v> </v>
      </c>
      <c r="J130" s="317" t="str">
        <f aca="false">IF(A130="N/A"," ",IF(OR(Dayrun3=3,Dayrun3=6),IF(Scaler3=2,I130,(VLOOKUP(A130,ScaledPrice3,7))*(2-(VLOOKUP(A130,ScaledPrice3,3)))),0))</f>
        <v> </v>
      </c>
      <c r="K130" s="317" t="str">
        <f aca="false">IF($A130="N/A"," ",IF(OR(Dayrun3=3,Dayrun3=10),VLOOKUP($A130,ScaledPrice3,9),0))</f>
        <v> </v>
      </c>
      <c r="L130" s="318" t="str">
        <f aca="false">IF($A130="N/A"," ",IF(Pricetype3=2,MAX(C130,0),IF(OR(Pricetype3=1,Pricetype3=4),IF(C130=0,0,(EURO(C130,Strikeprice3,0,0,($AH130+IF(Smile=TRUE(),VLOOKUP(MAX(-5,Strikeprice3-C130),Volsmile,2),0)),($A130-DateToday)+15,IF(Pricetype3=1,1,0),0))),C130)))</f>
        <v> </v>
      </c>
      <c r="M130" s="318" t="str">
        <f aca="false">IF($A130="N/A"," ",IF(Pricetype3=2,MAX(D130,0),IF(OR(Pricetype3=1,Pricetype3=4),IF(D130=0,0,(EURO(D130,Strikeprice3,0,0,($AH130+IF(Smile=TRUE(),VLOOKUP(MAX(-5,Strikeprice3-D130),Volsmile,2),0)),($A130-DateToday)+15,IF(Pricetype3=1,1,0),0))),D130)))</f>
        <v> </v>
      </c>
      <c r="N130" s="318" t="str">
        <f aca="false">IF($A130="N/A"," ",IF(Pricetype3=2,MAX(E130,0),IF(OR(Pricetype3=1,Pricetype3=4),IF(E130=0,0,(EURO(E130,Strikeprice3,0,0,($AK130+IF(Smile=TRUE(),VLOOKUP(MAX(-5,Strikeprice3-E130),Volsmile,2),0)),($A130-DateToday)+15,IF(Pricetype3=1,1,0),0))),E130)))</f>
        <v> </v>
      </c>
      <c r="O130" s="318" t="str">
        <f aca="false">IF($A130="N/A"," ",IF(Pricetype3=2,MAX(F130,0),IF(OR(Pricetype3=1,Pricetype3=4),IF(F130=0,0,(EURO(F130,Strikeprice3,0,0,($AK130+IF(Smile=TRUE(),VLOOKUP(MAX(-5,Strikeprice3-F130),Volsmile,2),0)),($A130-DateToday)+15,IF(Pricetype3=1,1,0),0))),F130)))</f>
        <v> </v>
      </c>
      <c r="P130" s="318" t="str">
        <f aca="false">IF($A130="N/A"," ",IF(Pricetype3=2,MAX(G130,0),IF(OR(Pricetype3=1,Pricetype3=4),IF(G130=0,0,(EURO(G130,Strikeprice3,0,0,($AK130+IF(Smile=TRUE(),VLOOKUP(MAX(-5,Strikeprice3-G130),Volsmile,2),0)),($A130-DateToday)+15,IF(Pricetype3=1,1,0),0))),G130)))</f>
        <v> </v>
      </c>
      <c r="Q130" s="318" t="str">
        <f aca="false">IF($A130="N/A"," ",IF(Pricetype3=2,MAX(H130,0),IF(OR(Pricetype3=1,Pricetype3=4),IF(H130=0,0,(EURO(H130,Strikeprice3,0,0,($AK130+IF(Smile=TRUE(),VLOOKUP(MAX(-5,Strikeprice3-H130),Volsmile,2),0)),($A130-DateToday)+15,IF(Pricetype3=1,1,0),0))),H130)))</f>
        <v> </v>
      </c>
      <c r="R130" s="318" t="str">
        <f aca="false">IF($A130="N/A"," ",IF(Pricetype3=2,MAX(I130,0),IF(OR(Pricetype3=1,Pricetype3=4),IF(I130=0,0,(EURO(I130,Strikeprice3,0,0,($AK130+IF(Smile=TRUE(),VLOOKUP(MAX(-5,Strikeprice3-I130),Volsmile,2),0)),($A130-DateToday)+15,IF(Pricetype3=1,1,0),0))),I130)))</f>
        <v> </v>
      </c>
      <c r="S130" s="318" t="str">
        <f aca="false">IF($A130="N/A"," ",IF(Pricetype3=2,MAX(J130,0),IF(OR(Pricetype3=1,Pricetype3=4),IF(J130=0,0,(EURO(J130,Strikeprice3,0,0,($AK130+IF(Smile=TRUE(),VLOOKUP(MAX(-5,Strikeprice3-J130),Volsmile,2),0)),($A130-DateToday)+15,IF(Pricetype3=1,1,0),0))),J130)))</f>
        <v> </v>
      </c>
      <c r="T130" s="318" t="str">
        <f aca="false">IF($A130="N/A"," ",IF(Pricetype3=2,MAX(K130,0),IF(OR(Pricetype3=1,Pricetype3=4),IF(K130=0,0,(EURO(K130,Strikeprice3,0,0,($AK130+IF(Smile=TRUE(),VLOOKUP(MAX(-5,Strikeprice3-K130),Volsmile,2),0)),($A130-DateToday)+15,IF(Pricetype3=1,1,0),0))),K130)))</f>
        <v> </v>
      </c>
      <c r="U130" s="319" t="str">
        <f aca="false">IF($A130="N/A"," ",Volume3*$AM130)</f>
        <v> </v>
      </c>
      <c r="V130" s="320" t="str">
        <f aca="false">IF($A130="N/A"," ",$U130*(8*($BQ130))*L130)</f>
        <v> </v>
      </c>
      <c r="W130" s="320" t="str">
        <f aca="false">IF($A130="N/A"," ",$U130*(8*($BQ130))*M130)</f>
        <v> </v>
      </c>
      <c r="X130" s="320" t="str">
        <f aca="false">IF($A130="N/A"," ",$U130*(8*($BQ130))*N130)</f>
        <v> </v>
      </c>
      <c r="Y130" s="320" t="str">
        <f aca="false">IF($A130="N/A"," ",$U130*(8*($BR130))*O130)</f>
        <v> </v>
      </c>
      <c r="Z130" s="320" t="str">
        <f aca="false">IF($A130="N/A"," ",$U130*(8*($BR130))*P130)</f>
        <v> </v>
      </c>
      <c r="AA130" s="320" t="str">
        <f aca="false">IF($A130="N/A"," ",$U130*(8*($BR130))*Q130)</f>
        <v> </v>
      </c>
      <c r="AB130" s="320" t="str">
        <f aca="false">IF($A130="N/A"," ",$U130*(8*($BS130))*R130)</f>
        <v> </v>
      </c>
      <c r="AC130" s="320" t="str">
        <f aca="false">IF($A130="N/A"," ",$U130*(8*($BS130))*S130)</f>
        <v> </v>
      </c>
      <c r="AD130" s="320" t="str">
        <f aca="false">IF($A130="N/A"," ",$U130*(8*($BS130))*T130)</f>
        <v> </v>
      </c>
      <c r="AE130" s="320" t="str">
        <f aca="false">IF($A130="N/A"," ",SUM(V130:AD130))</f>
        <v> </v>
      </c>
      <c r="AF130" s="321" t="str">
        <f aca="false">IF(A130="N/A"," ",(VLOOKUP(A130,PowerVolTable,(IF(VolBMO3=2,7,IF(VolBMO3=1,6,8))),FALSE())))</f>
        <v> </v>
      </c>
      <c r="AG130" s="321" t="str">
        <f aca="false">IF(A130="N/A"," ",(VLOOKUP(A130,IntraPowerVol,(IF(VolBMO3=2,3,IF(VolBMO3=1,2,4))),FALSE())*VLOOKUP(MONTH($A130),Volscale,2)))</f>
        <v> </v>
      </c>
      <c r="AH130" s="321" t="str">
        <f aca="false">IF($A130="N/A"," ",IF(VolType3=1,AG130,AF130))</f>
        <v> </v>
      </c>
      <c r="AI130" s="321" t="str">
        <f aca="false">IF($A130="N/A"," ",(VLOOKUP($A130,OffPwrVolTable,(IF(VolBMO3=2,7,IF(VolBMO3=1,6,8))),FALSE())))</f>
        <v> </v>
      </c>
      <c r="AJ130" s="321" t="str">
        <f aca="false">IF($A130="N/A"," ",(VLOOKUP($A130,OffPwrVolTable,(IF(VolBMO3=2,3,IF(VolBMO3=1,2,4))),FALSE())*VLOOKUP(MONTH($A130),Volscale,2)))</f>
        <v> </v>
      </c>
      <c r="AK130" s="321" t="str">
        <f aca="false">IF($A130="N/A"," ",IF(VolType3=1,AJ130,AI130))</f>
        <v> </v>
      </c>
      <c r="AL130" s="321" t="str">
        <f aca="false">IF($A130="N/A"," ",IF(PV=1,0,'Pricing Inputs3'!R163))</f>
        <v> </v>
      </c>
      <c r="AM130" s="323" t="str">
        <f aca="false">IF($A130="N/A"," ",(1+AL130/2)^(-2*((EOMONTH(A130,0)+20)-DateToday)/365.25))</f>
        <v> </v>
      </c>
      <c r="BQ130" s="0" t="str">
        <f aca="false">IF($A130="N/A"," ",(VLOOKUP($A130,NumberofDaysTable,2)))</f>
        <v> </v>
      </c>
      <c r="BR130" s="0" t="str">
        <f aca="false">IF($A130="N/A"," ",(VLOOKUP($A130,NumberofDaysTable,3)))</f>
        <v> </v>
      </c>
      <c r="BS130" s="0" t="str">
        <f aca="false">IF($A130="N/A"," ",(VLOOKUP($A130,NumberofDaysTable,4)))</f>
        <v> </v>
      </c>
    </row>
    <row r="131" customFormat="false" ht="12.75" hidden="false" customHeight="false" outlineLevel="0" collapsed="false">
      <c r="A131" s="315" t="str">
        <f aca="false">IF(A130="N/A","N/A",IF(EDATE(A130,1)&gt;Inputs!$Q$5,"N/A",EDATE(A130,1)))</f>
        <v>N/A</v>
      </c>
      <c r="B131" s="316" t="str">
        <f aca="false">IF(A131="N/A"," ",YEAR(A131))</f>
        <v> </v>
      </c>
      <c r="C131" s="317" t="str">
        <f aca="false">IF($A131="N/A"," ",IF(Dayrun3=10,0,IF(Scaler3=1,(VLOOKUP(A131,ScaledPrice3,4)),(VLOOKUP(A131,ScaledPrice3,2)))))</f>
        <v> </v>
      </c>
      <c r="D131" s="317" t="str">
        <f aca="false">IF(A131="N/A"," ",IF(Dayrun3&gt;=7,0,IF(Scaler3=2,VLOOKUP(A131,ScaledPrice3,2),(VLOOKUP(A131,ScaledPrice3,2))*(2-(VLOOKUP(A131,ScaledPrice3,3))))))</f>
        <v> </v>
      </c>
      <c r="E131" s="317" t="str">
        <f aca="false">IF($A131="N/A"," ",IF(AND(Dayrun3&gt;=4,Dayrun3&lt;=9),0,VLOOKUP($A131,ScaledPrice3,9)))</f>
        <v> </v>
      </c>
      <c r="F131" s="317" t="str">
        <f aca="false">IF(A131="N/A"," ",IF(OR(Dayrun3=2,Dayrun3=3,Dayrun3=5,Dayrun3=6,Dayrun3=8,Dayrun3=9),VLOOKUP(A131,ScaledPrice3,IF(Scaler3=1,6,5)),0))</f>
        <v> </v>
      </c>
      <c r="G131" s="317" t="str">
        <f aca="false">IF(A131="N/A"," ",IF(OR(Dayrun3=2,Dayrun3=3,Dayrun3=5,Dayrun3=6),IF(Scaler3=2,F131,(VLOOKUP(A131,ScaledPrice3,5))*(2-(VLOOKUP(A131,ScaledPrice3,3)))),0))</f>
        <v> </v>
      </c>
      <c r="H131" s="317" t="str">
        <f aca="false">IF($A131="N/A"," ",IF(OR(Dayrun3=2,Dayrun3=3,Dayrun3=10),VLOOKUP($A131,ScaledPrice3,9),0))</f>
        <v> </v>
      </c>
      <c r="I131" s="317" t="str">
        <f aca="false">IF(A131="N/A"," ",IF(OR(Dayrun3=3,Dayrun3=6,Dayrun3=9),(VLOOKUP(A131,ScaledPrice3,IF(Scaler3=2,7,8))),0))</f>
        <v> </v>
      </c>
      <c r="J131" s="317" t="str">
        <f aca="false">IF(A131="N/A"," ",IF(OR(Dayrun3=3,Dayrun3=6),IF(Scaler3=2,I131,(VLOOKUP(A131,ScaledPrice3,7))*(2-(VLOOKUP(A131,ScaledPrice3,3)))),0))</f>
        <v> </v>
      </c>
      <c r="K131" s="317" t="str">
        <f aca="false">IF($A131="N/A"," ",IF(OR(Dayrun3=3,Dayrun3=10),VLOOKUP($A131,ScaledPrice3,9),0))</f>
        <v> </v>
      </c>
      <c r="L131" s="318" t="str">
        <f aca="false">IF($A131="N/A"," ",IF(Pricetype3=2,MAX(C131,0),IF(OR(Pricetype3=1,Pricetype3=4),IF(C131=0,0,(EURO(C131,Strikeprice3,0,0,($AH131+IF(Smile=TRUE(),VLOOKUP(MAX(-5,Strikeprice3-C131),Volsmile,2),0)),($A131-DateToday)+15,IF(Pricetype3=1,1,0),0))),C131)))</f>
        <v> </v>
      </c>
      <c r="M131" s="318" t="str">
        <f aca="false">IF($A131="N/A"," ",IF(Pricetype3=2,MAX(D131,0),IF(OR(Pricetype3=1,Pricetype3=4),IF(D131=0,0,(EURO(D131,Strikeprice3,0,0,($AH131+IF(Smile=TRUE(),VLOOKUP(MAX(-5,Strikeprice3-D131),Volsmile,2),0)),($A131-DateToday)+15,IF(Pricetype3=1,1,0),0))),D131)))</f>
        <v> </v>
      </c>
      <c r="N131" s="318" t="str">
        <f aca="false">IF($A131="N/A"," ",IF(Pricetype3=2,MAX(E131,0),IF(OR(Pricetype3=1,Pricetype3=4),IF(E131=0,0,(EURO(E131,Strikeprice3,0,0,($AK131+IF(Smile=TRUE(),VLOOKUP(MAX(-5,Strikeprice3-E131),Volsmile,2),0)),($A131-DateToday)+15,IF(Pricetype3=1,1,0),0))),E131)))</f>
        <v> </v>
      </c>
      <c r="O131" s="318" t="str">
        <f aca="false">IF($A131="N/A"," ",IF(Pricetype3=2,MAX(F131,0),IF(OR(Pricetype3=1,Pricetype3=4),IF(F131=0,0,(EURO(F131,Strikeprice3,0,0,($AK131+IF(Smile=TRUE(),VLOOKUP(MAX(-5,Strikeprice3-F131),Volsmile,2),0)),($A131-DateToday)+15,IF(Pricetype3=1,1,0),0))),F131)))</f>
        <v> </v>
      </c>
      <c r="P131" s="318" t="str">
        <f aca="false">IF($A131="N/A"," ",IF(Pricetype3=2,MAX(G131,0),IF(OR(Pricetype3=1,Pricetype3=4),IF(G131=0,0,(EURO(G131,Strikeprice3,0,0,($AK131+IF(Smile=TRUE(),VLOOKUP(MAX(-5,Strikeprice3-G131),Volsmile,2),0)),($A131-DateToday)+15,IF(Pricetype3=1,1,0),0))),G131)))</f>
        <v> </v>
      </c>
      <c r="Q131" s="318" t="str">
        <f aca="false">IF($A131="N/A"," ",IF(Pricetype3=2,MAX(H131,0),IF(OR(Pricetype3=1,Pricetype3=4),IF(H131=0,0,(EURO(H131,Strikeprice3,0,0,($AK131+IF(Smile=TRUE(),VLOOKUP(MAX(-5,Strikeprice3-H131),Volsmile,2),0)),($A131-DateToday)+15,IF(Pricetype3=1,1,0),0))),H131)))</f>
        <v> </v>
      </c>
      <c r="R131" s="318" t="str">
        <f aca="false">IF($A131="N/A"," ",IF(Pricetype3=2,MAX(I131,0),IF(OR(Pricetype3=1,Pricetype3=4),IF(I131=0,0,(EURO(I131,Strikeprice3,0,0,($AK131+IF(Smile=TRUE(),VLOOKUP(MAX(-5,Strikeprice3-I131),Volsmile,2),0)),($A131-DateToday)+15,IF(Pricetype3=1,1,0),0))),I131)))</f>
        <v> </v>
      </c>
      <c r="S131" s="318" t="str">
        <f aca="false">IF($A131="N/A"," ",IF(Pricetype3=2,MAX(J131,0),IF(OR(Pricetype3=1,Pricetype3=4),IF(J131=0,0,(EURO(J131,Strikeprice3,0,0,($AK131+IF(Smile=TRUE(),VLOOKUP(MAX(-5,Strikeprice3-J131),Volsmile,2),0)),($A131-DateToday)+15,IF(Pricetype3=1,1,0),0))),J131)))</f>
        <v> </v>
      </c>
      <c r="T131" s="318" t="str">
        <f aca="false">IF($A131="N/A"," ",IF(Pricetype3=2,MAX(K131,0),IF(OR(Pricetype3=1,Pricetype3=4),IF(K131=0,0,(EURO(K131,Strikeprice3,0,0,($AK131+IF(Smile=TRUE(),VLOOKUP(MAX(-5,Strikeprice3-K131),Volsmile,2),0)),($A131-DateToday)+15,IF(Pricetype3=1,1,0),0))),K131)))</f>
        <v> </v>
      </c>
      <c r="U131" s="319" t="str">
        <f aca="false">IF($A131="N/A"," ",Volume3*$AM131)</f>
        <v> </v>
      </c>
      <c r="V131" s="320" t="str">
        <f aca="false">IF($A131="N/A"," ",$U131*(8*($BQ131))*L131)</f>
        <v> </v>
      </c>
      <c r="W131" s="320" t="str">
        <f aca="false">IF($A131="N/A"," ",$U131*(8*($BQ131))*M131)</f>
        <v> </v>
      </c>
      <c r="X131" s="320" t="str">
        <f aca="false">IF($A131="N/A"," ",$U131*(8*($BQ131))*N131)</f>
        <v> </v>
      </c>
      <c r="Y131" s="320" t="str">
        <f aca="false">IF($A131="N/A"," ",$U131*(8*($BR131))*O131)</f>
        <v> </v>
      </c>
      <c r="Z131" s="320" t="str">
        <f aca="false">IF($A131="N/A"," ",$U131*(8*($BR131))*P131)</f>
        <v> </v>
      </c>
      <c r="AA131" s="320" t="str">
        <f aca="false">IF($A131="N/A"," ",$U131*(8*($BR131))*Q131)</f>
        <v> </v>
      </c>
      <c r="AB131" s="320" t="str">
        <f aca="false">IF($A131="N/A"," ",$U131*(8*($BS131))*R131)</f>
        <v> </v>
      </c>
      <c r="AC131" s="320" t="str">
        <f aca="false">IF($A131="N/A"," ",$U131*(8*($BS131))*S131)</f>
        <v> </v>
      </c>
      <c r="AD131" s="320" t="str">
        <f aca="false">IF($A131="N/A"," ",$U131*(8*($BS131))*T131)</f>
        <v> </v>
      </c>
      <c r="AE131" s="320" t="str">
        <f aca="false">IF($A131="N/A"," ",SUM(V131:AD131))</f>
        <v> </v>
      </c>
      <c r="AF131" s="321" t="str">
        <f aca="false">IF(A131="N/A"," ",(VLOOKUP(A131,PowerVolTable,(IF(VolBMO3=2,7,IF(VolBMO3=1,6,8))),FALSE())))</f>
        <v> </v>
      </c>
      <c r="AG131" s="321" t="str">
        <f aca="false">IF(A131="N/A"," ",(VLOOKUP(A131,IntraPowerVol,(IF(VolBMO3=2,3,IF(VolBMO3=1,2,4))),FALSE())*VLOOKUP(MONTH($A131),Volscale,2)))</f>
        <v> </v>
      </c>
      <c r="AH131" s="321" t="str">
        <f aca="false">IF($A131="N/A"," ",IF(VolType3=1,AG131,AF131))</f>
        <v> </v>
      </c>
      <c r="AI131" s="321" t="str">
        <f aca="false">IF($A131="N/A"," ",(VLOOKUP($A131,OffPwrVolTable,(IF(VolBMO3=2,7,IF(VolBMO3=1,6,8))),FALSE())))</f>
        <v> </v>
      </c>
      <c r="AJ131" s="321" t="str">
        <f aca="false">IF($A131="N/A"," ",(VLOOKUP($A131,OffPwrVolTable,(IF(VolBMO3=2,3,IF(VolBMO3=1,2,4))),FALSE())*VLOOKUP(MONTH($A131),Volscale,2)))</f>
        <v> </v>
      </c>
      <c r="AK131" s="321" t="str">
        <f aca="false">IF($A131="N/A"," ",IF(VolType3=1,AJ131,AI131))</f>
        <v> </v>
      </c>
      <c r="AL131" s="321" t="str">
        <f aca="false">IF($A131="N/A"," ",IF(PV=1,0,'Pricing Inputs3'!R164))</f>
        <v> </v>
      </c>
      <c r="AM131" s="323" t="str">
        <f aca="false">IF($A131="N/A"," ",(1+AL131/2)^(-2*((EOMONTH(A131,0)+20)-DateToday)/365.25))</f>
        <v> </v>
      </c>
      <c r="BQ131" s="0" t="str">
        <f aca="false">IF($A131="N/A"," ",(VLOOKUP($A131,NumberofDaysTable,2)))</f>
        <v> </v>
      </c>
      <c r="BR131" s="0" t="str">
        <f aca="false">IF($A131="N/A"," ",(VLOOKUP($A131,NumberofDaysTable,3)))</f>
        <v> </v>
      </c>
      <c r="BS131" s="0" t="str">
        <f aca="false">IF($A131="N/A"," ",(VLOOKUP($A131,NumberofDaysTable,4)))</f>
        <v> </v>
      </c>
    </row>
    <row r="132" customFormat="false" ht="12.75" hidden="false" customHeight="false" outlineLevel="0" collapsed="false">
      <c r="A132" s="315" t="str">
        <f aca="false">IF(A131="N/A","N/A",IF(EDATE(A131,1)&gt;Inputs!$Q$5,"N/A",EDATE(A131,1)))</f>
        <v>N/A</v>
      </c>
      <c r="B132" s="316" t="str">
        <f aca="false">IF(A132="N/A"," ",YEAR(A132))</f>
        <v> </v>
      </c>
      <c r="C132" s="317" t="str">
        <f aca="false">IF($A132="N/A"," ",IF(Dayrun3=10,0,IF(Scaler3=1,(VLOOKUP(A132,ScaledPrice3,4)),(VLOOKUP(A132,ScaledPrice3,2)))))</f>
        <v> </v>
      </c>
      <c r="D132" s="317" t="str">
        <f aca="false">IF(A132="N/A"," ",IF(Dayrun3&gt;=7,0,IF(Scaler3=2,VLOOKUP(A132,ScaledPrice3,2),(VLOOKUP(A132,ScaledPrice3,2))*(2-(VLOOKUP(A132,ScaledPrice3,3))))))</f>
        <v> </v>
      </c>
      <c r="E132" s="317" t="str">
        <f aca="false">IF($A132="N/A"," ",IF(AND(Dayrun3&gt;=4,Dayrun3&lt;=9),0,VLOOKUP($A132,ScaledPrice3,9)))</f>
        <v> </v>
      </c>
      <c r="F132" s="317" t="str">
        <f aca="false">IF(A132="N/A"," ",IF(OR(Dayrun3=2,Dayrun3=3,Dayrun3=5,Dayrun3=6,Dayrun3=8,Dayrun3=9),VLOOKUP(A132,ScaledPrice3,IF(Scaler3=1,6,5)),0))</f>
        <v> </v>
      </c>
      <c r="G132" s="317" t="str">
        <f aca="false">IF(A132="N/A"," ",IF(OR(Dayrun3=2,Dayrun3=3,Dayrun3=5,Dayrun3=6),IF(Scaler3=2,F132,(VLOOKUP(A132,ScaledPrice3,5))*(2-(VLOOKUP(A132,ScaledPrice3,3)))),0))</f>
        <v> </v>
      </c>
      <c r="H132" s="317" t="str">
        <f aca="false">IF($A132="N/A"," ",IF(OR(Dayrun3=2,Dayrun3=3,Dayrun3=10),VLOOKUP($A132,ScaledPrice3,9),0))</f>
        <v> </v>
      </c>
      <c r="I132" s="317" t="str">
        <f aca="false">IF(A132="N/A"," ",IF(OR(Dayrun3=3,Dayrun3=6,Dayrun3=9),(VLOOKUP(A132,ScaledPrice3,IF(Scaler3=2,7,8))),0))</f>
        <v> </v>
      </c>
      <c r="J132" s="317" t="str">
        <f aca="false">IF(A132="N/A"," ",IF(OR(Dayrun3=3,Dayrun3=6),IF(Scaler3=2,I132,(VLOOKUP(A132,ScaledPrice3,7))*(2-(VLOOKUP(A132,ScaledPrice3,3)))),0))</f>
        <v> </v>
      </c>
      <c r="K132" s="317" t="str">
        <f aca="false">IF($A132="N/A"," ",IF(OR(Dayrun3=3,Dayrun3=10),VLOOKUP($A132,ScaledPrice3,9),0))</f>
        <v> </v>
      </c>
      <c r="L132" s="318" t="str">
        <f aca="false">IF($A132="N/A"," ",IF(Pricetype3=2,MAX(C132,0),IF(OR(Pricetype3=1,Pricetype3=4),IF(C132=0,0,(EURO(C132,Strikeprice3,0,0,($AH132+IF(Smile=TRUE(),VLOOKUP(MAX(-5,Strikeprice3-C132),Volsmile,2),0)),($A132-DateToday)+15,IF(Pricetype3=1,1,0),0))),C132)))</f>
        <v> </v>
      </c>
      <c r="M132" s="318" t="str">
        <f aca="false">IF($A132="N/A"," ",IF(Pricetype3=2,MAX(D132,0),IF(OR(Pricetype3=1,Pricetype3=4),IF(D132=0,0,(EURO(D132,Strikeprice3,0,0,($AH132+IF(Smile=TRUE(),VLOOKUP(MAX(-5,Strikeprice3-D132),Volsmile,2),0)),($A132-DateToday)+15,IF(Pricetype3=1,1,0),0))),D132)))</f>
        <v> </v>
      </c>
      <c r="N132" s="318" t="str">
        <f aca="false">IF($A132="N/A"," ",IF(Pricetype3=2,MAX(E132,0),IF(OR(Pricetype3=1,Pricetype3=4),IF(E132=0,0,(EURO(E132,Strikeprice3,0,0,($AK132+IF(Smile=TRUE(),VLOOKUP(MAX(-5,Strikeprice3-E132),Volsmile,2),0)),($A132-DateToday)+15,IF(Pricetype3=1,1,0),0))),E132)))</f>
        <v> </v>
      </c>
      <c r="O132" s="318" t="str">
        <f aca="false">IF($A132="N/A"," ",IF(Pricetype3=2,MAX(F132,0),IF(OR(Pricetype3=1,Pricetype3=4),IF(F132=0,0,(EURO(F132,Strikeprice3,0,0,($AK132+IF(Smile=TRUE(),VLOOKUP(MAX(-5,Strikeprice3-F132),Volsmile,2),0)),($A132-DateToday)+15,IF(Pricetype3=1,1,0),0))),F132)))</f>
        <v> </v>
      </c>
      <c r="P132" s="318" t="str">
        <f aca="false">IF($A132="N/A"," ",IF(Pricetype3=2,MAX(G132,0),IF(OR(Pricetype3=1,Pricetype3=4),IF(G132=0,0,(EURO(G132,Strikeprice3,0,0,($AK132+IF(Smile=TRUE(),VLOOKUP(MAX(-5,Strikeprice3-G132),Volsmile,2),0)),($A132-DateToday)+15,IF(Pricetype3=1,1,0),0))),G132)))</f>
        <v> </v>
      </c>
      <c r="Q132" s="318" t="str">
        <f aca="false">IF($A132="N/A"," ",IF(Pricetype3=2,MAX(H132,0),IF(OR(Pricetype3=1,Pricetype3=4),IF(H132=0,0,(EURO(H132,Strikeprice3,0,0,($AK132+IF(Smile=TRUE(),VLOOKUP(MAX(-5,Strikeprice3-H132),Volsmile,2),0)),($A132-DateToday)+15,IF(Pricetype3=1,1,0),0))),H132)))</f>
        <v> </v>
      </c>
      <c r="R132" s="318" t="str">
        <f aca="false">IF($A132="N/A"," ",IF(Pricetype3=2,MAX(I132,0),IF(OR(Pricetype3=1,Pricetype3=4),IF(I132=0,0,(EURO(I132,Strikeprice3,0,0,($AK132+IF(Smile=TRUE(),VLOOKUP(MAX(-5,Strikeprice3-I132),Volsmile,2),0)),($A132-DateToday)+15,IF(Pricetype3=1,1,0),0))),I132)))</f>
        <v> </v>
      </c>
      <c r="S132" s="318" t="str">
        <f aca="false">IF($A132="N/A"," ",IF(Pricetype3=2,MAX(J132,0),IF(OR(Pricetype3=1,Pricetype3=4),IF(J132=0,0,(EURO(J132,Strikeprice3,0,0,($AK132+IF(Smile=TRUE(),VLOOKUP(MAX(-5,Strikeprice3-J132),Volsmile,2),0)),($A132-DateToday)+15,IF(Pricetype3=1,1,0),0))),J132)))</f>
        <v> </v>
      </c>
      <c r="T132" s="318" t="str">
        <f aca="false">IF($A132="N/A"," ",IF(Pricetype3=2,MAX(K132,0),IF(OR(Pricetype3=1,Pricetype3=4),IF(K132=0,0,(EURO(K132,Strikeprice3,0,0,($AK132+IF(Smile=TRUE(),VLOOKUP(MAX(-5,Strikeprice3-K132),Volsmile,2),0)),($A132-DateToday)+15,IF(Pricetype3=1,1,0),0))),K132)))</f>
        <v> </v>
      </c>
      <c r="U132" s="319" t="str">
        <f aca="false">IF($A132="N/A"," ",Volume3*$AM132)</f>
        <v> </v>
      </c>
      <c r="V132" s="320" t="str">
        <f aca="false">IF($A132="N/A"," ",$U132*(8*($BQ132))*L132)</f>
        <v> </v>
      </c>
      <c r="W132" s="320" t="str">
        <f aca="false">IF($A132="N/A"," ",$U132*(8*($BQ132))*M132)</f>
        <v> </v>
      </c>
      <c r="X132" s="320" t="str">
        <f aca="false">IF($A132="N/A"," ",$U132*(8*($BQ132))*N132)</f>
        <v> </v>
      </c>
      <c r="Y132" s="320" t="str">
        <f aca="false">IF($A132="N/A"," ",$U132*(8*($BR132))*O132)</f>
        <v> </v>
      </c>
      <c r="Z132" s="320" t="str">
        <f aca="false">IF($A132="N/A"," ",$U132*(8*($BR132))*P132)</f>
        <v> </v>
      </c>
      <c r="AA132" s="320" t="str">
        <f aca="false">IF($A132="N/A"," ",$U132*(8*($BR132))*Q132)</f>
        <v> </v>
      </c>
      <c r="AB132" s="320" t="str">
        <f aca="false">IF($A132="N/A"," ",$U132*(8*($BS132))*R132)</f>
        <v> </v>
      </c>
      <c r="AC132" s="320" t="str">
        <f aca="false">IF($A132="N/A"," ",$U132*(8*($BS132))*S132)</f>
        <v> </v>
      </c>
      <c r="AD132" s="320" t="str">
        <f aca="false">IF($A132="N/A"," ",$U132*(8*($BS132))*T132)</f>
        <v> </v>
      </c>
      <c r="AE132" s="320" t="str">
        <f aca="false">IF($A132="N/A"," ",SUM(V132:AD132))</f>
        <v> </v>
      </c>
      <c r="AF132" s="321" t="str">
        <f aca="false">IF(A132="N/A"," ",(VLOOKUP(A132,PowerVolTable,(IF(VolBMO3=2,7,IF(VolBMO3=1,6,8))),FALSE())))</f>
        <v> </v>
      </c>
      <c r="AG132" s="321" t="str">
        <f aca="false">IF(A132="N/A"," ",(VLOOKUP(A132,IntraPowerVol,(IF(VolBMO3=2,3,IF(VolBMO3=1,2,4))),FALSE())*VLOOKUP(MONTH($A132),Volscale,2)))</f>
        <v> </v>
      </c>
      <c r="AH132" s="321" t="str">
        <f aca="false">IF($A132="N/A"," ",IF(VolType3=1,AG132,AF132))</f>
        <v> </v>
      </c>
      <c r="AI132" s="321" t="str">
        <f aca="false">IF($A132="N/A"," ",(VLOOKUP($A132,OffPwrVolTable,(IF(VolBMO3=2,7,IF(VolBMO3=1,6,8))),FALSE())))</f>
        <v> </v>
      </c>
      <c r="AJ132" s="321" t="str">
        <f aca="false">IF($A132="N/A"," ",(VLOOKUP($A132,OffPwrVolTable,(IF(VolBMO3=2,3,IF(VolBMO3=1,2,4))),FALSE())*VLOOKUP(MONTH($A132),Volscale,2)))</f>
        <v> </v>
      </c>
      <c r="AK132" s="321" t="str">
        <f aca="false">IF($A132="N/A"," ",IF(VolType3=1,AJ132,AI132))</f>
        <v> </v>
      </c>
      <c r="AL132" s="321" t="str">
        <f aca="false">IF($A132="N/A"," ",IF(PV=1,0,'Pricing Inputs3'!R165))</f>
        <v> </v>
      </c>
      <c r="AM132" s="323" t="str">
        <f aca="false">IF($A132="N/A"," ",(1+AL132/2)^(-2*((EOMONTH(A132,0)+20)-DateToday)/365.25))</f>
        <v> </v>
      </c>
      <c r="BQ132" s="0" t="str">
        <f aca="false">IF($A132="N/A"," ",(VLOOKUP($A132,NumberofDaysTable,2)))</f>
        <v> </v>
      </c>
      <c r="BR132" s="0" t="str">
        <f aca="false">IF($A132="N/A"," ",(VLOOKUP($A132,NumberofDaysTable,3)))</f>
        <v> </v>
      </c>
      <c r="BS132" s="0" t="str">
        <f aca="false">IF($A132="N/A"," ",(VLOOKUP($A132,NumberofDaysTable,4)))</f>
        <v> </v>
      </c>
    </row>
    <row r="133" customFormat="false" ht="12.75" hidden="false" customHeight="false" outlineLevel="0" collapsed="false">
      <c r="A133" s="315" t="str">
        <f aca="false">IF(A132="N/A","N/A",IF(EDATE(A132,1)&gt;Inputs!$Q$5,"N/A",EDATE(A132,1)))</f>
        <v>N/A</v>
      </c>
      <c r="B133" s="316" t="str">
        <f aca="false">IF(A133="N/A"," ",YEAR(A133))</f>
        <v> </v>
      </c>
      <c r="C133" s="317" t="str">
        <f aca="false">IF($A133="N/A"," ",IF(Dayrun3=10,0,IF(Scaler3=1,(VLOOKUP(A133,ScaledPrice3,4)),(VLOOKUP(A133,ScaledPrice3,2)))))</f>
        <v> </v>
      </c>
      <c r="D133" s="317" t="str">
        <f aca="false">IF(A133="N/A"," ",IF(Dayrun3&gt;=7,0,IF(Scaler3=2,VLOOKUP(A133,ScaledPrice3,2),(VLOOKUP(A133,ScaledPrice3,2))*(2-(VLOOKUP(A133,ScaledPrice3,3))))))</f>
        <v> </v>
      </c>
      <c r="E133" s="317" t="str">
        <f aca="false">IF($A133="N/A"," ",IF(AND(Dayrun3&gt;=4,Dayrun3&lt;=9),0,VLOOKUP($A133,ScaledPrice3,9)))</f>
        <v> </v>
      </c>
      <c r="F133" s="317" t="str">
        <f aca="false">IF(A133="N/A"," ",IF(OR(Dayrun3=2,Dayrun3=3,Dayrun3=5,Dayrun3=6,Dayrun3=8,Dayrun3=9),VLOOKUP(A133,ScaledPrice3,IF(Scaler3=1,6,5)),0))</f>
        <v> </v>
      </c>
      <c r="G133" s="317" t="str">
        <f aca="false">IF(A133="N/A"," ",IF(OR(Dayrun3=2,Dayrun3=3,Dayrun3=5,Dayrun3=6),IF(Scaler3=2,F133,(VLOOKUP(A133,ScaledPrice3,5))*(2-(VLOOKUP(A133,ScaledPrice3,3)))),0))</f>
        <v> </v>
      </c>
      <c r="H133" s="317" t="str">
        <f aca="false">IF($A133="N/A"," ",IF(OR(Dayrun3=2,Dayrun3=3,Dayrun3=10),VLOOKUP($A133,ScaledPrice3,9),0))</f>
        <v> </v>
      </c>
      <c r="I133" s="317" t="str">
        <f aca="false">IF(A133="N/A"," ",IF(OR(Dayrun3=3,Dayrun3=6,Dayrun3=9),(VLOOKUP(A133,ScaledPrice3,IF(Scaler3=2,7,8))),0))</f>
        <v> </v>
      </c>
      <c r="J133" s="317" t="str">
        <f aca="false">IF(A133="N/A"," ",IF(OR(Dayrun3=3,Dayrun3=6),IF(Scaler3=2,I133,(VLOOKUP(A133,ScaledPrice3,7))*(2-(VLOOKUP(A133,ScaledPrice3,3)))),0))</f>
        <v> </v>
      </c>
      <c r="K133" s="317" t="str">
        <f aca="false">IF($A133="N/A"," ",IF(OR(Dayrun3=3,Dayrun3=10),VLOOKUP($A133,ScaledPrice3,9),0))</f>
        <v> </v>
      </c>
      <c r="L133" s="318" t="str">
        <f aca="false">IF($A133="N/A"," ",IF(Pricetype3=2,MAX(C133,0),IF(OR(Pricetype3=1,Pricetype3=4),IF(C133=0,0,(EURO(C133,Strikeprice3,0,0,($AH133+IF(Smile=TRUE(),VLOOKUP(MAX(-5,Strikeprice3-C133),Volsmile,2),0)),($A133-DateToday)+15,IF(Pricetype3=1,1,0),0))),C133)))</f>
        <v> </v>
      </c>
      <c r="M133" s="318" t="str">
        <f aca="false">IF($A133="N/A"," ",IF(Pricetype3=2,MAX(D133,0),IF(OR(Pricetype3=1,Pricetype3=4),IF(D133=0,0,(EURO(D133,Strikeprice3,0,0,($AH133+IF(Smile=TRUE(),VLOOKUP(MAX(-5,Strikeprice3-D133),Volsmile,2),0)),($A133-DateToday)+15,IF(Pricetype3=1,1,0),0))),D133)))</f>
        <v> </v>
      </c>
      <c r="N133" s="318" t="str">
        <f aca="false">IF($A133="N/A"," ",IF(Pricetype3=2,MAX(E133,0),IF(OR(Pricetype3=1,Pricetype3=4),IF(E133=0,0,(EURO(E133,Strikeprice3,0,0,($AK133+IF(Smile=TRUE(),VLOOKUP(MAX(-5,Strikeprice3-E133),Volsmile,2),0)),($A133-DateToday)+15,IF(Pricetype3=1,1,0),0))),E133)))</f>
        <v> </v>
      </c>
      <c r="O133" s="318" t="str">
        <f aca="false">IF($A133="N/A"," ",IF(Pricetype3=2,MAX(F133,0),IF(OR(Pricetype3=1,Pricetype3=4),IF(F133=0,0,(EURO(F133,Strikeprice3,0,0,($AK133+IF(Smile=TRUE(),VLOOKUP(MAX(-5,Strikeprice3-F133),Volsmile,2),0)),($A133-DateToday)+15,IF(Pricetype3=1,1,0),0))),F133)))</f>
        <v> </v>
      </c>
      <c r="P133" s="318" t="str">
        <f aca="false">IF($A133="N/A"," ",IF(Pricetype3=2,MAX(G133,0),IF(OR(Pricetype3=1,Pricetype3=4),IF(G133=0,0,(EURO(G133,Strikeprice3,0,0,($AK133+IF(Smile=TRUE(),VLOOKUP(MAX(-5,Strikeprice3-G133),Volsmile,2),0)),($A133-DateToday)+15,IF(Pricetype3=1,1,0),0))),G133)))</f>
        <v> </v>
      </c>
      <c r="Q133" s="318" t="str">
        <f aca="false">IF($A133="N/A"," ",IF(Pricetype3=2,MAX(H133,0),IF(OR(Pricetype3=1,Pricetype3=4),IF(H133=0,0,(EURO(H133,Strikeprice3,0,0,($AK133+IF(Smile=TRUE(),VLOOKUP(MAX(-5,Strikeprice3-H133),Volsmile,2),0)),($A133-DateToday)+15,IF(Pricetype3=1,1,0),0))),H133)))</f>
        <v> </v>
      </c>
      <c r="R133" s="318" t="str">
        <f aca="false">IF($A133="N/A"," ",IF(Pricetype3=2,MAX(I133,0),IF(OR(Pricetype3=1,Pricetype3=4),IF(I133=0,0,(EURO(I133,Strikeprice3,0,0,($AK133+IF(Smile=TRUE(),VLOOKUP(MAX(-5,Strikeprice3-I133),Volsmile,2),0)),($A133-DateToday)+15,IF(Pricetype3=1,1,0),0))),I133)))</f>
        <v> </v>
      </c>
      <c r="S133" s="318" t="str">
        <f aca="false">IF($A133="N/A"," ",IF(Pricetype3=2,MAX(J133,0),IF(OR(Pricetype3=1,Pricetype3=4),IF(J133=0,0,(EURO(J133,Strikeprice3,0,0,($AK133+IF(Smile=TRUE(),VLOOKUP(MAX(-5,Strikeprice3-J133),Volsmile,2),0)),($A133-DateToday)+15,IF(Pricetype3=1,1,0),0))),J133)))</f>
        <v> </v>
      </c>
      <c r="T133" s="318" t="str">
        <f aca="false">IF($A133="N/A"," ",IF(Pricetype3=2,MAX(K133,0),IF(OR(Pricetype3=1,Pricetype3=4),IF(K133=0,0,(EURO(K133,Strikeprice3,0,0,($AK133+IF(Smile=TRUE(),VLOOKUP(MAX(-5,Strikeprice3-K133),Volsmile,2),0)),($A133-DateToday)+15,IF(Pricetype3=1,1,0),0))),K133)))</f>
        <v> </v>
      </c>
      <c r="U133" s="319" t="str">
        <f aca="false">IF($A133="N/A"," ",Volume3*$AM133)</f>
        <v> </v>
      </c>
      <c r="V133" s="320" t="str">
        <f aca="false">IF($A133="N/A"," ",$U133*(8*($BQ133))*L133)</f>
        <v> </v>
      </c>
      <c r="W133" s="320" t="str">
        <f aca="false">IF($A133="N/A"," ",$U133*(8*($BQ133))*M133)</f>
        <v> </v>
      </c>
      <c r="X133" s="320" t="str">
        <f aca="false">IF($A133="N/A"," ",$U133*(8*($BQ133))*N133)</f>
        <v> </v>
      </c>
      <c r="Y133" s="320" t="str">
        <f aca="false">IF($A133="N/A"," ",$U133*(8*($BR133))*O133)</f>
        <v> </v>
      </c>
      <c r="Z133" s="320" t="str">
        <f aca="false">IF($A133="N/A"," ",$U133*(8*($BR133))*P133)</f>
        <v> </v>
      </c>
      <c r="AA133" s="320" t="str">
        <f aca="false">IF($A133="N/A"," ",$U133*(8*($BR133))*Q133)</f>
        <v> </v>
      </c>
      <c r="AB133" s="320" t="str">
        <f aca="false">IF($A133="N/A"," ",$U133*(8*($BS133))*R133)</f>
        <v> </v>
      </c>
      <c r="AC133" s="320" t="str">
        <f aca="false">IF($A133="N/A"," ",$U133*(8*($BS133))*S133)</f>
        <v> </v>
      </c>
      <c r="AD133" s="320" t="str">
        <f aca="false">IF($A133="N/A"," ",$U133*(8*($BS133))*T133)</f>
        <v> </v>
      </c>
      <c r="AE133" s="320" t="str">
        <f aca="false">IF($A133="N/A"," ",SUM(V133:AD133))</f>
        <v> </v>
      </c>
      <c r="AF133" s="321" t="str">
        <f aca="false">IF(A133="N/A"," ",(VLOOKUP(A133,PowerVolTable,(IF(VolBMO3=2,7,IF(VolBMO3=1,6,8))),FALSE())))</f>
        <v> </v>
      </c>
      <c r="AG133" s="321" t="str">
        <f aca="false">IF(A133="N/A"," ",(VLOOKUP(A133,IntraPowerVol,(IF(VolBMO3=2,3,IF(VolBMO3=1,2,4))),FALSE())*VLOOKUP(MONTH($A133),Volscale,2)))</f>
        <v> </v>
      </c>
      <c r="AH133" s="321" t="str">
        <f aca="false">IF($A133="N/A"," ",IF(VolType3=1,AG133,AF133))</f>
        <v> </v>
      </c>
      <c r="AI133" s="321" t="str">
        <f aca="false">IF($A133="N/A"," ",(VLOOKUP($A133,OffPwrVolTable,(IF(VolBMO3=2,7,IF(VolBMO3=1,6,8))),FALSE())))</f>
        <v> </v>
      </c>
      <c r="AJ133" s="321" t="str">
        <f aca="false">IF($A133="N/A"," ",(VLOOKUP($A133,OffPwrVolTable,(IF(VolBMO3=2,3,IF(VolBMO3=1,2,4))),FALSE())*VLOOKUP(MONTH($A133),Volscale,2)))</f>
        <v> </v>
      </c>
      <c r="AK133" s="321" t="str">
        <f aca="false">IF($A133="N/A"," ",IF(VolType3=1,AJ133,AI133))</f>
        <v> </v>
      </c>
      <c r="AL133" s="321" t="str">
        <f aca="false">IF($A133="N/A"," ",IF(PV=1,0,'Pricing Inputs3'!R166))</f>
        <v> </v>
      </c>
      <c r="AM133" s="323" t="str">
        <f aca="false">IF($A133="N/A"," ",(1+AL133/2)^(-2*((EOMONTH(A133,0)+20)-DateToday)/365.25))</f>
        <v> </v>
      </c>
      <c r="BQ133" s="0" t="str">
        <f aca="false">IF($A133="N/A"," ",(VLOOKUP($A133,NumberofDaysTable,2)))</f>
        <v> </v>
      </c>
      <c r="BR133" s="0" t="str">
        <f aca="false">IF($A133="N/A"," ",(VLOOKUP($A133,NumberofDaysTable,3)))</f>
        <v> </v>
      </c>
      <c r="BS133" s="0" t="str">
        <f aca="false">IF($A133="N/A"," ",(VLOOKUP($A133,NumberofDaysTable,4)))</f>
        <v> </v>
      </c>
    </row>
    <row r="134" customFormat="false" ht="12.75" hidden="false" customHeight="false" outlineLevel="0" collapsed="false">
      <c r="A134" s="315" t="str">
        <f aca="false">IF(A133="N/A","N/A",IF(EDATE(A133,1)&gt;Inputs!$Q$5,"N/A",EDATE(A133,1)))</f>
        <v>N/A</v>
      </c>
      <c r="B134" s="316" t="str">
        <f aca="false">IF(A134="N/A"," ",YEAR(A134))</f>
        <v> </v>
      </c>
      <c r="C134" s="317" t="str">
        <f aca="false">IF($A134="N/A"," ",IF(Dayrun3=10,0,IF(Scaler3=1,(VLOOKUP(A134,ScaledPrice3,4)),(VLOOKUP(A134,ScaledPrice3,2)))))</f>
        <v> </v>
      </c>
      <c r="D134" s="317" t="str">
        <f aca="false">IF(A134="N/A"," ",IF(Dayrun3&gt;=7,0,IF(Scaler3=2,VLOOKUP(A134,ScaledPrice3,2),(VLOOKUP(A134,ScaledPrice3,2))*(2-(VLOOKUP(A134,ScaledPrice3,3))))))</f>
        <v> </v>
      </c>
      <c r="E134" s="317" t="str">
        <f aca="false">IF($A134="N/A"," ",IF(AND(Dayrun3&gt;=4,Dayrun3&lt;=9),0,VLOOKUP($A134,ScaledPrice3,9)))</f>
        <v> </v>
      </c>
      <c r="F134" s="317" t="str">
        <f aca="false">IF(A134="N/A"," ",IF(OR(Dayrun3=2,Dayrun3=3,Dayrun3=5,Dayrun3=6,Dayrun3=8,Dayrun3=9),VLOOKUP(A134,ScaledPrice3,IF(Scaler3=1,6,5)),0))</f>
        <v> </v>
      </c>
      <c r="G134" s="317" t="str">
        <f aca="false">IF(A134="N/A"," ",IF(OR(Dayrun3=2,Dayrun3=3,Dayrun3=5,Dayrun3=6),IF(Scaler3=2,F134,(VLOOKUP(A134,ScaledPrice3,5))*(2-(VLOOKUP(A134,ScaledPrice3,3)))),0))</f>
        <v> </v>
      </c>
      <c r="H134" s="317" t="str">
        <f aca="false">IF($A134="N/A"," ",IF(OR(Dayrun3=2,Dayrun3=3,Dayrun3=10),VLOOKUP($A134,ScaledPrice3,9),0))</f>
        <v> </v>
      </c>
      <c r="I134" s="317" t="str">
        <f aca="false">IF(A134="N/A"," ",IF(OR(Dayrun3=3,Dayrun3=6,Dayrun3=9),(VLOOKUP(A134,ScaledPrice3,IF(Scaler3=2,7,8))),0))</f>
        <v> </v>
      </c>
      <c r="J134" s="317" t="str">
        <f aca="false">IF(A134="N/A"," ",IF(OR(Dayrun3=3,Dayrun3=6),IF(Scaler3=2,I134,(VLOOKUP(A134,ScaledPrice3,7))*(2-(VLOOKUP(A134,ScaledPrice3,3)))),0))</f>
        <v> </v>
      </c>
      <c r="K134" s="317" t="str">
        <f aca="false">IF($A134="N/A"," ",IF(OR(Dayrun3=3,Dayrun3=10),VLOOKUP($A134,ScaledPrice3,9),0))</f>
        <v> </v>
      </c>
      <c r="L134" s="318" t="str">
        <f aca="false">IF($A134="N/A"," ",IF(Pricetype3=2,MAX(C134,0),IF(OR(Pricetype3=1,Pricetype3=4),IF(C134=0,0,(EURO(C134,Strikeprice3,0,0,($AH134+IF(Smile=TRUE(),VLOOKUP(MAX(-5,Strikeprice3-C134),Volsmile,2),0)),($A134-DateToday)+15,IF(Pricetype3=1,1,0),0))),C134)))</f>
        <v> </v>
      </c>
      <c r="M134" s="318" t="str">
        <f aca="false">IF($A134="N/A"," ",IF(Pricetype3=2,MAX(D134,0),IF(OR(Pricetype3=1,Pricetype3=4),IF(D134=0,0,(EURO(D134,Strikeprice3,0,0,($AH134+IF(Smile=TRUE(),VLOOKUP(MAX(-5,Strikeprice3-D134),Volsmile,2),0)),($A134-DateToday)+15,IF(Pricetype3=1,1,0),0))),D134)))</f>
        <v> </v>
      </c>
      <c r="N134" s="318" t="str">
        <f aca="false">IF($A134="N/A"," ",IF(Pricetype3=2,MAX(E134,0),IF(OR(Pricetype3=1,Pricetype3=4),IF(E134=0,0,(EURO(E134,Strikeprice3,0,0,($AK134+IF(Smile=TRUE(),VLOOKUP(MAX(-5,Strikeprice3-E134),Volsmile,2),0)),($A134-DateToday)+15,IF(Pricetype3=1,1,0),0))),E134)))</f>
        <v> </v>
      </c>
      <c r="O134" s="318" t="str">
        <f aca="false">IF($A134="N/A"," ",IF(Pricetype3=2,MAX(F134,0),IF(OR(Pricetype3=1,Pricetype3=4),IF(F134=0,0,(EURO(F134,Strikeprice3,0,0,($AK134+IF(Smile=TRUE(),VLOOKUP(MAX(-5,Strikeprice3-F134),Volsmile,2),0)),($A134-DateToday)+15,IF(Pricetype3=1,1,0),0))),F134)))</f>
        <v> </v>
      </c>
      <c r="P134" s="318" t="str">
        <f aca="false">IF($A134="N/A"," ",IF(Pricetype3=2,MAX(G134,0),IF(OR(Pricetype3=1,Pricetype3=4),IF(G134=0,0,(EURO(G134,Strikeprice3,0,0,($AK134+IF(Smile=TRUE(),VLOOKUP(MAX(-5,Strikeprice3-G134),Volsmile,2),0)),($A134-DateToday)+15,IF(Pricetype3=1,1,0),0))),G134)))</f>
        <v> </v>
      </c>
      <c r="Q134" s="318" t="str">
        <f aca="false">IF($A134="N/A"," ",IF(Pricetype3=2,MAX(H134,0),IF(OR(Pricetype3=1,Pricetype3=4),IF(H134=0,0,(EURO(H134,Strikeprice3,0,0,($AK134+IF(Smile=TRUE(),VLOOKUP(MAX(-5,Strikeprice3-H134),Volsmile,2),0)),($A134-DateToday)+15,IF(Pricetype3=1,1,0),0))),H134)))</f>
        <v> </v>
      </c>
      <c r="R134" s="318" t="str">
        <f aca="false">IF($A134="N/A"," ",IF(Pricetype3=2,MAX(I134,0),IF(OR(Pricetype3=1,Pricetype3=4),IF(I134=0,0,(EURO(I134,Strikeprice3,0,0,($AK134+IF(Smile=TRUE(),VLOOKUP(MAX(-5,Strikeprice3-I134),Volsmile,2),0)),($A134-DateToday)+15,IF(Pricetype3=1,1,0),0))),I134)))</f>
        <v> </v>
      </c>
      <c r="S134" s="318" t="str">
        <f aca="false">IF($A134="N/A"," ",IF(Pricetype3=2,MAX(J134,0),IF(OR(Pricetype3=1,Pricetype3=4),IF(J134=0,0,(EURO(J134,Strikeprice3,0,0,($AK134+IF(Smile=TRUE(),VLOOKUP(MAX(-5,Strikeprice3-J134),Volsmile,2),0)),($A134-DateToday)+15,IF(Pricetype3=1,1,0),0))),J134)))</f>
        <v> </v>
      </c>
      <c r="T134" s="318" t="str">
        <f aca="false">IF($A134="N/A"," ",IF(Pricetype3=2,MAX(K134,0),IF(OR(Pricetype3=1,Pricetype3=4),IF(K134=0,0,(EURO(K134,Strikeprice3,0,0,($AK134+IF(Smile=TRUE(),VLOOKUP(MAX(-5,Strikeprice3-K134),Volsmile,2),0)),($A134-DateToday)+15,IF(Pricetype3=1,1,0),0))),K134)))</f>
        <v> </v>
      </c>
      <c r="U134" s="319" t="str">
        <f aca="false">IF($A134="N/A"," ",Volume3*$AM134)</f>
        <v> </v>
      </c>
      <c r="V134" s="320" t="str">
        <f aca="false">IF($A134="N/A"," ",$U134*(8*($BQ134))*L134)</f>
        <v> </v>
      </c>
      <c r="W134" s="320" t="str">
        <f aca="false">IF($A134="N/A"," ",$U134*(8*($BQ134))*M134)</f>
        <v> </v>
      </c>
      <c r="X134" s="320" t="str">
        <f aca="false">IF($A134="N/A"," ",$U134*(8*($BQ134))*N134)</f>
        <v> </v>
      </c>
      <c r="Y134" s="320" t="str">
        <f aca="false">IF($A134="N/A"," ",$U134*(8*($BR134))*O134)</f>
        <v> </v>
      </c>
      <c r="Z134" s="320" t="str">
        <f aca="false">IF($A134="N/A"," ",$U134*(8*($BR134))*P134)</f>
        <v> </v>
      </c>
      <c r="AA134" s="320" t="str">
        <f aca="false">IF($A134="N/A"," ",$U134*(8*($BR134))*Q134)</f>
        <v> </v>
      </c>
      <c r="AB134" s="320" t="str">
        <f aca="false">IF($A134="N/A"," ",$U134*(8*($BS134))*R134)</f>
        <v> </v>
      </c>
      <c r="AC134" s="320" t="str">
        <f aca="false">IF($A134="N/A"," ",$U134*(8*($BS134))*S134)</f>
        <v> </v>
      </c>
      <c r="AD134" s="320" t="str">
        <f aca="false">IF($A134="N/A"," ",$U134*(8*($BS134))*T134)</f>
        <v> </v>
      </c>
      <c r="AE134" s="320" t="str">
        <f aca="false">IF($A134="N/A"," ",SUM(V134:AD134))</f>
        <v> </v>
      </c>
      <c r="AF134" s="321" t="str">
        <f aca="false">IF(A134="N/A"," ",(VLOOKUP(A134,PowerVolTable,(IF(VolBMO3=2,7,IF(VolBMO3=1,6,8))),FALSE())))</f>
        <v> </v>
      </c>
      <c r="AG134" s="321" t="str">
        <f aca="false">IF(A134="N/A"," ",(VLOOKUP(A134,IntraPowerVol,(IF(VolBMO3=2,3,IF(VolBMO3=1,2,4))),FALSE())*VLOOKUP(MONTH($A134),Volscale,2)))</f>
        <v> </v>
      </c>
      <c r="AH134" s="321" t="str">
        <f aca="false">IF($A134="N/A"," ",IF(VolType3=1,AG134,AF134))</f>
        <v> </v>
      </c>
      <c r="AI134" s="321" t="str">
        <f aca="false">IF($A134="N/A"," ",(VLOOKUP($A134,OffPwrVolTable,(IF(VolBMO3=2,7,IF(VolBMO3=1,6,8))),FALSE())))</f>
        <v> </v>
      </c>
      <c r="AJ134" s="321" t="str">
        <f aca="false">IF($A134="N/A"," ",(VLOOKUP($A134,OffPwrVolTable,(IF(VolBMO3=2,3,IF(VolBMO3=1,2,4))),FALSE())*VLOOKUP(MONTH($A134),Volscale,2)))</f>
        <v> </v>
      </c>
      <c r="AK134" s="321" t="str">
        <f aca="false">IF($A134="N/A"," ",IF(VolType3=1,AJ134,AI134))</f>
        <v> </v>
      </c>
      <c r="AL134" s="321" t="str">
        <f aca="false">IF($A134="N/A"," ",IF(PV=1,0,'Pricing Inputs3'!R167))</f>
        <v> </v>
      </c>
      <c r="AM134" s="323" t="str">
        <f aca="false">IF($A134="N/A"," ",(1+AL134/2)^(-2*((EOMONTH(A134,0)+20)-DateToday)/365.25))</f>
        <v> </v>
      </c>
      <c r="BQ134" s="0" t="str">
        <f aca="false">IF($A134="N/A"," ",(VLOOKUP($A134,NumberofDaysTable,2)))</f>
        <v> </v>
      </c>
      <c r="BR134" s="0" t="str">
        <f aca="false">IF($A134="N/A"," ",(VLOOKUP($A134,NumberofDaysTable,3)))</f>
        <v> </v>
      </c>
      <c r="BS134" s="0" t="str">
        <f aca="false">IF($A134="N/A"," ",(VLOOKUP($A134,NumberofDaysTable,4)))</f>
        <v> </v>
      </c>
    </row>
    <row r="135" customFormat="false" ht="12.75" hidden="false" customHeight="false" outlineLevel="0" collapsed="false">
      <c r="A135" s="315" t="str">
        <f aca="false">IF(A134="N/A","N/A",IF(EDATE(A134,1)&gt;Inputs!$Q$5,"N/A",EDATE(A134,1)))</f>
        <v>N/A</v>
      </c>
      <c r="B135" s="316" t="str">
        <f aca="false">IF(A135="N/A"," ",YEAR(A135))</f>
        <v> </v>
      </c>
      <c r="C135" s="317" t="str">
        <f aca="false">IF($A135="N/A"," ",IF(Dayrun3=10,0,IF(Scaler3=1,(VLOOKUP(A135,ScaledPrice3,4)),(VLOOKUP(A135,ScaledPrice3,2)))))</f>
        <v> </v>
      </c>
      <c r="D135" s="317" t="str">
        <f aca="false">IF(A135="N/A"," ",IF(Dayrun3&gt;=7,0,IF(Scaler3=2,VLOOKUP(A135,ScaledPrice3,2),(VLOOKUP(A135,ScaledPrice3,2))*(2-(VLOOKUP(A135,ScaledPrice3,3))))))</f>
        <v> </v>
      </c>
      <c r="E135" s="317" t="str">
        <f aca="false">IF($A135="N/A"," ",IF(AND(Dayrun3&gt;=4,Dayrun3&lt;=9),0,VLOOKUP($A135,ScaledPrice3,9)))</f>
        <v> </v>
      </c>
      <c r="F135" s="317" t="str">
        <f aca="false">IF(A135="N/A"," ",IF(OR(Dayrun3=2,Dayrun3=3,Dayrun3=5,Dayrun3=6,Dayrun3=8,Dayrun3=9),VLOOKUP(A135,ScaledPrice3,IF(Scaler3=1,6,5)),0))</f>
        <v> </v>
      </c>
      <c r="G135" s="317" t="str">
        <f aca="false">IF(A135="N/A"," ",IF(OR(Dayrun3=2,Dayrun3=3,Dayrun3=5,Dayrun3=6),IF(Scaler3=2,F135,(VLOOKUP(A135,ScaledPrice3,5))*(2-(VLOOKUP(A135,ScaledPrice3,3)))),0))</f>
        <v> </v>
      </c>
      <c r="H135" s="317" t="str">
        <f aca="false">IF($A135="N/A"," ",IF(OR(Dayrun3=2,Dayrun3=3,Dayrun3=10),VLOOKUP($A135,ScaledPrice3,9),0))</f>
        <v> </v>
      </c>
      <c r="I135" s="317" t="str">
        <f aca="false">IF(A135="N/A"," ",IF(OR(Dayrun3=3,Dayrun3=6,Dayrun3=9),(VLOOKUP(A135,ScaledPrice3,IF(Scaler3=2,7,8))),0))</f>
        <v> </v>
      </c>
      <c r="J135" s="317" t="str">
        <f aca="false">IF(A135="N/A"," ",IF(OR(Dayrun3=3,Dayrun3=6),IF(Scaler3=2,I135,(VLOOKUP(A135,ScaledPrice3,7))*(2-(VLOOKUP(A135,ScaledPrice3,3)))),0))</f>
        <v> </v>
      </c>
      <c r="K135" s="317" t="str">
        <f aca="false">IF($A135="N/A"," ",IF(OR(Dayrun3=3,Dayrun3=10),VLOOKUP($A135,ScaledPrice3,9),0))</f>
        <v> </v>
      </c>
      <c r="L135" s="318" t="str">
        <f aca="false">IF($A135="N/A"," ",IF(Pricetype3=2,MAX(C135,0),IF(OR(Pricetype3=1,Pricetype3=4),IF(C135=0,0,(EURO(C135,Strikeprice3,0,0,($AH135+IF(Smile=TRUE(),VLOOKUP(MAX(-5,Strikeprice3-C135),Volsmile,2),0)),($A135-DateToday)+15,IF(Pricetype3=1,1,0),0))),C135)))</f>
        <v> </v>
      </c>
      <c r="M135" s="318" t="str">
        <f aca="false">IF($A135="N/A"," ",IF(Pricetype3=2,MAX(D135,0),IF(OR(Pricetype3=1,Pricetype3=4),IF(D135=0,0,(EURO(D135,Strikeprice3,0,0,($AH135+IF(Smile=TRUE(),VLOOKUP(MAX(-5,Strikeprice3-D135),Volsmile,2),0)),($A135-DateToday)+15,IF(Pricetype3=1,1,0),0))),D135)))</f>
        <v> </v>
      </c>
      <c r="N135" s="318" t="str">
        <f aca="false">IF($A135="N/A"," ",IF(Pricetype3=2,MAX(E135,0),IF(OR(Pricetype3=1,Pricetype3=4),IF(E135=0,0,(EURO(E135,Strikeprice3,0,0,($AK135+IF(Smile=TRUE(),VLOOKUP(MAX(-5,Strikeprice3-E135),Volsmile,2),0)),($A135-DateToday)+15,IF(Pricetype3=1,1,0),0))),E135)))</f>
        <v> </v>
      </c>
      <c r="O135" s="318" t="str">
        <f aca="false">IF($A135="N/A"," ",IF(Pricetype3=2,MAX(F135,0),IF(OR(Pricetype3=1,Pricetype3=4),IF(F135=0,0,(EURO(F135,Strikeprice3,0,0,($AK135+IF(Smile=TRUE(),VLOOKUP(MAX(-5,Strikeprice3-F135),Volsmile,2),0)),($A135-DateToday)+15,IF(Pricetype3=1,1,0),0))),F135)))</f>
        <v> </v>
      </c>
      <c r="P135" s="318" t="str">
        <f aca="false">IF($A135="N/A"," ",IF(Pricetype3=2,MAX(G135,0),IF(OR(Pricetype3=1,Pricetype3=4),IF(G135=0,0,(EURO(G135,Strikeprice3,0,0,($AK135+IF(Smile=TRUE(),VLOOKUP(MAX(-5,Strikeprice3-G135),Volsmile,2),0)),($A135-DateToday)+15,IF(Pricetype3=1,1,0),0))),G135)))</f>
        <v> </v>
      </c>
      <c r="Q135" s="318" t="str">
        <f aca="false">IF($A135="N/A"," ",IF(Pricetype3=2,MAX(H135,0),IF(OR(Pricetype3=1,Pricetype3=4),IF(H135=0,0,(EURO(H135,Strikeprice3,0,0,($AK135+IF(Smile=TRUE(),VLOOKUP(MAX(-5,Strikeprice3-H135),Volsmile,2),0)),($A135-DateToday)+15,IF(Pricetype3=1,1,0),0))),H135)))</f>
        <v> </v>
      </c>
      <c r="R135" s="318" t="str">
        <f aca="false">IF($A135="N/A"," ",IF(Pricetype3=2,MAX(I135,0),IF(OR(Pricetype3=1,Pricetype3=4),IF(I135=0,0,(EURO(I135,Strikeprice3,0,0,($AK135+IF(Smile=TRUE(),VLOOKUP(MAX(-5,Strikeprice3-I135),Volsmile,2),0)),($A135-DateToday)+15,IF(Pricetype3=1,1,0),0))),I135)))</f>
        <v> </v>
      </c>
      <c r="S135" s="318" t="str">
        <f aca="false">IF($A135="N/A"," ",IF(Pricetype3=2,MAX(J135,0),IF(OR(Pricetype3=1,Pricetype3=4),IF(J135=0,0,(EURO(J135,Strikeprice3,0,0,($AK135+IF(Smile=TRUE(),VLOOKUP(MAX(-5,Strikeprice3-J135),Volsmile,2),0)),($A135-DateToday)+15,IF(Pricetype3=1,1,0),0))),J135)))</f>
        <v> </v>
      </c>
      <c r="T135" s="318" t="str">
        <f aca="false">IF($A135="N/A"," ",IF(Pricetype3=2,MAX(K135,0),IF(OR(Pricetype3=1,Pricetype3=4),IF(K135=0,0,(EURO(K135,Strikeprice3,0,0,($AK135+IF(Smile=TRUE(),VLOOKUP(MAX(-5,Strikeprice3-K135),Volsmile,2),0)),($A135-DateToday)+15,IF(Pricetype3=1,1,0),0))),K135)))</f>
        <v> </v>
      </c>
      <c r="U135" s="319" t="str">
        <f aca="false">IF($A135="N/A"," ",Volume3*$AM135)</f>
        <v> </v>
      </c>
      <c r="V135" s="320" t="str">
        <f aca="false">IF($A135="N/A"," ",$U135*(8*($BQ135))*L135)</f>
        <v> </v>
      </c>
      <c r="W135" s="320" t="str">
        <f aca="false">IF($A135="N/A"," ",$U135*(8*($BQ135))*M135)</f>
        <v> </v>
      </c>
      <c r="X135" s="320" t="str">
        <f aca="false">IF($A135="N/A"," ",$U135*(8*($BQ135))*N135)</f>
        <v> </v>
      </c>
      <c r="Y135" s="320" t="str">
        <f aca="false">IF($A135="N/A"," ",$U135*(8*($BR135))*O135)</f>
        <v> </v>
      </c>
      <c r="Z135" s="320" t="str">
        <f aca="false">IF($A135="N/A"," ",$U135*(8*($BR135))*P135)</f>
        <v> </v>
      </c>
      <c r="AA135" s="320" t="str">
        <f aca="false">IF($A135="N/A"," ",$U135*(8*($BR135))*Q135)</f>
        <v> </v>
      </c>
      <c r="AB135" s="320" t="str">
        <f aca="false">IF($A135="N/A"," ",$U135*(8*($BS135))*R135)</f>
        <v> </v>
      </c>
      <c r="AC135" s="320" t="str">
        <f aca="false">IF($A135="N/A"," ",$U135*(8*($BS135))*S135)</f>
        <v> </v>
      </c>
      <c r="AD135" s="320" t="str">
        <f aca="false">IF($A135="N/A"," ",$U135*(8*($BS135))*T135)</f>
        <v> </v>
      </c>
      <c r="AE135" s="320" t="str">
        <f aca="false">IF($A135="N/A"," ",SUM(V135:AD135))</f>
        <v> </v>
      </c>
      <c r="AF135" s="321" t="str">
        <f aca="false">IF(A135="N/A"," ",(VLOOKUP(A135,PowerVolTable,(IF(VolBMO3=2,7,IF(VolBMO3=1,6,8))),FALSE())))</f>
        <v> </v>
      </c>
      <c r="AG135" s="321" t="str">
        <f aca="false">IF(A135="N/A"," ",(VLOOKUP(A135,IntraPowerVol,(IF(VolBMO3=2,3,IF(VolBMO3=1,2,4))),FALSE())*VLOOKUP(MONTH($A135),Volscale,2)))</f>
        <v> </v>
      </c>
      <c r="AH135" s="321" t="str">
        <f aca="false">IF($A135="N/A"," ",IF(VolType3=1,AG135,AF135))</f>
        <v> </v>
      </c>
      <c r="AI135" s="321" t="str">
        <f aca="false">IF($A135="N/A"," ",(VLOOKUP($A135,OffPwrVolTable,(IF(VolBMO3=2,7,IF(VolBMO3=1,6,8))),FALSE())))</f>
        <v> </v>
      </c>
      <c r="AJ135" s="321" t="str">
        <f aca="false">IF($A135="N/A"," ",(VLOOKUP($A135,OffPwrVolTable,(IF(VolBMO3=2,3,IF(VolBMO3=1,2,4))),FALSE())*VLOOKUP(MONTH($A135),Volscale,2)))</f>
        <v> </v>
      </c>
      <c r="AK135" s="321" t="str">
        <f aca="false">IF($A135="N/A"," ",IF(VolType3=1,AJ135,AI135))</f>
        <v> </v>
      </c>
      <c r="AL135" s="321" t="str">
        <f aca="false">IF($A135="N/A"," ",IF(PV=1,0,'Pricing Inputs3'!R168))</f>
        <v> </v>
      </c>
      <c r="AM135" s="323" t="str">
        <f aca="false">IF($A135="N/A"," ",(1+AL135/2)^(-2*((EOMONTH(A135,0)+20)-DateToday)/365.25))</f>
        <v> </v>
      </c>
      <c r="BQ135" s="0" t="str">
        <f aca="false">IF($A135="N/A"," ",(VLOOKUP($A135,NumberofDaysTable,2)))</f>
        <v> </v>
      </c>
      <c r="BR135" s="0" t="str">
        <f aca="false">IF($A135="N/A"," ",(VLOOKUP($A135,NumberofDaysTable,3)))</f>
        <v> </v>
      </c>
      <c r="BS135" s="0" t="str">
        <f aca="false">IF($A135="N/A"," ",(VLOOKUP($A135,NumberofDaysTable,4)))</f>
        <v> </v>
      </c>
    </row>
    <row r="136" customFormat="false" ht="12.75" hidden="false" customHeight="false" outlineLevel="0" collapsed="false">
      <c r="A136" s="315" t="str">
        <f aca="false">IF(A135="N/A","N/A",IF(EDATE(A135,1)&gt;Inputs!$Q$5,"N/A",EDATE(A135,1)))</f>
        <v>N/A</v>
      </c>
      <c r="B136" s="316" t="str">
        <f aca="false">IF(A136="N/A"," ",YEAR(A136))</f>
        <v> </v>
      </c>
      <c r="C136" s="317" t="str">
        <f aca="false">IF($A136="N/A"," ",IF(Dayrun3=10,0,IF(Scaler3=1,(VLOOKUP(A136,ScaledPrice3,4)),(VLOOKUP(A136,ScaledPrice3,2)))))</f>
        <v> </v>
      </c>
      <c r="D136" s="317" t="str">
        <f aca="false">IF(A136="N/A"," ",IF(Dayrun3&gt;=7,0,IF(Scaler3=2,VLOOKUP(A136,ScaledPrice3,2),(VLOOKUP(A136,ScaledPrice3,2))*(2-(VLOOKUP(A136,ScaledPrice3,3))))))</f>
        <v> </v>
      </c>
      <c r="E136" s="317" t="str">
        <f aca="false">IF($A136="N/A"," ",IF(AND(Dayrun3&gt;=4,Dayrun3&lt;=9),0,VLOOKUP($A136,ScaledPrice3,9)))</f>
        <v> </v>
      </c>
      <c r="F136" s="317" t="str">
        <f aca="false">IF(A136="N/A"," ",IF(OR(Dayrun3=2,Dayrun3=3,Dayrun3=5,Dayrun3=6,Dayrun3=8,Dayrun3=9),VLOOKUP(A136,ScaledPrice3,IF(Scaler3=1,6,5)),0))</f>
        <v> </v>
      </c>
      <c r="G136" s="317" t="str">
        <f aca="false">IF(A136="N/A"," ",IF(OR(Dayrun3=2,Dayrun3=3,Dayrun3=5,Dayrun3=6),IF(Scaler3=2,F136,(VLOOKUP(A136,ScaledPrice3,5))*(2-(VLOOKUP(A136,ScaledPrice3,3)))),0))</f>
        <v> </v>
      </c>
      <c r="H136" s="317" t="str">
        <f aca="false">IF($A136="N/A"," ",IF(OR(Dayrun3=2,Dayrun3=3,Dayrun3=10),VLOOKUP($A136,ScaledPrice3,9),0))</f>
        <v> </v>
      </c>
      <c r="I136" s="317" t="str">
        <f aca="false">IF(A136="N/A"," ",IF(OR(Dayrun3=3,Dayrun3=6,Dayrun3=9),(VLOOKUP(A136,ScaledPrice3,IF(Scaler3=2,7,8))),0))</f>
        <v> </v>
      </c>
      <c r="J136" s="317" t="str">
        <f aca="false">IF(A136="N/A"," ",IF(OR(Dayrun3=3,Dayrun3=6),IF(Scaler3=2,I136,(VLOOKUP(A136,ScaledPrice3,7))*(2-(VLOOKUP(A136,ScaledPrice3,3)))),0))</f>
        <v> </v>
      </c>
      <c r="K136" s="317" t="str">
        <f aca="false">IF($A136="N/A"," ",IF(OR(Dayrun3=3,Dayrun3=10),VLOOKUP($A136,ScaledPrice3,9),0))</f>
        <v> </v>
      </c>
      <c r="L136" s="318" t="str">
        <f aca="false">IF($A136="N/A"," ",IF(Pricetype3=2,MAX(C136,0),IF(OR(Pricetype3=1,Pricetype3=4),IF(C136=0,0,(EURO(C136,Strikeprice3,0,0,($AH136+IF(Smile=TRUE(),VLOOKUP(MAX(-5,Strikeprice3-C136),Volsmile,2),0)),($A136-DateToday)+15,IF(Pricetype3=1,1,0),0))),C136)))</f>
        <v> </v>
      </c>
      <c r="M136" s="318" t="str">
        <f aca="false">IF($A136="N/A"," ",IF(Pricetype3=2,MAX(D136,0),IF(OR(Pricetype3=1,Pricetype3=4),IF(D136=0,0,(EURO(D136,Strikeprice3,0,0,($AH136+IF(Smile=TRUE(),VLOOKUP(MAX(-5,Strikeprice3-D136),Volsmile,2),0)),($A136-DateToday)+15,IF(Pricetype3=1,1,0),0))),D136)))</f>
        <v> </v>
      </c>
      <c r="N136" s="318" t="str">
        <f aca="false">IF($A136="N/A"," ",IF(Pricetype3=2,MAX(E136,0),IF(OR(Pricetype3=1,Pricetype3=4),IF(E136=0,0,(EURO(E136,Strikeprice3,0,0,($AK136+IF(Smile=TRUE(),VLOOKUP(MAX(-5,Strikeprice3-E136),Volsmile,2),0)),($A136-DateToday)+15,IF(Pricetype3=1,1,0),0))),E136)))</f>
        <v> </v>
      </c>
      <c r="O136" s="318" t="str">
        <f aca="false">IF($A136="N/A"," ",IF(Pricetype3=2,MAX(F136,0),IF(OR(Pricetype3=1,Pricetype3=4),IF(F136=0,0,(EURO(F136,Strikeprice3,0,0,($AK136+IF(Smile=TRUE(),VLOOKUP(MAX(-5,Strikeprice3-F136),Volsmile,2),0)),($A136-DateToday)+15,IF(Pricetype3=1,1,0),0))),F136)))</f>
        <v> </v>
      </c>
      <c r="P136" s="318" t="str">
        <f aca="false">IF($A136="N/A"," ",IF(Pricetype3=2,MAX(G136,0),IF(OR(Pricetype3=1,Pricetype3=4),IF(G136=0,0,(EURO(G136,Strikeprice3,0,0,($AK136+IF(Smile=TRUE(),VLOOKUP(MAX(-5,Strikeprice3-G136),Volsmile,2),0)),($A136-DateToday)+15,IF(Pricetype3=1,1,0),0))),G136)))</f>
        <v> </v>
      </c>
      <c r="Q136" s="318" t="str">
        <f aca="false">IF($A136="N/A"," ",IF(Pricetype3=2,MAX(H136,0),IF(OR(Pricetype3=1,Pricetype3=4),IF(H136=0,0,(EURO(H136,Strikeprice3,0,0,($AK136+IF(Smile=TRUE(),VLOOKUP(MAX(-5,Strikeprice3-H136),Volsmile,2),0)),($A136-DateToday)+15,IF(Pricetype3=1,1,0),0))),H136)))</f>
        <v> </v>
      </c>
      <c r="R136" s="318" t="str">
        <f aca="false">IF($A136="N/A"," ",IF(Pricetype3=2,MAX(I136,0),IF(OR(Pricetype3=1,Pricetype3=4),IF(I136=0,0,(EURO(I136,Strikeprice3,0,0,($AK136+IF(Smile=TRUE(),VLOOKUP(MAX(-5,Strikeprice3-I136),Volsmile,2),0)),($A136-DateToday)+15,IF(Pricetype3=1,1,0),0))),I136)))</f>
        <v> </v>
      </c>
      <c r="S136" s="318" t="str">
        <f aca="false">IF($A136="N/A"," ",IF(Pricetype3=2,MAX(J136,0),IF(OR(Pricetype3=1,Pricetype3=4),IF(J136=0,0,(EURO(J136,Strikeprice3,0,0,($AK136+IF(Smile=TRUE(),VLOOKUP(MAX(-5,Strikeprice3-J136),Volsmile,2),0)),($A136-DateToday)+15,IF(Pricetype3=1,1,0),0))),J136)))</f>
        <v> </v>
      </c>
      <c r="T136" s="318" t="str">
        <f aca="false">IF($A136="N/A"," ",IF(Pricetype3=2,MAX(K136,0),IF(OR(Pricetype3=1,Pricetype3=4),IF(K136=0,0,(EURO(K136,Strikeprice3,0,0,($AK136+IF(Smile=TRUE(),VLOOKUP(MAX(-5,Strikeprice3-K136),Volsmile,2),0)),($A136-DateToday)+15,IF(Pricetype3=1,1,0),0))),K136)))</f>
        <v> </v>
      </c>
      <c r="U136" s="319" t="str">
        <f aca="false">IF($A136="N/A"," ",Volume3*$AM136)</f>
        <v> </v>
      </c>
      <c r="V136" s="320" t="str">
        <f aca="false">IF($A136="N/A"," ",$U136*(8*($BQ136))*L136)</f>
        <v> </v>
      </c>
      <c r="W136" s="320" t="str">
        <f aca="false">IF($A136="N/A"," ",$U136*(8*($BQ136))*M136)</f>
        <v> </v>
      </c>
      <c r="X136" s="320" t="str">
        <f aca="false">IF($A136="N/A"," ",$U136*(8*($BQ136))*N136)</f>
        <v> </v>
      </c>
      <c r="Y136" s="320" t="str">
        <f aca="false">IF($A136="N/A"," ",$U136*(8*($BR136))*O136)</f>
        <v> </v>
      </c>
      <c r="Z136" s="320" t="str">
        <f aca="false">IF($A136="N/A"," ",$U136*(8*($BR136))*P136)</f>
        <v> </v>
      </c>
      <c r="AA136" s="320" t="str">
        <f aca="false">IF($A136="N/A"," ",$U136*(8*($BR136))*Q136)</f>
        <v> </v>
      </c>
      <c r="AB136" s="320" t="str">
        <f aca="false">IF($A136="N/A"," ",$U136*(8*($BS136))*R136)</f>
        <v> </v>
      </c>
      <c r="AC136" s="320" t="str">
        <f aca="false">IF($A136="N/A"," ",$U136*(8*($BS136))*S136)</f>
        <v> </v>
      </c>
      <c r="AD136" s="320" t="str">
        <f aca="false">IF($A136="N/A"," ",$U136*(8*($BS136))*T136)</f>
        <v> </v>
      </c>
      <c r="AE136" s="320" t="str">
        <f aca="false">IF($A136="N/A"," ",SUM(V136:AD136))</f>
        <v> </v>
      </c>
      <c r="AF136" s="321" t="str">
        <f aca="false">IF(A136="N/A"," ",(VLOOKUP(A136,PowerVolTable,(IF(VolBMO3=2,7,IF(VolBMO3=1,6,8))),FALSE())))</f>
        <v> </v>
      </c>
      <c r="AG136" s="321" t="str">
        <f aca="false">IF(A136="N/A"," ",(VLOOKUP(A136,IntraPowerVol,(IF(VolBMO3=2,3,IF(VolBMO3=1,2,4))),FALSE())*VLOOKUP(MONTH($A136),Volscale,2)))</f>
        <v> </v>
      </c>
      <c r="AH136" s="321" t="str">
        <f aca="false">IF($A136="N/A"," ",IF(VolType3=1,AG136,AF136))</f>
        <v> </v>
      </c>
      <c r="AI136" s="321" t="str">
        <f aca="false">IF($A136="N/A"," ",(VLOOKUP($A136,OffPwrVolTable,(IF(VolBMO3=2,7,IF(VolBMO3=1,6,8))),FALSE())))</f>
        <v> </v>
      </c>
      <c r="AJ136" s="321" t="str">
        <f aca="false">IF($A136="N/A"," ",(VLOOKUP($A136,OffPwrVolTable,(IF(VolBMO3=2,3,IF(VolBMO3=1,2,4))),FALSE())*VLOOKUP(MONTH($A136),Volscale,2)))</f>
        <v> </v>
      </c>
      <c r="AK136" s="321" t="str">
        <f aca="false">IF($A136="N/A"," ",IF(VolType3=1,AJ136,AI136))</f>
        <v> </v>
      </c>
      <c r="AL136" s="321" t="str">
        <f aca="false">IF($A136="N/A"," ",IF(PV=1,0,'Pricing Inputs3'!R169))</f>
        <v> </v>
      </c>
      <c r="AM136" s="323" t="str">
        <f aca="false">IF($A136="N/A"," ",(1+AL136/2)^(-2*((EOMONTH(A136,0)+20)-DateToday)/365.25))</f>
        <v> </v>
      </c>
      <c r="BQ136" s="0" t="str">
        <f aca="false">IF($A136="N/A"," ",(VLOOKUP($A136,NumberofDaysTable,2)))</f>
        <v> </v>
      </c>
      <c r="BR136" s="0" t="str">
        <f aca="false">IF($A136="N/A"," ",(VLOOKUP($A136,NumberofDaysTable,3)))</f>
        <v> </v>
      </c>
      <c r="BS136" s="0" t="str">
        <f aca="false">IF($A136="N/A"," ",(VLOOKUP($A136,NumberofDaysTable,4)))</f>
        <v> </v>
      </c>
    </row>
    <row r="137" customFormat="false" ht="12.75" hidden="false" customHeight="false" outlineLevel="0" collapsed="false">
      <c r="A137" s="315" t="str">
        <f aca="false">IF(A136="N/A","N/A",IF(EDATE(A136,1)&gt;Inputs!$Q$5,"N/A",EDATE(A136,1)))</f>
        <v>N/A</v>
      </c>
      <c r="B137" s="316" t="str">
        <f aca="false">IF(A137="N/A"," ",YEAR(A137))</f>
        <v> </v>
      </c>
      <c r="C137" s="317" t="str">
        <f aca="false">IF($A137="N/A"," ",IF(Dayrun3=10,0,IF(Scaler3=1,(VLOOKUP(A137,ScaledPrice3,4)),(VLOOKUP(A137,ScaledPrice3,2)))))</f>
        <v> </v>
      </c>
      <c r="D137" s="317" t="str">
        <f aca="false">IF(A137="N/A"," ",IF(Dayrun3&gt;=7,0,IF(Scaler3=2,VLOOKUP(A137,ScaledPrice3,2),(VLOOKUP(A137,ScaledPrice3,2))*(2-(VLOOKUP(A137,ScaledPrice3,3))))))</f>
        <v> </v>
      </c>
      <c r="E137" s="317" t="str">
        <f aca="false">IF($A137="N/A"," ",IF(AND(Dayrun3&gt;=4,Dayrun3&lt;=9),0,VLOOKUP($A137,ScaledPrice3,9)))</f>
        <v> </v>
      </c>
      <c r="F137" s="317" t="str">
        <f aca="false">IF(A137="N/A"," ",IF(OR(Dayrun3=2,Dayrun3=3,Dayrun3=5,Dayrun3=6,Dayrun3=8,Dayrun3=9),VLOOKUP(A137,ScaledPrice3,IF(Scaler3=1,6,5)),0))</f>
        <v> </v>
      </c>
      <c r="G137" s="317" t="str">
        <f aca="false">IF(A137="N/A"," ",IF(OR(Dayrun3=2,Dayrun3=3,Dayrun3=5,Dayrun3=6),IF(Scaler3=2,F137,(VLOOKUP(A137,ScaledPrice3,5))*(2-(VLOOKUP(A137,ScaledPrice3,3)))),0))</f>
        <v> </v>
      </c>
      <c r="H137" s="317" t="str">
        <f aca="false">IF($A137="N/A"," ",IF(OR(Dayrun3=2,Dayrun3=3,Dayrun3=10),VLOOKUP($A137,ScaledPrice3,9),0))</f>
        <v> </v>
      </c>
      <c r="I137" s="317" t="str">
        <f aca="false">IF(A137="N/A"," ",IF(OR(Dayrun3=3,Dayrun3=6,Dayrun3=9),(VLOOKUP(A137,ScaledPrice3,IF(Scaler3=2,7,8))),0))</f>
        <v> </v>
      </c>
      <c r="J137" s="317" t="str">
        <f aca="false">IF(A137="N/A"," ",IF(OR(Dayrun3=3,Dayrun3=6),IF(Scaler3=2,I137,(VLOOKUP(A137,ScaledPrice3,7))*(2-(VLOOKUP(A137,ScaledPrice3,3)))),0))</f>
        <v> </v>
      </c>
      <c r="K137" s="317" t="str">
        <f aca="false">IF($A137="N/A"," ",IF(OR(Dayrun3=3,Dayrun3=10),VLOOKUP($A137,ScaledPrice3,9),0))</f>
        <v> </v>
      </c>
      <c r="L137" s="318" t="str">
        <f aca="false">IF($A137="N/A"," ",IF(Pricetype3=2,MAX(C137,0),IF(OR(Pricetype3=1,Pricetype3=4),IF(C137=0,0,(EURO(C137,Strikeprice3,0,0,($AH137+IF(Smile=TRUE(),VLOOKUP(MAX(-5,Strikeprice3-C137),Volsmile,2),0)),($A137-DateToday)+15,IF(Pricetype3=1,1,0),0))),C137)))</f>
        <v> </v>
      </c>
      <c r="M137" s="318" t="str">
        <f aca="false">IF($A137="N/A"," ",IF(Pricetype3=2,MAX(D137,0),IF(OR(Pricetype3=1,Pricetype3=4),IF(D137=0,0,(EURO(D137,Strikeprice3,0,0,($AH137+IF(Smile=TRUE(),VLOOKUP(MAX(-5,Strikeprice3-D137),Volsmile,2),0)),($A137-DateToday)+15,IF(Pricetype3=1,1,0),0))),D137)))</f>
        <v> </v>
      </c>
      <c r="N137" s="318" t="str">
        <f aca="false">IF($A137="N/A"," ",IF(Pricetype3=2,MAX(E137,0),IF(OR(Pricetype3=1,Pricetype3=4),IF(E137=0,0,(EURO(E137,Strikeprice3,0,0,($AK137+IF(Smile=TRUE(),VLOOKUP(MAX(-5,Strikeprice3-E137),Volsmile,2),0)),($A137-DateToday)+15,IF(Pricetype3=1,1,0),0))),E137)))</f>
        <v> </v>
      </c>
      <c r="O137" s="318" t="str">
        <f aca="false">IF($A137="N/A"," ",IF(Pricetype3=2,MAX(F137,0),IF(OR(Pricetype3=1,Pricetype3=4),IF(F137=0,0,(EURO(F137,Strikeprice3,0,0,($AK137+IF(Smile=TRUE(),VLOOKUP(MAX(-5,Strikeprice3-F137),Volsmile,2),0)),($A137-DateToday)+15,IF(Pricetype3=1,1,0),0))),F137)))</f>
        <v> </v>
      </c>
      <c r="P137" s="318" t="str">
        <f aca="false">IF($A137="N/A"," ",IF(Pricetype3=2,MAX(G137,0),IF(OR(Pricetype3=1,Pricetype3=4),IF(G137=0,0,(EURO(G137,Strikeprice3,0,0,($AK137+IF(Smile=TRUE(),VLOOKUP(MAX(-5,Strikeprice3-G137),Volsmile,2),0)),($A137-DateToday)+15,IF(Pricetype3=1,1,0),0))),G137)))</f>
        <v> </v>
      </c>
      <c r="Q137" s="318" t="str">
        <f aca="false">IF($A137="N/A"," ",IF(Pricetype3=2,MAX(H137,0),IF(OR(Pricetype3=1,Pricetype3=4),IF(H137=0,0,(EURO(H137,Strikeprice3,0,0,($AK137+IF(Smile=TRUE(),VLOOKUP(MAX(-5,Strikeprice3-H137),Volsmile,2),0)),($A137-DateToday)+15,IF(Pricetype3=1,1,0),0))),H137)))</f>
        <v> </v>
      </c>
      <c r="R137" s="318" t="str">
        <f aca="false">IF($A137="N/A"," ",IF(Pricetype3=2,MAX(I137,0),IF(OR(Pricetype3=1,Pricetype3=4),IF(I137=0,0,(EURO(I137,Strikeprice3,0,0,($AK137+IF(Smile=TRUE(),VLOOKUP(MAX(-5,Strikeprice3-I137),Volsmile,2),0)),($A137-DateToday)+15,IF(Pricetype3=1,1,0),0))),I137)))</f>
        <v> </v>
      </c>
      <c r="S137" s="318" t="str">
        <f aca="false">IF($A137="N/A"," ",IF(Pricetype3=2,MAX(J137,0),IF(OR(Pricetype3=1,Pricetype3=4),IF(J137=0,0,(EURO(J137,Strikeprice3,0,0,($AK137+IF(Smile=TRUE(),VLOOKUP(MAX(-5,Strikeprice3-J137),Volsmile,2),0)),($A137-DateToday)+15,IF(Pricetype3=1,1,0),0))),J137)))</f>
        <v> </v>
      </c>
      <c r="T137" s="318" t="str">
        <f aca="false">IF($A137="N/A"," ",IF(Pricetype3=2,MAX(K137,0),IF(OR(Pricetype3=1,Pricetype3=4),IF(K137=0,0,(EURO(K137,Strikeprice3,0,0,($AK137+IF(Smile=TRUE(),VLOOKUP(MAX(-5,Strikeprice3-K137),Volsmile,2),0)),($A137-DateToday)+15,IF(Pricetype3=1,1,0),0))),K137)))</f>
        <v> </v>
      </c>
      <c r="U137" s="319" t="str">
        <f aca="false">IF($A137="N/A"," ",Volume3*$AM137)</f>
        <v> </v>
      </c>
      <c r="V137" s="320" t="str">
        <f aca="false">IF($A137="N/A"," ",$U137*(8*($BQ137))*L137)</f>
        <v> </v>
      </c>
      <c r="W137" s="320" t="str">
        <f aca="false">IF($A137="N/A"," ",$U137*(8*($BQ137))*M137)</f>
        <v> </v>
      </c>
      <c r="X137" s="320" t="str">
        <f aca="false">IF($A137="N/A"," ",$U137*(8*($BQ137))*N137)</f>
        <v> </v>
      </c>
      <c r="Y137" s="320" t="str">
        <f aca="false">IF($A137="N/A"," ",$U137*(8*($BR137))*O137)</f>
        <v> </v>
      </c>
      <c r="Z137" s="320" t="str">
        <f aca="false">IF($A137="N/A"," ",$U137*(8*($BR137))*P137)</f>
        <v> </v>
      </c>
      <c r="AA137" s="320" t="str">
        <f aca="false">IF($A137="N/A"," ",$U137*(8*($BR137))*Q137)</f>
        <v> </v>
      </c>
      <c r="AB137" s="320" t="str">
        <f aca="false">IF($A137="N/A"," ",$U137*(8*($BS137))*R137)</f>
        <v> </v>
      </c>
      <c r="AC137" s="320" t="str">
        <f aca="false">IF($A137="N/A"," ",$U137*(8*($BS137))*S137)</f>
        <v> </v>
      </c>
      <c r="AD137" s="320" t="str">
        <f aca="false">IF($A137="N/A"," ",$U137*(8*($BS137))*T137)</f>
        <v> </v>
      </c>
      <c r="AE137" s="320" t="str">
        <f aca="false">IF($A137="N/A"," ",SUM(V137:AD137))</f>
        <v> </v>
      </c>
      <c r="AF137" s="321" t="str">
        <f aca="false">IF(A137="N/A"," ",(VLOOKUP(A137,PowerVolTable,(IF(VolBMO3=2,7,IF(VolBMO3=1,6,8))),FALSE())))</f>
        <v> </v>
      </c>
      <c r="AG137" s="321" t="str">
        <f aca="false">IF(A137="N/A"," ",(VLOOKUP(A137,IntraPowerVol,(IF(VolBMO3=2,3,IF(VolBMO3=1,2,4))),FALSE())*VLOOKUP(MONTH($A137),Volscale,2)))</f>
        <v> </v>
      </c>
      <c r="AH137" s="321" t="str">
        <f aca="false">IF($A137="N/A"," ",IF(VolType3=1,AG137,AF137))</f>
        <v> </v>
      </c>
      <c r="AI137" s="321" t="str">
        <f aca="false">IF($A137="N/A"," ",(VLOOKUP($A137,OffPwrVolTable,(IF(VolBMO3=2,7,IF(VolBMO3=1,6,8))),FALSE())))</f>
        <v> </v>
      </c>
      <c r="AJ137" s="321" t="str">
        <f aca="false">IF($A137="N/A"," ",(VLOOKUP($A137,OffPwrVolTable,(IF(VolBMO3=2,3,IF(VolBMO3=1,2,4))),FALSE())*VLOOKUP(MONTH($A137),Volscale,2)))</f>
        <v> </v>
      </c>
      <c r="AK137" s="321" t="str">
        <f aca="false">IF($A137="N/A"," ",IF(VolType3=1,AJ137,AI137))</f>
        <v> </v>
      </c>
      <c r="AL137" s="321" t="str">
        <f aca="false">IF($A137="N/A"," ",IF(PV=1,0,'Pricing Inputs3'!R170))</f>
        <v> </v>
      </c>
      <c r="AM137" s="323" t="str">
        <f aca="false">IF($A137="N/A"," ",(1+AL137/2)^(-2*((EOMONTH(A137,0)+20)-DateToday)/365.25))</f>
        <v> </v>
      </c>
      <c r="BQ137" s="0" t="str">
        <f aca="false">IF($A137="N/A"," ",(VLOOKUP($A137,NumberofDaysTable,2)))</f>
        <v> </v>
      </c>
      <c r="BR137" s="0" t="str">
        <f aca="false">IF($A137="N/A"," ",(VLOOKUP($A137,NumberofDaysTable,3)))</f>
        <v> </v>
      </c>
      <c r="BS137" s="0" t="str">
        <f aca="false">IF($A137="N/A"," ",(VLOOKUP($A137,NumberofDaysTable,4)))</f>
        <v> </v>
      </c>
    </row>
    <row r="138" customFormat="false" ht="12.75" hidden="false" customHeight="false" outlineLevel="0" collapsed="false">
      <c r="A138" s="315" t="str">
        <f aca="false">IF(A137="N/A","N/A",IF(EDATE(A137,1)&gt;Inputs!$Q$5,"N/A",EDATE(A137,1)))</f>
        <v>N/A</v>
      </c>
      <c r="B138" s="316" t="str">
        <f aca="false">IF(A138="N/A"," ",YEAR(A138))</f>
        <v> </v>
      </c>
      <c r="C138" s="317" t="str">
        <f aca="false">IF($A138="N/A"," ",IF(Dayrun3=10,0,IF(Scaler3=1,(VLOOKUP(A138,ScaledPrice3,4)),(VLOOKUP(A138,ScaledPrice3,2)))))</f>
        <v> </v>
      </c>
      <c r="D138" s="317" t="str">
        <f aca="false">IF(A138="N/A"," ",IF(Dayrun3&gt;=7,0,IF(Scaler3=2,VLOOKUP(A138,ScaledPrice3,2),(VLOOKUP(A138,ScaledPrice3,2))*(2-(VLOOKUP(A138,ScaledPrice3,3))))))</f>
        <v> </v>
      </c>
      <c r="E138" s="317" t="str">
        <f aca="false">IF($A138="N/A"," ",IF(AND(Dayrun3&gt;=4,Dayrun3&lt;=9),0,VLOOKUP($A138,ScaledPrice3,9)))</f>
        <v> </v>
      </c>
      <c r="F138" s="317" t="str">
        <f aca="false">IF(A138="N/A"," ",IF(OR(Dayrun3=2,Dayrun3=3,Dayrun3=5,Dayrun3=6,Dayrun3=8,Dayrun3=9),VLOOKUP(A138,ScaledPrice3,IF(Scaler3=1,6,5)),0))</f>
        <v> </v>
      </c>
      <c r="G138" s="317" t="str">
        <f aca="false">IF(A138="N/A"," ",IF(OR(Dayrun3=2,Dayrun3=3,Dayrun3=5,Dayrun3=6),IF(Scaler3=2,F138,(VLOOKUP(A138,ScaledPrice3,5))*(2-(VLOOKUP(A138,ScaledPrice3,3)))),0))</f>
        <v> </v>
      </c>
      <c r="H138" s="317" t="str">
        <f aca="false">IF($A138="N/A"," ",IF(OR(Dayrun3=2,Dayrun3=3,Dayrun3=10),VLOOKUP($A138,ScaledPrice3,9),0))</f>
        <v> </v>
      </c>
      <c r="I138" s="317" t="str">
        <f aca="false">IF(A138="N/A"," ",IF(OR(Dayrun3=3,Dayrun3=6,Dayrun3=9),(VLOOKUP(A138,ScaledPrice3,IF(Scaler3=2,7,8))),0))</f>
        <v> </v>
      </c>
      <c r="J138" s="317" t="str">
        <f aca="false">IF(A138="N/A"," ",IF(OR(Dayrun3=3,Dayrun3=6),IF(Scaler3=2,I138,(VLOOKUP(A138,ScaledPrice3,7))*(2-(VLOOKUP(A138,ScaledPrice3,3)))),0))</f>
        <v> </v>
      </c>
      <c r="K138" s="317" t="str">
        <f aca="false">IF($A138="N/A"," ",IF(OR(Dayrun3=3,Dayrun3=10),VLOOKUP($A138,ScaledPrice3,9),0))</f>
        <v> </v>
      </c>
      <c r="L138" s="318" t="str">
        <f aca="false">IF($A138="N/A"," ",IF(Pricetype3=2,MAX(C138,0),IF(OR(Pricetype3=1,Pricetype3=4),IF(C138=0,0,(EURO(C138,Strikeprice3,0,0,($AH138+IF(Smile=TRUE(),VLOOKUP(MAX(-5,Strikeprice3-C138),Volsmile,2),0)),($A138-DateToday)+15,IF(Pricetype3=1,1,0),0))),C138)))</f>
        <v> </v>
      </c>
      <c r="M138" s="318" t="str">
        <f aca="false">IF($A138="N/A"," ",IF(Pricetype3=2,MAX(D138,0),IF(OR(Pricetype3=1,Pricetype3=4),IF(D138=0,0,(EURO(D138,Strikeprice3,0,0,($AH138+IF(Smile=TRUE(),VLOOKUP(MAX(-5,Strikeprice3-D138),Volsmile,2),0)),($A138-DateToday)+15,IF(Pricetype3=1,1,0),0))),D138)))</f>
        <v> </v>
      </c>
      <c r="N138" s="318" t="str">
        <f aca="false">IF($A138="N/A"," ",IF(Pricetype3=2,MAX(E138,0),IF(OR(Pricetype3=1,Pricetype3=4),IF(E138=0,0,(EURO(E138,Strikeprice3,0,0,($AK138+IF(Smile=TRUE(),VLOOKUP(MAX(-5,Strikeprice3-E138),Volsmile,2),0)),($A138-DateToday)+15,IF(Pricetype3=1,1,0),0))),E138)))</f>
        <v> </v>
      </c>
      <c r="O138" s="318" t="str">
        <f aca="false">IF($A138="N/A"," ",IF(Pricetype3=2,MAX(F138,0),IF(OR(Pricetype3=1,Pricetype3=4),IF(F138=0,0,(EURO(F138,Strikeprice3,0,0,($AK138+IF(Smile=TRUE(),VLOOKUP(MAX(-5,Strikeprice3-F138),Volsmile,2),0)),($A138-DateToday)+15,IF(Pricetype3=1,1,0),0))),F138)))</f>
        <v> </v>
      </c>
      <c r="P138" s="318" t="str">
        <f aca="false">IF($A138="N/A"," ",IF(Pricetype3=2,MAX(G138,0),IF(OR(Pricetype3=1,Pricetype3=4),IF(G138=0,0,(EURO(G138,Strikeprice3,0,0,($AK138+IF(Smile=TRUE(),VLOOKUP(MAX(-5,Strikeprice3-G138),Volsmile,2),0)),($A138-DateToday)+15,IF(Pricetype3=1,1,0),0))),G138)))</f>
        <v> </v>
      </c>
      <c r="Q138" s="318" t="str">
        <f aca="false">IF($A138="N/A"," ",IF(Pricetype3=2,MAX(H138,0),IF(OR(Pricetype3=1,Pricetype3=4),IF(H138=0,0,(EURO(H138,Strikeprice3,0,0,($AK138+IF(Smile=TRUE(),VLOOKUP(MAX(-5,Strikeprice3-H138),Volsmile,2),0)),($A138-DateToday)+15,IF(Pricetype3=1,1,0),0))),H138)))</f>
        <v> </v>
      </c>
      <c r="R138" s="318" t="str">
        <f aca="false">IF($A138="N/A"," ",IF(Pricetype3=2,MAX(I138,0),IF(OR(Pricetype3=1,Pricetype3=4),IF(I138=0,0,(EURO(I138,Strikeprice3,0,0,($AK138+IF(Smile=TRUE(),VLOOKUP(MAX(-5,Strikeprice3-I138),Volsmile,2),0)),($A138-DateToday)+15,IF(Pricetype3=1,1,0),0))),I138)))</f>
        <v> </v>
      </c>
      <c r="S138" s="318" t="str">
        <f aca="false">IF($A138="N/A"," ",IF(Pricetype3=2,MAX(J138,0),IF(OR(Pricetype3=1,Pricetype3=4),IF(J138=0,0,(EURO(J138,Strikeprice3,0,0,($AK138+IF(Smile=TRUE(),VLOOKUP(MAX(-5,Strikeprice3-J138),Volsmile,2),0)),($A138-DateToday)+15,IF(Pricetype3=1,1,0),0))),J138)))</f>
        <v> </v>
      </c>
      <c r="T138" s="318" t="str">
        <f aca="false">IF($A138="N/A"," ",IF(Pricetype3=2,MAX(K138,0),IF(OR(Pricetype3=1,Pricetype3=4),IF(K138=0,0,(EURO(K138,Strikeprice3,0,0,($AK138+IF(Smile=TRUE(),VLOOKUP(MAX(-5,Strikeprice3-K138),Volsmile,2),0)),($A138-DateToday)+15,IF(Pricetype3=1,1,0),0))),K138)))</f>
        <v> </v>
      </c>
      <c r="U138" s="319" t="str">
        <f aca="false">IF($A138="N/A"," ",Volume3*$AM138)</f>
        <v> </v>
      </c>
      <c r="V138" s="320" t="str">
        <f aca="false">IF($A138="N/A"," ",$U138*(8*($BQ138))*L138)</f>
        <v> </v>
      </c>
      <c r="W138" s="320" t="str">
        <f aca="false">IF($A138="N/A"," ",$U138*(8*($BQ138))*M138)</f>
        <v> </v>
      </c>
      <c r="X138" s="320" t="str">
        <f aca="false">IF($A138="N/A"," ",$U138*(8*($BQ138))*N138)</f>
        <v> </v>
      </c>
      <c r="Y138" s="320" t="str">
        <f aca="false">IF($A138="N/A"," ",$U138*(8*($BR138))*O138)</f>
        <v> </v>
      </c>
      <c r="Z138" s="320" t="str">
        <f aca="false">IF($A138="N/A"," ",$U138*(8*($BR138))*P138)</f>
        <v> </v>
      </c>
      <c r="AA138" s="320" t="str">
        <f aca="false">IF($A138="N/A"," ",$U138*(8*($BR138))*Q138)</f>
        <v> </v>
      </c>
      <c r="AB138" s="320" t="str">
        <f aca="false">IF($A138="N/A"," ",$U138*(8*($BS138))*R138)</f>
        <v> </v>
      </c>
      <c r="AC138" s="320" t="str">
        <f aca="false">IF($A138="N/A"," ",$U138*(8*($BS138))*S138)</f>
        <v> </v>
      </c>
      <c r="AD138" s="320" t="str">
        <f aca="false">IF($A138="N/A"," ",$U138*(8*($BS138))*T138)</f>
        <v> </v>
      </c>
      <c r="AE138" s="320" t="str">
        <f aca="false">IF($A138="N/A"," ",SUM(V138:AD138))</f>
        <v> </v>
      </c>
      <c r="AF138" s="321" t="str">
        <f aca="false">IF(A138="N/A"," ",(VLOOKUP(A138,PowerVolTable,(IF(VolBMO3=2,7,IF(VolBMO3=1,6,8))),FALSE())))</f>
        <v> </v>
      </c>
      <c r="AG138" s="321" t="str">
        <f aca="false">IF(A138="N/A"," ",(VLOOKUP(A138,IntraPowerVol,(IF(VolBMO3=2,3,IF(VolBMO3=1,2,4))),FALSE())*VLOOKUP(MONTH($A138),Volscale,2)))</f>
        <v> </v>
      </c>
      <c r="AH138" s="321" t="str">
        <f aca="false">IF($A138="N/A"," ",IF(VolType3=1,AG138,AF138))</f>
        <v> </v>
      </c>
      <c r="AI138" s="321" t="str">
        <f aca="false">IF($A138="N/A"," ",(VLOOKUP($A138,OffPwrVolTable,(IF(VolBMO3=2,7,IF(VolBMO3=1,6,8))),FALSE())))</f>
        <v> </v>
      </c>
      <c r="AJ138" s="321" t="str">
        <f aca="false">IF($A138="N/A"," ",(VLOOKUP($A138,OffPwrVolTable,(IF(VolBMO3=2,3,IF(VolBMO3=1,2,4))),FALSE())*VLOOKUP(MONTH($A138),Volscale,2)))</f>
        <v> </v>
      </c>
      <c r="AK138" s="321" t="str">
        <f aca="false">IF($A138="N/A"," ",IF(VolType3=1,AJ138,AI138))</f>
        <v> </v>
      </c>
      <c r="AL138" s="321" t="str">
        <f aca="false">IF($A138="N/A"," ",IF(PV=1,0,'Pricing Inputs3'!R171))</f>
        <v> </v>
      </c>
      <c r="AM138" s="323" t="str">
        <f aca="false">IF($A138="N/A"," ",(1+AL138/2)^(-2*((EOMONTH(A138,0)+20)-DateToday)/365.25))</f>
        <v> </v>
      </c>
      <c r="BQ138" s="0" t="str">
        <f aca="false">IF($A138="N/A"," ",(VLOOKUP($A138,NumberofDaysTable,2)))</f>
        <v> </v>
      </c>
      <c r="BR138" s="0" t="str">
        <f aca="false">IF($A138="N/A"," ",(VLOOKUP($A138,NumberofDaysTable,3)))</f>
        <v> </v>
      </c>
      <c r="BS138" s="0" t="str">
        <f aca="false">IF($A138="N/A"," ",(VLOOKUP($A138,NumberofDaysTable,4)))</f>
        <v> </v>
      </c>
    </row>
    <row r="139" customFormat="false" ht="12.75" hidden="false" customHeight="false" outlineLevel="0" collapsed="false">
      <c r="A139" s="315" t="str">
        <f aca="false">IF(A138="N/A","N/A",IF(EDATE(A138,1)&gt;Inputs!$Q$5,"N/A",EDATE(A138,1)))</f>
        <v>N/A</v>
      </c>
      <c r="B139" s="316" t="str">
        <f aca="false">IF(A139="N/A"," ",YEAR(A139))</f>
        <v> </v>
      </c>
      <c r="C139" s="317" t="str">
        <f aca="false">IF($A139="N/A"," ",IF(Dayrun3=10,0,IF(Scaler3=1,(VLOOKUP(A139,ScaledPrice3,4)),(VLOOKUP(A139,ScaledPrice3,2)))))</f>
        <v> </v>
      </c>
      <c r="D139" s="317" t="str">
        <f aca="false">IF(A139="N/A"," ",IF(Dayrun3&gt;=7,0,IF(Scaler3=2,VLOOKUP(A139,ScaledPrice3,2),(VLOOKUP(A139,ScaledPrice3,2))*(2-(VLOOKUP(A139,ScaledPrice3,3))))))</f>
        <v> </v>
      </c>
      <c r="E139" s="317" t="str">
        <f aca="false">IF($A139="N/A"," ",IF(AND(Dayrun3&gt;=4,Dayrun3&lt;=9),0,VLOOKUP($A139,ScaledPrice3,9)))</f>
        <v> </v>
      </c>
      <c r="F139" s="317" t="str">
        <f aca="false">IF(A139="N/A"," ",IF(OR(Dayrun3=2,Dayrun3=3,Dayrun3=5,Dayrun3=6,Dayrun3=8,Dayrun3=9),VLOOKUP(A139,ScaledPrice3,IF(Scaler3=1,6,5)),0))</f>
        <v> </v>
      </c>
      <c r="G139" s="317" t="str">
        <f aca="false">IF(A139="N/A"," ",IF(OR(Dayrun3=2,Dayrun3=3,Dayrun3=5,Dayrun3=6),IF(Scaler3=2,F139,(VLOOKUP(A139,ScaledPrice3,5))*(2-(VLOOKUP(A139,ScaledPrice3,3)))),0))</f>
        <v> </v>
      </c>
      <c r="H139" s="317" t="str">
        <f aca="false">IF($A139="N/A"," ",IF(OR(Dayrun3=2,Dayrun3=3,Dayrun3=10),VLOOKUP($A139,ScaledPrice3,9),0))</f>
        <v> </v>
      </c>
      <c r="I139" s="317" t="str">
        <f aca="false">IF(A139="N/A"," ",IF(OR(Dayrun3=3,Dayrun3=6,Dayrun3=9),(VLOOKUP(A139,ScaledPrice3,IF(Scaler3=2,7,8))),0))</f>
        <v> </v>
      </c>
      <c r="J139" s="317" t="str">
        <f aca="false">IF(A139="N/A"," ",IF(OR(Dayrun3=3,Dayrun3=6),IF(Scaler3=2,I139,(VLOOKUP(A139,ScaledPrice3,7))*(2-(VLOOKUP(A139,ScaledPrice3,3)))),0))</f>
        <v> </v>
      </c>
      <c r="K139" s="317" t="str">
        <f aca="false">IF($A139="N/A"," ",IF(OR(Dayrun3=3,Dayrun3=10),VLOOKUP($A139,ScaledPrice3,9),0))</f>
        <v> </v>
      </c>
      <c r="L139" s="318" t="str">
        <f aca="false">IF($A139="N/A"," ",IF(Pricetype3=2,MAX(C139,0),IF(OR(Pricetype3=1,Pricetype3=4),IF(C139=0,0,(EURO(C139,Strikeprice3,0,0,($AH139+IF(Smile=TRUE(),VLOOKUP(MAX(-5,Strikeprice3-C139),Volsmile,2),0)),($A139-DateToday)+15,IF(Pricetype3=1,1,0),0))),C139)))</f>
        <v> </v>
      </c>
      <c r="M139" s="318" t="str">
        <f aca="false">IF($A139="N/A"," ",IF(Pricetype3=2,MAX(D139,0),IF(OR(Pricetype3=1,Pricetype3=4),IF(D139=0,0,(EURO(D139,Strikeprice3,0,0,($AH139+IF(Smile=TRUE(),VLOOKUP(MAX(-5,Strikeprice3-D139),Volsmile,2),0)),($A139-DateToday)+15,IF(Pricetype3=1,1,0),0))),D139)))</f>
        <v> </v>
      </c>
      <c r="N139" s="318" t="str">
        <f aca="false">IF($A139="N/A"," ",IF(Pricetype3=2,MAX(E139,0),IF(OR(Pricetype3=1,Pricetype3=4),IF(E139=0,0,(EURO(E139,Strikeprice3,0,0,($AK139+IF(Smile=TRUE(),VLOOKUP(MAX(-5,Strikeprice3-E139),Volsmile,2),0)),($A139-DateToday)+15,IF(Pricetype3=1,1,0),0))),E139)))</f>
        <v> </v>
      </c>
      <c r="O139" s="318" t="str">
        <f aca="false">IF($A139="N/A"," ",IF(Pricetype3=2,MAX(F139,0),IF(OR(Pricetype3=1,Pricetype3=4),IF(F139=0,0,(EURO(F139,Strikeprice3,0,0,($AK139+IF(Smile=TRUE(),VLOOKUP(MAX(-5,Strikeprice3-F139),Volsmile,2),0)),($A139-DateToday)+15,IF(Pricetype3=1,1,0),0))),F139)))</f>
        <v> </v>
      </c>
      <c r="P139" s="318" t="str">
        <f aca="false">IF($A139="N/A"," ",IF(Pricetype3=2,MAX(G139,0),IF(OR(Pricetype3=1,Pricetype3=4),IF(G139=0,0,(EURO(G139,Strikeprice3,0,0,($AK139+IF(Smile=TRUE(),VLOOKUP(MAX(-5,Strikeprice3-G139),Volsmile,2),0)),($A139-DateToday)+15,IF(Pricetype3=1,1,0),0))),G139)))</f>
        <v> </v>
      </c>
      <c r="Q139" s="318" t="str">
        <f aca="false">IF($A139="N/A"," ",IF(Pricetype3=2,MAX(H139,0),IF(OR(Pricetype3=1,Pricetype3=4),IF(H139=0,0,(EURO(H139,Strikeprice3,0,0,($AK139+IF(Smile=TRUE(),VLOOKUP(MAX(-5,Strikeprice3-H139),Volsmile,2),0)),($A139-DateToday)+15,IF(Pricetype3=1,1,0),0))),H139)))</f>
        <v> </v>
      </c>
      <c r="R139" s="318" t="str">
        <f aca="false">IF($A139="N/A"," ",IF(Pricetype3=2,MAX(I139,0),IF(OR(Pricetype3=1,Pricetype3=4),IF(I139=0,0,(EURO(I139,Strikeprice3,0,0,($AK139+IF(Smile=TRUE(),VLOOKUP(MAX(-5,Strikeprice3-I139),Volsmile,2),0)),($A139-DateToday)+15,IF(Pricetype3=1,1,0),0))),I139)))</f>
        <v> </v>
      </c>
      <c r="S139" s="318" t="str">
        <f aca="false">IF($A139="N/A"," ",IF(Pricetype3=2,MAX(J139,0),IF(OR(Pricetype3=1,Pricetype3=4),IF(J139=0,0,(EURO(J139,Strikeprice3,0,0,($AK139+IF(Smile=TRUE(),VLOOKUP(MAX(-5,Strikeprice3-J139),Volsmile,2),0)),($A139-DateToday)+15,IF(Pricetype3=1,1,0),0))),J139)))</f>
        <v> </v>
      </c>
      <c r="T139" s="318" t="str">
        <f aca="false">IF($A139="N/A"," ",IF(Pricetype3=2,MAX(K139,0),IF(OR(Pricetype3=1,Pricetype3=4),IF(K139=0,0,(EURO(K139,Strikeprice3,0,0,($AK139+IF(Smile=TRUE(),VLOOKUP(MAX(-5,Strikeprice3-K139),Volsmile,2),0)),($A139-DateToday)+15,IF(Pricetype3=1,1,0),0))),K139)))</f>
        <v> </v>
      </c>
      <c r="U139" s="319" t="str">
        <f aca="false">IF($A139="N/A"," ",Volume3*$AM139)</f>
        <v> </v>
      </c>
      <c r="V139" s="320" t="str">
        <f aca="false">IF($A139="N/A"," ",$U139*(8*($BQ139))*L139)</f>
        <v> </v>
      </c>
      <c r="W139" s="320" t="str">
        <f aca="false">IF($A139="N/A"," ",$U139*(8*($BQ139))*M139)</f>
        <v> </v>
      </c>
      <c r="X139" s="320" t="str">
        <f aca="false">IF($A139="N/A"," ",$U139*(8*($BQ139))*N139)</f>
        <v> </v>
      </c>
      <c r="Y139" s="320" t="str">
        <f aca="false">IF($A139="N/A"," ",$U139*(8*($BR139))*O139)</f>
        <v> </v>
      </c>
      <c r="Z139" s="320" t="str">
        <f aca="false">IF($A139="N/A"," ",$U139*(8*($BR139))*P139)</f>
        <v> </v>
      </c>
      <c r="AA139" s="320" t="str">
        <f aca="false">IF($A139="N/A"," ",$U139*(8*($BR139))*Q139)</f>
        <v> </v>
      </c>
      <c r="AB139" s="320" t="str">
        <f aca="false">IF($A139="N/A"," ",$U139*(8*($BS139))*R139)</f>
        <v> </v>
      </c>
      <c r="AC139" s="320" t="str">
        <f aca="false">IF($A139="N/A"," ",$U139*(8*($BS139))*S139)</f>
        <v> </v>
      </c>
      <c r="AD139" s="320" t="str">
        <f aca="false">IF($A139="N/A"," ",$U139*(8*($BS139))*T139)</f>
        <v> </v>
      </c>
      <c r="AE139" s="320" t="str">
        <f aca="false">IF($A139="N/A"," ",SUM(V139:AD139))</f>
        <v> </v>
      </c>
      <c r="AF139" s="321" t="str">
        <f aca="false">IF(A139="N/A"," ",(VLOOKUP(A139,PowerVolTable,(IF(VolBMO3=2,7,IF(VolBMO3=1,6,8))),FALSE())))</f>
        <v> </v>
      </c>
      <c r="AG139" s="321" t="str">
        <f aca="false">IF(A139="N/A"," ",(VLOOKUP(A139,IntraPowerVol,(IF(VolBMO3=2,3,IF(VolBMO3=1,2,4))),FALSE())*VLOOKUP(MONTH($A139),Volscale,2)))</f>
        <v> </v>
      </c>
      <c r="AH139" s="321" t="str">
        <f aca="false">IF($A139="N/A"," ",IF(VolType3=1,AG139,AF139))</f>
        <v> </v>
      </c>
      <c r="AI139" s="321" t="str">
        <f aca="false">IF($A139="N/A"," ",(VLOOKUP($A139,OffPwrVolTable,(IF(VolBMO3=2,7,IF(VolBMO3=1,6,8))),FALSE())))</f>
        <v> </v>
      </c>
      <c r="AJ139" s="321" t="str">
        <f aca="false">IF($A139="N/A"," ",(VLOOKUP($A139,OffPwrVolTable,(IF(VolBMO3=2,3,IF(VolBMO3=1,2,4))),FALSE())*VLOOKUP(MONTH($A139),Volscale,2)))</f>
        <v> </v>
      </c>
      <c r="AK139" s="321" t="str">
        <f aca="false">IF($A139="N/A"," ",IF(VolType3=1,AJ139,AI139))</f>
        <v> </v>
      </c>
      <c r="AL139" s="321" t="str">
        <f aca="false">IF($A139="N/A"," ",IF(PV=1,0,'Pricing Inputs3'!R172))</f>
        <v> </v>
      </c>
      <c r="AM139" s="323" t="str">
        <f aca="false">IF($A139="N/A"," ",(1+AL139/2)^(-2*((EOMONTH(A139,0)+20)-DateToday)/365.25))</f>
        <v> </v>
      </c>
      <c r="BQ139" s="0" t="str">
        <f aca="false">IF($A139="N/A"," ",(VLOOKUP($A139,NumberofDaysTable,2)))</f>
        <v> </v>
      </c>
      <c r="BR139" s="0" t="str">
        <f aca="false">IF($A139="N/A"," ",(VLOOKUP($A139,NumberofDaysTable,3)))</f>
        <v> </v>
      </c>
      <c r="BS139" s="0" t="str">
        <f aca="false">IF($A139="N/A"," ",(VLOOKUP($A139,NumberofDaysTable,4)))</f>
        <v> </v>
      </c>
    </row>
    <row r="140" customFormat="false" ht="12.75" hidden="false" customHeight="false" outlineLevel="0" collapsed="false">
      <c r="A140" s="315" t="str">
        <f aca="false">IF(A139="N/A","N/A",IF(EDATE(A139,1)&gt;Inputs!$Q$5,"N/A",EDATE(A139,1)))</f>
        <v>N/A</v>
      </c>
      <c r="B140" s="316" t="str">
        <f aca="false">IF(A140="N/A"," ",YEAR(A140))</f>
        <v> </v>
      </c>
      <c r="C140" s="317" t="str">
        <f aca="false">IF($A140="N/A"," ",IF(Dayrun3=10,0,IF(Scaler3=1,(VLOOKUP(A140,ScaledPrice3,4)),(VLOOKUP(A140,ScaledPrice3,2)))))</f>
        <v> </v>
      </c>
      <c r="D140" s="317" t="str">
        <f aca="false">IF(A140="N/A"," ",IF(Dayrun3&gt;=7,0,IF(Scaler3=2,VLOOKUP(A140,ScaledPrice3,2),(VLOOKUP(A140,ScaledPrice3,2))*(2-(VLOOKUP(A140,ScaledPrice3,3))))))</f>
        <v> </v>
      </c>
      <c r="E140" s="317" t="str">
        <f aca="false">IF($A140="N/A"," ",IF(AND(Dayrun3&gt;=4,Dayrun3&lt;=9),0,VLOOKUP($A140,ScaledPrice3,9)))</f>
        <v> </v>
      </c>
      <c r="F140" s="317" t="str">
        <f aca="false">IF(A140="N/A"," ",IF(OR(Dayrun3=2,Dayrun3=3,Dayrun3=5,Dayrun3=6,Dayrun3=8,Dayrun3=9),VLOOKUP(A140,ScaledPrice3,IF(Scaler3=1,6,5)),0))</f>
        <v> </v>
      </c>
      <c r="G140" s="317" t="str">
        <f aca="false">IF(A140="N/A"," ",IF(OR(Dayrun3=2,Dayrun3=3,Dayrun3=5,Dayrun3=6),IF(Scaler3=2,F140,(VLOOKUP(A140,ScaledPrice3,5))*(2-(VLOOKUP(A140,ScaledPrice3,3)))),0))</f>
        <v> </v>
      </c>
      <c r="H140" s="317" t="str">
        <f aca="false">IF($A140="N/A"," ",IF(OR(Dayrun3=2,Dayrun3=3,Dayrun3=10),VLOOKUP($A140,ScaledPrice3,9),0))</f>
        <v> </v>
      </c>
      <c r="I140" s="317" t="str">
        <f aca="false">IF(A140="N/A"," ",IF(OR(Dayrun3=3,Dayrun3=6,Dayrun3=9),(VLOOKUP(A140,ScaledPrice3,IF(Scaler3=2,7,8))),0))</f>
        <v> </v>
      </c>
      <c r="J140" s="317" t="str">
        <f aca="false">IF(A140="N/A"," ",IF(OR(Dayrun3=3,Dayrun3=6),IF(Scaler3=2,I140,(VLOOKUP(A140,ScaledPrice3,7))*(2-(VLOOKUP(A140,ScaledPrice3,3)))),0))</f>
        <v> </v>
      </c>
      <c r="K140" s="317" t="str">
        <f aca="false">IF($A140="N/A"," ",IF(OR(Dayrun3=3,Dayrun3=10),VLOOKUP($A140,ScaledPrice3,9),0))</f>
        <v> </v>
      </c>
      <c r="L140" s="318" t="str">
        <f aca="false">IF($A140="N/A"," ",IF(Pricetype3=2,MAX(C140,0),IF(OR(Pricetype3=1,Pricetype3=4),IF(C140=0,0,(EURO(C140,Strikeprice3,0,0,($AH140+IF(Smile=TRUE(),VLOOKUP(MAX(-5,Strikeprice3-C140),Volsmile,2),0)),($A140-DateToday)+15,IF(Pricetype3=1,1,0),0))),C140)))</f>
        <v> </v>
      </c>
      <c r="M140" s="318" t="str">
        <f aca="false">IF($A140="N/A"," ",IF(Pricetype3=2,MAX(D140,0),IF(OR(Pricetype3=1,Pricetype3=4),IF(D140=0,0,(EURO(D140,Strikeprice3,0,0,($AH140+IF(Smile=TRUE(),VLOOKUP(MAX(-5,Strikeprice3-D140),Volsmile,2),0)),($A140-DateToday)+15,IF(Pricetype3=1,1,0),0))),D140)))</f>
        <v> </v>
      </c>
      <c r="N140" s="318" t="str">
        <f aca="false">IF($A140="N/A"," ",IF(Pricetype3=2,MAX(E140,0),IF(OR(Pricetype3=1,Pricetype3=4),IF(E140=0,0,(EURO(E140,Strikeprice3,0,0,($AK140+IF(Smile=TRUE(),VLOOKUP(MAX(-5,Strikeprice3-E140),Volsmile,2),0)),($A140-DateToday)+15,IF(Pricetype3=1,1,0),0))),E140)))</f>
        <v> </v>
      </c>
      <c r="O140" s="318" t="str">
        <f aca="false">IF($A140="N/A"," ",IF(Pricetype3=2,MAX(F140,0),IF(OR(Pricetype3=1,Pricetype3=4),IF(F140=0,0,(EURO(F140,Strikeprice3,0,0,($AK140+IF(Smile=TRUE(),VLOOKUP(MAX(-5,Strikeprice3-F140),Volsmile,2),0)),($A140-DateToday)+15,IF(Pricetype3=1,1,0),0))),F140)))</f>
        <v> </v>
      </c>
      <c r="P140" s="318" t="str">
        <f aca="false">IF($A140="N/A"," ",IF(Pricetype3=2,MAX(G140,0),IF(OR(Pricetype3=1,Pricetype3=4),IF(G140=0,0,(EURO(G140,Strikeprice3,0,0,($AK140+IF(Smile=TRUE(),VLOOKUP(MAX(-5,Strikeprice3-G140),Volsmile,2),0)),($A140-DateToday)+15,IF(Pricetype3=1,1,0),0))),G140)))</f>
        <v> </v>
      </c>
      <c r="Q140" s="318" t="str">
        <f aca="false">IF($A140="N/A"," ",IF(Pricetype3=2,MAX(H140,0),IF(OR(Pricetype3=1,Pricetype3=4),IF(H140=0,0,(EURO(H140,Strikeprice3,0,0,($AK140+IF(Smile=TRUE(),VLOOKUP(MAX(-5,Strikeprice3-H140),Volsmile,2),0)),($A140-DateToday)+15,IF(Pricetype3=1,1,0),0))),H140)))</f>
        <v> </v>
      </c>
      <c r="R140" s="318" t="str">
        <f aca="false">IF($A140="N/A"," ",IF(Pricetype3=2,MAX(I140,0),IF(OR(Pricetype3=1,Pricetype3=4),IF(I140=0,0,(EURO(I140,Strikeprice3,0,0,($AK140+IF(Smile=TRUE(),VLOOKUP(MAX(-5,Strikeprice3-I140),Volsmile,2),0)),($A140-DateToday)+15,IF(Pricetype3=1,1,0),0))),I140)))</f>
        <v> </v>
      </c>
      <c r="S140" s="318" t="str">
        <f aca="false">IF($A140="N/A"," ",IF(Pricetype3=2,MAX(J140,0),IF(OR(Pricetype3=1,Pricetype3=4),IF(J140=0,0,(EURO(J140,Strikeprice3,0,0,($AK140+IF(Smile=TRUE(),VLOOKUP(MAX(-5,Strikeprice3-J140),Volsmile,2),0)),($A140-DateToday)+15,IF(Pricetype3=1,1,0),0))),J140)))</f>
        <v> </v>
      </c>
      <c r="T140" s="318" t="str">
        <f aca="false">IF($A140="N/A"," ",IF(Pricetype3=2,MAX(K140,0),IF(OR(Pricetype3=1,Pricetype3=4),IF(K140=0,0,(EURO(K140,Strikeprice3,0,0,($AK140+IF(Smile=TRUE(),VLOOKUP(MAX(-5,Strikeprice3-K140),Volsmile,2),0)),($A140-DateToday)+15,IF(Pricetype3=1,1,0),0))),K140)))</f>
        <v> </v>
      </c>
      <c r="U140" s="319" t="str">
        <f aca="false">IF($A140="N/A"," ",Volume3*$AM140)</f>
        <v> </v>
      </c>
      <c r="V140" s="320" t="str">
        <f aca="false">IF($A140="N/A"," ",$U140*(8*($BQ140))*L140)</f>
        <v> </v>
      </c>
      <c r="W140" s="320" t="str">
        <f aca="false">IF($A140="N/A"," ",$U140*(8*($BQ140))*M140)</f>
        <v> </v>
      </c>
      <c r="X140" s="320" t="str">
        <f aca="false">IF($A140="N/A"," ",$U140*(8*($BQ140))*N140)</f>
        <v> </v>
      </c>
      <c r="Y140" s="320" t="str">
        <f aca="false">IF($A140="N/A"," ",$U140*(8*($BR140))*O140)</f>
        <v> </v>
      </c>
      <c r="Z140" s="320" t="str">
        <f aca="false">IF($A140="N/A"," ",$U140*(8*($BR140))*P140)</f>
        <v> </v>
      </c>
      <c r="AA140" s="320" t="str">
        <f aca="false">IF($A140="N/A"," ",$U140*(8*($BR140))*Q140)</f>
        <v> </v>
      </c>
      <c r="AB140" s="320" t="str">
        <f aca="false">IF($A140="N/A"," ",$U140*(8*($BS140))*R140)</f>
        <v> </v>
      </c>
      <c r="AC140" s="320" t="str">
        <f aca="false">IF($A140="N/A"," ",$U140*(8*($BS140))*S140)</f>
        <v> </v>
      </c>
      <c r="AD140" s="320" t="str">
        <f aca="false">IF($A140="N/A"," ",$U140*(8*($BS140))*T140)</f>
        <v> </v>
      </c>
      <c r="AE140" s="320" t="str">
        <f aca="false">IF($A140="N/A"," ",SUM(V140:AD140))</f>
        <v> </v>
      </c>
      <c r="AF140" s="321" t="str">
        <f aca="false">IF(A140="N/A"," ",(VLOOKUP(A140,PowerVolTable,(IF(VolBMO3=2,7,IF(VolBMO3=1,6,8))),FALSE())))</f>
        <v> </v>
      </c>
      <c r="AG140" s="321" t="str">
        <f aca="false">IF(A140="N/A"," ",(VLOOKUP(A140,IntraPowerVol,(IF(VolBMO3=2,3,IF(VolBMO3=1,2,4))),FALSE())*VLOOKUP(MONTH($A140),Volscale,2)))</f>
        <v> </v>
      </c>
      <c r="AH140" s="321" t="str">
        <f aca="false">IF($A140="N/A"," ",IF(VolType3=1,AG140,AF140))</f>
        <v> </v>
      </c>
      <c r="AI140" s="321" t="str">
        <f aca="false">IF($A140="N/A"," ",(VLOOKUP($A140,OffPwrVolTable,(IF(VolBMO3=2,7,IF(VolBMO3=1,6,8))),FALSE())))</f>
        <v> </v>
      </c>
      <c r="AJ140" s="321" t="str">
        <f aca="false">IF($A140="N/A"," ",(VLOOKUP($A140,OffPwrVolTable,(IF(VolBMO3=2,3,IF(VolBMO3=1,2,4))),FALSE())*VLOOKUP(MONTH($A140),Volscale,2)))</f>
        <v> </v>
      </c>
      <c r="AK140" s="321" t="str">
        <f aca="false">IF($A140="N/A"," ",IF(VolType3=1,AJ140,AI140))</f>
        <v> </v>
      </c>
      <c r="AL140" s="321" t="str">
        <f aca="false">IF($A140="N/A"," ",IF(PV=1,0,'Pricing Inputs3'!R173))</f>
        <v> </v>
      </c>
      <c r="AM140" s="323" t="str">
        <f aca="false">IF($A140="N/A"," ",(1+AL140/2)^(-2*((EOMONTH(A140,0)+20)-DateToday)/365.25))</f>
        <v> </v>
      </c>
      <c r="BQ140" s="0" t="str">
        <f aca="false">IF($A140="N/A"," ",(VLOOKUP($A140,NumberofDaysTable,2)))</f>
        <v> </v>
      </c>
      <c r="BR140" s="0" t="str">
        <f aca="false">IF($A140="N/A"," ",(VLOOKUP($A140,NumberofDaysTable,3)))</f>
        <v> </v>
      </c>
      <c r="BS140" s="0" t="str">
        <f aca="false">IF($A140="N/A"," ",(VLOOKUP($A140,NumberofDaysTable,4)))</f>
        <v> </v>
      </c>
    </row>
    <row r="141" customFormat="false" ht="12.75" hidden="false" customHeight="false" outlineLevel="0" collapsed="false">
      <c r="A141" s="315" t="str">
        <f aca="false">IF(A140="N/A","N/A",IF(EDATE(A140,1)&gt;Inputs!$Q$5,"N/A",EDATE(A140,1)))</f>
        <v>N/A</v>
      </c>
      <c r="B141" s="316" t="str">
        <f aca="false">IF(A141="N/A"," ",YEAR(A141))</f>
        <v> </v>
      </c>
      <c r="C141" s="317" t="str">
        <f aca="false">IF($A141="N/A"," ",IF(Dayrun3=10,0,IF(Scaler3=1,(VLOOKUP(A141,ScaledPrice3,4)),(VLOOKUP(A141,ScaledPrice3,2)))))</f>
        <v> </v>
      </c>
      <c r="D141" s="317" t="str">
        <f aca="false">IF(A141="N/A"," ",IF(Dayrun3&gt;=7,0,IF(Scaler3=2,VLOOKUP(A141,ScaledPrice3,2),(VLOOKUP(A141,ScaledPrice3,2))*(2-(VLOOKUP(A141,ScaledPrice3,3))))))</f>
        <v> </v>
      </c>
      <c r="E141" s="317" t="str">
        <f aca="false">IF($A141="N/A"," ",IF(AND(Dayrun3&gt;=4,Dayrun3&lt;=9),0,VLOOKUP($A141,ScaledPrice3,9)))</f>
        <v> </v>
      </c>
      <c r="F141" s="317" t="str">
        <f aca="false">IF(A141="N/A"," ",IF(OR(Dayrun3=2,Dayrun3=3,Dayrun3=5,Dayrun3=6,Dayrun3=8,Dayrun3=9),VLOOKUP(A141,ScaledPrice3,IF(Scaler3=1,6,5)),0))</f>
        <v> </v>
      </c>
      <c r="G141" s="317" t="str">
        <f aca="false">IF(A141="N/A"," ",IF(OR(Dayrun3=2,Dayrun3=3,Dayrun3=5,Dayrun3=6),IF(Scaler3=2,F141,(VLOOKUP(A141,ScaledPrice3,5))*(2-(VLOOKUP(A141,ScaledPrice3,3)))),0))</f>
        <v> </v>
      </c>
      <c r="H141" s="317" t="str">
        <f aca="false">IF($A141="N/A"," ",IF(OR(Dayrun3=2,Dayrun3=3,Dayrun3=10),VLOOKUP($A141,ScaledPrice3,9),0))</f>
        <v> </v>
      </c>
      <c r="I141" s="317" t="str">
        <f aca="false">IF(A141="N/A"," ",IF(OR(Dayrun3=3,Dayrun3=6,Dayrun3=9),(VLOOKUP(A141,ScaledPrice3,IF(Scaler3=2,7,8))),0))</f>
        <v> </v>
      </c>
      <c r="J141" s="317" t="str">
        <f aca="false">IF(A141="N/A"," ",IF(OR(Dayrun3=3,Dayrun3=6),IF(Scaler3=2,I141,(VLOOKUP(A141,ScaledPrice3,7))*(2-(VLOOKUP(A141,ScaledPrice3,3)))),0))</f>
        <v> </v>
      </c>
      <c r="K141" s="317" t="str">
        <f aca="false">IF($A141="N/A"," ",IF(OR(Dayrun3=3,Dayrun3=10),VLOOKUP($A141,ScaledPrice3,9),0))</f>
        <v> </v>
      </c>
      <c r="L141" s="318" t="str">
        <f aca="false">IF($A141="N/A"," ",IF(Pricetype3=2,MAX(C141,0),IF(OR(Pricetype3=1,Pricetype3=4),IF(C141=0,0,(EURO(C141,Strikeprice3,0,0,($AH141+IF(Smile=TRUE(),VLOOKUP(MAX(-5,Strikeprice3-C141),Volsmile,2),0)),($A141-DateToday)+15,IF(Pricetype3=1,1,0),0))),C141)))</f>
        <v> </v>
      </c>
      <c r="M141" s="318" t="str">
        <f aca="false">IF($A141="N/A"," ",IF(Pricetype3=2,MAX(D141,0),IF(OR(Pricetype3=1,Pricetype3=4),IF(D141=0,0,(EURO(D141,Strikeprice3,0,0,($AH141+IF(Smile=TRUE(),VLOOKUP(MAX(-5,Strikeprice3-D141),Volsmile,2),0)),($A141-DateToday)+15,IF(Pricetype3=1,1,0),0))),D141)))</f>
        <v> </v>
      </c>
      <c r="N141" s="318" t="str">
        <f aca="false">IF($A141="N/A"," ",IF(Pricetype3=2,MAX(E141,0),IF(OR(Pricetype3=1,Pricetype3=4),IF(E141=0,0,(EURO(E141,Strikeprice3,0,0,($AK141+IF(Smile=TRUE(),VLOOKUP(MAX(-5,Strikeprice3-E141),Volsmile,2),0)),($A141-DateToday)+15,IF(Pricetype3=1,1,0),0))),E141)))</f>
        <v> </v>
      </c>
      <c r="O141" s="318" t="str">
        <f aca="false">IF($A141="N/A"," ",IF(Pricetype3=2,MAX(F141,0),IF(OR(Pricetype3=1,Pricetype3=4),IF(F141=0,0,(EURO(F141,Strikeprice3,0,0,($AK141+IF(Smile=TRUE(),VLOOKUP(MAX(-5,Strikeprice3-F141),Volsmile,2),0)),($A141-DateToday)+15,IF(Pricetype3=1,1,0),0))),F141)))</f>
        <v> </v>
      </c>
      <c r="P141" s="318" t="str">
        <f aca="false">IF($A141="N/A"," ",IF(Pricetype3=2,MAX(G141,0),IF(OR(Pricetype3=1,Pricetype3=4),IF(G141=0,0,(EURO(G141,Strikeprice3,0,0,($AK141+IF(Smile=TRUE(),VLOOKUP(MAX(-5,Strikeprice3-G141),Volsmile,2),0)),($A141-DateToday)+15,IF(Pricetype3=1,1,0),0))),G141)))</f>
        <v> </v>
      </c>
      <c r="Q141" s="318" t="str">
        <f aca="false">IF($A141="N/A"," ",IF(Pricetype3=2,MAX(H141,0),IF(OR(Pricetype3=1,Pricetype3=4),IF(H141=0,0,(EURO(H141,Strikeprice3,0,0,($AK141+IF(Smile=TRUE(),VLOOKUP(MAX(-5,Strikeprice3-H141),Volsmile,2),0)),($A141-DateToday)+15,IF(Pricetype3=1,1,0),0))),H141)))</f>
        <v> </v>
      </c>
      <c r="R141" s="318" t="str">
        <f aca="false">IF($A141="N/A"," ",IF(Pricetype3=2,MAX(I141,0),IF(OR(Pricetype3=1,Pricetype3=4),IF(I141=0,0,(EURO(I141,Strikeprice3,0,0,($AK141+IF(Smile=TRUE(),VLOOKUP(MAX(-5,Strikeprice3-I141),Volsmile,2),0)),($A141-DateToday)+15,IF(Pricetype3=1,1,0),0))),I141)))</f>
        <v> </v>
      </c>
      <c r="S141" s="318" t="str">
        <f aca="false">IF($A141="N/A"," ",IF(Pricetype3=2,MAX(J141,0),IF(OR(Pricetype3=1,Pricetype3=4),IF(J141=0,0,(EURO(J141,Strikeprice3,0,0,($AK141+IF(Smile=TRUE(),VLOOKUP(MAX(-5,Strikeprice3-J141),Volsmile,2),0)),($A141-DateToday)+15,IF(Pricetype3=1,1,0),0))),J141)))</f>
        <v> </v>
      </c>
      <c r="T141" s="318" t="str">
        <f aca="false">IF($A141="N/A"," ",IF(Pricetype3=2,MAX(K141,0),IF(OR(Pricetype3=1,Pricetype3=4),IF(K141=0,0,(EURO(K141,Strikeprice3,0,0,($AK141+IF(Smile=TRUE(),VLOOKUP(MAX(-5,Strikeprice3-K141),Volsmile,2),0)),($A141-DateToday)+15,IF(Pricetype3=1,1,0),0))),K141)))</f>
        <v> </v>
      </c>
      <c r="U141" s="319" t="str">
        <f aca="false">IF($A141="N/A"," ",Volume3*$AM141)</f>
        <v> </v>
      </c>
      <c r="V141" s="320" t="str">
        <f aca="false">IF($A141="N/A"," ",$U141*(8*($BQ141))*L141)</f>
        <v> </v>
      </c>
      <c r="W141" s="320" t="str">
        <f aca="false">IF($A141="N/A"," ",$U141*(8*($BQ141))*M141)</f>
        <v> </v>
      </c>
      <c r="X141" s="320" t="str">
        <f aca="false">IF($A141="N/A"," ",$U141*(8*($BQ141))*N141)</f>
        <v> </v>
      </c>
      <c r="Y141" s="320" t="str">
        <f aca="false">IF($A141="N/A"," ",$U141*(8*($BR141))*O141)</f>
        <v> </v>
      </c>
      <c r="Z141" s="320" t="str">
        <f aca="false">IF($A141="N/A"," ",$U141*(8*($BR141))*P141)</f>
        <v> </v>
      </c>
      <c r="AA141" s="320" t="str">
        <f aca="false">IF($A141="N/A"," ",$U141*(8*($BR141))*Q141)</f>
        <v> </v>
      </c>
      <c r="AB141" s="320" t="str">
        <f aca="false">IF($A141="N/A"," ",$U141*(8*($BS141))*R141)</f>
        <v> </v>
      </c>
      <c r="AC141" s="320" t="str">
        <f aca="false">IF($A141="N/A"," ",$U141*(8*($BS141))*S141)</f>
        <v> </v>
      </c>
      <c r="AD141" s="320" t="str">
        <f aca="false">IF($A141="N/A"," ",$U141*(8*($BS141))*T141)</f>
        <v> </v>
      </c>
      <c r="AE141" s="320" t="str">
        <f aca="false">IF($A141="N/A"," ",SUM(V141:AD141))</f>
        <v> </v>
      </c>
      <c r="AF141" s="321" t="str">
        <f aca="false">IF(A141="N/A"," ",(VLOOKUP(A141,PowerVolTable,(IF(VolBMO3=2,7,IF(VolBMO3=1,6,8))),FALSE())))</f>
        <v> </v>
      </c>
      <c r="AG141" s="321" t="str">
        <f aca="false">IF(A141="N/A"," ",(VLOOKUP(A141,IntraPowerVol,(IF(VolBMO3=2,3,IF(VolBMO3=1,2,4))),FALSE())*VLOOKUP(MONTH($A141),Volscale,2)))</f>
        <v> </v>
      </c>
      <c r="AH141" s="321" t="str">
        <f aca="false">IF($A141="N/A"," ",IF(VolType3=1,AG141,AF141))</f>
        <v> </v>
      </c>
      <c r="AI141" s="321" t="str">
        <f aca="false">IF($A141="N/A"," ",(VLOOKUP($A141,OffPwrVolTable,(IF(VolBMO3=2,7,IF(VolBMO3=1,6,8))),FALSE())))</f>
        <v> </v>
      </c>
      <c r="AJ141" s="321" t="str">
        <f aca="false">IF($A141="N/A"," ",(VLOOKUP($A141,OffPwrVolTable,(IF(VolBMO3=2,3,IF(VolBMO3=1,2,4))),FALSE())*VLOOKUP(MONTH($A141),Volscale,2)))</f>
        <v> </v>
      </c>
      <c r="AK141" s="321" t="str">
        <f aca="false">IF($A141="N/A"," ",IF(VolType3=1,AJ141,AI141))</f>
        <v> </v>
      </c>
      <c r="AL141" s="321" t="str">
        <f aca="false">IF($A141="N/A"," ",IF(PV=1,0,'Pricing Inputs3'!R174))</f>
        <v> </v>
      </c>
      <c r="AM141" s="323" t="str">
        <f aca="false">IF($A141="N/A"," ",(1+AL141/2)^(-2*((EOMONTH(A141,0)+20)-DateToday)/365.25))</f>
        <v> </v>
      </c>
      <c r="BQ141" s="0" t="str">
        <f aca="false">IF($A141="N/A"," ",(VLOOKUP($A141,NumberofDaysTable,2)))</f>
        <v> </v>
      </c>
      <c r="BR141" s="0" t="str">
        <f aca="false">IF($A141="N/A"," ",(VLOOKUP($A141,NumberofDaysTable,3)))</f>
        <v> </v>
      </c>
      <c r="BS141" s="0" t="str">
        <f aca="false">IF($A141="N/A"," ",(VLOOKUP($A141,NumberofDaysTable,4)))</f>
        <v> </v>
      </c>
    </row>
    <row r="142" customFormat="false" ht="12.75" hidden="false" customHeight="false" outlineLevel="0" collapsed="false">
      <c r="A142" s="315" t="str">
        <f aca="false">IF(A141="N/A","N/A",IF(EDATE(A141,1)&gt;Inputs!$Q$5,"N/A",EDATE(A141,1)))</f>
        <v>N/A</v>
      </c>
      <c r="B142" s="316" t="str">
        <f aca="false">IF(A142="N/A"," ",YEAR(A142))</f>
        <v> </v>
      </c>
      <c r="C142" s="317" t="str">
        <f aca="false">IF($A142="N/A"," ",IF(Dayrun3=10,0,IF(Scaler3=1,(VLOOKUP(A142,ScaledPrice3,4)),(VLOOKUP(A142,ScaledPrice3,2)))))</f>
        <v> </v>
      </c>
      <c r="D142" s="317" t="str">
        <f aca="false">IF(A142="N/A"," ",IF(Dayrun3&gt;=7,0,IF(Scaler3=2,VLOOKUP(A142,ScaledPrice3,2),(VLOOKUP(A142,ScaledPrice3,2))*(2-(VLOOKUP(A142,ScaledPrice3,3))))))</f>
        <v> </v>
      </c>
      <c r="E142" s="317" t="str">
        <f aca="false">IF($A142="N/A"," ",IF(AND(Dayrun3&gt;=4,Dayrun3&lt;=9),0,VLOOKUP($A142,ScaledPrice3,9)))</f>
        <v> </v>
      </c>
      <c r="F142" s="317" t="str">
        <f aca="false">IF(A142="N/A"," ",IF(OR(Dayrun3=2,Dayrun3=3,Dayrun3=5,Dayrun3=6,Dayrun3=8,Dayrun3=9),VLOOKUP(A142,ScaledPrice3,IF(Scaler3=1,6,5)),0))</f>
        <v> </v>
      </c>
      <c r="G142" s="317" t="str">
        <f aca="false">IF(A142="N/A"," ",IF(OR(Dayrun3=2,Dayrun3=3,Dayrun3=5,Dayrun3=6),IF(Scaler3=2,F142,(VLOOKUP(A142,ScaledPrice3,5))*(2-(VLOOKUP(A142,ScaledPrice3,3)))),0))</f>
        <v> </v>
      </c>
      <c r="H142" s="317" t="str">
        <f aca="false">IF($A142="N/A"," ",IF(OR(Dayrun3=2,Dayrun3=3,Dayrun3=10),VLOOKUP($A142,ScaledPrice3,9),0))</f>
        <v> </v>
      </c>
      <c r="I142" s="317" t="str">
        <f aca="false">IF(A142="N/A"," ",IF(OR(Dayrun3=3,Dayrun3=6,Dayrun3=9),(VLOOKUP(A142,ScaledPrice3,IF(Scaler3=2,7,8))),0))</f>
        <v> </v>
      </c>
      <c r="J142" s="317" t="str">
        <f aca="false">IF(A142="N/A"," ",IF(OR(Dayrun3=3,Dayrun3=6),IF(Scaler3=2,I142,(VLOOKUP(A142,ScaledPrice3,7))*(2-(VLOOKUP(A142,ScaledPrice3,3)))),0))</f>
        <v> </v>
      </c>
      <c r="K142" s="317" t="str">
        <f aca="false">IF($A142="N/A"," ",IF(OR(Dayrun3=3,Dayrun3=10),VLOOKUP($A142,ScaledPrice3,9),0))</f>
        <v> </v>
      </c>
      <c r="L142" s="318" t="str">
        <f aca="false">IF($A142="N/A"," ",IF(Pricetype3=2,MAX(C142,0),IF(OR(Pricetype3=1,Pricetype3=4),IF(C142=0,0,(EURO(C142,Strikeprice3,0,0,($AH142+IF(Smile=TRUE(),VLOOKUP(MAX(-5,Strikeprice3-C142),Volsmile,2),0)),($A142-DateToday)+15,IF(Pricetype3=1,1,0),0))),C142)))</f>
        <v> </v>
      </c>
      <c r="M142" s="318" t="str">
        <f aca="false">IF($A142="N/A"," ",IF(Pricetype3=2,MAX(D142,0),IF(OR(Pricetype3=1,Pricetype3=4),IF(D142=0,0,(EURO(D142,Strikeprice3,0,0,($AH142+IF(Smile=TRUE(),VLOOKUP(MAX(-5,Strikeprice3-D142),Volsmile,2),0)),($A142-DateToday)+15,IF(Pricetype3=1,1,0),0))),D142)))</f>
        <v> </v>
      </c>
      <c r="N142" s="318" t="str">
        <f aca="false">IF($A142="N/A"," ",IF(Pricetype3=2,MAX(E142,0),IF(OR(Pricetype3=1,Pricetype3=4),IF(E142=0,0,(EURO(E142,Strikeprice3,0,0,($AK142+IF(Smile=TRUE(),VLOOKUP(MAX(-5,Strikeprice3-E142),Volsmile,2),0)),($A142-DateToday)+15,IF(Pricetype3=1,1,0),0))),E142)))</f>
        <v> </v>
      </c>
      <c r="O142" s="318" t="str">
        <f aca="false">IF($A142="N/A"," ",IF(Pricetype3=2,MAX(F142,0),IF(OR(Pricetype3=1,Pricetype3=4),IF(F142=0,0,(EURO(F142,Strikeprice3,0,0,($AK142+IF(Smile=TRUE(),VLOOKUP(MAX(-5,Strikeprice3-F142),Volsmile,2),0)),($A142-DateToday)+15,IF(Pricetype3=1,1,0),0))),F142)))</f>
        <v> </v>
      </c>
      <c r="P142" s="318" t="str">
        <f aca="false">IF($A142="N/A"," ",IF(Pricetype3=2,MAX(G142,0),IF(OR(Pricetype3=1,Pricetype3=4),IF(G142=0,0,(EURO(G142,Strikeprice3,0,0,($AK142+IF(Smile=TRUE(),VLOOKUP(MAX(-5,Strikeprice3-G142),Volsmile,2),0)),($A142-DateToday)+15,IF(Pricetype3=1,1,0),0))),G142)))</f>
        <v> </v>
      </c>
      <c r="Q142" s="318" t="str">
        <f aca="false">IF($A142="N/A"," ",IF(Pricetype3=2,MAX(H142,0),IF(OR(Pricetype3=1,Pricetype3=4),IF(H142=0,0,(EURO(H142,Strikeprice3,0,0,($AK142+IF(Smile=TRUE(),VLOOKUP(MAX(-5,Strikeprice3-H142),Volsmile,2),0)),($A142-DateToday)+15,IF(Pricetype3=1,1,0),0))),H142)))</f>
        <v> </v>
      </c>
      <c r="R142" s="318" t="str">
        <f aca="false">IF($A142="N/A"," ",IF(Pricetype3=2,MAX(I142,0),IF(OR(Pricetype3=1,Pricetype3=4),IF(I142=0,0,(EURO(I142,Strikeprice3,0,0,($AK142+IF(Smile=TRUE(),VLOOKUP(MAX(-5,Strikeprice3-I142),Volsmile,2),0)),($A142-DateToday)+15,IF(Pricetype3=1,1,0),0))),I142)))</f>
        <v> </v>
      </c>
      <c r="S142" s="318" t="str">
        <f aca="false">IF($A142="N/A"," ",IF(Pricetype3=2,MAX(J142,0),IF(OR(Pricetype3=1,Pricetype3=4),IF(J142=0,0,(EURO(J142,Strikeprice3,0,0,($AK142+IF(Smile=TRUE(),VLOOKUP(MAX(-5,Strikeprice3-J142),Volsmile,2),0)),($A142-DateToday)+15,IF(Pricetype3=1,1,0),0))),J142)))</f>
        <v> </v>
      </c>
      <c r="T142" s="318" t="str">
        <f aca="false">IF($A142="N/A"," ",IF(Pricetype3=2,MAX(K142,0),IF(OR(Pricetype3=1,Pricetype3=4),IF(K142=0,0,(EURO(K142,Strikeprice3,0,0,($AK142+IF(Smile=TRUE(),VLOOKUP(MAX(-5,Strikeprice3-K142),Volsmile,2),0)),($A142-DateToday)+15,IF(Pricetype3=1,1,0),0))),K142)))</f>
        <v> </v>
      </c>
      <c r="U142" s="319" t="str">
        <f aca="false">IF($A142="N/A"," ",Volume3*$AM142)</f>
        <v> </v>
      </c>
      <c r="V142" s="320" t="str">
        <f aca="false">IF($A142="N/A"," ",$U142*(8*($BQ142))*L142)</f>
        <v> </v>
      </c>
      <c r="W142" s="320" t="str">
        <f aca="false">IF($A142="N/A"," ",$U142*(8*($BQ142))*M142)</f>
        <v> </v>
      </c>
      <c r="X142" s="320" t="str">
        <f aca="false">IF($A142="N/A"," ",$U142*(8*($BQ142))*N142)</f>
        <v> </v>
      </c>
      <c r="Y142" s="320" t="str">
        <f aca="false">IF($A142="N/A"," ",$U142*(8*($BR142))*O142)</f>
        <v> </v>
      </c>
      <c r="Z142" s="320" t="str">
        <f aca="false">IF($A142="N/A"," ",$U142*(8*($BR142))*P142)</f>
        <v> </v>
      </c>
      <c r="AA142" s="320" t="str">
        <f aca="false">IF($A142="N/A"," ",$U142*(8*($BR142))*Q142)</f>
        <v> </v>
      </c>
      <c r="AB142" s="320" t="str">
        <f aca="false">IF($A142="N/A"," ",$U142*(8*($BS142))*R142)</f>
        <v> </v>
      </c>
      <c r="AC142" s="320" t="str">
        <f aca="false">IF($A142="N/A"," ",$U142*(8*($BS142))*S142)</f>
        <v> </v>
      </c>
      <c r="AD142" s="320" t="str">
        <f aca="false">IF($A142="N/A"," ",$U142*(8*($BS142))*T142)</f>
        <v> </v>
      </c>
      <c r="AE142" s="320" t="str">
        <f aca="false">IF($A142="N/A"," ",SUM(V142:AD142))</f>
        <v> </v>
      </c>
      <c r="AF142" s="321" t="str">
        <f aca="false">IF(A142="N/A"," ",(VLOOKUP(A142,PowerVolTable,(IF(VolBMO3=2,7,IF(VolBMO3=1,6,8))),FALSE())))</f>
        <v> </v>
      </c>
      <c r="AG142" s="321" t="str">
        <f aca="false">IF(A142="N/A"," ",(VLOOKUP(A142,IntraPowerVol,(IF(VolBMO3=2,3,IF(VolBMO3=1,2,4))),FALSE())*VLOOKUP(MONTH($A142),Volscale,2)))</f>
        <v> </v>
      </c>
      <c r="AH142" s="321" t="str">
        <f aca="false">IF($A142="N/A"," ",IF(VolType3=1,AG142,AF142))</f>
        <v> </v>
      </c>
      <c r="AI142" s="321" t="str">
        <f aca="false">IF($A142="N/A"," ",(VLOOKUP($A142,OffPwrVolTable,(IF(VolBMO3=2,7,IF(VolBMO3=1,6,8))),FALSE())))</f>
        <v> </v>
      </c>
      <c r="AJ142" s="321" t="str">
        <f aca="false">IF($A142="N/A"," ",(VLOOKUP($A142,OffPwrVolTable,(IF(VolBMO3=2,3,IF(VolBMO3=1,2,4))),FALSE())*VLOOKUP(MONTH($A142),Volscale,2)))</f>
        <v> </v>
      </c>
      <c r="AK142" s="321" t="str">
        <f aca="false">IF($A142="N/A"," ",IF(VolType3=1,AJ142,AI142))</f>
        <v> </v>
      </c>
      <c r="AL142" s="321" t="str">
        <f aca="false">IF($A142="N/A"," ",IF(PV=1,0,'Pricing Inputs3'!R175))</f>
        <v> </v>
      </c>
      <c r="AM142" s="323" t="str">
        <f aca="false">IF($A142="N/A"," ",(1+AL142/2)^(-2*((EOMONTH(A142,0)+20)-DateToday)/365.25))</f>
        <v> </v>
      </c>
      <c r="BQ142" s="0" t="str">
        <f aca="false">IF($A142="N/A"," ",(VLOOKUP($A142,NumberofDaysTable,2)))</f>
        <v> </v>
      </c>
      <c r="BR142" s="0" t="str">
        <f aca="false">IF($A142="N/A"," ",(VLOOKUP($A142,NumberofDaysTable,3)))</f>
        <v> </v>
      </c>
      <c r="BS142" s="0" t="str">
        <f aca="false">IF($A142="N/A"," ",(VLOOKUP($A142,NumberofDaysTable,4)))</f>
        <v> </v>
      </c>
    </row>
    <row r="143" customFormat="false" ht="12.75" hidden="false" customHeight="false" outlineLevel="0" collapsed="false">
      <c r="A143" s="315" t="str">
        <f aca="false">IF(A142="N/A","N/A",IF(EDATE(A142,1)&gt;Inputs!$Q$5,"N/A",EDATE(A142,1)))</f>
        <v>N/A</v>
      </c>
      <c r="B143" s="316" t="str">
        <f aca="false">IF(A143="N/A"," ",YEAR(A143))</f>
        <v> </v>
      </c>
      <c r="C143" s="317" t="str">
        <f aca="false">IF($A143="N/A"," ",IF(Dayrun3=10,0,IF(Scaler3=1,(VLOOKUP(A143,ScaledPrice3,4)),(VLOOKUP(A143,ScaledPrice3,2)))))</f>
        <v> </v>
      </c>
      <c r="D143" s="317" t="str">
        <f aca="false">IF(A143="N/A"," ",IF(Dayrun3&gt;=7,0,IF(Scaler3=2,VLOOKUP(A143,ScaledPrice3,2),(VLOOKUP(A143,ScaledPrice3,2))*(2-(VLOOKUP(A143,ScaledPrice3,3))))))</f>
        <v> </v>
      </c>
      <c r="E143" s="317" t="str">
        <f aca="false">IF($A143="N/A"," ",IF(AND(Dayrun3&gt;=4,Dayrun3&lt;=9),0,VLOOKUP($A143,ScaledPrice3,9)))</f>
        <v> </v>
      </c>
      <c r="F143" s="317" t="str">
        <f aca="false">IF(A143="N/A"," ",IF(OR(Dayrun3=2,Dayrun3=3,Dayrun3=5,Dayrun3=6,Dayrun3=8,Dayrun3=9),VLOOKUP(A143,ScaledPrice3,IF(Scaler3=1,6,5)),0))</f>
        <v> </v>
      </c>
      <c r="G143" s="317" t="str">
        <f aca="false">IF(A143="N/A"," ",IF(OR(Dayrun3=2,Dayrun3=3,Dayrun3=5,Dayrun3=6),IF(Scaler3=2,F143,(VLOOKUP(A143,ScaledPrice3,5))*(2-(VLOOKUP(A143,ScaledPrice3,3)))),0))</f>
        <v> </v>
      </c>
      <c r="H143" s="317" t="str">
        <f aca="false">IF($A143="N/A"," ",IF(OR(Dayrun3=2,Dayrun3=3,Dayrun3=10),VLOOKUP($A143,ScaledPrice3,9),0))</f>
        <v> </v>
      </c>
      <c r="I143" s="317" t="str">
        <f aca="false">IF(A143="N/A"," ",IF(OR(Dayrun3=3,Dayrun3=6,Dayrun3=9),(VLOOKUP(A143,ScaledPrice3,IF(Scaler3=2,7,8))),0))</f>
        <v> </v>
      </c>
      <c r="J143" s="317" t="str">
        <f aca="false">IF(A143="N/A"," ",IF(OR(Dayrun3=3,Dayrun3=6),IF(Scaler3=2,I143,(VLOOKUP(A143,ScaledPrice3,7))*(2-(VLOOKUP(A143,ScaledPrice3,3)))),0))</f>
        <v> </v>
      </c>
      <c r="K143" s="317" t="str">
        <f aca="false">IF($A143="N/A"," ",IF(OR(Dayrun3=3,Dayrun3=10),VLOOKUP($A143,ScaledPrice3,9),0))</f>
        <v> </v>
      </c>
      <c r="L143" s="318" t="str">
        <f aca="false">IF($A143="N/A"," ",IF(Pricetype3=2,MAX(C143,0),IF(OR(Pricetype3=1,Pricetype3=4),IF(C143=0,0,(EURO(C143,Strikeprice3,0,0,($AH143+IF(Smile=TRUE(),VLOOKUP(MAX(-5,Strikeprice3-C143),Volsmile,2),0)),($A143-DateToday)+15,IF(Pricetype3=1,1,0),0))),C143)))</f>
        <v> </v>
      </c>
      <c r="M143" s="318" t="str">
        <f aca="false">IF($A143="N/A"," ",IF(Pricetype3=2,MAX(D143,0),IF(OR(Pricetype3=1,Pricetype3=4),IF(D143=0,0,(EURO(D143,Strikeprice3,0,0,($AH143+IF(Smile=TRUE(),VLOOKUP(MAX(-5,Strikeprice3-D143),Volsmile,2),0)),($A143-DateToday)+15,IF(Pricetype3=1,1,0),0))),D143)))</f>
        <v> </v>
      </c>
      <c r="N143" s="318" t="str">
        <f aca="false">IF($A143="N/A"," ",IF(Pricetype3=2,MAX(E143,0),IF(OR(Pricetype3=1,Pricetype3=4),IF(E143=0,0,(EURO(E143,Strikeprice3,0,0,($AK143+IF(Smile=TRUE(),VLOOKUP(MAX(-5,Strikeprice3-E143),Volsmile,2),0)),($A143-DateToday)+15,IF(Pricetype3=1,1,0),0))),E143)))</f>
        <v> </v>
      </c>
      <c r="O143" s="318" t="str">
        <f aca="false">IF($A143="N/A"," ",IF(Pricetype3=2,MAX(F143,0),IF(OR(Pricetype3=1,Pricetype3=4),IF(F143=0,0,(EURO(F143,Strikeprice3,0,0,($AK143+IF(Smile=TRUE(),VLOOKUP(MAX(-5,Strikeprice3-F143),Volsmile,2),0)),($A143-DateToday)+15,IF(Pricetype3=1,1,0),0))),F143)))</f>
        <v> </v>
      </c>
      <c r="P143" s="318" t="str">
        <f aca="false">IF($A143="N/A"," ",IF(Pricetype3=2,MAX(G143,0),IF(OR(Pricetype3=1,Pricetype3=4),IF(G143=0,0,(EURO(G143,Strikeprice3,0,0,($AK143+IF(Smile=TRUE(),VLOOKUP(MAX(-5,Strikeprice3-G143),Volsmile,2),0)),($A143-DateToday)+15,IF(Pricetype3=1,1,0),0))),G143)))</f>
        <v> </v>
      </c>
      <c r="Q143" s="318" t="str">
        <f aca="false">IF($A143="N/A"," ",IF(Pricetype3=2,MAX(H143,0),IF(OR(Pricetype3=1,Pricetype3=4),IF(H143=0,0,(EURO(H143,Strikeprice3,0,0,($AK143+IF(Smile=TRUE(),VLOOKUP(MAX(-5,Strikeprice3-H143),Volsmile,2),0)),($A143-DateToday)+15,IF(Pricetype3=1,1,0),0))),H143)))</f>
        <v> </v>
      </c>
      <c r="R143" s="318" t="str">
        <f aca="false">IF($A143="N/A"," ",IF(Pricetype3=2,MAX(I143,0),IF(OR(Pricetype3=1,Pricetype3=4),IF(I143=0,0,(EURO(I143,Strikeprice3,0,0,($AK143+IF(Smile=TRUE(),VLOOKUP(MAX(-5,Strikeprice3-I143),Volsmile,2),0)),($A143-DateToday)+15,IF(Pricetype3=1,1,0),0))),I143)))</f>
        <v> </v>
      </c>
      <c r="S143" s="318" t="str">
        <f aca="false">IF($A143="N/A"," ",IF(Pricetype3=2,MAX(J143,0),IF(OR(Pricetype3=1,Pricetype3=4),IF(J143=0,0,(EURO(J143,Strikeprice3,0,0,($AK143+IF(Smile=TRUE(),VLOOKUP(MAX(-5,Strikeprice3-J143),Volsmile,2),0)),($A143-DateToday)+15,IF(Pricetype3=1,1,0),0))),J143)))</f>
        <v> </v>
      </c>
      <c r="T143" s="318" t="str">
        <f aca="false">IF($A143="N/A"," ",IF(Pricetype3=2,MAX(K143,0),IF(OR(Pricetype3=1,Pricetype3=4),IF(K143=0,0,(EURO(K143,Strikeprice3,0,0,($AK143+IF(Smile=TRUE(),VLOOKUP(MAX(-5,Strikeprice3-K143),Volsmile,2),0)),($A143-DateToday)+15,IF(Pricetype3=1,1,0),0))),K143)))</f>
        <v> </v>
      </c>
      <c r="U143" s="319" t="str">
        <f aca="false">IF($A143="N/A"," ",Volume3*$AM143)</f>
        <v> </v>
      </c>
      <c r="V143" s="320" t="str">
        <f aca="false">IF($A143="N/A"," ",$U143*(8*($BQ143))*L143)</f>
        <v> </v>
      </c>
      <c r="W143" s="320" t="str">
        <f aca="false">IF($A143="N/A"," ",$U143*(8*($BQ143))*M143)</f>
        <v> </v>
      </c>
      <c r="X143" s="320" t="str">
        <f aca="false">IF($A143="N/A"," ",$U143*(8*($BQ143))*N143)</f>
        <v> </v>
      </c>
      <c r="Y143" s="320" t="str">
        <f aca="false">IF($A143="N/A"," ",$U143*(8*($BR143))*O143)</f>
        <v> </v>
      </c>
      <c r="Z143" s="320" t="str">
        <f aca="false">IF($A143="N/A"," ",$U143*(8*($BR143))*P143)</f>
        <v> </v>
      </c>
      <c r="AA143" s="320" t="str">
        <f aca="false">IF($A143="N/A"," ",$U143*(8*($BR143))*Q143)</f>
        <v> </v>
      </c>
      <c r="AB143" s="320" t="str">
        <f aca="false">IF($A143="N/A"," ",$U143*(8*($BS143))*R143)</f>
        <v> </v>
      </c>
      <c r="AC143" s="320" t="str">
        <f aca="false">IF($A143="N/A"," ",$U143*(8*($BS143))*S143)</f>
        <v> </v>
      </c>
      <c r="AD143" s="320" t="str">
        <f aca="false">IF($A143="N/A"," ",$U143*(8*($BS143))*T143)</f>
        <v> </v>
      </c>
      <c r="AE143" s="320" t="str">
        <f aca="false">IF($A143="N/A"," ",SUM(V143:AD143))</f>
        <v> </v>
      </c>
      <c r="AF143" s="321" t="str">
        <f aca="false">IF(A143="N/A"," ",(VLOOKUP(A143,PowerVolTable,(IF(VolBMO3=2,7,IF(VolBMO3=1,6,8))),FALSE())))</f>
        <v> </v>
      </c>
      <c r="AG143" s="321" t="str">
        <f aca="false">IF(A143="N/A"," ",(VLOOKUP(A143,IntraPowerVol,(IF(VolBMO3=2,3,IF(VolBMO3=1,2,4))),FALSE())*VLOOKUP(MONTH($A143),Volscale,2)))</f>
        <v> </v>
      </c>
      <c r="AH143" s="321" t="str">
        <f aca="false">IF($A143="N/A"," ",IF(VolType3=1,AG143,AF143))</f>
        <v> </v>
      </c>
      <c r="AI143" s="321" t="str">
        <f aca="false">IF($A143="N/A"," ",(VLOOKUP($A143,OffPwrVolTable,(IF(VolBMO3=2,7,IF(VolBMO3=1,6,8))),FALSE())))</f>
        <v> </v>
      </c>
      <c r="AJ143" s="321" t="str">
        <f aca="false">IF($A143="N/A"," ",(VLOOKUP($A143,OffPwrVolTable,(IF(VolBMO3=2,3,IF(VolBMO3=1,2,4))),FALSE())*VLOOKUP(MONTH($A143),Volscale,2)))</f>
        <v> </v>
      </c>
      <c r="AK143" s="321" t="str">
        <f aca="false">IF($A143="N/A"," ",IF(VolType3=1,AJ143,AI143))</f>
        <v> </v>
      </c>
      <c r="AL143" s="321" t="str">
        <f aca="false">IF($A143="N/A"," ",IF(PV=1,0,'Pricing Inputs3'!R176))</f>
        <v> </v>
      </c>
      <c r="AM143" s="323" t="str">
        <f aca="false">IF($A143="N/A"," ",(1+AL143/2)^(-2*((EOMONTH(A143,0)+20)-DateToday)/365.25))</f>
        <v> </v>
      </c>
      <c r="BQ143" s="0" t="str">
        <f aca="false">IF($A143="N/A"," ",(VLOOKUP($A143,NumberofDaysTable,2)))</f>
        <v> </v>
      </c>
      <c r="BR143" s="0" t="str">
        <f aca="false">IF($A143="N/A"," ",(VLOOKUP($A143,NumberofDaysTable,3)))</f>
        <v> </v>
      </c>
      <c r="BS143" s="0" t="str">
        <f aca="false">IF($A143="N/A"," ",(VLOOKUP($A143,NumberofDaysTable,4)))</f>
        <v> </v>
      </c>
    </row>
    <row r="144" customFormat="false" ht="12.75" hidden="false" customHeight="false" outlineLevel="0" collapsed="false">
      <c r="A144" s="315" t="str">
        <f aca="false">IF(A143="N/A","N/A",IF(EDATE(A143,1)&gt;Inputs!$Q$5,"N/A",EDATE(A143,1)))</f>
        <v>N/A</v>
      </c>
      <c r="B144" s="316" t="str">
        <f aca="false">IF(A144="N/A"," ",YEAR(A144))</f>
        <v> </v>
      </c>
      <c r="C144" s="317" t="str">
        <f aca="false">IF($A144="N/A"," ",IF(Dayrun3=10,0,IF(Scaler3=1,(VLOOKUP(A144,ScaledPrice3,4)),(VLOOKUP(A144,ScaledPrice3,2)))))</f>
        <v> </v>
      </c>
      <c r="D144" s="317" t="str">
        <f aca="false">IF(A144="N/A"," ",IF(Dayrun3&gt;=7,0,IF(Scaler3=2,VLOOKUP(A144,ScaledPrice3,2),(VLOOKUP(A144,ScaledPrice3,2))*(2-(VLOOKUP(A144,ScaledPrice3,3))))))</f>
        <v> </v>
      </c>
      <c r="E144" s="317" t="str">
        <f aca="false">IF($A144="N/A"," ",IF(AND(Dayrun3&gt;=4,Dayrun3&lt;=9),0,VLOOKUP($A144,ScaledPrice3,9)))</f>
        <v> </v>
      </c>
      <c r="F144" s="317" t="str">
        <f aca="false">IF(A144="N/A"," ",IF(OR(Dayrun3=2,Dayrun3=3,Dayrun3=5,Dayrun3=6,Dayrun3=8,Dayrun3=9),VLOOKUP(A144,ScaledPrice3,IF(Scaler3=1,6,5)),0))</f>
        <v> </v>
      </c>
      <c r="G144" s="317" t="str">
        <f aca="false">IF(A144="N/A"," ",IF(OR(Dayrun3=2,Dayrun3=3,Dayrun3=5,Dayrun3=6),IF(Scaler3=2,F144,(VLOOKUP(A144,ScaledPrice3,5))*(2-(VLOOKUP(A144,ScaledPrice3,3)))),0))</f>
        <v> </v>
      </c>
      <c r="H144" s="317" t="str">
        <f aca="false">IF($A144="N/A"," ",IF(OR(Dayrun3=2,Dayrun3=3,Dayrun3=10),VLOOKUP($A144,ScaledPrice3,9),0))</f>
        <v> </v>
      </c>
      <c r="I144" s="317" t="str">
        <f aca="false">IF(A144="N/A"," ",IF(OR(Dayrun3=3,Dayrun3=6,Dayrun3=9),(VLOOKUP(A144,ScaledPrice3,IF(Scaler3=2,7,8))),0))</f>
        <v> </v>
      </c>
      <c r="J144" s="317" t="str">
        <f aca="false">IF(A144="N/A"," ",IF(OR(Dayrun3=3,Dayrun3=6),IF(Scaler3=2,I144,(VLOOKUP(A144,ScaledPrice3,7))*(2-(VLOOKUP(A144,ScaledPrice3,3)))),0))</f>
        <v> </v>
      </c>
      <c r="K144" s="317" t="str">
        <f aca="false">IF($A144="N/A"," ",IF(OR(Dayrun3=3,Dayrun3=10),VLOOKUP($A144,ScaledPrice3,9),0))</f>
        <v> </v>
      </c>
      <c r="L144" s="318" t="str">
        <f aca="false">IF($A144="N/A"," ",IF(Pricetype3=2,MAX(C144,0),IF(OR(Pricetype3=1,Pricetype3=4),IF(C144=0,0,(EURO(C144,Strikeprice3,0,0,($AH144+IF(Smile=TRUE(),VLOOKUP(MAX(-5,Strikeprice3-C144),Volsmile,2),0)),($A144-DateToday)+15,IF(Pricetype3=1,1,0),0))),C144)))</f>
        <v> </v>
      </c>
      <c r="M144" s="318" t="str">
        <f aca="false">IF($A144="N/A"," ",IF(Pricetype3=2,MAX(D144,0),IF(OR(Pricetype3=1,Pricetype3=4),IF(D144=0,0,(EURO(D144,Strikeprice3,0,0,($AH144+IF(Smile=TRUE(),VLOOKUP(MAX(-5,Strikeprice3-D144),Volsmile,2),0)),($A144-DateToday)+15,IF(Pricetype3=1,1,0),0))),D144)))</f>
        <v> </v>
      </c>
      <c r="N144" s="318" t="str">
        <f aca="false">IF($A144="N/A"," ",IF(Pricetype3=2,MAX(E144,0),IF(OR(Pricetype3=1,Pricetype3=4),IF(E144=0,0,(EURO(E144,Strikeprice3,0,0,($AK144+IF(Smile=TRUE(),VLOOKUP(MAX(-5,Strikeprice3-E144),Volsmile,2),0)),($A144-DateToday)+15,IF(Pricetype3=1,1,0),0))),E144)))</f>
        <v> </v>
      </c>
      <c r="O144" s="318" t="str">
        <f aca="false">IF($A144="N/A"," ",IF(Pricetype3=2,MAX(F144,0),IF(OR(Pricetype3=1,Pricetype3=4),IF(F144=0,0,(EURO(F144,Strikeprice3,0,0,($AK144+IF(Smile=TRUE(),VLOOKUP(MAX(-5,Strikeprice3-F144),Volsmile,2),0)),($A144-DateToday)+15,IF(Pricetype3=1,1,0),0))),F144)))</f>
        <v> </v>
      </c>
      <c r="P144" s="318" t="str">
        <f aca="false">IF($A144="N/A"," ",IF(Pricetype3=2,MAX(G144,0),IF(OR(Pricetype3=1,Pricetype3=4),IF(G144=0,0,(EURO(G144,Strikeprice3,0,0,($AK144+IF(Smile=TRUE(),VLOOKUP(MAX(-5,Strikeprice3-G144),Volsmile,2),0)),($A144-DateToday)+15,IF(Pricetype3=1,1,0),0))),G144)))</f>
        <v> </v>
      </c>
      <c r="Q144" s="318" t="str">
        <f aca="false">IF($A144="N/A"," ",IF(Pricetype3=2,MAX(H144,0),IF(OR(Pricetype3=1,Pricetype3=4),IF(H144=0,0,(EURO(H144,Strikeprice3,0,0,($AK144+IF(Smile=TRUE(),VLOOKUP(MAX(-5,Strikeprice3-H144),Volsmile,2),0)),($A144-DateToday)+15,IF(Pricetype3=1,1,0),0))),H144)))</f>
        <v> </v>
      </c>
      <c r="R144" s="318" t="str">
        <f aca="false">IF($A144="N/A"," ",IF(Pricetype3=2,MAX(I144,0),IF(OR(Pricetype3=1,Pricetype3=4),IF(I144=0,0,(EURO(I144,Strikeprice3,0,0,($AK144+IF(Smile=TRUE(),VLOOKUP(MAX(-5,Strikeprice3-I144),Volsmile,2),0)),($A144-DateToday)+15,IF(Pricetype3=1,1,0),0))),I144)))</f>
        <v> </v>
      </c>
      <c r="S144" s="318" t="str">
        <f aca="false">IF($A144="N/A"," ",IF(Pricetype3=2,MAX(J144,0),IF(OR(Pricetype3=1,Pricetype3=4),IF(J144=0,0,(EURO(J144,Strikeprice3,0,0,($AK144+IF(Smile=TRUE(),VLOOKUP(MAX(-5,Strikeprice3-J144),Volsmile,2),0)),($A144-DateToday)+15,IF(Pricetype3=1,1,0),0))),J144)))</f>
        <v> </v>
      </c>
      <c r="T144" s="318" t="str">
        <f aca="false">IF($A144="N/A"," ",IF(Pricetype3=2,MAX(K144,0),IF(OR(Pricetype3=1,Pricetype3=4),IF(K144=0,0,(EURO(K144,Strikeprice3,0,0,($AK144+IF(Smile=TRUE(),VLOOKUP(MAX(-5,Strikeprice3-K144),Volsmile,2),0)),($A144-DateToday)+15,IF(Pricetype3=1,1,0),0))),K144)))</f>
        <v> </v>
      </c>
      <c r="U144" s="319" t="str">
        <f aca="false">IF($A144="N/A"," ",Volume3*$AM144)</f>
        <v> </v>
      </c>
      <c r="V144" s="320" t="str">
        <f aca="false">IF($A144="N/A"," ",$U144*(8*($BQ144))*L144)</f>
        <v> </v>
      </c>
      <c r="W144" s="320" t="str">
        <f aca="false">IF($A144="N/A"," ",$U144*(8*($BQ144))*M144)</f>
        <v> </v>
      </c>
      <c r="X144" s="320" t="str">
        <f aca="false">IF($A144="N/A"," ",$U144*(8*($BQ144))*N144)</f>
        <v> </v>
      </c>
      <c r="Y144" s="320" t="str">
        <f aca="false">IF($A144="N/A"," ",$U144*(8*($BR144))*O144)</f>
        <v> </v>
      </c>
      <c r="Z144" s="320" t="str">
        <f aca="false">IF($A144="N/A"," ",$U144*(8*($BR144))*P144)</f>
        <v> </v>
      </c>
      <c r="AA144" s="320" t="str">
        <f aca="false">IF($A144="N/A"," ",$U144*(8*($BR144))*Q144)</f>
        <v> </v>
      </c>
      <c r="AB144" s="320" t="str">
        <f aca="false">IF($A144="N/A"," ",$U144*(8*($BS144))*R144)</f>
        <v> </v>
      </c>
      <c r="AC144" s="320" t="str">
        <f aca="false">IF($A144="N/A"," ",$U144*(8*($BS144))*S144)</f>
        <v> </v>
      </c>
      <c r="AD144" s="320" t="str">
        <f aca="false">IF($A144="N/A"," ",$U144*(8*($BS144))*T144)</f>
        <v> </v>
      </c>
      <c r="AE144" s="320" t="str">
        <f aca="false">IF($A144="N/A"," ",SUM(V144:AD144))</f>
        <v> </v>
      </c>
      <c r="AF144" s="321" t="str">
        <f aca="false">IF(A144="N/A"," ",(VLOOKUP(A144,PowerVolTable,(IF(VolBMO3=2,7,IF(VolBMO3=1,6,8))),FALSE())))</f>
        <v> </v>
      </c>
      <c r="AG144" s="321" t="str">
        <f aca="false">IF(A144="N/A"," ",(VLOOKUP(A144,IntraPowerVol,(IF(VolBMO3=2,3,IF(VolBMO3=1,2,4))),FALSE())*VLOOKUP(MONTH($A144),Volscale,2)))</f>
        <v> </v>
      </c>
      <c r="AH144" s="321" t="str">
        <f aca="false">IF($A144="N/A"," ",IF(VolType3=1,AG144,AF144))</f>
        <v> </v>
      </c>
      <c r="AI144" s="321" t="str">
        <f aca="false">IF($A144="N/A"," ",(VLOOKUP($A144,OffPwrVolTable,(IF(VolBMO3=2,7,IF(VolBMO3=1,6,8))),FALSE())))</f>
        <v> </v>
      </c>
      <c r="AJ144" s="321" t="str">
        <f aca="false">IF($A144="N/A"," ",(VLOOKUP($A144,OffPwrVolTable,(IF(VolBMO3=2,3,IF(VolBMO3=1,2,4))),FALSE())*VLOOKUP(MONTH($A144),Volscale,2)))</f>
        <v> </v>
      </c>
      <c r="AK144" s="321" t="str">
        <f aca="false">IF($A144="N/A"," ",IF(VolType3=1,AJ144,AI144))</f>
        <v> </v>
      </c>
      <c r="AL144" s="321" t="str">
        <f aca="false">IF($A144="N/A"," ",IF(PV=1,0,'Pricing Inputs3'!R177))</f>
        <v> </v>
      </c>
      <c r="AM144" s="323" t="str">
        <f aca="false">IF($A144="N/A"," ",(1+AL144/2)^(-2*((EOMONTH(A144,0)+20)-DateToday)/365.25))</f>
        <v> </v>
      </c>
      <c r="BQ144" s="0" t="str">
        <f aca="false">IF($A144="N/A"," ",(VLOOKUP($A144,NumberofDaysTable,2)))</f>
        <v> </v>
      </c>
      <c r="BR144" s="0" t="str">
        <f aca="false">IF($A144="N/A"," ",(VLOOKUP($A144,NumberofDaysTable,3)))</f>
        <v> </v>
      </c>
      <c r="BS144" s="0" t="str">
        <f aca="false">IF($A144="N/A"," ",(VLOOKUP($A144,NumberofDaysTable,4)))</f>
        <v> </v>
      </c>
    </row>
    <row r="145" customFormat="false" ht="12.75" hidden="false" customHeight="false" outlineLevel="0" collapsed="false">
      <c r="A145" s="315" t="str">
        <f aca="false">IF(A144="N/A","N/A",IF(EDATE(A144,1)&gt;Inputs!$Q$5,"N/A",EDATE(A144,1)))</f>
        <v>N/A</v>
      </c>
      <c r="B145" s="316" t="str">
        <f aca="false">IF(A145="N/A"," ",YEAR(A145))</f>
        <v> </v>
      </c>
      <c r="C145" s="317" t="str">
        <f aca="false">IF($A145="N/A"," ",IF(Dayrun3=10,0,IF(Scaler3=1,(VLOOKUP(A145,ScaledPrice3,4)),(VLOOKUP(A145,ScaledPrice3,2)))))</f>
        <v> </v>
      </c>
      <c r="D145" s="317" t="str">
        <f aca="false">IF(A145="N/A"," ",IF(Dayrun3&gt;=7,0,IF(Scaler3=2,VLOOKUP(A145,ScaledPrice3,2),(VLOOKUP(A145,ScaledPrice3,2))*(2-(VLOOKUP(A145,ScaledPrice3,3))))))</f>
        <v> </v>
      </c>
      <c r="E145" s="317" t="str">
        <f aca="false">IF($A145="N/A"," ",IF(AND(Dayrun3&gt;=4,Dayrun3&lt;=9),0,VLOOKUP($A145,ScaledPrice3,9)))</f>
        <v> </v>
      </c>
      <c r="F145" s="317" t="str">
        <f aca="false">IF(A145="N/A"," ",IF(OR(Dayrun3=2,Dayrun3=3,Dayrun3=5,Dayrun3=6,Dayrun3=8,Dayrun3=9),VLOOKUP(A145,ScaledPrice3,IF(Scaler3=1,6,5)),0))</f>
        <v> </v>
      </c>
      <c r="G145" s="317" t="str">
        <f aca="false">IF(A145="N/A"," ",IF(OR(Dayrun3=2,Dayrun3=3,Dayrun3=5,Dayrun3=6),IF(Scaler3=2,F145,(VLOOKUP(A145,ScaledPrice3,5))*(2-(VLOOKUP(A145,ScaledPrice3,3)))),0))</f>
        <v> </v>
      </c>
      <c r="H145" s="317" t="str">
        <f aca="false">IF($A145="N/A"," ",IF(OR(Dayrun3=2,Dayrun3=3,Dayrun3=10),VLOOKUP($A145,ScaledPrice3,9),0))</f>
        <v> </v>
      </c>
      <c r="I145" s="317" t="str">
        <f aca="false">IF(A145="N/A"," ",IF(OR(Dayrun3=3,Dayrun3=6,Dayrun3=9),(VLOOKUP(A145,ScaledPrice3,IF(Scaler3=2,7,8))),0))</f>
        <v> </v>
      </c>
      <c r="J145" s="317" t="str">
        <f aca="false">IF(A145="N/A"," ",IF(OR(Dayrun3=3,Dayrun3=6),IF(Scaler3=2,I145,(VLOOKUP(A145,ScaledPrice3,7))*(2-(VLOOKUP(A145,ScaledPrice3,3)))),0))</f>
        <v> </v>
      </c>
      <c r="K145" s="317" t="str">
        <f aca="false">IF($A145="N/A"," ",IF(OR(Dayrun3=3,Dayrun3=10),VLOOKUP($A145,ScaledPrice3,9),0))</f>
        <v> </v>
      </c>
      <c r="L145" s="318" t="str">
        <f aca="false">IF($A145="N/A"," ",IF(Pricetype3=2,MAX(C145,0),IF(OR(Pricetype3=1,Pricetype3=4),IF(C145=0,0,(EURO(C145,Strikeprice3,0,0,($AH145+IF(Smile=TRUE(),VLOOKUP(MAX(-5,Strikeprice3-C145),Volsmile,2),0)),($A145-DateToday)+15,IF(Pricetype3=1,1,0),0))),C145)))</f>
        <v> </v>
      </c>
      <c r="M145" s="318" t="str">
        <f aca="false">IF($A145="N/A"," ",IF(Pricetype3=2,MAX(D145,0),IF(OR(Pricetype3=1,Pricetype3=4),IF(D145=0,0,(EURO(D145,Strikeprice3,0,0,($AH145+IF(Smile=TRUE(),VLOOKUP(MAX(-5,Strikeprice3-D145),Volsmile,2),0)),($A145-DateToday)+15,IF(Pricetype3=1,1,0),0))),D145)))</f>
        <v> </v>
      </c>
      <c r="N145" s="318" t="str">
        <f aca="false">IF($A145="N/A"," ",IF(Pricetype3=2,MAX(E145,0),IF(OR(Pricetype3=1,Pricetype3=4),IF(E145=0,0,(EURO(E145,Strikeprice3,0,0,($AK145+IF(Smile=TRUE(),VLOOKUP(MAX(-5,Strikeprice3-E145),Volsmile,2),0)),($A145-DateToday)+15,IF(Pricetype3=1,1,0),0))),E145)))</f>
        <v> </v>
      </c>
      <c r="O145" s="318" t="str">
        <f aca="false">IF($A145="N/A"," ",IF(Pricetype3=2,MAX(F145,0),IF(OR(Pricetype3=1,Pricetype3=4),IF(F145=0,0,(EURO(F145,Strikeprice3,0,0,($AK145+IF(Smile=TRUE(),VLOOKUP(MAX(-5,Strikeprice3-F145),Volsmile,2),0)),($A145-DateToday)+15,IF(Pricetype3=1,1,0),0))),F145)))</f>
        <v> </v>
      </c>
      <c r="P145" s="318" t="str">
        <f aca="false">IF($A145="N/A"," ",IF(Pricetype3=2,MAX(G145,0),IF(OR(Pricetype3=1,Pricetype3=4),IF(G145=0,0,(EURO(G145,Strikeprice3,0,0,($AK145+IF(Smile=TRUE(),VLOOKUP(MAX(-5,Strikeprice3-G145),Volsmile,2),0)),($A145-DateToday)+15,IF(Pricetype3=1,1,0),0))),G145)))</f>
        <v> </v>
      </c>
      <c r="Q145" s="318" t="str">
        <f aca="false">IF($A145="N/A"," ",IF(Pricetype3=2,MAX(H145,0),IF(OR(Pricetype3=1,Pricetype3=4),IF(H145=0,0,(EURO(H145,Strikeprice3,0,0,($AK145+IF(Smile=TRUE(),VLOOKUP(MAX(-5,Strikeprice3-H145),Volsmile,2),0)),($A145-DateToday)+15,IF(Pricetype3=1,1,0),0))),H145)))</f>
        <v> </v>
      </c>
      <c r="R145" s="318" t="str">
        <f aca="false">IF($A145="N/A"," ",IF(Pricetype3=2,MAX(I145,0),IF(OR(Pricetype3=1,Pricetype3=4),IF(I145=0,0,(EURO(I145,Strikeprice3,0,0,($AK145+IF(Smile=TRUE(),VLOOKUP(MAX(-5,Strikeprice3-I145),Volsmile,2),0)),($A145-DateToday)+15,IF(Pricetype3=1,1,0),0))),I145)))</f>
        <v> </v>
      </c>
      <c r="S145" s="318" t="str">
        <f aca="false">IF($A145="N/A"," ",IF(Pricetype3=2,MAX(J145,0),IF(OR(Pricetype3=1,Pricetype3=4),IF(J145=0,0,(EURO(J145,Strikeprice3,0,0,($AK145+IF(Smile=TRUE(),VLOOKUP(MAX(-5,Strikeprice3-J145),Volsmile,2),0)),($A145-DateToday)+15,IF(Pricetype3=1,1,0),0))),J145)))</f>
        <v> </v>
      </c>
      <c r="T145" s="318" t="str">
        <f aca="false">IF($A145="N/A"," ",IF(Pricetype3=2,MAX(K145,0),IF(OR(Pricetype3=1,Pricetype3=4),IF(K145=0,0,(EURO(K145,Strikeprice3,0,0,($AK145+IF(Smile=TRUE(),VLOOKUP(MAX(-5,Strikeprice3-K145),Volsmile,2),0)),($A145-DateToday)+15,IF(Pricetype3=1,1,0),0))),K145)))</f>
        <v> </v>
      </c>
      <c r="U145" s="319" t="str">
        <f aca="false">IF($A145="N/A"," ",Volume3*$AM145)</f>
        <v> </v>
      </c>
      <c r="V145" s="320" t="str">
        <f aca="false">IF($A145="N/A"," ",$U145*(8*($BQ145))*L145)</f>
        <v> </v>
      </c>
      <c r="W145" s="320" t="str">
        <f aca="false">IF($A145="N/A"," ",$U145*(8*($BQ145))*M145)</f>
        <v> </v>
      </c>
      <c r="X145" s="320" t="str">
        <f aca="false">IF($A145="N/A"," ",$U145*(8*($BQ145))*N145)</f>
        <v> </v>
      </c>
      <c r="Y145" s="320" t="str">
        <f aca="false">IF($A145="N/A"," ",$U145*(8*($BR145))*O145)</f>
        <v> </v>
      </c>
      <c r="Z145" s="320" t="str">
        <f aca="false">IF($A145="N/A"," ",$U145*(8*($BR145))*P145)</f>
        <v> </v>
      </c>
      <c r="AA145" s="320" t="str">
        <f aca="false">IF($A145="N/A"," ",$U145*(8*($BR145))*Q145)</f>
        <v> </v>
      </c>
      <c r="AB145" s="320" t="str">
        <f aca="false">IF($A145="N/A"," ",$U145*(8*($BS145))*R145)</f>
        <v> </v>
      </c>
      <c r="AC145" s="320" t="str">
        <f aca="false">IF($A145="N/A"," ",$U145*(8*($BS145))*S145)</f>
        <v> </v>
      </c>
      <c r="AD145" s="320" t="str">
        <f aca="false">IF($A145="N/A"," ",$U145*(8*($BS145))*T145)</f>
        <v> </v>
      </c>
      <c r="AE145" s="320" t="str">
        <f aca="false">IF($A145="N/A"," ",SUM(V145:AD145))</f>
        <v> </v>
      </c>
      <c r="AF145" s="321" t="str">
        <f aca="false">IF(A145="N/A"," ",(VLOOKUP(A145,PowerVolTable,(IF(VolBMO3=2,7,IF(VolBMO3=1,6,8))),FALSE())))</f>
        <v> </v>
      </c>
      <c r="AG145" s="321" t="str">
        <f aca="false">IF(A145="N/A"," ",(VLOOKUP(A145,IntraPowerVol,(IF(VolBMO3=2,3,IF(VolBMO3=1,2,4))),FALSE())*VLOOKUP(MONTH($A145),Volscale,2)))</f>
        <v> </v>
      </c>
      <c r="AH145" s="321" t="str">
        <f aca="false">IF($A145="N/A"," ",IF(VolType3=1,AG145,AF145))</f>
        <v> </v>
      </c>
      <c r="AI145" s="321" t="str">
        <f aca="false">IF($A145="N/A"," ",(VLOOKUP($A145,OffPwrVolTable,(IF(VolBMO3=2,7,IF(VolBMO3=1,6,8))),FALSE())))</f>
        <v> </v>
      </c>
      <c r="AJ145" s="321" t="str">
        <f aca="false">IF($A145="N/A"," ",(VLOOKUP($A145,OffPwrVolTable,(IF(VolBMO3=2,3,IF(VolBMO3=1,2,4))),FALSE())*VLOOKUP(MONTH($A145),Volscale,2)))</f>
        <v> </v>
      </c>
      <c r="AK145" s="321" t="str">
        <f aca="false">IF($A145="N/A"," ",IF(VolType3=1,AJ145,AI145))</f>
        <v> </v>
      </c>
      <c r="AL145" s="321" t="str">
        <f aca="false">IF($A145="N/A"," ",IF(PV=1,0,'Pricing Inputs3'!R178))</f>
        <v> </v>
      </c>
      <c r="AM145" s="323" t="str">
        <f aca="false">IF($A145="N/A"," ",(1+AL145/2)^(-2*((EOMONTH(A145,0)+20)-DateToday)/365.25))</f>
        <v> </v>
      </c>
      <c r="BQ145" s="0" t="str">
        <f aca="false">IF($A145="N/A"," ",(VLOOKUP($A145,NumberofDaysTable,2)))</f>
        <v> </v>
      </c>
      <c r="BR145" s="0" t="str">
        <f aca="false">IF($A145="N/A"," ",(VLOOKUP($A145,NumberofDaysTable,3)))</f>
        <v> </v>
      </c>
      <c r="BS145" s="0" t="str">
        <f aca="false">IF($A145="N/A"," ",(VLOOKUP($A145,NumberofDaysTable,4)))</f>
        <v> </v>
      </c>
    </row>
    <row r="146" customFormat="false" ht="12.75" hidden="false" customHeight="false" outlineLevel="0" collapsed="false">
      <c r="A146" s="315" t="str">
        <f aca="false">IF(A145="N/A","N/A",IF(EDATE(A145,1)&gt;Inputs!$Q$5,"N/A",EDATE(A145,1)))</f>
        <v>N/A</v>
      </c>
      <c r="B146" s="316" t="str">
        <f aca="false">IF(A146="N/A"," ",YEAR(A146))</f>
        <v> </v>
      </c>
      <c r="C146" s="317" t="str">
        <f aca="false">IF($A146="N/A"," ",IF(Dayrun3=10,0,IF(Scaler3=1,(VLOOKUP(A146,ScaledPrice3,4)),(VLOOKUP(A146,ScaledPrice3,2)))))</f>
        <v> </v>
      </c>
      <c r="D146" s="317" t="str">
        <f aca="false">IF(A146="N/A"," ",IF(Dayrun3&gt;=7,0,IF(Scaler3=2,VLOOKUP(A146,ScaledPrice3,2),(VLOOKUP(A146,ScaledPrice3,2))*(2-(VLOOKUP(A146,ScaledPrice3,3))))))</f>
        <v> </v>
      </c>
      <c r="E146" s="317" t="str">
        <f aca="false">IF($A146="N/A"," ",IF(AND(Dayrun3&gt;=4,Dayrun3&lt;=9),0,VLOOKUP($A146,ScaledPrice3,9)))</f>
        <v> </v>
      </c>
      <c r="F146" s="317" t="str">
        <f aca="false">IF(A146="N/A"," ",IF(OR(Dayrun3=2,Dayrun3=3,Dayrun3=5,Dayrun3=6,Dayrun3=8,Dayrun3=9),VLOOKUP(A146,ScaledPrice3,IF(Scaler3=1,6,5)),0))</f>
        <v> </v>
      </c>
      <c r="G146" s="317" t="str">
        <f aca="false">IF(A146="N/A"," ",IF(OR(Dayrun3=2,Dayrun3=3,Dayrun3=5,Dayrun3=6),IF(Scaler3=2,F146,(VLOOKUP(A146,ScaledPrice3,5))*(2-(VLOOKUP(A146,ScaledPrice3,3)))),0))</f>
        <v> </v>
      </c>
      <c r="H146" s="317" t="str">
        <f aca="false">IF($A146="N/A"," ",IF(OR(Dayrun3=2,Dayrun3=3,Dayrun3=10),VLOOKUP($A146,ScaledPrice3,9),0))</f>
        <v> </v>
      </c>
      <c r="I146" s="317" t="str">
        <f aca="false">IF(A146="N/A"," ",IF(OR(Dayrun3=3,Dayrun3=6,Dayrun3=9),(VLOOKUP(A146,ScaledPrice3,IF(Scaler3=2,7,8))),0))</f>
        <v> </v>
      </c>
      <c r="J146" s="317" t="str">
        <f aca="false">IF(A146="N/A"," ",IF(OR(Dayrun3=3,Dayrun3=6),IF(Scaler3=2,I146,(VLOOKUP(A146,ScaledPrice3,7))*(2-(VLOOKUP(A146,ScaledPrice3,3)))),0))</f>
        <v> </v>
      </c>
      <c r="K146" s="317" t="str">
        <f aca="false">IF($A146="N/A"," ",IF(OR(Dayrun3=3,Dayrun3=10),VLOOKUP($A146,ScaledPrice3,9),0))</f>
        <v> </v>
      </c>
      <c r="L146" s="318" t="str">
        <f aca="false">IF($A146="N/A"," ",IF(Pricetype3=2,MAX(C146,0),IF(OR(Pricetype3=1,Pricetype3=4),IF(C146=0,0,(EURO(C146,Strikeprice3,0,0,($AH146+IF(Smile=TRUE(),VLOOKUP(MAX(-5,Strikeprice3-C146),Volsmile,2),0)),($A146-DateToday)+15,IF(Pricetype3=1,1,0),0))),C146)))</f>
        <v> </v>
      </c>
      <c r="M146" s="318" t="str">
        <f aca="false">IF($A146="N/A"," ",IF(Pricetype3=2,MAX(D146,0),IF(OR(Pricetype3=1,Pricetype3=4),IF(D146=0,0,(EURO(D146,Strikeprice3,0,0,($AH146+IF(Smile=TRUE(),VLOOKUP(MAX(-5,Strikeprice3-D146),Volsmile,2),0)),($A146-DateToday)+15,IF(Pricetype3=1,1,0),0))),D146)))</f>
        <v> </v>
      </c>
      <c r="N146" s="318" t="str">
        <f aca="false">IF($A146="N/A"," ",IF(Pricetype3=2,MAX(E146,0),IF(OR(Pricetype3=1,Pricetype3=4),IF(E146=0,0,(EURO(E146,Strikeprice3,0,0,($AK146+IF(Smile=TRUE(),VLOOKUP(MAX(-5,Strikeprice3-E146),Volsmile,2),0)),($A146-DateToday)+15,IF(Pricetype3=1,1,0),0))),E146)))</f>
        <v> </v>
      </c>
      <c r="O146" s="318" t="str">
        <f aca="false">IF($A146="N/A"," ",IF(Pricetype3=2,MAX(F146,0),IF(OR(Pricetype3=1,Pricetype3=4),IF(F146=0,0,(EURO(F146,Strikeprice3,0,0,($AK146+IF(Smile=TRUE(),VLOOKUP(MAX(-5,Strikeprice3-F146),Volsmile,2),0)),($A146-DateToday)+15,IF(Pricetype3=1,1,0),0))),F146)))</f>
        <v> </v>
      </c>
      <c r="P146" s="318" t="str">
        <f aca="false">IF($A146="N/A"," ",IF(Pricetype3=2,MAX(G146,0),IF(OR(Pricetype3=1,Pricetype3=4),IF(G146=0,0,(EURO(G146,Strikeprice3,0,0,($AK146+IF(Smile=TRUE(),VLOOKUP(MAX(-5,Strikeprice3-G146),Volsmile,2),0)),($A146-DateToday)+15,IF(Pricetype3=1,1,0),0))),G146)))</f>
        <v> </v>
      </c>
      <c r="Q146" s="318" t="str">
        <f aca="false">IF($A146="N/A"," ",IF(Pricetype3=2,MAX(H146,0),IF(OR(Pricetype3=1,Pricetype3=4),IF(H146=0,0,(EURO(H146,Strikeprice3,0,0,($AK146+IF(Smile=TRUE(),VLOOKUP(MAX(-5,Strikeprice3-H146),Volsmile,2),0)),($A146-DateToday)+15,IF(Pricetype3=1,1,0),0))),H146)))</f>
        <v> </v>
      </c>
      <c r="R146" s="318" t="str">
        <f aca="false">IF($A146="N/A"," ",IF(Pricetype3=2,MAX(I146,0),IF(OR(Pricetype3=1,Pricetype3=4),IF(I146=0,0,(EURO(I146,Strikeprice3,0,0,($AK146+IF(Smile=TRUE(),VLOOKUP(MAX(-5,Strikeprice3-I146),Volsmile,2),0)),($A146-DateToday)+15,IF(Pricetype3=1,1,0),0))),I146)))</f>
        <v> </v>
      </c>
      <c r="S146" s="318" t="str">
        <f aca="false">IF($A146="N/A"," ",IF(Pricetype3=2,MAX(J146,0),IF(OR(Pricetype3=1,Pricetype3=4),IF(J146=0,0,(EURO(J146,Strikeprice3,0,0,($AK146+IF(Smile=TRUE(),VLOOKUP(MAX(-5,Strikeprice3-J146),Volsmile,2),0)),($A146-DateToday)+15,IF(Pricetype3=1,1,0),0))),J146)))</f>
        <v> </v>
      </c>
      <c r="T146" s="318" t="str">
        <f aca="false">IF($A146="N/A"," ",IF(Pricetype3=2,MAX(K146,0),IF(OR(Pricetype3=1,Pricetype3=4),IF(K146=0,0,(EURO(K146,Strikeprice3,0,0,($AK146+IF(Smile=TRUE(),VLOOKUP(MAX(-5,Strikeprice3-K146),Volsmile,2),0)),($A146-DateToday)+15,IF(Pricetype3=1,1,0),0))),K146)))</f>
        <v> </v>
      </c>
      <c r="U146" s="319" t="str">
        <f aca="false">IF($A146="N/A"," ",Volume3*$AM146)</f>
        <v> </v>
      </c>
      <c r="V146" s="320" t="str">
        <f aca="false">IF($A146="N/A"," ",$U146*(8*($BQ146))*L146)</f>
        <v> </v>
      </c>
      <c r="W146" s="320" t="str">
        <f aca="false">IF($A146="N/A"," ",$U146*(8*($BQ146))*M146)</f>
        <v> </v>
      </c>
      <c r="X146" s="320" t="str">
        <f aca="false">IF($A146="N/A"," ",$U146*(8*($BQ146))*N146)</f>
        <v> </v>
      </c>
      <c r="Y146" s="320" t="str">
        <f aca="false">IF($A146="N/A"," ",$U146*(8*($BR146))*O146)</f>
        <v> </v>
      </c>
      <c r="Z146" s="320" t="str">
        <f aca="false">IF($A146="N/A"," ",$U146*(8*($BR146))*P146)</f>
        <v> </v>
      </c>
      <c r="AA146" s="320" t="str">
        <f aca="false">IF($A146="N/A"," ",$U146*(8*($BR146))*Q146)</f>
        <v> </v>
      </c>
      <c r="AB146" s="320" t="str">
        <f aca="false">IF($A146="N/A"," ",$U146*(8*($BS146))*R146)</f>
        <v> </v>
      </c>
      <c r="AC146" s="320" t="str">
        <f aca="false">IF($A146="N/A"," ",$U146*(8*($BS146))*S146)</f>
        <v> </v>
      </c>
      <c r="AD146" s="320" t="str">
        <f aca="false">IF($A146="N/A"," ",$U146*(8*($BS146))*T146)</f>
        <v> </v>
      </c>
      <c r="AE146" s="320" t="str">
        <f aca="false">IF($A146="N/A"," ",SUM(V146:AD146))</f>
        <v> </v>
      </c>
      <c r="AF146" s="321" t="str">
        <f aca="false">IF(A146="N/A"," ",(VLOOKUP(A146,PowerVolTable,(IF(VolBMO3=2,7,IF(VolBMO3=1,6,8))),FALSE())))</f>
        <v> </v>
      </c>
      <c r="AG146" s="321" t="str">
        <f aca="false">IF(A146="N/A"," ",(VLOOKUP(A146,IntraPowerVol,(IF(VolBMO3=2,3,IF(VolBMO3=1,2,4))),FALSE())*VLOOKUP(MONTH($A146),Volscale,2)))</f>
        <v> </v>
      </c>
      <c r="AH146" s="321" t="str">
        <f aca="false">IF($A146="N/A"," ",IF(VolType3=1,AG146,AF146))</f>
        <v> </v>
      </c>
      <c r="AI146" s="321" t="str">
        <f aca="false">IF($A146="N/A"," ",(VLOOKUP($A146,OffPwrVolTable,(IF(VolBMO3=2,7,IF(VolBMO3=1,6,8))),FALSE())))</f>
        <v> </v>
      </c>
      <c r="AJ146" s="321" t="str">
        <f aca="false">IF($A146="N/A"," ",(VLOOKUP($A146,OffPwrVolTable,(IF(VolBMO3=2,3,IF(VolBMO3=1,2,4))),FALSE())*VLOOKUP(MONTH($A146),Volscale,2)))</f>
        <v> </v>
      </c>
      <c r="AK146" s="321" t="str">
        <f aca="false">IF($A146="N/A"," ",IF(VolType3=1,AJ146,AI146))</f>
        <v> </v>
      </c>
      <c r="AL146" s="321" t="str">
        <f aca="false">IF($A146="N/A"," ",IF(PV=1,0,'Pricing Inputs3'!R179))</f>
        <v> </v>
      </c>
      <c r="AM146" s="323" t="str">
        <f aca="false">IF($A146="N/A"," ",(1+AL146/2)^(-2*((EOMONTH(A146,0)+20)-DateToday)/365.25))</f>
        <v> </v>
      </c>
      <c r="BQ146" s="0" t="str">
        <f aca="false">IF($A146="N/A"," ",(VLOOKUP($A146,NumberofDaysTable,2)))</f>
        <v> </v>
      </c>
      <c r="BR146" s="0" t="str">
        <f aca="false">IF($A146="N/A"," ",(VLOOKUP($A146,NumberofDaysTable,3)))</f>
        <v> </v>
      </c>
      <c r="BS146" s="0" t="str">
        <f aca="false">IF($A146="N/A"," ",(VLOOKUP($A146,NumberofDaysTable,4)))</f>
        <v> </v>
      </c>
    </row>
    <row r="147" customFormat="false" ht="12.75" hidden="false" customHeight="false" outlineLevel="0" collapsed="false">
      <c r="A147" s="315" t="str">
        <f aca="false">IF(A146="N/A","N/A",IF(EDATE(A146,1)&gt;Inputs!$Q$5,"N/A",EDATE(A146,1)))</f>
        <v>N/A</v>
      </c>
      <c r="B147" s="316" t="str">
        <f aca="false">IF(A147="N/A"," ",YEAR(A147))</f>
        <v> </v>
      </c>
      <c r="C147" s="317" t="str">
        <f aca="false">IF($A147="N/A"," ",IF(Dayrun3=10,0,IF(Scaler3=1,(VLOOKUP(A147,ScaledPrice3,4)),(VLOOKUP(A147,ScaledPrice3,2)))))</f>
        <v> </v>
      </c>
      <c r="D147" s="317" t="str">
        <f aca="false">IF(A147="N/A"," ",IF(Dayrun3&gt;=7,0,IF(Scaler3=2,VLOOKUP(A147,ScaledPrice3,2),(VLOOKUP(A147,ScaledPrice3,2))*(2-(VLOOKUP(A147,ScaledPrice3,3))))))</f>
        <v> </v>
      </c>
      <c r="E147" s="317" t="str">
        <f aca="false">IF($A147="N/A"," ",IF(AND(Dayrun3&gt;=4,Dayrun3&lt;=9),0,VLOOKUP($A147,ScaledPrice3,9)))</f>
        <v> </v>
      </c>
      <c r="F147" s="317" t="str">
        <f aca="false">IF(A147="N/A"," ",IF(OR(Dayrun3=2,Dayrun3=3,Dayrun3=5,Dayrun3=6,Dayrun3=8,Dayrun3=9),VLOOKUP(A147,ScaledPrice3,IF(Scaler3=1,6,5)),0))</f>
        <v> </v>
      </c>
      <c r="G147" s="317" t="str">
        <f aca="false">IF(A147="N/A"," ",IF(OR(Dayrun3=2,Dayrun3=3,Dayrun3=5,Dayrun3=6),IF(Scaler3=2,F147,(VLOOKUP(A147,ScaledPrice3,5))*(2-(VLOOKUP(A147,ScaledPrice3,3)))),0))</f>
        <v> </v>
      </c>
      <c r="H147" s="317" t="str">
        <f aca="false">IF($A147="N/A"," ",IF(OR(Dayrun3=2,Dayrun3=3,Dayrun3=10),VLOOKUP($A147,ScaledPrice3,9),0))</f>
        <v> </v>
      </c>
      <c r="I147" s="317" t="str">
        <f aca="false">IF(A147="N/A"," ",IF(OR(Dayrun3=3,Dayrun3=6,Dayrun3=9),(VLOOKUP(A147,ScaledPrice3,IF(Scaler3=2,7,8))),0))</f>
        <v> </v>
      </c>
      <c r="J147" s="317" t="str">
        <f aca="false">IF(A147="N/A"," ",IF(OR(Dayrun3=3,Dayrun3=6),IF(Scaler3=2,I147,(VLOOKUP(A147,ScaledPrice3,7))*(2-(VLOOKUP(A147,ScaledPrice3,3)))),0))</f>
        <v> </v>
      </c>
      <c r="K147" s="317" t="str">
        <f aca="false">IF($A147="N/A"," ",IF(OR(Dayrun3=3,Dayrun3=10),VLOOKUP($A147,ScaledPrice3,9),0))</f>
        <v> </v>
      </c>
      <c r="L147" s="318" t="str">
        <f aca="false">IF($A147="N/A"," ",IF(Pricetype3=2,MAX(C147,0),IF(OR(Pricetype3=1,Pricetype3=4),IF(C147=0,0,(EURO(C147,Strikeprice3,0,0,($AH147+IF(Smile=TRUE(),VLOOKUP(MAX(-5,Strikeprice3-C147),Volsmile,2),0)),($A147-DateToday)+15,IF(Pricetype3=1,1,0),0))),C147)))</f>
        <v> </v>
      </c>
      <c r="M147" s="318" t="str">
        <f aca="false">IF($A147="N/A"," ",IF(Pricetype3=2,MAX(D147,0),IF(OR(Pricetype3=1,Pricetype3=4),IF(D147=0,0,(EURO(D147,Strikeprice3,0,0,($AH147+IF(Smile=TRUE(),VLOOKUP(MAX(-5,Strikeprice3-D147),Volsmile,2),0)),($A147-DateToday)+15,IF(Pricetype3=1,1,0),0))),D147)))</f>
        <v> </v>
      </c>
      <c r="N147" s="318" t="str">
        <f aca="false">IF($A147="N/A"," ",IF(Pricetype3=2,MAX(E147,0),IF(OR(Pricetype3=1,Pricetype3=4),IF(E147=0,0,(EURO(E147,Strikeprice3,0,0,($AK147+IF(Smile=TRUE(),VLOOKUP(MAX(-5,Strikeprice3-E147),Volsmile,2),0)),($A147-DateToday)+15,IF(Pricetype3=1,1,0),0))),E147)))</f>
        <v> </v>
      </c>
      <c r="O147" s="318" t="str">
        <f aca="false">IF($A147="N/A"," ",IF(Pricetype3=2,MAX(F147,0),IF(OR(Pricetype3=1,Pricetype3=4),IF(F147=0,0,(EURO(F147,Strikeprice3,0,0,($AK147+IF(Smile=TRUE(),VLOOKUP(MAX(-5,Strikeprice3-F147),Volsmile,2),0)),($A147-DateToday)+15,IF(Pricetype3=1,1,0),0))),F147)))</f>
        <v> </v>
      </c>
      <c r="P147" s="318" t="str">
        <f aca="false">IF($A147="N/A"," ",IF(Pricetype3=2,MAX(G147,0),IF(OR(Pricetype3=1,Pricetype3=4),IF(G147=0,0,(EURO(G147,Strikeprice3,0,0,($AK147+IF(Smile=TRUE(),VLOOKUP(MAX(-5,Strikeprice3-G147),Volsmile,2),0)),($A147-DateToday)+15,IF(Pricetype3=1,1,0),0))),G147)))</f>
        <v> </v>
      </c>
      <c r="Q147" s="318" t="str">
        <f aca="false">IF($A147="N/A"," ",IF(Pricetype3=2,MAX(H147,0),IF(OR(Pricetype3=1,Pricetype3=4),IF(H147=0,0,(EURO(H147,Strikeprice3,0,0,($AK147+IF(Smile=TRUE(),VLOOKUP(MAX(-5,Strikeprice3-H147),Volsmile,2),0)),($A147-DateToday)+15,IF(Pricetype3=1,1,0),0))),H147)))</f>
        <v> </v>
      </c>
      <c r="R147" s="318" t="str">
        <f aca="false">IF($A147="N/A"," ",IF(Pricetype3=2,MAX(I147,0),IF(OR(Pricetype3=1,Pricetype3=4),IF(I147=0,0,(EURO(I147,Strikeprice3,0,0,($AK147+IF(Smile=TRUE(),VLOOKUP(MAX(-5,Strikeprice3-I147),Volsmile,2),0)),($A147-DateToday)+15,IF(Pricetype3=1,1,0),0))),I147)))</f>
        <v> </v>
      </c>
      <c r="S147" s="318" t="str">
        <f aca="false">IF($A147="N/A"," ",IF(Pricetype3=2,MAX(J147,0),IF(OR(Pricetype3=1,Pricetype3=4),IF(J147=0,0,(EURO(J147,Strikeprice3,0,0,($AK147+IF(Smile=TRUE(),VLOOKUP(MAX(-5,Strikeprice3-J147),Volsmile,2),0)),($A147-DateToday)+15,IF(Pricetype3=1,1,0),0))),J147)))</f>
        <v> </v>
      </c>
      <c r="T147" s="318" t="str">
        <f aca="false">IF($A147="N/A"," ",IF(Pricetype3=2,MAX(K147,0),IF(OR(Pricetype3=1,Pricetype3=4),IF(K147=0,0,(EURO(K147,Strikeprice3,0,0,($AK147+IF(Smile=TRUE(),VLOOKUP(MAX(-5,Strikeprice3-K147),Volsmile,2),0)),($A147-DateToday)+15,IF(Pricetype3=1,1,0),0))),K147)))</f>
        <v> </v>
      </c>
      <c r="U147" s="319" t="str">
        <f aca="false">IF($A147="N/A"," ",Volume3*$AM147)</f>
        <v> </v>
      </c>
      <c r="V147" s="320" t="str">
        <f aca="false">IF($A147="N/A"," ",$U147*(8*($BQ147))*L147)</f>
        <v> </v>
      </c>
      <c r="W147" s="320" t="str">
        <f aca="false">IF($A147="N/A"," ",$U147*(8*($BQ147))*M147)</f>
        <v> </v>
      </c>
      <c r="X147" s="320" t="str">
        <f aca="false">IF($A147="N/A"," ",$U147*(8*($BQ147))*N147)</f>
        <v> </v>
      </c>
      <c r="Y147" s="320" t="str">
        <f aca="false">IF($A147="N/A"," ",$U147*(8*($BR147))*O147)</f>
        <v> </v>
      </c>
      <c r="Z147" s="320" t="str">
        <f aca="false">IF($A147="N/A"," ",$U147*(8*($BR147))*P147)</f>
        <v> </v>
      </c>
      <c r="AA147" s="320" t="str">
        <f aca="false">IF($A147="N/A"," ",$U147*(8*($BR147))*Q147)</f>
        <v> </v>
      </c>
      <c r="AB147" s="320" t="str">
        <f aca="false">IF($A147="N/A"," ",$U147*(8*($BS147))*R147)</f>
        <v> </v>
      </c>
      <c r="AC147" s="320" t="str">
        <f aca="false">IF($A147="N/A"," ",$U147*(8*($BS147))*S147)</f>
        <v> </v>
      </c>
      <c r="AD147" s="320" t="str">
        <f aca="false">IF($A147="N/A"," ",$U147*(8*($BS147))*T147)</f>
        <v> </v>
      </c>
      <c r="AE147" s="320" t="str">
        <f aca="false">IF($A147="N/A"," ",SUM(V147:AD147))</f>
        <v> </v>
      </c>
      <c r="AF147" s="321" t="str">
        <f aca="false">IF(A147="N/A"," ",(VLOOKUP(A147,PowerVolTable,(IF(VolBMO3=2,7,IF(VolBMO3=1,6,8))),FALSE())))</f>
        <v> </v>
      </c>
      <c r="AG147" s="321" t="str">
        <f aca="false">IF(A147="N/A"," ",(VLOOKUP(A147,IntraPowerVol,(IF(VolBMO3=2,3,IF(VolBMO3=1,2,4))),FALSE())*VLOOKUP(MONTH($A147),Volscale,2)))</f>
        <v> </v>
      </c>
      <c r="AH147" s="321" t="str">
        <f aca="false">IF($A147="N/A"," ",IF(VolType3=1,AG147,AF147))</f>
        <v> </v>
      </c>
      <c r="AI147" s="321" t="str">
        <f aca="false">IF($A147="N/A"," ",(VLOOKUP($A147,OffPwrVolTable,(IF(VolBMO3=2,7,IF(VolBMO3=1,6,8))),FALSE())))</f>
        <v> </v>
      </c>
      <c r="AJ147" s="321" t="str">
        <f aca="false">IF($A147="N/A"," ",(VLOOKUP($A147,OffPwrVolTable,(IF(VolBMO3=2,3,IF(VolBMO3=1,2,4))),FALSE())*VLOOKUP(MONTH($A147),Volscale,2)))</f>
        <v> </v>
      </c>
      <c r="AK147" s="321" t="str">
        <f aca="false">IF($A147="N/A"," ",IF(VolType3=1,AJ147,AI147))</f>
        <v> </v>
      </c>
      <c r="AL147" s="321" t="str">
        <f aca="false">IF($A147="N/A"," ",IF(PV=1,0,'Pricing Inputs3'!R180))</f>
        <v> </v>
      </c>
      <c r="AM147" s="323" t="str">
        <f aca="false">IF($A147="N/A"," ",(1+AL147/2)^(-2*((EOMONTH(A147,0)+20)-DateToday)/365.25))</f>
        <v> </v>
      </c>
      <c r="BQ147" s="0" t="str">
        <f aca="false">IF($A147="N/A"," ",(VLOOKUP($A147,NumberofDaysTable,2)))</f>
        <v> </v>
      </c>
      <c r="BR147" s="0" t="str">
        <f aca="false">IF($A147="N/A"," ",(VLOOKUP($A147,NumberofDaysTable,3)))</f>
        <v> </v>
      </c>
      <c r="BS147" s="0" t="str">
        <f aca="false">IF($A147="N/A"," ",(VLOOKUP($A147,NumberofDaysTable,4)))</f>
        <v> </v>
      </c>
    </row>
    <row r="148" customFormat="false" ht="12.75" hidden="false" customHeight="false" outlineLevel="0" collapsed="false">
      <c r="A148" s="315" t="str">
        <f aca="false">IF(A147="N/A","N/A",IF(EDATE(A147,1)&gt;Inputs!$Q$5,"N/A",EDATE(A147,1)))</f>
        <v>N/A</v>
      </c>
      <c r="B148" s="316" t="str">
        <f aca="false">IF(A148="N/A"," ",YEAR(A148))</f>
        <v> </v>
      </c>
      <c r="C148" s="317" t="str">
        <f aca="false">IF($A148="N/A"," ",IF(Dayrun3=10,0,IF(Scaler3=1,(VLOOKUP(A148,ScaledPrice3,4)),(VLOOKUP(A148,ScaledPrice3,2)))))</f>
        <v> </v>
      </c>
      <c r="D148" s="317" t="str">
        <f aca="false">IF(A148="N/A"," ",IF(Dayrun3&gt;=7,0,IF(Scaler3=2,VLOOKUP(A148,ScaledPrice3,2),(VLOOKUP(A148,ScaledPrice3,2))*(2-(VLOOKUP(A148,ScaledPrice3,3))))))</f>
        <v> </v>
      </c>
      <c r="E148" s="317" t="str">
        <f aca="false">IF($A148="N/A"," ",IF(AND(Dayrun3&gt;=4,Dayrun3&lt;=9),0,VLOOKUP($A148,ScaledPrice3,9)))</f>
        <v> </v>
      </c>
      <c r="F148" s="317" t="str">
        <f aca="false">IF(A148="N/A"," ",IF(OR(Dayrun3=2,Dayrun3=3,Dayrun3=5,Dayrun3=6,Dayrun3=8,Dayrun3=9),VLOOKUP(A148,ScaledPrice3,IF(Scaler3=1,6,5)),0))</f>
        <v> </v>
      </c>
      <c r="G148" s="317" t="str">
        <f aca="false">IF(A148="N/A"," ",IF(OR(Dayrun3=2,Dayrun3=3,Dayrun3=5,Dayrun3=6),IF(Scaler3=2,F148,(VLOOKUP(A148,ScaledPrice3,5))*(2-(VLOOKUP(A148,ScaledPrice3,3)))),0))</f>
        <v> </v>
      </c>
      <c r="H148" s="317" t="str">
        <f aca="false">IF($A148="N/A"," ",IF(OR(Dayrun3=2,Dayrun3=3,Dayrun3=10),VLOOKUP($A148,ScaledPrice3,9),0))</f>
        <v> </v>
      </c>
      <c r="I148" s="317" t="str">
        <f aca="false">IF(A148="N/A"," ",IF(OR(Dayrun3=3,Dayrun3=6,Dayrun3=9),(VLOOKUP(A148,ScaledPrice3,IF(Scaler3=2,7,8))),0))</f>
        <v> </v>
      </c>
      <c r="J148" s="317" t="str">
        <f aca="false">IF(A148="N/A"," ",IF(OR(Dayrun3=3,Dayrun3=6),IF(Scaler3=2,I148,(VLOOKUP(A148,ScaledPrice3,7))*(2-(VLOOKUP(A148,ScaledPrice3,3)))),0))</f>
        <v> </v>
      </c>
      <c r="K148" s="317" t="str">
        <f aca="false">IF($A148="N/A"," ",IF(OR(Dayrun3=3,Dayrun3=10),VLOOKUP($A148,ScaledPrice3,9),0))</f>
        <v> </v>
      </c>
      <c r="L148" s="318" t="str">
        <f aca="false">IF($A148="N/A"," ",IF(Pricetype3=2,MAX(C148,0),IF(OR(Pricetype3=1,Pricetype3=4),IF(C148=0,0,(EURO(C148,Strikeprice3,0,0,($AH148+IF(Smile=TRUE(),VLOOKUP(MAX(-5,Strikeprice3-C148),Volsmile,2),0)),($A148-DateToday)+15,IF(Pricetype3=1,1,0),0))),C148)))</f>
        <v> </v>
      </c>
      <c r="M148" s="318" t="str">
        <f aca="false">IF($A148="N/A"," ",IF(Pricetype3=2,MAX(D148,0),IF(OR(Pricetype3=1,Pricetype3=4),IF(D148=0,0,(EURO(D148,Strikeprice3,0,0,($AH148+IF(Smile=TRUE(),VLOOKUP(MAX(-5,Strikeprice3-D148),Volsmile,2),0)),($A148-DateToday)+15,IF(Pricetype3=1,1,0),0))),D148)))</f>
        <v> </v>
      </c>
      <c r="N148" s="318" t="str">
        <f aca="false">IF($A148="N/A"," ",IF(Pricetype3=2,MAX(E148,0),IF(OR(Pricetype3=1,Pricetype3=4),IF(E148=0,0,(EURO(E148,Strikeprice3,0,0,($AK148+IF(Smile=TRUE(),VLOOKUP(MAX(-5,Strikeprice3-E148),Volsmile,2),0)),($A148-DateToday)+15,IF(Pricetype3=1,1,0),0))),E148)))</f>
        <v> </v>
      </c>
      <c r="O148" s="318" t="str">
        <f aca="false">IF($A148="N/A"," ",IF(Pricetype3=2,MAX(F148,0),IF(OR(Pricetype3=1,Pricetype3=4),IF(F148=0,0,(EURO(F148,Strikeprice3,0,0,($AK148+IF(Smile=TRUE(),VLOOKUP(MAX(-5,Strikeprice3-F148),Volsmile,2),0)),($A148-DateToday)+15,IF(Pricetype3=1,1,0),0))),F148)))</f>
        <v> </v>
      </c>
      <c r="P148" s="318" t="str">
        <f aca="false">IF($A148="N/A"," ",IF(Pricetype3=2,MAX(G148,0),IF(OR(Pricetype3=1,Pricetype3=4),IF(G148=0,0,(EURO(G148,Strikeprice3,0,0,($AK148+IF(Smile=TRUE(),VLOOKUP(MAX(-5,Strikeprice3-G148),Volsmile,2),0)),($A148-DateToday)+15,IF(Pricetype3=1,1,0),0))),G148)))</f>
        <v> </v>
      </c>
      <c r="Q148" s="318" t="str">
        <f aca="false">IF($A148="N/A"," ",IF(Pricetype3=2,MAX(H148,0),IF(OR(Pricetype3=1,Pricetype3=4),IF(H148=0,0,(EURO(H148,Strikeprice3,0,0,($AK148+IF(Smile=TRUE(),VLOOKUP(MAX(-5,Strikeprice3-H148),Volsmile,2),0)),($A148-DateToday)+15,IF(Pricetype3=1,1,0),0))),H148)))</f>
        <v> </v>
      </c>
      <c r="R148" s="318" t="str">
        <f aca="false">IF($A148="N/A"," ",IF(Pricetype3=2,MAX(I148,0),IF(OR(Pricetype3=1,Pricetype3=4),IF(I148=0,0,(EURO(I148,Strikeprice3,0,0,($AK148+IF(Smile=TRUE(),VLOOKUP(MAX(-5,Strikeprice3-I148),Volsmile,2),0)),($A148-DateToday)+15,IF(Pricetype3=1,1,0),0))),I148)))</f>
        <v> </v>
      </c>
      <c r="S148" s="318" t="str">
        <f aca="false">IF($A148="N/A"," ",IF(Pricetype3=2,MAX(J148,0),IF(OR(Pricetype3=1,Pricetype3=4),IF(J148=0,0,(EURO(J148,Strikeprice3,0,0,($AK148+IF(Smile=TRUE(),VLOOKUP(MAX(-5,Strikeprice3-J148),Volsmile,2),0)),($A148-DateToday)+15,IF(Pricetype3=1,1,0),0))),J148)))</f>
        <v> </v>
      </c>
      <c r="T148" s="318" t="str">
        <f aca="false">IF($A148="N/A"," ",IF(Pricetype3=2,MAX(K148,0),IF(OR(Pricetype3=1,Pricetype3=4),IF(K148=0,0,(EURO(K148,Strikeprice3,0,0,($AK148+IF(Smile=TRUE(),VLOOKUP(MAX(-5,Strikeprice3-K148),Volsmile,2),0)),($A148-DateToday)+15,IF(Pricetype3=1,1,0),0))),K148)))</f>
        <v> </v>
      </c>
      <c r="U148" s="319" t="str">
        <f aca="false">IF($A148="N/A"," ",Volume3*$AM148)</f>
        <v> </v>
      </c>
      <c r="V148" s="320" t="str">
        <f aca="false">IF($A148="N/A"," ",$U148*(8*($BQ148))*L148)</f>
        <v> </v>
      </c>
      <c r="W148" s="320" t="str">
        <f aca="false">IF($A148="N/A"," ",$U148*(8*($BQ148))*M148)</f>
        <v> </v>
      </c>
      <c r="X148" s="320" t="str">
        <f aca="false">IF($A148="N/A"," ",$U148*(8*($BQ148))*N148)</f>
        <v> </v>
      </c>
      <c r="Y148" s="320" t="str">
        <f aca="false">IF($A148="N/A"," ",$U148*(8*($BR148))*O148)</f>
        <v> </v>
      </c>
      <c r="Z148" s="320" t="str">
        <f aca="false">IF($A148="N/A"," ",$U148*(8*($BR148))*P148)</f>
        <v> </v>
      </c>
      <c r="AA148" s="320" t="str">
        <f aca="false">IF($A148="N/A"," ",$U148*(8*($BR148))*Q148)</f>
        <v> </v>
      </c>
      <c r="AB148" s="320" t="str">
        <f aca="false">IF($A148="N/A"," ",$U148*(8*($BS148))*R148)</f>
        <v> </v>
      </c>
      <c r="AC148" s="320" t="str">
        <f aca="false">IF($A148="N/A"," ",$U148*(8*($BS148))*S148)</f>
        <v> </v>
      </c>
      <c r="AD148" s="320" t="str">
        <f aca="false">IF($A148="N/A"," ",$U148*(8*($BS148))*T148)</f>
        <v> </v>
      </c>
      <c r="AE148" s="320" t="str">
        <f aca="false">IF($A148="N/A"," ",SUM(V148:AD148))</f>
        <v> </v>
      </c>
      <c r="AF148" s="321" t="str">
        <f aca="false">IF(A148="N/A"," ",(VLOOKUP(A148,PowerVolTable,(IF(VolBMO3=2,7,IF(VolBMO3=1,6,8))),FALSE())))</f>
        <v> </v>
      </c>
      <c r="AG148" s="321" t="str">
        <f aca="false">IF(A148="N/A"," ",(VLOOKUP(A148,IntraPowerVol,(IF(VolBMO3=2,3,IF(VolBMO3=1,2,4))),FALSE())*VLOOKUP(MONTH($A148),Volscale,2)))</f>
        <v> </v>
      </c>
      <c r="AH148" s="321" t="str">
        <f aca="false">IF($A148="N/A"," ",IF(VolType3=1,AG148,AF148))</f>
        <v> </v>
      </c>
      <c r="AI148" s="321" t="str">
        <f aca="false">IF($A148="N/A"," ",(VLOOKUP($A148,OffPwrVolTable,(IF(VolBMO3=2,7,IF(VolBMO3=1,6,8))),FALSE())))</f>
        <v> </v>
      </c>
      <c r="AJ148" s="321" t="str">
        <f aca="false">IF($A148="N/A"," ",(VLOOKUP($A148,OffPwrVolTable,(IF(VolBMO3=2,3,IF(VolBMO3=1,2,4))),FALSE())*VLOOKUP(MONTH($A148),Volscale,2)))</f>
        <v> </v>
      </c>
      <c r="AK148" s="321" t="str">
        <f aca="false">IF($A148="N/A"," ",IF(VolType3=1,AJ148,AI148))</f>
        <v> </v>
      </c>
      <c r="AL148" s="321" t="str">
        <f aca="false">IF($A148="N/A"," ",IF(PV=1,0,'Pricing Inputs3'!R181))</f>
        <v> </v>
      </c>
      <c r="AM148" s="323" t="str">
        <f aca="false">IF($A148="N/A"," ",(1+AL148/2)^(-2*((EOMONTH(A148,0)+20)-DateToday)/365.25))</f>
        <v> </v>
      </c>
      <c r="BQ148" s="0" t="str">
        <f aca="false">IF($A148="N/A"," ",(VLOOKUP($A148,NumberofDaysTable,2)))</f>
        <v> </v>
      </c>
      <c r="BR148" s="0" t="str">
        <f aca="false">IF($A148="N/A"," ",(VLOOKUP($A148,NumberofDaysTable,3)))</f>
        <v> </v>
      </c>
      <c r="BS148" s="0" t="str">
        <f aca="false">IF($A148="N/A"," ",(VLOOKUP($A148,NumberofDaysTable,4)))</f>
        <v> </v>
      </c>
    </row>
    <row r="149" customFormat="false" ht="12.75" hidden="false" customHeight="false" outlineLevel="0" collapsed="false">
      <c r="A149" s="315" t="str">
        <f aca="false">IF(A148="N/A","N/A",IF(EDATE(A148,1)&gt;Inputs!$Q$5,"N/A",EDATE(A148,1)))</f>
        <v>N/A</v>
      </c>
      <c r="B149" s="316" t="str">
        <f aca="false">IF(A149="N/A"," ",YEAR(A149))</f>
        <v> </v>
      </c>
      <c r="C149" s="317" t="str">
        <f aca="false">IF($A149="N/A"," ",IF(Dayrun3=10,0,IF(Scaler3=1,(VLOOKUP(A149,ScaledPrice3,4)),(VLOOKUP(A149,ScaledPrice3,2)))))</f>
        <v> </v>
      </c>
      <c r="D149" s="317" t="str">
        <f aca="false">IF(A149="N/A"," ",IF(Dayrun3&gt;=7,0,IF(Scaler3=2,VLOOKUP(A149,ScaledPrice3,2),(VLOOKUP(A149,ScaledPrice3,2))*(2-(VLOOKUP(A149,ScaledPrice3,3))))))</f>
        <v> </v>
      </c>
      <c r="E149" s="317" t="str">
        <f aca="false">IF($A149="N/A"," ",IF(AND(Dayrun3&gt;=4,Dayrun3&lt;=9),0,VLOOKUP($A149,ScaledPrice3,9)))</f>
        <v> </v>
      </c>
      <c r="F149" s="317" t="str">
        <f aca="false">IF(A149="N/A"," ",IF(OR(Dayrun3=2,Dayrun3=3,Dayrun3=5,Dayrun3=6,Dayrun3=8,Dayrun3=9),VLOOKUP(A149,ScaledPrice3,IF(Scaler3=1,6,5)),0))</f>
        <v> </v>
      </c>
      <c r="G149" s="317" t="str">
        <f aca="false">IF(A149="N/A"," ",IF(OR(Dayrun3=2,Dayrun3=3,Dayrun3=5,Dayrun3=6),IF(Scaler3=2,F149,(VLOOKUP(A149,ScaledPrice3,5))*(2-(VLOOKUP(A149,ScaledPrice3,3)))),0))</f>
        <v> </v>
      </c>
      <c r="H149" s="317" t="str">
        <f aca="false">IF($A149="N/A"," ",IF(OR(Dayrun3=2,Dayrun3=3,Dayrun3=10),VLOOKUP($A149,ScaledPrice3,9),0))</f>
        <v> </v>
      </c>
      <c r="I149" s="317" t="str">
        <f aca="false">IF(A149="N/A"," ",IF(OR(Dayrun3=3,Dayrun3=6,Dayrun3=9),(VLOOKUP(A149,ScaledPrice3,IF(Scaler3=2,7,8))),0))</f>
        <v> </v>
      </c>
      <c r="J149" s="317" t="str">
        <f aca="false">IF(A149="N/A"," ",IF(OR(Dayrun3=3,Dayrun3=6),IF(Scaler3=2,I149,(VLOOKUP(A149,ScaledPrice3,7))*(2-(VLOOKUP(A149,ScaledPrice3,3)))),0))</f>
        <v> </v>
      </c>
      <c r="K149" s="317" t="str">
        <f aca="false">IF($A149="N/A"," ",IF(OR(Dayrun3=3,Dayrun3=10),VLOOKUP($A149,ScaledPrice3,9),0))</f>
        <v> </v>
      </c>
      <c r="L149" s="318" t="str">
        <f aca="false">IF($A149="N/A"," ",IF(Pricetype3=2,MAX(C149,0),IF(OR(Pricetype3=1,Pricetype3=4),IF(C149=0,0,(EURO(C149,Strikeprice3,0,0,($AH149+IF(Smile=TRUE(),VLOOKUP(MAX(-5,Strikeprice3-C149),Volsmile,2),0)),($A149-DateToday)+15,IF(Pricetype3=1,1,0),0))),C149)))</f>
        <v> </v>
      </c>
      <c r="M149" s="318" t="str">
        <f aca="false">IF($A149="N/A"," ",IF(Pricetype3=2,MAX(D149,0),IF(OR(Pricetype3=1,Pricetype3=4),IF(D149=0,0,(EURO(D149,Strikeprice3,0,0,($AH149+IF(Smile=TRUE(),VLOOKUP(MAX(-5,Strikeprice3-D149),Volsmile,2),0)),($A149-DateToday)+15,IF(Pricetype3=1,1,0),0))),D149)))</f>
        <v> </v>
      </c>
      <c r="N149" s="318" t="str">
        <f aca="false">IF($A149="N/A"," ",IF(Pricetype3=2,MAX(E149,0),IF(OR(Pricetype3=1,Pricetype3=4),IF(E149=0,0,(EURO(E149,Strikeprice3,0,0,($AK149+IF(Smile=TRUE(),VLOOKUP(MAX(-5,Strikeprice3-E149),Volsmile,2),0)),($A149-DateToday)+15,IF(Pricetype3=1,1,0),0))),E149)))</f>
        <v> </v>
      </c>
      <c r="O149" s="318" t="str">
        <f aca="false">IF($A149="N/A"," ",IF(Pricetype3=2,MAX(F149,0),IF(OR(Pricetype3=1,Pricetype3=4),IF(F149=0,0,(EURO(F149,Strikeprice3,0,0,($AK149+IF(Smile=TRUE(),VLOOKUP(MAX(-5,Strikeprice3-F149),Volsmile,2),0)),($A149-DateToday)+15,IF(Pricetype3=1,1,0),0))),F149)))</f>
        <v> </v>
      </c>
      <c r="P149" s="318" t="str">
        <f aca="false">IF($A149="N/A"," ",IF(Pricetype3=2,MAX(G149,0),IF(OR(Pricetype3=1,Pricetype3=4),IF(G149=0,0,(EURO(G149,Strikeprice3,0,0,($AK149+IF(Smile=TRUE(),VLOOKUP(MAX(-5,Strikeprice3-G149),Volsmile,2),0)),($A149-DateToday)+15,IF(Pricetype3=1,1,0),0))),G149)))</f>
        <v> </v>
      </c>
      <c r="Q149" s="318" t="str">
        <f aca="false">IF($A149="N/A"," ",IF(Pricetype3=2,MAX(H149,0),IF(OR(Pricetype3=1,Pricetype3=4),IF(H149=0,0,(EURO(H149,Strikeprice3,0,0,($AK149+IF(Smile=TRUE(),VLOOKUP(MAX(-5,Strikeprice3-H149),Volsmile,2),0)),($A149-DateToday)+15,IF(Pricetype3=1,1,0),0))),H149)))</f>
        <v> </v>
      </c>
      <c r="R149" s="318" t="str">
        <f aca="false">IF($A149="N/A"," ",IF(Pricetype3=2,MAX(I149,0),IF(OR(Pricetype3=1,Pricetype3=4),IF(I149=0,0,(EURO(I149,Strikeprice3,0,0,($AK149+IF(Smile=TRUE(),VLOOKUP(MAX(-5,Strikeprice3-I149),Volsmile,2),0)),($A149-DateToday)+15,IF(Pricetype3=1,1,0),0))),I149)))</f>
        <v> </v>
      </c>
      <c r="S149" s="318" t="str">
        <f aca="false">IF($A149="N/A"," ",IF(Pricetype3=2,MAX(J149,0),IF(OR(Pricetype3=1,Pricetype3=4),IF(J149=0,0,(EURO(J149,Strikeprice3,0,0,($AK149+IF(Smile=TRUE(),VLOOKUP(MAX(-5,Strikeprice3-J149),Volsmile,2),0)),($A149-DateToday)+15,IF(Pricetype3=1,1,0),0))),J149)))</f>
        <v> </v>
      </c>
      <c r="T149" s="318" t="str">
        <f aca="false">IF($A149="N/A"," ",IF(Pricetype3=2,MAX(K149,0),IF(OR(Pricetype3=1,Pricetype3=4),IF(K149=0,0,(EURO(K149,Strikeprice3,0,0,($AK149+IF(Smile=TRUE(),VLOOKUP(MAX(-5,Strikeprice3-K149),Volsmile,2),0)),($A149-DateToday)+15,IF(Pricetype3=1,1,0),0))),K149)))</f>
        <v> </v>
      </c>
      <c r="U149" s="319" t="str">
        <f aca="false">IF($A149="N/A"," ",Volume3*$AM149)</f>
        <v> </v>
      </c>
      <c r="V149" s="320" t="str">
        <f aca="false">IF($A149="N/A"," ",$U149*(8*($BQ149))*L149)</f>
        <v> </v>
      </c>
      <c r="W149" s="320" t="str">
        <f aca="false">IF($A149="N/A"," ",$U149*(8*($BQ149))*M149)</f>
        <v> </v>
      </c>
      <c r="X149" s="320" t="str">
        <f aca="false">IF($A149="N/A"," ",$U149*(8*($BQ149))*N149)</f>
        <v> </v>
      </c>
      <c r="Y149" s="320" t="str">
        <f aca="false">IF($A149="N/A"," ",$U149*(8*($BR149))*O149)</f>
        <v> </v>
      </c>
      <c r="Z149" s="320" t="str">
        <f aca="false">IF($A149="N/A"," ",$U149*(8*($BR149))*P149)</f>
        <v> </v>
      </c>
      <c r="AA149" s="320" t="str">
        <f aca="false">IF($A149="N/A"," ",$U149*(8*($BR149))*Q149)</f>
        <v> </v>
      </c>
      <c r="AB149" s="320" t="str">
        <f aca="false">IF($A149="N/A"," ",$U149*(8*($BS149))*R149)</f>
        <v> </v>
      </c>
      <c r="AC149" s="320" t="str">
        <f aca="false">IF($A149="N/A"," ",$U149*(8*($BS149))*S149)</f>
        <v> </v>
      </c>
      <c r="AD149" s="320" t="str">
        <f aca="false">IF($A149="N/A"," ",$U149*(8*($BS149))*T149)</f>
        <v> </v>
      </c>
      <c r="AE149" s="320" t="str">
        <f aca="false">IF($A149="N/A"," ",SUM(V149:AD149))</f>
        <v> </v>
      </c>
      <c r="AF149" s="321" t="str">
        <f aca="false">IF(A149="N/A"," ",(VLOOKUP(A149,PowerVolTable,(IF(VolBMO3=2,7,IF(VolBMO3=1,6,8))),FALSE())))</f>
        <v> </v>
      </c>
      <c r="AG149" s="321" t="str">
        <f aca="false">IF(A149="N/A"," ",(VLOOKUP(A149,IntraPowerVol,(IF(VolBMO3=2,3,IF(VolBMO3=1,2,4))),FALSE())*VLOOKUP(MONTH($A149),Volscale,2)))</f>
        <v> </v>
      </c>
      <c r="AH149" s="321" t="str">
        <f aca="false">IF($A149="N/A"," ",IF(VolType3=1,AG149,AF149))</f>
        <v> </v>
      </c>
      <c r="AI149" s="321" t="str">
        <f aca="false">IF($A149="N/A"," ",(VLOOKUP($A149,OffPwrVolTable,(IF(VolBMO3=2,7,IF(VolBMO3=1,6,8))),FALSE())))</f>
        <v> </v>
      </c>
      <c r="AJ149" s="321" t="str">
        <f aca="false">IF($A149="N/A"," ",(VLOOKUP($A149,OffPwrVolTable,(IF(VolBMO3=2,3,IF(VolBMO3=1,2,4))),FALSE())*VLOOKUP(MONTH($A149),Volscale,2)))</f>
        <v> </v>
      </c>
      <c r="AK149" s="321" t="str">
        <f aca="false">IF($A149="N/A"," ",IF(VolType3=1,AJ149,AI149))</f>
        <v> </v>
      </c>
      <c r="AL149" s="321" t="str">
        <f aca="false">IF($A149="N/A"," ",IF(PV=1,0,'Pricing Inputs3'!R182))</f>
        <v> </v>
      </c>
      <c r="AM149" s="323" t="str">
        <f aca="false">IF($A149="N/A"," ",(1+AL149/2)^(-2*((EOMONTH(A149,0)+20)-DateToday)/365.25))</f>
        <v> </v>
      </c>
      <c r="BQ149" s="0" t="str">
        <f aca="false">IF($A149="N/A"," ",(VLOOKUP($A149,NumberofDaysTable,2)))</f>
        <v> </v>
      </c>
      <c r="BR149" s="0" t="str">
        <f aca="false">IF($A149="N/A"," ",(VLOOKUP($A149,NumberofDaysTable,3)))</f>
        <v> </v>
      </c>
      <c r="BS149" s="0" t="str">
        <f aca="false">IF($A149="N/A"," ",(VLOOKUP($A149,NumberofDaysTable,4)))</f>
        <v> </v>
      </c>
    </row>
    <row r="150" customFormat="false" ht="12.75" hidden="false" customHeight="false" outlineLevel="0" collapsed="false">
      <c r="A150" s="315" t="str">
        <f aca="false">IF(A149="N/A","N/A",IF(EDATE(A149,1)&gt;Inputs!$Q$5,"N/A",EDATE(A149,1)))</f>
        <v>N/A</v>
      </c>
      <c r="B150" s="316" t="str">
        <f aca="false">IF(A150="N/A"," ",YEAR(A150))</f>
        <v> </v>
      </c>
      <c r="C150" s="317" t="str">
        <f aca="false">IF($A150="N/A"," ",IF(Dayrun3=10,0,IF(Scaler3=1,(VLOOKUP(A150,ScaledPrice3,4)),(VLOOKUP(A150,ScaledPrice3,2)))))</f>
        <v> </v>
      </c>
      <c r="D150" s="317" t="str">
        <f aca="false">IF(A150="N/A"," ",IF(Dayrun3&gt;=7,0,IF(Scaler3=2,VLOOKUP(A150,ScaledPrice3,2),(VLOOKUP(A150,ScaledPrice3,2))*(2-(VLOOKUP(A150,ScaledPrice3,3))))))</f>
        <v> </v>
      </c>
      <c r="E150" s="317" t="str">
        <f aca="false">IF($A150="N/A"," ",IF(AND(Dayrun3&gt;=4,Dayrun3&lt;=9),0,VLOOKUP($A150,ScaledPrice3,9)))</f>
        <v> </v>
      </c>
      <c r="F150" s="317" t="str">
        <f aca="false">IF(A150="N/A"," ",IF(OR(Dayrun3=2,Dayrun3=3,Dayrun3=5,Dayrun3=6,Dayrun3=8,Dayrun3=9),VLOOKUP(A150,ScaledPrice3,IF(Scaler3=1,6,5)),0))</f>
        <v> </v>
      </c>
      <c r="G150" s="317" t="str">
        <f aca="false">IF(A150="N/A"," ",IF(OR(Dayrun3=2,Dayrun3=3,Dayrun3=5,Dayrun3=6),IF(Scaler3=2,F150,(VLOOKUP(A150,ScaledPrice3,5))*(2-(VLOOKUP(A150,ScaledPrice3,3)))),0))</f>
        <v> </v>
      </c>
      <c r="H150" s="317" t="str">
        <f aca="false">IF($A150="N/A"," ",IF(OR(Dayrun3=2,Dayrun3=3,Dayrun3=10),VLOOKUP($A150,ScaledPrice3,9),0))</f>
        <v> </v>
      </c>
      <c r="I150" s="317" t="str">
        <f aca="false">IF(A150="N/A"," ",IF(OR(Dayrun3=3,Dayrun3=6,Dayrun3=9),(VLOOKUP(A150,ScaledPrice3,IF(Scaler3=2,7,8))),0))</f>
        <v> </v>
      </c>
      <c r="J150" s="317" t="str">
        <f aca="false">IF(A150="N/A"," ",IF(OR(Dayrun3=3,Dayrun3=6),IF(Scaler3=2,I150,(VLOOKUP(A150,ScaledPrice3,7))*(2-(VLOOKUP(A150,ScaledPrice3,3)))),0))</f>
        <v> </v>
      </c>
      <c r="K150" s="317" t="str">
        <f aca="false">IF($A150="N/A"," ",IF(OR(Dayrun3=3,Dayrun3=10),VLOOKUP($A150,ScaledPrice3,9),0))</f>
        <v> </v>
      </c>
      <c r="L150" s="318" t="str">
        <f aca="false">IF($A150="N/A"," ",IF(Pricetype3=2,MAX(C150,0),IF(OR(Pricetype3=1,Pricetype3=4),IF(C150=0,0,(EURO(C150,Strikeprice3,0,0,($AH150+IF(Smile=TRUE(),VLOOKUP(MAX(-5,Strikeprice3-C150),Volsmile,2),0)),($A150-DateToday)+15,IF(Pricetype3=1,1,0),0))),C150)))</f>
        <v> </v>
      </c>
      <c r="M150" s="318" t="str">
        <f aca="false">IF($A150="N/A"," ",IF(Pricetype3=2,MAX(D150,0),IF(OR(Pricetype3=1,Pricetype3=4),IF(D150=0,0,(EURO(D150,Strikeprice3,0,0,($AH150+IF(Smile=TRUE(),VLOOKUP(MAX(-5,Strikeprice3-D150),Volsmile,2),0)),($A150-DateToday)+15,IF(Pricetype3=1,1,0),0))),D150)))</f>
        <v> </v>
      </c>
      <c r="N150" s="318" t="str">
        <f aca="false">IF($A150="N/A"," ",IF(Pricetype3=2,MAX(E150,0),IF(OR(Pricetype3=1,Pricetype3=4),IF(E150=0,0,(EURO(E150,Strikeprice3,0,0,($AK150+IF(Smile=TRUE(),VLOOKUP(MAX(-5,Strikeprice3-E150),Volsmile,2),0)),($A150-DateToday)+15,IF(Pricetype3=1,1,0),0))),E150)))</f>
        <v> </v>
      </c>
      <c r="O150" s="318" t="str">
        <f aca="false">IF($A150="N/A"," ",IF(Pricetype3=2,MAX(F150,0),IF(OR(Pricetype3=1,Pricetype3=4),IF(F150=0,0,(EURO(F150,Strikeprice3,0,0,($AK150+IF(Smile=TRUE(),VLOOKUP(MAX(-5,Strikeprice3-F150),Volsmile,2),0)),($A150-DateToday)+15,IF(Pricetype3=1,1,0),0))),F150)))</f>
        <v> </v>
      </c>
      <c r="P150" s="318" t="str">
        <f aca="false">IF($A150="N/A"," ",IF(Pricetype3=2,MAX(G150,0),IF(OR(Pricetype3=1,Pricetype3=4),IF(G150=0,0,(EURO(G150,Strikeprice3,0,0,($AK150+IF(Smile=TRUE(),VLOOKUP(MAX(-5,Strikeprice3-G150),Volsmile,2),0)),($A150-DateToday)+15,IF(Pricetype3=1,1,0),0))),G150)))</f>
        <v> </v>
      </c>
      <c r="Q150" s="318" t="str">
        <f aca="false">IF($A150="N/A"," ",IF(Pricetype3=2,MAX(H150,0),IF(OR(Pricetype3=1,Pricetype3=4),IF(H150=0,0,(EURO(H150,Strikeprice3,0,0,($AK150+IF(Smile=TRUE(),VLOOKUP(MAX(-5,Strikeprice3-H150),Volsmile,2),0)),($A150-DateToday)+15,IF(Pricetype3=1,1,0),0))),H150)))</f>
        <v> </v>
      </c>
      <c r="R150" s="318" t="str">
        <f aca="false">IF($A150="N/A"," ",IF(Pricetype3=2,MAX(I150,0),IF(OR(Pricetype3=1,Pricetype3=4),IF(I150=0,0,(EURO(I150,Strikeprice3,0,0,($AK150+IF(Smile=TRUE(),VLOOKUP(MAX(-5,Strikeprice3-I150),Volsmile,2),0)),($A150-DateToday)+15,IF(Pricetype3=1,1,0),0))),I150)))</f>
        <v> </v>
      </c>
      <c r="S150" s="318" t="str">
        <f aca="false">IF($A150="N/A"," ",IF(Pricetype3=2,MAX(J150,0),IF(OR(Pricetype3=1,Pricetype3=4),IF(J150=0,0,(EURO(J150,Strikeprice3,0,0,($AK150+IF(Smile=TRUE(),VLOOKUP(MAX(-5,Strikeprice3-J150),Volsmile,2),0)),($A150-DateToday)+15,IF(Pricetype3=1,1,0),0))),J150)))</f>
        <v> </v>
      </c>
      <c r="T150" s="318" t="str">
        <f aca="false">IF($A150="N/A"," ",IF(Pricetype3=2,MAX(K150,0),IF(OR(Pricetype3=1,Pricetype3=4),IF(K150=0,0,(EURO(K150,Strikeprice3,0,0,($AK150+IF(Smile=TRUE(),VLOOKUP(MAX(-5,Strikeprice3-K150),Volsmile,2),0)),($A150-DateToday)+15,IF(Pricetype3=1,1,0),0))),K150)))</f>
        <v> </v>
      </c>
      <c r="U150" s="319" t="str">
        <f aca="false">IF($A150="N/A"," ",Volume3*$AM150)</f>
        <v> </v>
      </c>
      <c r="V150" s="320" t="str">
        <f aca="false">IF($A150="N/A"," ",$U150*(8*($BQ150))*L150)</f>
        <v> </v>
      </c>
      <c r="W150" s="320" t="str">
        <f aca="false">IF($A150="N/A"," ",$U150*(8*($BQ150))*M150)</f>
        <v> </v>
      </c>
      <c r="X150" s="320" t="str">
        <f aca="false">IF($A150="N/A"," ",$U150*(8*($BQ150))*N150)</f>
        <v> </v>
      </c>
      <c r="Y150" s="320" t="str">
        <f aca="false">IF($A150="N/A"," ",$U150*(8*($BR150))*O150)</f>
        <v> </v>
      </c>
      <c r="Z150" s="320" t="str">
        <f aca="false">IF($A150="N/A"," ",$U150*(8*($BR150))*P150)</f>
        <v> </v>
      </c>
      <c r="AA150" s="320" t="str">
        <f aca="false">IF($A150="N/A"," ",$U150*(8*($BR150))*Q150)</f>
        <v> </v>
      </c>
      <c r="AB150" s="320" t="str">
        <f aca="false">IF($A150="N/A"," ",$U150*(8*($BS150))*R150)</f>
        <v> </v>
      </c>
      <c r="AC150" s="320" t="str">
        <f aca="false">IF($A150="N/A"," ",$U150*(8*($BS150))*S150)</f>
        <v> </v>
      </c>
      <c r="AD150" s="320" t="str">
        <f aca="false">IF($A150="N/A"," ",$U150*(8*($BS150))*T150)</f>
        <v> </v>
      </c>
      <c r="AE150" s="320" t="str">
        <f aca="false">IF($A150="N/A"," ",SUM(V150:AD150))</f>
        <v> </v>
      </c>
      <c r="AF150" s="321" t="str">
        <f aca="false">IF(A150="N/A"," ",(VLOOKUP(A150,PowerVolTable,(IF(VolBMO3=2,7,IF(VolBMO3=1,6,8))),FALSE())))</f>
        <v> </v>
      </c>
      <c r="AG150" s="321" t="str">
        <f aca="false">IF(A150="N/A"," ",(VLOOKUP(A150,IntraPowerVol,(IF(VolBMO3=2,3,IF(VolBMO3=1,2,4))),FALSE())*VLOOKUP(MONTH($A150),Volscale,2)))</f>
        <v> </v>
      </c>
      <c r="AH150" s="321" t="str">
        <f aca="false">IF($A150="N/A"," ",IF(VolType3=1,AG150,AF150))</f>
        <v> </v>
      </c>
      <c r="AI150" s="321" t="str">
        <f aca="false">IF($A150="N/A"," ",(VLOOKUP($A150,OffPwrVolTable,(IF(VolBMO3=2,7,IF(VolBMO3=1,6,8))),FALSE())))</f>
        <v> </v>
      </c>
      <c r="AJ150" s="321" t="str">
        <f aca="false">IF($A150="N/A"," ",(VLOOKUP($A150,OffPwrVolTable,(IF(VolBMO3=2,3,IF(VolBMO3=1,2,4))),FALSE())*VLOOKUP(MONTH($A150),Volscale,2)))</f>
        <v> </v>
      </c>
      <c r="AK150" s="321" t="str">
        <f aca="false">IF($A150="N/A"," ",IF(VolType3=1,AJ150,AI150))</f>
        <v> </v>
      </c>
      <c r="AL150" s="321" t="str">
        <f aca="false">IF($A150="N/A"," ",IF(PV=1,0,'Pricing Inputs3'!R183))</f>
        <v> </v>
      </c>
      <c r="AM150" s="323" t="str">
        <f aca="false">IF($A150="N/A"," ",(1+AL150/2)^(-2*((EOMONTH(A150,0)+20)-DateToday)/365.25))</f>
        <v> </v>
      </c>
      <c r="BQ150" s="0" t="str">
        <f aca="false">IF($A150="N/A"," ",(VLOOKUP($A150,NumberofDaysTable,2)))</f>
        <v> </v>
      </c>
      <c r="BR150" s="0" t="str">
        <f aca="false">IF($A150="N/A"," ",(VLOOKUP($A150,NumberofDaysTable,3)))</f>
        <v> </v>
      </c>
      <c r="BS150" s="0" t="str">
        <f aca="false">IF($A150="N/A"," ",(VLOOKUP($A150,NumberofDaysTable,4)))</f>
        <v> </v>
      </c>
    </row>
    <row r="151" customFormat="false" ht="12.75" hidden="false" customHeight="false" outlineLevel="0" collapsed="false">
      <c r="A151" s="315" t="str">
        <f aca="false">IF(A150="N/A","N/A",IF(EDATE(A150,1)&gt;Inputs!$Q$5,"N/A",EDATE(A150,1)))</f>
        <v>N/A</v>
      </c>
      <c r="B151" s="316" t="str">
        <f aca="false">IF(A151="N/A"," ",YEAR(A151))</f>
        <v> </v>
      </c>
      <c r="C151" s="317" t="str">
        <f aca="false">IF($A151="N/A"," ",IF(Dayrun3=10,0,IF(Scaler3=1,(VLOOKUP(A151,ScaledPrice3,4)),(VLOOKUP(A151,ScaledPrice3,2)))))</f>
        <v> </v>
      </c>
      <c r="D151" s="317" t="str">
        <f aca="false">IF(A151="N/A"," ",IF(Dayrun3&gt;=7,0,IF(Scaler3=2,VLOOKUP(A151,ScaledPrice3,2),(VLOOKUP(A151,ScaledPrice3,2))*(2-(VLOOKUP(A151,ScaledPrice3,3))))))</f>
        <v> </v>
      </c>
      <c r="E151" s="317" t="str">
        <f aca="false">IF($A151="N/A"," ",IF(AND(Dayrun3&gt;=4,Dayrun3&lt;=9),0,VLOOKUP($A151,ScaledPrice3,9)))</f>
        <v> </v>
      </c>
      <c r="F151" s="317" t="str">
        <f aca="false">IF(A151="N/A"," ",IF(OR(Dayrun3=2,Dayrun3=3,Dayrun3=5,Dayrun3=6,Dayrun3=8,Dayrun3=9),VLOOKUP(A151,ScaledPrice3,IF(Scaler3=1,6,5)),0))</f>
        <v> </v>
      </c>
      <c r="G151" s="317" t="str">
        <f aca="false">IF(A151="N/A"," ",IF(OR(Dayrun3=2,Dayrun3=3,Dayrun3=5,Dayrun3=6),IF(Scaler3=2,F151,(VLOOKUP(A151,ScaledPrice3,5))*(2-(VLOOKUP(A151,ScaledPrice3,3)))),0))</f>
        <v> </v>
      </c>
      <c r="H151" s="317" t="str">
        <f aca="false">IF($A151="N/A"," ",IF(OR(Dayrun3=2,Dayrun3=3,Dayrun3=10),VLOOKUP($A151,ScaledPrice3,9),0))</f>
        <v> </v>
      </c>
      <c r="I151" s="317" t="str">
        <f aca="false">IF(A151="N/A"," ",IF(OR(Dayrun3=3,Dayrun3=6,Dayrun3=9),(VLOOKUP(A151,ScaledPrice3,IF(Scaler3=2,7,8))),0))</f>
        <v> </v>
      </c>
      <c r="J151" s="317" t="str">
        <f aca="false">IF(A151="N/A"," ",IF(OR(Dayrun3=3,Dayrun3=6),IF(Scaler3=2,I151,(VLOOKUP(A151,ScaledPrice3,7))*(2-(VLOOKUP(A151,ScaledPrice3,3)))),0))</f>
        <v> </v>
      </c>
      <c r="K151" s="317" t="str">
        <f aca="false">IF($A151="N/A"," ",IF(OR(Dayrun3=3,Dayrun3=10),VLOOKUP($A151,ScaledPrice3,9),0))</f>
        <v> </v>
      </c>
      <c r="L151" s="318" t="str">
        <f aca="false">IF($A151="N/A"," ",IF(Pricetype3=2,MAX(C151,0),IF(OR(Pricetype3=1,Pricetype3=4),IF(C151=0,0,(EURO(C151,Strikeprice3,0,0,($AH151+IF(Smile=TRUE(),VLOOKUP(MAX(-5,Strikeprice3-C151),Volsmile,2),0)),($A151-DateToday)+15,IF(Pricetype3=1,1,0),0))),C151)))</f>
        <v> </v>
      </c>
      <c r="M151" s="318" t="str">
        <f aca="false">IF($A151="N/A"," ",IF(Pricetype3=2,MAX(D151,0),IF(OR(Pricetype3=1,Pricetype3=4),IF(D151=0,0,(EURO(D151,Strikeprice3,0,0,($AH151+IF(Smile=TRUE(),VLOOKUP(MAX(-5,Strikeprice3-D151),Volsmile,2),0)),($A151-DateToday)+15,IF(Pricetype3=1,1,0),0))),D151)))</f>
        <v> </v>
      </c>
      <c r="N151" s="318" t="str">
        <f aca="false">IF($A151="N/A"," ",IF(Pricetype3=2,MAX(E151,0),IF(OR(Pricetype3=1,Pricetype3=4),IF(E151=0,0,(EURO(E151,Strikeprice3,0,0,($AK151+IF(Smile=TRUE(),VLOOKUP(MAX(-5,Strikeprice3-E151),Volsmile,2),0)),($A151-DateToday)+15,IF(Pricetype3=1,1,0),0))),E151)))</f>
        <v> </v>
      </c>
      <c r="O151" s="318" t="str">
        <f aca="false">IF($A151="N/A"," ",IF(Pricetype3=2,MAX(F151,0),IF(OR(Pricetype3=1,Pricetype3=4),IF(F151=0,0,(EURO(F151,Strikeprice3,0,0,($AK151+IF(Smile=TRUE(),VLOOKUP(MAX(-5,Strikeprice3-F151),Volsmile,2),0)),($A151-DateToday)+15,IF(Pricetype3=1,1,0),0))),F151)))</f>
        <v> </v>
      </c>
      <c r="P151" s="318" t="str">
        <f aca="false">IF($A151="N/A"," ",IF(Pricetype3=2,MAX(G151,0),IF(OR(Pricetype3=1,Pricetype3=4),IF(G151=0,0,(EURO(G151,Strikeprice3,0,0,($AK151+IF(Smile=TRUE(),VLOOKUP(MAX(-5,Strikeprice3-G151),Volsmile,2),0)),($A151-DateToday)+15,IF(Pricetype3=1,1,0),0))),G151)))</f>
        <v> </v>
      </c>
      <c r="Q151" s="318" t="str">
        <f aca="false">IF($A151="N/A"," ",IF(Pricetype3=2,MAX(H151,0),IF(OR(Pricetype3=1,Pricetype3=4),IF(H151=0,0,(EURO(H151,Strikeprice3,0,0,($AK151+IF(Smile=TRUE(),VLOOKUP(MAX(-5,Strikeprice3-H151),Volsmile,2),0)),($A151-DateToday)+15,IF(Pricetype3=1,1,0),0))),H151)))</f>
        <v> </v>
      </c>
      <c r="R151" s="318" t="str">
        <f aca="false">IF($A151="N/A"," ",IF(Pricetype3=2,MAX(I151,0),IF(OR(Pricetype3=1,Pricetype3=4),IF(I151=0,0,(EURO(I151,Strikeprice3,0,0,($AK151+IF(Smile=TRUE(),VLOOKUP(MAX(-5,Strikeprice3-I151),Volsmile,2),0)),($A151-DateToday)+15,IF(Pricetype3=1,1,0),0))),I151)))</f>
        <v> </v>
      </c>
      <c r="S151" s="318" t="str">
        <f aca="false">IF($A151="N/A"," ",IF(Pricetype3=2,MAX(J151,0),IF(OR(Pricetype3=1,Pricetype3=4),IF(J151=0,0,(EURO(J151,Strikeprice3,0,0,($AK151+IF(Smile=TRUE(),VLOOKUP(MAX(-5,Strikeprice3-J151),Volsmile,2),0)),($A151-DateToday)+15,IF(Pricetype3=1,1,0),0))),J151)))</f>
        <v> </v>
      </c>
      <c r="T151" s="318" t="str">
        <f aca="false">IF($A151="N/A"," ",IF(Pricetype3=2,MAX(K151,0),IF(OR(Pricetype3=1,Pricetype3=4),IF(K151=0,0,(EURO(K151,Strikeprice3,0,0,($AK151+IF(Smile=TRUE(),VLOOKUP(MAX(-5,Strikeprice3-K151),Volsmile,2),0)),($A151-DateToday)+15,IF(Pricetype3=1,1,0),0))),K151)))</f>
        <v> </v>
      </c>
      <c r="U151" s="319" t="str">
        <f aca="false">IF($A151="N/A"," ",Volume3*$AM151)</f>
        <v> </v>
      </c>
      <c r="V151" s="320" t="str">
        <f aca="false">IF($A151="N/A"," ",$U151*(8*($BQ151))*L151)</f>
        <v> </v>
      </c>
      <c r="W151" s="320" t="str">
        <f aca="false">IF($A151="N/A"," ",$U151*(8*($BQ151))*M151)</f>
        <v> </v>
      </c>
      <c r="X151" s="320" t="str">
        <f aca="false">IF($A151="N/A"," ",$U151*(8*($BQ151))*N151)</f>
        <v> </v>
      </c>
      <c r="Y151" s="320" t="str">
        <f aca="false">IF($A151="N/A"," ",$U151*(8*($BR151))*O151)</f>
        <v> </v>
      </c>
      <c r="Z151" s="320" t="str">
        <f aca="false">IF($A151="N/A"," ",$U151*(8*($BR151))*P151)</f>
        <v> </v>
      </c>
      <c r="AA151" s="320" t="str">
        <f aca="false">IF($A151="N/A"," ",$U151*(8*($BR151))*Q151)</f>
        <v> </v>
      </c>
      <c r="AB151" s="320" t="str">
        <f aca="false">IF($A151="N/A"," ",$U151*(8*($BS151))*R151)</f>
        <v> </v>
      </c>
      <c r="AC151" s="320" t="str">
        <f aca="false">IF($A151="N/A"," ",$U151*(8*($BS151))*S151)</f>
        <v> </v>
      </c>
      <c r="AD151" s="320" t="str">
        <f aca="false">IF($A151="N/A"," ",$U151*(8*($BS151))*T151)</f>
        <v> </v>
      </c>
      <c r="AE151" s="320" t="str">
        <f aca="false">IF($A151="N/A"," ",SUM(V151:AD151))</f>
        <v> </v>
      </c>
      <c r="AF151" s="321" t="str">
        <f aca="false">IF(A151="N/A"," ",(VLOOKUP(A151,PowerVolTable,(IF(VolBMO3=2,7,IF(VolBMO3=1,6,8))),FALSE())))</f>
        <v> </v>
      </c>
      <c r="AG151" s="321" t="str">
        <f aca="false">IF(A151="N/A"," ",(VLOOKUP(A151,IntraPowerVol,(IF(VolBMO3=2,3,IF(VolBMO3=1,2,4))),FALSE())*VLOOKUP(MONTH($A151),Volscale,2)))</f>
        <v> </v>
      </c>
      <c r="AH151" s="321" t="str">
        <f aca="false">IF($A151="N/A"," ",IF(VolType3=1,AG151,AF151))</f>
        <v> </v>
      </c>
      <c r="AI151" s="321" t="str">
        <f aca="false">IF($A151="N/A"," ",(VLOOKUP($A151,OffPwrVolTable,(IF(VolBMO3=2,7,IF(VolBMO3=1,6,8))),FALSE())))</f>
        <v> </v>
      </c>
      <c r="AJ151" s="321" t="str">
        <f aca="false">IF($A151="N/A"," ",(VLOOKUP($A151,OffPwrVolTable,(IF(VolBMO3=2,3,IF(VolBMO3=1,2,4))),FALSE())*VLOOKUP(MONTH($A151),Volscale,2)))</f>
        <v> </v>
      </c>
      <c r="AK151" s="321" t="str">
        <f aca="false">IF($A151="N/A"," ",IF(VolType3=1,AJ151,AI151))</f>
        <v> </v>
      </c>
      <c r="AL151" s="321" t="str">
        <f aca="false">IF($A151="N/A"," ",IF(PV=1,0,'Pricing Inputs3'!R184))</f>
        <v> </v>
      </c>
      <c r="AM151" s="323" t="str">
        <f aca="false">IF($A151="N/A"," ",(1+AL151/2)^(-2*((EOMONTH(A151,0)+20)-DateToday)/365.25))</f>
        <v> </v>
      </c>
      <c r="BQ151" s="0" t="str">
        <f aca="false">IF($A151="N/A"," ",(VLOOKUP($A151,NumberofDaysTable,2)))</f>
        <v> </v>
      </c>
      <c r="BR151" s="0" t="str">
        <f aca="false">IF($A151="N/A"," ",(VLOOKUP($A151,NumberofDaysTable,3)))</f>
        <v> </v>
      </c>
      <c r="BS151" s="0" t="str">
        <f aca="false">IF($A151="N/A"," ",(VLOOKUP($A151,NumberofDaysTable,4)))</f>
        <v> </v>
      </c>
    </row>
    <row r="152" customFormat="false" ht="12.75" hidden="false" customHeight="false" outlineLevel="0" collapsed="false">
      <c r="A152" s="315" t="str">
        <f aca="false">IF(A151="N/A","N/A",IF(EDATE(A151,1)&gt;Inputs!$Q$5,"N/A",EDATE(A151,1)))</f>
        <v>N/A</v>
      </c>
      <c r="B152" s="316" t="str">
        <f aca="false">IF(A152="N/A"," ",YEAR(A152))</f>
        <v> </v>
      </c>
      <c r="C152" s="317" t="str">
        <f aca="false">IF($A152="N/A"," ",IF(Dayrun3=10,0,IF(Scaler3=1,(VLOOKUP(A152,ScaledPrice3,4)),(VLOOKUP(A152,ScaledPrice3,2)))))</f>
        <v> </v>
      </c>
      <c r="D152" s="317" t="str">
        <f aca="false">IF(A152="N/A"," ",IF(Dayrun3&gt;=7,0,IF(Scaler3=2,VLOOKUP(A152,ScaledPrice3,2),(VLOOKUP(A152,ScaledPrice3,2))*(2-(VLOOKUP(A152,ScaledPrice3,3))))))</f>
        <v> </v>
      </c>
      <c r="E152" s="317" t="str">
        <f aca="false">IF($A152="N/A"," ",IF(AND(Dayrun3&gt;=4,Dayrun3&lt;=9),0,VLOOKUP($A152,ScaledPrice3,9)))</f>
        <v> </v>
      </c>
      <c r="F152" s="317" t="str">
        <f aca="false">IF(A152="N/A"," ",IF(OR(Dayrun3=2,Dayrun3=3,Dayrun3=5,Dayrun3=6,Dayrun3=8,Dayrun3=9),VLOOKUP(A152,ScaledPrice3,IF(Scaler3=1,6,5)),0))</f>
        <v> </v>
      </c>
      <c r="G152" s="317" t="str">
        <f aca="false">IF(A152="N/A"," ",IF(OR(Dayrun3=2,Dayrun3=3,Dayrun3=5,Dayrun3=6),IF(Scaler3=2,F152,(VLOOKUP(A152,ScaledPrice3,5))*(2-(VLOOKUP(A152,ScaledPrice3,3)))),0))</f>
        <v> </v>
      </c>
      <c r="H152" s="317" t="str">
        <f aca="false">IF($A152="N/A"," ",IF(OR(Dayrun3=2,Dayrun3=3,Dayrun3=10),VLOOKUP($A152,ScaledPrice3,9),0))</f>
        <v> </v>
      </c>
      <c r="I152" s="317" t="str">
        <f aca="false">IF(A152="N/A"," ",IF(OR(Dayrun3=3,Dayrun3=6,Dayrun3=9),(VLOOKUP(A152,ScaledPrice3,IF(Scaler3=2,7,8))),0))</f>
        <v> </v>
      </c>
      <c r="J152" s="317" t="str">
        <f aca="false">IF(A152="N/A"," ",IF(OR(Dayrun3=3,Dayrun3=6),IF(Scaler3=2,I152,(VLOOKUP(A152,ScaledPrice3,7))*(2-(VLOOKUP(A152,ScaledPrice3,3)))),0))</f>
        <v> </v>
      </c>
      <c r="K152" s="317" t="str">
        <f aca="false">IF($A152="N/A"," ",IF(OR(Dayrun3=3,Dayrun3=10),VLOOKUP($A152,ScaledPrice3,9),0))</f>
        <v> </v>
      </c>
      <c r="L152" s="318" t="str">
        <f aca="false">IF($A152="N/A"," ",IF(Pricetype3=2,MAX(C152,0),IF(OR(Pricetype3=1,Pricetype3=4),IF(C152=0,0,(EURO(C152,Strikeprice3,0,0,($AH152+IF(Smile=TRUE(),VLOOKUP(MAX(-5,Strikeprice3-C152),Volsmile,2),0)),($A152-DateToday)+15,IF(Pricetype3=1,1,0),0))),C152)))</f>
        <v> </v>
      </c>
      <c r="M152" s="318" t="str">
        <f aca="false">IF($A152="N/A"," ",IF(Pricetype3=2,MAX(D152,0),IF(OR(Pricetype3=1,Pricetype3=4),IF(D152=0,0,(EURO(D152,Strikeprice3,0,0,($AH152+IF(Smile=TRUE(),VLOOKUP(MAX(-5,Strikeprice3-D152),Volsmile,2),0)),($A152-DateToday)+15,IF(Pricetype3=1,1,0),0))),D152)))</f>
        <v> </v>
      </c>
      <c r="N152" s="318" t="str">
        <f aca="false">IF($A152="N/A"," ",IF(Pricetype3=2,MAX(E152,0),IF(OR(Pricetype3=1,Pricetype3=4),IF(E152=0,0,(EURO(E152,Strikeprice3,0,0,($AK152+IF(Smile=TRUE(),VLOOKUP(MAX(-5,Strikeprice3-E152),Volsmile,2),0)),($A152-DateToday)+15,IF(Pricetype3=1,1,0),0))),E152)))</f>
        <v> </v>
      </c>
      <c r="O152" s="318" t="str">
        <f aca="false">IF($A152="N/A"," ",IF(Pricetype3=2,MAX(F152,0),IF(OR(Pricetype3=1,Pricetype3=4),IF(F152=0,0,(EURO(F152,Strikeprice3,0,0,($AK152+IF(Smile=TRUE(),VLOOKUP(MAX(-5,Strikeprice3-F152),Volsmile,2),0)),($A152-DateToday)+15,IF(Pricetype3=1,1,0),0))),F152)))</f>
        <v> </v>
      </c>
      <c r="P152" s="318" t="str">
        <f aca="false">IF($A152="N/A"," ",IF(Pricetype3=2,MAX(G152,0),IF(OR(Pricetype3=1,Pricetype3=4),IF(G152=0,0,(EURO(G152,Strikeprice3,0,0,($AK152+IF(Smile=TRUE(),VLOOKUP(MAX(-5,Strikeprice3-G152),Volsmile,2),0)),($A152-DateToday)+15,IF(Pricetype3=1,1,0),0))),G152)))</f>
        <v> </v>
      </c>
      <c r="Q152" s="318" t="str">
        <f aca="false">IF($A152="N/A"," ",IF(Pricetype3=2,MAX(H152,0),IF(OR(Pricetype3=1,Pricetype3=4),IF(H152=0,0,(EURO(H152,Strikeprice3,0,0,($AK152+IF(Smile=TRUE(),VLOOKUP(MAX(-5,Strikeprice3-H152),Volsmile,2),0)),($A152-DateToday)+15,IF(Pricetype3=1,1,0),0))),H152)))</f>
        <v> </v>
      </c>
      <c r="R152" s="318" t="str">
        <f aca="false">IF($A152="N/A"," ",IF(Pricetype3=2,MAX(I152,0),IF(OR(Pricetype3=1,Pricetype3=4),IF(I152=0,0,(EURO(I152,Strikeprice3,0,0,($AK152+IF(Smile=TRUE(),VLOOKUP(MAX(-5,Strikeprice3-I152),Volsmile,2),0)),($A152-DateToday)+15,IF(Pricetype3=1,1,0),0))),I152)))</f>
        <v> </v>
      </c>
      <c r="S152" s="318" t="str">
        <f aca="false">IF($A152="N/A"," ",IF(Pricetype3=2,MAX(J152,0),IF(OR(Pricetype3=1,Pricetype3=4),IF(J152=0,0,(EURO(J152,Strikeprice3,0,0,($AK152+IF(Smile=TRUE(),VLOOKUP(MAX(-5,Strikeprice3-J152),Volsmile,2),0)),($A152-DateToday)+15,IF(Pricetype3=1,1,0),0))),J152)))</f>
        <v> </v>
      </c>
      <c r="T152" s="318" t="str">
        <f aca="false">IF($A152="N/A"," ",IF(Pricetype3=2,MAX(K152,0),IF(OR(Pricetype3=1,Pricetype3=4),IF(K152=0,0,(EURO(K152,Strikeprice3,0,0,($AK152+IF(Smile=TRUE(),VLOOKUP(MAX(-5,Strikeprice3-K152),Volsmile,2),0)),($A152-DateToday)+15,IF(Pricetype3=1,1,0),0))),K152)))</f>
        <v> </v>
      </c>
      <c r="U152" s="319" t="str">
        <f aca="false">IF($A152="N/A"," ",Volume3*$AM152)</f>
        <v> </v>
      </c>
      <c r="V152" s="320" t="str">
        <f aca="false">IF($A152="N/A"," ",$U152*(8*($BQ152))*L152)</f>
        <v> </v>
      </c>
      <c r="W152" s="320" t="str">
        <f aca="false">IF($A152="N/A"," ",$U152*(8*($BQ152))*M152)</f>
        <v> </v>
      </c>
      <c r="X152" s="320" t="str">
        <f aca="false">IF($A152="N/A"," ",$U152*(8*($BQ152))*N152)</f>
        <v> </v>
      </c>
      <c r="Y152" s="320" t="str">
        <f aca="false">IF($A152="N/A"," ",$U152*(8*($BR152))*O152)</f>
        <v> </v>
      </c>
      <c r="Z152" s="320" t="str">
        <f aca="false">IF($A152="N/A"," ",$U152*(8*($BR152))*P152)</f>
        <v> </v>
      </c>
      <c r="AA152" s="320" t="str">
        <f aca="false">IF($A152="N/A"," ",$U152*(8*($BR152))*Q152)</f>
        <v> </v>
      </c>
      <c r="AB152" s="320" t="str">
        <f aca="false">IF($A152="N/A"," ",$U152*(8*($BS152))*R152)</f>
        <v> </v>
      </c>
      <c r="AC152" s="320" t="str">
        <f aca="false">IF($A152="N/A"," ",$U152*(8*($BS152))*S152)</f>
        <v> </v>
      </c>
      <c r="AD152" s="320" t="str">
        <f aca="false">IF($A152="N/A"," ",$U152*(8*($BS152))*T152)</f>
        <v> </v>
      </c>
      <c r="AE152" s="320" t="str">
        <f aca="false">IF($A152="N/A"," ",SUM(V152:AD152))</f>
        <v> </v>
      </c>
      <c r="AF152" s="321" t="str">
        <f aca="false">IF(A152="N/A"," ",(VLOOKUP(A152,PowerVolTable,(IF(VolBMO3=2,7,IF(VolBMO3=1,6,8))),FALSE())))</f>
        <v> </v>
      </c>
      <c r="AG152" s="321" t="str">
        <f aca="false">IF(A152="N/A"," ",(VLOOKUP(A152,IntraPowerVol,(IF(VolBMO3=2,3,IF(VolBMO3=1,2,4))),FALSE())*VLOOKUP(MONTH($A152),Volscale,2)))</f>
        <v> </v>
      </c>
      <c r="AH152" s="321" t="str">
        <f aca="false">IF($A152="N/A"," ",IF(VolType3=1,AG152,AF152))</f>
        <v> </v>
      </c>
      <c r="AI152" s="321" t="str">
        <f aca="false">IF($A152="N/A"," ",(VLOOKUP($A152,OffPwrVolTable,(IF(VolBMO3=2,7,IF(VolBMO3=1,6,8))),FALSE())))</f>
        <v> </v>
      </c>
      <c r="AJ152" s="321" t="str">
        <f aca="false">IF($A152="N/A"," ",(VLOOKUP($A152,OffPwrVolTable,(IF(VolBMO3=2,3,IF(VolBMO3=1,2,4))),FALSE())*VLOOKUP(MONTH($A152),Volscale,2)))</f>
        <v> </v>
      </c>
      <c r="AK152" s="321" t="str">
        <f aca="false">IF($A152="N/A"," ",IF(VolType3=1,AJ152,AI152))</f>
        <v> </v>
      </c>
      <c r="AL152" s="321" t="str">
        <f aca="false">IF($A152="N/A"," ",IF(PV=1,0,'Pricing Inputs3'!R185))</f>
        <v> </v>
      </c>
      <c r="AM152" s="323" t="str">
        <f aca="false">IF($A152="N/A"," ",(1+AL152/2)^(-2*((EOMONTH(A152,0)+20)-DateToday)/365.25))</f>
        <v> </v>
      </c>
      <c r="BQ152" s="0" t="str">
        <f aca="false">IF($A152="N/A"," ",(VLOOKUP($A152,NumberofDaysTable,2)))</f>
        <v> </v>
      </c>
      <c r="BR152" s="0" t="str">
        <f aca="false">IF($A152="N/A"," ",(VLOOKUP($A152,NumberofDaysTable,3)))</f>
        <v> </v>
      </c>
      <c r="BS152" s="0" t="str">
        <f aca="false">IF($A152="N/A"," ",(VLOOKUP($A152,NumberofDaysTable,4)))</f>
        <v> </v>
      </c>
    </row>
    <row r="153" customFormat="false" ht="12.75" hidden="false" customHeight="false" outlineLevel="0" collapsed="false">
      <c r="A153" s="315" t="str">
        <f aca="false">IF(A152="N/A","N/A",IF(EDATE(A152,1)&gt;Inputs!$Q$5,"N/A",EDATE(A152,1)))</f>
        <v>N/A</v>
      </c>
      <c r="B153" s="316" t="str">
        <f aca="false">IF(A153="N/A"," ",YEAR(A153))</f>
        <v> </v>
      </c>
      <c r="C153" s="317" t="str">
        <f aca="false">IF($A153="N/A"," ",IF(Dayrun3=10,0,IF(Scaler3=1,(VLOOKUP(A153,ScaledPrice3,4)),(VLOOKUP(A153,ScaledPrice3,2)))))</f>
        <v> </v>
      </c>
      <c r="D153" s="317" t="str">
        <f aca="false">IF(A153="N/A"," ",IF(Dayrun3&gt;=7,0,IF(Scaler3=2,VLOOKUP(A153,ScaledPrice3,2),(VLOOKUP(A153,ScaledPrice3,2))*(2-(VLOOKUP(A153,ScaledPrice3,3))))))</f>
        <v> </v>
      </c>
      <c r="E153" s="317" t="str">
        <f aca="false">IF($A153="N/A"," ",IF(AND(Dayrun3&gt;=4,Dayrun3&lt;=9),0,VLOOKUP($A153,ScaledPrice3,9)))</f>
        <v> </v>
      </c>
      <c r="F153" s="317" t="str">
        <f aca="false">IF(A153="N/A"," ",IF(OR(Dayrun3=2,Dayrun3=3,Dayrun3=5,Dayrun3=6,Dayrun3=8,Dayrun3=9),VLOOKUP(A153,ScaledPrice3,IF(Scaler3=1,6,5)),0))</f>
        <v> </v>
      </c>
      <c r="G153" s="317" t="str">
        <f aca="false">IF(A153="N/A"," ",IF(OR(Dayrun3=2,Dayrun3=3,Dayrun3=5,Dayrun3=6),IF(Scaler3=2,F153,(VLOOKUP(A153,ScaledPrice3,5))*(2-(VLOOKUP(A153,ScaledPrice3,3)))),0))</f>
        <v> </v>
      </c>
      <c r="H153" s="317" t="str">
        <f aca="false">IF($A153="N/A"," ",IF(OR(Dayrun3=2,Dayrun3=3,Dayrun3=10),VLOOKUP($A153,ScaledPrice3,9),0))</f>
        <v> </v>
      </c>
      <c r="I153" s="317" t="str">
        <f aca="false">IF(A153="N/A"," ",IF(OR(Dayrun3=3,Dayrun3=6,Dayrun3=9),(VLOOKUP(A153,ScaledPrice3,IF(Scaler3=2,7,8))),0))</f>
        <v> </v>
      </c>
      <c r="J153" s="317" t="str">
        <f aca="false">IF(A153="N/A"," ",IF(OR(Dayrun3=3,Dayrun3=6),IF(Scaler3=2,I153,(VLOOKUP(A153,ScaledPrice3,7))*(2-(VLOOKUP(A153,ScaledPrice3,3)))),0))</f>
        <v> </v>
      </c>
      <c r="K153" s="317" t="str">
        <f aca="false">IF($A153="N/A"," ",IF(OR(Dayrun3=3,Dayrun3=10),VLOOKUP($A153,ScaledPrice3,9),0))</f>
        <v> </v>
      </c>
      <c r="L153" s="318" t="str">
        <f aca="false">IF($A153="N/A"," ",IF(Pricetype3=2,MAX(C153,0),IF(OR(Pricetype3=1,Pricetype3=4),IF(C153=0,0,(EURO(C153,Strikeprice3,0,0,($AH153+IF(Smile=TRUE(),VLOOKUP(MAX(-5,Strikeprice3-C153),Volsmile,2),0)),($A153-DateToday)+15,IF(Pricetype3=1,1,0),0))),C153)))</f>
        <v> </v>
      </c>
      <c r="M153" s="318" t="str">
        <f aca="false">IF($A153="N/A"," ",IF(Pricetype3=2,MAX(D153,0),IF(OR(Pricetype3=1,Pricetype3=4),IF(D153=0,0,(EURO(D153,Strikeprice3,0,0,($AH153+IF(Smile=TRUE(),VLOOKUP(MAX(-5,Strikeprice3-D153),Volsmile,2),0)),($A153-DateToday)+15,IF(Pricetype3=1,1,0),0))),D153)))</f>
        <v> </v>
      </c>
      <c r="N153" s="318" t="str">
        <f aca="false">IF($A153="N/A"," ",IF(Pricetype3=2,MAX(E153,0),IF(OR(Pricetype3=1,Pricetype3=4),IF(E153=0,0,(EURO(E153,Strikeprice3,0,0,($AK153+IF(Smile=TRUE(),VLOOKUP(MAX(-5,Strikeprice3-E153),Volsmile,2),0)),($A153-DateToday)+15,IF(Pricetype3=1,1,0),0))),E153)))</f>
        <v> </v>
      </c>
      <c r="O153" s="318" t="str">
        <f aca="false">IF($A153="N/A"," ",IF(Pricetype3=2,MAX(F153,0),IF(OR(Pricetype3=1,Pricetype3=4),IF(F153=0,0,(EURO(F153,Strikeprice3,0,0,($AK153+IF(Smile=TRUE(),VLOOKUP(MAX(-5,Strikeprice3-F153),Volsmile,2),0)),($A153-DateToday)+15,IF(Pricetype3=1,1,0),0))),F153)))</f>
        <v> </v>
      </c>
      <c r="P153" s="318" t="str">
        <f aca="false">IF($A153="N/A"," ",IF(Pricetype3=2,MAX(G153,0),IF(OR(Pricetype3=1,Pricetype3=4),IF(G153=0,0,(EURO(G153,Strikeprice3,0,0,($AK153+IF(Smile=TRUE(),VLOOKUP(MAX(-5,Strikeprice3-G153),Volsmile,2),0)),($A153-DateToday)+15,IF(Pricetype3=1,1,0),0))),G153)))</f>
        <v> </v>
      </c>
      <c r="Q153" s="318" t="str">
        <f aca="false">IF($A153="N/A"," ",IF(Pricetype3=2,MAX(H153,0),IF(OR(Pricetype3=1,Pricetype3=4),IF(H153=0,0,(EURO(H153,Strikeprice3,0,0,($AK153+IF(Smile=TRUE(),VLOOKUP(MAX(-5,Strikeprice3-H153),Volsmile,2),0)),($A153-DateToday)+15,IF(Pricetype3=1,1,0),0))),H153)))</f>
        <v> </v>
      </c>
      <c r="R153" s="318" t="str">
        <f aca="false">IF($A153="N/A"," ",IF(Pricetype3=2,MAX(I153,0),IF(OR(Pricetype3=1,Pricetype3=4),IF(I153=0,0,(EURO(I153,Strikeprice3,0,0,($AK153+IF(Smile=TRUE(),VLOOKUP(MAX(-5,Strikeprice3-I153),Volsmile,2),0)),($A153-DateToday)+15,IF(Pricetype3=1,1,0),0))),I153)))</f>
        <v> </v>
      </c>
      <c r="S153" s="318" t="str">
        <f aca="false">IF($A153="N/A"," ",IF(Pricetype3=2,MAX(J153,0),IF(OR(Pricetype3=1,Pricetype3=4),IF(J153=0,0,(EURO(J153,Strikeprice3,0,0,($AK153+IF(Smile=TRUE(),VLOOKUP(MAX(-5,Strikeprice3-J153),Volsmile,2),0)),($A153-DateToday)+15,IF(Pricetype3=1,1,0),0))),J153)))</f>
        <v> </v>
      </c>
      <c r="T153" s="318" t="str">
        <f aca="false">IF($A153="N/A"," ",IF(Pricetype3=2,MAX(K153,0),IF(OR(Pricetype3=1,Pricetype3=4),IF(K153=0,0,(EURO(K153,Strikeprice3,0,0,($AK153+IF(Smile=TRUE(),VLOOKUP(MAX(-5,Strikeprice3-K153),Volsmile,2),0)),($A153-DateToday)+15,IF(Pricetype3=1,1,0),0))),K153)))</f>
        <v> </v>
      </c>
      <c r="U153" s="319" t="str">
        <f aca="false">IF($A153="N/A"," ",Volume3*$AM153)</f>
        <v> </v>
      </c>
      <c r="V153" s="320" t="str">
        <f aca="false">IF($A153="N/A"," ",$U153*(8*($BQ153))*L153)</f>
        <v> </v>
      </c>
      <c r="W153" s="320" t="str">
        <f aca="false">IF($A153="N/A"," ",$U153*(8*($BQ153))*M153)</f>
        <v> </v>
      </c>
      <c r="X153" s="320" t="str">
        <f aca="false">IF($A153="N/A"," ",$U153*(8*($BQ153))*N153)</f>
        <v> </v>
      </c>
      <c r="Y153" s="320" t="str">
        <f aca="false">IF($A153="N/A"," ",$U153*(8*($BR153))*O153)</f>
        <v> </v>
      </c>
      <c r="Z153" s="320" t="str">
        <f aca="false">IF($A153="N/A"," ",$U153*(8*($BR153))*P153)</f>
        <v> </v>
      </c>
      <c r="AA153" s="320" t="str">
        <f aca="false">IF($A153="N/A"," ",$U153*(8*($BR153))*Q153)</f>
        <v> </v>
      </c>
      <c r="AB153" s="320" t="str">
        <f aca="false">IF($A153="N/A"," ",$U153*(8*($BS153))*R153)</f>
        <v> </v>
      </c>
      <c r="AC153" s="320" t="str">
        <f aca="false">IF($A153="N/A"," ",$U153*(8*($BS153))*S153)</f>
        <v> </v>
      </c>
      <c r="AD153" s="320" t="str">
        <f aca="false">IF($A153="N/A"," ",$U153*(8*($BS153))*T153)</f>
        <v> </v>
      </c>
      <c r="AE153" s="320" t="str">
        <f aca="false">IF($A153="N/A"," ",SUM(V153:AD153))</f>
        <v> </v>
      </c>
      <c r="AF153" s="321" t="str">
        <f aca="false">IF(A153="N/A"," ",(VLOOKUP(A153,PowerVolTable,(IF(VolBMO3=2,7,IF(VolBMO3=1,6,8))),FALSE())))</f>
        <v> </v>
      </c>
      <c r="AG153" s="321" t="str">
        <f aca="false">IF(A153="N/A"," ",(VLOOKUP(A153,IntraPowerVol,(IF(VolBMO3=2,3,IF(VolBMO3=1,2,4))),FALSE())*VLOOKUP(MONTH($A153),Volscale,2)))</f>
        <v> </v>
      </c>
      <c r="AH153" s="321" t="str">
        <f aca="false">IF($A153="N/A"," ",IF(VolType3=1,AG153,AF153))</f>
        <v> </v>
      </c>
      <c r="AI153" s="321" t="str">
        <f aca="false">IF($A153="N/A"," ",(VLOOKUP($A153,OffPwrVolTable,(IF(VolBMO3=2,7,IF(VolBMO3=1,6,8))),FALSE())))</f>
        <v> </v>
      </c>
      <c r="AJ153" s="321" t="str">
        <f aca="false">IF($A153="N/A"," ",(VLOOKUP($A153,OffPwrVolTable,(IF(VolBMO3=2,3,IF(VolBMO3=1,2,4))),FALSE())*VLOOKUP(MONTH($A153),Volscale,2)))</f>
        <v> </v>
      </c>
      <c r="AK153" s="321" t="str">
        <f aca="false">IF($A153="N/A"," ",IF(VolType3=1,AJ153,AI153))</f>
        <v> </v>
      </c>
      <c r="AL153" s="321" t="str">
        <f aca="false">IF($A153="N/A"," ",IF(PV=1,0,'Pricing Inputs3'!R186))</f>
        <v> </v>
      </c>
      <c r="AM153" s="323" t="str">
        <f aca="false">IF($A153="N/A"," ",(1+AL153/2)^(-2*((EOMONTH(A153,0)+20)-DateToday)/365.25))</f>
        <v> </v>
      </c>
      <c r="BQ153" s="0" t="str">
        <f aca="false">IF($A153="N/A"," ",(VLOOKUP($A153,NumberofDaysTable,2)))</f>
        <v> </v>
      </c>
      <c r="BR153" s="0" t="str">
        <f aca="false">IF($A153="N/A"," ",(VLOOKUP($A153,NumberofDaysTable,3)))</f>
        <v> </v>
      </c>
      <c r="BS153" s="0" t="str">
        <f aca="false">IF($A153="N/A"," ",(VLOOKUP($A153,NumberofDaysTable,4)))</f>
        <v> </v>
      </c>
    </row>
    <row r="154" customFormat="false" ht="12.75" hidden="false" customHeight="false" outlineLevel="0" collapsed="false">
      <c r="A154" s="315" t="str">
        <f aca="false">IF(A153="N/A","N/A",IF(EDATE(A153,1)&gt;Inputs!$Q$5,"N/A",EDATE(A153,1)))</f>
        <v>N/A</v>
      </c>
      <c r="B154" s="316" t="str">
        <f aca="false">IF(A154="N/A"," ",YEAR(A154))</f>
        <v> </v>
      </c>
      <c r="C154" s="317" t="str">
        <f aca="false">IF($A154="N/A"," ",IF(Dayrun3=10,0,IF(Scaler3=1,(VLOOKUP(A154,ScaledPrice3,4)),(VLOOKUP(A154,ScaledPrice3,2)))))</f>
        <v> </v>
      </c>
      <c r="D154" s="317" t="str">
        <f aca="false">IF(A154="N/A"," ",IF(Dayrun3&gt;=7,0,IF(Scaler3=2,VLOOKUP(A154,ScaledPrice3,2),(VLOOKUP(A154,ScaledPrice3,2))*(2-(VLOOKUP(A154,ScaledPrice3,3))))))</f>
        <v> </v>
      </c>
      <c r="E154" s="317" t="str">
        <f aca="false">IF($A154="N/A"," ",IF(AND(Dayrun3&gt;=4,Dayrun3&lt;=9),0,VLOOKUP($A154,ScaledPrice3,9)))</f>
        <v> </v>
      </c>
      <c r="F154" s="317" t="str">
        <f aca="false">IF(A154="N/A"," ",IF(OR(Dayrun3=2,Dayrun3=3,Dayrun3=5,Dayrun3=6,Dayrun3=8,Dayrun3=9),VLOOKUP(A154,ScaledPrice3,IF(Scaler3=1,6,5)),0))</f>
        <v> </v>
      </c>
      <c r="G154" s="317" t="str">
        <f aca="false">IF(A154="N/A"," ",IF(OR(Dayrun3=2,Dayrun3=3,Dayrun3=5,Dayrun3=6),IF(Scaler3=2,F154,(VLOOKUP(A154,ScaledPrice3,5))*(2-(VLOOKUP(A154,ScaledPrice3,3)))),0))</f>
        <v> </v>
      </c>
      <c r="H154" s="317" t="str">
        <f aca="false">IF($A154="N/A"," ",IF(OR(Dayrun3=2,Dayrun3=3,Dayrun3=10),VLOOKUP($A154,ScaledPrice3,9),0))</f>
        <v> </v>
      </c>
      <c r="I154" s="317" t="str">
        <f aca="false">IF(A154="N/A"," ",IF(OR(Dayrun3=3,Dayrun3=6,Dayrun3=9),(VLOOKUP(A154,ScaledPrice3,IF(Scaler3=2,7,8))),0))</f>
        <v> </v>
      </c>
      <c r="J154" s="317" t="str">
        <f aca="false">IF(A154="N/A"," ",IF(OR(Dayrun3=3,Dayrun3=6),IF(Scaler3=2,I154,(VLOOKUP(A154,ScaledPrice3,7))*(2-(VLOOKUP(A154,ScaledPrice3,3)))),0))</f>
        <v> </v>
      </c>
      <c r="K154" s="317" t="str">
        <f aca="false">IF($A154="N/A"," ",IF(OR(Dayrun3=3,Dayrun3=10),VLOOKUP($A154,ScaledPrice3,9),0))</f>
        <v> </v>
      </c>
      <c r="L154" s="318" t="str">
        <f aca="false">IF($A154="N/A"," ",IF(Pricetype3=2,MAX(C154,0),IF(OR(Pricetype3=1,Pricetype3=4),IF(C154=0,0,(EURO(C154,Strikeprice3,0,0,($AH154+IF(Smile=TRUE(),VLOOKUP(MAX(-5,Strikeprice3-C154),Volsmile,2),0)),($A154-DateToday)+15,IF(Pricetype3=1,1,0),0))),C154)))</f>
        <v> </v>
      </c>
      <c r="M154" s="318" t="str">
        <f aca="false">IF($A154="N/A"," ",IF(Pricetype3=2,MAX(D154,0),IF(OR(Pricetype3=1,Pricetype3=4),IF(D154=0,0,(EURO(D154,Strikeprice3,0,0,($AH154+IF(Smile=TRUE(),VLOOKUP(MAX(-5,Strikeprice3-D154),Volsmile,2),0)),($A154-DateToday)+15,IF(Pricetype3=1,1,0),0))),D154)))</f>
        <v> </v>
      </c>
      <c r="N154" s="318" t="str">
        <f aca="false">IF($A154="N/A"," ",IF(Pricetype3=2,MAX(E154,0),IF(OR(Pricetype3=1,Pricetype3=4),IF(E154=0,0,(EURO(E154,Strikeprice3,0,0,($AK154+IF(Smile=TRUE(),VLOOKUP(MAX(-5,Strikeprice3-E154),Volsmile,2),0)),($A154-DateToday)+15,IF(Pricetype3=1,1,0),0))),E154)))</f>
        <v> </v>
      </c>
      <c r="O154" s="318" t="str">
        <f aca="false">IF($A154="N/A"," ",IF(Pricetype3=2,MAX(F154,0),IF(OR(Pricetype3=1,Pricetype3=4),IF(F154=0,0,(EURO(F154,Strikeprice3,0,0,($AK154+IF(Smile=TRUE(),VLOOKUP(MAX(-5,Strikeprice3-F154),Volsmile,2),0)),($A154-DateToday)+15,IF(Pricetype3=1,1,0),0))),F154)))</f>
        <v> </v>
      </c>
      <c r="P154" s="318" t="str">
        <f aca="false">IF($A154="N/A"," ",IF(Pricetype3=2,MAX(G154,0),IF(OR(Pricetype3=1,Pricetype3=4),IF(G154=0,0,(EURO(G154,Strikeprice3,0,0,($AK154+IF(Smile=TRUE(),VLOOKUP(MAX(-5,Strikeprice3-G154),Volsmile,2),0)),($A154-DateToday)+15,IF(Pricetype3=1,1,0),0))),G154)))</f>
        <v> </v>
      </c>
      <c r="Q154" s="318" t="str">
        <f aca="false">IF($A154="N/A"," ",IF(Pricetype3=2,MAX(H154,0),IF(OR(Pricetype3=1,Pricetype3=4),IF(H154=0,0,(EURO(H154,Strikeprice3,0,0,($AK154+IF(Smile=TRUE(),VLOOKUP(MAX(-5,Strikeprice3-H154),Volsmile,2),0)),($A154-DateToday)+15,IF(Pricetype3=1,1,0),0))),H154)))</f>
        <v> </v>
      </c>
      <c r="R154" s="318" t="str">
        <f aca="false">IF($A154="N/A"," ",IF(Pricetype3=2,MAX(I154,0),IF(OR(Pricetype3=1,Pricetype3=4),IF(I154=0,0,(EURO(I154,Strikeprice3,0,0,($AK154+IF(Smile=TRUE(),VLOOKUP(MAX(-5,Strikeprice3-I154),Volsmile,2),0)),($A154-DateToday)+15,IF(Pricetype3=1,1,0),0))),I154)))</f>
        <v> </v>
      </c>
      <c r="S154" s="318" t="str">
        <f aca="false">IF($A154="N/A"," ",IF(Pricetype3=2,MAX(J154,0),IF(OR(Pricetype3=1,Pricetype3=4),IF(J154=0,0,(EURO(J154,Strikeprice3,0,0,($AK154+IF(Smile=TRUE(),VLOOKUP(MAX(-5,Strikeprice3-J154),Volsmile,2),0)),($A154-DateToday)+15,IF(Pricetype3=1,1,0),0))),J154)))</f>
        <v> </v>
      </c>
      <c r="T154" s="318" t="str">
        <f aca="false">IF($A154="N/A"," ",IF(Pricetype3=2,MAX(K154,0),IF(OR(Pricetype3=1,Pricetype3=4),IF(K154=0,0,(EURO(K154,Strikeprice3,0,0,($AK154+IF(Smile=TRUE(),VLOOKUP(MAX(-5,Strikeprice3-K154),Volsmile,2),0)),($A154-DateToday)+15,IF(Pricetype3=1,1,0),0))),K154)))</f>
        <v> </v>
      </c>
      <c r="U154" s="319" t="str">
        <f aca="false">IF($A154="N/A"," ",Volume3*$AM154)</f>
        <v> </v>
      </c>
      <c r="V154" s="320" t="str">
        <f aca="false">IF($A154="N/A"," ",$U154*(8*($BQ154))*L154)</f>
        <v> </v>
      </c>
      <c r="W154" s="320" t="str">
        <f aca="false">IF($A154="N/A"," ",$U154*(8*($BQ154))*M154)</f>
        <v> </v>
      </c>
      <c r="X154" s="320" t="str">
        <f aca="false">IF($A154="N/A"," ",$U154*(8*($BQ154))*N154)</f>
        <v> </v>
      </c>
      <c r="Y154" s="320" t="str">
        <f aca="false">IF($A154="N/A"," ",$U154*(8*($BR154))*O154)</f>
        <v> </v>
      </c>
      <c r="Z154" s="320" t="str">
        <f aca="false">IF($A154="N/A"," ",$U154*(8*($BR154))*P154)</f>
        <v> </v>
      </c>
      <c r="AA154" s="320" t="str">
        <f aca="false">IF($A154="N/A"," ",$U154*(8*($BR154))*Q154)</f>
        <v> </v>
      </c>
      <c r="AB154" s="320" t="str">
        <f aca="false">IF($A154="N/A"," ",$U154*(8*($BS154))*R154)</f>
        <v> </v>
      </c>
      <c r="AC154" s="320" t="str">
        <f aca="false">IF($A154="N/A"," ",$U154*(8*($BS154))*S154)</f>
        <v> </v>
      </c>
      <c r="AD154" s="320" t="str">
        <f aca="false">IF($A154="N/A"," ",$U154*(8*($BS154))*T154)</f>
        <v> </v>
      </c>
      <c r="AE154" s="320" t="str">
        <f aca="false">IF($A154="N/A"," ",SUM(V154:AD154))</f>
        <v> </v>
      </c>
      <c r="AF154" s="321" t="str">
        <f aca="false">IF(A154="N/A"," ",(VLOOKUP(A154,PowerVolTable,(IF(VolBMO3=2,7,IF(VolBMO3=1,6,8))),FALSE())))</f>
        <v> </v>
      </c>
      <c r="AG154" s="321" t="str">
        <f aca="false">IF(A154="N/A"," ",(VLOOKUP(A154,IntraPowerVol,(IF(VolBMO3=2,3,IF(VolBMO3=1,2,4))),FALSE())*VLOOKUP(MONTH($A154),Volscale,2)))</f>
        <v> </v>
      </c>
      <c r="AH154" s="321" t="str">
        <f aca="false">IF($A154="N/A"," ",IF(VolType3=1,AG154,AF154))</f>
        <v> </v>
      </c>
      <c r="AI154" s="321" t="str">
        <f aca="false">IF($A154="N/A"," ",(VLOOKUP($A154,OffPwrVolTable,(IF(VolBMO3=2,7,IF(VolBMO3=1,6,8))),FALSE())))</f>
        <v> </v>
      </c>
      <c r="AJ154" s="321" t="str">
        <f aca="false">IF($A154="N/A"," ",(VLOOKUP($A154,OffPwrVolTable,(IF(VolBMO3=2,3,IF(VolBMO3=1,2,4))),FALSE())*VLOOKUP(MONTH($A154),Volscale,2)))</f>
        <v> </v>
      </c>
      <c r="AK154" s="321" t="str">
        <f aca="false">IF($A154="N/A"," ",IF(VolType3=1,AJ154,AI154))</f>
        <v> </v>
      </c>
      <c r="AL154" s="321" t="str">
        <f aca="false">IF($A154="N/A"," ",IF(PV=1,0,'Pricing Inputs3'!R187))</f>
        <v> </v>
      </c>
      <c r="AM154" s="323" t="str">
        <f aca="false">IF($A154="N/A"," ",(1+AL154/2)^(-2*((EOMONTH(A154,0)+20)-DateToday)/365.25))</f>
        <v> </v>
      </c>
      <c r="BQ154" s="0" t="str">
        <f aca="false">IF($A154="N/A"," ",(VLOOKUP($A154,NumberofDaysTable,2)))</f>
        <v> </v>
      </c>
      <c r="BR154" s="0" t="str">
        <f aca="false">IF($A154="N/A"," ",(VLOOKUP($A154,NumberofDaysTable,3)))</f>
        <v> </v>
      </c>
      <c r="BS154" s="0" t="str">
        <f aca="false">IF($A154="N/A"," ",(VLOOKUP($A154,NumberofDaysTable,4)))</f>
        <v> </v>
      </c>
    </row>
    <row r="155" customFormat="false" ht="12.75" hidden="false" customHeight="false" outlineLevel="0" collapsed="false">
      <c r="A155" s="315" t="str">
        <f aca="false">IF(A154="N/A","N/A",IF(EDATE(A154,1)&gt;Inputs!$Q$5,"N/A",EDATE(A154,1)))</f>
        <v>N/A</v>
      </c>
      <c r="B155" s="316" t="str">
        <f aca="false">IF(A155="N/A"," ",YEAR(A155))</f>
        <v> </v>
      </c>
      <c r="C155" s="317" t="str">
        <f aca="false">IF($A155="N/A"," ",IF(Dayrun3=10,0,IF(Scaler3=1,(VLOOKUP(A155,ScaledPrice3,4)),(VLOOKUP(A155,ScaledPrice3,2)))))</f>
        <v> </v>
      </c>
      <c r="D155" s="317" t="str">
        <f aca="false">IF(A155="N/A"," ",IF(Dayrun3&gt;=7,0,IF(Scaler3=2,VLOOKUP(A155,ScaledPrice3,2),(VLOOKUP(A155,ScaledPrice3,2))*(2-(VLOOKUP(A155,ScaledPrice3,3))))))</f>
        <v> </v>
      </c>
      <c r="E155" s="317" t="str">
        <f aca="false">IF($A155="N/A"," ",IF(AND(Dayrun3&gt;=4,Dayrun3&lt;=9),0,VLOOKUP($A155,ScaledPrice3,9)))</f>
        <v> </v>
      </c>
      <c r="F155" s="317" t="str">
        <f aca="false">IF(A155="N/A"," ",IF(OR(Dayrun3=2,Dayrun3=3,Dayrun3=5,Dayrun3=6,Dayrun3=8,Dayrun3=9),VLOOKUP(A155,ScaledPrice3,IF(Scaler3=1,6,5)),0))</f>
        <v> </v>
      </c>
      <c r="G155" s="317" t="str">
        <f aca="false">IF(A155="N/A"," ",IF(OR(Dayrun3=2,Dayrun3=3,Dayrun3=5,Dayrun3=6),IF(Scaler3=2,F155,(VLOOKUP(A155,ScaledPrice3,5))*(2-(VLOOKUP(A155,ScaledPrice3,3)))),0))</f>
        <v> </v>
      </c>
      <c r="H155" s="317" t="str">
        <f aca="false">IF($A155="N/A"," ",IF(OR(Dayrun3=2,Dayrun3=3,Dayrun3=10),VLOOKUP($A155,ScaledPrice3,9),0))</f>
        <v> </v>
      </c>
      <c r="I155" s="317" t="str">
        <f aca="false">IF(A155="N/A"," ",IF(OR(Dayrun3=3,Dayrun3=6,Dayrun3=9),(VLOOKUP(A155,ScaledPrice3,IF(Scaler3=2,7,8))),0))</f>
        <v> </v>
      </c>
      <c r="J155" s="317" t="str">
        <f aca="false">IF(A155="N/A"," ",IF(OR(Dayrun3=3,Dayrun3=6),IF(Scaler3=2,I155,(VLOOKUP(A155,ScaledPrice3,7))*(2-(VLOOKUP(A155,ScaledPrice3,3)))),0))</f>
        <v> </v>
      </c>
      <c r="K155" s="317" t="str">
        <f aca="false">IF($A155="N/A"," ",IF(OR(Dayrun3=3,Dayrun3=10),VLOOKUP($A155,ScaledPrice3,9),0))</f>
        <v> </v>
      </c>
      <c r="L155" s="318" t="str">
        <f aca="false">IF($A155="N/A"," ",IF(Pricetype3=2,MAX(C155,0),IF(OR(Pricetype3=1,Pricetype3=4),IF(C155=0,0,(EURO(C155,Strikeprice3,0,0,($AH155+IF(Smile=TRUE(),VLOOKUP(MAX(-5,Strikeprice3-C155),Volsmile,2),0)),($A155-DateToday)+15,IF(Pricetype3=1,1,0),0))),C155)))</f>
        <v> </v>
      </c>
      <c r="M155" s="318" t="str">
        <f aca="false">IF($A155="N/A"," ",IF(Pricetype3=2,MAX(D155,0),IF(OR(Pricetype3=1,Pricetype3=4),IF(D155=0,0,(EURO(D155,Strikeprice3,0,0,($AH155+IF(Smile=TRUE(),VLOOKUP(MAX(-5,Strikeprice3-D155),Volsmile,2),0)),($A155-DateToday)+15,IF(Pricetype3=1,1,0),0))),D155)))</f>
        <v> </v>
      </c>
      <c r="N155" s="318" t="str">
        <f aca="false">IF($A155="N/A"," ",IF(Pricetype3=2,MAX(E155,0),IF(OR(Pricetype3=1,Pricetype3=4),IF(E155=0,0,(EURO(E155,Strikeprice3,0,0,($AK155+IF(Smile=TRUE(),VLOOKUP(MAX(-5,Strikeprice3-E155),Volsmile,2),0)),($A155-DateToday)+15,IF(Pricetype3=1,1,0),0))),E155)))</f>
        <v> </v>
      </c>
      <c r="O155" s="318" t="str">
        <f aca="false">IF($A155="N/A"," ",IF(Pricetype3=2,MAX(F155,0),IF(OR(Pricetype3=1,Pricetype3=4),IF(F155=0,0,(EURO(F155,Strikeprice3,0,0,($AK155+IF(Smile=TRUE(),VLOOKUP(MAX(-5,Strikeprice3-F155),Volsmile,2),0)),($A155-DateToday)+15,IF(Pricetype3=1,1,0),0))),F155)))</f>
        <v> </v>
      </c>
      <c r="P155" s="318" t="str">
        <f aca="false">IF($A155="N/A"," ",IF(Pricetype3=2,MAX(G155,0),IF(OR(Pricetype3=1,Pricetype3=4),IF(G155=0,0,(EURO(G155,Strikeprice3,0,0,($AK155+IF(Smile=TRUE(),VLOOKUP(MAX(-5,Strikeprice3-G155),Volsmile,2),0)),($A155-DateToday)+15,IF(Pricetype3=1,1,0),0))),G155)))</f>
        <v> </v>
      </c>
      <c r="Q155" s="318" t="str">
        <f aca="false">IF($A155="N/A"," ",IF(Pricetype3=2,MAX(H155,0),IF(OR(Pricetype3=1,Pricetype3=4),IF(H155=0,0,(EURO(H155,Strikeprice3,0,0,($AK155+IF(Smile=TRUE(),VLOOKUP(MAX(-5,Strikeprice3-H155),Volsmile,2),0)),($A155-DateToday)+15,IF(Pricetype3=1,1,0),0))),H155)))</f>
        <v> </v>
      </c>
      <c r="R155" s="318" t="str">
        <f aca="false">IF($A155="N/A"," ",IF(Pricetype3=2,MAX(I155,0),IF(OR(Pricetype3=1,Pricetype3=4),IF(I155=0,0,(EURO(I155,Strikeprice3,0,0,($AK155+IF(Smile=TRUE(),VLOOKUP(MAX(-5,Strikeprice3-I155),Volsmile,2),0)),($A155-DateToday)+15,IF(Pricetype3=1,1,0),0))),I155)))</f>
        <v> </v>
      </c>
      <c r="S155" s="318" t="str">
        <f aca="false">IF($A155="N/A"," ",IF(Pricetype3=2,MAX(J155,0),IF(OR(Pricetype3=1,Pricetype3=4),IF(J155=0,0,(EURO(J155,Strikeprice3,0,0,($AK155+IF(Smile=TRUE(),VLOOKUP(MAX(-5,Strikeprice3-J155),Volsmile,2),0)),($A155-DateToday)+15,IF(Pricetype3=1,1,0),0))),J155)))</f>
        <v> </v>
      </c>
      <c r="T155" s="318" t="str">
        <f aca="false">IF($A155="N/A"," ",IF(Pricetype3=2,MAX(K155,0),IF(OR(Pricetype3=1,Pricetype3=4),IF(K155=0,0,(EURO(K155,Strikeprice3,0,0,($AK155+IF(Smile=TRUE(),VLOOKUP(MAX(-5,Strikeprice3-K155),Volsmile,2),0)),($A155-DateToday)+15,IF(Pricetype3=1,1,0),0))),K155)))</f>
        <v> </v>
      </c>
      <c r="U155" s="319" t="str">
        <f aca="false">IF($A155="N/A"," ",Volume3*$AM155)</f>
        <v> </v>
      </c>
      <c r="V155" s="320" t="str">
        <f aca="false">IF($A155="N/A"," ",$U155*(8*($BQ155))*L155)</f>
        <v> </v>
      </c>
      <c r="W155" s="320" t="str">
        <f aca="false">IF($A155="N/A"," ",$U155*(8*($BQ155))*M155)</f>
        <v> </v>
      </c>
      <c r="X155" s="320" t="str">
        <f aca="false">IF($A155="N/A"," ",$U155*(8*($BQ155))*N155)</f>
        <v> </v>
      </c>
      <c r="Y155" s="320" t="str">
        <f aca="false">IF($A155="N/A"," ",$U155*(8*($BR155))*O155)</f>
        <v> </v>
      </c>
      <c r="Z155" s="320" t="str">
        <f aca="false">IF($A155="N/A"," ",$U155*(8*($BR155))*P155)</f>
        <v> </v>
      </c>
      <c r="AA155" s="320" t="str">
        <f aca="false">IF($A155="N/A"," ",$U155*(8*($BR155))*Q155)</f>
        <v> </v>
      </c>
      <c r="AB155" s="320" t="str">
        <f aca="false">IF($A155="N/A"," ",$U155*(8*($BS155))*R155)</f>
        <v> </v>
      </c>
      <c r="AC155" s="320" t="str">
        <f aca="false">IF($A155="N/A"," ",$U155*(8*($BS155))*S155)</f>
        <v> </v>
      </c>
      <c r="AD155" s="320" t="str">
        <f aca="false">IF($A155="N/A"," ",$U155*(8*($BS155))*T155)</f>
        <v> </v>
      </c>
      <c r="AE155" s="320" t="str">
        <f aca="false">IF($A155="N/A"," ",SUM(V155:AD155))</f>
        <v> </v>
      </c>
      <c r="AF155" s="321" t="str">
        <f aca="false">IF(A155="N/A"," ",(VLOOKUP(A155,PowerVolTable,(IF(VolBMO3=2,7,IF(VolBMO3=1,6,8))),FALSE())))</f>
        <v> </v>
      </c>
      <c r="AG155" s="321" t="str">
        <f aca="false">IF(A155="N/A"," ",(VLOOKUP(A155,IntraPowerVol,(IF(VolBMO3=2,3,IF(VolBMO3=1,2,4))),FALSE())*VLOOKUP(MONTH($A155),Volscale,2)))</f>
        <v> </v>
      </c>
      <c r="AH155" s="321" t="str">
        <f aca="false">IF($A155="N/A"," ",IF(VolType3=1,AG155,AF155))</f>
        <v> </v>
      </c>
      <c r="AI155" s="321" t="str">
        <f aca="false">IF($A155="N/A"," ",(VLOOKUP($A155,OffPwrVolTable,(IF(VolBMO3=2,7,IF(VolBMO3=1,6,8))),FALSE())))</f>
        <v> </v>
      </c>
      <c r="AJ155" s="321" t="str">
        <f aca="false">IF($A155="N/A"," ",(VLOOKUP($A155,OffPwrVolTable,(IF(VolBMO3=2,3,IF(VolBMO3=1,2,4))),FALSE())*VLOOKUP(MONTH($A155),Volscale,2)))</f>
        <v> </v>
      </c>
      <c r="AK155" s="321" t="str">
        <f aca="false">IF($A155="N/A"," ",IF(VolType3=1,AJ155,AI155))</f>
        <v> </v>
      </c>
      <c r="AL155" s="321" t="str">
        <f aca="false">IF($A155="N/A"," ",IF(PV=1,0,'Pricing Inputs3'!R188))</f>
        <v> </v>
      </c>
      <c r="AM155" s="323" t="str">
        <f aca="false">IF($A155="N/A"," ",(1+AL155/2)^(-2*((EOMONTH(A155,0)+20)-DateToday)/365.25))</f>
        <v> </v>
      </c>
      <c r="BQ155" s="0" t="str">
        <f aca="false">IF($A155="N/A"," ",(VLOOKUP($A155,NumberofDaysTable,2)))</f>
        <v> </v>
      </c>
      <c r="BR155" s="0" t="str">
        <f aca="false">IF($A155="N/A"," ",(VLOOKUP($A155,NumberofDaysTable,3)))</f>
        <v> </v>
      </c>
      <c r="BS155" s="0" t="str">
        <f aca="false">IF($A155="N/A"," ",(VLOOKUP($A155,NumberofDaysTable,4)))</f>
        <v> </v>
      </c>
    </row>
    <row r="156" customFormat="false" ht="12.75" hidden="false" customHeight="false" outlineLevel="0" collapsed="false">
      <c r="A156" s="315" t="str">
        <f aca="false">IF(A155="N/A","N/A",IF(EDATE(A155,1)&gt;Inputs!$Q$5,"N/A",EDATE(A155,1)))</f>
        <v>N/A</v>
      </c>
      <c r="B156" s="316" t="str">
        <f aca="false">IF(A156="N/A"," ",YEAR(A156))</f>
        <v> </v>
      </c>
      <c r="C156" s="317" t="str">
        <f aca="false">IF($A156="N/A"," ",IF(Dayrun3=10,0,IF(Scaler3=1,(VLOOKUP(A156,ScaledPrice3,4)),(VLOOKUP(A156,ScaledPrice3,2)))))</f>
        <v> </v>
      </c>
      <c r="D156" s="317" t="str">
        <f aca="false">IF(A156="N/A"," ",IF(Dayrun3&gt;=7,0,IF(Scaler3=2,VLOOKUP(A156,ScaledPrice3,2),(VLOOKUP(A156,ScaledPrice3,2))*(2-(VLOOKUP(A156,ScaledPrice3,3))))))</f>
        <v> </v>
      </c>
      <c r="E156" s="317" t="str">
        <f aca="false">IF($A156="N/A"," ",IF(AND(Dayrun3&gt;=4,Dayrun3&lt;=9),0,VLOOKUP($A156,ScaledPrice3,9)))</f>
        <v> </v>
      </c>
      <c r="F156" s="317" t="str">
        <f aca="false">IF(A156="N/A"," ",IF(OR(Dayrun3=2,Dayrun3=3,Dayrun3=5,Dayrun3=6,Dayrun3=8,Dayrun3=9),VLOOKUP(A156,ScaledPrice3,IF(Scaler3=1,6,5)),0))</f>
        <v> </v>
      </c>
      <c r="G156" s="317" t="str">
        <f aca="false">IF(A156="N/A"," ",IF(OR(Dayrun3=2,Dayrun3=3,Dayrun3=5,Dayrun3=6),IF(Scaler3=2,F156,(VLOOKUP(A156,ScaledPrice3,5))*(2-(VLOOKUP(A156,ScaledPrice3,3)))),0))</f>
        <v> </v>
      </c>
      <c r="H156" s="317" t="str">
        <f aca="false">IF($A156="N/A"," ",IF(OR(Dayrun3=2,Dayrun3=3,Dayrun3=10),VLOOKUP($A156,ScaledPrice3,9),0))</f>
        <v> </v>
      </c>
      <c r="I156" s="317" t="str">
        <f aca="false">IF(A156="N/A"," ",IF(OR(Dayrun3=3,Dayrun3=6,Dayrun3=9),(VLOOKUP(A156,ScaledPrice3,IF(Scaler3=2,7,8))),0))</f>
        <v> </v>
      </c>
      <c r="J156" s="317" t="str">
        <f aca="false">IF(A156="N/A"," ",IF(OR(Dayrun3=3,Dayrun3=6),IF(Scaler3=2,I156,(VLOOKUP(A156,ScaledPrice3,7))*(2-(VLOOKUP(A156,ScaledPrice3,3)))),0))</f>
        <v> </v>
      </c>
      <c r="K156" s="317" t="str">
        <f aca="false">IF($A156="N/A"," ",IF(OR(Dayrun3=3,Dayrun3=10),VLOOKUP($A156,ScaledPrice3,9),0))</f>
        <v> </v>
      </c>
      <c r="L156" s="318" t="str">
        <f aca="false">IF($A156="N/A"," ",IF(Pricetype3=2,MAX(C156,0),IF(OR(Pricetype3=1,Pricetype3=4),IF(C156=0,0,(EURO(C156,Strikeprice3,0,0,($AH156+IF(Smile=TRUE(),VLOOKUP(MAX(-5,Strikeprice3-C156),Volsmile,2),0)),($A156-DateToday)+15,IF(Pricetype3=1,1,0),0))),C156)))</f>
        <v> </v>
      </c>
      <c r="M156" s="318" t="str">
        <f aca="false">IF($A156="N/A"," ",IF(Pricetype3=2,MAX(D156,0),IF(OR(Pricetype3=1,Pricetype3=4),IF(D156=0,0,(EURO(D156,Strikeprice3,0,0,($AH156+IF(Smile=TRUE(),VLOOKUP(MAX(-5,Strikeprice3-D156),Volsmile,2),0)),($A156-DateToday)+15,IF(Pricetype3=1,1,0),0))),D156)))</f>
        <v> </v>
      </c>
      <c r="N156" s="318" t="str">
        <f aca="false">IF($A156="N/A"," ",IF(Pricetype3=2,MAX(E156,0),IF(OR(Pricetype3=1,Pricetype3=4),IF(E156=0,0,(EURO(E156,Strikeprice3,0,0,($AK156+IF(Smile=TRUE(),VLOOKUP(MAX(-5,Strikeprice3-E156),Volsmile,2),0)),($A156-DateToday)+15,IF(Pricetype3=1,1,0),0))),E156)))</f>
        <v> </v>
      </c>
      <c r="O156" s="318" t="str">
        <f aca="false">IF($A156="N/A"," ",IF(Pricetype3=2,MAX(F156,0),IF(OR(Pricetype3=1,Pricetype3=4),IF(F156=0,0,(EURO(F156,Strikeprice3,0,0,($AK156+IF(Smile=TRUE(),VLOOKUP(MAX(-5,Strikeprice3-F156),Volsmile,2),0)),($A156-DateToday)+15,IF(Pricetype3=1,1,0),0))),F156)))</f>
        <v> </v>
      </c>
      <c r="P156" s="318" t="str">
        <f aca="false">IF($A156="N/A"," ",IF(Pricetype3=2,MAX(G156,0),IF(OR(Pricetype3=1,Pricetype3=4),IF(G156=0,0,(EURO(G156,Strikeprice3,0,0,($AK156+IF(Smile=TRUE(),VLOOKUP(MAX(-5,Strikeprice3-G156),Volsmile,2),0)),($A156-DateToday)+15,IF(Pricetype3=1,1,0),0))),G156)))</f>
        <v> </v>
      </c>
      <c r="Q156" s="318" t="str">
        <f aca="false">IF($A156="N/A"," ",IF(Pricetype3=2,MAX(H156,0),IF(OR(Pricetype3=1,Pricetype3=4),IF(H156=0,0,(EURO(H156,Strikeprice3,0,0,($AK156+IF(Smile=TRUE(),VLOOKUP(MAX(-5,Strikeprice3-H156),Volsmile,2),0)),($A156-DateToday)+15,IF(Pricetype3=1,1,0),0))),H156)))</f>
        <v> </v>
      </c>
      <c r="R156" s="318" t="str">
        <f aca="false">IF($A156="N/A"," ",IF(Pricetype3=2,MAX(I156,0),IF(OR(Pricetype3=1,Pricetype3=4),IF(I156=0,0,(EURO(I156,Strikeprice3,0,0,($AK156+IF(Smile=TRUE(),VLOOKUP(MAX(-5,Strikeprice3-I156),Volsmile,2),0)),($A156-DateToday)+15,IF(Pricetype3=1,1,0),0))),I156)))</f>
        <v> </v>
      </c>
      <c r="S156" s="318" t="str">
        <f aca="false">IF($A156="N/A"," ",IF(Pricetype3=2,MAX(J156,0),IF(OR(Pricetype3=1,Pricetype3=4),IF(J156=0,0,(EURO(J156,Strikeprice3,0,0,($AK156+IF(Smile=TRUE(),VLOOKUP(MAX(-5,Strikeprice3-J156),Volsmile,2),0)),($A156-DateToday)+15,IF(Pricetype3=1,1,0),0))),J156)))</f>
        <v> </v>
      </c>
      <c r="T156" s="318" t="str">
        <f aca="false">IF($A156="N/A"," ",IF(Pricetype3=2,MAX(K156,0),IF(OR(Pricetype3=1,Pricetype3=4),IF(K156=0,0,(EURO(K156,Strikeprice3,0,0,($AK156+IF(Smile=TRUE(),VLOOKUP(MAX(-5,Strikeprice3-K156),Volsmile,2),0)),($A156-DateToday)+15,IF(Pricetype3=1,1,0),0))),K156)))</f>
        <v> </v>
      </c>
      <c r="U156" s="319" t="str">
        <f aca="false">IF($A156="N/A"," ",Volume3*$AM156)</f>
        <v> </v>
      </c>
      <c r="V156" s="320" t="str">
        <f aca="false">IF($A156="N/A"," ",$U156*(8*($BQ156))*L156)</f>
        <v> </v>
      </c>
      <c r="W156" s="320" t="str">
        <f aca="false">IF($A156="N/A"," ",$U156*(8*($BQ156))*M156)</f>
        <v> </v>
      </c>
      <c r="X156" s="320" t="str">
        <f aca="false">IF($A156="N/A"," ",$U156*(8*($BQ156))*N156)</f>
        <v> </v>
      </c>
      <c r="Y156" s="320" t="str">
        <f aca="false">IF($A156="N/A"," ",$U156*(8*($BR156))*O156)</f>
        <v> </v>
      </c>
      <c r="Z156" s="320" t="str">
        <f aca="false">IF($A156="N/A"," ",$U156*(8*($BR156))*P156)</f>
        <v> </v>
      </c>
      <c r="AA156" s="320" t="str">
        <f aca="false">IF($A156="N/A"," ",$U156*(8*($BR156))*Q156)</f>
        <v> </v>
      </c>
      <c r="AB156" s="320" t="str">
        <f aca="false">IF($A156="N/A"," ",$U156*(8*($BS156))*R156)</f>
        <v> </v>
      </c>
      <c r="AC156" s="320" t="str">
        <f aca="false">IF($A156="N/A"," ",$U156*(8*($BS156))*S156)</f>
        <v> </v>
      </c>
      <c r="AD156" s="320" t="str">
        <f aca="false">IF($A156="N/A"," ",$U156*(8*($BS156))*T156)</f>
        <v> </v>
      </c>
      <c r="AE156" s="320" t="str">
        <f aca="false">IF($A156="N/A"," ",SUM(V156:AD156))</f>
        <v> </v>
      </c>
      <c r="AF156" s="321" t="str">
        <f aca="false">IF(A156="N/A"," ",(VLOOKUP(A156,PowerVolTable,(IF(VolBMO3=2,7,IF(VolBMO3=1,6,8))),FALSE())))</f>
        <v> </v>
      </c>
      <c r="AG156" s="321" t="str">
        <f aca="false">IF(A156="N/A"," ",(VLOOKUP(A156,IntraPowerVol,(IF(VolBMO3=2,3,IF(VolBMO3=1,2,4))),FALSE())*VLOOKUP(MONTH($A156),Volscale,2)))</f>
        <v> </v>
      </c>
      <c r="AH156" s="321" t="str">
        <f aca="false">IF($A156="N/A"," ",IF(VolType3=1,AG156,AF156))</f>
        <v> </v>
      </c>
      <c r="AI156" s="321" t="str">
        <f aca="false">IF($A156="N/A"," ",(VLOOKUP($A156,OffPwrVolTable,(IF(VolBMO3=2,7,IF(VolBMO3=1,6,8))),FALSE())))</f>
        <v> </v>
      </c>
      <c r="AJ156" s="321" t="str">
        <f aca="false">IF($A156="N/A"," ",(VLOOKUP($A156,OffPwrVolTable,(IF(VolBMO3=2,3,IF(VolBMO3=1,2,4))),FALSE())*VLOOKUP(MONTH($A156),Volscale,2)))</f>
        <v> </v>
      </c>
      <c r="AK156" s="321" t="str">
        <f aca="false">IF($A156="N/A"," ",IF(VolType3=1,AJ156,AI156))</f>
        <v> </v>
      </c>
      <c r="AL156" s="321" t="str">
        <f aca="false">IF($A156="N/A"," ",IF(PV=1,0,'Pricing Inputs3'!R189))</f>
        <v> </v>
      </c>
      <c r="AM156" s="323" t="str">
        <f aca="false">IF($A156="N/A"," ",(1+AL156/2)^(-2*((EOMONTH(A156,0)+20)-DateToday)/365.25))</f>
        <v> </v>
      </c>
      <c r="BQ156" s="0" t="str">
        <f aca="false">IF($A156="N/A"," ",(VLOOKUP($A156,NumberofDaysTable,2)))</f>
        <v> </v>
      </c>
      <c r="BR156" s="0" t="str">
        <f aca="false">IF($A156="N/A"," ",(VLOOKUP($A156,NumberofDaysTable,3)))</f>
        <v> </v>
      </c>
      <c r="BS156" s="0" t="str">
        <f aca="false">IF($A156="N/A"," ",(VLOOKUP($A156,NumberofDaysTable,4)))</f>
        <v> </v>
      </c>
    </row>
    <row r="157" customFormat="false" ht="12.75" hidden="false" customHeight="false" outlineLevel="0" collapsed="false">
      <c r="A157" s="315" t="str">
        <f aca="false">IF(A156="N/A","N/A",IF(EDATE(A156,1)&gt;Inputs!$Q$5,"N/A",EDATE(A156,1)))</f>
        <v>N/A</v>
      </c>
      <c r="B157" s="316" t="str">
        <f aca="false">IF(A157="N/A"," ",YEAR(A157))</f>
        <v> </v>
      </c>
      <c r="C157" s="317" t="str">
        <f aca="false">IF($A157="N/A"," ",IF(Dayrun3=10,0,IF(Scaler3=1,(VLOOKUP(A157,ScaledPrice3,4)),(VLOOKUP(A157,ScaledPrice3,2)))))</f>
        <v> </v>
      </c>
      <c r="D157" s="317" t="str">
        <f aca="false">IF(A157="N/A"," ",IF(Dayrun3&gt;=7,0,IF(Scaler3=2,VLOOKUP(A157,ScaledPrice3,2),(VLOOKUP(A157,ScaledPrice3,2))*(2-(VLOOKUP(A157,ScaledPrice3,3))))))</f>
        <v> </v>
      </c>
      <c r="E157" s="317" t="str">
        <f aca="false">IF($A157="N/A"," ",IF(AND(Dayrun3&gt;=4,Dayrun3&lt;=9),0,VLOOKUP($A157,ScaledPrice3,9)))</f>
        <v> </v>
      </c>
      <c r="F157" s="317" t="str">
        <f aca="false">IF(A157="N/A"," ",IF(OR(Dayrun3=2,Dayrun3=3,Dayrun3=5,Dayrun3=6,Dayrun3=8,Dayrun3=9),VLOOKUP(A157,ScaledPrice3,IF(Scaler3=1,6,5)),0))</f>
        <v> </v>
      </c>
      <c r="G157" s="317" t="str">
        <f aca="false">IF(A157="N/A"," ",IF(OR(Dayrun3=2,Dayrun3=3,Dayrun3=5,Dayrun3=6),IF(Scaler3=2,F157,(VLOOKUP(A157,ScaledPrice3,5))*(2-(VLOOKUP(A157,ScaledPrice3,3)))),0))</f>
        <v> </v>
      </c>
      <c r="H157" s="317" t="str">
        <f aca="false">IF($A157="N/A"," ",IF(OR(Dayrun3=2,Dayrun3=3,Dayrun3=10),VLOOKUP($A157,ScaledPrice3,9),0))</f>
        <v> </v>
      </c>
      <c r="I157" s="317" t="str">
        <f aca="false">IF(A157="N/A"," ",IF(OR(Dayrun3=3,Dayrun3=6,Dayrun3=9),(VLOOKUP(A157,ScaledPrice3,IF(Scaler3=2,7,8))),0))</f>
        <v> </v>
      </c>
      <c r="J157" s="317" t="str">
        <f aca="false">IF(A157="N/A"," ",IF(OR(Dayrun3=3,Dayrun3=6),IF(Scaler3=2,I157,(VLOOKUP(A157,ScaledPrice3,7))*(2-(VLOOKUP(A157,ScaledPrice3,3)))),0))</f>
        <v> </v>
      </c>
      <c r="K157" s="317" t="str">
        <f aca="false">IF($A157="N/A"," ",IF(OR(Dayrun3=3,Dayrun3=10),VLOOKUP($A157,ScaledPrice3,9),0))</f>
        <v> </v>
      </c>
      <c r="L157" s="318" t="str">
        <f aca="false">IF($A157="N/A"," ",IF(Pricetype3=2,MAX(C157,0),IF(OR(Pricetype3=1,Pricetype3=4),IF(C157=0,0,(EURO(C157,Strikeprice3,0,0,($AH157+IF(Smile=TRUE(),VLOOKUP(MAX(-5,Strikeprice3-C157),Volsmile,2),0)),($A157-DateToday)+15,IF(Pricetype3=1,1,0),0))),C157)))</f>
        <v> </v>
      </c>
      <c r="M157" s="318" t="str">
        <f aca="false">IF($A157="N/A"," ",IF(Pricetype3=2,MAX(D157,0),IF(OR(Pricetype3=1,Pricetype3=4),IF(D157=0,0,(EURO(D157,Strikeprice3,0,0,($AH157+IF(Smile=TRUE(),VLOOKUP(MAX(-5,Strikeprice3-D157),Volsmile,2),0)),($A157-DateToday)+15,IF(Pricetype3=1,1,0),0))),D157)))</f>
        <v> </v>
      </c>
      <c r="N157" s="318" t="str">
        <f aca="false">IF($A157="N/A"," ",IF(Pricetype3=2,MAX(E157,0),IF(OR(Pricetype3=1,Pricetype3=4),IF(E157=0,0,(EURO(E157,Strikeprice3,0,0,($AK157+IF(Smile=TRUE(),VLOOKUP(MAX(-5,Strikeprice3-E157),Volsmile,2),0)),($A157-DateToday)+15,IF(Pricetype3=1,1,0),0))),E157)))</f>
        <v> </v>
      </c>
      <c r="O157" s="318" t="str">
        <f aca="false">IF($A157="N/A"," ",IF(Pricetype3=2,MAX(F157,0),IF(OR(Pricetype3=1,Pricetype3=4),IF(F157=0,0,(EURO(F157,Strikeprice3,0,0,($AK157+IF(Smile=TRUE(),VLOOKUP(MAX(-5,Strikeprice3-F157),Volsmile,2),0)),($A157-DateToday)+15,IF(Pricetype3=1,1,0),0))),F157)))</f>
        <v> </v>
      </c>
      <c r="P157" s="318" t="str">
        <f aca="false">IF($A157="N/A"," ",IF(Pricetype3=2,MAX(G157,0),IF(OR(Pricetype3=1,Pricetype3=4),IF(G157=0,0,(EURO(G157,Strikeprice3,0,0,($AK157+IF(Smile=TRUE(),VLOOKUP(MAX(-5,Strikeprice3-G157),Volsmile,2),0)),($A157-DateToday)+15,IF(Pricetype3=1,1,0),0))),G157)))</f>
        <v> </v>
      </c>
      <c r="Q157" s="318" t="str">
        <f aca="false">IF($A157="N/A"," ",IF(Pricetype3=2,MAX(H157,0),IF(OR(Pricetype3=1,Pricetype3=4),IF(H157=0,0,(EURO(H157,Strikeprice3,0,0,($AK157+IF(Smile=TRUE(),VLOOKUP(MAX(-5,Strikeprice3-H157),Volsmile,2),0)),($A157-DateToday)+15,IF(Pricetype3=1,1,0),0))),H157)))</f>
        <v> </v>
      </c>
      <c r="R157" s="318" t="str">
        <f aca="false">IF($A157="N/A"," ",IF(Pricetype3=2,MAX(I157,0),IF(OR(Pricetype3=1,Pricetype3=4),IF(I157=0,0,(EURO(I157,Strikeprice3,0,0,($AK157+IF(Smile=TRUE(),VLOOKUP(MAX(-5,Strikeprice3-I157),Volsmile,2),0)),($A157-DateToday)+15,IF(Pricetype3=1,1,0),0))),I157)))</f>
        <v> </v>
      </c>
      <c r="S157" s="318" t="str">
        <f aca="false">IF($A157="N/A"," ",IF(Pricetype3=2,MAX(J157,0),IF(OR(Pricetype3=1,Pricetype3=4),IF(J157=0,0,(EURO(J157,Strikeprice3,0,0,($AK157+IF(Smile=TRUE(),VLOOKUP(MAX(-5,Strikeprice3-J157),Volsmile,2),0)),($A157-DateToday)+15,IF(Pricetype3=1,1,0),0))),J157)))</f>
        <v> </v>
      </c>
      <c r="T157" s="318" t="str">
        <f aca="false">IF($A157="N/A"," ",IF(Pricetype3=2,MAX(K157,0),IF(OR(Pricetype3=1,Pricetype3=4),IF(K157=0,0,(EURO(K157,Strikeprice3,0,0,($AK157+IF(Smile=TRUE(),VLOOKUP(MAX(-5,Strikeprice3-K157),Volsmile,2),0)),($A157-DateToday)+15,IF(Pricetype3=1,1,0),0))),K157)))</f>
        <v> </v>
      </c>
      <c r="U157" s="319" t="str">
        <f aca="false">IF($A157="N/A"," ",Volume3*$AM157)</f>
        <v> </v>
      </c>
      <c r="V157" s="320" t="str">
        <f aca="false">IF($A157="N/A"," ",$U157*(8*($BQ157))*L157)</f>
        <v> </v>
      </c>
      <c r="W157" s="320" t="str">
        <f aca="false">IF($A157="N/A"," ",$U157*(8*($BQ157))*M157)</f>
        <v> </v>
      </c>
      <c r="X157" s="320" t="str">
        <f aca="false">IF($A157="N/A"," ",$U157*(8*($BQ157))*N157)</f>
        <v> </v>
      </c>
      <c r="Y157" s="320" t="str">
        <f aca="false">IF($A157="N/A"," ",$U157*(8*($BR157))*O157)</f>
        <v> </v>
      </c>
      <c r="Z157" s="320" t="str">
        <f aca="false">IF($A157="N/A"," ",$U157*(8*($BR157))*P157)</f>
        <v> </v>
      </c>
      <c r="AA157" s="320" t="str">
        <f aca="false">IF($A157="N/A"," ",$U157*(8*($BR157))*Q157)</f>
        <v> </v>
      </c>
      <c r="AB157" s="320" t="str">
        <f aca="false">IF($A157="N/A"," ",$U157*(8*($BS157))*R157)</f>
        <v> </v>
      </c>
      <c r="AC157" s="320" t="str">
        <f aca="false">IF($A157="N/A"," ",$U157*(8*($BS157))*S157)</f>
        <v> </v>
      </c>
      <c r="AD157" s="320" t="str">
        <f aca="false">IF($A157="N/A"," ",$U157*(8*($BS157))*T157)</f>
        <v> </v>
      </c>
      <c r="AE157" s="320" t="str">
        <f aca="false">IF($A157="N/A"," ",SUM(V157:AD157))</f>
        <v> </v>
      </c>
      <c r="AF157" s="321" t="str">
        <f aca="false">IF(A157="N/A"," ",(VLOOKUP(A157,PowerVolTable,(IF(VolBMO3=2,7,IF(VolBMO3=1,6,8))),FALSE())))</f>
        <v> </v>
      </c>
      <c r="AG157" s="321" t="str">
        <f aca="false">IF(A157="N/A"," ",(VLOOKUP(A157,IntraPowerVol,(IF(VolBMO3=2,3,IF(VolBMO3=1,2,4))),FALSE())*VLOOKUP(MONTH($A157),Volscale,2)))</f>
        <v> </v>
      </c>
      <c r="AH157" s="321" t="str">
        <f aca="false">IF($A157="N/A"," ",IF(VolType3=1,AG157,AF157))</f>
        <v> </v>
      </c>
      <c r="AI157" s="321" t="str">
        <f aca="false">IF($A157="N/A"," ",(VLOOKUP($A157,OffPwrVolTable,(IF(VolBMO3=2,7,IF(VolBMO3=1,6,8))),FALSE())))</f>
        <v> </v>
      </c>
      <c r="AJ157" s="321" t="str">
        <f aca="false">IF($A157="N/A"," ",(VLOOKUP($A157,OffPwrVolTable,(IF(VolBMO3=2,3,IF(VolBMO3=1,2,4))),FALSE())*VLOOKUP(MONTH($A157),Volscale,2)))</f>
        <v> </v>
      </c>
      <c r="AK157" s="321" t="str">
        <f aca="false">IF($A157="N/A"," ",IF(VolType3=1,AJ157,AI157))</f>
        <v> </v>
      </c>
      <c r="AL157" s="321" t="str">
        <f aca="false">IF($A157="N/A"," ",IF(PV=1,0,'Pricing Inputs3'!R190))</f>
        <v> </v>
      </c>
      <c r="AM157" s="323" t="str">
        <f aca="false">IF($A157="N/A"," ",(1+AL157/2)^(-2*((EOMONTH(A157,0)+20)-DateToday)/365.25))</f>
        <v> </v>
      </c>
      <c r="BQ157" s="0" t="str">
        <f aca="false">IF($A157="N/A"," ",(VLOOKUP($A157,NumberofDaysTable,2)))</f>
        <v> </v>
      </c>
      <c r="BR157" s="0" t="str">
        <f aca="false">IF($A157="N/A"," ",(VLOOKUP($A157,NumberofDaysTable,3)))</f>
        <v> </v>
      </c>
      <c r="BS157" s="0" t="str">
        <f aca="false">IF($A157="N/A"," ",(VLOOKUP($A157,NumberofDaysTable,4)))</f>
        <v> </v>
      </c>
    </row>
    <row r="158" customFormat="false" ht="12.75" hidden="false" customHeight="false" outlineLevel="0" collapsed="false">
      <c r="A158" s="315" t="str">
        <f aca="false">IF(A157="N/A","N/A",IF(EDATE(A157,1)&gt;Inputs!$Q$5,"N/A",EDATE(A157,1)))</f>
        <v>N/A</v>
      </c>
      <c r="B158" s="316" t="str">
        <f aca="false">IF(A158="N/A"," ",YEAR(A158))</f>
        <v> </v>
      </c>
      <c r="C158" s="317" t="str">
        <f aca="false">IF($A158="N/A"," ",IF(Dayrun3=10,0,IF(Scaler3=1,(VLOOKUP(A158,ScaledPrice3,4)),(VLOOKUP(A158,ScaledPrice3,2)))))</f>
        <v> </v>
      </c>
      <c r="D158" s="317" t="str">
        <f aca="false">IF(A158="N/A"," ",IF(Dayrun3&gt;=7,0,IF(Scaler3=2,VLOOKUP(A158,ScaledPrice3,2),(VLOOKUP(A158,ScaledPrice3,2))*(2-(VLOOKUP(A158,ScaledPrice3,3))))))</f>
        <v> </v>
      </c>
      <c r="E158" s="317" t="str">
        <f aca="false">IF($A158="N/A"," ",IF(AND(Dayrun3&gt;=4,Dayrun3&lt;=9),0,VLOOKUP($A158,ScaledPrice3,9)))</f>
        <v> </v>
      </c>
      <c r="F158" s="317" t="str">
        <f aca="false">IF(A158="N/A"," ",IF(OR(Dayrun3=2,Dayrun3=3,Dayrun3=5,Dayrun3=6,Dayrun3=8,Dayrun3=9),VLOOKUP(A158,ScaledPrice3,IF(Scaler3=1,6,5)),0))</f>
        <v> </v>
      </c>
      <c r="G158" s="317" t="str">
        <f aca="false">IF(A158="N/A"," ",IF(OR(Dayrun3=2,Dayrun3=3,Dayrun3=5,Dayrun3=6),IF(Scaler3=2,F158,(VLOOKUP(A158,ScaledPrice3,5))*(2-(VLOOKUP(A158,ScaledPrice3,3)))),0))</f>
        <v> </v>
      </c>
      <c r="H158" s="317" t="str">
        <f aca="false">IF($A158="N/A"," ",IF(OR(Dayrun3=2,Dayrun3=3,Dayrun3=10),VLOOKUP($A158,ScaledPrice3,9),0))</f>
        <v> </v>
      </c>
      <c r="I158" s="317" t="str">
        <f aca="false">IF(A158="N/A"," ",IF(OR(Dayrun3=3,Dayrun3=6,Dayrun3=9),(VLOOKUP(A158,ScaledPrice3,IF(Scaler3=2,7,8))),0))</f>
        <v> </v>
      </c>
      <c r="J158" s="317" t="str">
        <f aca="false">IF(A158="N/A"," ",IF(OR(Dayrun3=3,Dayrun3=6),IF(Scaler3=2,I158,(VLOOKUP(A158,ScaledPrice3,7))*(2-(VLOOKUP(A158,ScaledPrice3,3)))),0))</f>
        <v> </v>
      </c>
      <c r="K158" s="317" t="str">
        <f aca="false">IF($A158="N/A"," ",IF(OR(Dayrun3=3,Dayrun3=10),VLOOKUP($A158,ScaledPrice3,9),0))</f>
        <v> </v>
      </c>
      <c r="L158" s="318" t="str">
        <f aca="false">IF($A158="N/A"," ",IF(Pricetype3=2,MAX(C158,0),IF(OR(Pricetype3=1,Pricetype3=4),IF(C158=0,0,(EURO(C158,Strikeprice3,0,0,($AH158+IF(Smile=TRUE(),VLOOKUP(MAX(-5,Strikeprice3-C158),Volsmile,2),0)),($A158-DateToday)+15,IF(Pricetype3=1,1,0),0))),C158)))</f>
        <v> </v>
      </c>
      <c r="M158" s="318" t="str">
        <f aca="false">IF($A158="N/A"," ",IF(Pricetype3=2,MAX(D158,0),IF(OR(Pricetype3=1,Pricetype3=4),IF(D158=0,0,(EURO(D158,Strikeprice3,0,0,($AH158+IF(Smile=TRUE(),VLOOKUP(MAX(-5,Strikeprice3-D158),Volsmile,2),0)),($A158-DateToday)+15,IF(Pricetype3=1,1,0),0))),D158)))</f>
        <v> </v>
      </c>
      <c r="N158" s="318" t="str">
        <f aca="false">IF($A158="N/A"," ",IF(Pricetype3=2,MAX(E158,0),IF(OR(Pricetype3=1,Pricetype3=4),IF(E158=0,0,(EURO(E158,Strikeprice3,0,0,($AK158+IF(Smile=TRUE(),VLOOKUP(MAX(-5,Strikeprice3-E158),Volsmile,2),0)),($A158-DateToday)+15,IF(Pricetype3=1,1,0),0))),E158)))</f>
        <v> </v>
      </c>
      <c r="O158" s="318" t="str">
        <f aca="false">IF($A158="N/A"," ",IF(Pricetype3=2,MAX(F158,0),IF(OR(Pricetype3=1,Pricetype3=4),IF(F158=0,0,(EURO(F158,Strikeprice3,0,0,($AK158+IF(Smile=TRUE(),VLOOKUP(MAX(-5,Strikeprice3-F158),Volsmile,2),0)),($A158-DateToday)+15,IF(Pricetype3=1,1,0),0))),F158)))</f>
        <v> </v>
      </c>
      <c r="P158" s="318" t="str">
        <f aca="false">IF($A158="N/A"," ",IF(Pricetype3=2,MAX(G158,0),IF(OR(Pricetype3=1,Pricetype3=4),IF(G158=0,0,(EURO(G158,Strikeprice3,0,0,($AK158+IF(Smile=TRUE(),VLOOKUP(MAX(-5,Strikeprice3-G158),Volsmile,2),0)),($A158-DateToday)+15,IF(Pricetype3=1,1,0),0))),G158)))</f>
        <v> </v>
      </c>
      <c r="Q158" s="318" t="str">
        <f aca="false">IF($A158="N/A"," ",IF(Pricetype3=2,MAX(H158,0),IF(OR(Pricetype3=1,Pricetype3=4),IF(H158=0,0,(EURO(H158,Strikeprice3,0,0,($AK158+IF(Smile=TRUE(),VLOOKUP(MAX(-5,Strikeprice3-H158),Volsmile,2),0)),($A158-DateToday)+15,IF(Pricetype3=1,1,0),0))),H158)))</f>
        <v> </v>
      </c>
      <c r="R158" s="318" t="str">
        <f aca="false">IF($A158="N/A"," ",IF(Pricetype3=2,MAX(I158,0),IF(OR(Pricetype3=1,Pricetype3=4),IF(I158=0,0,(EURO(I158,Strikeprice3,0,0,($AK158+IF(Smile=TRUE(),VLOOKUP(MAX(-5,Strikeprice3-I158),Volsmile,2),0)),($A158-DateToday)+15,IF(Pricetype3=1,1,0),0))),I158)))</f>
        <v> </v>
      </c>
      <c r="S158" s="318" t="str">
        <f aca="false">IF($A158="N/A"," ",IF(Pricetype3=2,MAX(J158,0),IF(OR(Pricetype3=1,Pricetype3=4),IF(J158=0,0,(EURO(J158,Strikeprice3,0,0,($AK158+IF(Smile=TRUE(),VLOOKUP(MAX(-5,Strikeprice3-J158),Volsmile,2),0)),($A158-DateToday)+15,IF(Pricetype3=1,1,0),0))),J158)))</f>
        <v> </v>
      </c>
      <c r="T158" s="318" t="str">
        <f aca="false">IF($A158="N/A"," ",IF(Pricetype3=2,MAX(K158,0),IF(OR(Pricetype3=1,Pricetype3=4),IF(K158=0,0,(EURO(K158,Strikeprice3,0,0,($AK158+IF(Smile=TRUE(),VLOOKUP(MAX(-5,Strikeprice3-K158),Volsmile,2),0)),($A158-DateToday)+15,IF(Pricetype3=1,1,0),0))),K158)))</f>
        <v> </v>
      </c>
      <c r="U158" s="319" t="str">
        <f aca="false">IF($A158="N/A"," ",Volume3*$AM158)</f>
        <v> </v>
      </c>
      <c r="V158" s="320" t="str">
        <f aca="false">IF($A158="N/A"," ",$U158*(8*($BQ158))*L158)</f>
        <v> </v>
      </c>
      <c r="W158" s="320" t="str">
        <f aca="false">IF($A158="N/A"," ",$U158*(8*($BQ158))*M158)</f>
        <v> </v>
      </c>
      <c r="X158" s="320" t="str">
        <f aca="false">IF($A158="N/A"," ",$U158*(8*($BQ158))*N158)</f>
        <v> </v>
      </c>
      <c r="Y158" s="320" t="str">
        <f aca="false">IF($A158="N/A"," ",$U158*(8*($BR158))*O158)</f>
        <v> </v>
      </c>
      <c r="Z158" s="320" t="str">
        <f aca="false">IF($A158="N/A"," ",$U158*(8*($BR158))*P158)</f>
        <v> </v>
      </c>
      <c r="AA158" s="320" t="str">
        <f aca="false">IF($A158="N/A"," ",$U158*(8*($BR158))*Q158)</f>
        <v> </v>
      </c>
      <c r="AB158" s="320" t="str">
        <f aca="false">IF($A158="N/A"," ",$U158*(8*($BS158))*R158)</f>
        <v> </v>
      </c>
      <c r="AC158" s="320" t="str">
        <f aca="false">IF($A158="N/A"," ",$U158*(8*($BS158))*S158)</f>
        <v> </v>
      </c>
      <c r="AD158" s="320" t="str">
        <f aca="false">IF($A158="N/A"," ",$U158*(8*($BS158))*T158)</f>
        <v> </v>
      </c>
      <c r="AE158" s="320" t="str">
        <f aca="false">IF($A158="N/A"," ",SUM(V158:AD158))</f>
        <v> </v>
      </c>
      <c r="AF158" s="321" t="str">
        <f aca="false">IF(A158="N/A"," ",(VLOOKUP(A158,PowerVolTable,(IF(VolBMO3=2,7,IF(VolBMO3=1,6,8))),FALSE())))</f>
        <v> </v>
      </c>
      <c r="AG158" s="321" t="str">
        <f aca="false">IF(A158="N/A"," ",(VLOOKUP(A158,IntraPowerVol,(IF(VolBMO3=2,3,IF(VolBMO3=1,2,4))),FALSE())*VLOOKUP(MONTH($A158),Volscale,2)))</f>
        <v> </v>
      </c>
      <c r="AH158" s="321" t="str">
        <f aca="false">IF($A158="N/A"," ",IF(VolType3=1,AG158,AF158))</f>
        <v> </v>
      </c>
      <c r="AI158" s="321" t="str">
        <f aca="false">IF($A158="N/A"," ",(VLOOKUP($A158,OffPwrVolTable,(IF(VolBMO3=2,7,IF(VolBMO3=1,6,8))),FALSE())))</f>
        <v> </v>
      </c>
      <c r="AJ158" s="321" t="str">
        <f aca="false">IF($A158="N/A"," ",(VLOOKUP($A158,OffPwrVolTable,(IF(VolBMO3=2,3,IF(VolBMO3=1,2,4))),FALSE())*VLOOKUP(MONTH($A158),Volscale,2)))</f>
        <v> </v>
      </c>
      <c r="AK158" s="321" t="str">
        <f aca="false">IF($A158="N/A"," ",IF(VolType3=1,AJ158,AI158))</f>
        <v> </v>
      </c>
      <c r="AL158" s="321" t="str">
        <f aca="false">IF($A158="N/A"," ",IF(PV=1,0,'Pricing Inputs3'!R191))</f>
        <v> </v>
      </c>
      <c r="AM158" s="323" t="str">
        <f aca="false">IF($A158="N/A"," ",(1+AL158/2)^(-2*((EOMONTH(A158,0)+20)-DateToday)/365.25))</f>
        <v> </v>
      </c>
      <c r="BQ158" s="0" t="str">
        <f aca="false">IF($A158="N/A"," ",(VLOOKUP($A158,NumberofDaysTable,2)))</f>
        <v> </v>
      </c>
      <c r="BR158" s="0" t="str">
        <f aca="false">IF($A158="N/A"," ",(VLOOKUP($A158,NumberofDaysTable,3)))</f>
        <v> </v>
      </c>
      <c r="BS158" s="0" t="str">
        <f aca="false">IF($A158="N/A"," ",(VLOOKUP($A158,NumberofDaysTable,4)))</f>
        <v> </v>
      </c>
    </row>
    <row r="159" customFormat="false" ht="12.75" hidden="false" customHeight="false" outlineLevel="0" collapsed="false">
      <c r="A159" s="315" t="str">
        <f aca="false">IF(A158="N/A","N/A",IF(EDATE(A158,1)&gt;Inputs!$Q$5,"N/A",EDATE(A158,1)))</f>
        <v>N/A</v>
      </c>
      <c r="B159" s="316" t="str">
        <f aca="false">IF(A159="N/A"," ",YEAR(A159))</f>
        <v> </v>
      </c>
      <c r="C159" s="317" t="str">
        <f aca="false">IF($A159="N/A"," ",IF(Dayrun3=10,0,IF(Scaler3=1,(VLOOKUP(A159,ScaledPrice3,4)),(VLOOKUP(A159,ScaledPrice3,2)))))</f>
        <v> </v>
      </c>
      <c r="D159" s="317" t="str">
        <f aca="false">IF(A159="N/A"," ",IF(Dayrun3&gt;=7,0,IF(Scaler3=2,VLOOKUP(A159,ScaledPrice3,2),(VLOOKUP(A159,ScaledPrice3,2))*(2-(VLOOKUP(A159,ScaledPrice3,3))))))</f>
        <v> </v>
      </c>
      <c r="E159" s="317" t="str">
        <f aca="false">IF($A159="N/A"," ",IF(AND(Dayrun3&gt;=4,Dayrun3&lt;=9),0,VLOOKUP($A159,ScaledPrice3,9)))</f>
        <v> </v>
      </c>
      <c r="F159" s="317" t="str">
        <f aca="false">IF(A159="N/A"," ",IF(OR(Dayrun3=2,Dayrun3=3,Dayrun3=5,Dayrun3=6,Dayrun3=8,Dayrun3=9),VLOOKUP(A159,ScaledPrice3,IF(Scaler3=1,6,5)),0))</f>
        <v> </v>
      </c>
      <c r="G159" s="317" t="str">
        <f aca="false">IF(A159="N/A"," ",IF(OR(Dayrun3=2,Dayrun3=3,Dayrun3=5,Dayrun3=6),IF(Scaler3=2,F159,(VLOOKUP(A159,ScaledPrice3,5))*(2-(VLOOKUP(A159,ScaledPrice3,3)))),0))</f>
        <v> </v>
      </c>
      <c r="H159" s="317" t="str">
        <f aca="false">IF($A159="N/A"," ",IF(OR(Dayrun3=2,Dayrun3=3,Dayrun3=10),VLOOKUP($A159,ScaledPrice3,9),0))</f>
        <v> </v>
      </c>
      <c r="I159" s="317" t="str">
        <f aca="false">IF(A159="N/A"," ",IF(OR(Dayrun3=3,Dayrun3=6,Dayrun3=9),(VLOOKUP(A159,ScaledPrice3,IF(Scaler3=2,7,8))),0))</f>
        <v> </v>
      </c>
      <c r="J159" s="317" t="str">
        <f aca="false">IF(A159="N/A"," ",IF(OR(Dayrun3=3,Dayrun3=6),IF(Scaler3=2,I159,(VLOOKUP(A159,ScaledPrice3,7))*(2-(VLOOKUP(A159,ScaledPrice3,3)))),0))</f>
        <v> </v>
      </c>
      <c r="K159" s="317" t="str">
        <f aca="false">IF($A159="N/A"," ",IF(OR(Dayrun3=3,Dayrun3=10),VLOOKUP($A159,ScaledPrice3,9),0))</f>
        <v> </v>
      </c>
      <c r="L159" s="318" t="str">
        <f aca="false">IF($A159="N/A"," ",IF(Pricetype3=2,MAX(C159,0),IF(OR(Pricetype3=1,Pricetype3=4),IF(C159=0,0,(EURO(C159,Strikeprice3,0,0,($AH159+IF(Smile=TRUE(),VLOOKUP(MAX(-5,Strikeprice3-C159),Volsmile,2),0)),($A159-DateToday)+15,IF(Pricetype3=1,1,0),0))),C159)))</f>
        <v> </v>
      </c>
      <c r="M159" s="318" t="str">
        <f aca="false">IF($A159="N/A"," ",IF(Pricetype3=2,MAX(D159,0),IF(OR(Pricetype3=1,Pricetype3=4),IF(D159=0,0,(EURO(D159,Strikeprice3,0,0,($AH159+IF(Smile=TRUE(),VLOOKUP(MAX(-5,Strikeprice3-D159),Volsmile,2),0)),($A159-DateToday)+15,IF(Pricetype3=1,1,0),0))),D159)))</f>
        <v> </v>
      </c>
      <c r="N159" s="318" t="str">
        <f aca="false">IF($A159="N/A"," ",IF(Pricetype3=2,MAX(E159,0),IF(OR(Pricetype3=1,Pricetype3=4),IF(E159=0,0,(EURO(E159,Strikeprice3,0,0,($AK159+IF(Smile=TRUE(),VLOOKUP(MAX(-5,Strikeprice3-E159),Volsmile,2),0)),($A159-DateToday)+15,IF(Pricetype3=1,1,0),0))),E159)))</f>
        <v> </v>
      </c>
      <c r="O159" s="318" t="str">
        <f aca="false">IF($A159="N/A"," ",IF(Pricetype3=2,MAX(F159,0),IF(OR(Pricetype3=1,Pricetype3=4),IF(F159=0,0,(EURO(F159,Strikeprice3,0,0,($AK159+IF(Smile=TRUE(),VLOOKUP(MAX(-5,Strikeprice3-F159),Volsmile,2),0)),($A159-DateToday)+15,IF(Pricetype3=1,1,0),0))),F159)))</f>
        <v> </v>
      </c>
      <c r="P159" s="318" t="str">
        <f aca="false">IF($A159="N/A"," ",IF(Pricetype3=2,MAX(G159,0),IF(OR(Pricetype3=1,Pricetype3=4),IF(G159=0,0,(EURO(G159,Strikeprice3,0,0,($AK159+IF(Smile=TRUE(),VLOOKUP(MAX(-5,Strikeprice3-G159),Volsmile,2),0)),($A159-DateToday)+15,IF(Pricetype3=1,1,0),0))),G159)))</f>
        <v> </v>
      </c>
      <c r="Q159" s="318" t="str">
        <f aca="false">IF($A159="N/A"," ",IF(Pricetype3=2,MAX(H159,0),IF(OR(Pricetype3=1,Pricetype3=4),IF(H159=0,0,(EURO(H159,Strikeprice3,0,0,($AK159+IF(Smile=TRUE(),VLOOKUP(MAX(-5,Strikeprice3-H159),Volsmile,2),0)),($A159-DateToday)+15,IF(Pricetype3=1,1,0),0))),H159)))</f>
        <v> </v>
      </c>
      <c r="R159" s="318" t="str">
        <f aca="false">IF($A159="N/A"," ",IF(Pricetype3=2,MAX(I159,0),IF(OR(Pricetype3=1,Pricetype3=4),IF(I159=0,0,(EURO(I159,Strikeprice3,0,0,($AK159+IF(Smile=TRUE(),VLOOKUP(MAX(-5,Strikeprice3-I159),Volsmile,2),0)),($A159-DateToday)+15,IF(Pricetype3=1,1,0),0))),I159)))</f>
        <v> </v>
      </c>
      <c r="S159" s="318" t="str">
        <f aca="false">IF($A159="N/A"," ",IF(Pricetype3=2,MAX(J159,0),IF(OR(Pricetype3=1,Pricetype3=4),IF(J159=0,0,(EURO(J159,Strikeprice3,0,0,($AK159+IF(Smile=TRUE(),VLOOKUP(MAX(-5,Strikeprice3-J159),Volsmile,2),0)),($A159-DateToday)+15,IF(Pricetype3=1,1,0),0))),J159)))</f>
        <v> </v>
      </c>
      <c r="T159" s="318" t="str">
        <f aca="false">IF($A159="N/A"," ",IF(Pricetype3=2,MAX(K159,0),IF(OR(Pricetype3=1,Pricetype3=4),IF(K159=0,0,(EURO(K159,Strikeprice3,0,0,($AK159+IF(Smile=TRUE(),VLOOKUP(MAX(-5,Strikeprice3-K159),Volsmile,2),0)),($A159-DateToday)+15,IF(Pricetype3=1,1,0),0))),K159)))</f>
        <v> </v>
      </c>
      <c r="U159" s="319" t="str">
        <f aca="false">IF($A159="N/A"," ",Volume3*$AM159)</f>
        <v> </v>
      </c>
      <c r="V159" s="320" t="str">
        <f aca="false">IF($A159="N/A"," ",$U159*(8*($BQ159))*L159)</f>
        <v> </v>
      </c>
      <c r="W159" s="320" t="str">
        <f aca="false">IF($A159="N/A"," ",$U159*(8*($BQ159))*M159)</f>
        <v> </v>
      </c>
      <c r="X159" s="320" t="str">
        <f aca="false">IF($A159="N/A"," ",$U159*(8*($BQ159))*N159)</f>
        <v> </v>
      </c>
      <c r="Y159" s="320" t="str">
        <f aca="false">IF($A159="N/A"," ",$U159*(8*($BR159))*O159)</f>
        <v> </v>
      </c>
      <c r="Z159" s="320" t="str">
        <f aca="false">IF($A159="N/A"," ",$U159*(8*($BR159))*P159)</f>
        <v> </v>
      </c>
      <c r="AA159" s="320" t="str">
        <f aca="false">IF($A159="N/A"," ",$U159*(8*($BR159))*Q159)</f>
        <v> </v>
      </c>
      <c r="AB159" s="320" t="str">
        <f aca="false">IF($A159="N/A"," ",$U159*(8*($BS159))*R159)</f>
        <v> </v>
      </c>
      <c r="AC159" s="320" t="str">
        <f aca="false">IF($A159="N/A"," ",$U159*(8*($BS159))*S159)</f>
        <v> </v>
      </c>
      <c r="AD159" s="320" t="str">
        <f aca="false">IF($A159="N/A"," ",$U159*(8*($BS159))*T159)</f>
        <v> </v>
      </c>
      <c r="AE159" s="320" t="str">
        <f aca="false">IF($A159="N/A"," ",SUM(V159:AD159))</f>
        <v> </v>
      </c>
      <c r="AF159" s="321" t="str">
        <f aca="false">IF(A159="N/A"," ",(VLOOKUP(A159,PowerVolTable,(IF(VolBMO3=2,7,IF(VolBMO3=1,6,8))),FALSE())))</f>
        <v> </v>
      </c>
      <c r="AG159" s="321" t="str">
        <f aca="false">IF(A159="N/A"," ",(VLOOKUP(A159,IntraPowerVol,(IF(VolBMO3=2,3,IF(VolBMO3=1,2,4))),FALSE())*VLOOKUP(MONTH($A159),Volscale,2)))</f>
        <v> </v>
      </c>
      <c r="AH159" s="321" t="str">
        <f aca="false">IF($A159="N/A"," ",IF(VolType3=1,AG159,AF159))</f>
        <v> </v>
      </c>
      <c r="AI159" s="321" t="str">
        <f aca="false">IF($A159="N/A"," ",(VLOOKUP($A159,OffPwrVolTable,(IF(VolBMO3=2,7,IF(VolBMO3=1,6,8))),FALSE())))</f>
        <v> </v>
      </c>
      <c r="AJ159" s="321" t="str">
        <f aca="false">IF($A159="N/A"," ",(VLOOKUP($A159,OffPwrVolTable,(IF(VolBMO3=2,3,IF(VolBMO3=1,2,4))),FALSE())*VLOOKUP(MONTH($A159),Volscale,2)))</f>
        <v> </v>
      </c>
      <c r="AK159" s="321" t="str">
        <f aca="false">IF($A159="N/A"," ",IF(VolType3=1,AJ159,AI159))</f>
        <v> </v>
      </c>
      <c r="AL159" s="321" t="str">
        <f aca="false">IF($A159="N/A"," ",IF(PV=1,0,'Pricing Inputs3'!R192))</f>
        <v> </v>
      </c>
      <c r="AM159" s="323" t="str">
        <f aca="false">IF($A159="N/A"," ",(1+AL159/2)^(-2*((EOMONTH(A159,0)+20)-DateToday)/365.25))</f>
        <v> </v>
      </c>
      <c r="BQ159" s="0" t="str">
        <f aca="false">IF($A159="N/A"," ",(VLOOKUP($A159,NumberofDaysTable,2)))</f>
        <v> </v>
      </c>
      <c r="BR159" s="0" t="str">
        <f aca="false">IF($A159="N/A"," ",(VLOOKUP($A159,NumberofDaysTable,3)))</f>
        <v> </v>
      </c>
      <c r="BS159" s="0" t="str">
        <f aca="false">IF($A159="N/A"," ",(VLOOKUP($A159,NumberofDaysTable,4)))</f>
        <v> </v>
      </c>
    </row>
    <row r="160" customFormat="false" ht="12.75" hidden="false" customHeight="false" outlineLevel="0" collapsed="false">
      <c r="A160" s="315" t="str">
        <f aca="false">IF(A159="N/A","N/A",IF(EDATE(A159,1)&gt;Inputs!$Q$5,"N/A",EDATE(A159,1)))</f>
        <v>N/A</v>
      </c>
      <c r="B160" s="316" t="str">
        <f aca="false">IF(A160="N/A"," ",YEAR(A160))</f>
        <v> </v>
      </c>
      <c r="C160" s="317" t="str">
        <f aca="false">IF($A160="N/A"," ",IF(Dayrun3=10,0,IF(Scaler3=1,(VLOOKUP(A160,ScaledPrice3,4)),(VLOOKUP(A160,ScaledPrice3,2)))))</f>
        <v> </v>
      </c>
      <c r="D160" s="317" t="str">
        <f aca="false">IF(A160="N/A"," ",IF(Dayrun3&gt;=7,0,IF(Scaler3=2,VLOOKUP(A160,ScaledPrice3,2),(VLOOKUP(A160,ScaledPrice3,2))*(2-(VLOOKUP(A160,ScaledPrice3,3))))))</f>
        <v> </v>
      </c>
      <c r="E160" s="317" t="str">
        <f aca="false">IF($A160="N/A"," ",IF(AND(Dayrun3&gt;=4,Dayrun3&lt;=9),0,VLOOKUP($A160,ScaledPrice3,9)))</f>
        <v> </v>
      </c>
      <c r="F160" s="317" t="str">
        <f aca="false">IF(A160="N/A"," ",IF(OR(Dayrun3=2,Dayrun3=3,Dayrun3=5,Dayrun3=6,Dayrun3=8,Dayrun3=9),VLOOKUP(A160,ScaledPrice3,IF(Scaler3=1,6,5)),0))</f>
        <v> </v>
      </c>
      <c r="G160" s="317" t="str">
        <f aca="false">IF(A160="N/A"," ",IF(OR(Dayrun3=2,Dayrun3=3,Dayrun3=5,Dayrun3=6),IF(Scaler3=2,F160,(VLOOKUP(A160,ScaledPrice3,5))*(2-(VLOOKUP(A160,ScaledPrice3,3)))),0))</f>
        <v> </v>
      </c>
      <c r="H160" s="317" t="str">
        <f aca="false">IF($A160="N/A"," ",IF(OR(Dayrun3=2,Dayrun3=3,Dayrun3=10),VLOOKUP($A160,ScaledPrice3,9),0))</f>
        <v> </v>
      </c>
      <c r="I160" s="317" t="str">
        <f aca="false">IF(A160="N/A"," ",IF(OR(Dayrun3=3,Dayrun3=6,Dayrun3=9),(VLOOKUP(A160,ScaledPrice3,IF(Scaler3=2,7,8))),0))</f>
        <v> </v>
      </c>
      <c r="J160" s="317" t="str">
        <f aca="false">IF(A160="N/A"," ",IF(OR(Dayrun3=3,Dayrun3=6),IF(Scaler3=2,I160,(VLOOKUP(A160,ScaledPrice3,7))*(2-(VLOOKUP(A160,ScaledPrice3,3)))),0))</f>
        <v> </v>
      </c>
      <c r="K160" s="317" t="str">
        <f aca="false">IF($A160="N/A"," ",IF(OR(Dayrun3=3,Dayrun3=10),VLOOKUP($A160,ScaledPrice3,9),0))</f>
        <v> </v>
      </c>
      <c r="L160" s="318" t="str">
        <f aca="false">IF($A160="N/A"," ",IF(Pricetype3=2,MAX(C160,0),IF(OR(Pricetype3=1,Pricetype3=4),IF(C160=0,0,(EURO(C160,Strikeprice3,0,0,($AH160+IF(Smile=TRUE(),VLOOKUP(MAX(-5,Strikeprice3-C160),Volsmile,2),0)),($A160-DateToday)+15,IF(Pricetype3=1,1,0),0))),C160)))</f>
        <v> </v>
      </c>
      <c r="M160" s="318" t="str">
        <f aca="false">IF($A160="N/A"," ",IF(Pricetype3=2,MAX(D160,0),IF(OR(Pricetype3=1,Pricetype3=4),IF(D160=0,0,(EURO(D160,Strikeprice3,0,0,($AH160+IF(Smile=TRUE(),VLOOKUP(MAX(-5,Strikeprice3-D160),Volsmile,2),0)),($A160-DateToday)+15,IF(Pricetype3=1,1,0),0))),D160)))</f>
        <v> </v>
      </c>
      <c r="N160" s="318" t="str">
        <f aca="false">IF($A160="N/A"," ",IF(Pricetype3=2,MAX(E160,0),IF(OR(Pricetype3=1,Pricetype3=4),IF(E160=0,0,(EURO(E160,Strikeprice3,0,0,($AK160+IF(Smile=TRUE(),VLOOKUP(MAX(-5,Strikeprice3-E160),Volsmile,2),0)),($A160-DateToday)+15,IF(Pricetype3=1,1,0),0))),E160)))</f>
        <v> </v>
      </c>
      <c r="O160" s="318" t="str">
        <f aca="false">IF($A160="N/A"," ",IF(Pricetype3=2,MAX(F160,0),IF(OR(Pricetype3=1,Pricetype3=4),IF(F160=0,0,(EURO(F160,Strikeprice3,0,0,($AK160+IF(Smile=TRUE(),VLOOKUP(MAX(-5,Strikeprice3-F160),Volsmile,2),0)),($A160-DateToday)+15,IF(Pricetype3=1,1,0),0))),F160)))</f>
        <v> </v>
      </c>
      <c r="P160" s="318" t="str">
        <f aca="false">IF($A160="N/A"," ",IF(Pricetype3=2,MAX(G160,0),IF(OR(Pricetype3=1,Pricetype3=4),IF(G160=0,0,(EURO(G160,Strikeprice3,0,0,($AK160+IF(Smile=TRUE(),VLOOKUP(MAX(-5,Strikeprice3-G160),Volsmile,2),0)),($A160-DateToday)+15,IF(Pricetype3=1,1,0),0))),G160)))</f>
        <v> </v>
      </c>
      <c r="Q160" s="318" t="str">
        <f aca="false">IF($A160="N/A"," ",IF(Pricetype3=2,MAX(H160,0),IF(OR(Pricetype3=1,Pricetype3=4),IF(H160=0,0,(EURO(H160,Strikeprice3,0,0,($AK160+IF(Smile=TRUE(),VLOOKUP(MAX(-5,Strikeprice3-H160),Volsmile,2),0)),($A160-DateToday)+15,IF(Pricetype3=1,1,0),0))),H160)))</f>
        <v> </v>
      </c>
      <c r="R160" s="318" t="str">
        <f aca="false">IF($A160="N/A"," ",IF(Pricetype3=2,MAX(I160,0),IF(OR(Pricetype3=1,Pricetype3=4),IF(I160=0,0,(EURO(I160,Strikeprice3,0,0,($AK160+IF(Smile=TRUE(),VLOOKUP(MAX(-5,Strikeprice3-I160),Volsmile,2),0)),($A160-DateToday)+15,IF(Pricetype3=1,1,0),0))),I160)))</f>
        <v> </v>
      </c>
      <c r="S160" s="318" t="str">
        <f aca="false">IF($A160="N/A"," ",IF(Pricetype3=2,MAX(J160,0),IF(OR(Pricetype3=1,Pricetype3=4),IF(J160=0,0,(EURO(J160,Strikeprice3,0,0,($AK160+IF(Smile=TRUE(),VLOOKUP(MAX(-5,Strikeprice3-J160),Volsmile,2),0)),($A160-DateToday)+15,IF(Pricetype3=1,1,0),0))),J160)))</f>
        <v> </v>
      </c>
      <c r="T160" s="318" t="str">
        <f aca="false">IF($A160="N/A"," ",IF(Pricetype3=2,MAX(K160,0),IF(OR(Pricetype3=1,Pricetype3=4),IF(K160=0,0,(EURO(K160,Strikeprice3,0,0,($AK160+IF(Smile=TRUE(),VLOOKUP(MAX(-5,Strikeprice3-K160),Volsmile,2),0)),($A160-DateToday)+15,IF(Pricetype3=1,1,0),0))),K160)))</f>
        <v> </v>
      </c>
      <c r="U160" s="319" t="str">
        <f aca="false">IF($A160="N/A"," ",Volume3*$AM160)</f>
        <v> </v>
      </c>
      <c r="V160" s="320" t="str">
        <f aca="false">IF($A160="N/A"," ",$U160*(8*($BQ160))*L160)</f>
        <v> </v>
      </c>
      <c r="W160" s="320" t="str">
        <f aca="false">IF($A160="N/A"," ",$U160*(8*($BQ160))*M160)</f>
        <v> </v>
      </c>
      <c r="X160" s="320" t="str">
        <f aca="false">IF($A160="N/A"," ",$U160*(8*($BQ160))*N160)</f>
        <v> </v>
      </c>
      <c r="Y160" s="320" t="str">
        <f aca="false">IF($A160="N/A"," ",$U160*(8*($BR160))*O160)</f>
        <v> </v>
      </c>
      <c r="Z160" s="320" t="str">
        <f aca="false">IF($A160="N/A"," ",$U160*(8*($BR160))*P160)</f>
        <v> </v>
      </c>
      <c r="AA160" s="320" t="str">
        <f aca="false">IF($A160="N/A"," ",$U160*(8*($BR160))*Q160)</f>
        <v> </v>
      </c>
      <c r="AB160" s="320" t="str">
        <f aca="false">IF($A160="N/A"," ",$U160*(8*($BS160))*R160)</f>
        <v> </v>
      </c>
      <c r="AC160" s="320" t="str">
        <f aca="false">IF($A160="N/A"," ",$U160*(8*($BS160))*S160)</f>
        <v> </v>
      </c>
      <c r="AD160" s="320" t="str">
        <f aca="false">IF($A160="N/A"," ",$U160*(8*($BS160))*T160)</f>
        <v> </v>
      </c>
      <c r="AE160" s="320" t="str">
        <f aca="false">IF($A160="N/A"," ",SUM(V160:AD160))</f>
        <v> </v>
      </c>
      <c r="AF160" s="321" t="str">
        <f aca="false">IF(A160="N/A"," ",(VLOOKUP(A160,PowerVolTable,(IF(VolBMO3=2,7,IF(VolBMO3=1,6,8))),FALSE())))</f>
        <v> </v>
      </c>
      <c r="AG160" s="321" t="str">
        <f aca="false">IF(A160="N/A"," ",(VLOOKUP(A160,IntraPowerVol,(IF(VolBMO3=2,3,IF(VolBMO3=1,2,4))),FALSE())*VLOOKUP(MONTH($A160),Volscale,2)))</f>
        <v> </v>
      </c>
      <c r="AH160" s="321" t="str">
        <f aca="false">IF($A160="N/A"," ",IF(VolType3=1,AG160,AF160))</f>
        <v> </v>
      </c>
      <c r="AI160" s="321" t="str">
        <f aca="false">IF($A160="N/A"," ",(VLOOKUP($A160,OffPwrVolTable,(IF(VolBMO3=2,7,IF(VolBMO3=1,6,8))),FALSE())))</f>
        <v> </v>
      </c>
      <c r="AJ160" s="321" t="str">
        <f aca="false">IF($A160="N/A"," ",(VLOOKUP($A160,OffPwrVolTable,(IF(VolBMO3=2,3,IF(VolBMO3=1,2,4))),FALSE())*VLOOKUP(MONTH($A160),Volscale,2)))</f>
        <v> </v>
      </c>
      <c r="AK160" s="321" t="str">
        <f aca="false">IF($A160="N/A"," ",IF(VolType3=1,AJ160,AI160))</f>
        <v> </v>
      </c>
      <c r="AL160" s="321" t="str">
        <f aca="false">IF($A160="N/A"," ",IF(PV=1,0,'Pricing Inputs3'!R193))</f>
        <v> </v>
      </c>
      <c r="AM160" s="323" t="str">
        <f aca="false">IF($A160="N/A"," ",(1+AL160/2)^(-2*((EOMONTH(A160,0)+20)-DateToday)/365.25))</f>
        <v> </v>
      </c>
      <c r="BQ160" s="0" t="str">
        <f aca="false">IF($A160="N/A"," ",(VLOOKUP($A160,NumberofDaysTable,2)))</f>
        <v> </v>
      </c>
      <c r="BR160" s="0" t="str">
        <f aca="false">IF($A160="N/A"," ",(VLOOKUP($A160,NumberofDaysTable,3)))</f>
        <v> </v>
      </c>
      <c r="BS160" s="0" t="str">
        <f aca="false">IF($A160="N/A"," ",(VLOOKUP($A160,NumberofDaysTable,4)))</f>
        <v> </v>
      </c>
    </row>
    <row r="161" customFormat="false" ht="12.75" hidden="false" customHeight="false" outlineLevel="0" collapsed="false">
      <c r="A161" s="315" t="str">
        <f aca="false">IF(A160="N/A","N/A",IF(EDATE(A160,1)&gt;Inputs!$Q$5,"N/A",EDATE(A160,1)))</f>
        <v>N/A</v>
      </c>
      <c r="B161" s="316" t="str">
        <f aca="false">IF(A161="N/A"," ",YEAR(A161))</f>
        <v> </v>
      </c>
      <c r="C161" s="317" t="str">
        <f aca="false">IF($A161="N/A"," ",IF(Dayrun3=10,0,IF(Scaler3=1,(VLOOKUP(A161,ScaledPrice3,4)),(VLOOKUP(A161,ScaledPrice3,2)))))</f>
        <v> </v>
      </c>
      <c r="D161" s="317" t="str">
        <f aca="false">IF(A161="N/A"," ",IF(Dayrun3&gt;=7,0,IF(Scaler3=2,VLOOKUP(A161,ScaledPrice3,2),(VLOOKUP(A161,ScaledPrice3,2))*(2-(VLOOKUP(A161,ScaledPrice3,3))))))</f>
        <v> </v>
      </c>
      <c r="E161" s="317" t="str">
        <f aca="false">IF($A161="N/A"," ",IF(AND(Dayrun3&gt;=4,Dayrun3&lt;=9),0,VLOOKUP($A161,ScaledPrice3,9)))</f>
        <v> </v>
      </c>
      <c r="F161" s="317" t="str">
        <f aca="false">IF(A161="N/A"," ",IF(OR(Dayrun3=2,Dayrun3=3,Dayrun3=5,Dayrun3=6,Dayrun3=8,Dayrun3=9),VLOOKUP(A161,ScaledPrice3,IF(Scaler3=1,6,5)),0))</f>
        <v> </v>
      </c>
      <c r="G161" s="317" t="str">
        <f aca="false">IF(A161="N/A"," ",IF(OR(Dayrun3=2,Dayrun3=3,Dayrun3=5,Dayrun3=6),IF(Scaler3=2,F161,(VLOOKUP(A161,ScaledPrice3,5))*(2-(VLOOKUP(A161,ScaledPrice3,3)))),0))</f>
        <v> </v>
      </c>
      <c r="H161" s="317" t="str">
        <f aca="false">IF($A161="N/A"," ",IF(OR(Dayrun3=2,Dayrun3=3,Dayrun3=10),VLOOKUP($A161,ScaledPrice3,9),0))</f>
        <v> </v>
      </c>
      <c r="I161" s="317" t="str">
        <f aca="false">IF(A161="N/A"," ",IF(OR(Dayrun3=3,Dayrun3=6,Dayrun3=9),(VLOOKUP(A161,ScaledPrice3,IF(Scaler3=2,7,8))),0))</f>
        <v> </v>
      </c>
      <c r="J161" s="317" t="str">
        <f aca="false">IF(A161="N/A"," ",IF(OR(Dayrun3=3,Dayrun3=6),IF(Scaler3=2,I161,(VLOOKUP(A161,ScaledPrice3,7))*(2-(VLOOKUP(A161,ScaledPrice3,3)))),0))</f>
        <v> </v>
      </c>
      <c r="K161" s="317" t="str">
        <f aca="false">IF($A161="N/A"," ",IF(OR(Dayrun3=3,Dayrun3=10),VLOOKUP($A161,ScaledPrice3,9),0))</f>
        <v> </v>
      </c>
      <c r="L161" s="318" t="str">
        <f aca="false">IF($A161="N/A"," ",IF(Pricetype3=2,MAX(C161,0),IF(OR(Pricetype3=1,Pricetype3=4),IF(C161=0,0,(EURO(C161,Strikeprice3,0,0,($AH161+IF(Smile=TRUE(),VLOOKUP(MAX(-5,Strikeprice3-C161),Volsmile,2),0)),($A161-DateToday)+15,IF(Pricetype3=1,1,0),0))),C161)))</f>
        <v> </v>
      </c>
      <c r="M161" s="318" t="str">
        <f aca="false">IF($A161="N/A"," ",IF(Pricetype3=2,MAX(D161,0),IF(OR(Pricetype3=1,Pricetype3=4),IF(D161=0,0,(EURO(D161,Strikeprice3,0,0,($AH161+IF(Smile=TRUE(),VLOOKUP(MAX(-5,Strikeprice3-D161),Volsmile,2),0)),($A161-DateToday)+15,IF(Pricetype3=1,1,0),0))),D161)))</f>
        <v> </v>
      </c>
      <c r="N161" s="318" t="str">
        <f aca="false">IF($A161="N/A"," ",IF(Pricetype3=2,MAX(E161,0),IF(OR(Pricetype3=1,Pricetype3=4),IF(E161=0,0,(EURO(E161,Strikeprice3,0,0,($AK161+IF(Smile=TRUE(),VLOOKUP(MAX(-5,Strikeprice3-E161),Volsmile,2),0)),($A161-DateToday)+15,IF(Pricetype3=1,1,0),0))),E161)))</f>
        <v> </v>
      </c>
      <c r="O161" s="318" t="str">
        <f aca="false">IF($A161="N/A"," ",IF(Pricetype3=2,MAX(F161,0),IF(OR(Pricetype3=1,Pricetype3=4),IF(F161=0,0,(EURO(F161,Strikeprice3,0,0,($AK161+IF(Smile=TRUE(),VLOOKUP(MAX(-5,Strikeprice3-F161),Volsmile,2),0)),($A161-DateToday)+15,IF(Pricetype3=1,1,0),0))),F161)))</f>
        <v> </v>
      </c>
      <c r="P161" s="318" t="str">
        <f aca="false">IF($A161="N/A"," ",IF(Pricetype3=2,MAX(G161,0),IF(OR(Pricetype3=1,Pricetype3=4),IF(G161=0,0,(EURO(G161,Strikeprice3,0,0,($AK161+IF(Smile=TRUE(),VLOOKUP(MAX(-5,Strikeprice3-G161),Volsmile,2),0)),($A161-DateToday)+15,IF(Pricetype3=1,1,0),0))),G161)))</f>
        <v> </v>
      </c>
      <c r="Q161" s="318" t="str">
        <f aca="false">IF($A161="N/A"," ",IF(Pricetype3=2,MAX(H161,0),IF(OR(Pricetype3=1,Pricetype3=4),IF(H161=0,0,(EURO(H161,Strikeprice3,0,0,($AK161+IF(Smile=TRUE(),VLOOKUP(MAX(-5,Strikeprice3-H161),Volsmile,2),0)),($A161-DateToday)+15,IF(Pricetype3=1,1,0),0))),H161)))</f>
        <v> </v>
      </c>
      <c r="R161" s="318" t="str">
        <f aca="false">IF($A161="N/A"," ",IF(Pricetype3=2,MAX(I161,0),IF(OR(Pricetype3=1,Pricetype3=4),IF(I161=0,0,(EURO(I161,Strikeprice3,0,0,($AK161+IF(Smile=TRUE(),VLOOKUP(MAX(-5,Strikeprice3-I161),Volsmile,2),0)),($A161-DateToday)+15,IF(Pricetype3=1,1,0),0))),I161)))</f>
        <v> </v>
      </c>
      <c r="S161" s="318" t="str">
        <f aca="false">IF($A161="N/A"," ",IF(Pricetype3=2,MAX(J161,0),IF(OR(Pricetype3=1,Pricetype3=4),IF(J161=0,0,(EURO(J161,Strikeprice3,0,0,($AK161+IF(Smile=TRUE(),VLOOKUP(MAX(-5,Strikeprice3-J161),Volsmile,2),0)),($A161-DateToday)+15,IF(Pricetype3=1,1,0),0))),J161)))</f>
        <v> </v>
      </c>
      <c r="T161" s="318" t="str">
        <f aca="false">IF($A161="N/A"," ",IF(Pricetype3=2,MAX(K161,0),IF(OR(Pricetype3=1,Pricetype3=4),IF(K161=0,0,(EURO(K161,Strikeprice3,0,0,($AK161+IF(Smile=TRUE(),VLOOKUP(MAX(-5,Strikeprice3-K161),Volsmile,2),0)),($A161-DateToday)+15,IF(Pricetype3=1,1,0),0))),K161)))</f>
        <v> </v>
      </c>
      <c r="U161" s="319" t="str">
        <f aca="false">IF($A161="N/A"," ",Volume3*$AM161)</f>
        <v> </v>
      </c>
      <c r="V161" s="320" t="str">
        <f aca="false">IF($A161="N/A"," ",$U161*(8*($BQ161))*L161)</f>
        <v> </v>
      </c>
      <c r="W161" s="320" t="str">
        <f aca="false">IF($A161="N/A"," ",$U161*(8*($BQ161))*M161)</f>
        <v> </v>
      </c>
      <c r="X161" s="320" t="str">
        <f aca="false">IF($A161="N/A"," ",$U161*(8*($BQ161))*N161)</f>
        <v> </v>
      </c>
      <c r="Y161" s="320" t="str">
        <f aca="false">IF($A161="N/A"," ",$U161*(8*($BR161))*O161)</f>
        <v> </v>
      </c>
      <c r="Z161" s="320" t="str">
        <f aca="false">IF($A161="N/A"," ",$U161*(8*($BR161))*P161)</f>
        <v> </v>
      </c>
      <c r="AA161" s="320" t="str">
        <f aca="false">IF($A161="N/A"," ",$U161*(8*($BR161))*Q161)</f>
        <v> </v>
      </c>
      <c r="AB161" s="320" t="str">
        <f aca="false">IF($A161="N/A"," ",$U161*(8*($BS161))*R161)</f>
        <v> </v>
      </c>
      <c r="AC161" s="320" t="str">
        <f aca="false">IF($A161="N/A"," ",$U161*(8*($BS161))*S161)</f>
        <v> </v>
      </c>
      <c r="AD161" s="320" t="str">
        <f aca="false">IF($A161="N/A"," ",$U161*(8*($BS161))*T161)</f>
        <v> </v>
      </c>
      <c r="AE161" s="320" t="str">
        <f aca="false">IF($A161="N/A"," ",SUM(V161:AD161))</f>
        <v> </v>
      </c>
      <c r="AF161" s="321" t="str">
        <f aca="false">IF(A161="N/A"," ",(VLOOKUP(A161,PowerVolTable,(IF(VolBMO3=2,7,IF(VolBMO3=1,6,8))),FALSE())))</f>
        <v> </v>
      </c>
      <c r="AG161" s="321" t="str">
        <f aca="false">IF(A161="N/A"," ",(VLOOKUP(A161,IntraPowerVol,(IF(VolBMO3=2,3,IF(VolBMO3=1,2,4))),FALSE())*VLOOKUP(MONTH($A161),Volscale,2)))</f>
        <v> </v>
      </c>
      <c r="AH161" s="321" t="str">
        <f aca="false">IF($A161="N/A"," ",IF(VolType3=1,AG161,AF161))</f>
        <v> </v>
      </c>
      <c r="AI161" s="321" t="str">
        <f aca="false">IF($A161="N/A"," ",(VLOOKUP($A161,OffPwrVolTable,(IF(VolBMO3=2,7,IF(VolBMO3=1,6,8))),FALSE())))</f>
        <v> </v>
      </c>
      <c r="AJ161" s="321" t="str">
        <f aca="false">IF($A161="N/A"," ",(VLOOKUP($A161,OffPwrVolTable,(IF(VolBMO3=2,3,IF(VolBMO3=1,2,4))),FALSE())*VLOOKUP(MONTH($A161),Volscale,2)))</f>
        <v> </v>
      </c>
      <c r="AK161" s="321" t="str">
        <f aca="false">IF($A161="N/A"," ",IF(VolType3=1,AJ161,AI161))</f>
        <v> </v>
      </c>
      <c r="AL161" s="321" t="str">
        <f aca="false">IF($A161="N/A"," ",IF(PV=1,0,'Pricing Inputs3'!R194))</f>
        <v> </v>
      </c>
      <c r="AM161" s="323" t="str">
        <f aca="false">IF($A161="N/A"," ",(1+AL161/2)^(-2*((EOMONTH(A161,0)+20)-DateToday)/365.25))</f>
        <v> </v>
      </c>
      <c r="BQ161" s="0" t="str">
        <f aca="false">IF($A161="N/A"," ",(VLOOKUP($A161,NumberofDaysTable,2)))</f>
        <v> </v>
      </c>
      <c r="BR161" s="0" t="str">
        <f aca="false">IF($A161="N/A"," ",(VLOOKUP($A161,NumberofDaysTable,3)))</f>
        <v> </v>
      </c>
      <c r="BS161" s="0" t="str">
        <f aca="false">IF($A161="N/A"," ",(VLOOKUP($A161,NumberofDaysTable,4)))</f>
        <v> </v>
      </c>
    </row>
    <row r="162" customFormat="false" ht="12.75" hidden="false" customHeight="false" outlineLevel="0" collapsed="false">
      <c r="A162" s="315" t="str">
        <f aca="false">IF(A161="N/A","N/A",IF(EDATE(A161,1)&gt;Inputs!$Q$5,"N/A",EDATE(A161,1)))</f>
        <v>N/A</v>
      </c>
      <c r="B162" s="316" t="str">
        <f aca="false">IF(A162="N/A"," ",YEAR(A162))</f>
        <v> </v>
      </c>
      <c r="C162" s="317" t="str">
        <f aca="false">IF($A162="N/A"," ",IF(Dayrun3=10,0,IF(Scaler3=1,(VLOOKUP(A162,ScaledPrice3,4)),(VLOOKUP(A162,ScaledPrice3,2)))))</f>
        <v> </v>
      </c>
      <c r="D162" s="317" t="str">
        <f aca="false">IF(A162="N/A"," ",IF(Dayrun3&gt;=7,0,IF(Scaler3=2,VLOOKUP(A162,ScaledPrice3,2),(VLOOKUP(A162,ScaledPrice3,2))*(2-(VLOOKUP(A162,ScaledPrice3,3))))))</f>
        <v> </v>
      </c>
      <c r="E162" s="317" t="str">
        <f aca="false">IF($A162="N/A"," ",IF(AND(Dayrun3&gt;=4,Dayrun3&lt;=9),0,VLOOKUP($A162,ScaledPrice3,9)))</f>
        <v> </v>
      </c>
      <c r="F162" s="317" t="str">
        <f aca="false">IF(A162="N/A"," ",IF(OR(Dayrun3=2,Dayrun3=3,Dayrun3=5,Dayrun3=6,Dayrun3=8,Dayrun3=9),VLOOKUP(A162,ScaledPrice3,IF(Scaler3=1,6,5)),0))</f>
        <v> </v>
      </c>
      <c r="G162" s="317" t="str">
        <f aca="false">IF(A162="N/A"," ",IF(OR(Dayrun3=2,Dayrun3=3,Dayrun3=5,Dayrun3=6),IF(Scaler3=2,F162,(VLOOKUP(A162,ScaledPrice3,5))*(2-(VLOOKUP(A162,ScaledPrice3,3)))),0))</f>
        <v> </v>
      </c>
      <c r="H162" s="317" t="str">
        <f aca="false">IF($A162="N/A"," ",IF(OR(Dayrun3=2,Dayrun3=3,Dayrun3=10),VLOOKUP($A162,ScaledPrice3,9),0))</f>
        <v> </v>
      </c>
      <c r="I162" s="317" t="str">
        <f aca="false">IF(A162="N/A"," ",IF(OR(Dayrun3=3,Dayrun3=6,Dayrun3=9),(VLOOKUP(A162,ScaledPrice3,IF(Scaler3=2,7,8))),0))</f>
        <v> </v>
      </c>
      <c r="J162" s="317" t="str">
        <f aca="false">IF(A162="N/A"," ",IF(OR(Dayrun3=3,Dayrun3=6),IF(Scaler3=2,I162,(VLOOKUP(A162,ScaledPrice3,7))*(2-(VLOOKUP(A162,ScaledPrice3,3)))),0))</f>
        <v> </v>
      </c>
      <c r="K162" s="317" t="str">
        <f aca="false">IF($A162="N/A"," ",IF(OR(Dayrun3=3,Dayrun3=10),VLOOKUP($A162,ScaledPrice3,9),0))</f>
        <v> </v>
      </c>
      <c r="L162" s="318" t="str">
        <f aca="false">IF($A162="N/A"," ",IF(Pricetype3=2,MAX(C162,0),IF(OR(Pricetype3=1,Pricetype3=4),IF(C162=0,0,(EURO(C162,Strikeprice3,0,0,($AH162+IF(Smile=TRUE(),VLOOKUP(MAX(-5,Strikeprice3-C162),Volsmile,2),0)),($A162-DateToday)+15,IF(Pricetype3=1,1,0),0))),C162)))</f>
        <v> </v>
      </c>
      <c r="M162" s="318" t="str">
        <f aca="false">IF($A162="N/A"," ",IF(Pricetype3=2,MAX(D162,0),IF(OR(Pricetype3=1,Pricetype3=4),IF(D162=0,0,(EURO(D162,Strikeprice3,0,0,($AH162+IF(Smile=TRUE(),VLOOKUP(MAX(-5,Strikeprice3-D162),Volsmile,2),0)),($A162-DateToday)+15,IF(Pricetype3=1,1,0),0))),D162)))</f>
        <v> </v>
      </c>
      <c r="N162" s="318" t="str">
        <f aca="false">IF($A162="N/A"," ",IF(Pricetype3=2,MAX(E162,0),IF(OR(Pricetype3=1,Pricetype3=4),IF(E162=0,0,(EURO(E162,Strikeprice3,0,0,($AK162+IF(Smile=TRUE(),VLOOKUP(MAX(-5,Strikeprice3-E162),Volsmile,2),0)),($A162-DateToday)+15,IF(Pricetype3=1,1,0),0))),E162)))</f>
        <v> </v>
      </c>
      <c r="O162" s="318" t="str">
        <f aca="false">IF($A162="N/A"," ",IF(Pricetype3=2,MAX(F162,0),IF(OR(Pricetype3=1,Pricetype3=4),IF(F162=0,0,(EURO(F162,Strikeprice3,0,0,($AK162+IF(Smile=TRUE(),VLOOKUP(MAX(-5,Strikeprice3-F162),Volsmile,2),0)),($A162-DateToday)+15,IF(Pricetype3=1,1,0),0))),F162)))</f>
        <v> </v>
      </c>
      <c r="P162" s="318" t="str">
        <f aca="false">IF($A162="N/A"," ",IF(Pricetype3=2,MAX(G162,0),IF(OR(Pricetype3=1,Pricetype3=4),IF(G162=0,0,(EURO(G162,Strikeprice3,0,0,($AK162+IF(Smile=TRUE(),VLOOKUP(MAX(-5,Strikeprice3-G162),Volsmile,2),0)),($A162-DateToday)+15,IF(Pricetype3=1,1,0),0))),G162)))</f>
        <v> </v>
      </c>
      <c r="Q162" s="318" t="str">
        <f aca="false">IF($A162="N/A"," ",IF(Pricetype3=2,MAX(H162,0),IF(OR(Pricetype3=1,Pricetype3=4),IF(H162=0,0,(EURO(H162,Strikeprice3,0,0,($AK162+IF(Smile=TRUE(),VLOOKUP(MAX(-5,Strikeprice3-H162),Volsmile,2),0)),($A162-DateToday)+15,IF(Pricetype3=1,1,0),0))),H162)))</f>
        <v> </v>
      </c>
      <c r="R162" s="318" t="str">
        <f aca="false">IF($A162="N/A"," ",IF(Pricetype3=2,MAX(I162,0),IF(OR(Pricetype3=1,Pricetype3=4),IF(I162=0,0,(EURO(I162,Strikeprice3,0,0,($AK162+IF(Smile=TRUE(),VLOOKUP(MAX(-5,Strikeprice3-I162),Volsmile,2),0)),($A162-DateToday)+15,IF(Pricetype3=1,1,0),0))),I162)))</f>
        <v> </v>
      </c>
      <c r="S162" s="318" t="str">
        <f aca="false">IF($A162="N/A"," ",IF(Pricetype3=2,MAX(J162,0),IF(OR(Pricetype3=1,Pricetype3=4),IF(J162=0,0,(EURO(J162,Strikeprice3,0,0,($AK162+IF(Smile=TRUE(),VLOOKUP(MAX(-5,Strikeprice3-J162),Volsmile,2),0)),($A162-DateToday)+15,IF(Pricetype3=1,1,0),0))),J162)))</f>
        <v> </v>
      </c>
      <c r="T162" s="318" t="str">
        <f aca="false">IF($A162="N/A"," ",IF(Pricetype3=2,MAX(K162,0),IF(OR(Pricetype3=1,Pricetype3=4),IF(K162=0,0,(EURO(K162,Strikeprice3,0,0,($AK162+IF(Smile=TRUE(),VLOOKUP(MAX(-5,Strikeprice3-K162),Volsmile,2),0)),($A162-DateToday)+15,IF(Pricetype3=1,1,0),0))),K162)))</f>
        <v> </v>
      </c>
      <c r="U162" s="319" t="str">
        <f aca="false">IF($A162="N/A"," ",Volume3*$AM162)</f>
        <v> </v>
      </c>
      <c r="V162" s="320" t="str">
        <f aca="false">IF($A162="N/A"," ",$U162*(8*($BQ162))*L162)</f>
        <v> </v>
      </c>
      <c r="W162" s="320" t="str">
        <f aca="false">IF($A162="N/A"," ",$U162*(8*($BQ162))*M162)</f>
        <v> </v>
      </c>
      <c r="X162" s="320" t="str">
        <f aca="false">IF($A162="N/A"," ",$U162*(8*($BQ162))*N162)</f>
        <v> </v>
      </c>
      <c r="Y162" s="320" t="str">
        <f aca="false">IF($A162="N/A"," ",$U162*(8*($BR162))*O162)</f>
        <v> </v>
      </c>
      <c r="Z162" s="320" t="str">
        <f aca="false">IF($A162="N/A"," ",$U162*(8*($BR162))*P162)</f>
        <v> </v>
      </c>
      <c r="AA162" s="320" t="str">
        <f aca="false">IF($A162="N/A"," ",$U162*(8*($BR162))*Q162)</f>
        <v> </v>
      </c>
      <c r="AB162" s="320" t="str">
        <f aca="false">IF($A162="N/A"," ",$U162*(8*($BS162))*R162)</f>
        <v> </v>
      </c>
      <c r="AC162" s="320" t="str">
        <f aca="false">IF($A162="N/A"," ",$U162*(8*($BS162))*S162)</f>
        <v> </v>
      </c>
      <c r="AD162" s="320" t="str">
        <f aca="false">IF($A162="N/A"," ",$U162*(8*($BS162))*T162)</f>
        <v> </v>
      </c>
      <c r="AE162" s="320" t="str">
        <f aca="false">IF($A162="N/A"," ",SUM(V162:AD162))</f>
        <v> </v>
      </c>
      <c r="AF162" s="321" t="str">
        <f aca="false">IF(A162="N/A"," ",(VLOOKUP(A162,PowerVolTable,(IF(VolBMO3=2,7,IF(VolBMO3=1,6,8))),FALSE())))</f>
        <v> </v>
      </c>
      <c r="AG162" s="321" t="str">
        <f aca="false">IF(A162="N/A"," ",(VLOOKUP(A162,IntraPowerVol,(IF(VolBMO3=2,3,IF(VolBMO3=1,2,4))),FALSE())*VLOOKUP(MONTH($A162),Volscale,2)))</f>
        <v> </v>
      </c>
      <c r="AH162" s="321" t="str">
        <f aca="false">IF($A162="N/A"," ",IF(VolType3=1,AG162,AF162))</f>
        <v> </v>
      </c>
      <c r="AI162" s="321" t="str">
        <f aca="false">IF($A162="N/A"," ",(VLOOKUP($A162,OffPwrVolTable,(IF(VolBMO3=2,7,IF(VolBMO3=1,6,8))),FALSE())))</f>
        <v> </v>
      </c>
      <c r="AJ162" s="321" t="str">
        <f aca="false">IF($A162="N/A"," ",(VLOOKUP($A162,OffPwrVolTable,(IF(VolBMO3=2,3,IF(VolBMO3=1,2,4))),FALSE())*VLOOKUP(MONTH($A162),Volscale,2)))</f>
        <v> </v>
      </c>
      <c r="AK162" s="321" t="str">
        <f aca="false">IF($A162="N/A"," ",IF(VolType3=1,AJ162,AI162))</f>
        <v> </v>
      </c>
      <c r="AL162" s="321" t="str">
        <f aca="false">IF($A162="N/A"," ",IF(PV=1,0,'Pricing Inputs3'!R195))</f>
        <v> </v>
      </c>
      <c r="AM162" s="323" t="str">
        <f aca="false">IF($A162="N/A"," ",(1+AL162/2)^(-2*((EOMONTH(A162,0)+20)-DateToday)/365.25))</f>
        <v> </v>
      </c>
      <c r="BQ162" s="0" t="str">
        <f aca="false">IF($A162="N/A"," ",(VLOOKUP($A162,NumberofDaysTable,2)))</f>
        <v> </v>
      </c>
      <c r="BR162" s="0" t="str">
        <f aca="false">IF($A162="N/A"," ",(VLOOKUP($A162,NumberofDaysTable,3)))</f>
        <v> </v>
      </c>
      <c r="BS162" s="0" t="str">
        <f aca="false">IF($A162="N/A"," ",(VLOOKUP($A162,NumberofDaysTable,4)))</f>
        <v> </v>
      </c>
    </row>
    <row r="163" customFormat="false" ht="12.75" hidden="false" customHeight="false" outlineLevel="0" collapsed="false">
      <c r="A163" s="315" t="str">
        <f aca="false">IF(A162="N/A","N/A",IF(EDATE(A162,1)&gt;Inputs!$Q$5,"N/A",EDATE(A162,1)))</f>
        <v>N/A</v>
      </c>
      <c r="B163" s="316" t="str">
        <f aca="false">IF(A163="N/A"," ",YEAR(A163))</f>
        <v> </v>
      </c>
      <c r="C163" s="317" t="str">
        <f aca="false">IF($A163="N/A"," ",IF(Dayrun3=10,0,IF(Scaler3=1,(VLOOKUP(A163,ScaledPrice3,4)),(VLOOKUP(A163,ScaledPrice3,2)))))</f>
        <v> </v>
      </c>
      <c r="D163" s="317" t="str">
        <f aca="false">IF(A163="N/A"," ",IF(Dayrun3&gt;=7,0,IF(Scaler3=2,VLOOKUP(A163,ScaledPrice3,2),(VLOOKUP(A163,ScaledPrice3,2))*(2-(VLOOKUP(A163,ScaledPrice3,3))))))</f>
        <v> </v>
      </c>
      <c r="E163" s="317" t="str">
        <f aca="false">IF($A163="N/A"," ",IF(AND(Dayrun3&gt;=4,Dayrun3&lt;=9),0,VLOOKUP($A163,ScaledPrice3,9)))</f>
        <v> </v>
      </c>
      <c r="F163" s="317" t="str">
        <f aca="false">IF(A163="N/A"," ",IF(OR(Dayrun3=2,Dayrun3=3,Dayrun3=5,Dayrun3=6,Dayrun3=8,Dayrun3=9),VLOOKUP(A163,ScaledPrice3,IF(Scaler3=1,6,5)),0))</f>
        <v> </v>
      </c>
      <c r="G163" s="317" t="str">
        <f aca="false">IF(A163="N/A"," ",IF(OR(Dayrun3=2,Dayrun3=3,Dayrun3=5,Dayrun3=6),IF(Scaler3=2,F163,(VLOOKUP(A163,ScaledPrice3,5))*(2-(VLOOKUP(A163,ScaledPrice3,3)))),0))</f>
        <v> </v>
      </c>
      <c r="H163" s="317" t="str">
        <f aca="false">IF($A163="N/A"," ",IF(OR(Dayrun3=2,Dayrun3=3,Dayrun3=10),VLOOKUP($A163,ScaledPrice3,9),0))</f>
        <v> </v>
      </c>
      <c r="I163" s="317" t="str">
        <f aca="false">IF(A163="N/A"," ",IF(OR(Dayrun3=3,Dayrun3=6,Dayrun3=9),(VLOOKUP(A163,ScaledPrice3,IF(Scaler3=2,7,8))),0))</f>
        <v> </v>
      </c>
      <c r="J163" s="317" t="str">
        <f aca="false">IF(A163="N/A"," ",IF(OR(Dayrun3=3,Dayrun3=6),IF(Scaler3=2,I163,(VLOOKUP(A163,ScaledPrice3,7))*(2-(VLOOKUP(A163,ScaledPrice3,3)))),0))</f>
        <v> </v>
      </c>
      <c r="K163" s="317" t="str">
        <f aca="false">IF($A163="N/A"," ",IF(OR(Dayrun3=3,Dayrun3=10),VLOOKUP($A163,ScaledPrice3,9),0))</f>
        <v> </v>
      </c>
      <c r="L163" s="318" t="str">
        <f aca="false">IF($A163="N/A"," ",IF(Pricetype3=2,MAX(C163,0),IF(OR(Pricetype3=1,Pricetype3=4),IF(C163=0,0,(EURO(C163,Strikeprice3,0,0,($AH163+IF(Smile=TRUE(),VLOOKUP(MAX(-5,Strikeprice3-C163),Volsmile,2),0)),($A163-DateToday)+15,IF(Pricetype3=1,1,0),0))),C163)))</f>
        <v> </v>
      </c>
      <c r="M163" s="318" t="str">
        <f aca="false">IF($A163="N/A"," ",IF(Pricetype3=2,MAX(D163,0),IF(OR(Pricetype3=1,Pricetype3=4),IF(D163=0,0,(EURO(D163,Strikeprice3,0,0,($AH163+IF(Smile=TRUE(),VLOOKUP(MAX(-5,Strikeprice3-D163),Volsmile,2),0)),($A163-DateToday)+15,IF(Pricetype3=1,1,0),0))),D163)))</f>
        <v> </v>
      </c>
      <c r="N163" s="318" t="str">
        <f aca="false">IF($A163="N/A"," ",IF(Pricetype3=2,MAX(E163,0),IF(OR(Pricetype3=1,Pricetype3=4),IF(E163=0,0,(EURO(E163,Strikeprice3,0,0,($AK163+IF(Smile=TRUE(),VLOOKUP(MAX(-5,Strikeprice3-E163),Volsmile,2),0)),($A163-DateToday)+15,IF(Pricetype3=1,1,0),0))),E163)))</f>
        <v> </v>
      </c>
      <c r="O163" s="318" t="str">
        <f aca="false">IF($A163="N/A"," ",IF(Pricetype3=2,MAX(F163,0),IF(OR(Pricetype3=1,Pricetype3=4),IF(F163=0,0,(EURO(F163,Strikeprice3,0,0,($AK163+IF(Smile=TRUE(),VLOOKUP(MAX(-5,Strikeprice3-F163),Volsmile,2),0)),($A163-DateToday)+15,IF(Pricetype3=1,1,0),0))),F163)))</f>
        <v> </v>
      </c>
      <c r="P163" s="318" t="str">
        <f aca="false">IF($A163="N/A"," ",IF(Pricetype3=2,MAX(G163,0),IF(OR(Pricetype3=1,Pricetype3=4),IF(G163=0,0,(EURO(G163,Strikeprice3,0,0,($AK163+IF(Smile=TRUE(),VLOOKUP(MAX(-5,Strikeprice3-G163),Volsmile,2),0)),($A163-DateToday)+15,IF(Pricetype3=1,1,0),0))),G163)))</f>
        <v> </v>
      </c>
      <c r="Q163" s="318" t="str">
        <f aca="false">IF($A163="N/A"," ",IF(Pricetype3=2,MAX(H163,0),IF(OR(Pricetype3=1,Pricetype3=4),IF(H163=0,0,(EURO(H163,Strikeprice3,0,0,($AK163+IF(Smile=TRUE(),VLOOKUP(MAX(-5,Strikeprice3-H163),Volsmile,2),0)),($A163-DateToday)+15,IF(Pricetype3=1,1,0),0))),H163)))</f>
        <v> </v>
      </c>
      <c r="R163" s="318" t="str">
        <f aca="false">IF($A163="N/A"," ",IF(Pricetype3=2,MAX(I163,0),IF(OR(Pricetype3=1,Pricetype3=4),IF(I163=0,0,(EURO(I163,Strikeprice3,0,0,($AK163+IF(Smile=TRUE(),VLOOKUP(MAX(-5,Strikeprice3-I163),Volsmile,2),0)),($A163-DateToday)+15,IF(Pricetype3=1,1,0),0))),I163)))</f>
        <v> </v>
      </c>
      <c r="S163" s="318" t="str">
        <f aca="false">IF($A163="N/A"," ",IF(Pricetype3=2,MAX(J163,0),IF(OR(Pricetype3=1,Pricetype3=4),IF(J163=0,0,(EURO(J163,Strikeprice3,0,0,($AK163+IF(Smile=TRUE(),VLOOKUP(MAX(-5,Strikeprice3-J163),Volsmile,2),0)),($A163-DateToday)+15,IF(Pricetype3=1,1,0),0))),J163)))</f>
        <v> </v>
      </c>
      <c r="T163" s="318" t="str">
        <f aca="false">IF($A163="N/A"," ",IF(Pricetype3=2,MAX(K163,0),IF(OR(Pricetype3=1,Pricetype3=4),IF(K163=0,0,(EURO(K163,Strikeprice3,0,0,($AK163+IF(Smile=TRUE(),VLOOKUP(MAX(-5,Strikeprice3-K163),Volsmile,2),0)),($A163-DateToday)+15,IF(Pricetype3=1,1,0),0))),K163)))</f>
        <v> </v>
      </c>
      <c r="U163" s="319" t="str">
        <f aca="false">IF($A163="N/A"," ",Volume3*$AM163)</f>
        <v> </v>
      </c>
      <c r="V163" s="320" t="str">
        <f aca="false">IF($A163="N/A"," ",$U163*(8*($BQ163))*L163)</f>
        <v> </v>
      </c>
      <c r="W163" s="320" t="str">
        <f aca="false">IF($A163="N/A"," ",$U163*(8*($BQ163))*M163)</f>
        <v> </v>
      </c>
      <c r="X163" s="320" t="str">
        <f aca="false">IF($A163="N/A"," ",$U163*(8*($BQ163))*N163)</f>
        <v> </v>
      </c>
      <c r="Y163" s="320" t="str">
        <f aca="false">IF($A163="N/A"," ",$U163*(8*($BR163))*O163)</f>
        <v> </v>
      </c>
      <c r="Z163" s="320" t="str">
        <f aca="false">IF($A163="N/A"," ",$U163*(8*($BR163))*P163)</f>
        <v> </v>
      </c>
      <c r="AA163" s="320" t="str">
        <f aca="false">IF($A163="N/A"," ",$U163*(8*($BR163))*Q163)</f>
        <v> </v>
      </c>
      <c r="AB163" s="320" t="str">
        <f aca="false">IF($A163="N/A"," ",$U163*(8*($BS163))*R163)</f>
        <v> </v>
      </c>
      <c r="AC163" s="320" t="str">
        <f aca="false">IF($A163="N/A"," ",$U163*(8*($BS163))*S163)</f>
        <v> </v>
      </c>
      <c r="AD163" s="320" t="str">
        <f aca="false">IF($A163="N/A"," ",$U163*(8*($BS163))*T163)</f>
        <v> </v>
      </c>
      <c r="AE163" s="320" t="str">
        <f aca="false">IF($A163="N/A"," ",SUM(V163:AD163))</f>
        <v> </v>
      </c>
      <c r="AF163" s="321" t="str">
        <f aca="false">IF(A163="N/A"," ",(VLOOKUP(A163,PowerVolTable,(IF(VolBMO3=2,7,IF(VolBMO3=1,6,8))),FALSE())))</f>
        <v> </v>
      </c>
      <c r="AG163" s="321" t="str">
        <f aca="false">IF(A163="N/A"," ",(VLOOKUP(A163,IntraPowerVol,(IF(VolBMO3=2,3,IF(VolBMO3=1,2,4))),FALSE())*VLOOKUP(MONTH($A163),Volscale,2)))</f>
        <v> </v>
      </c>
      <c r="AH163" s="321" t="str">
        <f aca="false">IF($A163="N/A"," ",IF(VolType3=1,AG163,AF163))</f>
        <v> </v>
      </c>
      <c r="AI163" s="321" t="str">
        <f aca="false">IF($A163="N/A"," ",(VLOOKUP($A163,OffPwrVolTable,(IF(VolBMO3=2,7,IF(VolBMO3=1,6,8))),FALSE())))</f>
        <v> </v>
      </c>
      <c r="AJ163" s="321" t="str">
        <f aca="false">IF($A163="N/A"," ",(VLOOKUP($A163,OffPwrVolTable,(IF(VolBMO3=2,3,IF(VolBMO3=1,2,4))),FALSE())*VLOOKUP(MONTH($A163),Volscale,2)))</f>
        <v> </v>
      </c>
      <c r="AK163" s="321" t="str">
        <f aca="false">IF($A163="N/A"," ",IF(VolType3=1,AJ163,AI163))</f>
        <v> </v>
      </c>
      <c r="AL163" s="321" t="str">
        <f aca="false">IF($A163="N/A"," ",IF(PV=1,0,'Pricing Inputs3'!R196))</f>
        <v> </v>
      </c>
      <c r="AM163" s="323" t="str">
        <f aca="false">IF($A163="N/A"," ",(1+AL163/2)^(-2*((EOMONTH(A163,0)+20)-DateToday)/365.25))</f>
        <v> </v>
      </c>
      <c r="BQ163" s="0" t="str">
        <f aca="false">IF($A163="N/A"," ",(VLOOKUP($A163,NumberofDaysTable,2)))</f>
        <v> </v>
      </c>
      <c r="BR163" s="0" t="str">
        <f aca="false">IF($A163="N/A"," ",(VLOOKUP($A163,NumberofDaysTable,3)))</f>
        <v> </v>
      </c>
      <c r="BS163" s="0" t="str">
        <f aca="false">IF($A163="N/A"," ",(VLOOKUP($A163,NumberofDaysTable,4)))</f>
        <v> </v>
      </c>
    </row>
    <row r="164" customFormat="false" ht="12.75" hidden="false" customHeight="false" outlineLevel="0" collapsed="false">
      <c r="A164" s="315" t="str">
        <f aca="false">IF(A163="N/A","N/A",IF(EDATE(A163,1)&gt;Inputs!$Q$5,"N/A",EDATE(A163,1)))</f>
        <v>N/A</v>
      </c>
      <c r="B164" s="316" t="str">
        <f aca="false">IF(A164="N/A"," ",YEAR(A164))</f>
        <v> </v>
      </c>
      <c r="C164" s="317" t="str">
        <f aca="false">IF($A164="N/A"," ",IF(Dayrun3=10,0,IF(Scaler3=1,(VLOOKUP(A164,ScaledPrice3,4)),(VLOOKUP(A164,ScaledPrice3,2)))))</f>
        <v> </v>
      </c>
      <c r="D164" s="317" t="str">
        <f aca="false">IF(A164="N/A"," ",IF(Dayrun3&gt;=7,0,IF(Scaler3=2,VLOOKUP(A164,ScaledPrice3,2),(VLOOKUP(A164,ScaledPrice3,2))*(2-(VLOOKUP(A164,ScaledPrice3,3))))))</f>
        <v> </v>
      </c>
      <c r="E164" s="317" t="str">
        <f aca="false">IF($A164="N/A"," ",IF(AND(Dayrun3&gt;=4,Dayrun3&lt;=9),0,VLOOKUP($A164,ScaledPrice3,9)))</f>
        <v> </v>
      </c>
      <c r="F164" s="317" t="str">
        <f aca="false">IF(A164="N/A"," ",IF(OR(Dayrun3=2,Dayrun3=3,Dayrun3=5,Dayrun3=6,Dayrun3=8,Dayrun3=9),VLOOKUP(A164,ScaledPrice3,IF(Scaler3=1,6,5)),0))</f>
        <v> </v>
      </c>
      <c r="G164" s="317" t="str">
        <f aca="false">IF(A164="N/A"," ",IF(OR(Dayrun3=2,Dayrun3=3,Dayrun3=5,Dayrun3=6),IF(Scaler3=2,F164,(VLOOKUP(A164,ScaledPrice3,5))*(2-(VLOOKUP(A164,ScaledPrice3,3)))),0))</f>
        <v> </v>
      </c>
      <c r="H164" s="317" t="str">
        <f aca="false">IF($A164="N/A"," ",IF(OR(Dayrun3=2,Dayrun3=3,Dayrun3=10),VLOOKUP($A164,ScaledPrice3,9),0))</f>
        <v> </v>
      </c>
      <c r="I164" s="317" t="str">
        <f aca="false">IF(A164="N/A"," ",IF(OR(Dayrun3=3,Dayrun3=6,Dayrun3=9),(VLOOKUP(A164,ScaledPrice3,IF(Scaler3=2,7,8))),0))</f>
        <v> </v>
      </c>
      <c r="J164" s="317" t="str">
        <f aca="false">IF(A164="N/A"," ",IF(OR(Dayrun3=3,Dayrun3=6),IF(Scaler3=2,I164,(VLOOKUP(A164,ScaledPrice3,7))*(2-(VLOOKUP(A164,ScaledPrice3,3)))),0))</f>
        <v> </v>
      </c>
      <c r="K164" s="317" t="str">
        <f aca="false">IF($A164="N/A"," ",IF(OR(Dayrun3=3,Dayrun3=10),VLOOKUP($A164,ScaledPrice3,9),0))</f>
        <v> </v>
      </c>
      <c r="L164" s="318" t="str">
        <f aca="false">IF($A164="N/A"," ",IF(Pricetype3=2,MAX(C164,0),IF(OR(Pricetype3=1,Pricetype3=4),IF(C164=0,0,(EURO(C164,Strikeprice3,0,0,($AH164+IF(Smile=TRUE(),VLOOKUP(MAX(-5,Strikeprice3-C164),Volsmile,2),0)),($A164-DateToday)+15,IF(Pricetype3=1,1,0),0))),C164)))</f>
        <v> </v>
      </c>
      <c r="M164" s="318" t="str">
        <f aca="false">IF($A164="N/A"," ",IF(Pricetype3=2,MAX(D164,0),IF(OR(Pricetype3=1,Pricetype3=4),IF(D164=0,0,(EURO(D164,Strikeprice3,0,0,($AH164+IF(Smile=TRUE(),VLOOKUP(MAX(-5,Strikeprice3-D164),Volsmile,2),0)),($A164-DateToday)+15,IF(Pricetype3=1,1,0),0))),D164)))</f>
        <v> </v>
      </c>
      <c r="N164" s="318" t="str">
        <f aca="false">IF($A164="N/A"," ",IF(Pricetype3=2,MAX(E164,0),IF(OR(Pricetype3=1,Pricetype3=4),IF(E164=0,0,(EURO(E164,Strikeprice3,0,0,($AK164+IF(Smile=TRUE(),VLOOKUP(MAX(-5,Strikeprice3-E164),Volsmile,2),0)),($A164-DateToday)+15,IF(Pricetype3=1,1,0),0))),E164)))</f>
        <v> </v>
      </c>
      <c r="O164" s="318" t="str">
        <f aca="false">IF($A164="N/A"," ",IF(Pricetype3=2,MAX(F164,0),IF(OR(Pricetype3=1,Pricetype3=4),IF(F164=0,0,(EURO(F164,Strikeprice3,0,0,($AK164+IF(Smile=TRUE(),VLOOKUP(MAX(-5,Strikeprice3-F164),Volsmile,2),0)),($A164-DateToday)+15,IF(Pricetype3=1,1,0),0))),F164)))</f>
        <v> </v>
      </c>
      <c r="P164" s="318" t="str">
        <f aca="false">IF($A164="N/A"," ",IF(Pricetype3=2,MAX(G164,0),IF(OR(Pricetype3=1,Pricetype3=4),IF(G164=0,0,(EURO(G164,Strikeprice3,0,0,($AK164+IF(Smile=TRUE(),VLOOKUP(MAX(-5,Strikeprice3-G164),Volsmile,2),0)),($A164-DateToday)+15,IF(Pricetype3=1,1,0),0))),G164)))</f>
        <v> </v>
      </c>
      <c r="Q164" s="318" t="str">
        <f aca="false">IF($A164="N/A"," ",IF(Pricetype3=2,MAX(H164,0),IF(OR(Pricetype3=1,Pricetype3=4),IF(H164=0,0,(EURO(H164,Strikeprice3,0,0,($AK164+IF(Smile=TRUE(),VLOOKUP(MAX(-5,Strikeprice3-H164),Volsmile,2),0)),($A164-DateToday)+15,IF(Pricetype3=1,1,0),0))),H164)))</f>
        <v> </v>
      </c>
      <c r="R164" s="318" t="str">
        <f aca="false">IF($A164="N/A"," ",IF(Pricetype3=2,MAX(I164,0),IF(OR(Pricetype3=1,Pricetype3=4),IF(I164=0,0,(EURO(I164,Strikeprice3,0,0,($AK164+IF(Smile=TRUE(),VLOOKUP(MAX(-5,Strikeprice3-I164),Volsmile,2),0)),($A164-DateToday)+15,IF(Pricetype3=1,1,0),0))),I164)))</f>
        <v> </v>
      </c>
      <c r="S164" s="318" t="str">
        <f aca="false">IF($A164="N/A"," ",IF(Pricetype3=2,MAX(J164,0),IF(OR(Pricetype3=1,Pricetype3=4),IF(J164=0,0,(EURO(J164,Strikeprice3,0,0,($AK164+IF(Smile=TRUE(),VLOOKUP(MAX(-5,Strikeprice3-J164),Volsmile,2),0)),($A164-DateToday)+15,IF(Pricetype3=1,1,0),0))),J164)))</f>
        <v> </v>
      </c>
      <c r="T164" s="318" t="str">
        <f aca="false">IF($A164="N/A"," ",IF(Pricetype3=2,MAX(K164,0),IF(OR(Pricetype3=1,Pricetype3=4),IF(K164=0,0,(EURO(K164,Strikeprice3,0,0,($AK164+IF(Smile=TRUE(),VLOOKUP(MAX(-5,Strikeprice3-K164),Volsmile,2),0)),($A164-DateToday)+15,IF(Pricetype3=1,1,0),0))),K164)))</f>
        <v> </v>
      </c>
      <c r="U164" s="319" t="str">
        <f aca="false">IF($A164="N/A"," ",Volume3*$AM164)</f>
        <v> </v>
      </c>
      <c r="V164" s="320" t="str">
        <f aca="false">IF($A164="N/A"," ",$U164*(8*($BQ164))*L164)</f>
        <v> </v>
      </c>
      <c r="W164" s="320" t="str">
        <f aca="false">IF($A164="N/A"," ",$U164*(8*($BQ164))*M164)</f>
        <v> </v>
      </c>
      <c r="X164" s="320" t="str">
        <f aca="false">IF($A164="N/A"," ",$U164*(8*($BQ164))*N164)</f>
        <v> </v>
      </c>
      <c r="Y164" s="320" t="str">
        <f aca="false">IF($A164="N/A"," ",$U164*(8*($BR164))*O164)</f>
        <v> </v>
      </c>
      <c r="Z164" s="320" t="str">
        <f aca="false">IF($A164="N/A"," ",$U164*(8*($BR164))*P164)</f>
        <v> </v>
      </c>
      <c r="AA164" s="320" t="str">
        <f aca="false">IF($A164="N/A"," ",$U164*(8*($BR164))*Q164)</f>
        <v> </v>
      </c>
      <c r="AB164" s="320" t="str">
        <f aca="false">IF($A164="N/A"," ",$U164*(8*($BS164))*R164)</f>
        <v> </v>
      </c>
      <c r="AC164" s="320" t="str">
        <f aca="false">IF($A164="N/A"," ",$U164*(8*($BS164))*S164)</f>
        <v> </v>
      </c>
      <c r="AD164" s="320" t="str">
        <f aca="false">IF($A164="N/A"," ",$U164*(8*($BS164))*T164)</f>
        <v> </v>
      </c>
      <c r="AE164" s="320" t="str">
        <f aca="false">IF($A164="N/A"," ",SUM(V164:AD164))</f>
        <v> </v>
      </c>
      <c r="AF164" s="321" t="str">
        <f aca="false">IF(A164="N/A"," ",(VLOOKUP(A164,PowerVolTable,(IF(VolBMO3=2,7,IF(VolBMO3=1,6,8))),FALSE())))</f>
        <v> </v>
      </c>
      <c r="AG164" s="321" t="str">
        <f aca="false">IF(A164="N/A"," ",(VLOOKUP(A164,IntraPowerVol,(IF(VolBMO3=2,3,IF(VolBMO3=1,2,4))),FALSE())*VLOOKUP(MONTH($A164),Volscale,2)))</f>
        <v> </v>
      </c>
      <c r="AH164" s="321" t="str">
        <f aca="false">IF($A164="N/A"," ",IF(VolType3=1,AG164,AF164))</f>
        <v> </v>
      </c>
      <c r="AI164" s="321" t="str">
        <f aca="false">IF($A164="N/A"," ",(VLOOKUP($A164,OffPwrVolTable,(IF(VolBMO3=2,7,IF(VolBMO3=1,6,8))),FALSE())))</f>
        <v> </v>
      </c>
      <c r="AJ164" s="321" t="str">
        <f aca="false">IF($A164="N/A"," ",(VLOOKUP($A164,OffPwrVolTable,(IF(VolBMO3=2,3,IF(VolBMO3=1,2,4))),FALSE())*VLOOKUP(MONTH($A164),Volscale,2)))</f>
        <v> </v>
      </c>
      <c r="AK164" s="321" t="str">
        <f aca="false">IF($A164="N/A"," ",IF(VolType3=1,AJ164,AI164))</f>
        <v> </v>
      </c>
      <c r="AL164" s="321" t="str">
        <f aca="false">IF($A164="N/A"," ",IF(PV=1,0,'Pricing Inputs3'!R197))</f>
        <v> </v>
      </c>
      <c r="AM164" s="323" t="str">
        <f aca="false">IF($A164="N/A"," ",(1+AL164/2)^(-2*((EOMONTH(A164,0)+20)-DateToday)/365.25))</f>
        <v> </v>
      </c>
      <c r="BQ164" s="0" t="str">
        <f aca="false">IF($A164="N/A"," ",(VLOOKUP($A164,NumberofDaysTable,2)))</f>
        <v> </v>
      </c>
      <c r="BR164" s="0" t="str">
        <f aca="false">IF($A164="N/A"," ",(VLOOKUP($A164,NumberofDaysTable,3)))</f>
        <v> </v>
      </c>
      <c r="BS164" s="0" t="str">
        <f aca="false">IF($A164="N/A"," ",(VLOOKUP($A164,NumberofDaysTable,4)))</f>
        <v> </v>
      </c>
    </row>
    <row r="165" customFormat="false" ht="12.75" hidden="false" customHeight="false" outlineLevel="0" collapsed="false">
      <c r="A165" s="315" t="str">
        <f aca="false">IF(A164="N/A","N/A",IF(EDATE(A164,1)&gt;Inputs!$Q$5,"N/A",EDATE(A164,1)))</f>
        <v>N/A</v>
      </c>
      <c r="B165" s="316" t="str">
        <f aca="false">IF(A165="N/A"," ",YEAR(A165))</f>
        <v> </v>
      </c>
      <c r="C165" s="317" t="str">
        <f aca="false">IF($A165="N/A"," ",IF(Dayrun3=10,0,IF(Scaler3=1,(VLOOKUP(A165,ScaledPrice3,4)),(VLOOKUP(A165,ScaledPrice3,2)))))</f>
        <v> </v>
      </c>
      <c r="D165" s="317" t="str">
        <f aca="false">IF(A165="N/A"," ",IF(Dayrun3&gt;=7,0,IF(Scaler3=2,VLOOKUP(A165,ScaledPrice3,2),(VLOOKUP(A165,ScaledPrice3,2))*(2-(VLOOKUP(A165,ScaledPrice3,3))))))</f>
        <v> </v>
      </c>
      <c r="E165" s="317" t="str">
        <f aca="false">IF($A165="N/A"," ",IF(AND(Dayrun3&gt;=4,Dayrun3&lt;=9),0,VLOOKUP($A165,ScaledPrice3,9)))</f>
        <v> </v>
      </c>
      <c r="F165" s="317" t="str">
        <f aca="false">IF(A165="N/A"," ",IF(OR(Dayrun3=2,Dayrun3=3,Dayrun3=5,Dayrun3=6,Dayrun3=8,Dayrun3=9),VLOOKUP(A165,ScaledPrice3,IF(Scaler3=1,6,5)),0))</f>
        <v> </v>
      </c>
      <c r="G165" s="317" t="str">
        <f aca="false">IF(A165="N/A"," ",IF(OR(Dayrun3=2,Dayrun3=3,Dayrun3=5,Dayrun3=6),IF(Scaler3=2,F165,(VLOOKUP(A165,ScaledPrice3,5))*(2-(VLOOKUP(A165,ScaledPrice3,3)))),0))</f>
        <v> </v>
      </c>
      <c r="H165" s="317" t="str">
        <f aca="false">IF($A165="N/A"," ",IF(OR(Dayrun3=2,Dayrun3=3,Dayrun3=10),VLOOKUP($A165,ScaledPrice3,9),0))</f>
        <v> </v>
      </c>
      <c r="I165" s="317" t="str">
        <f aca="false">IF(A165="N/A"," ",IF(OR(Dayrun3=3,Dayrun3=6,Dayrun3=9),(VLOOKUP(A165,ScaledPrice3,IF(Scaler3=2,7,8))),0))</f>
        <v> </v>
      </c>
      <c r="J165" s="317" t="str">
        <f aca="false">IF(A165="N/A"," ",IF(OR(Dayrun3=3,Dayrun3=6),IF(Scaler3=2,I165,(VLOOKUP(A165,ScaledPrice3,7))*(2-(VLOOKUP(A165,ScaledPrice3,3)))),0))</f>
        <v> </v>
      </c>
      <c r="K165" s="317" t="str">
        <f aca="false">IF($A165="N/A"," ",IF(OR(Dayrun3=3,Dayrun3=10),VLOOKUP($A165,ScaledPrice3,9),0))</f>
        <v> </v>
      </c>
      <c r="L165" s="318" t="str">
        <f aca="false">IF($A165="N/A"," ",IF(Pricetype3=2,MAX(C165,0),IF(OR(Pricetype3=1,Pricetype3=4),IF(C165=0,0,(EURO(C165,Strikeprice3,0,0,($AH165+IF(Smile=TRUE(),VLOOKUP(MAX(-5,Strikeprice3-C165),Volsmile,2),0)),($A165-DateToday)+15,IF(Pricetype3=1,1,0),0))),C165)))</f>
        <v> </v>
      </c>
      <c r="M165" s="318" t="str">
        <f aca="false">IF($A165="N/A"," ",IF(Pricetype3=2,MAX(D165,0),IF(OR(Pricetype3=1,Pricetype3=4),IF(D165=0,0,(EURO(D165,Strikeprice3,0,0,($AH165+IF(Smile=TRUE(),VLOOKUP(MAX(-5,Strikeprice3-D165),Volsmile,2),0)),($A165-DateToday)+15,IF(Pricetype3=1,1,0),0))),D165)))</f>
        <v> </v>
      </c>
      <c r="N165" s="318" t="str">
        <f aca="false">IF($A165="N/A"," ",IF(Pricetype3=2,MAX(E165,0),IF(OR(Pricetype3=1,Pricetype3=4),IF(E165=0,0,(EURO(E165,Strikeprice3,0,0,($AK165+IF(Smile=TRUE(),VLOOKUP(MAX(-5,Strikeprice3-E165),Volsmile,2),0)),($A165-DateToday)+15,IF(Pricetype3=1,1,0),0))),E165)))</f>
        <v> </v>
      </c>
      <c r="O165" s="318" t="str">
        <f aca="false">IF($A165="N/A"," ",IF(Pricetype3=2,MAX(F165,0),IF(OR(Pricetype3=1,Pricetype3=4),IF(F165=0,0,(EURO(F165,Strikeprice3,0,0,($AK165+IF(Smile=TRUE(),VLOOKUP(MAX(-5,Strikeprice3-F165),Volsmile,2),0)),($A165-DateToday)+15,IF(Pricetype3=1,1,0),0))),F165)))</f>
        <v> </v>
      </c>
      <c r="P165" s="318" t="str">
        <f aca="false">IF($A165="N/A"," ",IF(Pricetype3=2,MAX(G165,0),IF(OR(Pricetype3=1,Pricetype3=4),IF(G165=0,0,(EURO(G165,Strikeprice3,0,0,($AK165+IF(Smile=TRUE(),VLOOKUP(MAX(-5,Strikeprice3-G165),Volsmile,2),0)),($A165-DateToday)+15,IF(Pricetype3=1,1,0),0))),G165)))</f>
        <v> </v>
      </c>
      <c r="Q165" s="318" t="str">
        <f aca="false">IF($A165="N/A"," ",IF(Pricetype3=2,MAX(H165,0),IF(OR(Pricetype3=1,Pricetype3=4),IF(H165=0,0,(EURO(H165,Strikeprice3,0,0,($AK165+IF(Smile=TRUE(),VLOOKUP(MAX(-5,Strikeprice3-H165),Volsmile,2),0)),($A165-DateToday)+15,IF(Pricetype3=1,1,0),0))),H165)))</f>
        <v> </v>
      </c>
      <c r="R165" s="318" t="str">
        <f aca="false">IF($A165="N/A"," ",IF(Pricetype3=2,MAX(I165,0),IF(OR(Pricetype3=1,Pricetype3=4),IF(I165=0,0,(EURO(I165,Strikeprice3,0,0,($AK165+IF(Smile=TRUE(),VLOOKUP(MAX(-5,Strikeprice3-I165),Volsmile,2),0)),($A165-DateToday)+15,IF(Pricetype3=1,1,0),0))),I165)))</f>
        <v> </v>
      </c>
      <c r="S165" s="318" t="str">
        <f aca="false">IF($A165="N/A"," ",IF(Pricetype3=2,MAX(J165,0),IF(OR(Pricetype3=1,Pricetype3=4),IF(J165=0,0,(EURO(J165,Strikeprice3,0,0,($AK165+IF(Smile=TRUE(),VLOOKUP(MAX(-5,Strikeprice3-J165),Volsmile,2),0)),($A165-DateToday)+15,IF(Pricetype3=1,1,0),0))),J165)))</f>
        <v> </v>
      </c>
      <c r="T165" s="318" t="str">
        <f aca="false">IF($A165="N/A"," ",IF(Pricetype3=2,MAX(K165,0),IF(OR(Pricetype3=1,Pricetype3=4),IF(K165=0,0,(EURO(K165,Strikeprice3,0,0,($AK165+IF(Smile=TRUE(),VLOOKUP(MAX(-5,Strikeprice3-K165),Volsmile,2),0)),($A165-DateToday)+15,IF(Pricetype3=1,1,0),0))),K165)))</f>
        <v> </v>
      </c>
      <c r="U165" s="319" t="str">
        <f aca="false">IF($A165="N/A"," ",Volume3*$AM165)</f>
        <v> </v>
      </c>
      <c r="V165" s="320" t="str">
        <f aca="false">IF($A165="N/A"," ",$U165*(8*($BQ165))*L165)</f>
        <v> </v>
      </c>
      <c r="W165" s="320" t="str">
        <f aca="false">IF($A165="N/A"," ",$U165*(8*($BQ165))*M165)</f>
        <v> </v>
      </c>
      <c r="X165" s="320" t="str">
        <f aca="false">IF($A165="N/A"," ",$U165*(8*($BQ165))*N165)</f>
        <v> </v>
      </c>
      <c r="Y165" s="320" t="str">
        <f aca="false">IF($A165="N/A"," ",$U165*(8*($BR165))*O165)</f>
        <v> </v>
      </c>
      <c r="Z165" s="320" t="str">
        <f aca="false">IF($A165="N/A"," ",$U165*(8*($BR165))*P165)</f>
        <v> </v>
      </c>
      <c r="AA165" s="320" t="str">
        <f aca="false">IF($A165="N/A"," ",$U165*(8*($BR165))*Q165)</f>
        <v> </v>
      </c>
      <c r="AB165" s="320" t="str">
        <f aca="false">IF($A165="N/A"," ",$U165*(8*($BS165))*R165)</f>
        <v> </v>
      </c>
      <c r="AC165" s="320" t="str">
        <f aca="false">IF($A165="N/A"," ",$U165*(8*($BS165))*S165)</f>
        <v> </v>
      </c>
      <c r="AD165" s="320" t="str">
        <f aca="false">IF($A165="N/A"," ",$U165*(8*($BS165))*T165)</f>
        <v> </v>
      </c>
      <c r="AE165" s="320" t="str">
        <f aca="false">IF($A165="N/A"," ",SUM(V165:AD165))</f>
        <v> </v>
      </c>
      <c r="AF165" s="321" t="str">
        <f aca="false">IF(A165="N/A"," ",(VLOOKUP(A165,PowerVolTable,(IF(VolBMO3=2,7,IF(VolBMO3=1,6,8))),FALSE())))</f>
        <v> </v>
      </c>
      <c r="AG165" s="321" t="str">
        <f aca="false">IF(A165="N/A"," ",(VLOOKUP(A165,IntraPowerVol,(IF(VolBMO3=2,3,IF(VolBMO3=1,2,4))),FALSE())*VLOOKUP(MONTH($A165),Volscale,2)))</f>
        <v> </v>
      </c>
      <c r="AH165" s="321" t="str">
        <f aca="false">IF($A165="N/A"," ",IF(VolType3=1,AG165,AF165))</f>
        <v> </v>
      </c>
      <c r="AI165" s="321" t="str">
        <f aca="false">IF($A165="N/A"," ",(VLOOKUP($A165,OffPwrVolTable,(IF(VolBMO3=2,7,IF(VolBMO3=1,6,8))),FALSE())))</f>
        <v> </v>
      </c>
      <c r="AJ165" s="321" t="str">
        <f aca="false">IF($A165="N/A"," ",(VLOOKUP($A165,OffPwrVolTable,(IF(VolBMO3=2,3,IF(VolBMO3=1,2,4))),FALSE())*VLOOKUP(MONTH($A165),Volscale,2)))</f>
        <v> </v>
      </c>
      <c r="AK165" s="321" t="str">
        <f aca="false">IF($A165="N/A"," ",IF(VolType3=1,AJ165,AI165))</f>
        <v> </v>
      </c>
      <c r="AL165" s="321" t="str">
        <f aca="false">IF($A165="N/A"," ",IF(PV=1,0,'Pricing Inputs3'!R198))</f>
        <v> </v>
      </c>
      <c r="AM165" s="323" t="str">
        <f aca="false">IF($A165="N/A"," ",(1+AL165/2)^(-2*((EOMONTH(A165,0)+20)-DateToday)/365.25))</f>
        <v> </v>
      </c>
      <c r="BQ165" s="0" t="str">
        <f aca="false">IF($A165="N/A"," ",(VLOOKUP($A165,NumberofDaysTable,2)))</f>
        <v> </v>
      </c>
      <c r="BR165" s="0" t="str">
        <f aca="false">IF($A165="N/A"," ",(VLOOKUP($A165,NumberofDaysTable,3)))</f>
        <v> </v>
      </c>
      <c r="BS165" s="0" t="str">
        <f aca="false">IF($A165="N/A"," ",(VLOOKUP($A165,NumberofDaysTable,4)))</f>
        <v> </v>
      </c>
    </row>
    <row r="166" customFormat="false" ht="12.75" hidden="false" customHeight="false" outlineLevel="0" collapsed="false">
      <c r="A166" s="315" t="str">
        <f aca="false">IF(A165="N/A","N/A",IF(EDATE(A165,1)&gt;Inputs!$Q$5,"N/A",EDATE(A165,1)))</f>
        <v>N/A</v>
      </c>
      <c r="B166" s="316" t="str">
        <f aca="false">IF(A166="N/A"," ",YEAR(A166))</f>
        <v> </v>
      </c>
      <c r="C166" s="317" t="str">
        <f aca="false">IF($A166="N/A"," ",IF(Dayrun3=10,0,IF(Scaler3=1,(VLOOKUP(A166,ScaledPrice3,4)),(VLOOKUP(A166,ScaledPrice3,2)))))</f>
        <v> </v>
      </c>
      <c r="D166" s="317" t="str">
        <f aca="false">IF(A166="N/A"," ",IF(Dayrun3&gt;=7,0,IF(Scaler3=2,VLOOKUP(A166,ScaledPrice3,2),(VLOOKUP(A166,ScaledPrice3,2))*(2-(VLOOKUP(A166,ScaledPrice3,3))))))</f>
        <v> </v>
      </c>
      <c r="E166" s="317" t="str">
        <f aca="false">IF($A166="N/A"," ",IF(AND(Dayrun3&gt;=4,Dayrun3&lt;=9),0,VLOOKUP($A166,ScaledPrice3,9)))</f>
        <v> </v>
      </c>
      <c r="F166" s="317" t="str">
        <f aca="false">IF(A166="N/A"," ",IF(OR(Dayrun3=2,Dayrun3=3,Dayrun3=5,Dayrun3=6,Dayrun3=8,Dayrun3=9),VLOOKUP(A166,ScaledPrice3,IF(Scaler3=1,6,5)),0))</f>
        <v> </v>
      </c>
      <c r="G166" s="317" t="str">
        <f aca="false">IF(A166="N/A"," ",IF(OR(Dayrun3=2,Dayrun3=3,Dayrun3=5,Dayrun3=6),IF(Scaler3=2,F166,(VLOOKUP(A166,ScaledPrice3,5))*(2-(VLOOKUP(A166,ScaledPrice3,3)))),0))</f>
        <v> </v>
      </c>
      <c r="H166" s="317" t="str">
        <f aca="false">IF($A166="N/A"," ",IF(OR(Dayrun3=2,Dayrun3=3,Dayrun3=10),VLOOKUP($A166,ScaledPrice3,9),0))</f>
        <v> </v>
      </c>
      <c r="I166" s="317" t="str">
        <f aca="false">IF(A166="N/A"," ",IF(OR(Dayrun3=3,Dayrun3=6,Dayrun3=9),(VLOOKUP(A166,ScaledPrice3,IF(Scaler3=2,7,8))),0))</f>
        <v> </v>
      </c>
      <c r="J166" s="317" t="str">
        <f aca="false">IF(A166="N/A"," ",IF(OR(Dayrun3=3,Dayrun3=6),IF(Scaler3=2,I166,(VLOOKUP(A166,ScaledPrice3,7))*(2-(VLOOKUP(A166,ScaledPrice3,3)))),0))</f>
        <v> </v>
      </c>
      <c r="K166" s="317" t="str">
        <f aca="false">IF($A166="N/A"," ",IF(OR(Dayrun3=3,Dayrun3=10),VLOOKUP($A166,ScaledPrice3,9),0))</f>
        <v> </v>
      </c>
      <c r="L166" s="318" t="str">
        <f aca="false">IF($A166="N/A"," ",IF(Pricetype3=2,MAX(C166,0),IF(OR(Pricetype3=1,Pricetype3=4),IF(C166=0,0,(EURO(C166,Strikeprice3,0,0,($AH166+IF(Smile=TRUE(),VLOOKUP(MAX(-5,Strikeprice3-C166),Volsmile,2),0)),($A166-DateToday)+15,IF(Pricetype3=1,1,0),0))),C166)))</f>
        <v> </v>
      </c>
      <c r="M166" s="318" t="str">
        <f aca="false">IF($A166="N/A"," ",IF(Pricetype3=2,MAX(D166,0),IF(OR(Pricetype3=1,Pricetype3=4),IF(D166=0,0,(EURO(D166,Strikeprice3,0,0,($AH166+IF(Smile=TRUE(),VLOOKUP(MAX(-5,Strikeprice3-D166),Volsmile,2),0)),($A166-DateToday)+15,IF(Pricetype3=1,1,0),0))),D166)))</f>
        <v> </v>
      </c>
      <c r="N166" s="318" t="str">
        <f aca="false">IF($A166="N/A"," ",IF(Pricetype3=2,MAX(E166,0),IF(OR(Pricetype3=1,Pricetype3=4),IF(E166=0,0,(EURO(E166,Strikeprice3,0,0,($AK166+IF(Smile=TRUE(),VLOOKUP(MAX(-5,Strikeprice3-E166),Volsmile,2),0)),($A166-DateToday)+15,IF(Pricetype3=1,1,0),0))),E166)))</f>
        <v> </v>
      </c>
      <c r="O166" s="318" t="str">
        <f aca="false">IF($A166="N/A"," ",IF(Pricetype3=2,MAX(F166,0),IF(OR(Pricetype3=1,Pricetype3=4),IF(F166=0,0,(EURO(F166,Strikeprice3,0,0,($AK166+IF(Smile=TRUE(),VLOOKUP(MAX(-5,Strikeprice3-F166),Volsmile,2),0)),($A166-DateToday)+15,IF(Pricetype3=1,1,0),0))),F166)))</f>
        <v> </v>
      </c>
      <c r="P166" s="318" t="str">
        <f aca="false">IF($A166="N/A"," ",IF(Pricetype3=2,MAX(G166,0),IF(OR(Pricetype3=1,Pricetype3=4),IF(G166=0,0,(EURO(G166,Strikeprice3,0,0,($AK166+IF(Smile=TRUE(),VLOOKUP(MAX(-5,Strikeprice3-G166),Volsmile,2),0)),($A166-DateToday)+15,IF(Pricetype3=1,1,0),0))),G166)))</f>
        <v> </v>
      </c>
      <c r="Q166" s="318" t="str">
        <f aca="false">IF($A166="N/A"," ",IF(Pricetype3=2,MAX(H166,0),IF(OR(Pricetype3=1,Pricetype3=4),IF(H166=0,0,(EURO(H166,Strikeprice3,0,0,($AK166+IF(Smile=TRUE(),VLOOKUP(MAX(-5,Strikeprice3-H166),Volsmile,2),0)),($A166-DateToday)+15,IF(Pricetype3=1,1,0),0))),H166)))</f>
        <v> </v>
      </c>
      <c r="R166" s="318" t="str">
        <f aca="false">IF($A166="N/A"," ",IF(Pricetype3=2,MAX(I166,0),IF(OR(Pricetype3=1,Pricetype3=4),IF(I166=0,0,(EURO(I166,Strikeprice3,0,0,($AK166+IF(Smile=TRUE(),VLOOKUP(MAX(-5,Strikeprice3-I166),Volsmile,2),0)),($A166-DateToday)+15,IF(Pricetype3=1,1,0),0))),I166)))</f>
        <v> </v>
      </c>
      <c r="S166" s="318" t="str">
        <f aca="false">IF($A166="N/A"," ",IF(Pricetype3=2,MAX(J166,0),IF(OR(Pricetype3=1,Pricetype3=4),IF(J166=0,0,(EURO(J166,Strikeprice3,0,0,($AK166+IF(Smile=TRUE(),VLOOKUP(MAX(-5,Strikeprice3-J166),Volsmile,2),0)),($A166-DateToday)+15,IF(Pricetype3=1,1,0),0))),J166)))</f>
        <v> </v>
      </c>
      <c r="T166" s="318" t="str">
        <f aca="false">IF($A166="N/A"," ",IF(Pricetype3=2,MAX(K166,0),IF(OR(Pricetype3=1,Pricetype3=4),IF(K166=0,0,(EURO(K166,Strikeprice3,0,0,($AK166+IF(Smile=TRUE(),VLOOKUP(MAX(-5,Strikeprice3-K166),Volsmile,2),0)),($A166-DateToday)+15,IF(Pricetype3=1,1,0),0))),K166)))</f>
        <v> </v>
      </c>
      <c r="U166" s="319" t="str">
        <f aca="false">IF($A166="N/A"," ",Volume3*$AM166)</f>
        <v> </v>
      </c>
      <c r="V166" s="320" t="str">
        <f aca="false">IF($A166="N/A"," ",$U166*(8*($BQ166))*L166)</f>
        <v> </v>
      </c>
      <c r="W166" s="320" t="str">
        <f aca="false">IF($A166="N/A"," ",$U166*(8*($BQ166))*M166)</f>
        <v> </v>
      </c>
      <c r="X166" s="320" t="str">
        <f aca="false">IF($A166="N/A"," ",$U166*(8*($BQ166))*N166)</f>
        <v> </v>
      </c>
      <c r="Y166" s="320" t="str">
        <f aca="false">IF($A166="N/A"," ",$U166*(8*($BR166))*O166)</f>
        <v> </v>
      </c>
      <c r="Z166" s="320" t="str">
        <f aca="false">IF($A166="N/A"," ",$U166*(8*($BR166))*P166)</f>
        <v> </v>
      </c>
      <c r="AA166" s="320" t="str">
        <f aca="false">IF($A166="N/A"," ",$U166*(8*($BR166))*Q166)</f>
        <v> </v>
      </c>
      <c r="AB166" s="320" t="str">
        <f aca="false">IF($A166="N/A"," ",$U166*(8*($BS166))*R166)</f>
        <v> </v>
      </c>
      <c r="AC166" s="320" t="str">
        <f aca="false">IF($A166="N/A"," ",$U166*(8*($BS166))*S166)</f>
        <v> </v>
      </c>
      <c r="AD166" s="320" t="str">
        <f aca="false">IF($A166="N/A"," ",$U166*(8*($BS166))*T166)</f>
        <v> </v>
      </c>
      <c r="AE166" s="320" t="str">
        <f aca="false">IF($A166="N/A"," ",SUM(V166:AD166))</f>
        <v> </v>
      </c>
      <c r="AF166" s="321" t="str">
        <f aca="false">IF(A166="N/A"," ",(VLOOKUP(A166,PowerVolTable,(IF(VolBMO3=2,7,IF(VolBMO3=1,6,8))),FALSE())))</f>
        <v> </v>
      </c>
      <c r="AG166" s="321" t="str">
        <f aca="false">IF(A166="N/A"," ",(VLOOKUP(A166,IntraPowerVol,(IF(VolBMO3=2,3,IF(VolBMO3=1,2,4))),FALSE())*VLOOKUP(MONTH($A166),Volscale,2)))</f>
        <v> </v>
      </c>
      <c r="AH166" s="321" t="str">
        <f aca="false">IF($A166="N/A"," ",IF(VolType3=1,AG166,AF166))</f>
        <v> </v>
      </c>
      <c r="AI166" s="321" t="str">
        <f aca="false">IF($A166="N/A"," ",(VLOOKUP($A166,OffPwrVolTable,(IF(VolBMO3=2,7,IF(VolBMO3=1,6,8))),FALSE())))</f>
        <v> </v>
      </c>
      <c r="AJ166" s="321" t="str">
        <f aca="false">IF($A166="N/A"," ",(VLOOKUP($A166,OffPwrVolTable,(IF(VolBMO3=2,3,IF(VolBMO3=1,2,4))),FALSE())*VLOOKUP(MONTH($A166),Volscale,2)))</f>
        <v> </v>
      </c>
      <c r="AK166" s="321" t="str">
        <f aca="false">IF($A166="N/A"," ",IF(VolType3=1,AJ166,AI166))</f>
        <v> </v>
      </c>
      <c r="AL166" s="321" t="str">
        <f aca="false">IF($A166="N/A"," ",IF(PV=1,0,'Pricing Inputs3'!R199))</f>
        <v> </v>
      </c>
      <c r="AM166" s="323" t="str">
        <f aca="false">IF($A166="N/A"," ",(1+AL166/2)^(-2*((EOMONTH(A166,0)+20)-DateToday)/365.25))</f>
        <v> </v>
      </c>
      <c r="BQ166" s="0" t="str">
        <f aca="false">IF($A166="N/A"," ",(VLOOKUP($A166,NumberofDaysTable,2)))</f>
        <v> </v>
      </c>
      <c r="BR166" s="0" t="str">
        <f aca="false">IF($A166="N/A"," ",(VLOOKUP($A166,NumberofDaysTable,3)))</f>
        <v> </v>
      </c>
      <c r="BS166" s="0" t="str">
        <f aca="false">IF($A166="N/A"," ",(VLOOKUP($A166,NumberofDaysTable,4)))</f>
        <v> </v>
      </c>
    </row>
    <row r="167" customFormat="false" ht="12.75" hidden="false" customHeight="false" outlineLevel="0" collapsed="false">
      <c r="A167" s="315" t="str">
        <f aca="false">IF(A166="N/A","N/A",IF(EDATE(A166,1)&gt;Inputs!$Q$5,"N/A",EDATE(A166,1)))</f>
        <v>N/A</v>
      </c>
      <c r="B167" s="316" t="str">
        <f aca="false">IF(A167="N/A"," ",YEAR(A167))</f>
        <v> </v>
      </c>
      <c r="C167" s="317" t="str">
        <f aca="false">IF($A167="N/A"," ",IF(Dayrun3=10,0,IF(Scaler3=1,(VLOOKUP(A167,ScaledPrice3,4)),(VLOOKUP(A167,ScaledPrice3,2)))))</f>
        <v> </v>
      </c>
      <c r="D167" s="317" t="str">
        <f aca="false">IF(A167="N/A"," ",IF(Dayrun3&gt;=7,0,IF(Scaler3=2,VLOOKUP(A167,ScaledPrice3,2),(VLOOKUP(A167,ScaledPrice3,2))*(2-(VLOOKUP(A167,ScaledPrice3,3))))))</f>
        <v> </v>
      </c>
      <c r="E167" s="317" t="str">
        <f aca="false">IF($A167="N/A"," ",IF(AND(Dayrun3&gt;=4,Dayrun3&lt;=9),0,VLOOKUP($A167,ScaledPrice3,9)))</f>
        <v> </v>
      </c>
      <c r="F167" s="317" t="str">
        <f aca="false">IF(A167="N/A"," ",IF(OR(Dayrun3=2,Dayrun3=3,Dayrun3=5,Dayrun3=6,Dayrun3=8,Dayrun3=9),VLOOKUP(A167,ScaledPrice3,IF(Scaler3=1,6,5)),0))</f>
        <v> </v>
      </c>
      <c r="G167" s="317" t="str">
        <f aca="false">IF(A167="N/A"," ",IF(OR(Dayrun3=2,Dayrun3=3,Dayrun3=5,Dayrun3=6),IF(Scaler3=2,F167,(VLOOKUP(A167,ScaledPrice3,5))*(2-(VLOOKUP(A167,ScaledPrice3,3)))),0))</f>
        <v> </v>
      </c>
      <c r="H167" s="317" t="str">
        <f aca="false">IF($A167="N/A"," ",IF(OR(Dayrun3=2,Dayrun3=3,Dayrun3=10),VLOOKUP($A167,ScaledPrice3,9),0))</f>
        <v> </v>
      </c>
      <c r="I167" s="317" t="str">
        <f aca="false">IF(A167="N/A"," ",IF(OR(Dayrun3=3,Dayrun3=6,Dayrun3=9),(VLOOKUP(A167,ScaledPrice3,IF(Scaler3=2,7,8))),0))</f>
        <v> </v>
      </c>
      <c r="J167" s="317" t="str">
        <f aca="false">IF(A167="N/A"," ",IF(OR(Dayrun3=3,Dayrun3=6),IF(Scaler3=2,I167,(VLOOKUP(A167,ScaledPrice3,7))*(2-(VLOOKUP(A167,ScaledPrice3,3)))),0))</f>
        <v> </v>
      </c>
      <c r="K167" s="317" t="str">
        <f aca="false">IF($A167="N/A"," ",IF(OR(Dayrun3=3,Dayrun3=10),VLOOKUP($A167,ScaledPrice3,9),0))</f>
        <v> </v>
      </c>
      <c r="L167" s="318" t="str">
        <f aca="false">IF($A167="N/A"," ",IF(Pricetype3=2,MAX(C167,0),IF(OR(Pricetype3=1,Pricetype3=4),IF(C167=0,0,(EURO(C167,Strikeprice3,0,0,($AH167+IF(Smile=TRUE(),VLOOKUP(MAX(-5,Strikeprice3-C167),Volsmile,2),0)),($A167-DateToday)+15,IF(Pricetype3=1,1,0),0))),C167)))</f>
        <v> </v>
      </c>
      <c r="M167" s="318" t="str">
        <f aca="false">IF($A167="N/A"," ",IF(Pricetype3=2,MAX(D167,0),IF(OR(Pricetype3=1,Pricetype3=4),IF(D167=0,0,(EURO(D167,Strikeprice3,0,0,($AH167+IF(Smile=TRUE(),VLOOKUP(MAX(-5,Strikeprice3-D167),Volsmile,2),0)),($A167-DateToday)+15,IF(Pricetype3=1,1,0),0))),D167)))</f>
        <v> </v>
      </c>
      <c r="N167" s="318" t="str">
        <f aca="false">IF($A167="N/A"," ",IF(Pricetype3=2,MAX(E167,0),IF(OR(Pricetype3=1,Pricetype3=4),IF(E167=0,0,(EURO(E167,Strikeprice3,0,0,($AK167+IF(Smile=TRUE(),VLOOKUP(MAX(-5,Strikeprice3-E167),Volsmile,2),0)),($A167-DateToday)+15,IF(Pricetype3=1,1,0),0))),E167)))</f>
        <v> </v>
      </c>
      <c r="O167" s="318" t="str">
        <f aca="false">IF($A167="N/A"," ",IF(Pricetype3=2,MAX(F167,0),IF(OR(Pricetype3=1,Pricetype3=4),IF(F167=0,0,(EURO(F167,Strikeprice3,0,0,($AK167+IF(Smile=TRUE(),VLOOKUP(MAX(-5,Strikeprice3-F167),Volsmile,2),0)),($A167-DateToday)+15,IF(Pricetype3=1,1,0),0))),F167)))</f>
        <v> </v>
      </c>
      <c r="P167" s="318" t="str">
        <f aca="false">IF($A167="N/A"," ",IF(Pricetype3=2,MAX(G167,0),IF(OR(Pricetype3=1,Pricetype3=4),IF(G167=0,0,(EURO(G167,Strikeprice3,0,0,($AK167+IF(Smile=TRUE(),VLOOKUP(MAX(-5,Strikeprice3-G167),Volsmile,2),0)),($A167-DateToday)+15,IF(Pricetype3=1,1,0),0))),G167)))</f>
        <v> </v>
      </c>
      <c r="Q167" s="318" t="str">
        <f aca="false">IF($A167="N/A"," ",IF(Pricetype3=2,MAX(H167,0),IF(OR(Pricetype3=1,Pricetype3=4),IF(H167=0,0,(EURO(H167,Strikeprice3,0,0,($AK167+IF(Smile=TRUE(),VLOOKUP(MAX(-5,Strikeprice3-H167),Volsmile,2),0)),($A167-DateToday)+15,IF(Pricetype3=1,1,0),0))),H167)))</f>
        <v> </v>
      </c>
      <c r="R167" s="318" t="str">
        <f aca="false">IF($A167="N/A"," ",IF(Pricetype3=2,MAX(I167,0),IF(OR(Pricetype3=1,Pricetype3=4),IF(I167=0,0,(EURO(I167,Strikeprice3,0,0,($AK167+IF(Smile=TRUE(),VLOOKUP(MAX(-5,Strikeprice3-I167),Volsmile,2),0)),($A167-DateToday)+15,IF(Pricetype3=1,1,0),0))),I167)))</f>
        <v> </v>
      </c>
      <c r="S167" s="318" t="str">
        <f aca="false">IF($A167="N/A"," ",IF(Pricetype3=2,MAX(J167,0),IF(OR(Pricetype3=1,Pricetype3=4),IF(J167=0,0,(EURO(J167,Strikeprice3,0,0,($AK167+IF(Smile=TRUE(),VLOOKUP(MAX(-5,Strikeprice3-J167),Volsmile,2),0)),($A167-DateToday)+15,IF(Pricetype3=1,1,0),0))),J167)))</f>
        <v> </v>
      </c>
      <c r="T167" s="318" t="str">
        <f aca="false">IF($A167="N/A"," ",IF(Pricetype3=2,MAX(K167,0),IF(OR(Pricetype3=1,Pricetype3=4),IF(K167=0,0,(EURO(K167,Strikeprice3,0,0,($AK167+IF(Smile=TRUE(),VLOOKUP(MAX(-5,Strikeprice3-K167),Volsmile,2),0)),($A167-DateToday)+15,IF(Pricetype3=1,1,0),0))),K167)))</f>
        <v> </v>
      </c>
      <c r="U167" s="319" t="str">
        <f aca="false">IF($A167="N/A"," ",Volume3*$AM167)</f>
        <v> </v>
      </c>
      <c r="V167" s="320" t="str">
        <f aca="false">IF($A167="N/A"," ",$U167*(8*($BQ167))*L167)</f>
        <v> </v>
      </c>
      <c r="W167" s="320" t="str">
        <f aca="false">IF($A167="N/A"," ",$U167*(8*($BQ167))*M167)</f>
        <v> </v>
      </c>
      <c r="X167" s="320" t="str">
        <f aca="false">IF($A167="N/A"," ",$U167*(8*($BQ167))*N167)</f>
        <v> </v>
      </c>
      <c r="Y167" s="320" t="str">
        <f aca="false">IF($A167="N/A"," ",$U167*(8*($BR167))*O167)</f>
        <v> </v>
      </c>
      <c r="Z167" s="320" t="str">
        <f aca="false">IF($A167="N/A"," ",$U167*(8*($BR167))*P167)</f>
        <v> </v>
      </c>
      <c r="AA167" s="320" t="str">
        <f aca="false">IF($A167="N/A"," ",$U167*(8*($BR167))*Q167)</f>
        <v> </v>
      </c>
      <c r="AB167" s="320" t="str">
        <f aca="false">IF($A167="N/A"," ",$U167*(8*($BS167))*R167)</f>
        <v> </v>
      </c>
      <c r="AC167" s="320" t="str">
        <f aca="false">IF($A167="N/A"," ",$U167*(8*($BS167))*S167)</f>
        <v> </v>
      </c>
      <c r="AD167" s="320" t="str">
        <f aca="false">IF($A167="N/A"," ",$U167*(8*($BS167))*T167)</f>
        <v> </v>
      </c>
      <c r="AE167" s="320" t="str">
        <f aca="false">IF($A167="N/A"," ",SUM(V167:AD167))</f>
        <v> </v>
      </c>
      <c r="AF167" s="321" t="str">
        <f aca="false">IF(A167="N/A"," ",(VLOOKUP(A167,PowerVolTable,(IF(VolBMO3=2,7,IF(VolBMO3=1,6,8))),FALSE())))</f>
        <v> </v>
      </c>
      <c r="AG167" s="321" t="str">
        <f aca="false">IF(A167="N/A"," ",(VLOOKUP(A167,IntraPowerVol,(IF(VolBMO3=2,3,IF(VolBMO3=1,2,4))),FALSE())*VLOOKUP(MONTH($A167),Volscale,2)))</f>
        <v> </v>
      </c>
      <c r="AH167" s="321" t="str">
        <f aca="false">IF($A167="N/A"," ",IF(VolType3=1,AG167,AF167))</f>
        <v> </v>
      </c>
      <c r="AI167" s="321" t="str">
        <f aca="false">IF($A167="N/A"," ",(VLOOKUP($A167,OffPwrVolTable,(IF(VolBMO3=2,7,IF(VolBMO3=1,6,8))),FALSE())))</f>
        <v> </v>
      </c>
      <c r="AJ167" s="321" t="str">
        <f aca="false">IF($A167="N/A"," ",(VLOOKUP($A167,OffPwrVolTable,(IF(VolBMO3=2,3,IF(VolBMO3=1,2,4))),FALSE())*VLOOKUP(MONTH($A167),Volscale,2)))</f>
        <v> </v>
      </c>
      <c r="AK167" s="321" t="str">
        <f aca="false">IF($A167="N/A"," ",IF(VolType3=1,AJ167,AI167))</f>
        <v> </v>
      </c>
      <c r="AL167" s="321" t="str">
        <f aca="false">IF($A167="N/A"," ",IF(PV=1,0,'Pricing Inputs3'!R200))</f>
        <v> </v>
      </c>
      <c r="AM167" s="323" t="str">
        <f aca="false">IF($A167="N/A"," ",(1+AL167/2)^(-2*((EOMONTH(A167,0)+20)-DateToday)/365.25))</f>
        <v> </v>
      </c>
      <c r="BQ167" s="0" t="str">
        <f aca="false">IF($A167="N/A"," ",(VLOOKUP($A167,NumberofDaysTable,2)))</f>
        <v> </v>
      </c>
      <c r="BR167" s="0" t="str">
        <f aca="false">IF($A167="N/A"," ",(VLOOKUP($A167,NumberofDaysTable,3)))</f>
        <v> </v>
      </c>
      <c r="BS167" s="0" t="str">
        <f aca="false">IF($A167="N/A"," ",(VLOOKUP($A167,NumberofDaysTable,4)))</f>
        <v> </v>
      </c>
    </row>
    <row r="168" customFormat="false" ht="12.75" hidden="false" customHeight="false" outlineLevel="0" collapsed="false">
      <c r="A168" s="315" t="str">
        <f aca="false">IF(A167="N/A","N/A",IF(EDATE(A167,1)&gt;Inputs!$Q$5,"N/A",EDATE(A167,1)))</f>
        <v>N/A</v>
      </c>
      <c r="B168" s="316" t="str">
        <f aca="false">IF(A168="N/A"," ",YEAR(A168))</f>
        <v> </v>
      </c>
      <c r="C168" s="317" t="str">
        <f aca="false">IF($A168="N/A"," ",IF(Dayrun3=10,0,IF(Scaler3=1,(VLOOKUP(A168,ScaledPrice3,4)),(VLOOKUP(A168,ScaledPrice3,2)))))</f>
        <v> </v>
      </c>
      <c r="D168" s="317" t="str">
        <f aca="false">IF(A168="N/A"," ",IF(Dayrun3&gt;=7,0,IF(Scaler3=2,VLOOKUP(A168,ScaledPrice3,2),(VLOOKUP(A168,ScaledPrice3,2))*(2-(VLOOKUP(A168,ScaledPrice3,3))))))</f>
        <v> </v>
      </c>
      <c r="E168" s="317" t="str">
        <f aca="false">IF($A168="N/A"," ",IF(AND(Dayrun3&gt;=4,Dayrun3&lt;=9),0,VLOOKUP($A168,ScaledPrice3,9)))</f>
        <v> </v>
      </c>
      <c r="F168" s="317" t="str">
        <f aca="false">IF(A168="N/A"," ",IF(OR(Dayrun3=2,Dayrun3=3,Dayrun3=5,Dayrun3=6,Dayrun3=8,Dayrun3=9),VLOOKUP(A168,ScaledPrice3,IF(Scaler3=1,6,5)),0))</f>
        <v> </v>
      </c>
      <c r="G168" s="317" t="str">
        <f aca="false">IF(A168="N/A"," ",IF(OR(Dayrun3=2,Dayrun3=3,Dayrun3=5,Dayrun3=6),IF(Scaler3=2,F168,(VLOOKUP(A168,ScaledPrice3,5))*(2-(VLOOKUP(A168,ScaledPrice3,3)))),0))</f>
        <v> </v>
      </c>
      <c r="H168" s="317" t="str">
        <f aca="false">IF($A168="N/A"," ",IF(OR(Dayrun3=2,Dayrun3=3,Dayrun3=10),VLOOKUP($A168,ScaledPrice3,9),0))</f>
        <v> </v>
      </c>
      <c r="I168" s="317" t="str">
        <f aca="false">IF(A168="N/A"," ",IF(OR(Dayrun3=3,Dayrun3=6,Dayrun3=9),(VLOOKUP(A168,ScaledPrice3,IF(Scaler3=2,7,8))),0))</f>
        <v> </v>
      </c>
      <c r="J168" s="317" t="str">
        <f aca="false">IF(A168="N/A"," ",IF(OR(Dayrun3=3,Dayrun3=6),IF(Scaler3=2,I168,(VLOOKUP(A168,ScaledPrice3,7))*(2-(VLOOKUP(A168,ScaledPrice3,3)))),0))</f>
        <v> </v>
      </c>
      <c r="K168" s="317" t="str">
        <f aca="false">IF($A168="N/A"," ",IF(OR(Dayrun3=3,Dayrun3=10),VLOOKUP($A168,ScaledPrice3,9),0))</f>
        <v> </v>
      </c>
      <c r="L168" s="318" t="str">
        <f aca="false">IF($A168="N/A"," ",IF(Pricetype3=2,MAX(C168,0),IF(OR(Pricetype3=1,Pricetype3=4),IF(C168=0,0,(EURO(C168,Strikeprice3,0,0,($AH168+IF(Smile=TRUE(),VLOOKUP(MAX(-5,Strikeprice3-C168),Volsmile,2),0)),($A168-DateToday)+15,IF(Pricetype3=1,1,0),0))),C168)))</f>
        <v> </v>
      </c>
      <c r="M168" s="318" t="str">
        <f aca="false">IF($A168="N/A"," ",IF(Pricetype3=2,MAX(D168,0),IF(OR(Pricetype3=1,Pricetype3=4),IF(D168=0,0,(EURO(D168,Strikeprice3,0,0,($AH168+IF(Smile=TRUE(),VLOOKUP(MAX(-5,Strikeprice3-D168),Volsmile,2),0)),($A168-DateToday)+15,IF(Pricetype3=1,1,0),0))),D168)))</f>
        <v> </v>
      </c>
      <c r="N168" s="318" t="str">
        <f aca="false">IF($A168="N/A"," ",IF(Pricetype3=2,MAX(E168,0),IF(OR(Pricetype3=1,Pricetype3=4),IF(E168=0,0,(EURO(E168,Strikeprice3,0,0,($AK168+IF(Smile=TRUE(),VLOOKUP(MAX(-5,Strikeprice3-E168),Volsmile,2),0)),($A168-DateToday)+15,IF(Pricetype3=1,1,0),0))),E168)))</f>
        <v> </v>
      </c>
      <c r="O168" s="318" t="str">
        <f aca="false">IF($A168="N/A"," ",IF(Pricetype3=2,MAX(F168,0),IF(OR(Pricetype3=1,Pricetype3=4),IF(F168=0,0,(EURO(F168,Strikeprice3,0,0,($AK168+IF(Smile=TRUE(),VLOOKUP(MAX(-5,Strikeprice3-F168),Volsmile,2),0)),($A168-DateToday)+15,IF(Pricetype3=1,1,0),0))),F168)))</f>
        <v> </v>
      </c>
      <c r="P168" s="318" t="str">
        <f aca="false">IF($A168="N/A"," ",IF(Pricetype3=2,MAX(G168,0),IF(OR(Pricetype3=1,Pricetype3=4),IF(G168=0,0,(EURO(G168,Strikeprice3,0,0,($AK168+IF(Smile=TRUE(),VLOOKUP(MAX(-5,Strikeprice3-G168),Volsmile,2),0)),($A168-DateToday)+15,IF(Pricetype3=1,1,0),0))),G168)))</f>
        <v> </v>
      </c>
      <c r="Q168" s="318" t="str">
        <f aca="false">IF($A168="N/A"," ",IF(Pricetype3=2,MAX(H168,0),IF(OR(Pricetype3=1,Pricetype3=4),IF(H168=0,0,(EURO(H168,Strikeprice3,0,0,($AK168+IF(Smile=TRUE(),VLOOKUP(MAX(-5,Strikeprice3-H168),Volsmile,2),0)),($A168-DateToday)+15,IF(Pricetype3=1,1,0),0))),H168)))</f>
        <v> </v>
      </c>
      <c r="R168" s="318" t="str">
        <f aca="false">IF($A168="N/A"," ",IF(Pricetype3=2,MAX(I168,0),IF(OR(Pricetype3=1,Pricetype3=4),IF(I168=0,0,(EURO(I168,Strikeprice3,0,0,($AK168+IF(Smile=TRUE(),VLOOKUP(MAX(-5,Strikeprice3-I168),Volsmile,2),0)),($A168-DateToday)+15,IF(Pricetype3=1,1,0),0))),I168)))</f>
        <v> </v>
      </c>
      <c r="S168" s="318" t="str">
        <f aca="false">IF($A168="N/A"," ",IF(Pricetype3=2,MAX(J168,0),IF(OR(Pricetype3=1,Pricetype3=4),IF(J168=0,0,(EURO(J168,Strikeprice3,0,0,($AK168+IF(Smile=TRUE(),VLOOKUP(MAX(-5,Strikeprice3-J168),Volsmile,2),0)),($A168-DateToday)+15,IF(Pricetype3=1,1,0),0))),J168)))</f>
        <v> </v>
      </c>
      <c r="T168" s="318" t="str">
        <f aca="false">IF($A168="N/A"," ",IF(Pricetype3=2,MAX(K168,0),IF(OR(Pricetype3=1,Pricetype3=4),IF(K168=0,0,(EURO(K168,Strikeprice3,0,0,($AK168+IF(Smile=TRUE(),VLOOKUP(MAX(-5,Strikeprice3-K168),Volsmile,2),0)),($A168-DateToday)+15,IF(Pricetype3=1,1,0),0))),K168)))</f>
        <v> </v>
      </c>
      <c r="U168" s="319" t="str">
        <f aca="false">IF($A168="N/A"," ",Volume3*$AM168)</f>
        <v> </v>
      </c>
      <c r="V168" s="320" t="str">
        <f aca="false">IF($A168="N/A"," ",$U168*(8*($BQ168))*L168)</f>
        <v> </v>
      </c>
      <c r="W168" s="320" t="str">
        <f aca="false">IF($A168="N/A"," ",$U168*(8*($BQ168))*M168)</f>
        <v> </v>
      </c>
      <c r="X168" s="320" t="str">
        <f aca="false">IF($A168="N/A"," ",$U168*(8*($BQ168))*N168)</f>
        <v> </v>
      </c>
      <c r="Y168" s="320" t="str">
        <f aca="false">IF($A168="N/A"," ",$U168*(8*($BR168))*O168)</f>
        <v> </v>
      </c>
      <c r="Z168" s="320" t="str">
        <f aca="false">IF($A168="N/A"," ",$U168*(8*($BR168))*P168)</f>
        <v> </v>
      </c>
      <c r="AA168" s="320" t="str">
        <f aca="false">IF($A168="N/A"," ",$U168*(8*($BR168))*Q168)</f>
        <v> </v>
      </c>
      <c r="AB168" s="320" t="str">
        <f aca="false">IF($A168="N/A"," ",$U168*(8*($BS168))*R168)</f>
        <v> </v>
      </c>
      <c r="AC168" s="320" t="str">
        <f aca="false">IF($A168="N/A"," ",$U168*(8*($BS168))*S168)</f>
        <v> </v>
      </c>
      <c r="AD168" s="320" t="str">
        <f aca="false">IF($A168="N/A"," ",$U168*(8*($BS168))*T168)</f>
        <v> </v>
      </c>
      <c r="AE168" s="320" t="str">
        <f aca="false">IF($A168="N/A"," ",SUM(V168:AD168))</f>
        <v> </v>
      </c>
      <c r="AF168" s="321" t="str">
        <f aca="false">IF(A168="N/A"," ",(VLOOKUP(A168,PowerVolTable,(IF(VolBMO3=2,7,IF(VolBMO3=1,6,8))),FALSE())))</f>
        <v> </v>
      </c>
      <c r="AG168" s="321" t="str">
        <f aca="false">IF(A168="N/A"," ",(VLOOKUP(A168,IntraPowerVol,(IF(VolBMO3=2,3,IF(VolBMO3=1,2,4))),FALSE())*VLOOKUP(MONTH($A168),Volscale,2)))</f>
        <v> </v>
      </c>
      <c r="AH168" s="321" t="str">
        <f aca="false">IF($A168="N/A"," ",IF(VolType3=1,AG168,AF168))</f>
        <v> </v>
      </c>
      <c r="AI168" s="321" t="str">
        <f aca="false">IF($A168="N/A"," ",(VLOOKUP($A168,OffPwrVolTable,(IF(VolBMO3=2,7,IF(VolBMO3=1,6,8))),FALSE())))</f>
        <v> </v>
      </c>
      <c r="AJ168" s="321" t="str">
        <f aca="false">IF($A168="N/A"," ",(VLOOKUP($A168,OffPwrVolTable,(IF(VolBMO3=2,3,IF(VolBMO3=1,2,4))),FALSE())*VLOOKUP(MONTH($A168),Volscale,2)))</f>
        <v> </v>
      </c>
      <c r="AK168" s="321" t="str">
        <f aca="false">IF($A168="N/A"," ",IF(VolType3=1,AJ168,AI168))</f>
        <v> </v>
      </c>
      <c r="AL168" s="321" t="str">
        <f aca="false">IF($A168="N/A"," ",IF(PV=1,0,'Pricing Inputs3'!R201))</f>
        <v> </v>
      </c>
      <c r="AM168" s="323" t="str">
        <f aca="false">IF($A168="N/A"," ",(1+AL168/2)^(-2*((EOMONTH(A168,0)+20)-DateToday)/365.25))</f>
        <v> </v>
      </c>
      <c r="BQ168" s="0" t="str">
        <f aca="false">IF($A168="N/A"," ",(VLOOKUP($A168,NumberofDaysTable,2)))</f>
        <v> </v>
      </c>
      <c r="BR168" s="0" t="str">
        <f aca="false">IF($A168="N/A"," ",(VLOOKUP($A168,NumberofDaysTable,3)))</f>
        <v> </v>
      </c>
      <c r="BS168" s="0" t="str">
        <f aca="false">IF($A168="N/A"," ",(VLOOKUP($A168,NumberofDaysTable,4)))</f>
        <v> </v>
      </c>
    </row>
    <row r="169" customFormat="false" ht="12.75" hidden="false" customHeight="false" outlineLevel="0" collapsed="false">
      <c r="A169" s="315" t="str">
        <f aca="false">IF(A168="N/A","N/A",IF(EDATE(A168,1)&gt;Inputs!$Q$5,"N/A",EDATE(A168,1)))</f>
        <v>N/A</v>
      </c>
      <c r="B169" s="316" t="str">
        <f aca="false">IF(A169="N/A"," ",YEAR(A169))</f>
        <v> </v>
      </c>
      <c r="C169" s="317" t="str">
        <f aca="false">IF($A169="N/A"," ",IF(Dayrun3=10,0,IF(Scaler3=1,(VLOOKUP(A169,ScaledPrice3,4)),(VLOOKUP(A169,ScaledPrice3,2)))))</f>
        <v> </v>
      </c>
      <c r="D169" s="317" t="str">
        <f aca="false">IF(A169="N/A"," ",IF(Dayrun3&gt;=7,0,IF(Scaler3=2,VLOOKUP(A169,ScaledPrice3,2),(VLOOKUP(A169,ScaledPrice3,2))*(2-(VLOOKUP(A169,ScaledPrice3,3))))))</f>
        <v> </v>
      </c>
      <c r="E169" s="317" t="str">
        <f aca="false">IF($A169="N/A"," ",IF(AND(Dayrun3&gt;=4,Dayrun3&lt;=9),0,VLOOKUP($A169,ScaledPrice3,9)))</f>
        <v> </v>
      </c>
      <c r="F169" s="317" t="str">
        <f aca="false">IF(A169="N/A"," ",IF(OR(Dayrun3=2,Dayrun3=3,Dayrun3=5,Dayrun3=6,Dayrun3=8,Dayrun3=9),VLOOKUP(A169,ScaledPrice3,IF(Scaler3=1,6,5)),0))</f>
        <v> </v>
      </c>
      <c r="G169" s="317" t="str">
        <f aca="false">IF(A169="N/A"," ",IF(OR(Dayrun3=2,Dayrun3=3,Dayrun3=5,Dayrun3=6),IF(Scaler3=2,F169,(VLOOKUP(A169,ScaledPrice3,5))*(2-(VLOOKUP(A169,ScaledPrice3,3)))),0))</f>
        <v> </v>
      </c>
      <c r="H169" s="317" t="str">
        <f aca="false">IF($A169="N/A"," ",IF(OR(Dayrun3=2,Dayrun3=3,Dayrun3=10),VLOOKUP($A169,ScaledPrice3,9),0))</f>
        <v> </v>
      </c>
      <c r="I169" s="317" t="str">
        <f aca="false">IF(A169="N/A"," ",IF(OR(Dayrun3=3,Dayrun3=6,Dayrun3=9),(VLOOKUP(A169,ScaledPrice3,IF(Scaler3=2,7,8))),0))</f>
        <v> </v>
      </c>
      <c r="J169" s="317" t="str">
        <f aca="false">IF(A169="N/A"," ",IF(OR(Dayrun3=3,Dayrun3=6),IF(Scaler3=2,I169,(VLOOKUP(A169,ScaledPrice3,7))*(2-(VLOOKUP(A169,ScaledPrice3,3)))),0))</f>
        <v> </v>
      </c>
      <c r="K169" s="317" t="str">
        <f aca="false">IF($A169="N/A"," ",IF(OR(Dayrun3=3,Dayrun3=10),VLOOKUP($A169,ScaledPrice3,9),0))</f>
        <v> </v>
      </c>
      <c r="L169" s="318" t="str">
        <f aca="false">IF($A169="N/A"," ",IF(Pricetype3=2,MAX(C169,0),IF(OR(Pricetype3=1,Pricetype3=4),IF(C169=0,0,(EURO(C169,Strikeprice3,0,0,($AH169+IF(Smile=TRUE(),VLOOKUP(MAX(-5,Strikeprice3-C169),Volsmile,2),0)),($A169-DateToday)+15,IF(Pricetype3=1,1,0),0))),C169)))</f>
        <v> </v>
      </c>
      <c r="M169" s="318" t="str">
        <f aca="false">IF($A169="N/A"," ",IF(Pricetype3=2,MAX(D169,0),IF(OR(Pricetype3=1,Pricetype3=4),IF(D169=0,0,(EURO(D169,Strikeprice3,0,0,($AH169+IF(Smile=TRUE(),VLOOKUP(MAX(-5,Strikeprice3-D169),Volsmile,2),0)),($A169-DateToday)+15,IF(Pricetype3=1,1,0),0))),D169)))</f>
        <v> </v>
      </c>
      <c r="N169" s="318" t="str">
        <f aca="false">IF($A169="N/A"," ",IF(Pricetype3=2,MAX(E169,0),IF(OR(Pricetype3=1,Pricetype3=4),IF(E169=0,0,(EURO(E169,Strikeprice3,0,0,($AK169+IF(Smile=TRUE(),VLOOKUP(MAX(-5,Strikeprice3-E169),Volsmile,2),0)),($A169-DateToday)+15,IF(Pricetype3=1,1,0),0))),E169)))</f>
        <v> </v>
      </c>
      <c r="O169" s="318" t="str">
        <f aca="false">IF($A169="N/A"," ",IF(Pricetype3=2,MAX(F169,0),IF(OR(Pricetype3=1,Pricetype3=4),IF(F169=0,0,(EURO(F169,Strikeprice3,0,0,($AK169+IF(Smile=TRUE(),VLOOKUP(MAX(-5,Strikeprice3-F169),Volsmile,2),0)),($A169-DateToday)+15,IF(Pricetype3=1,1,0),0))),F169)))</f>
        <v> </v>
      </c>
      <c r="P169" s="318" t="str">
        <f aca="false">IF($A169="N/A"," ",IF(Pricetype3=2,MAX(G169,0),IF(OR(Pricetype3=1,Pricetype3=4),IF(G169=0,0,(EURO(G169,Strikeprice3,0,0,($AK169+IF(Smile=TRUE(),VLOOKUP(MAX(-5,Strikeprice3-G169),Volsmile,2),0)),($A169-DateToday)+15,IF(Pricetype3=1,1,0),0))),G169)))</f>
        <v> </v>
      </c>
      <c r="Q169" s="318" t="str">
        <f aca="false">IF($A169="N/A"," ",IF(Pricetype3=2,MAX(H169,0),IF(OR(Pricetype3=1,Pricetype3=4),IF(H169=0,0,(EURO(H169,Strikeprice3,0,0,($AK169+IF(Smile=TRUE(),VLOOKUP(MAX(-5,Strikeprice3-H169),Volsmile,2),0)),($A169-DateToday)+15,IF(Pricetype3=1,1,0),0))),H169)))</f>
        <v> </v>
      </c>
      <c r="R169" s="318" t="str">
        <f aca="false">IF($A169="N/A"," ",IF(Pricetype3=2,MAX(I169,0),IF(OR(Pricetype3=1,Pricetype3=4),IF(I169=0,0,(EURO(I169,Strikeprice3,0,0,($AK169+IF(Smile=TRUE(),VLOOKUP(MAX(-5,Strikeprice3-I169),Volsmile,2),0)),($A169-DateToday)+15,IF(Pricetype3=1,1,0),0))),I169)))</f>
        <v> </v>
      </c>
      <c r="S169" s="318" t="str">
        <f aca="false">IF($A169="N/A"," ",IF(Pricetype3=2,MAX(J169,0),IF(OR(Pricetype3=1,Pricetype3=4),IF(J169=0,0,(EURO(J169,Strikeprice3,0,0,($AK169+IF(Smile=TRUE(),VLOOKUP(MAX(-5,Strikeprice3-J169),Volsmile,2),0)),($A169-DateToday)+15,IF(Pricetype3=1,1,0),0))),J169)))</f>
        <v> </v>
      </c>
      <c r="T169" s="318" t="str">
        <f aca="false">IF($A169="N/A"," ",IF(Pricetype3=2,MAX(K169,0),IF(OR(Pricetype3=1,Pricetype3=4),IF(K169=0,0,(EURO(K169,Strikeprice3,0,0,($AK169+IF(Smile=TRUE(),VLOOKUP(MAX(-5,Strikeprice3-K169),Volsmile,2),0)),($A169-DateToday)+15,IF(Pricetype3=1,1,0),0))),K169)))</f>
        <v> </v>
      </c>
      <c r="U169" s="319" t="str">
        <f aca="false">IF($A169="N/A"," ",Volume3*$AM169)</f>
        <v> </v>
      </c>
      <c r="V169" s="320" t="str">
        <f aca="false">IF($A169="N/A"," ",$U169*(8*($BQ169))*L169)</f>
        <v> </v>
      </c>
      <c r="W169" s="320" t="str">
        <f aca="false">IF($A169="N/A"," ",$U169*(8*($BQ169))*M169)</f>
        <v> </v>
      </c>
      <c r="X169" s="320" t="str">
        <f aca="false">IF($A169="N/A"," ",$U169*(8*($BQ169))*N169)</f>
        <v> </v>
      </c>
      <c r="Y169" s="320" t="str">
        <f aca="false">IF($A169="N/A"," ",$U169*(8*($BR169))*O169)</f>
        <v> </v>
      </c>
      <c r="Z169" s="320" t="str">
        <f aca="false">IF($A169="N/A"," ",$U169*(8*($BR169))*P169)</f>
        <v> </v>
      </c>
      <c r="AA169" s="320" t="str">
        <f aca="false">IF($A169="N/A"," ",$U169*(8*($BR169))*Q169)</f>
        <v> </v>
      </c>
      <c r="AB169" s="320" t="str">
        <f aca="false">IF($A169="N/A"," ",$U169*(8*($BS169))*R169)</f>
        <v> </v>
      </c>
      <c r="AC169" s="320" t="str">
        <f aca="false">IF($A169="N/A"," ",$U169*(8*($BS169))*S169)</f>
        <v> </v>
      </c>
      <c r="AD169" s="320" t="str">
        <f aca="false">IF($A169="N/A"," ",$U169*(8*($BS169))*T169)</f>
        <v> </v>
      </c>
      <c r="AE169" s="320" t="str">
        <f aca="false">IF($A169="N/A"," ",SUM(V169:AD169))</f>
        <v> </v>
      </c>
      <c r="AF169" s="321" t="str">
        <f aca="false">IF(A169="N/A"," ",(VLOOKUP(A169,PowerVolTable,(IF(VolBMO3=2,7,IF(VolBMO3=1,6,8))),FALSE())))</f>
        <v> </v>
      </c>
      <c r="AG169" s="321" t="str">
        <f aca="false">IF(A169="N/A"," ",(VLOOKUP(A169,IntraPowerVol,(IF(VolBMO3=2,3,IF(VolBMO3=1,2,4))),FALSE())*VLOOKUP(MONTH($A169),Volscale,2)))</f>
        <v> </v>
      </c>
      <c r="AH169" s="321" t="str">
        <f aca="false">IF($A169="N/A"," ",IF(VolType3=1,AG169,AF169))</f>
        <v> </v>
      </c>
      <c r="AI169" s="321" t="str">
        <f aca="false">IF($A169="N/A"," ",(VLOOKUP($A169,OffPwrVolTable,(IF(VolBMO3=2,7,IF(VolBMO3=1,6,8))),FALSE())))</f>
        <v> </v>
      </c>
      <c r="AJ169" s="321" t="str">
        <f aca="false">IF($A169="N/A"," ",(VLOOKUP($A169,OffPwrVolTable,(IF(VolBMO3=2,3,IF(VolBMO3=1,2,4))),FALSE())*VLOOKUP(MONTH($A169),Volscale,2)))</f>
        <v> </v>
      </c>
      <c r="AK169" s="321" t="str">
        <f aca="false">IF($A169="N/A"," ",IF(VolType3=1,AJ169,AI169))</f>
        <v> </v>
      </c>
      <c r="AL169" s="321" t="str">
        <f aca="false">IF($A169="N/A"," ",IF(PV=1,0,'Pricing Inputs3'!R202))</f>
        <v> </v>
      </c>
      <c r="AM169" s="323" t="str">
        <f aca="false">IF($A169="N/A"," ",(1+AL169/2)^(-2*((EOMONTH(A169,0)+20)-DateToday)/365.25))</f>
        <v> </v>
      </c>
      <c r="BQ169" s="0" t="str">
        <f aca="false">IF($A169="N/A"," ",(VLOOKUP($A169,NumberofDaysTable,2)))</f>
        <v> </v>
      </c>
      <c r="BR169" s="0" t="str">
        <f aca="false">IF($A169="N/A"," ",(VLOOKUP($A169,NumberofDaysTable,3)))</f>
        <v> </v>
      </c>
      <c r="BS169" s="0" t="str">
        <f aca="false">IF($A169="N/A"," ",(VLOOKUP($A169,NumberofDaysTable,4)))</f>
        <v> </v>
      </c>
    </row>
    <row r="170" customFormat="false" ht="12.75" hidden="false" customHeight="false" outlineLevel="0" collapsed="false">
      <c r="A170" s="315" t="str">
        <f aca="false">IF(A169="N/A","N/A",IF(EDATE(A169,1)&gt;Inputs!$Q$5,"N/A",EDATE(A169,1)))</f>
        <v>N/A</v>
      </c>
      <c r="B170" s="316" t="str">
        <f aca="false">IF(A170="N/A"," ",YEAR(A170))</f>
        <v> </v>
      </c>
      <c r="C170" s="317" t="str">
        <f aca="false">IF($A170="N/A"," ",IF(Dayrun3=10,0,IF(Scaler3=1,(VLOOKUP(A170,ScaledPrice3,4)),(VLOOKUP(A170,ScaledPrice3,2)))))</f>
        <v> </v>
      </c>
      <c r="D170" s="317" t="str">
        <f aca="false">IF(A170="N/A"," ",IF(Dayrun3&gt;=7,0,IF(Scaler3=2,VLOOKUP(A170,ScaledPrice3,2),(VLOOKUP(A170,ScaledPrice3,2))*(2-(VLOOKUP(A170,ScaledPrice3,3))))))</f>
        <v> </v>
      </c>
      <c r="E170" s="317" t="str">
        <f aca="false">IF($A170="N/A"," ",IF(AND(Dayrun3&gt;=4,Dayrun3&lt;=9),0,VLOOKUP($A170,ScaledPrice3,9)))</f>
        <v> </v>
      </c>
      <c r="F170" s="317" t="str">
        <f aca="false">IF(A170="N/A"," ",IF(OR(Dayrun3=2,Dayrun3=3,Dayrun3=5,Dayrun3=6,Dayrun3=8,Dayrun3=9),VLOOKUP(A170,ScaledPrice3,IF(Scaler3=1,6,5)),0))</f>
        <v> </v>
      </c>
      <c r="G170" s="317" t="str">
        <f aca="false">IF(A170="N/A"," ",IF(OR(Dayrun3=2,Dayrun3=3,Dayrun3=5,Dayrun3=6),IF(Scaler3=2,F170,(VLOOKUP(A170,ScaledPrice3,5))*(2-(VLOOKUP(A170,ScaledPrice3,3)))),0))</f>
        <v> </v>
      </c>
      <c r="H170" s="317" t="str">
        <f aca="false">IF($A170="N/A"," ",IF(OR(Dayrun3=2,Dayrun3=3,Dayrun3=10),VLOOKUP($A170,ScaledPrice3,9),0))</f>
        <v> </v>
      </c>
      <c r="I170" s="317" t="str">
        <f aca="false">IF(A170="N/A"," ",IF(OR(Dayrun3=3,Dayrun3=6,Dayrun3=9),(VLOOKUP(A170,ScaledPrice3,IF(Scaler3=2,7,8))),0))</f>
        <v> </v>
      </c>
      <c r="J170" s="317" t="str">
        <f aca="false">IF(A170="N/A"," ",IF(OR(Dayrun3=3,Dayrun3=6),IF(Scaler3=2,I170,(VLOOKUP(A170,ScaledPrice3,7))*(2-(VLOOKUP(A170,ScaledPrice3,3)))),0))</f>
        <v> </v>
      </c>
      <c r="K170" s="317" t="str">
        <f aca="false">IF($A170="N/A"," ",IF(OR(Dayrun3=3,Dayrun3=10),VLOOKUP($A170,ScaledPrice3,9),0))</f>
        <v> </v>
      </c>
      <c r="L170" s="318" t="str">
        <f aca="false">IF($A170="N/A"," ",IF(Pricetype3=2,MAX(C170,0),IF(OR(Pricetype3=1,Pricetype3=4),IF(C170=0,0,(EURO(C170,Strikeprice3,0,0,($AH170+IF(Smile=TRUE(),VLOOKUP(MAX(-5,Strikeprice3-C170),Volsmile,2),0)),($A170-DateToday)+15,IF(Pricetype3=1,1,0),0))),C170)))</f>
        <v> </v>
      </c>
      <c r="M170" s="318" t="str">
        <f aca="false">IF($A170="N/A"," ",IF(Pricetype3=2,MAX(D170,0),IF(OR(Pricetype3=1,Pricetype3=4),IF(D170=0,0,(EURO(D170,Strikeprice3,0,0,($AH170+IF(Smile=TRUE(),VLOOKUP(MAX(-5,Strikeprice3-D170),Volsmile,2),0)),($A170-DateToday)+15,IF(Pricetype3=1,1,0),0))),D170)))</f>
        <v> </v>
      </c>
      <c r="N170" s="318" t="str">
        <f aca="false">IF($A170="N/A"," ",IF(Pricetype3=2,MAX(E170,0),IF(OR(Pricetype3=1,Pricetype3=4),IF(E170=0,0,(EURO(E170,Strikeprice3,0,0,($AK170+IF(Smile=TRUE(),VLOOKUP(MAX(-5,Strikeprice3-E170),Volsmile,2),0)),($A170-DateToday)+15,IF(Pricetype3=1,1,0),0))),E170)))</f>
        <v> </v>
      </c>
      <c r="O170" s="318" t="str">
        <f aca="false">IF($A170="N/A"," ",IF(Pricetype3=2,MAX(F170,0),IF(OR(Pricetype3=1,Pricetype3=4),IF(F170=0,0,(EURO(F170,Strikeprice3,0,0,($AK170+IF(Smile=TRUE(),VLOOKUP(MAX(-5,Strikeprice3-F170),Volsmile,2),0)),($A170-DateToday)+15,IF(Pricetype3=1,1,0),0))),F170)))</f>
        <v> </v>
      </c>
      <c r="P170" s="318" t="str">
        <f aca="false">IF($A170="N/A"," ",IF(Pricetype3=2,MAX(G170,0),IF(OR(Pricetype3=1,Pricetype3=4),IF(G170=0,0,(EURO(G170,Strikeprice3,0,0,($AK170+IF(Smile=TRUE(),VLOOKUP(MAX(-5,Strikeprice3-G170),Volsmile,2),0)),($A170-DateToday)+15,IF(Pricetype3=1,1,0),0))),G170)))</f>
        <v> </v>
      </c>
      <c r="Q170" s="318" t="str">
        <f aca="false">IF($A170="N/A"," ",IF(Pricetype3=2,MAX(H170,0),IF(OR(Pricetype3=1,Pricetype3=4),IF(H170=0,0,(EURO(H170,Strikeprice3,0,0,($AK170+IF(Smile=TRUE(),VLOOKUP(MAX(-5,Strikeprice3-H170),Volsmile,2),0)),($A170-DateToday)+15,IF(Pricetype3=1,1,0),0))),H170)))</f>
        <v> </v>
      </c>
      <c r="R170" s="318" t="str">
        <f aca="false">IF($A170="N/A"," ",IF(Pricetype3=2,MAX(I170,0),IF(OR(Pricetype3=1,Pricetype3=4),IF(I170=0,0,(EURO(I170,Strikeprice3,0,0,($AK170+IF(Smile=TRUE(),VLOOKUP(MAX(-5,Strikeprice3-I170),Volsmile,2),0)),($A170-DateToday)+15,IF(Pricetype3=1,1,0),0))),I170)))</f>
        <v> </v>
      </c>
      <c r="S170" s="318" t="str">
        <f aca="false">IF($A170="N/A"," ",IF(Pricetype3=2,MAX(J170,0),IF(OR(Pricetype3=1,Pricetype3=4),IF(J170=0,0,(EURO(J170,Strikeprice3,0,0,($AK170+IF(Smile=TRUE(),VLOOKUP(MAX(-5,Strikeprice3-J170),Volsmile,2),0)),($A170-DateToday)+15,IF(Pricetype3=1,1,0),0))),J170)))</f>
        <v> </v>
      </c>
      <c r="T170" s="318" t="str">
        <f aca="false">IF($A170="N/A"," ",IF(Pricetype3=2,MAX(K170,0),IF(OR(Pricetype3=1,Pricetype3=4),IF(K170=0,0,(EURO(K170,Strikeprice3,0,0,($AK170+IF(Smile=TRUE(),VLOOKUP(MAX(-5,Strikeprice3-K170),Volsmile,2),0)),($A170-DateToday)+15,IF(Pricetype3=1,1,0),0))),K170)))</f>
        <v> </v>
      </c>
      <c r="U170" s="319" t="str">
        <f aca="false">IF($A170="N/A"," ",Volume3*$AM170)</f>
        <v> </v>
      </c>
      <c r="V170" s="320" t="str">
        <f aca="false">IF($A170="N/A"," ",$U170*(8*($BQ170))*L170)</f>
        <v> </v>
      </c>
      <c r="W170" s="320" t="str">
        <f aca="false">IF($A170="N/A"," ",$U170*(8*($BQ170))*M170)</f>
        <v> </v>
      </c>
      <c r="X170" s="320" t="str">
        <f aca="false">IF($A170="N/A"," ",$U170*(8*($BQ170))*N170)</f>
        <v> </v>
      </c>
      <c r="Y170" s="320" t="str">
        <f aca="false">IF($A170="N/A"," ",$U170*(8*($BR170))*O170)</f>
        <v> </v>
      </c>
      <c r="Z170" s="320" t="str">
        <f aca="false">IF($A170="N/A"," ",$U170*(8*($BR170))*P170)</f>
        <v> </v>
      </c>
      <c r="AA170" s="320" t="str">
        <f aca="false">IF($A170="N/A"," ",$U170*(8*($BR170))*Q170)</f>
        <v> </v>
      </c>
      <c r="AB170" s="320" t="str">
        <f aca="false">IF($A170="N/A"," ",$U170*(8*($BS170))*R170)</f>
        <v> </v>
      </c>
      <c r="AC170" s="320" t="str">
        <f aca="false">IF($A170="N/A"," ",$U170*(8*($BS170))*S170)</f>
        <v> </v>
      </c>
      <c r="AD170" s="320" t="str">
        <f aca="false">IF($A170="N/A"," ",$U170*(8*($BS170))*T170)</f>
        <v> </v>
      </c>
      <c r="AE170" s="320" t="str">
        <f aca="false">IF($A170="N/A"," ",SUM(V170:AD170))</f>
        <v> </v>
      </c>
      <c r="AF170" s="321" t="str">
        <f aca="false">IF(A170="N/A"," ",(VLOOKUP(A170,PowerVolTable,(IF(VolBMO3=2,7,IF(VolBMO3=1,6,8))),FALSE())))</f>
        <v> </v>
      </c>
      <c r="AG170" s="321" t="str">
        <f aca="false">IF(A170="N/A"," ",(VLOOKUP(A170,IntraPowerVol,(IF(VolBMO3=2,3,IF(VolBMO3=1,2,4))),FALSE())*VLOOKUP(MONTH($A170),Volscale,2)))</f>
        <v> </v>
      </c>
      <c r="AH170" s="321" t="str">
        <f aca="false">IF($A170="N/A"," ",IF(VolType3=1,AG170,AF170))</f>
        <v> </v>
      </c>
      <c r="AI170" s="321" t="str">
        <f aca="false">IF($A170="N/A"," ",(VLOOKUP($A170,OffPwrVolTable,(IF(VolBMO3=2,7,IF(VolBMO3=1,6,8))),FALSE())))</f>
        <v> </v>
      </c>
      <c r="AJ170" s="321" t="str">
        <f aca="false">IF($A170="N/A"," ",(VLOOKUP($A170,OffPwrVolTable,(IF(VolBMO3=2,3,IF(VolBMO3=1,2,4))),FALSE())*VLOOKUP(MONTH($A170),Volscale,2)))</f>
        <v> </v>
      </c>
      <c r="AK170" s="321" t="str">
        <f aca="false">IF($A170="N/A"," ",IF(VolType3=1,AJ170,AI170))</f>
        <v> </v>
      </c>
      <c r="AL170" s="321" t="str">
        <f aca="false">IF($A170="N/A"," ",IF(PV=1,0,'Pricing Inputs3'!R203))</f>
        <v> </v>
      </c>
      <c r="AM170" s="323" t="str">
        <f aca="false">IF($A170="N/A"," ",(1+AL170/2)^(-2*((EOMONTH(A170,0)+20)-DateToday)/365.25))</f>
        <v> </v>
      </c>
      <c r="BQ170" s="0" t="str">
        <f aca="false">IF($A170="N/A"," ",(VLOOKUP($A170,NumberofDaysTable,2)))</f>
        <v> </v>
      </c>
      <c r="BR170" s="0" t="str">
        <f aca="false">IF($A170="N/A"," ",(VLOOKUP($A170,NumberofDaysTable,3)))</f>
        <v> </v>
      </c>
      <c r="BS170" s="0" t="str">
        <f aca="false">IF($A170="N/A"," ",(VLOOKUP($A170,NumberofDaysTable,4)))</f>
        <v> </v>
      </c>
    </row>
    <row r="171" customFormat="false" ht="12.75" hidden="false" customHeight="false" outlineLevel="0" collapsed="false">
      <c r="A171" s="315" t="str">
        <f aca="false">IF(A170="N/A","N/A",IF(EDATE(A170,1)&gt;Inputs!$Q$5,"N/A",EDATE(A170,1)))</f>
        <v>N/A</v>
      </c>
      <c r="B171" s="316" t="str">
        <f aca="false">IF(A171="N/A"," ",YEAR(A171))</f>
        <v> </v>
      </c>
      <c r="C171" s="317" t="str">
        <f aca="false">IF($A171="N/A"," ",IF(Dayrun3=10,0,IF(Scaler3=1,(VLOOKUP(A171,ScaledPrice3,4)),(VLOOKUP(A171,ScaledPrice3,2)))))</f>
        <v> </v>
      </c>
      <c r="D171" s="317" t="str">
        <f aca="false">IF(A171="N/A"," ",IF(Dayrun3&gt;=7,0,IF(Scaler3=2,VLOOKUP(A171,ScaledPrice3,2),(VLOOKUP(A171,ScaledPrice3,2))*(2-(VLOOKUP(A171,ScaledPrice3,3))))))</f>
        <v> </v>
      </c>
      <c r="E171" s="317" t="str">
        <f aca="false">IF($A171="N/A"," ",IF(AND(Dayrun3&gt;=4,Dayrun3&lt;=9),0,VLOOKUP($A171,ScaledPrice3,9)))</f>
        <v> </v>
      </c>
      <c r="F171" s="317" t="str">
        <f aca="false">IF(A171="N/A"," ",IF(OR(Dayrun3=2,Dayrun3=3,Dayrun3=5,Dayrun3=6,Dayrun3=8,Dayrun3=9),VLOOKUP(A171,ScaledPrice3,IF(Scaler3=1,6,5)),0))</f>
        <v> </v>
      </c>
      <c r="G171" s="317" t="str">
        <f aca="false">IF(A171="N/A"," ",IF(OR(Dayrun3=2,Dayrun3=3,Dayrun3=5,Dayrun3=6),IF(Scaler3=2,F171,(VLOOKUP(A171,ScaledPrice3,5))*(2-(VLOOKUP(A171,ScaledPrice3,3)))),0))</f>
        <v> </v>
      </c>
      <c r="H171" s="317" t="str">
        <f aca="false">IF($A171="N/A"," ",IF(OR(Dayrun3=2,Dayrun3=3,Dayrun3=10),VLOOKUP($A171,ScaledPrice3,9),0))</f>
        <v> </v>
      </c>
      <c r="I171" s="317" t="str">
        <f aca="false">IF(A171="N/A"," ",IF(OR(Dayrun3=3,Dayrun3=6,Dayrun3=9),(VLOOKUP(A171,ScaledPrice3,IF(Scaler3=2,7,8))),0))</f>
        <v> </v>
      </c>
      <c r="J171" s="317" t="str">
        <f aca="false">IF(A171="N/A"," ",IF(OR(Dayrun3=3,Dayrun3=6),IF(Scaler3=2,I171,(VLOOKUP(A171,ScaledPrice3,7))*(2-(VLOOKUP(A171,ScaledPrice3,3)))),0))</f>
        <v> </v>
      </c>
      <c r="K171" s="317" t="str">
        <f aca="false">IF($A171="N/A"," ",IF(OR(Dayrun3=3,Dayrun3=10),VLOOKUP($A171,ScaledPrice3,9),0))</f>
        <v> </v>
      </c>
      <c r="L171" s="318" t="str">
        <f aca="false">IF($A171="N/A"," ",IF(Pricetype3=2,MAX(C171,0),IF(OR(Pricetype3=1,Pricetype3=4),IF(C171=0,0,(EURO(C171,Strikeprice3,0,0,($AH171+IF(Smile=TRUE(),VLOOKUP(MAX(-5,Strikeprice3-C171),Volsmile,2),0)),($A171-DateToday)+15,IF(Pricetype3=1,1,0),0))),C171)))</f>
        <v> </v>
      </c>
      <c r="M171" s="318" t="str">
        <f aca="false">IF($A171="N/A"," ",IF(Pricetype3=2,MAX(D171,0),IF(OR(Pricetype3=1,Pricetype3=4),IF(D171=0,0,(EURO(D171,Strikeprice3,0,0,($AH171+IF(Smile=TRUE(),VLOOKUP(MAX(-5,Strikeprice3-D171),Volsmile,2),0)),($A171-DateToday)+15,IF(Pricetype3=1,1,0),0))),D171)))</f>
        <v> </v>
      </c>
      <c r="N171" s="318" t="str">
        <f aca="false">IF($A171="N/A"," ",IF(Pricetype3=2,MAX(E171,0),IF(OR(Pricetype3=1,Pricetype3=4),IF(E171=0,0,(EURO(E171,Strikeprice3,0,0,($AK171+IF(Smile=TRUE(),VLOOKUP(MAX(-5,Strikeprice3-E171),Volsmile,2),0)),($A171-DateToday)+15,IF(Pricetype3=1,1,0),0))),E171)))</f>
        <v> </v>
      </c>
      <c r="O171" s="318" t="str">
        <f aca="false">IF($A171="N/A"," ",IF(Pricetype3=2,MAX(F171,0),IF(OR(Pricetype3=1,Pricetype3=4),IF(F171=0,0,(EURO(F171,Strikeprice3,0,0,($AK171+IF(Smile=TRUE(),VLOOKUP(MAX(-5,Strikeprice3-F171),Volsmile,2),0)),($A171-DateToday)+15,IF(Pricetype3=1,1,0),0))),F171)))</f>
        <v> </v>
      </c>
      <c r="P171" s="318" t="str">
        <f aca="false">IF($A171="N/A"," ",IF(Pricetype3=2,MAX(G171,0),IF(OR(Pricetype3=1,Pricetype3=4),IF(G171=0,0,(EURO(G171,Strikeprice3,0,0,($AK171+IF(Smile=TRUE(),VLOOKUP(MAX(-5,Strikeprice3-G171),Volsmile,2),0)),($A171-DateToday)+15,IF(Pricetype3=1,1,0),0))),G171)))</f>
        <v> </v>
      </c>
      <c r="Q171" s="318" t="str">
        <f aca="false">IF($A171="N/A"," ",IF(Pricetype3=2,MAX(H171,0),IF(OR(Pricetype3=1,Pricetype3=4),IF(H171=0,0,(EURO(H171,Strikeprice3,0,0,($AK171+IF(Smile=TRUE(),VLOOKUP(MAX(-5,Strikeprice3-H171),Volsmile,2),0)),($A171-DateToday)+15,IF(Pricetype3=1,1,0),0))),H171)))</f>
        <v> </v>
      </c>
      <c r="R171" s="318" t="str">
        <f aca="false">IF($A171="N/A"," ",IF(Pricetype3=2,MAX(I171,0),IF(OR(Pricetype3=1,Pricetype3=4),IF(I171=0,0,(EURO(I171,Strikeprice3,0,0,($AK171+IF(Smile=TRUE(),VLOOKUP(MAX(-5,Strikeprice3-I171),Volsmile,2),0)),($A171-DateToday)+15,IF(Pricetype3=1,1,0),0))),I171)))</f>
        <v> </v>
      </c>
      <c r="S171" s="318" t="str">
        <f aca="false">IF($A171="N/A"," ",IF(Pricetype3=2,MAX(J171,0),IF(OR(Pricetype3=1,Pricetype3=4),IF(J171=0,0,(EURO(J171,Strikeprice3,0,0,($AK171+IF(Smile=TRUE(),VLOOKUP(MAX(-5,Strikeprice3-J171),Volsmile,2),0)),($A171-DateToday)+15,IF(Pricetype3=1,1,0),0))),J171)))</f>
        <v> </v>
      </c>
      <c r="T171" s="318" t="str">
        <f aca="false">IF($A171="N/A"," ",IF(Pricetype3=2,MAX(K171,0),IF(OR(Pricetype3=1,Pricetype3=4),IF(K171=0,0,(EURO(K171,Strikeprice3,0,0,($AK171+IF(Smile=TRUE(),VLOOKUP(MAX(-5,Strikeprice3-K171),Volsmile,2),0)),($A171-DateToday)+15,IF(Pricetype3=1,1,0),0))),K171)))</f>
        <v> </v>
      </c>
      <c r="U171" s="319" t="str">
        <f aca="false">IF($A171="N/A"," ",Volume3*$AM171)</f>
        <v> </v>
      </c>
      <c r="V171" s="320" t="str">
        <f aca="false">IF($A171="N/A"," ",$U171*(8*($BQ171))*L171)</f>
        <v> </v>
      </c>
      <c r="W171" s="320" t="str">
        <f aca="false">IF($A171="N/A"," ",$U171*(8*($BQ171))*M171)</f>
        <v> </v>
      </c>
      <c r="X171" s="320" t="str">
        <f aca="false">IF($A171="N/A"," ",$U171*(8*($BQ171))*N171)</f>
        <v> </v>
      </c>
      <c r="Y171" s="320" t="str">
        <f aca="false">IF($A171="N/A"," ",$U171*(8*($BR171))*O171)</f>
        <v> </v>
      </c>
      <c r="Z171" s="320" t="str">
        <f aca="false">IF($A171="N/A"," ",$U171*(8*($BR171))*P171)</f>
        <v> </v>
      </c>
      <c r="AA171" s="320" t="str">
        <f aca="false">IF($A171="N/A"," ",$U171*(8*($BR171))*Q171)</f>
        <v> </v>
      </c>
      <c r="AB171" s="320" t="str">
        <f aca="false">IF($A171="N/A"," ",$U171*(8*($BS171))*R171)</f>
        <v> </v>
      </c>
      <c r="AC171" s="320" t="str">
        <f aca="false">IF($A171="N/A"," ",$U171*(8*($BS171))*S171)</f>
        <v> </v>
      </c>
      <c r="AD171" s="320" t="str">
        <f aca="false">IF($A171="N/A"," ",$U171*(8*($BS171))*T171)</f>
        <v> </v>
      </c>
      <c r="AE171" s="320" t="str">
        <f aca="false">IF($A171="N/A"," ",SUM(V171:AD171))</f>
        <v> </v>
      </c>
      <c r="AF171" s="321" t="str">
        <f aca="false">IF(A171="N/A"," ",(VLOOKUP(A171,PowerVolTable,(IF(VolBMO3=2,7,IF(VolBMO3=1,6,8))),FALSE())))</f>
        <v> </v>
      </c>
      <c r="AG171" s="321" t="str">
        <f aca="false">IF(A171="N/A"," ",(VLOOKUP(A171,IntraPowerVol,(IF(VolBMO3=2,3,IF(VolBMO3=1,2,4))),FALSE())*VLOOKUP(MONTH($A171),Volscale,2)))</f>
        <v> </v>
      </c>
      <c r="AH171" s="321" t="str">
        <f aca="false">IF($A171="N/A"," ",IF(VolType3=1,AG171,AF171))</f>
        <v> </v>
      </c>
      <c r="AI171" s="321" t="str">
        <f aca="false">IF($A171="N/A"," ",(VLOOKUP($A171,OffPwrVolTable,(IF(VolBMO3=2,7,IF(VolBMO3=1,6,8))),FALSE())))</f>
        <v> </v>
      </c>
      <c r="AJ171" s="321" t="str">
        <f aca="false">IF($A171="N/A"," ",(VLOOKUP($A171,OffPwrVolTable,(IF(VolBMO3=2,3,IF(VolBMO3=1,2,4))),FALSE())*VLOOKUP(MONTH($A171),Volscale,2)))</f>
        <v> </v>
      </c>
      <c r="AK171" s="321" t="str">
        <f aca="false">IF($A171="N/A"," ",IF(VolType3=1,AJ171,AI171))</f>
        <v> </v>
      </c>
      <c r="AL171" s="321" t="str">
        <f aca="false">IF($A171="N/A"," ",IF(PV=1,0,'Pricing Inputs3'!R204))</f>
        <v> </v>
      </c>
      <c r="AM171" s="323" t="str">
        <f aca="false">IF($A171="N/A"," ",(1+AL171/2)^(-2*((EOMONTH(A171,0)+20)-DateToday)/365.25))</f>
        <v> </v>
      </c>
      <c r="BQ171" s="0" t="str">
        <f aca="false">IF($A171="N/A"," ",(VLOOKUP($A171,NumberofDaysTable,2)))</f>
        <v> </v>
      </c>
      <c r="BR171" s="0" t="str">
        <f aca="false">IF($A171="N/A"," ",(VLOOKUP($A171,NumberofDaysTable,3)))</f>
        <v> </v>
      </c>
      <c r="BS171" s="0" t="str">
        <f aca="false">IF($A171="N/A"," ",(VLOOKUP($A171,NumberofDaysTable,4)))</f>
        <v> </v>
      </c>
    </row>
    <row r="172" customFormat="false" ht="12.75" hidden="false" customHeight="false" outlineLevel="0" collapsed="false">
      <c r="A172" s="315" t="str">
        <f aca="false">IF(A171="N/A","N/A",IF(EDATE(A171,1)&gt;Inputs!$Q$5,"N/A",EDATE(A171,1)))</f>
        <v>N/A</v>
      </c>
      <c r="B172" s="316" t="str">
        <f aca="false">IF(A172="N/A"," ",YEAR(A172))</f>
        <v> </v>
      </c>
      <c r="C172" s="317" t="str">
        <f aca="false">IF($A172="N/A"," ",IF(Dayrun3=10,0,IF(Scaler3=1,(VLOOKUP(A172,ScaledPrice3,4)),(VLOOKUP(A172,ScaledPrice3,2)))))</f>
        <v> </v>
      </c>
      <c r="D172" s="317" t="str">
        <f aca="false">IF(A172="N/A"," ",IF(Dayrun3&gt;=7,0,IF(Scaler3=2,VLOOKUP(A172,ScaledPrice3,2),(VLOOKUP(A172,ScaledPrice3,2))*(2-(VLOOKUP(A172,ScaledPrice3,3))))))</f>
        <v> </v>
      </c>
      <c r="E172" s="317" t="str">
        <f aca="false">IF($A172="N/A"," ",IF(AND(Dayrun3&gt;=4,Dayrun3&lt;=9),0,VLOOKUP($A172,ScaledPrice3,9)))</f>
        <v> </v>
      </c>
      <c r="F172" s="317" t="str">
        <f aca="false">IF(A172="N/A"," ",IF(OR(Dayrun3=2,Dayrun3=3,Dayrun3=5,Dayrun3=6,Dayrun3=8,Dayrun3=9),VLOOKUP(A172,ScaledPrice3,IF(Scaler3=1,6,5)),0))</f>
        <v> </v>
      </c>
      <c r="G172" s="317" t="str">
        <f aca="false">IF(A172="N/A"," ",IF(OR(Dayrun3=2,Dayrun3=3,Dayrun3=5,Dayrun3=6),IF(Scaler3=2,F172,(VLOOKUP(A172,ScaledPrice3,5))*(2-(VLOOKUP(A172,ScaledPrice3,3)))),0))</f>
        <v> </v>
      </c>
      <c r="H172" s="317" t="str">
        <f aca="false">IF($A172="N/A"," ",IF(OR(Dayrun3=2,Dayrun3=3,Dayrun3=10),VLOOKUP($A172,ScaledPrice3,9),0))</f>
        <v> </v>
      </c>
      <c r="I172" s="317" t="str">
        <f aca="false">IF(A172="N/A"," ",IF(OR(Dayrun3=3,Dayrun3=6,Dayrun3=9),(VLOOKUP(A172,ScaledPrice3,IF(Scaler3=2,7,8))),0))</f>
        <v> </v>
      </c>
      <c r="J172" s="317" t="str">
        <f aca="false">IF(A172="N/A"," ",IF(OR(Dayrun3=3,Dayrun3=6),IF(Scaler3=2,I172,(VLOOKUP(A172,ScaledPrice3,7))*(2-(VLOOKUP(A172,ScaledPrice3,3)))),0))</f>
        <v> </v>
      </c>
      <c r="K172" s="317" t="str">
        <f aca="false">IF($A172="N/A"," ",IF(OR(Dayrun3=3,Dayrun3=10),VLOOKUP($A172,ScaledPrice3,9),0))</f>
        <v> </v>
      </c>
      <c r="L172" s="318" t="str">
        <f aca="false">IF($A172="N/A"," ",IF(Pricetype3=2,MAX(C172,0),IF(OR(Pricetype3=1,Pricetype3=4),IF(C172=0,0,(EURO(C172,Strikeprice3,0,0,($AH172+IF(Smile=TRUE(),VLOOKUP(MAX(-5,Strikeprice3-C172),Volsmile,2),0)),($A172-DateToday)+15,IF(Pricetype3=1,1,0),0))),C172)))</f>
        <v> </v>
      </c>
      <c r="M172" s="318" t="str">
        <f aca="false">IF($A172="N/A"," ",IF(Pricetype3=2,MAX(D172,0),IF(OR(Pricetype3=1,Pricetype3=4),IF(D172=0,0,(EURO(D172,Strikeprice3,0,0,($AH172+IF(Smile=TRUE(),VLOOKUP(MAX(-5,Strikeprice3-D172),Volsmile,2),0)),($A172-DateToday)+15,IF(Pricetype3=1,1,0),0))),D172)))</f>
        <v> </v>
      </c>
      <c r="N172" s="318" t="str">
        <f aca="false">IF($A172="N/A"," ",IF(Pricetype3=2,MAX(E172,0),IF(OR(Pricetype3=1,Pricetype3=4),IF(E172=0,0,(EURO(E172,Strikeprice3,0,0,($AK172+IF(Smile=TRUE(),VLOOKUP(MAX(-5,Strikeprice3-E172),Volsmile,2),0)),($A172-DateToday)+15,IF(Pricetype3=1,1,0),0))),E172)))</f>
        <v> </v>
      </c>
      <c r="O172" s="318" t="str">
        <f aca="false">IF($A172="N/A"," ",IF(Pricetype3=2,MAX(F172,0),IF(OR(Pricetype3=1,Pricetype3=4),IF(F172=0,0,(EURO(F172,Strikeprice3,0,0,($AK172+IF(Smile=TRUE(),VLOOKUP(MAX(-5,Strikeprice3-F172),Volsmile,2),0)),($A172-DateToday)+15,IF(Pricetype3=1,1,0),0))),F172)))</f>
        <v> </v>
      </c>
      <c r="P172" s="318" t="str">
        <f aca="false">IF($A172="N/A"," ",IF(Pricetype3=2,MAX(G172,0),IF(OR(Pricetype3=1,Pricetype3=4),IF(G172=0,0,(EURO(G172,Strikeprice3,0,0,($AK172+IF(Smile=TRUE(),VLOOKUP(MAX(-5,Strikeprice3-G172),Volsmile,2),0)),($A172-DateToday)+15,IF(Pricetype3=1,1,0),0))),G172)))</f>
        <v> </v>
      </c>
      <c r="Q172" s="318" t="str">
        <f aca="false">IF($A172="N/A"," ",IF(Pricetype3=2,MAX(H172,0),IF(OR(Pricetype3=1,Pricetype3=4),IF(H172=0,0,(EURO(H172,Strikeprice3,0,0,($AK172+IF(Smile=TRUE(),VLOOKUP(MAX(-5,Strikeprice3-H172),Volsmile,2),0)),($A172-DateToday)+15,IF(Pricetype3=1,1,0),0))),H172)))</f>
        <v> </v>
      </c>
      <c r="R172" s="318" t="str">
        <f aca="false">IF($A172="N/A"," ",IF(Pricetype3=2,MAX(I172,0),IF(OR(Pricetype3=1,Pricetype3=4),IF(I172=0,0,(EURO(I172,Strikeprice3,0,0,($AK172+IF(Smile=TRUE(),VLOOKUP(MAX(-5,Strikeprice3-I172),Volsmile,2),0)),($A172-DateToday)+15,IF(Pricetype3=1,1,0),0))),I172)))</f>
        <v> </v>
      </c>
      <c r="S172" s="318" t="str">
        <f aca="false">IF($A172="N/A"," ",IF(Pricetype3=2,MAX(J172,0),IF(OR(Pricetype3=1,Pricetype3=4),IF(J172=0,0,(EURO(J172,Strikeprice3,0,0,($AK172+IF(Smile=TRUE(),VLOOKUP(MAX(-5,Strikeprice3-J172),Volsmile,2),0)),($A172-DateToday)+15,IF(Pricetype3=1,1,0),0))),J172)))</f>
        <v> </v>
      </c>
      <c r="T172" s="318" t="str">
        <f aca="false">IF($A172="N/A"," ",IF(Pricetype3=2,MAX(K172,0),IF(OR(Pricetype3=1,Pricetype3=4),IF(K172=0,0,(EURO(K172,Strikeprice3,0,0,($AK172+IF(Smile=TRUE(),VLOOKUP(MAX(-5,Strikeprice3-K172),Volsmile,2),0)),($A172-DateToday)+15,IF(Pricetype3=1,1,0),0))),K172)))</f>
        <v> </v>
      </c>
      <c r="U172" s="319" t="str">
        <f aca="false">IF($A172="N/A"," ",Volume3*$AM172)</f>
        <v> </v>
      </c>
      <c r="V172" s="320" t="str">
        <f aca="false">IF($A172="N/A"," ",$U172*(8*($BQ172))*L172)</f>
        <v> </v>
      </c>
      <c r="W172" s="320" t="str">
        <f aca="false">IF($A172="N/A"," ",$U172*(8*($BQ172))*M172)</f>
        <v> </v>
      </c>
      <c r="X172" s="320" t="str">
        <f aca="false">IF($A172="N/A"," ",$U172*(8*($BQ172))*N172)</f>
        <v> </v>
      </c>
      <c r="Y172" s="320" t="str">
        <f aca="false">IF($A172="N/A"," ",$U172*(8*($BR172))*O172)</f>
        <v> </v>
      </c>
      <c r="Z172" s="320" t="str">
        <f aca="false">IF($A172="N/A"," ",$U172*(8*($BR172))*P172)</f>
        <v> </v>
      </c>
      <c r="AA172" s="320" t="str">
        <f aca="false">IF($A172="N/A"," ",$U172*(8*($BR172))*Q172)</f>
        <v> </v>
      </c>
      <c r="AB172" s="320" t="str">
        <f aca="false">IF($A172="N/A"," ",$U172*(8*($BS172))*R172)</f>
        <v> </v>
      </c>
      <c r="AC172" s="320" t="str">
        <f aca="false">IF($A172="N/A"," ",$U172*(8*($BS172))*S172)</f>
        <v> </v>
      </c>
      <c r="AD172" s="320" t="str">
        <f aca="false">IF($A172="N/A"," ",$U172*(8*($BS172))*T172)</f>
        <v> </v>
      </c>
      <c r="AE172" s="320" t="str">
        <f aca="false">IF($A172="N/A"," ",SUM(V172:AD172))</f>
        <v> </v>
      </c>
      <c r="AF172" s="321" t="str">
        <f aca="false">IF(A172="N/A"," ",(VLOOKUP(A172,PowerVolTable,(IF(VolBMO3=2,7,IF(VolBMO3=1,6,8))),FALSE())))</f>
        <v> </v>
      </c>
      <c r="AG172" s="321" t="str">
        <f aca="false">IF(A172="N/A"," ",(VLOOKUP(A172,IntraPowerVol,(IF(VolBMO3=2,3,IF(VolBMO3=1,2,4))),FALSE())*VLOOKUP(MONTH($A172),Volscale,2)))</f>
        <v> </v>
      </c>
      <c r="AH172" s="321" t="str">
        <f aca="false">IF($A172="N/A"," ",IF(VolType3=1,AG172,AF172))</f>
        <v> </v>
      </c>
      <c r="AI172" s="321" t="str">
        <f aca="false">IF($A172="N/A"," ",(VLOOKUP($A172,OffPwrVolTable,(IF(VolBMO3=2,7,IF(VolBMO3=1,6,8))),FALSE())))</f>
        <v> </v>
      </c>
      <c r="AJ172" s="321" t="str">
        <f aca="false">IF($A172="N/A"," ",(VLOOKUP($A172,OffPwrVolTable,(IF(VolBMO3=2,3,IF(VolBMO3=1,2,4))),FALSE())*VLOOKUP(MONTH($A172),Volscale,2)))</f>
        <v> </v>
      </c>
      <c r="AK172" s="321" t="str">
        <f aca="false">IF($A172="N/A"," ",IF(VolType3=1,AJ172,AI172))</f>
        <v> </v>
      </c>
      <c r="AL172" s="321" t="str">
        <f aca="false">IF($A172="N/A"," ",IF(PV=1,0,'Pricing Inputs3'!R205))</f>
        <v> </v>
      </c>
      <c r="AM172" s="323" t="str">
        <f aca="false">IF($A172="N/A"," ",(1+AL172/2)^(-2*((EOMONTH(A172,0)+20)-DateToday)/365.25))</f>
        <v> </v>
      </c>
      <c r="BQ172" s="0" t="str">
        <f aca="false">IF($A172="N/A"," ",(VLOOKUP($A172,NumberofDaysTable,2)))</f>
        <v> </v>
      </c>
      <c r="BR172" s="0" t="str">
        <f aca="false">IF($A172="N/A"," ",(VLOOKUP($A172,NumberofDaysTable,3)))</f>
        <v> </v>
      </c>
      <c r="BS172" s="0" t="str">
        <f aca="false">IF($A172="N/A"," ",(VLOOKUP($A172,NumberofDaysTable,4)))</f>
        <v> </v>
      </c>
    </row>
    <row r="173" customFormat="false" ht="12.75" hidden="false" customHeight="false" outlineLevel="0" collapsed="false">
      <c r="A173" s="315" t="str">
        <f aca="false">IF(A172="N/A","N/A",IF(EDATE(A172,1)&gt;Inputs!$Q$5,"N/A",EDATE(A172,1)))</f>
        <v>N/A</v>
      </c>
      <c r="B173" s="316" t="str">
        <f aca="false">IF(A173="N/A"," ",YEAR(A173))</f>
        <v> </v>
      </c>
      <c r="C173" s="317" t="str">
        <f aca="false">IF($A173="N/A"," ",IF(Dayrun3=10,0,IF(Scaler3=1,(VLOOKUP(A173,ScaledPrice3,4)),(VLOOKUP(A173,ScaledPrice3,2)))))</f>
        <v> </v>
      </c>
      <c r="D173" s="317" t="str">
        <f aca="false">IF(A173="N/A"," ",IF(Dayrun3&gt;=7,0,IF(Scaler3=2,VLOOKUP(A173,ScaledPrice3,2),(VLOOKUP(A173,ScaledPrice3,2))*(2-(VLOOKUP(A173,ScaledPrice3,3))))))</f>
        <v> </v>
      </c>
      <c r="E173" s="317" t="str">
        <f aca="false">IF($A173="N/A"," ",IF(AND(Dayrun3&gt;=4,Dayrun3&lt;=9),0,VLOOKUP($A173,ScaledPrice3,9)))</f>
        <v> </v>
      </c>
      <c r="F173" s="317" t="str">
        <f aca="false">IF(A173="N/A"," ",IF(OR(Dayrun3=2,Dayrun3=3,Dayrun3=5,Dayrun3=6,Dayrun3=8,Dayrun3=9),VLOOKUP(A173,ScaledPrice3,IF(Scaler3=1,6,5)),0))</f>
        <v> </v>
      </c>
      <c r="G173" s="317" t="str">
        <f aca="false">IF(A173="N/A"," ",IF(OR(Dayrun3=2,Dayrun3=3,Dayrun3=5,Dayrun3=6),IF(Scaler3=2,F173,(VLOOKUP(A173,ScaledPrice3,5))*(2-(VLOOKUP(A173,ScaledPrice3,3)))),0))</f>
        <v> </v>
      </c>
      <c r="H173" s="317" t="str">
        <f aca="false">IF($A173="N/A"," ",IF(OR(Dayrun3=2,Dayrun3=3,Dayrun3=10),VLOOKUP($A173,ScaledPrice3,9),0))</f>
        <v> </v>
      </c>
      <c r="I173" s="317" t="str">
        <f aca="false">IF(A173="N/A"," ",IF(OR(Dayrun3=3,Dayrun3=6,Dayrun3=9),(VLOOKUP(A173,ScaledPrice3,IF(Scaler3=2,7,8))),0))</f>
        <v> </v>
      </c>
      <c r="J173" s="317" t="str">
        <f aca="false">IF(A173="N/A"," ",IF(OR(Dayrun3=3,Dayrun3=6),IF(Scaler3=2,I173,(VLOOKUP(A173,ScaledPrice3,7))*(2-(VLOOKUP(A173,ScaledPrice3,3)))),0))</f>
        <v> </v>
      </c>
      <c r="K173" s="317" t="str">
        <f aca="false">IF($A173="N/A"," ",IF(OR(Dayrun3=3,Dayrun3=10),VLOOKUP($A173,ScaledPrice3,9),0))</f>
        <v> </v>
      </c>
      <c r="L173" s="318" t="str">
        <f aca="false">IF($A173="N/A"," ",IF(Pricetype3=2,MAX(C173,0),IF(OR(Pricetype3=1,Pricetype3=4),IF(C173=0,0,(EURO(C173,Strikeprice3,0,0,($AH173+IF(Smile=TRUE(),VLOOKUP(MAX(-5,Strikeprice3-C173),Volsmile,2),0)),($A173-DateToday)+15,IF(Pricetype3=1,1,0),0))),C173)))</f>
        <v> </v>
      </c>
      <c r="M173" s="318" t="str">
        <f aca="false">IF($A173="N/A"," ",IF(Pricetype3=2,MAX(D173,0),IF(OR(Pricetype3=1,Pricetype3=4),IF(D173=0,0,(EURO(D173,Strikeprice3,0,0,($AH173+IF(Smile=TRUE(),VLOOKUP(MAX(-5,Strikeprice3-D173),Volsmile,2),0)),($A173-DateToday)+15,IF(Pricetype3=1,1,0),0))),D173)))</f>
        <v> </v>
      </c>
      <c r="N173" s="318" t="str">
        <f aca="false">IF($A173="N/A"," ",IF(Pricetype3=2,MAX(E173,0),IF(OR(Pricetype3=1,Pricetype3=4),IF(E173=0,0,(EURO(E173,Strikeprice3,0,0,($AK173+IF(Smile=TRUE(),VLOOKUP(MAX(-5,Strikeprice3-E173),Volsmile,2),0)),($A173-DateToday)+15,IF(Pricetype3=1,1,0),0))),E173)))</f>
        <v> </v>
      </c>
      <c r="O173" s="318" t="str">
        <f aca="false">IF($A173="N/A"," ",IF(Pricetype3=2,MAX(F173,0),IF(OR(Pricetype3=1,Pricetype3=4),IF(F173=0,0,(EURO(F173,Strikeprice3,0,0,($AK173+IF(Smile=TRUE(),VLOOKUP(MAX(-5,Strikeprice3-F173),Volsmile,2),0)),($A173-DateToday)+15,IF(Pricetype3=1,1,0),0))),F173)))</f>
        <v> </v>
      </c>
      <c r="P173" s="318" t="str">
        <f aca="false">IF($A173="N/A"," ",IF(Pricetype3=2,MAX(G173,0),IF(OR(Pricetype3=1,Pricetype3=4),IF(G173=0,0,(EURO(G173,Strikeprice3,0,0,($AK173+IF(Smile=TRUE(),VLOOKUP(MAX(-5,Strikeprice3-G173),Volsmile,2),0)),($A173-DateToday)+15,IF(Pricetype3=1,1,0),0))),G173)))</f>
        <v> </v>
      </c>
      <c r="Q173" s="318" t="str">
        <f aca="false">IF($A173="N/A"," ",IF(Pricetype3=2,MAX(H173,0),IF(OR(Pricetype3=1,Pricetype3=4),IF(H173=0,0,(EURO(H173,Strikeprice3,0,0,($AK173+IF(Smile=TRUE(),VLOOKUP(MAX(-5,Strikeprice3-H173),Volsmile,2),0)),($A173-DateToday)+15,IF(Pricetype3=1,1,0),0))),H173)))</f>
        <v> </v>
      </c>
      <c r="R173" s="318" t="str">
        <f aca="false">IF($A173="N/A"," ",IF(Pricetype3=2,MAX(I173,0),IF(OR(Pricetype3=1,Pricetype3=4),IF(I173=0,0,(EURO(I173,Strikeprice3,0,0,($AK173+IF(Smile=TRUE(),VLOOKUP(MAX(-5,Strikeprice3-I173),Volsmile,2),0)),($A173-DateToday)+15,IF(Pricetype3=1,1,0),0))),I173)))</f>
        <v> </v>
      </c>
      <c r="S173" s="318" t="str">
        <f aca="false">IF($A173="N/A"," ",IF(Pricetype3=2,MAX(J173,0),IF(OR(Pricetype3=1,Pricetype3=4),IF(J173=0,0,(EURO(J173,Strikeprice3,0,0,($AK173+IF(Smile=TRUE(),VLOOKUP(MAX(-5,Strikeprice3-J173),Volsmile,2),0)),($A173-DateToday)+15,IF(Pricetype3=1,1,0),0))),J173)))</f>
        <v> </v>
      </c>
      <c r="T173" s="318" t="str">
        <f aca="false">IF($A173="N/A"," ",IF(Pricetype3=2,MAX(K173,0),IF(OR(Pricetype3=1,Pricetype3=4),IF(K173=0,0,(EURO(K173,Strikeprice3,0,0,($AK173+IF(Smile=TRUE(),VLOOKUP(MAX(-5,Strikeprice3-K173),Volsmile,2),0)),($A173-DateToday)+15,IF(Pricetype3=1,1,0),0))),K173)))</f>
        <v> </v>
      </c>
      <c r="U173" s="319" t="str">
        <f aca="false">IF($A173="N/A"," ",Volume3*$AM173)</f>
        <v> </v>
      </c>
      <c r="V173" s="320" t="str">
        <f aca="false">IF($A173="N/A"," ",$U173*(8*($BQ173))*L173)</f>
        <v> </v>
      </c>
      <c r="W173" s="320" t="str">
        <f aca="false">IF($A173="N/A"," ",$U173*(8*($BQ173))*M173)</f>
        <v> </v>
      </c>
      <c r="X173" s="320" t="str">
        <f aca="false">IF($A173="N/A"," ",$U173*(8*($BQ173))*N173)</f>
        <v> </v>
      </c>
      <c r="Y173" s="320" t="str">
        <f aca="false">IF($A173="N/A"," ",$U173*(8*($BR173))*O173)</f>
        <v> </v>
      </c>
      <c r="Z173" s="320" t="str">
        <f aca="false">IF($A173="N/A"," ",$U173*(8*($BR173))*P173)</f>
        <v> </v>
      </c>
      <c r="AA173" s="320" t="str">
        <f aca="false">IF($A173="N/A"," ",$U173*(8*($BR173))*Q173)</f>
        <v> </v>
      </c>
      <c r="AB173" s="320" t="str">
        <f aca="false">IF($A173="N/A"," ",$U173*(8*($BS173))*R173)</f>
        <v> </v>
      </c>
      <c r="AC173" s="320" t="str">
        <f aca="false">IF($A173="N/A"," ",$U173*(8*($BS173))*S173)</f>
        <v> </v>
      </c>
      <c r="AD173" s="320" t="str">
        <f aca="false">IF($A173="N/A"," ",$U173*(8*($BS173))*T173)</f>
        <v> </v>
      </c>
      <c r="AE173" s="320" t="str">
        <f aca="false">IF($A173="N/A"," ",SUM(V173:AD173))</f>
        <v> </v>
      </c>
      <c r="AF173" s="321" t="str">
        <f aca="false">IF(A173="N/A"," ",(VLOOKUP(A173,PowerVolTable,(IF(VolBMO3=2,7,IF(VolBMO3=1,6,8))),FALSE())))</f>
        <v> </v>
      </c>
      <c r="AG173" s="321" t="str">
        <f aca="false">IF(A173="N/A"," ",(VLOOKUP(A173,IntraPowerVol,(IF(VolBMO3=2,3,IF(VolBMO3=1,2,4))),FALSE())*VLOOKUP(MONTH($A173),Volscale,2)))</f>
        <v> </v>
      </c>
      <c r="AH173" s="321" t="str">
        <f aca="false">IF($A173="N/A"," ",IF(VolType3=1,AG173,AF173))</f>
        <v> </v>
      </c>
      <c r="AI173" s="321" t="str">
        <f aca="false">IF($A173="N/A"," ",(VLOOKUP($A173,OffPwrVolTable,(IF(VolBMO3=2,7,IF(VolBMO3=1,6,8))),FALSE())))</f>
        <v> </v>
      </c>
      <c r="AJ173" s="321" t="str">
        <f aca="false">IF($A173="N/A"," ",(VLOOKUP($A173,OffPwrVolTable,(IF(VolBMO3=2,3,IF(VolBMO3=1,2,4))),FALSE())*VLOOKUP(MONTH($A173),Volscale,2)))</f>
        <v> </v>
      </c>
      <c r="AK173" s="321" t="str">
        <f aca="false">IF($A173="N/A"," ",IF(VolType3=1,AJ173,AI173))</f>
        <v> </v>
      </c>
      <c r="AL173" s="321" t="str">
        <f aca="false">IF($A173="N/A"," ",IF(PV=1,0,'Pricing Inputs3'!R206))</f>
        <v> </v>
      </c>
      <c r="AM173" s="323" t="str">
        <f aca="false">IF($A173="N/A"," ",(1+AL173/2)^(-2*((EOMONTH(A173,0)+20)-DateToday)/365.25))</f>
        <v> </v>
      </c>
      <c r="BQ173" s="0" t="str">
        <f aca="false">IF($A173="N/A"," ",(VLOOKUP($A173,NumberofDaysTable,2)))</f>
        <v> </v>
      </c>
      <c r="BR173" s="0" t="str">
        <f aca="false">IF($A173="N/A"," ",(VLOOKUP($A173,NumberofDaysTable,3)))</f>
        <v> </v>
      </c>
      <c r="BS173" s="0" t="str">
        <f aca="false">IF($A173="N/A"," ",(VLOOKUP($A173,NumberofDaysTable,4)))</f>
        <v> </v>
      </c>
    </row>
    <row r="174" customFormat="false" ht="12.75" hidden="false" customHeight="false" outlineLevel="0" collapsed="false">
      <c r="A174" s="315" t="str">
        <f aca="false">IF(A173="N/A","N/A",IF(EDATE(A173,1)&gt;Inputs!$Q$5,"N/A",EDATE(A173,1)))</f>
        <v>N/A</v>
      </c>
      <c r="B174" s="316" t="str">
        <f aca="false">IF(A174="N/A"," ",YEAR(A174))</f>
        <v> </v>
      </c>
      <c r="C174" s="317" t="str">
        <f aca="false">IF($A174="N/A"," ",IF(Dayrun3=10,0,IF(Scaler3=1,(VLOOKUP(A174,ScaledPrice3,4)),(VLOOKUP(A174,ScaledPrice3,2)))))</f>
        <v> </v>
      </c>
      <c r="D174" s="317" t="str">
        <f aca="false">IF(A174="N/A"," ",IF(Dayrun3&gt;=7,0,IF(Scaler3=2,VLOOKUP(A174,ScaledPrice3,2),(VLOOKUP(A174,ScaledPrice3,2))*(2-(VLOOKUP(A174,ScaledPrice3,3))))))</f>
        <v> </v>
      </c>
      <c r="E174" s="317" t="str">
        <f aca="false">IF($A174="N/A"," ",IF(AND(Dayrun3&gt;=4,Dayrun3&lt;=9),0,VLOOKUP($A174,ScaledPrice3,9)))</f>
        <v> </v>
      </c>
      <c r="F174" s="317" t="str">
        <f aca="false">IF(A174="N/A"," ",IF(OR(Dayrun3=2,Dayrun3=3,Dayrun3=5,Dayrun3=6,Dayrun3=8,Dayrun3=9),VLOOKUP(A174,ScaledPrice3,IF(Scaler3=1,6,5)),0))</f>
        <v> </v>
      </c>
      <c r="G174" s="317" t="str">
        <f aca="false">IF(A174="N/A"," ",IF(OR(Dayrun3=2,Dayrun3=3,Dayrun3=5,Dayrun3=6),IF(Scaler3=2,F174,(VLOOKUP(A174,ScaledPrice3,5))*(2-(VLOOKUP(A174,ScaledPrice3,3)))),0))</f>
        <v> </v>
      </c>
      <c r="H174" s="317" t="str">
        <f aca="false">IF($A174="N/A"," ",IF(OR(Dayrun3=2,Dayrun3=3,Dayrun3=10),VLOOKUP($A174,ScaledPrice3,9),0))</f>
        <v> </v>
      </c>
      <c r="I174" s="317" t="str">
        <f aca="false">IF(A174="N/A"," ",IF(OR(Dayrun3=3,Dayrun3=6,Dayrun3=9),(VLOOKUP(A174,ScaledPrice3,IF(Scaler3=2,7,8))),0))</f>
        <v> </v>
      </c>
      <c r="J174" s="317" t="str">
        <f aca="false">IF(A174="N/A"," ",IF(OR(Dayrun3=3,Dayrun3=6),IF(Scaler3=2,I174,(VLOOKUP(A174,ScaledPrice3,7))*(2-(VLOOKUP(A174,ScaledPrice3,3)))),0))</f>
        <v> </v>
      </c>
      <c r="K174" s="317" t="str">
        <f aca="false">IF($A174="N/A"," ",IF(OR(Dayrun3=3,Dayrun3=10),VLOOKUP($A174,ScaledPrice3,9),0))</f>
        <v> </v>
      </c>
      <c r="L174" s="318" t="str">
        <f aca="false">IF($A174="N/A"," ",IF(Pricetype3=2,MAX(C174,0),IF(OR(Pricetype3=1,Pricetype3=4),IF(C174=0,0,(EURO(C174,Strikeprice3,0,0,($AH174+IF(Smile=TRUE(),VLOOKUP(MAX(-5,Strikeprice3-C174),Volsmile,2),0)),($A174-DateToday)+15,IF(Pricetype3=1,1,0),0))),C174)))</f>
        <v> </v>
      </c>
      <c r="M174" s="318" t="str">
        <f aca="false">IF($A174="N/A"," ",IF(Pricetype3=2,MAX(D174,0),IF(OR(Pricetype3=1,Pricetype3=4),IF(D174=0,0,(EURO(D174,Strikeprice3,0,0,($AH174+IF(Smile=TRUE(),VLOOKUP(MAX(-5,Strikeprice3-D174),Volsmile,2),0)),($A174-DateToday)+15,IF(Pricetype3=1,1,0),0))),D174)))</f>
        <v> </v>
      </c>
      <c r="N174" s="318" t="str">
        <f aca="false">IF($A174="N/A"," ",IF(Pricetype3=2,MAX(E174,0),IF(OR(Pricetype3=1,Pricetype3=4),IF(E174=0,0,(EURO(E174,Strikeprice3,0,0,($AK174+IF(Smile=TRUE(),VLOOKUP(MAX(-5,Strikeprice3-E174),Volsmile,2),0)),($A174-DateToday)+15,IF(Pricetype3=1,1,0),0))),E174)))</f>
        <v> </v>
      </c>
      <c r="O174" s="318" t="str">
        <f aca="false">IF($A174="N/A"," ",IF(Pricetype3=2,MAX(F174,0),IF(OR(Pricetype3=1,Pricetype3=4),IF(F174=0,0,(EURO(F174,Strikeprice3,0,0,($AK174+IF(Smile=TRUE(),VLOOKUP(MAX(-5,Strikeprice3-F174),Volsmile,2),0)),($A174-DateToday)+15,IF(Pricetype3=1,1,0),0))),F174)))</f>
        <v> </v>
      </c>
      <c r="P174" s="318" t="str">
        <f aca="false">IF($A174="N/A"," ",IF(Pricetype3=2,MAX(G174,0),IF(OR(Pricetype3=1,Pricetype3=4),IF(G174=0,0,(EURO(G174,Strikeprice3,0,0,($AK174+IF(Smile=TRUE(),VLOOKUP(MAX(-5,Strikeprice3-G174),Volsmile,2),0)),($A174-DateToday)+15,IF(Pricetype3=1,1,0),0))),G174)))</f>
        <v> </v>
      </c>
      <c r="Q174" s="318" t="str">
        <f aca="false">IF($A174="N/A"," ",IF(Pricetype3=2,MAX(H174,0),IF(OR(Pricetype3=1,Pricetype3=4),IF(H174=0,0,(EURO(H174,Strikeprice3,0,0,($AK174+IF(Smile=TRUE(),VLOOKUP(MAX(-5,Strikeprice3-H174),Volsmile,2),0)),($A174-DateToday)+15,IF(Pricetype3=1,1,0),0))),H174)))</f>
        <v> </v>
      </c>
      <c r="R174" s="318" t="str">
        <f aca="false">IF($A174="N/A"," ",IF(Pricetype3=2,MAX(I174,0),IF(OR(Pricetype3=1,Pricetype3=4),IF(I174=0,0,(EURO(I174,Strikeprice3,0,0,($AK174+IF(Smile=TRUE(),VLOOKUP(MAX(-5,Strikeprice3-I174),Volsmile,2),0)),($A174-DateToday)+15,IF(Pricetype3=1,1,0),0))),I174)))</f>
        <v> </v>
      </c>
      <c r="S174" s="318" t="str">
        <f aca="false">IF($A174="N/A"," ",IF(Pricetype3=2,MAX(J174,0),IF(OR(Pricetype3=1,Pricetype3=4),IF(J174=0,0,(EURO(J174,Strikeprice3,0,0,($AK174+IF(Smile=TRUE(),VLOOKUP(MAX(-5,Strikeprice3-J174),Volsmile,2),0)),($A174-DateToday)+15,IF(Pricetype3=1,1,0),0))),J174)))</f>
        <v> </v>
      </c>
      <c r="T174" s="318" t="str">
        <f aca="false">IF($A174="N/A"," ",IF(Pricetype3=2,MAX(K174,0),IF(OR(Pricetype3=1,Pricetype3=4),IF(K174=0,0,(EURO(K174,Strikeprice3,0,0,($AK174+IF(Smile=TRUE(),VLOOKUP(MAX(-5,Strikeprice3-K174),Volsmile,2),0)),($A174-DateToday)+15,IF(Pricetype3=1,1,0),0))),K174)))</f>
        <v> </v>
      </c>
      <c r="U174" s="319" t="str">
        <f aca="false">IF($A174="N/A"," ",Volume3*$AM174)</f>
        <v> </v>
      </c>
      <c r="V174" s="320" t="str">
        <f aca="false">IF($A174="N/A"," ",$U174*(8*($BQ174))*L174)</f>
        <v> </v>
      </c>
      <c r="W174" s="320" t="str">
        <f aca="false">IF($A174="N/A"," ",$U174*(8*($BQ174))*M174)</f>
        <v> </v>
      </c>
      <c r="X174" s="320" t="str">
        <f aca="false">IF($A174="N/A"," ",$U174*(8*($BQ174))*N174)</f>
        <v> </v>
      </c>
      <c r="Y174" s="320" t="str">
        <f aca="false">IF($A174="N/A"," ",$U174*(8*($BR174))*O174)</f>
        <v> </v>
      </c>
      <c r="Z174" s="320" t="str">
        <f aca="false">IF($A174="N/A"," ",$U174*(8*($BR174))*P174)</f>
        <v> </v>
      </c>
      <c r="AA174" s="320" t="str">
        <f aca="false">IF($A174="N/A"," ",$U174*(8*($BR174))*Q174)</f>
        <v> </v>
      </c>
      <c r="AB174" s="320" t="str">
        <f aca="false">IF($A174="N/A"," ",$U174*(8*($BS174))*R174)</f>
        <v> </v>
      </c>
      <c r="AC174" s="320" t="str">
        <f aca="false">IF($A174="N/A"," ",$U174*(8*($BS174))*S174)</f>
        <v> </v>
      </c>
      <c r="AD174" s="320" t="str">
        <f aca="false">IF($A174="N/A"," ",$U174*(8*($BS174))*T174)</f>
        <v> </v>
      </c>
      <c r="AE174" s="320" t="str">
        <f aca="false">IF($A174="N/A"," ",SUM(V174:AD174))</f>
        <v> </v>
      </c>
      <c r="AF174" s="321" t="str">
        <f aca="false">IF(A174="N/A"," ",(VLOOKUP(A174,PowerVolTable,(IF(VolBMO3=2,7,IF(VolBMO3=1,6,8))),FALSE())))</f>
        <v> </v>
      </c>
      <c r="AG174" s="321" t="str">
        <f aca="false">IF(A174="N/A"," ",(VLOOKUP(A174,IntraPowerVol,(IF(VolBMO3=2,3,IF(VolBMO3=1,2,4))),FALSE())*VLOOKUP(MONTH($A174),Volscale,2)))</f>
        <v> </v>
      </c>
      <c r="AH174" s="321" t="str">
        <f aca="false">IF($A174="N/A"," ",IF(VolType3=1,AG174,AF174))</f>
        <v> </v>
      </c>
      <c r="AI174" s="321" t="str">
        <f aca="false">IF($A174="N/A"," ",(VLOOKUP($A174,OffPwrVolTable,(IF(VolBMO3=2,7,IF(VolBMO3=1,6,8))),FALSE())))</f>
        <v> </v>
      </c>
      <c r="AJ174" s="321" t="str">
        <f aca="false">IF($A174="N/A"," ",(VLOOKUP($A174,OffPwrVolTable,(IF(VolBMO3=2,3,IF(VolBMO3=1,2,4))),FALSE())*VLOOKUP(MONTH($A174),Volscale,2)))</f>
        <v> </v>
      </c>
      <c r="AK174" s="321" t="str">
        <f aca="false">IF($A174="N/A"," ",IF(VolType3=1,AJ174,AI174))</f>
        <v> </v>
      </c>
      <c r="AL174" s="321" t="str">
        <f aca="false">IF($A174="N/A"," ",IF(PV=1,0,'Pricing Inputs3'!R207))</f>
        <v> </v>
      </c>
      <c r="AM174" s="323" t="str">
        <f aca="false">IF($A174="N/A"," ",(1+AL174/2)^(-2*((EOMONTH(A174,0)+20)-DateToday)/365.25))</f>
        <v> </v>
      </c>
      <c r="BQ174" s="0" t="str">
        <f aca="false">IF($A174="N/A"," ",(VLOOKUP($A174,NumberofDaysTable,2)))</f>
        <v> </v>
      </c>
      <c r="BR174" s="0" t="str">
        <f aca="false">IF($A174="N/A"," ",(VLOOKUP($A174,NumberofDaysTable,3)))</f>
        <v> </v>
      </c>
      <c r="BS174" s="0" t="str">
        <f aca="false">IF($A174="N/A"," ",(VLOOKUP($A174,NumberofDaysTable,4)))</f>
        <v> </v>
      </c>
    </row>
    <row r="175" customFormat="false" ht="12.75" hidden="false" customHeight="false" outlineLevel="0" collapsed="false">
      <c r="A175" s="315" t="str">
        <f aca="false">IF(A174="N/A","N/A",IF(EDATE(A174,1)&gt;Inputs!$Q$5,"N/A",EDATE(A174,1)))</f>
        <v>N/A</v>
      </c>
      <c r="B175" s="316" t="str">
        <f aca="false">IF(A175="N/A"," ",YEAR(A175))</f>
        <v> </v>
      </c>
      <c r="C175" s="317" t="str">
        <f aca="false">IF($A175="N/A"," ",IF(Dayrun3=10,0,IF(Scaler3=1,(VLOOKUP(A175,ScaledPrice3,4)),(VLOOKUP(A175,ScaledPrice3,2)))))</f>
        <v> </v>
      </c>
      <c r="D175" s="317" t="str">
        <f aca="false">IF(A175="N/A"," ",IF(Dayrun3&gt;=7,0,IF(Scaler3=2,VLOOKUP(A175,ScaledPrice3,2),(VLOOKUP(A175,ScaledPrice3,2))*(2-(VLOOKUP(A175,ScaledPrice3,3))))))</f>
        <v> </v>
      </c>
      <c r="E175" s="317" t="str">
        <f aca="false">IF($A175="N/A"," ",IF(AND(Dayrun3&gt;=4,Dayrun3&lt;=9),0,VLOOKUP($A175,ScaledPrice3,9)))</f>
        <v> </v>
      </c>
      <c r="F175" s="317" t="str">
        <f aca="false">IF(A175="N/A"," ",IF(OR(Dayrun3=2,Dayrun3=3,Dayrun3=5,Dayrun3=6,Dayrun3=8,Dayrun3=9),VLOOKUP(A175,ScaledPrice3,IF(Scaler3=1,6,5)),0))</f>
        <v> </v>
      </c>
      <c r="G175" s="317" t="str">
        <f aca="false">IF(A175="N/A"," ",IF(OR(Dayrun3=2,Dayrun3=3,Dayrun3=5,Dayrun3=6),IF(Scaler3=2,F175,(VLOOKUP(A175,ScaledPrice3,5))*(2-(VLOOKUP(A175,ScaledPrice3,3)))),0))</f>
        <v> </v>
      </c>
      <c r="H175" s="317" t="str">
        <f aca="false">IF($A175="N/A"," ",IF(OR(Dayrun3=2,Dayrun3=3,Dayrun3=10),VLOOKUP($A175,ScaledPrice3,9),0))</f>
        <v> </v>
      </c>
      <c r="I175" s="317" t="str">
        <f aca="false">IF(A175="N/A"," ",IF(OR(Dayrun3=3,Dayrun3=6,Dayrun3=9),(VLOOKUP(A175,ScaledPrice3,IF(Scaler3=2,7,8))),0))</f>
        <v> </v>
      </c>
      <c r="J175" s="317" t="str">
        <f aca="false">IF(A175="N/A"," ",IF(OR(Dayrun3=3,Dayrun3=6),IF(Scaler3=2,I175,(VLOOKUP(A175,ScaledPrice3,7))*(2-(VLOOKUP(A175,ScaledPrice3,3)))),0))</f>
        <v> </v>
      </c>
      <c r="K175" s="317" t="str">
        <f aca="false">IF($A175="N/A"," ",IF(OR(Dayrun3=3,Dayrun3=10),VLOOKUP($A175,ScaledPrice3,9),0))</f>
        <v> </v>
      </c>
      <c r="L175" s="318" t="str">
        <f aca="false">IF($A175="N/A"," ",IF(Pricetype3=2,MAX(C175,0),IF(OR(Pricetype3=1,Pricetype3=4),IF(C175=0,0,(EURO(C175,Strikeprice3,0,0,($AH175+IF(Smile=TRUE(),VLOOKUP(MAX(-5,Strikeprice3-C175),Volsmile,2),0)),($A175-DateToday)+15,IF(Pricetype3=1,1,0),0))),C175)))</f>
        <v> </v>
      </c>
      <c r="M175" s="318" t="str">
        <f aca="false">IF($A175="N/A"," ",IF(Pricetype3=2,MAX(D175,0),IF(OR(Pricetype3=1,Pricetype3=4),IF(D175=0,0,(EURO(D175,Strikeprice3,0,0,($AH175+IF(Smile=TRUE(),VLOOKUP(MAX(-5,Strikeprice3-D175),Volsmile,2),0)),($A175-DateToday)+15,IF(Pricetype3=1,1,0),0))),D175)))</f>
        <v> </v>
      </c>
      <c r="N175" s="318" t="str">
        <f aca="false">IF($A175="N/A"," ",IF(Pricetype3=2,MAX(E175,0),IF(OR(Pricetype3=1,Pricetype3=4),IF(E175=0,0,(EURO(E175,Strikeprice3,0,0,($AK175+IF(Smile=TRUE(),VLOOKUP(MAX(-5,Strikeprice3-E175),Volsmile,2),0)),($A175-DateToday)+15,IF(Pricetype3=1,1,0),0))),E175)))</f>
        <v> </v>
      </c>
      <c r="O175" s="318" t="str">
        <f aca="false">IF($A175="N/A"," ",IF(Pricetype3=2,MAX(F175,0),IF(OR(Pricetype3=1,Pricetype3=4),IF(F175=0,0,(EURO(F175,Strikeprice3,0,0,($AK175+IF(Smile=TRUE(),VLOOKUP(MAX(-5,Strikeprice3-F175),Volsmile,2),0)),($A175-DateToday)+15,IF(Pricetype3=1,1,0),0))),F175)))</f>
        <v> </v>
      </c>
      <c r="P175" s="318" t="str">
        <f aca="false">IF($A175="N/A"," ",IF(Pricetype3=2,MAX(G175,0),IF(OR(Pricetype3=1,Pricetype3=4),IF(G175=0,0,(EURO(G175,Strikeprice3,0,0,($AK175+IF(Smile=TRUE(),VLOOKUP(MAX(-5,Strikeprice3-G175),Volsmile,2),0)),($A175-DateToday)+15,IF(Pricetype3=1,1,0),0))),G175)))</f>
        <v> </v>
      </c>
      <c r="Q175" s="318" t="str">
        <f aca="false">IF($A175="N/A"," ",IF(Pricetype3=2,MAX(H175,0),IF(OR(Pricetype3=1,Pricetype3=4),IF(H175=0,0,(EURO(H175,Strikeprice3,0,0,($AK175+IF(Smile=TRUE(),VLOOKUP(MAX(-5,Strikeprice3-H175),Volsmile,2),0)),($A175-DateToday)+15,IF(Pricetype3=1,1,0),0))),H175)))</f>
        <v> </v>
      </c>
      <c r="R175" s="318" t="str">
        <f aca="false">IF($A175="N/A"," ",IF(Pricetype3=2,MAX(I175,0),IF(OR(Pricetype3=1,Pricetype3=4),IF(I175=0,0,(EURO(I175,Strikeprice3,0,0,($AK175+IF(Smile=TRUE(),VLOOKUP(MAX(-5,Strikeprice3-I175),Volsmile,2),0)),($A175-DateToday)+15,IF(Pricetype3=1,1,0),0))),I175)))</f>
        <v> </v>
      </c>
      <c r="S175" s="318" t="str">
        <f aca="false">IF($A175="N/A"," ",IF(Pricetype3=2,MAX(J175,0),IF(OR(Pricetype3=1,Pricetype3=4),IF(J175=0,0,(EURO(J175,Strikeprice3,0,0,($AK175+IF(Smile=TRUE(),VLOOKUP(MAX(-5,Strikeprice3-J175),Volsmile,2),0)),($A175-DateToday)+15,IF(Pricetype3=1,1,0),0))),J175)))</f>
        <v> </v>
      </c>
      <c r="T175" s="318" t="str">
        <f aca="false">IF($A175="N/A"," ",IF(Pricetype3=2,MAX(K175,0),IF(OR(Pricetype3=1,Pricetype3=4),IF(K175=0,0,(EURO(K175,Strikeprice3,0,0,($AK175+IF(Smile=TRUE(),VLOOKUP(MAX(-5,Strikeprice3-K175),Volsmile,2),0)),($A175-DateToday)+15,IF(Pricetype3=1,1,0),0))),K175)))</f>
        <v> </v>
      </c>
      <c r="U175" s="319" t="str">
        <f aca="false">IF($A175="N/A"," ",Volume3*$AM175)</f>
        <v> </v>
      </c>
      <c r="V175" s="320" t="str">
        <f aca="false">IF($A175="N/A"," ",$U175*(8*($BQ175))*L175)</f>
        <v> </v>
      </c>
      <c r="W175" s="320" t="str">
        <f aca="false">IF($A175="N/A"," ",$U175*(8*($BQ175))*M175)</f>
        <v> </v>
      </c>
      <c r="X175" s="320" t="str">
        <f aca="false">IF($A175="N/A"," ",$U175*(8*($BQ175))*N175)</f>
        <v> </v>
      </c>
      <c r="Y175" s="320" t="str">
        <f aca="false">IF($A175="N/A"," ",$U175*(8*($BR175))*O175)</f>
        <v> </v>
      </c>
      <c r="Z175" s="320" t="str">
        <f aca="false">IF($A175="N/A"," ",$U175*(8*($BR175))*P175)</f>
        <v> </v>
      </c>
      <c r="AA175" s="320" t="str">
        <f aca="false">IF($A175="N/A"," ",$U175*(8*($BR175))*Q175)</f>
        <v> </v>
      </c>
      <c r="AB175" s="320" t="str">
        <f aca="false">IF($A175="N/A"," ",$U175*(8*($BS175))*R175)</f>
        <v> </v>
      </c>
      <c r="AC175" s="320" t="str">
        <f aca="false">IF($A175="N/A"," ",$U175*(8*($BS175))*S175)</f>
        <v> </v>
      </c>
      <c r="AD175" s="320" t="str">
        <f aca="false">IF($A175="N/A"," ",$U175*(8*($BS175))*T175)</f>
        <v> </v>
      </c>
      <c r="AE175" s="320" t="str">
        <f aca="false">IF($A175="N/A"," ",SUM(V175:AD175))</f>
        <v> </v>
      </c>
      <c r="AF175" s="321" t="str">
        <f aca="false">IF(A175="N/A"," ",(VLOOKUP(A175,PowerVolTable,(IF(VolBMO3=2,7,IF(VolBMO3=1,6,8))),FALSE())))</f>
        <v> </v>
      </c>
      <c r="AG175" s="321" t="str">
        <f aca="false">IF(A175="N/A"," ",(VLOOKUP(A175,IntraPowerVol,(IF(VolBMO3=2,3,IF(VolBMO3=1,2,4))),FALSE())*VLOOKUP(MONTH($A175),Volscale,2)))</f>
        <v> </v>
      </c>
      <c r="AH175" s="321" t="str">
        <f aca="false">IF($A175="N/A"," ",IF(VolType3=1,AG175,AF175))</f>
        <v> </v>
      </c>
      <c r="AI175" s="321" t="str">
        <f aca="false">IF($A175="N/A"," ",(VLOOKUP($A175,OffPwrVolTable,(IF(VolBMO3=2,7,IF(VolBMO3=1,6,8))),FALSE())))</f>
        <v> </v>
      </c>
      <c r="AJ175" s="321" t="str">
        <f aca="false">IF($A175="N/A"," ",(VLOOKUP($A175,OffPwrVolTable,(IF(VolBMO3=2,3,IF(VolBMO3=1,2,4))),FALSE())*VLOOKUP(MONTH($A175),Volscale,2)))</f>
        <v> </v>
      </c>
      <c r="AK175" s="321" t="str">
        <f aca="false">IF($A175="N/A"," ",IF(VolType3=1,AJ175,AI175))</f>
        <v> </v>
      </c>
      <c r="AL175" s="321" t="str">
        <f aca="false">IF($A175="N/A"," ",IF(PV=1,0,'Pricing Inputs3'!R208))</f>
        <v> </v>
      </c>
      <c r="AM175" s="323" t="str">
        <f aca="false">IF($A175="N/A"," ",(1+AL175/2)^(-2*((EOMONTH(A175,0)+20)-DateToday)/365.25))</f>
        <v> </v>
      </c>
      <c r="BQ175" s="0" t="str">
        <f aca="false">IF($A175="N/A"," ",(VLOOKUP($A175,NumberofDaysTable,2)))</f>
        <v> </v>
      </c>
      <c r="BR175" s="0" t="str">
        <f aca="false">IF($A175="N/A"," ",(VLOOKUP($A175,NumberofDaysTable,3)))</f>
        <v> </v>
      </c>
      <c r="BS175" s="0" t="str">
        <f aca="false">IF($A175="N/A"," ",(VLOOKUP($A175,NumberofDaysTable,4)))</f>
        <v> </v>
      </c>
    </row>
    <row r="176" customFormat="false" ht="12.75" hidden="false" customHeight="false" outlineLevel="0" collapsed="false">
      <c r="A176" s="315" t="str">
        <f aca="false">IF(A175="N/A","N/A",IF(EDATE(A175,1)&gt;Inputs!$Q$5,"N/A",EDATE(A175,1)))</f>
        <v>N/A</v>
      </c>
      <c r="B176" s="316" t="str">
        <f aca="false">IF(A176="N/A"," ",YEAR(A176))</f>
        <v> </v>
      </c>
      <c r="C176" s="317" t="str">
        <f aca="false">IF($A176="N/A"," ",IF(Dayrun3=10,0,IF(Scaler3=1,(VLOOKUP(A176,ScaledPrice3,4)),(VLOOKUP(A176,ScaledPrice3,2)))))</f>
        <v> </v>
      </c>
      <c r="D176" s="317" t="str">
        <f aca="false">IF(A176="N/A"," ",IF(Dayrun3&gt;=7,0,IF(Scaler3=2,VLOOKUP(A176,ScaledPrice3,2),(VLOOKUP(A176,ScaledPrice3,2))*(2-(VLOOKUP(A176,ScaledPrice3,3))))))</f>
        <v> </v>
      </c>
      <c r="E176" s="317" t="str">
        <f aca="false">IF($A176="N/A"," ",IF(AND(Dayrun3&gt;=4,Dayrun3&lt;=9),0,VLOOKUP($A176,ScaledPrice3,9)))</f>
        <v> </v>
      </c>
      <c r="F176" s="317" t="str">
        <f aca="false">IF(A176="N/A"," ",IF(OR(Dayrun3=2,Dayrun3=3,Dayrun3=5,Dayrun3=6,Dayrun3=8,Dayrun3=9),VLOOKUP(A176,ScaledPrice3,IF(Scaler3=1,6,5)),0))</f>
        <v> </v>
      </c>
      <c r="G176" s="317" t="str">
        <f aca="false">IF(A176="N/A"," ",IF(OR(Dayrun3=2,Dayrun3=3,Dayrun3=5,Dayrun3=6),IF(Scaler3=2,F176,(VLOOKUP(A176,ScaledPrice3,5))*(2-(VLOOKUP(A176,ScaledPrice3,3)))),0))</f>
        <v> </v>
      </c>
      <c r="H176" s="317" t="str">
        <f aca="false">IF($A176="N/A"," ",IF(OR(Dayrun3=2,Dayrun3=3,Dayrun3=10),VLOOKUP($A176,ScaledPrice3,9),0))</f>
        <v> </v>
      </c>
      <c r="I176" s="317" t="str">
        <f aca="false">IF(A176="N/A"," ",IF(OR(Dayrun3=3,Dayrun3=6,Dayrun3=9),(VLOOKUP(A176,ScaledPrice3,IF(Scaler3=2,7,8))),0))</f>
        <v> </v>
      </c>
      <c r="J176" s="317" t="str">
        <f aca="false">IF(A176="N/A"," ",IF(OR(Dayrun3=3,Dayrun3=6),IF(Scaler3=2,I176,(VLOOKUP(A176,ScaledPrice3,7))*(2-(VLOOKUP(A176,ScaledPrice3,3)))),0))</f>
        <v> </v>
      </c>
      <c r="K176" s="317" t="str">
        <f aca="false">IF($A176="N/A"," ",IF(OR(Dayrun3=3,Dayrun3=10),VLOOKUP($A176,ScaledPrice3,9),0))</f>
        <v> </v>
      </c>
      <c r="L176" s="318" t="str">
        <f aca="false">IF($A176="N/A"," ",IF(Pricetype3=2,MAX(C176,0),IF(OR(Pricetype3=1,Pricetype3=4),IF(C176=0,0,(EURO(C176,Strikeprice3,0,0,($AH176+IF(Smile=TRUE(),VLOOKUP(MAX(-5,Strikeprice3-C176),Volsmile,2),0)),($A176-DateToday)+15,IF(Pricetype3=1,1,0),0))),C176)))</f>
        <v> </v>
      </c>
      <c r="M176" s="318" t="str">
        <f aca="false">IF($A176="N/A"," ",IF(Pricetype3=2,MAX(D176,0),IF(OR(Pricetype3=1,Pricetype3=4),IF(D176=0,0,(EURO(D176,Strikeprice3,0,0,($AH176+IF(Smile=TRUE(),VLOOKUP(MAX(-5,Strikeprice3-D176),Volsmile,2),0)),($A176-DateToday)+15,IF(Pricetype3=1,1,0),0))),D176)))</f>
        <v> </v>
      </c>
      <c r="N176" s="318" t="str">
        <f aca="false">IF($A176="N/A"," ",IF(Pricetype3=2,MAX(E176,0),IF(OR(Pricetype3=1,Pricetype3=4),IF(E176=0,0,(EURO(E176,Strikeprice3,0,0,($AK176+IF(Smile=TRUE(),VLOOKUP(MAX(-5,Strikeprice3-E176),Volsmile,2),0)),($A176-DateToday)+15,IF(Pricetype3=1,1,0),0))),E176)))</f>
        <v> </v>
      </c>
      <c r="O176" s="318" t="str">
        <f aca="false">IF($A176="N/A"," ",IF(Pricetype3=2,MAX(F176,0),IF(OR(Pricetype3=1,Pricetype3=4),IF(F176=0,0,(EURO(F176,Strikeprice3,0,0,($AK176+IF(Smile=TRUE(),VLOOKUP(MAX(-5,Strikeprice3-F176),Volsmile,2),0)),($A176-DateToday)+15,IF(Pricetype3=1,1,0),0))),F176)))</f>
        <v> </v>
      </c>
      <c r="P176" s="318" t="str">
        <f aca="false">IF($A176="N/A"," ",IF(Pricetype3=2,MAX(G176,0),IF(OR(Pricetype3=1,Pricetype3=4),IF(G176=0,0,(EURO(G176,Strikeprice3,0,0,($AK176+IF(Smile=TRUE(),VLOOKUP(MAX(-5,Strikeprice3-G176),Volsmile,2),0)),($A176-DateToday)+15,IF(Pricetype3=1,1,0),0))),G176)))</f>
        <v> </v>
      </c>
      <c r="Q176" s="318" t="str">
        <f aca="false">IF($A176="N/A"," ",IF(Pricetype3=2,MAX(H176,0),IF(OR(Pricetype3=1,Pricetype3=4),IF(H176=0,0,(EURO(H176,Strikeprice3,0,0,($AK176+IF(Smile=TRUE(),VLOOKUP(MAX(-5,Strikeprice3-H176),Volsmile,2),0)),($A176-DateToday)+15,IF(Pricetype3=1,1,0),0))),H176)))</f>
        <v> </v>
      </c>
      <c r="R176" s="318" t="str">
        <f aca="false">IF($A176="N/A"," ",IF(Pricetype3=2,MAX(I176,0),IF(OR(Pricetype3=1,Pricetype3=4),IF(I176=0,0,(EURO(I176,Strikeprice3,0,0,($AK176+IF(Smile=TRUE(),VLOOKUP(MAX(-5,Strikeprice3-I176),Volsmile,2),0)),($A176-DateToday)+15,IF(Pricetype3=1,1,0),0))),I176)))</f>
        <v> </v>
      </c>
      <c r="S176" s="318" t="str">
        <f aca="false">IF($A176="N/A"," ",IF(Pricetype3=2,MAX(J176,0),IF(OR(Pricetype3=1,Pricetype3=4),IF(J176=0,0,(EURO(J176,Strikeprice3,0,0,($AK176+IF(Smile=TRUE(),VLOOKUP(MAX(-5,Strikeprice3-J176),Volsmile,2),0)),($A176-DateToday)+15,IF(Pricetype3=1,1,0),0))),J176)))</f>
        <v> </v>
      </c>
      <c r="T176" s="318" t="str">
        <f aca="false">IF($A176="N/A"," ",IF(Pricetype3=2,MAX(K176,0),IF(OR(Pricetype3=1,Pricetype3=4),IF(K176=0,0,(EURO(K176,Strikeprice3,0,0,($AK176+IF(Smile=TRUE(),VLOOKUP(MAX(-5,Strikeprice3-K176),Volsmile,2),0)),($A176-DateToday)+15,IF(Pricetype3=1,1,0),0))),K176)))</f>
        <v> </v>
      </c>
      <c r="U176" s="319" t="str">
        <f aca="false">IF($A176="N/A"," ",Volume3*$AM176)</f>
        <v> </v>
      </c>
      <c r="V176" s="320" t="str">
        <f aca="false">IF($A176="N/A"," ",$U176*(8*($BQ176))*L176)</f>
        <v> </v>
      </c>
      <c r="W176" s="320" t="str">
        <f aca="false">IF($A176="N/A"," ",$U176*(8*($BQ176))*M176)</f>
        <v> </v>
      </c>
      <c r="X176" s="320" t="str">
        <f aca="false">IF($A176="N/A"," ",$U176*(8*($BQ176))*N176)</f>
        <v> </v>
      </c>
      <c r="Y176" s="320" t="str">
        <f aca="false">IF($A176="N/A"," ",$U176*(8*($BR176))*O176)</f>
        <v> </v>
      </c>
      <c r="Z176" s="320" t="str">
        <f aca="false">IF($A176="N/A"," ",$U176*(8*($BR176))*P176)</f>
        <v> </v>
      </c>
      <c r="AA176" s="320" t="str">
        <f aca="false">IF($A176="N/A"," ",$U176*(8*($BR176))*Q176)</f>
        <v> </v>
      </c>
      <c r="AB176" s="320" t="str">
        <f aca="false">IF($A176="N/A"," ",$U176*(8*($BS176))*R176)</f>
        <v> </v>
      </c>
      <c r="AC176" s="320" t="str">
        <f aca="false">IF($A176="N/A"," ",$U176*(8*($BS176))*S176)</f>
        <v> </v>
      </c>
      <c r="AD176" s="320" t="str">
        <f aca="false">IF($A176="N/A"," ",$U176*(8*($BS176))*T176)</f>
        <v> </v>
      </c>
      <c r="AE176" s="320" t="str">
        <f aca="false">IF($A176="N/A"," ",SUM(V176:AD176))</f>
        <v> </v>
      </c>
      <c r="AF176" s="321" t="str">
        <f aca="false">IF(A176="N/A"," ",(VLOOKUP(A176,PowerVolTable,(IF(VolBMO3=2,7,IF(VolBMO3=1,6,8))),FALSE())))</f>
        <v> </v>
      </c>
      <c r="AG176" s="321" t="str">
        <f aca="false">IF(A176="N/A"," ",(VLOOKUP(A176,IntraPowerVol,(IF(VolBMO3=2,3,IF(VolBMO3=1,2,4))),FALSE())*VLOOKUP(MONTH($A176),Volscale,2)))</f>
        <v> </v>
      </c>
      <c r="AH176" s="321" t="str">
        <f aca="false">IF($A176="N/A"," ",IF(VolType3=1,AG176,AF176))</f>
        <v> </v>
      </c>
      <c r="AI176" s="321" t="str">
        <f aca="false">IF($A176="N/A"," ",(VLOOKUP($A176,OffPwrVolTable,(IF(VolBMO3=2,7,IF(VolBMO3=1,6,8))),FALSE())))</f>
        <v> </v>
      </c>
      <c r="AJ176" s="321" t="str">
        <f aca="false">IF($A176="N/A"," ",(VLOOKUP($A176,OffPwrVolTable,(IF(VolBMO3=2,3,IF(VolBMO3=1,2,4))),FALSE())*VLOOKUP(MONTH($A176),Volscale,2)))</f>
        <v> </v>
      </c>
      <c r="AK176" s="321" t="str">
        <f aca="false">IF($A176="N/A"," ",IF(VolType3=1,AJ176,AI176))</f>
        <v> </v>
      </c>
      <c r="AL176" s="321" t="str">
        <f aca="false">IF($A176="N/A"," ",IF(PV=1,0,'Pricing Inputs3'!R209))</f>
        <v> </v>
      </c>
      <c r="AM176" s="323" t="str">
        <f aca="false">IF($A176="N/A"," ",(1+AL176/2)^(-2*((EOMONTH(A176,0)+20)-DateToday)/365.25))</f>
        <v> </v>
      </c>
      <c r="BQ176" s="0" t="str">
        <f aca="false">IF($A176="N/A"," ",(VLOOKUP($A176,NumberofDaysTable,2)))</f>
        <v> </v>
      </c>
      <c r="BR176" s="0" t="str">
        <f aca="false">IF($A176="N/A"," ",(VLOOKUP($A176,NumberofDaysTable,3)))</f>
        <v> </v>
      </c>
      <c r="BS176" s="0" t="str">
        <f aca="false">IF($A176="N/A"," ",(VLOOKUP($A176,NumberofDaysTable,4)))</f>
        <v> </v>
      </c>
    </row>
    <row r="177" customFormat="false" ht="12.75" hidden="false" customHeight="false" outlineLevel="0" collapsed="false">
      <c r="A177" s="315" t="str">
        <f aca="false">IF(A176="N/A","N/A",IF(EDATE(A176,1)&gt;Inputs!$Q$5,"N/A",EDATE(A176,1)))</f>
        <v>N/A</v>
      </c>
      <c r="B177" s="316" t="str">
        <f aca="false">IF(A177="N/A"," ",YEAR(A177))</f>
        <v> </v>
      </c>
      <c r="C177" s="317" t="str">
        <f aca="false">IF($A177="N/A"," ",IF(Dayrun3=10,0,IF(Scaler3=1,(VLOOKUP(A177,ScaledPrice3,4)),(VLOOKUP(A177,ScaledPrice3,2)))))</f>
        <v> </v>
      </c>
      <c r="D177" s="317" t="str">
        <f aca="false">IF(A177="N/A"," ",IF(Dayrun3&gt;=7,0,IF(Scaler3=2,VLOOKUP(A177,ScaledPrice3,2),(VLOOKUP(A177,ScaledPrice3,2))*(2-(VLOOKUP(A177,ScaledPrice3,3))))))</f>
        <v> </v>
      </c>
      <c r="E177" s="317" t="str">
        <f aca="false">IF($A177="N/A"," ",IF(AND(Dayrun3&gt;=4,Dayrun3&lt;=9),0,VLOOKUP($A177,ScaledPrice3,9)))</f>
        <v> </v>
      </c>
      <c r="F177" s="317" t="str">
        <f aca="false">IF(A177="N/A"," ",IF(OR(Dayrun3=2,Dayrun3=3,Dayrun3=5,Dayrun3=6,Dayrun3=8,Dayrun3=9),VLOOKUP(A177,ScaledPrice3,IF(Scaler3=1,6,5)),0))</f>
        <v> </v>
      </c>
      <c r="G177" s="317" t="str">
        <f aca="false">IF(A177="N/A"," ",IF(OR(Dayrun3=2,Dayrun3=3,Dayrun3=5,Dayrun3=6),IF(Scaler3=2,F177,(VLOOKUP(A177,ScaledPrice3,5))*(2-(VLOOKUP(A177,ScaledPrice3,3)))),0))</f>
        <v> </v>
      </c>
      <c r="H177" s="317" t="str">
        <f aca="false">IF($A177="N/A"," ",IF(OR(Dayrun3=2,Dayrun3=3,Dayrun3=10),VLOOKUP($A177,ScaledPrice3,9),0))</f>
        <v> </v>
      </c>
      <c r="I177" s="317" t="str">
        <f aca="false">IF(A177="N/A"," ",IF(OR(Dayrun3=3,Dayrun3=6,Dayrun3=9),(VLOOKUP(A177,ScaledPrice3,IF(Scaler3=2,7,8))),0))</f>
        <v> </v>
      </c>
      <c r="J177" s="317" t="str">
        <f aca="false">IF(A177="N/A"," ",IF(OR(Dayrun3=3,Dayrun3=6),IF(Scaler3=2,I177,(VLOOKUP(A177,ScaledPrice3,7))*(2-(VLOOKUP(A177,ScaledPrice3,3)))),0))</f>
        <v> </v>
      </c>
      <c r="K177" s="317" t="str">
        <f aca="false">IF($A177="N/A"," ",IF(OR(Dayrun3=3,Dayrun3=10),VLOOKUP($A177,ScaledPrice3,9),0))</f>
        <v> </v>
      </c>
      <c r="L177" s="318" t="str">
        <f aca="false">IF($A177="N/A"," ",IF(Pricetype3=2,MAX(C177,0),IF(OR(Pricetype3=1,Pricetype3=4),IF(C177=0,0,(EURO(C177,Strikeprice3,0,0,($AH177+IF(Smile=TRUE(),VLOOKUP(MAX(-5,Strikeprice3-C177),Volsmile,2),0)),($A177-DateToday)+15,IF(Pricetype3=1,1,0),0))),C177)))</f>
        <v> </v>
      </c>
      <c r="M177" s="318" t="str">
        <f aca="false">IF($A177="N/A"," ",IF(Pricetype3=2,MAX(D177,0),IF(OR(Pricetype3=1,Pricetype3=4),IF(D177=0,0,(EURO(D177,Strikeprice3,0,0,($AH177+IF(Smile=TRUE(),VLOOKUP(MAX(-5,Strikeprice3-D177),Volsmile,2),0)),($A177-DateToday)+15,IF(Pricetype3=1,1,0),0))),D177)))</f>
        <v> </v>
      </c>
      <c r="N177" s="318" t="str">
        <f aca="false">IF($A177="N/A"," ",IF(Pricetype3=2,MAX(E177,0),IF(OR(Pricetype3=1,Pricetype3=4),IF(E177=0,0,(EURO(E177,Strikeprice3,0,0,($AK177+IF(Smile=TRUE(),VLOOKUP(MAX(-5,Strikeprice3-E177),Volsmile,2),0)),($A177-DateToday)+15,IF(Pricetype3=1,1,0),0))),E177)))</f>
        <v> </v>
      </c>
      <c r="O177" s="318" t="str">
        <f aca="false">IF($A177="N/A"," ",IF(Pricetype3=2,MAX(F177,0),IF(OR(Pricetype3=1,Pricetype3=4),IF(F177=0,0,(EURO(F177,Strikeprice3,0,0,($AK177+IF(Smile=TRUE(),VLOOKUP(MAX(-5,Strikeprice3-F177),Volsmile,2),0)),($A177-DateToday)+15,IF(Pricetype3=1,1,0),0))),F177)))</f>
        <v> </v>
      </c>
      <c r="P177" s="318" t="str">
        <f aca="false">IF($A177="N/A"," ",IF(Pricetype3=2,MAX(G177,0),IF(OR(Pricetype3=1,Pricetype3=4),IF(G177=0,0,(EURO(G177,Strikeprice3,0,0,($AK177+IF(Smile=TRUE(),VLOOKUP(MAX(-5,Strikeprice3-G177),Volsmile,2),0)),($A177-DateToday)+15,IF(Pricetype3=1,1,0),0))),G177)))</f>
        <v> </v>
      </c>
      <c r="Q177" s="318" t="str">
        <f aca="false">IF($A177="N/A"," ",IF(Pricetype3=2,MAX(H177,0),IF(OR(Pricetype3=1,Pricetype3=4),IF(H177=0,0,(EURO(H177,Strikeprice3,0,0,($AK177+IF(Smile=TRUE(),VLOOKUP(MAX(-5,Strikeprice3-H177),Volsmile,2),0)),($A177-DateToday)+15,IF(Pricetype3=1,1,0),0))),H177)))</f>
        <v> </v>
      </c>
      <c r="R177" s="318" t="str">
        <f aca="false">IF($A177="N/A"," ",IF(Pricetype3=2,MAX(I177,0),IF(OR(Pricetype3=1,Pricetype3=4),IF(I177=0,0,(EURO(I177,Strikeprice3,0,0,($AK177+IF(Smile=TRUE(),VLOOKUP(MAX(-5,Strikeprice3-I177),Volsmile,2),0)),($A177-DateToday)+15,IF(Pricetype3=1,1,0),0))),I177)))</f>
        <v> </v>
      </c>
      <c r="S177" s="318" t="str">
        <f aca="false">IF($A177="N/A"," ",IF(Pricetype3=2,MAX(J177,0),IF(OR(Pricetype3=1,Pricetype3=4),IF(J177=0,0,(EURO(J177,Strikeprice3,0,0,($AK177+IF(Smile=TRUE(),VLOOKUP(MAX(-5,Strikeprice3-J177),Volsmile,2),0)),($A177-DateToday)+15,IF(Pricetype3=1,1,0),0))),J177)))</f>
        <v> </v>
      </c>
      <c r="T177" s="318" t="str">
        <f aca="false">IF($A177="N/A"," ",IF(Pricetype3=2,MAX(K177,0),IF(OR(Pricetype3=1,Pricetype3=4),IF(K177=0,0,(EURO(K177,Strikeprice3,0,0,($AK177+IF(Smile=TRUE(),VLOOKUP(MAX(-5,Strikeprice3-K177),Volsmile,2),0)),($A177-DateToday)+15,IF(Pricetype3=1,1,0),0))),K177)))</f>
        <v> </v>
      </c>
      <c r="U177" s="319" t="str">
        <f aca="false">IF($A177="N/A"," ",Volume3*$AM177)</f>
        <v> </v>
      </c>
      <c r="V177" s="320" t="str">
        <f aca="false">IF($A177="N/A"," ",$U177*(8*($BQ177))*L177)</f>
        <v> </v>
      </c>
      <c r="W177" s="320" t="str">
        <f aca="false">IF($A177="N/A"," ",$U177*(8*($BQ177))*M177)</f>
        <v> </v>
      </c>
      <c r="X177" s="320" t="str">
        <f aca="false">IF($A177="N/A"," ",$U177*(8*($BQ177))*N177)</f>
        <v> </v>
      </c>
      <c r="Y177" s="320" t="str">
        <f aca="false">IF($A177="N/A"," ",$U177*(8*($BR177))*O177)</f>
        <v> </v>
      </c>
      <c r="Z177" s="320" t="str">
        <f aca="false">IF($A177="N/A"," ",$U177*(8*($BR177))*P177)</f>
        <v> </v>
      </c>
      <c r="AA177" s="320" t="str">
        <f aca="false">IF($A177="N/A"," ",$U177*(8*($BR177))*Q177)</f>
        <v> </v>
      </c>
      <c r="AB177" s="320" t="str">
        <f aca="false">IF($A177="N/A"," ",$U177*(8*($BS177))*R177)</f>
        <v> </v>
      </c>
      <c r="AC177" s="320" t="str">
        <f aca="false">IF($A177="N/A"," ",$U177*(8*($BS177))*S177)</f>
        <v> </v>
      </c>
      <c r="AD177" s="320" t="str">
        <f aca="false">IF($A177="N/A"," ",$U177*(8*($BS177))*T177)</f>
        <v> </v>
      </c>
      <c r="AE177" s="320" t="str">
        <f aca="false">IF($A177="N/A"," ",SUM(V177:AD177))</f>
        <v> </v>
      </c>
      <c r="AF177" s="321" t="str">
        <f aca="false">IF(A177="N/A"," ",(VLOOKUP(A177,PowerVolTable,(IF(VolBMO3=2,7,IF(VolBMO3=1,6,8))),FALSE())))</f>
        <v> </v>
      </c>
      <c r="AG177" s="321" t="str">
        <f aca="false">IF(A177="N/A"," ",(VLOOKUP(A177,IntraPowerVol,(IF(VolBMO3=2,3,IF(VolBMO3=1,2,4))),FALSE())*VLOOKUP(MONTH($A177),Volscale,2)))</f>
        <v> </v>
      </c>
      <c r="AH177" s="321" t="str">
        <f aca="false">IF($A177="N/A"," ",IF(VolType3=1,AG177,AF177))</f>
        <v> </v>
      </c>
      <c r="AI177" s="321" t="str">
        <f aca="false">IF($A177="N/A"," ",(VLOOKUP($A177,OffPwrVolTable,(IF(VolBMO3=2,7,IF(VolBMO3=1,6,8))),FALSE())))</f>
        <v> </v>
      </c>
      <c r="AJ177" s="321" t="str">
        <f aca="false">IF($A177="N/A"," ",(VLOOKUP($A177,OffPwrVolTable,(IF(VolBMO3=2,3,IF(VolBMO3=1,2,4))),FALSE())*VLOOKUP(MONTH($A177),Volscale,2)))</f>
        <v> </v>
      </c>
      <c r="AK177" s="321" t="str">
        <f aca="false">IF($A177="N/A"," ",IF(VolType3=1,AJ177,AI177))</f>
        <v> </v>
      </c>
      <c r="AL177" s="321" t="str">
        <f aca="false">IF($A177="N/A"," ",IF(PV=1,0,'Pricing Inputs3'!R210))</f>
        <v> </v>
      </c>
      <c r="AM177" s="323" t="str">
        <f aca="false">IF($A177="N/A"," ",(1+AL177/2)^(-2*((EOMONTH(A177,0)+20)-DateToday)/365.25))</f>
        <v> </v>
      </c>
      <c r="BQ177" s="0" t="str">
        <f aca="false">IF($A177="N/A"," ",(VLOOKUP($A177,NumberofDaysTable,2)))</f>
        <v> </v>
      </c>
      <c r="BR177" s="0" t="str">
        <f aca="false">IF($A177="N/A"," ",(VLOOKUP($A177,NumberofDaysTable,3)))</f>
        <v> </v>
      </c>
      <c r="BS177" s="0" t="str">
        <f aca="false">IF($A177="N/A"," ",(VLOOKUP($A177,NumberofDaysTable,4)))</f>
        <v> </v>
      </c>
    </row>
    <row r="178" customFormat="false" ht="12.75" hidden="false" customHeight="false" outlineLevel="0" collapsed="false">
      <c r="A178" s="315" t="str">
        <f aca="false">IF(A177="N/A","N/A",IF(EDATE(A177,1)&gt;Inputs!$Q$5,"N/A",EDATE(A177,1)))</f>
        <v>N/A</v>
      </c>
      <c r="B178" s="316" t="str">
        <f aca="false">IF(A178="N/A"," ",YEAR(A178))</f>
        <v> </v>
      </c>
      <c r="C178" s="317" t="str">
        <f aca="false">IF($A178="N/A"," ",IF(Dayrun3=10,0,IF(Scaler3=1,(VLOOKUP(A178,ScaledPrice3,4)),(VLOOKUP(A178,ScaledPrice3,2)))))</f>
        <v> </v>
      </c>
      <c r="D178" s="317" t="str">
        <f aca="false">IF(A178="N/A"," ",IF(Dayrun3&gt;=7,0,IF(Scaler3=2,VLOOKUP(A178,ScaledPrice3,2),(VLOOKUP(A178,ScaledPrice3,2))*(2-(VLOOKUP(A178,ScaledPrice3,3))))))</f>
        <v> </v>
      </c>
      <c r="E178" s="317" t="str">
        <f aca="false">IF($A178="N/A"," ",IF(AND(Dayrun3&gt;=4,Dayrun3&lt;=9),0,VLOOKUP($A178,ScaledPrice3,9)))</f>
        <v> </v>
      </c>
      <c r="F178" s="317" t="str">
        <f aca="false">IF(A178="N/A"," ",IF(OR(Dayrun3=2,Dayrun3=3,Dayrun3=5,Dayrun3=6,Dayrun3=8,Dayrun3=9),VLOOKUP(A178,ScaledPrice3,IF(Scaler3=1,6,5)),0))</f>
        <v> </v>
      </c>
      <c r="G178" s="317" t="str">
        <f aca="false">IF(A178="N/A"," ",IF(OR(Dayrun3=2,Dayrun3=3,Dayrun3=5,Dayrun3=6),IF(Scaler3=2,F178,(VLOOKUP(A178,ScaledPrice3,5))*(2-(VLOOKUP(A178,ScaledPrice3,3)))),0))</f>
        <v> </v>
      </c>
      <c r="H178" s="317" t="str">
        <f aca="false">IF($A178="N/A"," ",IF(OR(Dayrun3=2,Dayrun3=3,Dayrun3=10),VLOOKUP($A178,ScaledPrice3,9),0))</f>
        <v> </v>
      </c>
      <c r="I178" s="317" t="str">
        <f aca="false">IF(A178="N/A"," ",IF(OR(Dayrun3=3,Dayrun3=6,Dayrun3=9),(VLOOKUP(A178,ScaledPrice3,IF(Scaler3=2,7,8))),0))</f>
        <v> </v>
      </c>
      <c r="J178" s="317" t="str">
        <f aca="false">IF(A178="N/A"," ",IF(OR(Dayrun3=3,Dayrun3=6),IF(Scaler3=2,I178,(VLOOKUP(A178,ScaledPrice3,7))*(2-(VLOOKUP(A178,ScaledPrice3,3)))),0))</f>
        <v> </v>
      </c>
      <c r="K178" s="317" t="str">
        <f aca="false">IF($A178="N/A"," ",IF(OR(Dayrun3=3,Dayrun3=10),VLOOKUP($A178,ScaledPrice3,9),0))</f>
        <v> </v>
      </c>
      <c r="L178" s="318" t="str">
        <f aca="false">IF($A178="N/A"," ",IF(Pricetype3=2,MAX(C178,0),IF(OR(Pricetype3=1,Pricetype3=4),IF(C178=0,0,(EURO(C178,Strikeprice3,0,0,($AH178+IF(Smile=TRUE(),VLOOKUP(MAX(-5,Strikeprice3-C178),Volsmile,2),0)),($A178-DateToday)+15,IF(Pricetype3=1,1,0),0))),C178)))</f>
        <v> </v>
      </c>
      <c r="M178" s="318" t="str">
        <f aca="false">IF($A178="N/A"," ",IF(Pricetype3=2,MAX(D178,0),IF(OR(Pricetype3=1,Pricetype3=4),IF(D178=0,0,(EURO(D178,Strikeprice3,0,0,($AH178+IF(Smile=TRUE(),VLOOKUP(MAX(-5,Strikeprice3-D178),Volsmile,2),0)),($A178-DateToday)+15,IF(Pricetype3=1,1,0),0))),D178)))</f>
        <v> </v>
      </c>
      <c r="N178" s="318" t="str">
        <f aca="false">IF($A178="N/A"," ",IF(Pricetype3=2,MAX(E178,0),IF(OR(Pricetype3=1,Pricetype3=4),IF(E178=0,0,(EURO(E178,Strikeprice3,0,0,($AK178+IF(Smile=TRUE(),VLOOKUP(MAX(-5,Strikeprice3-E178),Volsmile,2),0)),($A178-DateToday)+15,IF(Pricetype3=1,1,0),0))),E178)))</f>
        <v> </v>
      </c>
      <c r="O178" s="318" t="str">
        <f aca="false">IF($A178="N/A"," ",IF(Pricetype3=2,MAX(F178,0),IF(OR(Pricetype3=1,Pricetype3=4),IF(F178=0,0,(EURO(F178,Strikeprice3,0,0,($AK178+IF(Smile=TRUE(),VLOOKUP(MAX(-5,Strikeprice3-F178),Volsmile,2),0)),($A178-DateToday)+15,IF(Pricetype3=1,1,0),0))),F178)))</f>
        <v> </v>
      </c>
      <c r="P178" s="318" t="str">
        <f aca="false">IF($A178="N/A"," ",IF(Pricetype3=2,MAX(G178,0),IF(OR(Pricetype3=1,Pricetype3=4),IF(G178=0,0,(EURO(G178,Strikeprice3,0,0,($AK178+IF(Smile=TRUE(),VLOOKUP(MAX(-5,Strikeprice3-G178),Volsmile,2),0)),($A178-DateToday)+15,IF(Pricetype3=1,1,0),0))),G178)))</f>
        <v> </v>
      </c>
      <c r="Q178" s="318" t="str">
        <f aca="false">IF($A178="N/A"," ",IF(Pricetype3=2,MAX(H178,0),IF(OR(Pricetype3=1,Pricetype3=4),IF(H178=0,0,(EURO(H178,Strikeprice3,0,0,($AK178+IF(Smile=TRUE(),VLOOKUP(MAX(-5,Strikeprice3-H178),Volsmile,2),0)),($A178-DateToday)+15,IF(Pricetype3=1,1,0),0))),H178)))</f>
        <v> </v>
      </c>
      <c r="R178" s="318" t="str">
        <f aca="false">IF($A178="N/A"," ",IF(Pricetype3=2,MAX(I178,0),IF(OR(Pricetype3=1,Pricetype3=4),IF(I178=0,0,(EURO(I178,Strikeprice3,0,0,($AK178+IF(Smile=TRUE(),VLOOKUP(MAX(-5,Strikeprice3-I178),Volsmile,2),0)),($A178-DateToday)+15,IF(Pricetype3=1,1,0),0))),I178)))</f>
        <v> </v>
      </c>
      <c r="S178" s="318" t="str">
        <f aca="false">IF($A178="N/A"," ",IF(Pricetype3=2,MAX(J178,0),IF(OR(Pricetype3=1,Pricetype3=4),IF(J178=0,0,(EURO(J178,Strikeprice3,0,0,($AK178+IF(Smile=TRUE(),VLOOKUP(MAX(-5,Strikeprice3-J178),Volsmile,2),0)),($A178-DateToday)+15,IF(Pricetype3=1,1,0),0))),J178)))</f>
        <v> </v>
      </c>
      <c r="T178" s="318" t="str">
        <f aca="false">IF($A178="N/A"," ",IF(Pricetype3=2,MAX(K178,0),IF(OR(Pricetype3=1,Pricetype3=4),IF(K178=0,0,(EURO(K178,Strikeprice3,0,0,($AK178+IF(Smile=TRUE(),VLOOKUP(MAX(-5,Strikeprice3-K178),Volsmile,2),0)),($A178-DateToday)+15,IF(Pricetype3=1,1,0),0))),K178)))</f>
        <v> </v>
      </c>
      <c r="U178" s="319" t="str">
        <f aca="false">IF($A178="N/A"," ",Volume3*$AM178)</f>
        <v> </v>
      </c>
      <c r="V178" s="320" t="str">
        <f aca="false">IF($A178="N/A"," ",$U178*(8*($BQ178))*L178)</f>
        <v> </v>
      </c>
      <c r="W178" s="320" t="str">
        <f aca="false">IF($A178="N/A"," ",$U178*(8*($BQ178))*M178)</f>
        <v> </v>
      </c>
      <c r="X178" s="320" t="str">
        <f aca="false">IF($A178="N/A"," ",$U178*(8*($BQ178))*N178)</f>
        <v> </v>
      </c>
      <c r="Y178" s="320" t="str">
        <f aca="false">IF($A178="N/A"," ",$U178*(8*($BR178))*O178)</f>
        <v> </v>
      </c>
      <c r="Z178" s="320" t="str">
        <f aca="false">IF($A178="N/A"," ",$U178*(8*($BR178))*P178)</f>
        <v> </v>
      </c>
      <c r="AA178" s="320" t="str">
        <f aca="false">IF($A178="N/A"," ",$U178*(8*($BR178))*Q178)</f>
        <v> </v>
      </c>
      <c r="AB178" s="320" t="str">
        <f aca="false">IF($A178="N/A"," ",$U178*(8*($BS178))*R178)</f>
        <v> </v>
      </c>
      <c r="AC178" s="320" t="str">
        <f aca="false">IF($A178="N/A"," ",$U178*(8*($BS178))*S178)</f>
        <v> </v>
      </c>
      <c r="AD178" s="320" t="str">
        <f aca="false">IF($A178="N/A"," ",$U178*(8*($BS178))*T178)</f>
        <v> </v>
      </c>
      <c r="AE178" s="320" t="str">
        <f aca="false">IF($A178="N/A"," ",SUM(V178:AD178))</f>
        <v> </v>
      </c>
      <c r="AF178" s="321" t="str">
        <f aca="false">IF(A178="N/A"," ",(VLOOKUP(A178,PowerVolTable,(IF(VolBMO3=2,7,IF(VolBMO3=1,6,8))),FALSE())))</f>
        <v> </v>
      </c>
      <c r="AG178" s="321" t="str">
        <f aca="false">IF(A178="N/A"," ",(VLOOKUP(A178,IntraPowerVol,(IF(VolBMO3=2,3,IF(VolBMO3=1,2,4))),FALSE())*VLOOKUP(MONTH($A178),Volscale,2)))</f>
        <v> </v>
      </c>
      <c r="AH178" s="321" t="str">
        <f aca="false">IF($A178="N/A"," ",IF(VolType3=1,AG178,AF178))</f>
        <v> </v>
      </c>
      <c r="AI178" s="321" t="str">
        <f aca="false">IF($A178="N/A"," ",(VLOOKUP($A178,OffPwrVolTable,(IF(VolBMO3=2,7,IF(VolBMO3=1,6,8))),FALSE())))</f>
        <v> </v>
      </c>
      <c r="AJ178" s="321" t="str">
        <f aca="false">IF($A178="N/A"," ",(VLOOKUP($A178,OffPwrVolTable,(IF(VolBMO3=2,3,IF(VolBMO3=1,2,4))),FALSE())*VLOOKUP(MONTH($A178),Volscale,2)))</f>
        <v> </v>
      </c>
      <c r="AK178" s="321" t="str">
        <f aca="false">IF($A178="N/A"," ",IF(VolType3=1,AJ178,AI178))</f>
        <v> </v>
      </c>
      <c r="AL178" s="321" t="str">
        <f aca="false">IF($A178="N/A"," ",IF(PV=1,0,'Pricing Inputs3'!R211))</f>
        <v> </v>
      </c>
      <c r="AM178" s="323" t="str">
        <f aca="false">IF($A178="N/A"," ",(1+AL178/2)^(-2*((EOMONTH(A178,0)+20)-DateToday)/365.25))</f>
        <v> </v>
      </c>
      <c r="BQ178" s="0" t="str">
        <f aca="false">IF($A178="N/A"," ",(VLOOKUP($A178,NumberofDaysTable,2)))</f>
        <v> </v>
      </c>
      <c r="BR178" s="0" t="str">
        <f aca="false">IF($A178="N/A"," ",(VLOOKUP($A178,NumberofDaysTable,3)))</f>
        <v> </v>
      </c>
      <c r="BS178" s="0" t="str">
        <f aca="false">IF($A178="N/A"," ",(VLOOKUP($A178,NumberofDaysTable,4)))</f>
        <v> </v>
      </c>
    </row>
    <row r="179" customFormat="false" ht="12.75" hidden="false" customHeight="false" outlineLevel="0" collapsed="false">
      <c r="A179" s="315" t="str">
        <f aca="false">IF(A178="N/A","N/A",IF(EDATE(A178,1)&gt;Inputs!$Q$5,"N/A",EDATE(A178,1)))</f>
        <v>N/A</v>
      </c>
      <c r="B179" s="316" t="str">
        <f aca="false">IF(A179="N/A"," ",YEAR(A179))</f>
        <v> </v>
      </c>
      <c r="C179" s="317" t="str">
        <f aca="false">IF($A179="N/A"," ",IF(Dayrun3=10,0,IF(Scaler3=1,(VLOOKUP(A179,ScaledPrice3,4)),(VLOOKUP(A179,ScaledPrice3,2)))))</f>
        <v> </v>
      </c>
      <c r="D179" s="317" t="str">
        <f aca="false">IF(A179="N/A"," ",IF(Dayrun3&gt;=7,0,IF(Scaler3=2,VLOOKUP(A179,ScaledPrice3,2),(VLOOKUP(A179,ScaledPrice3,2))*(2-(VLOOKUP(A179,ScaledPrice3,3))))))</f>
        <v> </v>
      </c>
      <c r="E179" s="317" t="str">
        <f aca="false">IF($A179="N/A"," ",IF(AND(Dayrun3&gt;=4,Dayrun3&lt;=9),0,VLOOKUP($A179,ScaledPrice3,9)))</f>
        <v> </v>
      </c>
      <c r="F179" s="317" t="str">
        <f aca="false">IF(A179="N/A"," ",IF(OR(Dayrun3=2,Dayrun3=3,Dayrun3=5,Dayrun3=6,Dayrun3=8,Dayrun3=9),VLOOKUP(A179,ScaledPrice3,IF(Scaler3=1,6,5)),0))</f>
        <v> </v>
      </c>
      <c r="G179" s="317" t="str">
        <f aca="false">IF(A179="N/A"," ",IF(OR(Dayrun3=2,Dayrun3=3,Dayrun3=5,Dayrun3=6),IF(Scaler3=2,F179,(VLOOKUP(A179,ScaledPrice3,5))*(2-(VLOOKUP(A179,ScaledPrice3,3)))),0))</f>
        <v> </v>
      </c>
      <c r="H179" s="317" t="str">
        <f aca="false">IF($A179="N/A"," ",IF(OR(Dayrun3=2,Dayrun3=3,Dayrun3=10),VLOOKUP($A179,ScaledPrice3,9),0))</f>
        <v> </v>
      </c>
      <c r="I179" s="317" t="str">
        <f aca="false">IF(A179="N/A"," ",IF(OR(Dayrun3=3,Dayrun3=6,Dayrun3=9),(VLOOKUP(A179,ScaledPrice3,IF(Scaler3=2,7,8))),0))</f>
        <v> </v>
      </c>
      <c r="J179" s="317" t="str">
        <f aca="false">IF(A179="N/A"," ",IF(OR(Dayrun3=3,Dayrun3=6),IF(Scaler3=2,I179,(VLOOKUP(A179,ScaledPrice3,7))*(2-(VLOOKUP(A179,ScaledPrice3,3)))),0))</f>
        <v> </v>
      </c>
      <c r="K179" s="317" t="str">
        <f aca="false">IF($A179="N/A"," ",IF(OR(Dayrun3=3,Dayrun3=10),VLOOKUP($A179,ScaledPrice3,9),0))</f>
        <v> </v>
      </c>
      <c r="L179" s="318" t="str">
        <f aca="false">IF($A179="N/A"," ",IF(Pricetype3=2,MAX(C179,0),IF(OR(Pricetype3=1,Pricetype3=4),IF(C179=0,0,(EURO(C179,Strikeprice3,0,0,($AH179+IF(Smile=TRUE(),VLOOKUP(MAX(-5,Strikeprice3-C179),Volsmile,2),0)),($A179-DateToday)+15,IF(Pricetype3=1,1,0),0))),C179)))</f>
        <v> </v>
      </c>
      <c r="M179" s="318" t="str">
        <f aca="false">IF($A179="N/A"," ",IF(Pricetype3=2,MAX(D179,0),IF(OR(Pricetype3=1,Pricetype3=4),IF(D179=0,0,(EURO(D179,Strikeprice3,0,0,($AH179+IF(Smile=TRUE(),VLOOKUP(MAX(-5,Strikeprice3-D179),Volsmile,2),0)),($A179-DateToday)+15,IF(Pricetype3=1,1,0),0))),D179)))</f>
        <v> </v>
      </c>
      <c r="N179" s="318" t="str">
        <f aca="false">IF($A179="N/A"," ",IF(Pricetype3=2,MAX(E179,0),IF(OR(Pricetype3=1,Pricetype3=4),IF(E179=0,0,(EURO(E179,Strikeprice3,0,0,($AK179+IF(Smile=TRUE(),VLOOKUP(MAX(-5,Strikeprice3-E179),Volsmile,2),0)),($A179-DateToday)+15,IF(Pricetype3=1,1,0),0))),E179)))</f>
        <v> </v>
      </c>
      <c r="O179" s="318" t="str">
        <f aca="false">IF($A179="N/A"," ",IF(Pricetype3=2,MAX(F179,0),IF(OR(Pricetype3=1,Pricetype3=4),IF(F179=0,0,(EURO(F179,Strikeprice3,0,0,($AK179+IF(Smile=TRUE(),VLOOKUP(MAX(-5,Strikeprice3-F179),Volsmile,2),0)),($A179-DateToday)+15,IF(Pricetype3=1,1,0),0))),F179)))</f>
        <v> </v>
      </c>
      <c r="P179" s="318" t="str">
        <f aca="false">IF($A179="N/A"," ",IF(Pricetype3=2,MAX(G179,0),IF(OR(Pricetype3=1,Pricetype3=4),IF(G179=0,0,(EURO(G179,Strikeprice3,0,0,($AK179+IF(Smile=TRUE(),VLOOKUP(MAX(-5,Strikeprice3-G179),Volsmile,2),0)),($A179-DateToday)+15,IF(Pricetype3=1,1,0),0))),G179)))</f>
        <v> </v>
      </c>
      <c r="Q179" s="318" t="str">
        <f aca="false">IF($A179="N/A"," ",IF(Pricetype3=2,MAX(H179,0),IF(OR(Pricetype3=1,Pricetype3=4),IF(H179=0,0,(EURO(H179,Strikeprice3,0,0,($AK179+IF(Smile=TRUE(),VLOOKUP(MAX(-5,Strikeprice3-H179),Volsmile,2),0)),($A179-DateToday)+15,IF(Pricetype3=1,1,0),0))),H179)))</f>
        <v> </v>
      </c>
      <c r="R179" s="318" t="str">
        <f aca="false">IF($A179="N/A"," ",IF(Pricetype3=2,MAX(I179,0),IF(OR(Pricetype3=1,Pricetype3=4),IF(I179=0,0,(EURO(I179,Strikeprice3,0,0,($AK179+IF(Smile=TRUE(),VLOOKUP(MAX(-5,Strikeprice3-I179),Volsmile,2),0)),($A179-DateToday)+15,IF(Pricetype3=1,1,0),0))),I179)))</f>
        <v> </v>
      </c>
      <c r="S179" s="318" t="str">
        <f aca="false">IF($A179="N/A"," ",IF(Pricetype3=2,MAX(J179,0),IF(OR(Pricetype3=1,Pricetype3=4),IF(J179=0,0,(EURO(J179,Strikeprice3,0,0,($AK179+IF(Smile=TRUE(),VLOOKUP(MAX(-5,Strikeprice3-J179),Volsmile,2),0)),($A179-DateToday)+15,IF(Pricetype3=1,1,0),0))),J179)))</f>
        <v> </v>
      </c>
      <c r="T179" s="318" t="str">
        <f aca="false">IF($A179="N/A"," ",IF(Pricetype3=2,MAX(K179,0),IF(OR(Pricetype3=1,Pricetype3=4),IF(K179=0,0,(EURO(K179,Strikeprice3,0,0,($AK179+IF(Smile=TRUE(),VLOOKUP(MAX(-5,Strikeprice3-K179),Volsmile,2),0)),($A179-DateToday)+15,IF(Pricetype3=1,1,0),0))),K179)))</f>
        <v> </v>
      </c>
      <c r="U179" s="319" t="str">
        <f aca="false">IF($A179="N/A"," ",Volume3*$AM179)</f>
        <v> </v>
      </c>
      <c r="V179" s="320" t="str">
        <f aca="false">IF($A179="N/A"," ",$U179*(8*($BQ179))*L179)</f>
        <v> </v>
      </c>
      <c r="W179" s="320" t="str">
        <f aca="false">IF($A179="N/A"," ",$U179*(8*($BQ179))*M179)</f>
        <v> </v>
      </c>
      <c r="X179" s="320" t="str">
        <f aca="false">IF($A179="N/A"," ",$U179*(8*($BQ179))*N179)</f>
        <v> </v>
      </c>
      <c r="Y179" s="320" t="str">
        <f aca="false">IF($A179="N/A"," ",$U179*(8*($BR179))*O179)</f>
        <v> </v>
      </c>
      <c r="Z179" s="320" t="str">
        <f aca="false">IF($A179="N/A"," ",$U179*(8*($BR179))*P179)</f>
        <v> </v>
      </c>
      <c r="AA179" s="320" t="str">
        <f aca="false">IF($A179="N/A"," ",$U179*(8*($BR179))*Q179)</f>
        <v> </v>
      </c>
      <c r="AB179" s="320" t="str">
        <f aca="false">IF($A179="N/A"," ",$U179*(8*($BS179))*R179)</f>
        <v> </v>
      </c>
      <c r="AC179" s="320" t="str">
        <f aca="false">IF($A179="N/A"," ",$U179*(8*($BS179))*S179)</f>
        <v> </v>
      </c>
      <c r="AD179" s="320" t="str">
        <f aca="false">IF($A179="N/A"," ",$U179*(8*($BS179))*T179)</f>
        <v> </v>
      </c>
      <c r="AE179" s="320" t="str">
        <f aca="false">IF($A179="N/A"," ",SUM(V179:AD179))</f>
        <v> </v>
      </c>
      <c r="AF179" s="321" t="str">
        <f aca="false">IF(A179="N/A"," ",(VLOOKUP(A179,PowerVolTable,(IF(VolBMO3=2,7,IF(VolBMO3=1,6,8))),FALSE())))</f>
        <v> </v>
      </c>
      <c r="AG179" s="321" t="str">
        <f aca="false">IF(A179="N/A"," ",(VLOOKUP(A179,IntraPowerVol,(IF(VolBMO3=2,3,IF(VolBMO3=1,2,4))),FALSE())*VLOOKUP(MONTH($A179),Volscale,2)))</f>
        <v> </v>
      </c>
      <c r="AH179" s="321" t="str">
        <f aca="false">IF($A179="N/A"," ",IF(VolType3=1,AG179,AF179))</f>
        <v> </v>
      </c>
      <c r="AI179" s="321" t="str">
        <f aca="false">IF($A179="N/A"," ",(VLOOKUP($A179,OffPwrVolTable,(IF(VolBMO3=2,7,IF(VolBMO3=1,6,8))),FALSE())))</f>
        <v> </v>
      </c>
      <c r="AJ179" s="321" t="str">
        <f aca="false">IF($A179="N/A"," ",(VLOOKUP($A179,OffPwrVolTable,(IF(VolBMO3=2,3,IF(VolBMO3=1,2,4))),FALSE())*VLOOKUP(MONTH($A179),Volscale,2)))</f>
        <v> </v>
      </c>
      <c r="AK179" s="321" t="str">
        <f aca="false">IF($A179="N/A"," ",IF(VolType3=1,AJ179,AI179))</f>
        <v> </v>
      </c>
      <c r="AL179" s="321" t="str">
        <f aca="false">IF($A179="N/A"," ",IF(PV=1,0,'Pricing Inputs3'!R212))</f>
        <v> </v>
      </c>
      <c r="AM179" s="323" t="str">
        <f aca="false">IF($A179="N/A"," ",(1+AL179/2)^(-2*((EOMONTH(A179,0)+20)-DateToday)/365.25))</f>
        <v> </v>
      </c>
      <c r="BQ179" s="0" t="str">
        <f aca="false">IF($A179="N/A"," ",(VLOOKUP($A179,NumberofDaysTable,2)))</f>
        <v> </v>
      </c>
      <c r="BR179" s="0" t="str">
        <f aca="false">IF($A179="N/A"," ",(VLOOKUP($A179,NumberofDaysTable,3)))</f>
        <v> </v>
      </c>
      <c r="BS179" s="0" t="str">
        <f aca="false">IF($A179="N/A"," ",(VLOOKUP($A179,NumberofDaysTable,4)))</f>
        <v> </v>
      </c>
    </row>
    <row r="180" customFormat="false" ht="12.75" hidden="false" customHeight="false" outlineLevel="0" collapsed="false">
      <c r="A180" s="315" t="str">
        <f aca="false">IF(A179="N/A","N/A",IF(EDATE(A179,1)&gt;Inputs!$Q$5,"N/A",EDATE(A179,1)))</f>
        <v>N/A</v>
      </c>
      <c r="B180" s="316" t="str">
        <f aca="false">IF(A180="N/A"," ",YEAR(A180))</f>
        <v> </v>
      </c>
      <c r="C180" s="317" t="str">
        <f aca="false">IF($A180="N/A"," ",IF(Dayrun3=10,0,IF(Scaler3=1,(VLOOKUP(A180,ScaledPrice3,4)),(VLOOKUP(A180,ScaledPrice3,2)))))</f>
        <v> </v>
      </c>
      <c r="D180" s="317" t="str">
        <f aca="false">IF(A180="N/A"," ",IF(Dayrun3&gt;=7,0,IF(Scaler3=2,VLOOKUP(A180,ScaledPrice3,2),(VLOOKUP(A180,ScaledPrice3,2))*(2-(VLOOKUP(A180,ScaledPrice3,3))))))</f>
        <v> </v>
      </c>
      <c r="E180" s="317" t="str">
        <f aca="false">IF($A180="N/A"," ",IF(AND(Dayrun3&gt;=4,Dayrun3&lt;=9),0,VLOOKUP($A180,ScaledPrice3,9)))</f>
        <v> </v>
      </c>
      <c r="F180" s="317" t="str">
        <f aca="false">IF(A180="N/A"," ",IF(OR(Dayrun3=2,Dayrun3=3,Dayrun3=5,Dayrun3=6,Dayrun3=8,Dayrun3=9),VLOOKUP(A180,ScaledPrice3,IF(Scaler3=1,6,5)),0))</f>
        <v> </v>
      </c>
      <c r="G180" s="317" t="str">
        <f aca="false">IF(A180="N/A"," ",IF(OR(Dayrun3=2,Dayrun3=3,Dayrun3=5,Dayrun3=6),IF(Scaler3=2,F180,(VLOOKUP(A180,ScaledPrice3,5))*(2-(VLOOKUP(A180,ScaledPrice3,3)))),0))</f>
        <v> </v>
      </c>
      <c r="H180" s="317" t="str">
        <f aca="false">IF($A180="N/A"," ",IF(OR(Dayrun3=2,Dayrun3=3,Dayrun3=10),VLOOKUP($A180,ScaledPrice3,9),0))</f>
        <v> </v>
      </c>
      <c r="I180" s="317" t="str">
        <f aca="false">IF(A180="N/A"," ",IF(OR(Dayrun3=3,Dayrun3=6,Dayrun3=9),(VLOOKUP(A180,ScaledPrice3,IF(Scaler3=2,7,8))),0))</f>
        <v> </v>
      </c>
      <c r="J180" s="317" t="str">
        <f aca="false">IF(A180="N/A"," ",IF(OR(Dayrun3=3,Dayrun3=6),IF(Scaler3=2,I180,(VLOOKUP(A180,ScaledPrice3,7))*(2-(VLOOKUP(A180,ScaledPrice3,3)))),0))</f>
        <v> </v>
      </c>
      <c r="K180" s="317" t="str">
        <f aca="false">IF($A180="N/A"," ",IF(OR(Dayrun3=3,Dayrun3=10),VLOOKUP($A180,ScaledPrice3,9),0))</f>
        <v> </v>
      </c>
      <c r="L180" s="318" t="str">
        <f aca="false">IF($A180="N/A"," ",IF(Pricetype3=2,MAX(C180,0),IF(OR(Pricetype3=1,Pricetype3=4),IF(C180=0,0,(EURO(C180,Strikeprice3,0,0,($AH180+IF(Smile=TRUE(),VLOOKUP(MAX(-5,Strikeprice3-C180),Volsmile,2),0)),($A180-DateToday)+15,IF(Pricetype3=1,1,0),0))),C180)))</f>
        <v> </v>
      </c>
      <c r="M180" s="318" t="str">
        <f aca="false">IF($A180="N/A"," ",IF(Pricetype3=2,MAX(D180,0),IF(OR(Pricetype3=1,Pricetype3=4),IF(D180=0,0,(EURO(D180,Strikeprice3,0,0,($AH180+IF(Smile=TRUE(),VLOOKUP(MAX(-5,Strikeprice3-D180),Volsmile,2),0)),($A180-DateToday)+15,IF(Pricetype3=1,1,0),0))),D180)))</f>
        <v> </v>
      </c>
      <c r="N180" s="318" t="str">
        <f aca="false">IF($A180="N/A"," ",IF(Pricetype3=2,MAX(E180,0),IF(OR(Pricetype3=1,Pricetype3=4),IF(E180=0,0,(EURO(E180,Strikeprice3,0,0,($AK180+IF(Smile=TRUE(),VLOOKUP(MAX(-5,Strikeprice3-E180),Volsmile,2),0)),($A180-DateToday)+15,IF(Pricetype3=1,1,0),0))),E180)))</f>
        <v> </v>
      </c>
      <c r="O180" s="318" t="str">
        <f aca="false">IF($A180="N/A"," ",IF(Pricetype3=2,MAX(F180,0),IF(OR(Pricetype3=1,Pricetype3=4),IF(F180=0,0,(EURO(F180,Strikeprice3,0,0,($AK180+IF(Smile=TRUE(),VLOOKUP(MAX(-5,Strikeprice3-F180),Volsmile,2),0)),($A180-DateToday)+15,IF(Pricetype3=1,1,0),0))),F180)))</f>
        <v> </v>
      </c>
      <c r="P180" s="318" t="str">
        <f aca="false">IF($A180="N/A"," ",IF(Pricetype3=2,MAX(G180,0),IF(OR(Pricetype3=1,Pricetype3=4),IF(G180=0,0,(EURO(G180,Strikeprice3,0,0,($AK180+IF(Smile=TRUE(),VLOOKUP(MAX(-5,Strikeprice3-G180),Volsmile,2),0)),($A180-DateToday)+15,IF(Pricetype3=1,1,0),0))),G180)))</f>
        <v> </v>
      </c>
      <c r="Q180" s="318" t="str">
        <f aca="false">IF($A180="N/A"," ",IF(Pricetype3=2,MAX(H180,0),IF(OR(Pricetype3=1,Pricetype3=4),IF(H180=0,0,(EURO(H180,Strikeprice3,0,0,($AK180+IF(Smile=TRUE(),VLOOKUP(MAX(-5,Strikeprice3-H180),Volsmile,2),0)),($A180-DateToday)+15,IF(Pricetype3=1,1,0),0))),H180)))</f>
        <v> </v>
      </c>
      <c r="R180" s="318" t="str">
        <f aca="false">IF($A180="N/A"," ",IF(Pricetype3=2,MAX(I180,0),IF(OR(Pricetype3=1,Pricetype3=4),IF(I180=0,0,(EURO(I180,Strikeprice3,0,0,($AK180+IF(Smile=TRUE(),VLOOKUP(MAX(-5,Strikeprice3-I180),Volsmile,2),0)),($A180-DateToday)+15,IF(Pricetype3=1,1,0),0))),I180)))</f>
        <v> </v>
      </c>
      <c r="S180" s="318" t="str">
        <f aca="false">IF($A180="N/A"," ",IF(Pricetype3=2,MAX(J180,0),IF(OR(Pricetype3=1,Pricetype3=4),IF(J180=0,0,(EURO(J180,Strikeprice3,0,0,($AK180+IF(Smile=TRUE(),VLOOKUP(MAX(-5,Strikeprice3-J180),Volsmile,2),0)),($A180-DateToday)+15,IF(Pricetype3=1,1,0),0))),J180)))</f>
        <v> </v>
      </c>
      <c r="T180" s="318" t="str">
        <f aca="false">IF($A180="N/A"," ",IF(Pricetype3=2,MAX(K180,0),IF(OR(Pricetype3=1,Pricetype3=4),IF(K180=0,0,(EURO(K180,Strikeprice3,0,0,($AK180+IF(Smile=TRUE(),VLOOKUP(MAX(-5,Strikeprice3-K180),Volsmile,2),0)),($A180-DateToday)+15,IF(Pricetype3=1,1,0),0))),K180)))</f>
        <v> </v>
      </c>
      <c r="U180" s="319" t="str">
        <f aca="false">IF($A180="N/A"," ",Volume3*$AM180)</f>
        <v> </v>
      </c>
      <c r="V180" s="320" t="str">
        <f aca="false">IF($A180="N/A"," ",$U180*(8*($BQ180))*L180)</f>
        <v> </v>
      </c>
      <c r="W180" s="320" t="str">
        <f aca="false">IF($A180="N/A"," ",$U180*(8*($BQ180))*M180)</f>
        <v> </v>
      </c>
      <c r="X180" s="320" t="str">
        <f aca="false">IF($A180="N/A"," ",$U180*(8*($BQ180))*N180)</f>
        <v> </v>
      </c>
      <c r="Y180" s="320" t="str">
        <f aca="false">IF($A180="N/A"," ",$U180*(8*($BR180))*O180)</f>
        <v> </v>
      </c>
      <c r="Z180" s="320" t="str">
        <f aca="false">IF($A180="N/A"," ",$U180*(8*($BR180))*P180)</f>
        <v> </v>
      </c>
      <c r="AA180" s="320" t="str">
        <f aca="false">IF($A180="N/A"," ",$U180*(8*($BR180))*Q180)</f>
        <v> </v>
      </c>
      <c r="AB180" s="320" t="str">
        <f aca="false">IF($A180="N/A"," ",$U180*(8*($BS180))*R180)</f>
        <v> </v>
      </c>
      <c r="AC180" s="320" t="str">
        <f aca="false">IF($A180="N/A"," ",$U180*(8*($BS180))*S180)</f>
        <v> </v>
      </c>
      <c r="AD180" s="320" t="str">
        <f aca="false">IF($A180="N/A"," ",$U180*(8*($BS180))*T180)</f>
        <v> </v>
      </c>
      <c r="AE180" s="320" t="str">
        <f aca="false">IF($A180="N/A"," ",SUM(V180:AD180))</f>
        <v> </v>
      </c>
      <c r="AF180" s="321" t="str">
        <f aca="false">IF(A180="N/A"," ",(VLOOKUP(A180,PowerVolTable,(IF(VolBMO3=2,7,IF(VolBMO3=1,6,8))),FALSE())))</f>
        <v> </v>
      </c>
      <c r="AG180" s="321" t="str">
        <f aca="false">IF(A180="N/A"," ",(VLOOKUP(A180,IntraPowerVol,(IF(VolBMO3=2,3,IF(VolBMO3=1,2,4))),FALSE())*VLOOKUP(MONTH($A180),Volscale,2)))</f>
        <v> </v>
      </c>
      <c r="AH180" s="321" t="str">
        <f aca="false">IF($A180="N/A"," ",IF(VolType3=1,AG180,AF180))</f>
        <v> </v>
      </c>
      <c r="AI180" s="321" t="str">
        <f aca="false">IF($A180="N/A"," ",(VLOOKUP($A180,OffPwrVolTable,(IF(VolBMO3=2,7,IF(VolBMO3=1,6,8))),FALSE())))</f>
        <v> </v>
      </c>
      <c r="AJ180" s="321" t="str">
        <f aca="false">IF($A180="N/A"," ",(VLOOKUP($A180,OffPwrVolTable,(IF(VolBMO3=2,3,IF(VolBMO3=1,2,4))),FALSE())*VLOOKUP(MONTH($A180),Volscale,2)))</f>
        <v> </v>
      </c>
      <c r="AK180" s="321" t="str">
        <f aca="false">IF($A180="N/A"," ",IF(VolType3=1,AJ180,AI180))</f>
        <v> </v>
      </c>
      <c r="AL180" s="321" t="str">
        <f aca="false">IF($A180="N/A"," ",IF(PV=1,0,'Pricing Inputs3'!R213))</f>
        <v> </v>
      </c>
      <c r="AM180" s="323" t="str">
        <f aca="false">IF($A180="N/A"," ",(1+AL180/2)^(-2*((EOMONTH(A180,0)+20)-DateToday)/365.25))</f>
        <v> </v>
      </c>
      <c r="BQ180" s="0" t="str">
        <f aca="false">IF($A180="N/A"," ",(VLOOKUP($A180,NumberofDaysTable,2)))</f>
        <v> </v>
      </c>
      <c r="BR180" s="0" t="str">
        <f aca="false">IF($A180="N/A"," ",(VLOOKUP($A180,NumberofDaysTable,3)))</f>
        <v> </v>
      </c>
      <c r="BS180" s="0" t="str">
        <f aca="false">IF($A180="N/A"," ",(VLOOKUP($A180,NumberofDaysTable,4)))</f>
        <v> </v>
      </c>
    </row>
    <row r="181" customFormat="false" ht="12.75" hidden="false" customHeight="false" outlineLevel="0" collapsed="false">
      <c r="A181" s="315" t="str">
        <f aca="false">IF(A180="N/A","N/A",IF(EDATE(A180,1)&gt;Inputs!$Q$5,"N/A",EDATE(A180,1)))</f>
        <v>N/A</v>
      </c>
      <c r="B181" s="316" t="str">
        <f aca="false">IF(A181="N/A"," ",YEAR(A181))</f>
        <v> </v>
      </c>
      <c r="C181" s="317" t="str">
        <f aca="false">IF($A181="N/A"," ",IF(Dayrun3=10,0,IF(Scaler3=1,(VLOOKUP(A181,ScaledPrice3,4)),(VLOOKUP(A181,ScaledPrice3,2)))))</f>
        <v> </v>
      </c>
      <c r="D181" s="317" t="str">
        <f aca="false">IF(A181="N/A"," ",IF(Dayrun3&gt;=7,0,IF(Scaler3=2,VLOOKUP(A181,ScaledPrice3,2),(VLOOKUP(A181,ScaledPrice3,2))*(2-(VLOOKUP(A181,ScaledPrice3,3))))))</f>
        <v> </v>
      </c>
      <c r="E181" s="317" t="str">
        <f aca="false">IF($A181="N/A"," ",IF(AND(Dayrun3&gt;=4,Dayrun3&lt;=9),0,VLOOKUP($A181,ScaledPrice3,9)))</f>
        <v> </v>
      </c>
      <c r="F181" s="317" t="str">
        <f aca="false">IF(A181="N/A"," ",IF(OR(Dayrun3=2,Dayrun3=3,Dayrun3=5,Dayrun3=6,Dayrun3=8,Dayrun3=9),VLOOKUP(A181,ScaledPrice3,IF(Scaler3=1,6,5)),0))</f>
        <v> </v>
      </c>
      <c r="G181" s="317" t="str">
        <f aca="false">IF(A181="N/A"," ",IF(OR(Dayrun3=2,Dayrun3=3,Dayrun3=5,Dayrun3=6),IF(Scaler3=2,F181,(VLOOKUP(A181,ScaledPrice3,5))*(2-(VLOOKUP(A181,ScaledPrice3,3)))),0))</f>
        <v> </v>
      </c>
      <c r="H181" s="317" t="str">
        <f aca="false">IF($A181="N/A"," ",IF(OR(Dayrun3=2,Dayrun3=3,Dayrun3=10),VLOOKUP($A181,ScaledPrice3,9),0))</f>
        <v> </v>
      </c>
      <c r="I181" s="317" t="str">
        <f aca="false">IF(A181="N/A"," ",IF(OR(Dayrun3=3,Dayrun3=6,Dayrun3=9),(VLOOKUP(A181,ScaledPrice3,IF(Scaler3=2,7,8))),0))</f>
        <v> </v>
      </c>
      <c r="J181" s="317" t="str">
        <f aca="false">IF(A181="N/A"," ",IF(OR(Dayrun3=3,Dayrun3=6),IF(Scaler3=2,I181,(VLOOKUP(A181,ScaledPrice3,7))*(2-(VLOOKUP(A181,ScaledPrice3,3)))),0))</f>
        <v> </v>
      </c>
      <c r="K181" s="317" t="str">
        <f aca="false">IF($A181="N/A"," ",IF(OR(Dayrun3=3,Dayrun3=10),VLOOKUP($A181,ScaledPrice3,9),0))</f>
        <v> </v>
      </c>
      <c r="L181" s="318" t="str">
        <f aca="false">IF($A181="N/A"," ",IF(Pricetype3=2,MAX(C181,0),IF(OR(Pricetype3=1,Pricetype3=4),IF(C181=0,0,(EURO(C181,Strikeprice3,0,0,($AH181+IF(Smile=TRUE(),VLOOKUP(MAX(-5,Strikeprice3-C181),Volsmile,2),0)),($A181-DateToday)+15,IF(Pricetype3=1,1,0),0))),C181)))</f>
        <v> </v>
      </c>
      <c r="M181" s="318" t="str">
        <f aca="false">IF($A181="N/A"," ",IF(Pricetype3=2,MAX(D181,0),IF(OR(Pricetype3=1,Pricetype3=4),IF(D181=0,0,(EURO(D181,Strikeprice3,0,0,($AH181+IF(Smile=TRUE(),VLOOKUP(MAX(-5,Strikeprice3-D181),Volsmile,2),0)),($A181-DateToday)+15,IF(Pricetype3=1,1,0),0))),D181)))</f>
        <v> </v>
      </c>
      <c r="N181" s="318" t="str">
        <f aca="false">IF($A181="N/A"," ",IF(Pricetype3=2,MAX(E181,0),IF(OR(Pricetype3=1,Pricetype3=4),IF(E181=0,0,(EURO(E181,Strikeprice3,0,0,($AK181+IF(Smile=TRUE(),VLOOKUP(MAX(-5,Strikeprice3-E181),Volsmile,2),0)),($A181-DateToday)+15,IF(Pricetype3=1,1,0),0))),E181)))</f>
        <v> </v>
      </c>
      <c r="O181" s="318" t="str">
        <f aca="false">IF($A181="N/A"," ",IF(Pricetype3=2,MAX(F181,0),IF(OR(Pricetype3=1,Pricetype3=4),IF(F181=0,0,(EURO(F181,Strikeprice3,0,0,($AK181+IF(Smile=TRUE(),VLOOKUP(MAX(-5,Strikeprice3-F181),Volsmile,2),0)),($A181-DateToday)+15,IF(Pricetype3=1,1,0),0))),F181)))</f>
        <v> </v>
      </c>
      <c r="P181" s="318" t="str">
        <f aca="false">IF($A181="N/A"," ",IF(Pricetype3=2,MAX(G181,0),IF(OR(Pricetype3=1,Pricetype3=4),IF(G181=0,0,(EURO(G181,Strikeprice3,0,0,($AK181+IF(Smile=TRUE(),VLOOKUP(MAX(-5,Strikeprice3-G181),Volsmile,2),0)),($A181-DateToday)+15,IF(Pricetype3=1,1,0),0))),G181)))</f>
        <v> </v>
      </c>
      <c r="Q181" s="318" t="str">
        <f aca="false">IF($A181="N/A"," ",IF(Pricetype3=2,MAX(H181,0),IF(OR(Pricetype3=1,Pricetype3=4),IF(H181=0,0,(EURO(H181,Strikeprice3,0,0,($AK181+IF(Smile=TRUE(),VLOOKUP(MAX(-5,Strikeprice3-H181),Volsmile,2),0)),($A181-DateToday)+15,IF(Pricetype3=1,1,0),0))),H181)))</f>
        <v> </v>
      </c>
      <c r="R181" s="318" t="str">
        <f aca="false">IF($A181="N/A"," ",IF(Pricetype3=2,MAX(I181,0),IF(OR(Pricetype3=1,Pricetype3=4),IF(I181=0,0,(EURO(I181,Strikeprice3,0,0,($AK181+IF(Smile=TRUE(),VLOOKUP(MAX(-5,Strikeprice3-I181),Volsmile,2),0)),($A181-DateToday)+15,IF(Pricetype3=1,1,0),0))),I181)))</f>
        <v> </v>
      </c>
      <c r="S181" s="318" t="str">
        <f aca="false">IF($A181="N/A"," ",IF(Pricetype3=2,MAX(J181,0),IF(OR(Pricetype3=1,Pricetype3=4),IF(J181=0,0,(EURO(J181,Strikeprice3,0,0,($AK181+IF(Smile=TRUE(),VLOOKUP(MAX(-5,Strikeprice3-J181),Volsmile,2),0)),($A181-DateToday)+15,IF(Pricetype3=1,1,0),0))),J181)))</f>
        <v> </v>
      </c>
      <c r="T181" s="318" t="str">
        <f aca="false">IF($A181="N/A"," ",IF(Pricetype3=2,MAX(K181,0),IF(OR(Pricetype3=1,Pricetype3=4),IF(K181=0,0,(EURO(K181,Strikeprice3,0,0,($AK181+IF(Smile=TRUE(),VLOOKUP(MAX(-5,Strikeprice3-K181),Volsmile,2),0)),($A181-DateToday)+15,IF(Pricetype3=1,1,0),0))),K181)))</f>
        <v> </v>
      </c>
      <c r="U181" s="319" t="str">
        <f aca="false">IF($A181="N/A"," ",Volume3*$AM181)</f>
        <v> </v>
      </c>
      <c r="V181" s="320" t="str">
        <f aca="false">IF($A181="N/A"," ",$U181*(8*($BQ181))*L181)</f>
        <v> </v>
      </c>
      <c r="W181" s="320" t="str">
        <f aca="false">IF($A181="N/A"," ",$U181*(8*($BQ181))*M181)</f>
        <v> </v>
      </c>
      <c r="X181" s="320" t="str">
        <f aca="false">IF($A181="N/A"," ",$U181*(8*($BQ181))*N181)</f>
        <v> </v>
      </c>
      <c r="Y181" s="320" t="str">
        <f aca="false">IF($A181="N/A"," ",$U181*(8*($BR181))*O181)</f>
        <v> </v>
      </c>
      <c r="Z181" s="320" t="str">
        <f aca="false">IF($A181="N/A"," ",$U181*(8*($BR181))*P181)</f>
        <v> </v>
      </c>
      <c r="AA181" s="320" t="str">
        <f aca="false">IF($A181="N/A"," ",$U181*(8*($BR181))*Q181)</f>
        <v> </v>
      </c>
      <c r="AB181" s="320" t="str">
        <f aca="false">IF($A181="N/A"," ",$U181*(8*($BS181))*R181)</f>
        <v> </v>
      </c>
      <c r="AC181" s="320" t="str">
        <f aca="false">IF($A181="N/A"," ",$U181*(8*($BS181))*S181)</f>
        <v> </v>
      </c>
      <c r="AD181" s="320" t="str">
        <f aca="false">IF($A181="N/A"," ",$U181*(8*($BS181))*T181)</f>
        <v> </v>
      </c>
      <c r="AE181" s="320" t="str">
        <f aca="false">IF($A181="N/A"," ",SUM(V181:AD181))</f>
        <v> </v>
      </c>
      <c r="AF181" s="321" t="str">
        <f aca="false">IF(A181="N/A"," ",(VLOOKUP(A181,PowerVolTable,(IF(VolBMO3=2,7,IF(VolBMO3=1,6,8))),FALSE())))</f>
        <v> </v>
      </c>
      <c r="AG181" s="321" t="str">
        <f aca="false">IF(A181="N/A"," ",(VLOOKUP(A181,IntraPowerVol,(IF(VolBMO3=2,3,IF(VolBMO3=1,2,4))),FALSE())*VLOOKUP(MONTH($A181),Volscale,2)))</f>
        <v> </v>
      </c>
      <c r="AH181" s="321" t="str">
        <f aca="false">IF($A181="N/A"," ",IF(VolType3=1,AG181,AF181))</f>
        <v> </v>
      </c>
      <c r="AI181" s="321" t="str">
        <f aca="false">IF($A181="N/A"," ",(VLOOKUP($A181,OffPwrVolTable,(IF(VolBMO3=2,7,IF(VolBMO3=1,6,8))),FALSE())))</f>
        <v> </v>
      </c>
      <c r="AJ181" s="321" t="str">
        <f aca="false">IF($A181="N/A"," ",(VLOOKUP($A181,OffPwrVolTable,(IF(VolBMO3=2,3,IF(VolBMO3=1,2,4))),FALSE())*VLOOKUP(MONTH($A181),Volscale,2)))</f>
        <v> </v>
      </c>
      <c r="AK181" s="321" t="str">
        <f aca="false">IF($A181="N/A"," ",IF(VolType3=1,AJ181,AI181))</f>
        <v> </v>
      </c>
      <c r="AL181" s="321" t="str">
        <f aca="false">IF($A181="N/A"," ",IF(PV=1,0,'Pricing Inputs3'!R214))</f>
        <v> </v>
      </c>
      <c r="AM181" s="323" t="str">
        <f aca="false">IF($A181="N/A"," ",(1+AL181/2)^(-2*((EOMONTH(A181,0)+20)-DateToday)/365.25))</f>
        <v> </v>
      </c>
      <c r="BQ181" s="0" t="str">
        <f aca="false">IF($A181="N/A"," ",(VLOOKUP($A181,NumberofDaysTable,2)))</f>
        <v> </v>
      </c>
      <c r="BR181" s="0" t="str">
        <f aca="false">IF($A181="N/A"," ",(VLOOKUP($A181,NumberofDaysTable,3)))</f>
        <v> </v>
      </c>
      <c r="BS181" s="0" t="str">
        <f aca="false">IF($A181="N/A"," ",(VLOOKUP($A181,NumberofDaysTable,4)))</f>
        <v> </v>
      </c>
    </row>
    <row r="182" customFormat="false" ht="12.75" hidden="false" customHeight="false" outlineLevel="0" collapsed="false">
      <c r="A182" s="315" t="str">
        <f aca="false">IF(A181="N/A","N/A",IF(EDATE(A181,1)&gt;Inputs!$Q$5,"N/A",EDATE(A181,1)))</f>
        <v>N/A</v>
      </c>
      <c r="B182" s="316" t="str">
        <f aca="false">IF(A182="N/A"," ",YEAR(A182))</f>
        <v> </v>
      </c>
      <c r="C182" s="317" t="str">
        <f aca="false">IF($A182="N/A"," ",IF(Dayrun3=10,0,IF(Scaler3=1,(VLOOKUP(A182,ScaledPrice3,4)),(VLOOKUP(A182,ScaledPrice3,2)))))</f>
        <v> </v>
      </c>
      <c r="D182" s="317" t="str">
        <f aca="false">IF(A182="N/A"," ",IF(Dayrun3&gt;=7,0,IF(Scaler3=2,VLOOKUP(A182,ScaledPrice3,2),(VLOOKUP(A182,ScaledPrice3,2))*(2-(VLOOKUP(A182,ScaledPrice3,3))))))</f>
        <v> </v>
      </c>
      <c r="E182" s="317" t="str">
        <f aca="false">IF($A182="N/A"," ",IF(AND(Dayrun3&gt;=4,Dayrun3&lt;=9),0,VLOOKUP($A182,ScaledPrice3,9)))</f>
        <v> </v>
      </c>
      <c r="F182" s="317" t="str">
        <f aca="false">IF(A182="N/A"," ",IF(OR(Dayrun3=2,Dayrun3=3,Dayrun3=5,Dayrun3=6,Dayrun3=8,Dayrun3=9),VLOOKUP(A182,ScaledPrice3,IF(Scaler3=1,6,5)),0))</f>
        <v> </v>
      </c>
      <c r="G182" s="317" t="str">
        <f aca="false">IF(A182="N/A"," ",IF(OR(Dayrun3=2,Dayrun3=3,Dayrun3=5,Dayrun3=6),IF(Scaler3=2,F182,(VLOOKUP(A182,ScaledPrice3,5))*(2-(VLOOKUP(A182,ScaledPrice3,3)))),0))</f>
        <v> </v>
      </c>
      <c r="H182" s="317" t="str">
        <f aca="false">IF($A182="N/A"," ",IF(OR(Dayrun3=2,Dayrun3=3,Dayrun3=10),VLOOKUP($A182,ScaledPrice3,9),0))</f>
        <v> </v>
      </c>
      <c r="I182" s="317" t="str">
        <f aca="false">IF(A182="N/A"," ",IF(OR(Dayrun3=3,Dayrun3=6,Dayrun3=9),(VLOOKUP(A182,ScaledPrice3,IF(Scaler3=2,7,8))),0))</f>
        <v> </v>
      </c>
      <c r="J182" s="317" t="str">
        <f aca="false">IF(A182="N/A"," ",IF(OR(Dayrun3=3,Dayrun3=6),IF(Scaler3=2,I182,(VLOOKUP(A182,ScaledPrice3,7))*(2-(VLOOKUP(A182,ScaledPrice3,3)))),0))</f>
        <v> </v>
      </c>
      <c r="K182" s="317" t="str">
        <f aca="false">IF($A182="N/A"," ",IF(OR(Dayrun3=3,Dayrun3=10),VLOOKUP($A182,ScaledPrice3,9),0))</f>
        <v> </v>
      </c>
      <c r="L182" s="318" t="str">
        <f aca="false">IF($A182="N/A"," ",IF(Pricetype3=2,MAX(C182,0),IF(OR(Pricetype3=1,Pricetype3=4),IF(C182=0,0,(EURO(C182,Strikeprice3,0,0,($AH182+IF(Smile=TRUE(),VLOOKUP(MAX(-5,Strikeprice3-C182),Volsmile,2),0)),($A182-DateToday)+15,IF(Pricetype3=1,1,0),0))),C182)))</f>
        <v> </v>
      </c>
      <c r="M182" s="318" t="str">
        <f aca="false">IF($A182="N/A"," ",IF(Pricetype3=2,MAX(D182,0),IF(OR(Pricetype3=1,Pricetype3=4),IF(D182=0,0,(EURO(D182,Strikeprice3,0,0,($AH182+IF(Smile=TRUE(),VLOOKUP(MAX(-5,Strikeprice3-D182),Volsmile,2),0)),($A182-DateToday)+15,IF(Pricetype3=1,1,0),0))),D182)))</f>
        <v> </v>
      </c>
      <c r="N182" s="318" t="str">
        <f aca="false">IF($A182="N/A"," ",IF(Pricetype3=2,MAX(E182,0),IF(OR(Pricetype3=1,Pricetype3=4),IF(E182=0,0,(EURO(E182,Strikeprice3,0,0,($AK182+IF(Smile=TRUE(),VLOOKUP(MAX(-5,Strikeprice3-E182),Volsmile,2),0)),($A182-DateToday)+15,IF(Pricetype3=1,1,0),0))),E182)))</f>
        <v> </v>
      </c>
      <c r="O182" s="318" t="str">
        <f aca="false">IF($A182="N/A"," ",IF(Pricetype3=2,MAX(F182,0),IF(OR(Pricetype3=1,Pricetype3=4),IF(F182=0,0,(EURO(F182,Strikeprice3,0,0,($AK182+IF(Smile=TRUE(),VLOOKUP(MAX(-5,Strikeprice3-F182),Volsmile,2),0)),($A182-DateToday)+15,IF(Pricetype3=1,1,0),0))),F182)))</f>
        <v> </v>
      </c>
      <c r="P182" s="318" t="str">
        <f aca="false">IF($A182="N/A"," ",IF(Pricetype3=2,MAX(G182,0),IF(OR(Pricetype3=1,Pricetype3=4),IF(G182=0,0,(EURO(G182,Strikeprice3,0,0,($AK182+IF(Smile=TRUE(),VLOOKUP(MAX(-5,Strikeprice3-G182),Volsmile,2),0)),($A182-DateToday)+15,IF(Pricetype3=1,1,0),0))),G182)))</f>
        <v> </v>
      </c>
      <c r="Q182" s="318" t="str">
        <f aca="false">IF($A182="N/A"," ",IF(Pricetype3=2,MAX(H182,0),IF(OR(Pricetype3=1,Pricetype3=4),IF(H182=0,0,(EURO(H182,Strikeprice3,0,0,($AK182+IF(Smile=TRUE(),VLOOKUP(MAX(-5,Strikeprice3-H182),Volsmile,2),0)),($A182-DateToday)+15,IF(Pricetype3=1,1,0),0))),H182)))</f>
        <v> </v>
      </c>
      <c r="R182" s="318" t="str">
        <f aca="false">IF($A182="N/A"," ",IF(Pricetype3=2,MAX(I182,0),IF(OR(Pricetype3=1,Pricetype3=4),IF(I182=0,0,(EURO(I182,Strikeprice3,0,0,($AK182+IF(Smile=TRUE(),VLOOKUP(MAX(-5,Strikeprice3-I182),Volsmile,2),0)),($A182-DateToday)+15,IF(Pricetype3=1,1,0),0))),I182)))</f>
        <v> </v>
      </c>
      <c r="S182" s="318" t="str">
        <f aca="false">IF($A182="N/A"," ",IF(Pricetype3=2,MAX(J182,0),IF(OR(Pricetype3=1,Pricetype3=4),IF(J182=0,0,(EURO(J182,Strikeprice3,0,0,($AK182+IF(Smile=TRUE(),VLOOKUP(MAX(-5,Strikeprice3-J182),Volsmile,2),0)),($A182-DateToday)+15,IF(Pricetype3=1,1,0),0))),J182)))</f>
        <v> </v>
      </c>
      <c r="T182" s="318" t="str">
        <f aca="false">IF($A182="N/A"," ",IF(Pricetype3=2,MAX(K182,0),IF(OR(Pricetype3=1,Pricetype3=4),IF(K182=0,0,(EURO(K182,Strikeprice3,0,0,($AK182+IF(Smile=TRUE(),VLOOKUP(MAX(-5,Strikeprice3-K182),Volsmile,2),0)),($A182-DateToday)+15,IF(Pricetype3=1,1,0),0))),K182)))</f>
        <v> </v>
      </c>
      <c r="U182" s="319" t="str">
        <f aca="false">IF($A182="N/A"," ",Volume3*$AM182)</f>
        <v> </v>
      </c>
      <c r="V182" s="320" t="str">
        <f aca="false">IF($A182="N/A"," ",$U182*(8*($BQ182))*L182)</f>
        <v> </v>
      </c>
      <c r="W182" s="320" t="str">
        <f aca="false">IF($A182="N/A"," ",$U182*(8*($BQ182))*M182)</f>
        <v> </v>
      </c>
      <c r="X182" s="320" t="str">
        <f aca="false">IF($A182="N/A"," ",$U182*(8*($BQ182))*N182)</f>
        <v> </v>
      </c>
      <c r="Y182" s="320" t="str">
        <f aca="false">IF($A182="N/A"," ",$U182*(8*($BR182))*O182)</f>
        <v> </v>
      </c>
      <c r="Z182" s="320" t="str">
        <f aca="false">IF($A182="N/A"," ",$U182*(8*($BR182))*P182)</f>
        <v> </v>
      </c>
      <c r="AA182" s="320" t="str">
        <f aca="false">IF($A182="N/A"," ",$U182*(8*($BR182))*Q182)</f>
        <v> </v>
      </c>
      <c r="AB182" s="320" t="str">
        <f aca="false">IF($A182="N/A"," ",$U182*(8*($BS182))*R182)</f>
        <v> </v>
      </c>
      <c r="AC182" s="320" t="str">
        <f aca="false">IF($A182="N/A"," ",$U182*(8*($BS182))*S182)</f>
        <v> </v>
      </c>
      <c r="AD182" s="320" t="str">
        <f aca="false">IF($A182="N/A"," ",$U182*(8*($BS182))*T182)</f>
        <v> </v>
      </c>
      <c r="AE182" s="320" t="str">
        <f aca="false">IF($A182="N/A"," ",SUM(V182:AD182))</f>
        <v> </v>
      </c>
      <c r="AF182" s="321" t="str">
        <f aca="false">IF(A182="N/A"," ",(VLOOKUP(A182,PowerVolTable,(IF(VolBMO3=2,7,IF(VolBMO3=1,6,8))),FALSE())))</f>
        <v> </v>
      </c>
      <c r="AG182" s="321" t="str">
        <f aca="false">IF(A182="N/A"," ",(VLOOKUP(A182,IntraPowerVol,(IF(VolBMO3=2,3,IF(VolBMO3=1,2,4))),FALSE())*VLOOKUP(MONTH($A182),Volscale,2)))</f>
        <v> </v>
      </c>
      <c r="AH182" s="321" t="str">
        <f aca="false">IF($A182="N/A"," ",IF(VolType3=1,AG182,AF182))</f>
        <v> </v>
      </c>
      <c r="AI182" s="321" t="str">
        <f aca="false">IF($A182="N/A"," ",(VLOOKUP($A182,OffPwrVolTable,(IF(VolBMO3=2,7,IF(VolBMO3=1,6,8))),FALSE())))</f>
        <v> </v>
      </c>
      <c r="AJ182" s="321" t="str">
        <f aca="false">IF($A182="N/A"," ",(VLOOKUP($A182,OffPwrVolTable,(IF(VolBMO3=2,3,IF(VolBMO3=1,2,4))),FALSE())*VLOOKUP(MONTH($A182),Volscale,2)))</f>
        <v> </v>
      </c>
      <c r="AK182" s="321" t="str">
        <f aca="false">IF($A182="N/A"," ",IF(VolType3=1,AJ182,AI182))</f>
        <v> </v>
      </c>
      <c r="AL182" s="321" t="str">
        <f aca="false">IF($A182="N/A"," ",IF(PV=1,0,'Pricing Inputs3'!R215))</f>
        <v> </v>
      </c>
      <c r="AM182" s="323" t="str">
        <f aca="false">IF($A182="N/A"," ",(1+AL182/2)^(-2*((EOMONTH(A182,0)+20)-DateToday)/365.25))</f>
        <v> </v>
      </c>
      <c r="BQ182" s="0" t="str">
        <f aca="false">IF($A182="N/A"," ",(VLOOKUP($A182,NumberofDaysTable,2)))</f>
        <v> </v>
      </c>
      <c r="BR182" s="0" t="str">
        <f aca="false">IF($A182="N/A"," ",(VLOOKUP($A182,NumberofDaysTable,3)))</f>
        <v> </v>
      </c>
      <c r="BS182" s="0" t="str">
        <f aca="false">IF($A182="N/A"," ",(VLOOKUP($A182,NumberofDaysTable,4)))</f>
        <v> </v>
      </c>
    </row>
    <row r="183" customFormat="false" ht="12.75" hidden="false" customHeight="false" outlineLevel="0" collapsed="false">
      <c r="A183" s="315" t="str">
        <f aca="false">IF(A182="N/A","N/A",IF(EDATE(A182,1)&gt;Inputs!$Q$5,"N/A",EDATE(A182,1)))</f>
        <v>N/A</v>
      </c>
      <c r="B183" s="316" t="str">
        <f aca="false">IF(A183="N/A"," ",YEAR(A183))</f>
        <v> </v>
      </c>
      <c r="C183" s="317" t="str">
        <f aca="false">IF($A183="N/A"," ",IF(Dayrun3=10,0,IF(Scaler3=1,(VLOOKUP(A183,ScaledPrice3,4)),(VLOOKUP(A183,ScaledPrice3,2)))))</f>
        <v> </v>
      </c>
      <c r="D183" s="317" t="str">
        <f aca="false">IF(A183="N/A"," ",IF(Dayrun3&gt;=7,0,IF(Scaler3=2,VLOOKUP(A183,ScaledPrice3,2),(VLOOKUP(A183,ScaledPrice3,2))*(2-(VLOOKUP(A183,ScaledPrice3,3))))))</f>
        <v> </v>
      </c>
      <c r="E183" s="317" t="str">
        <f aca="false">IF($A183="N/A"," ",IF(AND(Dayrun3&gt;=4,Dayrun3&lt;=9),0,VLOOKUP($A183,ScaledPrice3,9)))</f>
        <v> </v>
      </c>
      <c r="F183" s="317" t="str">
        <f aca="false">IF(A183="N/A"," ",IF(OR(Dayrun3=2,Dayrun3=3,Dayrun3=5,Dayrun3=6,Dayrun3=8,Dayrun3=9),VLOOKUP(A183,ScaledPrice3,IF(Scaler3=1,6,5)),0))</f>
        <v> </v>
      </c>
      <c r="G183" s="317" t="str">
        <f aca="false">IF(A183="N/A"," ",IF(OR(Dayrun3=2,Dayrun3=3,Dayrun3=5,Dayrun3=6),IF(Scaler3=2,F183,(VLOOKUP(A183,ScaledPrice3,5))*(2-(VLOOKUP(A183,ScaledPrice3,3)))),0))</f>
        <v> </v>
      </c>
      <c r="H183" s="317" t="str">
        <f aca="false">IF($A183="N/A"," ",IF(OR(Dayrun3=2,Dayrun3=3,Dayrun3=10),VLOOKUP($A183,ScaledPrice3,9),0))</f>
        <v> </v>
      </c>
      <c r="I183" s="317" t="str">
        <f aca="false">IF(A183="N/A"," ",IF(OR(Dayrun3=3,Dayrun3=6,Dayrun3=9),(VLOOKUP(A183,ScaledPrice3,IF(Scaler3=2,7,8))),0))</f>
        <v> </v>
      </c>
      <c r="J183" s="317" t="str">
        <f aca="false">IF(A183="N/A"," ",IF(OR(Dayrun3=3,Dayrun3=6),IF(Scaler3=2,I183,(VLOOKUP(A183,ScaledPrice3,7))*(2-(VLOOKUP(A183,ScaledPrice3,3)))),0))</f>
        <v> </v>
      </c>
      <c r="K183" s="317" t="str">
        <f aca="false">IF($A183="N/A"," ",IF(OR(Dayrun3=3,Dayrun3=10),VLOOKUP($A183,ScaledPrice3,9),0))</f>
        <v> </v>
      </c>
      <c r="L183" s="318" t="str">
        <f aca="false">IF($A183="N/A"," ",IF(Pricetype3=2,MAX(C183,0),IF(OR(Pricetype3=1,Pricetype3=4),IF(C183=0,0,(EURO(C183,Strikeprice3,0,0,($AH183+IF(Smile=TRUE(),VLOOKUP(MAX(-5,Strikeprice3-C183),Volsmile,2),0)),($A183-DateToday)+15,IF(Pricetype3=1,1,0),0))),C183)))</f>
        <v> </v>
      </c>
      <c r="M183" s="318" t="str">
        <f aca="false">IF($A183="N/A"," ",IF(Pricetype3=2,MAX(D183,0),IF(OR(Pricetype3=1,Pricetype3=4),IF(D183=0,0,(EURO(D183,Strikeprice3,0,0,($AH183+IF(Smile=TRUE(),VLOOKUP(MAX(-5,Strikeprice3-D183),Volsmile,2),0)),($A183-DateToday)+15,IF(Pricetype3=1,1,0),0))),D183)))</f>
        <v> </v>
      </c>
      <c r="N183" s="318" t="str">
        <f aca="false">IF($A183="N/A"," ",IF(Pricetype3=2,MAX(E183,0),IF(OR(Pricetype3=1,Pricetype3=4),IF(E183=0,0,(EURO(E183,Strikeprice3,0,0,($AK183+IF(Smile=TRUE(),VLOOKUP(MAX(-5,Strikeprice3-E183),Volsmile,2),0)),($A183-DateToday)+15,IF(Pricetype3=1,1,0),0))),E183)))</f>
        <v> </v>
      </c>
      <c r="O183" s="318" t="str">
        <f aca="false">IF($A183="N/A"," ",IF(Pricetype3=2,MAX(F183,0),IF(OR(Pricetype3=1,Pricetype3=4),IF(F183=0,0,(EURO(F183,Strikeprice3,0,0,($AK183+IF(Smile=TRUE(),VLOOKUP(MAX(-5,Strikeprice3-F183),Volsmile,2),0)),($A183-DateToday)+15,IF(Pricetype3=1,1,0),0))),F183)))</f>
        <v> </v>
      </c>
      <c r="P183" s="318" t="str">
        <f aca="false">IF($A183="N/A"," ",IF(Pricetype3=2,MAX(G183,0),IF(OR(Pricetype3=1,Pricetype3=4),IF(G183=0,0,(EURO(G183,Strikeprice3,0,0,($AK183+IF(Smile=TRUE(),VLOOKUP(MAX(-5,Strikeprice3-G183),Volsmile,2),0)),($A183-DateToday)+15,IF(Pricetype3=1,1,0),0))),G183)))</f>
        <v> </v>
      </c>
      <c r="Q183" s="318" t="str">
        <f aca="false">IF($A183="N/A"," ",IF(Pricetype3=2,MAX(H183,0),IF(OR(Pricetype3=1,Pricetype3=4),IF(H183=0,0,(EURO(H183,Strikeprice3,0,0,($AK183+IF(Smile=TRUE(),VLOOKUP(MAX(-5,Strikeprice3-H183),Volsmile,2),0)),($A183-DateToday)+15,IF(Pricetype3=1,1,0),0))),H183)))</f>
        <v> </v>
      </c>
      <c r="R183" s="318" t="str">
        <f aca="false">IF($A183="N/A"," ",IF(Pricetype3=2,MAX(I183,0),IF(OR(Pricetype3=1,Pricetype3=4),IF(I183=0,0,(EURO(I183,Strikeprice3,0,0,($AK183+IF(Smile=TRUE(),VLOOKUP(MAX(-5,Strikeprice3-I183),Volsmile,2),0)),($A183-DateToday)+15,IF(Pricetype3=1,1,0),0))),I183)))</f>
        <v> </v>
      </c>
      <c r="S183" s="318" t="str">
        <f aca="false">IF($A183="N/A"," ",IF(Pricetype3=2,MAX(J183,0),IF(OR(Pricetype3=1,Pricetype3=4),IF(J183=0,0,(EURO(J183,Strikeprice3,0,0,($AK183+IF(Smile=TRUE(),VLOOKUP(MAX(-5,Strikeprice3-J183),Volsmile,2),0)),($A183-DateToday)+15,IF(Pricetype3=1,1,0),0))),J183)))</f>
        <v> </v>
      </c>
      <c r="T183" s="318" t="str">
        <f aca="false">IF($A183="N/A"," ",IF(Pricetype3=2,MAX(K183,0),IF(OR(Pricetype3=1,Pricetype3=4),IF(K183=0,0,(EURO(K183,Strikeprice3,0,0,($AK183+IF(Smile=TRUE(),VLOOKUP(MAX(-5,Strikeprice3-K183),Volsmile,2),0)),($A183-DateToday)+15,IF(Pricetype3=1,1,0),0))),K183)))</f>
        <v> </v>
      </c>
      <c r="U183" s="319" t="str">
        <f aca="false">IF($A183="N/A"," ",Volume3*$AM183)</f>
        <v> </v>
      </c>
      <c r="V183" s="320" t="str">
        <f aca="false">IF($A183="N/A"," ",$U183*(8*($BQ183))*L183)</f>
        <v> </v>
      </c>
      <c r="W183" s="320" t="str">
        <f aca="false">IF($A183="N/A"," ",$U183*(8*($BQ183))*M183)</f>
        <v> </v>
      </c>
      <c r="X183" s="320" t="str">
        <f aca="false">IF($A183="N/A"," ",$U183*(8*($BQ183))*N183)</f>
        <v> </v>
      </c>
      <c r="Y183" s="320" t="str">
        <f aca="false">IF($A183="N/A"," ",$U183*(8*($BR183))*O183)</f>
        <v> </v>
      </c>
      <c r="Z183" s="320" t="str">
        <f aca="false">IF($A183="N/A"," ",$U183*(8*($BR183))*P183)</f>
        <v> </v>
      </c>
      <c r="AA183" s="320" t="str">
        <f aca="false">IF($A183="N/A"," ",$U183*(8*($BR183))*Q183)</f>
        <v> </v>
      </c>
      <c r="AB183" s="320" t="str">
        <f aca="false">IF($A183="N/A"," ",$U183*(8*($BS183))*R183)</f>
        <v> </v>
      </c>
      <c r="AC183" s="320" t="str">
        <f aca="false">IF($A183="N/A"," ",$U183*(8*($BS183))*S183)</f>
        <v> </v>
      </c>
      <c r="AD183" s="320" t="str">
        <f aca="false">IF($A183="N/A"," ",$U183*(8*($BS183))*T183)</f>
        <v> </v>
      </c>
      <c r="AE183" s="320" t="str">
        <f aca="false">IF($A183="N/A"," ",SUM(V183:AD183))</f>
        <v> </v>
      </c>
      <c r="AF183" s="321" t="str">
        <f aca="false">IF(A183="N/A"," ",(VLOOKUP(A183,PowerVolTable,(IF(VolBMO3=2,7,IF(VolBMO3=1,6,8))),FALSE())))</f>
        <v> </v>
      </c>
      <c r="AG183" s="321" t="str">
        <f aca="false">IF(A183="N/A"," ",(VLOOKUP(A183,IntraPowerVol,(IF(VolBMO3=2,3,IF(VolBMO3=1,2,4))),FALSE())*VLOOKUP(MONTH($A183),Volscale,2)))</f>
        <v> </v>
      </c>
      <c r="AH183" s="321" t="str">
        <f aca="false">IF($A183="N/A"," ",IF(VolType3=1,AG183,AF183))</f>
        <v> </v>
      </c>
      <c r="AI183" s="321" t="str">
        <f aca="false">IF($A183="N/A"," ",(VLOOKUP($A183,OffPwrVolTable,(IF(VolBMO3=2,7,IF(VolBMO3=1,6,8))),FALSE())))</f>
        <v> </v>
      </c>
      <c r="AJ183" s="321" t="str">
        <f aca="false">IF($A183="N/A"," ",(VLOOKUP($A183,OffPwrVolTable,(IF(VolBMO3=2,3,IF(VolBMO3=1,2,4))),FALSE())*VLOOKUP(MONTH($A183),Volscale,2)))</f>
        <v> </v>
      </c>
      <c r="AK183" s="321" t="str">
        <f aca="false">IF($A183="N/A"," ",IF(VolType3=1,AJ183,AI183))</f>
        <v> </v>
      </c>
      <c r="AL183" s="321" t="str">
        <f aca="false">IF($A183="N/A"," ",IF(PV=1,0,'Pricing Inputs3'!R216))</f>
        <v> </v>
      </c>
      <c r="AM183" s="323" t="str">
        <f aca="false">IF($A183="N/A"," ",(1+AL183/2)^(-2*((EOMONTH(A183,0)+20)-DateToday)/365.25))</f>
        <v> </v>
      </c>
      <c r="BQ183" s="0" t="str">
        <f aca="false">IF($A183="N/A"," ",(VLOOKUP($A183,NumberofDaysTable,2)))</f>
        <v> </v>
      </c>
      <c r="BR183" s="0" t="str">
        <f aca="false">IF($A183="N/A"," ",(VLOOKUP($A183,NumberofDaysTable,3)))</f>
        <v> </v>
      </c>
      <c r="BS183" s="0" t="str">
        <f aca="false">IF($A183="N/A"," ",(VLOOKUP($A183,NumberofDaysTable,4)))</f>
        <v> </v>
      </c>
    </row>
    <row r="184" customFormat="false" ht="12.75" hidden="false" customHeight="false" outlineLevel="0" collapsed="false">
      <c r="A184" s="315" t="str">
        <f aca="false">IF(A183="N/A","N/A",IF(EDATE(A183,1)&gt;Inputs!$Q$5,"N/A",EDATE(A183,1)))</f>
        <v>N/A</v>
      </c>
      <c r="B184" s="316" t="str">
        <f aca="false">IF(A184="N/A"," ",YEAR(A184))</f>
        <v> </v>
      </c>
      <c r="C184" s="317" t="str">
        <f aca="false">IF($A184="N/A"," ",IF(Dayrun3=10,0,IF(Scaler3=1,(VLOOKUP(A184,ScaledPrice3,4)),(VLOOKUP(A184,ScaledPrice3,2)))))</f>
        <v> </v>
      </c>
      <c r="D184" s="317" t="str">
        <f aca="false">IF(A184="N/A"," ",IF(Dayrun3&gt;=7,0,IF(Scaler3=2,VLOOKUP(A184,ScaledPrice3,2),(VLOOKUP(A184,ScaledPrice3,2))*(2-(VLOOKUP(A184,ScaledPrice3,3))))))</f>
        <v> </v>
      </c>
      <c r="E184" s="317" t="str">
        <f aca="false">IF($A184="N/A"," ",IF(AND(Dayrun3&gt;=4,Dayrun3&lt;=9),0,VLOOKUP($A184,ScaledPrice3,9)))</f>
        <v> </v>
      </c>
      <c r="F184" s="317" t="str">
        <f aca="false">IF(A184="N/A"," ",IF(OR(Dayrun3=2,Dayrun3=3,Dayrun3=5,Dayrun3=6,Dayrun3=8,Dayrun3=9),VLOOKUP(A184,ScaledPrice3,IF(Scaler3=1,6,5)),0))</f>
        <v> </v>
      </c>
      <c r="G184" s="317" t="str">
        <f aca="false">IF(A184="N/A"," ",IF(OR(Dayrun3=2,Dayrun3=3,Dayrun3=5,Dayrun3=6),IF(Scaler3=2,F184,(VLOOKUP(A184,ScaledPrice3,5))*(2-(VLOOKUP(A184,ScaledPrice3,3)))),0))</f>
        <v> </v>
      </c>
      <c r="H184" s="317" t="str">
        <f aca="false">IF($A184="N/A"," ",IF(OR(Dayrun3=2,Dayrun3=3,Dayrun3=10),VLOOKUP($A184,ScaledPrice3,9),0))</f>
        <v> </v>
      </c>
      <c r="I184" s="317" t="str">
        <f aca="false">IF(A184="N/A"," ",IF(OR(Dayrun3=3,Dayrun3=6,Dayrun3=9),(VLOOKUP(A184,ScaledPrice3,IF(Scaler3=2,7,8))),0))</f>
        <v> </v>
      </c>
      <c r="J184" s="317" t="str">
        <f aca="false">IF(A184="N/A"," ",IF(OR(Dayrun3=3,Dayrun3=6),IF(Scaler3=2,I184,(VLOOKUP(A184,ScaledPrice3,7))*(2-(VLOOKUP(A184,ScaledPrice3,3)))),0))</f>
        <v> </v>
      </c>
      <c r="K184" s="317" t="str">
        <f aca="false">IF($A184="N/A"," ",IF(OR(Dayrun3=3,Dayrun3=10),VLOOKUP($A184,ScaledPrice3,9),0))</f>
        <v> </v>
      </c>
      <c r="L184" s="318" t="str">
        <f aca="false">IF($A184="N/A"," ",IF(Pricetype3=2,MAX(C184,0),IF(OR(Pricetype3=1,Pricetype3=4),IF(C184=0,0,(EURO(C184,Strikeprice3,0,0,($AH184+IF(Smile=TRUE(),VLOOKUP(MAX(-5,Strikeprice3-C184),Volsmile,2),0)),($A184-DateToday)+15,IF(Pricetype3=1,1,0),0))),C184)))</f>
        <v> </v>
      </c>
      <c r="M184" s="318" t="str">
        <f aca="false">IF($A184="N/A"," ",IF(Pricetype3=2,MAX(D184,0),IF(OR(Pricetype3=1,Pricetype3=4),IF(D184=0,0,(EURO(D184,Strikeprice3,0,0,($AH184+IF(Smile=TRUE(),VLOOKUP(MAX(-5,Strikeprice3-D184),Volsmile,2),0)),($A184-DateToday)+15,IF(Pricetype3=1,1,0),0))),D184)))</f>
        <v> </v>
      </c>
      <c r="N184" s="318" t="str">
        <f aca="false">IF($A184="N/A"," ",IF(Pricetype3=2,MAX(E184,0),IF(OR(Pricetype3=1,Pricetype3=4),IF(E184=0,0,(EURO(E184,Strikeprice3,0,0,($AK184+IF(Smile=TRUE(),VLOOKUP(MAX(-5,Strikeprice3-E184),Volsmile,2),0)),($A184-DateToday)+15,IF(Pricetype3=1,1,0),0))),E184)))</f>
        <v> </v>
      </c>
      <c r="O184" s="318" t="str">
        <f aca="false">IF($A184="N/A"," ",IF(Pricetype3=2,MAX(F184,0),IF(OR(Pricetype3=1,Pricetype3=4),IF(F184=0,0,(EURO(F184,Strikeprice3,0,0,($AK184+IF(Smile=TRUE(),VLOOKUP(MAX(-5,Strikeprice3-F184),Volsmile,2),0)),($A184-DateToday)+15,IF(Pricetype3=1,1,0),0))),F184)))</f>
        <v> </v>
      </c>
      <c r="P184" s="318" t="str">
        <f aca="false">IF($A184="N/A"," ",IF(Pricetype3=2,MAX(G184,0),IF(OR(Pricetype3=1,Pricetype3=4),IF(G184=0,0,(EURO(G184,Strikeprice3,0,0,($AK184+IF(Smile=TRUE(),VLOOKUP(MAX(-5,Strikeprice3-G184),Volsmile,2),0)),($A184-DateToday)+15,IF(Pricetype3=1,1,0),0))),G184)))</f>
        <v> </v>
      </c>
      <c r="Q184" s="318" t="str">
        <f aca="false">IF($A184="N/A"," ",IF(Pricetype3=2,MAX(H184,0),IF(OR(Pricetype3=1,Pricetype3=4),IF(H184=0,0,(EURO(H184,Strikeprice3,0,0,($AK184+IF(Smile=TRUE(),VLOOKUP(MAX(-5,Strikeprice3-H184),Volsmile,2),0)),($A184-DateToday)+15,IF(Pricetype3=1,1,0),0))),H184)))</f>
        <v> </v>
      </c>
      <c r="R184" s="318" t="str">
        <f aca="false">IF($A184="N/A"," ",IF(Pricetype3=2,MAX(I184,0),IF(OR(Pricetype3=1,Pricetype3=4),IF(I184=0,0,(EURO(I184,Strikeprice3,0,0,($AK184+IF(Smile=TRUE(),VLOOKUP(MAX(-5,Strikeprice3-I184),Volsmile,2),0)),($A184-DateToday)+15,IF(Pricetype3=1,1,0),0))),I184)))</f>
        <v> </v>
      </c>
      <c r="S184" s="318" t="str">
        <f aca="false">IF($A184="N/A"," ",IF(Pricetype3=2,MAX(J184,0),IF(OR(Pricetype3=1,Pricetype3=4),IF(J184=0,0,(EURO(J184,Strikeprice3,0,0,($AK184+IF(Smile=TRUE(),VLOOKUP(MAX(-5,Strikeprice3-J184),Volsmile,2),0)),($A184-DateToday)+15,IF(Pricetype3=1,1,0),0))),J184)))</f>
        <v> </v>
      </c>
      <c r="T184" s="318" t="str">
        <f aca="false">IF($A184="N/A"," ",IF(Pricetype3=2,MAX(K184,0),IF(OR(Pricetype3=1,Pricetype3=4),IF(K184=0,0,(EURO(K184,Strikeprice3,0,0,($AK184+IF(Smile=TRUE(),VLOOKUP(MAX(-5,Strikeprice3-K184),Volsmile,2),0)),($A184-DateToday)+15,IF(Pricetype3=1,1,0),0))),K184)))</f>
        <v> </v>
      </c>
      <c r="U184" s="319" t="str">
        <f aca="false">IF($A184="N/A"," ",Volume3*$AM184)</f>
        <v> </v>
      </c>
      <c r="V184" s="320" t="str">
        <f aca="false">IF($A184="N/A"," ",$U184*(8*($BQ184))*L184)</f>
        <v> </v>
      </c>
      <c r="W184" s="320" t="str">
        <f aca="false">IF($A184="N/A"," ",$U184*(8*($BQ184))*M184)</f>
        <v> </v>
      </c>
      <c r="X184" s="320" t="str">
        <f aca="false">IF($A184="N/A"," ",$U184*(8*($BQ184))*N184)</f>
        <v> </v>
      </c>
      <c r="Y184" s="320" t="str">
        <f aca="false">IF($A184="N/A"," ",$U184*(8*($BR184))*O184)</f>
        <v> </v>
      </c>
      <c r="Z184" s="320" t="str">
        <f aca="false">IF($A184="N/A"," ",$U184*(8*($BR184))*P184)</f>
        <v> </v>
      </c>
      <c r="AA184" s="320" t="str">
        <f aca="false">IF($A184="N/A"," ",$U184*(8*($BR184))*Q184)</f>
        <v> </v>
      </c>
      <c r="AB184" s="320" t="str">
        <f aca="false">IF($A184="N/A"," ",$U184*(8*($BS184))*R184)</f>
        <v> </v>
      </c>
      <c r="AC184" s="320" t="str">
        <f aca="false">IF($A184="N/A"," ",$U184*(8*($BS184))*S184)</f>
        <v> </v>
      </c>
      <c r="AD184" s="320" t="str">
        <f aca="false">IF($A184="N/A"," ",$U184*(8*($BS184))*T184)</f>
        <v> </v>
      </c>
      <c r="AE184" s="320" t="str">
        <f aca="false">IF($A184="N/A"," ",SUM(V184:AD184))</f>
        <v> </v>
      </c>
      <c r="AF184" s="321" t="str">
        <f aca="false">IF(A184="N/A"," ",(VLOOKUP(A184,PowerVolTable,(IF(VolBMO3=2,7,IF(VolBMO3=1,6,8))),FALSE())))</f>
        <v> </v>
      </c>
      <c r="AG184" s="321" t="str">
        <f aca="false">IF(A184="N/A"," ",(VLOOKUP(A184,IntraPowerVol,(IF(VolBMO3=2,3,IF(VolBMO3=1,2,4))),FALSE())*VLOOKUP(MONTH($A184),Volscale,2)))</f>
        <v> </v>
      </c>
      <c r="AH184" s="321" t="str">
        <f aca="false">IF($A184="N/A"," ",IF(VolType3=1,AG184,AF184))</f>
        <v> </v>
      </c>
      <c r="AI184" s="321" t="str">
        <f aca="false">IF($A184="N/A"," ",(VLOOKUP($A184,OffPwrVolTable,(IF(VolBMO3=2,7,IF(VolBMO3=1,6,8))),FALSE())))</f>
        <v> </v>
      </c>
      <c r="AJ184" s="321" t="str">
        <f aca="false">IF($A184="N/A"," ",(VLOOKUP($A184,OffPwrVolTable,(IF(VolBMO3=2,3,IF(VolBMO3=1,2,4))),FALSE())*VLOOKUP(MONTH($A184),Volscale,2)))</f>
        <v> </v>
      </c>
      <c r="AK184" s="321" t="str">
        <f aca="false">IF($A184="N/A"," ",IF(VolType3=1,AJ184,AI184))</f>
        <v> </v>
      </c>
      <c r="AL184" s="321" t="str">
        <f aca="false">IF($A184="N/A"," ",IF(PV=1,0,'Pricing Inputs3'!R217))</f>
        <v> </v>
      </c>
      <c r="AM184" s="323" t="str">
        <f aca="false">IF($A184="N/A"," ",(1+AL184/2)^(-2*((EOMONTH(A184,0)+20)-DateToday)/365.25))</f>
        <v> </v>
      </c>
      <c r="BQ184" s="0" t="str">
        <f aca="false">IF($A184="N/A"," ",(VLOOKUP($A184,NumberofDaysTable,2)))</f>
        <v> </v>
      </c>
      <c r="BR184" s="0" t="str">
        <f aca="false">IF($A184="N/A"," ",(VLOOKUP($A184,NumberofDaysTable,3)))</f>
        <v> </v>
      </c>
      <c r="BS184" s="0" t="str">
        <f aca="false">IF($A184="N/A"," ",(VLOOKUP($A184,NumberofDaysTable,4)))</f>
        <v> </v>
      </c>
    </row>
    <row r="185" customFormat="false" ht="12.75" hidden="false" customHeight="false" outlineLevel="0" collapsed="false">
      <c r="A185" s="315" t="str">
        <f aca="false">IF(A184="N/A","N/A",IF(EDATE(A184,1)&gt;Inputs!$Q$5,"N/A",EDATE(A184,1)))</f>
        <v>N/A</v>
      </c>
      <c r="B185" s="316" t="str">
        <f aca="false">IF(A185="N/A"," ",YEAR(A185))</f>
        <v> </v>
      </c>
      <c r="C185" s="317" t="str">
        <f aca="false">IF($A185="N/A"," ",IF(Dayrun3=10,0,IF(Scaler3=1,(VLOOKUP(A185,ScaledPrice3,4)),(VLOOKUP(A185,ScaledPrice3,2)))))</f>
        <v> </v>
      </c>
      <c r="D185" s="317" t="str">
        <f aca="false">IF(A185="N/A"," ",IF(Dayrun3&gt;=7,0,IF(Scaler3=2,VLOOKUP(A185,ScaledPrice3,2),(VLOOKUP(A185,ScaledPrice3,2))*(2-(VLOOKUP(A185,ScaledPrice3,3))))))</f>
        <v> </v>
      </c>
      <c r="E185" s="317" t="str">
        <f aca="false">IF($A185="N/A"," ",IF(AND(Dayrun3&gt;=4,Dayrun3&lt;=9),0,VLOOKUP($A185,ScaledPrice3,9)))</f>
        <v> </v>
      </c>
      <c r="F185" s="317" t="str">
        <f aca="false">IF(A185="N/A"," ",IF(OR(Dayrun3=2,Dayrun3=3,Dayrun3=5,Dayrun3=6,Dayrun3=8,Dayrun3=9),VLOOKUP(A185,ScaledPrice3,IF(Scaler3=1,6,5)),0))</f>
        <v> </v>
      </c>
      <c r="G185" s="317" t="str">
        <f aca="false">IF(A185="N/A"," ",IF(OR(Dayrun3=2,Dayrun3=3,Dayrun3=5,Dayrun3=6),IF(Scaler3=2,F185,(VLOOKUP(A185,ScaledPrice3,5))*(2-(VLOOKUP(A185,ScaledPrice3,3)))),0))</f>
        <v> </v>
      </c>
      <c r="H185" s="317" t="str">
        <f aca="false">IF($A185="N/A"," ",IF(OR(Dayrun3=2,Dayrun3=3,Dayrun3=10),VLOOKUP($A185,ScaledPrice3,9),0))</f>
        <v> </v>
      </c>
      <c r="I185" s="317" t="str">
        <f aca="false">IF(A185="N/A"," ",IF(OR(Dayrun3=3,Dayrun3=6,Dayrun3=9),(VLOOKUP(A185,ScaledPrice3,IF(Scaler3=2,7,8))),0))</f>
        <v> </v>
      </c>
      <c r="J185" s="317" t="str">
        <f aca="false">IF(A185="N/A"," ",IF(OR(Dayrun3=3,Dayrun3=6),IF(Scaler3=2,I185,(VLOOKUP(A185,ScaledPrice3,7))*(2-(VLOOKUP(A185,ScaledPrice3,3)))),0))</f>
        <v> </v>
      </c>
      <c r="K185" s="317" t="str">
        <f aca="false">IF($A185="N/A"," ",IF(OR(Dayrun3=3,Dayrun3=10),VLOOKUP($A185,ScaledPrice3,9),0))</f>
        <v> </v>
      </c>
      <c r="L185" s="318" t="str">
        <f aca="false">IF($A185="N/A"," ",IF(Pricetype3=2,MAX(C185,0),IF(OR(Pricetype3=1,Pricetype3=4),IF(C185=0,0,(EURO(C185,Strikeprice3,0,0,($AH185+IF(Smile=TRUE(),VLOOKUP(MAX(-5,Strikeprice3-C185),Volsmile,2),0)),($A185-DateToday)+15,IF(Pricetype3=1,1,0),0))),C185)))</f>
        <v> </v>
      </c>
      <c r="M185" s="318" t="str">
        <f aca="false">IF($A185="N/A"," ",IF(Pricetype3=2,MAX(D185,0),IF(OR(Pricetype3=1,Pricetype3=4),IF(D185=0,0,(EURO(D185,Strikeprice3,0,0,($AH185+IF(Smile=TRUE(),VLOOKUP(MAX(-5,Strikeprice3-D185),Volsmile,2),0)),($A185-DateToday)+15,IF(Pricetype3=1,1,0),0))),D185)))</f>
        <v> </v>
      </c>
      <c r="N185" s="318" t="str">
        <f aca="false">IF($A185="N/A"," ",IF(Pricetype3=2,MAX(E185,0),IF(OR(Pricetype3=1,Pricetype3=4),IF(E185=0,0,(EURO(E185,Strikeprice3,0,0,($AK185+IF(Smile=TRUE(),VLOOKUP(MAX(-5,Strikeprice3-E185),Volsmile,2),0)),($A185-DateToday)+15,IF(Pricetype3=1,1,0),0))),E185)))</f>
        <v> </v>
      </c>
      <c r="O185" s="318" t="str">
        <f aca="false">IF($A185="N/A"," ",IF(Pricetype3=2,MAX(F185,0),IF(OR(Pricetype3=1,Pricetype3=4),IF(F185=0,0,(EURO(F185,Strikeprice3,0,0,($AK185+IF(Smile=TRUE(),VLOOKUP(MAX(-5,Strikeprice3-F185),Volsmile,2),0)),($A185-DateToday)+15,IF(Pricetype3=1,1,0),0))),F185)))</f>
        <v> </v>
      </c>
      <c r="P185" s="318" t="str">
        <f aca="false">IF($A185="N/A"," ",IF(Pricetype3=2,MAX(G185,0),IF(OR(Pricetype3=1,Pricetype3=4),IF(G185=0,0,(EURO(G185,Strikeprice3,0,0,($AK185+IF(Smile=TRUE(),VLOOKUP(MAX(-5,Strikeprice3-G185),Volsmile,2),0)),($A185-DateToday)+15,IF(Pricetype3=1,1,0),0))),G185)))</f>
        <v> </v>
      </c>
      <c r="Q185" s="318" t="str">
        <f aca="false">IF($A185="N/A"," ",IF(Pricetype3=2,MAX(H185,0),IF(OR(Pricetype3=1,Pricetype3=4),IF(H185=0,0,(EURO(H185,Strikeprice3,0,0,($AK185+IF(Smile=TRUE(),VLOOKUP(MAX(-5,Strikeprice3-H185),Volsmile,2),0)),($A185-DateToday)+15,IF(Pricetype3=1,1,0),0))),H185)))</f>
        <v> </v>
      </c>
      <c r="R185" s="318" t="str">
        <f aca="false">IF($A185="N/A"," ",IF(Pricetype3=2,MAX(I185,0),IF(OR(Pricetype3=1,Pricetype3=4),IF(I185=0,0,(EURO(I185,Strikeprice3,0,0,($AK185+IF(Smile=TRUE(),VLOOKUP(MAX(-5,Strikeprice3-I185),Volsmile,2),0)),($A185-DateToday)+15,IF(Pricetype3=1,1,0),0))),I185)))</f>
        <v> </v>
      </c>
      <c r="S185" s="318" t="str">
        <f aca="false">IF($A185="N/A"," ",IF(Pricetype3=2,MAX(J185,0),IF(OR(Pricetype3=1,Pricetype3=4),IF(J185=0,0,(EURO(J185,Strikeprice3,0,0,($AK185+IF(Smile=TRUE(),VLOOKUP(MAX(-5,Strikeprice3-J185),Volsmile,2),0)),($A185-DateToday)+15,IF(Pricetype3=1,1,0),0))),J185)))</f>
        <v> </v>
      </c>
      <c r="T185" s="318" t="str">
        <f aca="false">IF($A185="N/A"," ",IF(Pricetype3=2,MAX(K185,0),IF(OR(Pricetype3=1,Pricetype3=4),IF(K185=0,0,(EURO(K185,Strikeprice3,0,0,($AK185+IF(Smile=TRUE(),VLOOKUP(MAX(-5,Strikeprice3-K185),Volsmile,2),0)),($A185-DateToday)+15,IF(Pricetype3=1,1,0),0))),K185)))</f>
        <v> </v>
      </c>
      <c r="U185" s="319" t="str">
        <f aca="false">IF($A185="N/A"," ",Volume3*$AM185)</f>
        <v> </v>
      </c>
      <c r="V185" s="320" t="str">
        <f aca="false">IF($A185="N/A"," ",$U185*(8*($BQ185))*L185)</f>
        <v> </v>
      </c>
      <c r="W185" s="320" t="str">
        <f aca="false">IF($A185="N/A"," ",$U185*(8*($BQ185))*M185)</f>
        <v> </v>
      </c>
      <c r="X185" s="320" t="str">
        <f aca="false">IF($A185="N/A"," ",$U185*(8*($BQ185))*N185)</f>
        <v> </v>
      </c>
      <c r="Y185" s="320" t="str">
        <f aca="false">IF($A185="N/A"," ",$U185*(8*($BR185))*O185)</f>
        <v> </v>
      </c>
      <c r="Z185" s="320" t="str">
        <f aca="false">IF($A185="N/A"," ",$U185*(8*($BR185))*P185)</f>
        <v> </v>
      </c>
      <c r="AA185" s="320" t="str">
        <f aca="false">IF($A185="N/A"," ",$U185*(8*($BR185))*Q185)</f>
        <v> </v>
      </c>
      <c r="AB185" s="320" t="str">
        <f aca="false">IF($A185="N/A"," ",$U185*(8*($BS185))*R185)</f>
        <v> </v>
      </c>
      <c r="AC185" s="320" t="str">
        <f aca="false">IF($A185="N/A"," ",$U185*(8*($BS185))*S185)</f>
        <v> </v>
      </c>
      <c r="AD185" s="320" t="str">
        <f aca="false">IF($A185="N/A"," ",$U185*(8*($BS185))*T185)</f>
        <v> </v>
      </c>
      <c r="AE185" s="320" t="str">
        <f aca="false">IF($A185="N/A"," ",SUM(V185:AD185))</f>
        <v> </v>
      </c>
      <c r="AF185" s="321" t="str">
        <f aca="false">IF(A185="N/A"," ",(VLOOKUP(A185,PowerVolTable,(IF(VolBMO3=2,7,IF(VolBMO3=1,6,8))),FALSE())))</f>
        <v> </v>
      </c>
      <c r="AG185" s="321" t="str">
        <f aca="false">IF(A185="N/A"," ",(VLOOKUP(A185,IntraPowerVol,(IF(VolBMO3=2,3,IF(VolBMO3=1,2,4))),FALSE())*VLOOKUP(MONTH($A185),Volscale,2)))</f>
        <v> </v>
      </c>
      <c r="AH185" s="321" t="str">
        <f aca="false">IF($A185="N/A"," ",IF(VolType3=1,AG185,AF185))</f>
        <v> </v>
      </c>
      <c r="AI185" s="321" t="str">
        <f aca="false">IF($A185="N/A"," ",(VLOOKUP($A185,OffPwrVolTable,(IF(VolBMO3=2,7,IF(VolBMO3=1,6,8))),FALSE())))</f>
        <v> </v>
      </c>
      <c r="AJ185" s="321" t="str">
        <f aca="false">IF($A185="N/A"," ",(VLOOKUP($A185,OffPwrVolTable,(IF(VolBMO3=2,3,IF(VolBMO3=1,2,4))),FALSE())*VLOOKUP(MONTH($A185),Volscale,2)))</f>
        <v> </v>
      </c>
      <c r="AK185" s="321" t="str">
        <f aca="false">IF($A185="N/A"," ",IF(VolType3=1,AJ185,AI185))</f>
        <v> </v>
      </c>
      <c r="AL185" s="321" t="str">
        <f aca="false">IF($A185="N/A"," ",IF(PV=1,0,'Pricing Inputs3'!R218))</f>
        <v> </v>
      </c>
      <c r="AM185" s="323" t="str">
        <f aca="false">IF($A185="N/A"," ",(1+AL185/2)^(-2*((EOMONTH(A185,0)+20)-DateToday)/365.25))</f>
        <v> </v>
      </c>
      <c r="BQ185" s="0" t="str">
        <f aca="false">IF($A185="N/A"," ",(VLOOKUP($A185,NumberofDaysTable,2)))</f>
        <v> </v>
      </c>
      <c r="BR185" s="0" t="str">
        <f aca="false">IF($A185="N/A"," ",(VLOOKUP($A185,NumberofDaysTable,3)))</f>
        <v> </v>
      </c>
      <c r="BS185" s="0" t="str">
        <f aca="false">IF($A185="N/A"," ",(VLOOKUP($A185,NumberofDaysTable,4)))</f>
        <v> </v>
      </c>
    </row>
    <row r="186" customFormat="false" ht="12.75" hidden="false" customHeight="false" outlineLevel="0" collapsed="false">
      <c r="A186" s="315" t="str">
        <f aca="false">IF(A185="N/A","N/A",IF(EDATE(A185,1)&gt;Inputs!$Q$5,"N/A",EDATE(A185,1)))</f>
        <v>N/A</v>
      </c>
      <c r="B186" s="316" t="str">
        <f aca="false">IF(A186="N/A"," ",YEAR(A186))</f>
        <v> </v>
      </c>
      <c r="C186" s="317" t="str">
        <f aca="false">IF($A186="N/A"," ",IF(Dayrun3=10,0,IF(Scaler3=1,(VLOOKUP(A186,ScaledPrice3,4)),(VLOOKUP(A186,ScaledPrice3,2)))))</f>
        <v> </v>
      </c>
      <c r="D186" s="317" t="str">
        <f aca="false">IF(A186="N/A"," ",IF(Dayrun3&gt;=7,0,IF(Scaler3=2,VLOOKUP(A186,ScaledPrice3,2),(VLOOKUP(A186,ScaledPrice3,2))*(2-(VLOOKUP(A186,ScaledPrice3,3))))))</f>
        <v> </v>
      </c>
      <c r="E186" s="317" t="str">
        <f aca="false">IF($A186="N/A"," ",IF(AND(Dayrun3&gt;=4,Dayrun3&lt;=9),0,VLOOKUP($A186,ScaledPrice3,9)))</f>
        <v> </v>
      </c>
      <c r="F186" s="317" t="str">
        <f aca="false">IF(A186="N/A"," ",IF(OR(Dayrun3=2,Dayrun3=3,Dayrun3=5,Dayrun3=6,Dayrun3=8,Dayrun3=9),VLOOKUP(A186,ScaledPrice3,IF(Scaler3=1,6,5)),0))</f>
        <v> </v>
      </c>
      <c r="G186" s="317" t="str">
        <f aca="false">IF(A186="N/A"," ",IF(OR(Dayrun3=2,Dayrun3=3,Dayrun3=5,Dayrun3=6),IF(Scaler3=2,F186,(VLOOKUP(A186,ScaledPrice3,5))*(2-(VLOOKUP(A186,ScaledPrice3,3)))),0))</f>
        <v> </v>
      </c>
      <c r="H186" s="317" t="str">
        <f aca="false">IF($A186="N/A"," ",IF(OR(Dayrun3=2,Dayrun3=3,Dayrun3=10),VLOOKUP($A186,ScaledPrice3,9),0))</f>
        <v> </v>
      </c>
      <c r="I186" s="317" t="str">
        <f aca="false">IF(A186="N/A"," ",IF(OR(Dayrun3=3,Dayrun3=6,Dayrun3=9),(VLOOKUP(A186,ScaledPrice3,IF(Scaler3=2,7,8))),0))</f>
        <v> </v>
      </c>
      <c r="J186" s="317" t="str">
        <f aca="false">IF(A186="N/A"," ",IF(OR(Dayrun3=3,Dayrun3=6),IF(Scaler3=2,I186,(VLOOKUP(A186,ScaledPrice3,7))*(2-(VLOOKUP(A186,ScaledPrice3,3)))),0))</f>
        <v> </v>
      </c>
      <c r="K186" s="317" t="str">
        <f aca="false">IF($A186="N/A"," ",IF(OR(Dayrun3=3,Dayrun3=10),VLOOKUP($A186,ScaledPrice3,9),0))</f>
        <v> </v>
      </c>
      <c r="L186" s="318" t="str">
        <f aca="false">IF($A186="N/A"," ",IF(Pricetype3=2,MAX(C186,0),IF(OR(Pricetype3=1,Pricetype3=4),IF(C186=0,0,(EURO(C186,Strikeprice3,0,0,($AH186+IF(Smile=TRUE(),VLOOKUP(MAX(-5,Strikeprice3-C186),Volsmile,2),0)),($A186-DateToday)+15,IF(Pricetype3=1,1,0),0))),C186)))</f>
        <v> </v>
      </c>
      <c r="M186" s="318" t="str">
        <f aca="false">IF($A186="N/A"," ",IF(Pricetype3=2,MAX(D186,0),IF(OR(Pricetype3=1,Pricetype3=4),IF(D186=0,0,(EURO(D186,Strikeprice3,0,0,($AH186+IF(Smile=TRUE(),VLOOKUP(MAX(-5,Strikeprice3-D186),Volsmile,2),0)),($A186-DateToday)+15,IF(Pricetype3=1,1,0),0))),D186)))</f>
        <v> </v>
      </c>
      <c r="N186" s="318" t="str">
        <f aca="false">IF($A186="N/A"," ",IF(Pricetype3=2,MAX(E186,0),IF(OR(Pricetype3=1,Pricetype3=4),IF(E186=0,0,(EURO(E186,Strikeprice3,0,0,($AK186+IF(Smile=TRUE(),VLOOKUP(MAX(-5,Strikeprice3-E186),Volsmile,2),0)),($A186-DateToday)+15,IF(Pricetype3=1,1,0),0))),E186)))</f>
        <v> </v>
      </c>
      <c r="O186" s="318" t="str">
        <f aca="false">IF($A186="N/A"," ",IF(Pricetype3=2,MAX(F186,0),IF(OR(Pricetype3=1,Pricetype3=4),IF(F186=0,0,(EURO(F186,Strikeprice3,0,0,($AK186+IF(Smile=TRUE(),VLOOKUP(MAX(-5,Strikeprice3-F186),Volsmile,2),0)),($A186-DateToday)+15,IF(Pricetype3=1,1,0),0))),F186)))</f>
        <v> </v>
      </c>
      <c r="P186" s="318" t="str">
        <f aca="false">IF($A186="N/A"," ",IF(Pricetype3=2,MAX(G186,0),IF(OR(Pricetype3=1,Pricetype3=4),IF(G186=0,0,(EURO(G186,Strikeprice3,0,0,($AK186+IF(Smile=TRUE(),VLOOKUP(MAX(-5,Strikeprice3-G186),Volsmile,2),0)),($A186-DateToday)+15,IF(Pricetype3=1,1,0),0))),G186)))</f>
        <v> </v>
      </c>
      <c r="Q186" s="318" t="str">
        <f aca="false">IF($A186="N/A"," ",IF(Pricetype3=2,MAX(H186,0),IF(OR(Pricetype3=1,Pricetype3=4),IF(H186=0,0,(EURO(H186,Strikeprice3,0,0,($AK186+IF(Smile=TRUE(),VLOOKUP(MAX(-5,Strikeprice3-H186),Volsmile,2),0)),($A186-DateToday)+15,IF(Pricetype3=1,1,0),0))),H186)))</f>
        <v> </v>
      </c>
      <c r="R186" s="318" t="str">
        <f aca="false">IF($A186="N/A"," ",IF(Pricetype3=2,MAX(I186,0),IF(OR(Pricetype3=1,Pricetype3=4),IF(I186=0,0,(EURO(I186,Strikeprice3,0,0,($AK186+IF(Smile=TRUE(),VLOOKUP(MAX(-5,Strikeprice3-I186),Volsmile,2),0)),($A186-DateToday)+15,IF(Pricetype3=1,1,0),0))),I186)))</f>
        <v> </v>
      </c>
      <c r="S186" s="318" t="str">
        <f aca="false">IF($A186="N/A"," ",IF(Pricetype3=2,MAX(J186,0),IF(OR(Pricetype3=1,Pricetype3=4),IF(J186=0,0,(EURO(J186,Strikeprice3,0,0,($AK186+IF(Smile=TRUE(),VLOOKUP(MAX(-5,Strikeprice3-J186),Volsmile,2),0)),($A186-DateToday)+15,IF(Pricetype3=1,1,0),0))),J186)))</f>
        <v> </v>
      </c>
      <c r="T186" s="318" t="str">
        <f aca="false">IF($A186="N/A"," ",IF(Pricetype3=2,MAX(K186,0),IF(OR(Pricetype3=1,Pricetype3=4),IF(K186=0,0,(EURO(K186,Strikeprice3,0,0,($AK186+IF(Smile=TRUE(),VLOOKUP(MAX(-5,Strikeprice3-K186),Volsmile,2),0)),($A186-DateToday)+15,IF(Pricetype3=1,1,0),0))),K186)))</f>
        <v> </v>
      </c>
      <c r="U186" s="319" t="str">
        <f aca="false">IF($A186="N/A"," ",Volume3*$AM186)</f>
        <v> </v>
      </c>
      <c r="V186" s="320" t="str">
        <f aca="false">IF($A186="N/A"," ",$U186*(8*($BQ186))*L186)</f>
        <v> </v>
      </c>
      <c r="W186" s="320" t="str">
        <f aca="false">IF($A186="N/A"," ",$U186*(8*($BQ186))*M186)</f>
        <v> </v>
      </c>
      <c r="X186" s="320" t="str">
        <f aca="false">IF($A186="N/A"," ",$U186*(8*($BQ186))*N186)</f>
        <v> </v>
      </c>
      <c r="Y186" s="320" t="str">
        <f aca="false">IF($A186="N/A"," ",$U186*(8*($BR186))*O186)</f>
        <v> </v>
      </c>
      <c r="Z186" s="320" t="str">
        <f aca="false">IF($A186="N/A"," ",$U186*(8*($BR186))*P186)</f>
        <v> </v>
      </c>
      <c r="AA186" s="320" t="str">
        <f aca="false">IF($A186="N/A"," ",$U186*(8*($BR186))*Q186)</f>
        <v> </v>
      </c>
      <c r="AB186" s="320" t="str">
        <f aca="false">IF($A186="N/A"," ",$U186*(8*($BS186))*R186)</f>
        <v> </v>
      </c>
      <c r="AC186" s="320" t="str">
        <f aca="false">IF($A186="N/A"," ",$U186*(8*($BS186))*S186)</f>
        <v> </v>
      </c>
      <c r="AD186" s="320" t="str">
        <f aca="false">IF($A186="N/A"," ",$U186*(8*($BS186))*T186)</f>
        <v> </v>
      </c>
      <c r="AE186" s="320" t="str">
        <f aca="false">IF($A186="N/A"," ",SUM(V186:AD186))</f>
        <v> </v>
      </c>
      <c r="AF186" s="321" t="str">
        <f aca="false">IF(A186="N/A"," ",(VLOOKUP(A186,PowerVolTable,(IF(VolBMO3=2,7,IF(VolBMO3=1,6,8))),FALSE())))</f>
        <v> </v>
      </c>
      <c r="AG186" s="321" t="str">
        <f aca="false">IF(A186="N/A"," ",(VLOOKUP(A186,IntraPowerVol,(IF(VolBMO3=2,3,IF(VolBMO3=1,2,4))),FALSE())*VLOOKUP(MONTH($A186),Volscale,2)))</f>
        <v> </v>
      </c>
      <c r="AH186" s="321" t="str">
        <f aca="false">IF($A186="N/A"," ",IF(VolType3=1,AG186,AF186))</f>
        <v> </v>
      </c>
      <c r="AI186" s="321" t="str">
        <f aca="false">IF($A186="N/A"," ",(VLOOKUP($A186,OffPwrVolTable,(IF(VolBMO3=2,7,IF(VolBMO3=1,6,8))),FALSE())))</f>
        <v> </v>
      </c>
      <c r="AJ186" s="321" t="str">
        <f aca="false">IF($A186="N/A"," ",(VLOOKUP($A186,OffPwrVolTable,(IF(VolBMO3=2,3,IF(VolBMO3=1,2,4))),FALSE())*VLOOKUP(MONTH($A186),Volscale,2)))</f>
        <v> </v>
      </c>
      <c r="AK186" s="321" t="str">
        <f aca="false">IF($A186="N/A"," ",IF(VolType3=1,AJ186,AI186))</f>
        <v> </v>
      </c>
      <c r="AL186" s="321" t="str">
        <f aca="false">IF($A186="N/A"," ",IF(PV=1,0,'Pricing Inputs3'!R219))</f>
        <v> </v>
      </c>
      <c r="AM186" s="323" t="str">
        <f aca="false">IF($A186="N/A"," ",(1+AL186/2)^(-2*((EOMONTH(A186,0)+20)-DateToday)/365.25))</f>
        <v> </v>
      </c>
      <c r="BQ186" s="0" t="str">
        <f aca="false">IF($A186="N/A"," ",(VLOOKUP($A186,NumberofDaysTable,2)))</f>
        <v> </v>
      </c>
      <c r="BR186" s="0" t="str">
        <f aca="false">IF($A186="N/A"," ",(VLOOKUP($A186,NumberofDaysTable,3)))</f>
        <v> </v>
      </c>
      <c r="BS186" s="0" t="str">
        <f aca="false">IF($A186="N/A"," ",(VLOOKUP($A186,NumberofDaysTable,4)))</f>
        <v> </v>
      </c>
    </row>
    <row r="187" customFormat="false" ht="12.75" hidden="false" customHeight="false" outlineLevel="0" collapsed="false">
      <c r="A187" s="315" t="str">
        <f aca="false">IF(A186="N/A","N/A",IF(EDATE(A186,1)&gt;Inputs!$Q$5,"N/A",EDATE(A186,1)))</f>
        <v>N/A</v>
      </c>
      <c r="B187" s="316" t="str">
        <f aca="false">IF(A187="N/A"," ",YEAR(A187))</f>
        <v> </v>
      </c>
      <c r="C187" s="317" t="str">
        <f aca="false">IF($A187="N/A"," ",IF(Dayrun3=10,0,IF(Scaler3=1,(VLOOKUP(A187,ScaledPrice3,4)),(VLOOKUP(A187,ScaledPrice3,2)))))</f>
        <v> </v>
      </c>
      <c r="D187" s="317" t="str">
        <f aca="false">IF(A187="N/A"," ",IF(Dayrun3&gt;=7,0,IF(Scaler3=2,VLOOKUP(A187,ScaledPrice3,2),(VLOOKUP(A187,ScaledPrice3,2))*(2-(VLOOKUP(A187,ScaledPrice3,3))))))</f>
        <v> </v>
      </c>
      <c r="E187" s="317" t="str">
        <f aca="false">IF($A187="N/A"," ",IF(AND(Dayrun3&gt;=4,Dayrun3&lt;=9),0,VLOOKUP($A187,ScaledPrice3,9)))</f>
        <v> </v>
      </c>
      <c r="F187" s="317" t="str">
        <f aca="false">IF(A187="N/A"," ",IF(OR(Dayrun3=2,Dayrun3=3,Dayrun3=5,Dayrun3=6,Dayrun3=8,Dayrun3=9),VLOOKUP(A187,ScaledPrice3,IF(Scaler3=1,6,5)),0))</f>
        <v> </v>
      </c>
      <c r="G187" s="317" t="str">
        <f aca="false">IF(A187="N/A"," ",IF(OR(Dayrun3=2,Dayrun3=3,Dayrun3=5,Dayrun3=6),IF(Scaler3=2,F187,(VLOOKUP(A187,ScaledPrice3,5))*(2-(VLOOKUP(A187,ScaledPrice3,3)))),0))</f>
        <v> </v>
      </c>
      <c r="H187" s="317" t="str">
        <f aca="false">IF($A187="N/A"," ",IF(OR(Dayrun3=2,Dayrun3=3,Dayrun3=10),VLOOKUP($A187,ScaledPrice3,9),0))</f>
        <v> </v>
      </c>
      <c r="I187" s="317" t="str">
        <f aca="false">IF(A187="N/A"," ",IF(OR(Dayrun3=3,Dayrun3=6,Dayrun3=9),(VLOOKUP(A187,ScaledPrice3,IF(Scaler3=2,7,8))),0))</f>
        <v> </v>
      </c>
      <c r="J187" s="317" t="str">
        <f aca="false">IF(A187="N/A"," ",IF(OR(Dayrun3=3,Dayrun3=6),IF(Scaler3=2,I187,(VLOOKUP(A187,ScaledPrice3,7))*(2-(VLOOKUP(A187,ScaledPrice3,3)))),0))</f>
        <v> </v>
      </c>
      <c r="K187" s="317" t="str">
        <f aca="false">IF($A187="N/A"," ",IF(OR(Dayrun3=3,Dayrun3=10),VLOOKUP($A187,ScaledPrice3,9),0))</f>
        <v> </v>
      </c>
      <c r="L187" s="318" t="str">
        <f aca="false">IF($A187="N/A"," ",IF(Pricetype3=2,MAX(C187,0),IF(OR(Pricetype3=1,Pricetype3=4),IF(C187=0,0,(EURO(C187,Strikeprice3,0,0,($AH187+IF(Smile=TRUE(),VLOOKUP(MAX(-5,Strikeprice3-C187),Volsmile,2),0)),($A187-DateToday)+15,IF(Pricetype3=1,1,0),0))),C187)))</f>
        <v> </v>
      </c>
      <c r="M187" s="318" t="str">
        <f aca="false">IF($A187="N/A"," ",IF(Pricetype3=2,MAX(D187,0),IF(OR(Pricetype3=1,Pricetype3=4),IF(D187=0,0,(EURO(D187,Strikeprice3,0,0,($AH187+IF(Smile=TRUE(),VLOOKUP(MAX(-5,Strikeprice3-D187),Volsmile,2),0)),($A187-DateToday)+15,IF(Pricetype3=1,1,0),0))),D187)))</f>
        <v> </v>
      </c>
      <c r="N187" s="318" t="str">
        <f aca="false">IF($A187="N/A"," ",IF(Pricetype3=2,MAX(E187,0),IF(OR(Pricetype3=1,Pricetype3=4),IF(E187=0,0,(EURO(E187,Strikeprice3,0,0,($AK187+IF(Smile=TRUE(),VLOOKUP(MAX(-5,Strikeprice3-E187),Volsmile,2),0)),($A187-DateToday)+15,IF(Pricetype3=1,1,0),0))),E187)))</f>
        <v> </v>
      </c>
      <c r="O187" s="318" t="str">
        <f aca="false">IF($A187="N/A"," ",IF(Pricetype3=2,MAX(F187,0),IF(OR(Pricetype3=1,Pricetype3=4),IF(F187=0,0,(EURO(F187,Strikeprice3,0,0,($AK187+IF(Smile=TRUE(),VLOOKUP(MAX(-5,Strikeprice3-F187),Volsmile,2),0)),($A187-DateToday)+15,IF(Pricetype3=1,1,0),0))),F187)))</f>
        <v> </v>
      </c>
      <c r="P187" s="318" t="str">
        <f aca="false">IF($A187="N/A"," ",IF(Pricetype3=2,MAX(G187,0),IF(OR(Pricetype3=1,Pricetype3=4),IF(G187=0,0,(EURO(G187,Strikeprice3,0,0,($AK187+IF(Smile=TRUE(),VLOOKUP(MAX(-5,Strikeprice3-G187),Volsmile,2),0)),($A187-DateToday)+15,IF(Pricetype3=1,1,0),0))),G187)))</f>
        <v> </v>
      </c>
      <c r="Q187" s="318" t="str">
        <f aca="false">IF($A187="N/A"," ",IF(Pricetype3=2,MAX(H187,0),IF(OR(Pricetype3=1,Pricetype3=4),IF(H187=0,0,(EURO(H187,Strikeprice3,0,0,($AK187+IF(Smile=TRUE(),VLOOKUP(MAX(-5,Strikeprice3-H187),Volsmile,2),0)),($A187-DateToday)+15,IF(Pricetype3=1,1,0),0))),H187)))</f>
        <v> </v>
      </c>
      <c r="R187" s="318" t="str">
        <f aca="false">IF($A187="N/A"," ",IF(Pricetype3=2,MAX(I187,0),IF(OR(Pricetype3=1,Pricetype3=4),IF(I187=0,0,(EURO(I187,Strikeprice3,0,0,($AK187+IF(Smile=TRUE(),VLOOKUP(MAX(-5,Strikeprice3-I187),Volsmile,2),0)),($A187-DateToday)+15,IF(Pricetype3=1,1,0),0))),I187)))</f>
        <v> </v>
      </c>
      <c r="S187" s="318" t="str">
        <f aca="false">IF($A187="N/A"," ",IF(Pricetype3=2,MAX(J187,0),IF(OR(Pricetype3=1,Pricetype3=4),IF(J187=0,0,(EURO(J187,Strikeprice3,0,0,($AK187+IF(Smile=TRUE(),VLOOKUP(MAX(-5,Strikeprice3-J187),Volsmile,2),0)),($A187-DateToday)+15,IF(Pricetype3=1,1,0),0))),J187)))</f>
        <v> </v>
      </c>
      <c r="T187" s="318" t="str">
        <f aca="false">IF($A187="N/A"," ",IF(Pricetype3=2,MAX(K187,0),IF(OR(Pricetype3=1,Pricetype3=4),IF(K187=0,0,(EURO(K187,Strikeprice3,0,0,($AK187+IF(Smile=TRUE(),VLOOKUP(MAX(-5,Strikeprice3-K187),Volsmile,2),0)),($A187-DateToday)+15,IF(Pricetype3=1,1,0),0))),K187)))</f>
        <v> </v>
      </c>
      <c r="U187" s="319" t="str">
        <f aca="false">IF($A187="N/A"," ",Volume3*$AM187)</f>
        <v> </v>
      </c>
      <c r="V187" s="320" t="str">
        <f aca="false">IF($A187="N/A"," ",$U187*(8*($BQ187))*L187)</f>
        <v> </v>
      </c>
      <c r="W187" s="320" t="str">
        <f aca="false">IF($A187="N/A"," ",$U187*(8*($BQ187))*M187)</f>
        <v> </v>
      </c>
      <c r="X187" s="320" t="str">
        <f aca="false">IF($A187="N/A"," ",$U187*(8*($BQ187))*N187)</f>
        <v> </v>
      </c>
      <c r="Y187" s="320" t="str">
        <f aca="false">IF($A187="N/A"," ",$U187*(8*($BR187))*O187)</f>
        <v> </v>
      </c>
      <c r="Z187" s="320" t="str">
        <f aca="false">IF($A187="N/A"," ",$U187*(8*($BR187))*P187)</f>
        <v> </v>
      </c>
      <c r="AA187" s="320" t="str">
        <f aca="false">IF($A187="N/A"," ",$U187*(8*($BR187))*Q187)</f>
        <v> </v>
      </c>
      <c r="AB187" s="320" t="str">
        <f aca="false">IF($A187="N/A"," ",$U187*(8*($BS187))*R187)</f>
        <v> </v>
      </c>
      <c r="AC187" s="320" t="str">
        <f aca="false">IF($A187="N/A"," ",$U187*(8*($BS187))*S187)</f>
        <v> </v>
      </c>
      <c r="AD187" s="320" t="str">
        <f aca="false">IF($A187="N/A"," ",$U187*(8*($BS187))*T187)</f>
        <v> </v>
      </c>
      <c r="AE187" s="320" t="str">
        <f aca="false">IF($A187="N/A"," ",SUM(V187:AD187))</f>
        <v> </v>
      </c>
      <c r="AF187" s="321" t="str">
        <f aca="false">IF(A187="N/A"," ",(VLOOKUP(A187,PowerVolTable,(IF(VolBMO3=2,7,IF(VolBMO3=1,6,8))),FALSE())))</f>
        <v> </v>
      </c>
      <c r="AG187" s="321" t="str">
        <f aca="false">IF(A187="N/A"," ",(VLOOKUP(A187,IntraPowerVol,(IF(VolBMO3=2,3,IF(VolBMO3=1,2,4))),FALSE())*VLOOKUP(MONTH($A187),Volscale,2)))</f>
        <v> </v>
      </c>
      <c r="AH187" s="321" t="str">
        <f aca="false">IF($A187="N/A"," ",IF(VolType3=1,AG187,AF187))</f>
        <v> </v>
      </c>
      <c r="AI187" s="321" t="str">
        <f aca="false">IF($A187="N/A"," ",(VLOOKUP($A187,OffPwrVolTable,(IF(VolBMO3=2,7,IF(VolBMO3=1,6,8))),FALSE())))</f>
        <v> </v>
      </c>
      <c r="AJ187" s="321" t="str">
        <f aca="false">IF($A187="N/A"," ",(VLOOKUP($A187,OffPwrVolTable,(IF(VolBMO3=2,3,IF(VolBMO3=1,2,4))),FALSE())*VLOOKUP(MONTH($A187),Volscale,2)))</f>
        <v> </v>
      </c>
      <c r="AK187" s="321" t="str">
        <f aca="false">IF($A187="N/A"," ",IF(VolType3=1,AJ187,AI187))</f>
        <v> </v>
      </c>
      <c r="AL187" s="321" t="str">
        <f aca="false">IF($A187="N/A"," ",IF(PV=1,0,'Pricing Inputs3'!R220))</f>
        <v> </v>
      </c>
      <c r="AM187" s="323" t="str">
        <f aca="false">IF($A187="N/A"," ",(1+AL187/2)^(-2*((EOMONTH(A187,0)+20)-DateToday)/365.25))</f>
        <v> </v>
      </c>
      <c r="BQ187" s="0" t="str">
        <f aca="false">IF($A187="N/A"," ",(VLOOKUP($A187,NumberofDaysTable,2)))</f>
        <v> </v>
      </c>
      <c r="BR187" s="0" t="str">
        <f aca="false">IF($A187="N/A"," ",(VLOOKUP($A187,NumberofDaysTable,3)))</f>
        <v> </v>
      </c>
      <c r="BS187" s="0" t="str">
        <f aca="false">IF($A187="N/A"," ",(VLOOKUP($A187,NumberofDaysTable,4)))</f>
        <v> </v>
      </c>
    </row>
    <row r="188" customFormat="false" ht="12.75" hidden="false" customHeight="false" outlineLevel="0" collapsed="false">
      <c r="A188" s="315" t="str">
        <f aca="false">IF(A187="N/A","N/A",IF(EDATE(A187,1)&gt;Inputs!$Q$5,"N/A",EDATE(A187,1)))</f>
        <v>N/A</v>
      </c>
      <c r="B188" s="316" t="str">
        <f aca="false">IF(A188="N/A"," ",YEAR(A188))</f>
        <v> </v>
      </c>
      <c r="C188" s="317" t="str">
        <f aca="false">IF($A188="N/A"," ",IF(Dayrun3=10,0,IF(Scaler3=1,(VLOOKUP(A188,ScaledPrice3,4)),(VLOOKUP(A188,ScaledPrice3,2)))))</f>
        <v> </v>
      </c>
      <c r="D188" s="317" t="str">
        <f aca="false">IF(A188="N/A"," ",IF(Dayrun3&gt;=7,0,IF(Scaler3=2,VLOOKUP(A188,ScaledPrice3,2),(VLOOKUP(A188,ScaledPrice3,2))*(2-(VLOOKUP(A188,ScaledPrice3,3))))))</f>
        <v> </v>
      </c>
      <c r="E188" s="317" t="str">
        <f aca="false">IF($A188="N/A"," ",IF(AND(Dayrun3&gt;=4,Dayrun3&lt;=9),0,VLOOKUP($A188,ScaledPrice3,9)))</f>
        <v> </v>
      </c>
      <c r="F188" s="317" t="str">
        <f aca="false">IF(A188="N/A"," ",IF(OR(Dayrun3=2,Dayrun3=3,Dayrun3=5,Dayrun3=6,Dayrun3=8,Dayrun3=9),VLOOKUP(A188,ScaledPrice3,IF(Scaler3=1,6,5)),0))</f>
        <v> </v>
      </c>
      <c r="G188" s="317" t="str">
        <f aca="false">IF(A188="N/A"," ",IF(OR(Dayrun3=2,Dayrun3=3,Dayrun3=5,Dayrun3=6),IF(Scaler3=2,F188,(VLOOKUP(A188,ScaledPrice3,5))*(2-(VLOOKUP(A188,ScaledPrice3,3)))),0))</f>
        <v> </v>
      </c>
      <c r="H188" s="317" t="str">
        <f aca="false">IF($A188="N/A"," ",IF(OR(Dayrun3=2,Dayrun3=3,Dayrun3=10),VLOOKUP($A188,ScaledPrice3,9),0))</f>
        <v> </v>
      </c>
      <c r="I188" s="317" t="str">
        <f aca="false">IF(A188="N/A"," ",IF(OR(Dayrun3=3,Dayrun3=6,Dayrun3=9),(VLOOKUP(A188,ScaledPrice3,IF(Scaler3=2,7,8))),0))</f>
        <v> </v>
      </c>
      <c r="J188" s="317" t="str">
        <f aca="false">IF(A188="N/A"," ",IF(OR(Dayrun3=3,Dayrun3=6),IF(Scaler3=2,I188,(VLOOKUP(A188,ScaledPrice3,7))*(2-(VLOOKUP(A188,ScaledPrice3,3)))),0))</f>
        <v> </v>
      </c>
      <c r="K188" s="317" t="str">
        <f aca="false">IF($A188="N/A"," ",IF(OR(Dayrun3=3,Dayrun3=10),VLOOKUP($A188,ScaledPrice3,9),0))</f>
        <v> </v>
      </c>
      <c r="L188" s="318" t="str">
        <f aca="false">IF($A188="N/A"," ",IF(Pricetype3=2,MAX(C188,0),IF(OR(Pricetype3=1,Pricetype3=4),IF(C188=0,0,(EURO(C188,Strikeprice3,0,0,($AH188+IF(Smile=TRUE(),VLOOKUP(MAX(-5,Strikeprice3-C188),Volsmile,2),0)),($A188-DateToday)+15,IF(Pricetype3=1,1,0),0))),C188)))</f>
        <v> </v>
      </c>
      <c r="M188" s="318" t="str">
        <f aca="false">IF($A188="N/A"," ",IF(Pricetype3=2,MAX(D188,0),IF(OR(Pricetype3=1,Pricetype3=4),IF(D188=0,0,(EURO(D188,Strikeprice3,0,0,($AH188+IF(Smile=TRUE(),VLOOKUP(MAX(-5,Strikeprice3-D188),Volsmile,2),0)),($A188-DateToday)+15,IF(Pricetype3=1,1,0),0))),D188)))</f>
        <v> </v>
      </c>
      <c r="N188" s="318" t="str">
        <f aca="false">IF($A188="N/A"," ",IF(Pricetype3=2,MAX(E188,0),IF(OR(Pricetype3=1,Pricetype3=4),IF(E188=0,0,(EURO(E188,Strikeprice3,0,0,($AK188+IF(Smile=TRUE(),VLOOKUP(MAX(-5,Strikeprice3-E188),Volsmile,2),0)),($A188-DateToday)+15,IF(Pricetype3=1,1,0),0))),E188)))</f>
        <v> </v>
      </c>
      <c r="O188" s="318" t="str">
        <f aca="false">IF($A188="N/A"," ",IF(Pricetype3=2,MAX(F188,0),IF(OR(Pricetype3=1,Pricetype3=4),IF(F188=0,0,(EURO(F188,Strikeprice3,0,0,($AK188+IF(Smile=TRUE(),VLOOKUP(MAX(-5,Strikeprice3-F188),Volsmile,2),0)),($A188-DateToday)+15,IF(Pricetype3=1,1,0),0))),F188)))</f>
        <v> </v>
      </c>
      <c r="P188" s="318" t="str">
        <f aca="false">IF($A188="N/A"," ",IF(Pricetype3=2,MAX(G188,0),IF(OR(Pricetype3=1,Pricetype3=4),IF(G188=0,0,(EURO(G188,Strikeprice3,0,0,($AK188+IF(Smile=TRUE(),VLOOKUP(MAX(-5,Strikeprice3-G188),Volsmile,2),0)),($A188-DateToday)+15,IF(Pricetype3=1,1,0),0))),G188)))</f>
        <v> </v>
      </c>
      <c r="Q188" s="318" t="str">
        <f aca="false">IF($A188="N/A"," ",IF(Pricetype3=2,MAX(H188,0),IF(OR(Pricetype3=1,Pricetype3=4),IF(H188=0,0,(EURO(H188,Strikeprice3,0,0,($AK188+IF(Smile=TRUE(),VLOOKUP(MAX(-5,Strikeprice3-H188),Volsmile,2),0)),($A188-DateToday)+15,IF(Pricetype3=1,1,0),0))),H188)))</f>
        <v> </v>
      </c>
      <c r="R188" s="318" t="str">
        <f aca="false">IF($A188="N/A"," ",IF(Pricetype3=2,MAX(I188,0),IF(OR(Pricetype3=1,Pricetype3=4),IF(I188=0,0,(EURO(I188,Strikeprice3,0,0,($AK188+IF(Smile=TRUE(),VLOOKUP(MAX(-5,Strikeprice3-I188),Volsmile,2),0)),($A188-DateToday)+15,IF(Pricetype3=1,1,0),0))),I188)))</f>
        <v> </v>
      </c>
      <c r="S188" s="318" t="str">
        <f aca="false">IF($A188="N/A"," ",IF(Pricetype3=2,MAX(J188,0),IF(OR(Pricetype3=1,Pricetype3=4),IF(J188=0,0,(EURO(J188,Strikeprice3,0,0,($AK188+IF(Smile=TRUE(),VLOOKUP(MAX(-5,Strikeprice3-J188),Volsmile,2),0)),($A188-DateToday)+15,IF(Pricetype3=1,1,0),0))),J188)))</f>
        <v> </v>
      </c>
      <c r="T188" s="318" t="str">
        <f aca="false">IF($A188="N/A"," ",IF(Pricetype3=2,MAX(K188,0),IF(OR(Pricetype3=1,Pricetype3=4),IF(K188=0,0,(EURO(K188,Strikeprice3,0,0,($AK188+IF(Smile=TRUE(),VLOOKUP(MAX(-5,Strikeprice3-K188),Volsmile,2),0)),($A188-DateToday)+15,IF(Pricetype3=1,1,0),0))),K188)))</f>
        <v> </v>
      </c>
      <c r="U188" s="319" t="str">
        <f aca="false">IF($A188="N/A"," ",Volume3*$AM188)</f>
        <v> </v>
      </c>
      <c r="V188" s="320" t="str">
        <f aca="false">IF($A188="N/A"," ",$U188*(8*($BQ188))*L188)</f>
        <v> </v>
      </c>
      <c r="W188" s="320" t="str">
        <f aca="false">IF($A188="N/A"," ",$U188*(8*($BQ188))*M188)</f>
        <v> </v>
      </c>
      <c r="X188" s="320" t="str">
        <f aca="false">IF($A188="N/A"," ",$U188*(8*($BQ188))*N188)</f>
        <v> </v>
      </c>
      <c r="Y188" s="320" t="str">
        <f aca="false">IF($A188="N/A"," ",$U188*(8*($BR188))*O188)</f>
        <v> </v>
      </c>
      <c r="Z188" s="320" t="str">
        <f aca="false">IF($A188="N/A"," ",$U188*(8*($BR188))*P188)</f>
        <v> </v>
      </c>
      <c r="AA188" s="320" t="str">
        <f aca="false">IF($A188="N/A"," ",$U188*(8*($BR188))*Q188)</f>
        <v> </v>
      </c>
      <c r="AB188" s="320" t="str">
        <f aca="false">IF($A188="N/A"," ",$U188*(8*($BS188))*R188)</f>
        <v> </v>
      </c>
      <c r="AC188" s="320" t="str">
        <f aca="false">IF($A188="N/A"," ",$U188*(8*($BS188))*S188)</f>
        <v> </v>
      </c>
      <c r="AD188" s="320" t="str">
        <f aca="false">IF($A188="N/A"," ",$U188*(8*($BS188))*T188)</f>
        <v> </v>
      </c>
      <c r="AE188" s="320" t="str">
        <f aca="false">IF($A188="N/A"," ",SUM(V188:AD188))</f>
        <v> </v>
      </c>
      <c r="AF188" s="321" t="str">
        <f aca="false">IF(A188="N/A"," ",(VLOOKUP(A188,PowerVolTable,(IF(VolBMO3=2,7,IF(VolBMO3=1,6,8))),FALSE())))</f>
        <v> </v>
      </c>
      <c r="AG188" s="321" t="str">
        <f aca="false">IF(A188="N/A"," ",(VLOOKUP(A188,IntraPowerVol,(IF(VolBMO3=2,3,IF(VolBMO3=1,2,4))),FALSE())*VLOOKUP(MONTH($A188),Volscale,2)))</f>
        <v> </v>
      </c>
      <c r="AH188" s="321" t="str">
        <f aca="false">IF($A188="N/A"," ",IF(VolType3=1,AG188,AF188))</f>
        <v> </v>
      </c>
      <c r="AI188" s="321" t="str">
        <f aca="false">IF($A188="N/A"," ",(VLOOKUP($A188,OffPwrVolTable,(IF(VolBMO3=2,7,IF(VolBMO3=1,6,8))),FALSE())))</f>
        <v> </v>
      </c>
      <c r="AJ188" s="321" t="str">
        <f aca="false">IF($A188="N/A"," ",(VLOOKUP($A188,OffPwrVolTable,(IF(VolBMO3=2,3,IF(VolBMO3=1,2,4))),FALSE())*VLOOKUP(MONTH($A188),Volscale,2)))</f>
        <v> </v>
      </c>
      <c r="AK188" s="321" t="str">
        <f aca="false">IF($A188="N/A"," ",IF(VolType3=1,AJ188,AI188))</f>
        <v> </v>
      </c>
      <c r="AL188" s="321" t="str">
        <f aca="false">IF($A188="N/A"," ",IF(PV=1,0,'Pricing Inputs3'!R221))</f>
        <v> </v>
      </c>
      <c r="AM188" s="323" t="str">
        <f aca="false">IF($A188="N/A"," ",(1+AL188/2)^(-2*((EOMONTH(A188,0)+20)-DateToday)/365.25))</f>
        <v> </v>
      </c>
      <c r="BQ188" s="0" t="str">
        <f aca="false">IF($A188="N/A"," ",(VLOOKUP($A188,NumberofDaysTable,2)))</f>
        <v> </v>
      </c>
      <c r="BR188" s="0" t="str">
        <f aca="false">IF($A188="N/A"," ",(VLOOKUP($A188,NumberofDaysTable,3)))</f>
        <v> </v>
      </c>
      <c r="BS188" s="0" t="str">
        <f aca="false">IF($A188="N/A"," ",(VLOOKUP($A188,NumberofDaysTable,4)))</f>
        <v> </v>
      </c>
    </row>
    <row r="189" customFormat="false" ht="12.75" hidden="false" customHeight="false" outlineLevel="0" collapsed="false">
      <c r="A189" s="315" t="str">
        <f aca="false">IF(A188="N/A","N/A",IF(EDATE(A188,1)&gt;Inputs!$Q$5,"N/A",EDATE(A188,1)))</f>
        <v>N/A</v>
      </c>
      <c r="B189" s="316" t="str">
        <f aca="false">IF(A189="N/A"," ",YEAR(A189))</f>
        <v> </v>
      </c>
      <c r="C189" s="317" t="str">
        <f aca="false">IF($A189="N/A"," ",IF(Dayrun3=10,0,IF(Scaler3=1,(VLOOKUP(A189,ScaledPrice3,4)),(VLOOKUP(A189,ScaledPrice3,2)))))</f>
        <v> </v>
      </c>
      <c r="D189" s="317" t="str">
        <f aca="false">IF(A189="N/A"," ",IF(Dayrun3&gt;=7,0,IF(Scaler3=2,VLOOKUP(A189,ScaledPrice3,2),(VLOOKUP(A189,ScaledPrice3,2))*(2-(VLOOKUP(A189,ScaledPrice3,3))))))</f>
        <v> </v>
      </c>
      <c r="E189" s="317" t="str">
        <f aca="false">IF($A189="N/A"," ",IF(AND(Dayrun3&gt;=4,Dayrun3&lt;=9),0,VLOOKUP($A189,ScaledPrice3,9)))</f>
        <v> </v>
      </c>
      <c r="F189" s="317" t="str">
        <f aca="false">IF(A189="N/A"," ",IF(OR(Dayrun3=2,Dayrun3=3,Dayrun3=5,Dayrun3=6,Dayrun3=8,Dayrun3=9),VLOOKUP(A189,ScaledPrice3,IF(Scaler3=1,6,5)),0))</f>
        <v> </v>
      </c>
      <c r="G189" s="317" t="str">
        <f aca="false">IF(A189="N/A"," ",IF(OR(Dayrun3=2,Dayrun3=3,Dayrun3=5,Dayrun3=6),IF(Scaler3=2,F189,(VLOOKUP(A189,ScaledPrice3,5))*(2-(VLOOKUP(A189,ScaledPrice3,3)))),0))</f>
        <v> </v>
      </c>
      <c r="H189" s="317" t="str">
        <f aca="false">IF($A189="N/A"," ",IF(OR(Dayrun3=2,Dayrun3=3,Dayrun3=10),VLOOKUP($A189,ScaledPrice3,9),0))</f>
        <v> </v>
      </c>
      <c r="I189" s="317" t="str">
        <f aca="false">IF(A189="N/A"," ",IF(OR(Dayrun3=3,Dayrun3=6,Dayrun3=9),(VLOOKUP(A189,ScaledPrice3,IF(Scaler3=2,7,8))),0))</f>
        <v> </v>
      </c>
      <c r="J189" s="317" t="str">
        <f aca="false">IF(A189="N/A"," ",IF(OR(Dayrun3=3,Dayrun3=6),IF(Scaler3=2,I189,(VLOOKUP(A189,ScaledPrice3,7))*(2-(VLOOKUP(A189,ScaledPrice3,3)))),0))</f>
        <v> </v>
      </c>
      <c r="K189" s="317" t="str">
        <f aca="false">IF($A189="N/A"," ",IF(OR(Dayrun3=3,Dayrun3=10),VLOOKUP($A189,ScaledPrice3,9),0))</f>
        <v> </v>
      </c>
      <c r="L189" s="318" t="str">
        <f aca="false">IF($A189="N/A"," ",IF(Pricetype3=2,MAX(C189,0),IF(OR(Pricetype3=1,Pricetype3=4),IF(C189=0,0,(EURO(C189,Strikeprice3,0,0,($AH189+IF(Smile=TRUE(),VLOOKUP(MAX(-5,Strikeprice3-C189),Volsmile,2),0)),($A189-DateToday)+15,IF(Pricetype3=1,1,0),0))),C189)))</f>
        <v> </v>
      </c>
      <c r="M189" s="318" t="str">
        <f aca="false">IF($A189="N/A"," ",IF(Pricetype3=2,MAX(D189,0),IF(OR(Pricetype3=1,Pricetype3=4),IF(D189=0,0,(EURO(D189,Strikeprice3,0,0,($AH189+IF(Smile=TRUE(),VLOOKUP(MAX(-5,Strikeprice3-D189),Volsmile,2),0)),($A189-DateToday)+15,IF(Pricetype3=1,1,0),0))),D189)))</f>
        <v> </v>
      </c>
      <c r="N189" s="318" t="str">
        <f aca="false">IF($A189="N/A"," ",IF(Pricetype3=2,MAX(E189,0),IF(OR(Pricetype3=1,Pricetype3=4),IF(E189=0,0,(EURO(E189,Strikeprice3,0,0,($AK189+IF(Smile=TRUE(),VLOOKUP(MAX(-5,Strikeprice3-E189),Volsmile,2),0)),($A189-DateToday)+15,IF(Pricetype3=1,1,0),0))),E189)))</f>
        <v> </v>
      </c>
      <c r="O189" s="318" t="str">
        <f aca="false">IF($A189="N/A"," ",IF(Pricetype3=2,MAX(F189,0),IF(OR(Pricetype3=1,Pricetype3=4),IF(F189=0,0,(EURO(F189,Strikeprice3,0,0,($AK189+IF(Smile=TRUE(),VLOOKUP(MAX(-5,Strikeprice3-F189),Volsmile,2),0)),($A189-DateToday)+15,IF(Pricetype3=1,1,0),0))),F189)))</f>
        <v> </v>
      </c>
      <c r="P189" s="318" t="str">
        <f aca="false">IF($A189="N/A"," ",IF(Pricetype3=2,MAX(G189,0),IF(OR(Pricetype3=1,Pricetype3=4),IF(G189=0,0,(EURO(G189,Strikeprice3,0,0,($AK189+IF(Smile=TRUE(),VLOOKUP(MAX(-5,Strikeprice3-G189),Volsmile,2),0)),($A189-DateToday)+15,IF(Pricetype3=1,1,0),0))),G189)))</f>
        <v> </v>
      </c>
      <c r="Q189" s="318" t="str">
        <f aca="false">IF($A189="N/A"," ",IF(Pricetype3=2,MAX(H189,0),IF(OR(Pricetype3=1,Pricetype3=4),IF(H189=0,0,(EURO(H189,Strikeprice3,0,0,($AK189+IF(Smile=TRUE(),VLOOKUP(MAX(-5,Strikeprice3-H189),Volsmile,2),0)),($A189-DateToday)+15,IF(Pricetype3=1,1,0),0))),H189)))</f>
        <v> </v>
      </c>
      <c r="R189" s="318" t="str">
        <f aca="false">IF($A189="N/A"," ",IF(Pricetype3=2,MAX(I189,0),IF(OR(Pricetype3=1,Pricetype3=4),IF(I189=0,0,(EURO(I189,Strikeprice3,0,0,($AK189+IF(Smile=TRUE(),VLOOKUP(MAX(-5,Strikeprice3-I189),Volsmile,2),0)),($A189-DateToday)+15,IF(Pricetype3=1,1,0),0))),I189)))</f>
        <v> </v>
      </c>
      <c r="S189" s="318" t="str">
        <f aca="false">IF($A189="N/A"," ",IF(Pricetype3=2,MAX(J189,0),IF(OR(Pricetype3=1,Pricetype3=4),IF(J189=0,0,(EURO(J189,Strikeprice3,0,0,($AK189+IF(Smile=TRUE(),VLOOKUP(MAX(-5,Strikeprice3-J189),Volsmile,2),0)),($A189-DateToday)+15,IF(Pricetype3=1,1,0),0))),J189)))</f>
        <v> </v>
      </c>
      <c r="T189" s="318" t="str">
        <f aca="false">IF($A189="N/A"," ",IF(Pricetype3=2,MAX(K189,0),IF(OR(Pricetype3=1,Pricetype3=4),IF(K189=0,0,(EURO(K189,Strikeprice3,0,0,($AK189+IF(Smile=TRUE(),VLOOKUP(MAX(-5,Strikeprice3-K189),Volsmile,2),0)),($A189-DateToday)+15,IF(Pricetype3=1,1,0),0))),K189)))</f>
        <v> </v>
      </c>
      <c r="U189" s="319" t="str">
        <f aca="false">IF($A189="N/A"," ",Volume3*$AM189)</f>
        <v> </v>
      </c>
      <c r="V189" s="320" t="str">
        <f aca="false">IF($A189="N/A"," ",$U189*(8*($BQ189))*L189)</f>
        <v> </v>
      </c>
      <c r="W189" s="320" t="str">
        <f aca="false">IF($A189="N/A"," ",$U189*(8*($BQ189))*M189)</f>
        <v> </v>
      </c>
      <c r="X189" s="320" t="str">
        <f aca="false">IF($A189="N/A"," ",$U189*(8*($BQ189))*N189)</f>
        <v> </v>
      </c>
      <c r="Y189" s="320" t="str">
        <f aca="false">IF($A189="N/A"," ",$U189*(8*($BR189))*O189)</f>
        <v> </v>
      </c>
      <c r="Z189" s="320" t="str">
        <f aca="false">IF($A189="N/A"," ",$U189*(8*($BR189))*P189)</f>
        <v> </v>
      </c>
      <c r="AA189" s="320" t="str">
        <f aca="false">IF($A189="N/A"," ",$U189*(8*($BR189))*Q189)</f>
        <v> </v>
      </c>
      <c r="AB189" s="320" t="str">
        <f aca="false">IF($A189="N/A"," ",$U189*(8*($BS189))*R189)</f>
        <v> </v>
      </c>
      <c r="AC189" s="320" t="str">
        <f aca="false">IF($A189="N/A"," ",$U189*(8*($BS189))*S189)</f>
        <v> </v>
      </c>
      <c r="AD189" s="320" t="str">
        <f aca="false">IF($A189="N/A"," ",$U189*(8*($BS189))*T189)</f>
        <v> </v>
      </c>
      <c r="AE189" s="320" t="str">
        <f aca="false">IF($A189="N/A"," ",SUM(V189:AD189))</f>
        <v> </v>
      </c>
      <c r="AF189" s="321" t="str">
        <f aca="false">IF(A189="N/A"," ",(VLOOKUP(A189,PowerVolTable,(IF(VolBMO3=2,7,IF(VolBMO3=1,6,8))),FALSE())))</f>
        <v> </v>
      </c>
      <c r="AG189" s="321" t="str">
        <f aca="false">IF(A189="N/A"," ",(VLOOKUP(A189,IntraPowerVol,(IF(VolBMO3=2,3,IF(VolBMO3=1,2,4))),FALSE())*VLOOKUP(MONTH($A189),Volscale,2)))</f>
        <v> </v>
      </c>
      <c r="AH189" s="321" t="str">
        <f aca="false">IF($A189="N/A"," ",IF(VolType3=1,AG189,AF189))</f>
        <v> </v>
      </c>
      <c r="AI189" s="321" t="str">
        <f aca="false">IF($A189="N/A"," ",(VLOOKUP($A189,OffPwrVolTable,(IF(VolBMO3=2,7,IF(VolBMO3=1,6,8))),FALSE())))</f>
        <v> </v>
      </c>
      <c r="AJ189" s="321" t="str">
        <f aca="false">IF($A189="N/A"," ",(VLOOKUP($A189,OffPwrVolTable,(IF(VolBMO3=2,3,IF(VolBMO3=1,2,4))),FALSE())*VLOOKUP(MONTH($A189),Volscale,2)))</f>
        <v> </v>
      </c>
      <c r="AK189" s="321" t="str">
        <f aca="false">IF($A189="N/A"," ",IF(VolType3=1,AJ189,AI189))</f>
        <v> </v>
      </c>
      <c r="AL189" s="321" t="str">
        <f aca="false">IF($A189="N/A"," ",IF(PV=1,0,'Pricing Inputs3'!R222))</f>
        <v> </v>
      </c>
      <c r="AM189" s="323" t="str">
        <f aca="false">IF($A189="N/A"," ",(1+AL189/2)^(-2*((EOMONTH(A189,0)+20)-DateToday)/365.25))</f>
        <v> </v>
      </c>
      <c r="BQ189" s="0" t="str">
        <f aca="false">IF($A189="N/A"," ",(VLOOKUP($A189,NumberofDaysTable,2)))</f>
        <v> </v>
      </c>
      <c r="BR189" s="0" t="str">
        <f aca="false">IF($A189="N/A"," ",(VLOOKUP($A189,NumberofDaysTable,3)))</f>
        <v> </v>
      </c>
      <c r="BS189" s="0" t="str">
        <f aca="false">IF($A189="N/A"," ",(VLOOKUP($A189,NumberofDaysTable,4)))</f>
        <v> </v>
      </c>
    </row>
    <row r="190" customFormat="false" ht="12.75" hidden="false" customHeight="false" outlineLevel="0" collapsed="false">
      <c r="A190" s="315" t="str">
        <f aca="false">IF(A189="N/A","N/A",IF(EDATE(A189,1)&gt;Inputs!$Q$5,"N/A",EDATE(A189,1)))</f>
        <v>N/A</v>
      </c>
      <c r="B190" s="316" t="str">
        <f aca="false">IF(A190="N/A"," ",YEAR(A190))</f>
        <v> </v>
      </c>
      <c r="C190" s="317" t="str">
        <f aca="false">IF($A190="N/A"," ",IF(Dayrun3=10,0,IF(Scaler3=1,(VLOOKUP(A190,ScaledPrice3,4)),(VLOOKUP(A190,ScaledPrice3,2)))))</f>
        <v> </v>
      </c>
      <c r="D190" s="317" t="str">
        <f aca="false">IF(A190="N/A"," ",IF(Dayrun3&gt;=7,0,IF(Scaler3=2,VLOOKUP(A190,ScaledPrice3,2),(VLOOKUP(A190,ScaledPrice3,2))*(2-(VLOOKUP(A190,ScaledPrice3,3))))))</f>
        <v> </v>
      </c>
      <c r="E190" s="317" t="str">
        <f aca="false">IF($A190="N/A"," ",IF(AND(Dayrun3&gt;=4,Dayrun3&lt;=9),0,VLOOKUP($A190,ScaledPrice3,9)))</f>
        <v> </v>
      </c>
      <c r="F190" s="317" t="str">
        <f aca="false">IF(A190="N/A"," ",IF(OR(Dayrun3=2,Dayrun3=3,Dayrun3=5,Dayrun3=6,Dayrun3=8,Dayrun3=9),VLOOKUP(A190,ScaledPrice3,IF(Scaler3=1,6,5)),0))</f>
        <v> </v>
      </c>
      <c r="G190" s="317" t="str">
        <f aca="false">IF(A190="N/A"," ",IF(OR(Dayrun3=2,Dayrun3=3,Dayrun3=5,Dayrun3=6),IF(Scaler3=2,F190,(VLOOKUP(A190,ScaledPrice3,5))*(2-(VLOOKUP(A190,ScaledPrice3,3)))),0))</f>
        <v> </v>
      </c>
      <c r="H190" s="317" t="str">
        <f aca="false">IF($A190="N/A"," ",IF(OR(Dayrun3=2,Dayrun3=3,Dayrun3=10),VLOOKUP($A190,ScaledPrice3,9),0))</f>
        <v> </v>
      </c>
      <c r="I190" s="317" t="str">
        <f aca="false">IF(A190="N/A"," ",IF(OR(Dayrun3=3,Dayrun3=6,Dayrun3=9),(VLOOKUP(A190,ScaledPrice3,IF(Scaler3=2,7,8))),0))</f>
        <v> </v>
      </c>
      <c r="J190" s="317" t="str">
        <f aca="false">IF(A190="N/A"," ",IF(OR(Dayrun3=3,Dayrun3=6),IF(Scaler3=2,I190,(VLOOKUP(A190,ScaledPrice3,7))*(2-(VLOOKUP(A190,ScaledPrice3,3)))),0))</f>
        <v> </v>
      </c>
      <c r="K190" s="317" t="str">
        <f aca="false">IF($A190="N/A"," ",IF(OR(Dayrun3=3,Dayrun3=10),VLOOKUP($A190,ScaledPrice3,9),0))</f>
        <v> </v>
      </c>
      <c r="L190" s="318" t="str">
        <f aca="false">IF($A190="N/A"," ",IF(Pricetype3=2,MAX(C190,0),IF(OR(Pricetype3=1,Pricetype3=4),IF(C190=0,0,(EURO(C190,Strikeprice3,0,0,($AH190+IF(Smile=TRUE(),VLOOKUP(MAX(-5,Strikeprice3-C190),Volsmile,2),0)),($A190-DateToday)+15,IF(Pricetype3=1,1,0),0))),C190)))</f>
        <v> </v>
      </c>
      <c r="M190" s="318" t="str">
        <f aca="false">IF($A190="N/A"," ",IF(Pricetype3=2,MAX(D190,0),IF(OR(Pricetype3=1,Pricetype3=4),IF(D190=0,0,(EURO(D190,Strikeprice3,0,0,($AH190+IF(Smile=TRUE(),VLOOKUP(MAX(-5,Strikeprice3-D190),Volsmile,2),0)),($A190-DateToday)+15,IF(Pricetype3=1,1,0),0))),D190)))</f>
        <v> </v>
      </c>
      <c r="N190" s="318" t="str">
        <f aca="false">IF($A190="N/A"," ",IF(Pricetype3=2,MAX(E190,0),IF(OR(Pricetype3=1,Pricetype3=4),IF(E190=0,0,(EURO(E190,Strikeprice3,0,0,($AK190+IF(Smile=TRUE(),VLOOKUP(MAX(-5,Strikeprice3-E190),Volsmile,2),0)),($A190-DateToday)+15,IF(Pricetype3=1,1,0),0))),E190)))</f>
        <v> </v>
      </c>
      <c r="O190" s="318" t="str">
        <f aca="false">IF($A190="N/A"," ",IF(Pricetype3=2,MAX(F190,0),IF(OR(Pricetype3=1,Pricetype3=4),IF(F190=0,0,(EURO(F190,Strikeprice3,0,0,($AK190+IF(Smile=TRUE(),VLOOKUP(MAX(-5,Strikeprice3-F190),Volsmile,2),0)),($A190-DateToday)+15,IF(Pricetype3=1,1,0),0))),F190)))</f>
        <v> </v>
      </c>
      <c r="P190" s="318" t="str">
        <f aca="false">IF($A190="N/A"," ",IF(Pricetype3=2,MAX(G190,0),IF(OR(Pricetype3=1,Pricetype3=4),IF(G190=0,0,(EURO(G190,Strikeprice3,0,0,($AK190+IF(Smile=TRUE(),VLOOKUP(MAX(-5,Strikeprice3-G190),Volsmile,2),0)),($A190-DateToday)+15,IF(Pricetype3=1,1,0),0))),G190)))</f>
        <v> </v>
      </c>
      <c r="Q190" s="318" t="str">
        <f aca="false">IF($A190="N/A"," ",IF(Pricetype3=2,MAX(H190,0),IF(OR(Pricetype3=1,Pricetype3=4),IF(H190=0,0,(EURO(H190,Strikeprice3,0,0,($AK190+IF(Smile=TRUE(),VLOOKUP(MAX(-5,Strikeprice3-H190),Volsmile,2),0)),($A190-DateToday)+15,IF(Pricetype3=1,1,0),0))),H190)))</f>
        <v> </v>
      </c>
      <c r="R190" s="318" t="str">
        <f aca="false">IF($A190="N/A"," ",IF(Pricetype3=2,MAX(I190,0),IF(OR(Pricetype3=1,Pricetype3=4),IF(I190=0,0,(EURO(I190,Strikeprice3,0,0,($AK190+IF(Smile=TRUE(),VLOOKUP(MAX(-5,Strikeprice3-I190),Volsmile,2),0)),($A190-DateToday)+15,IF(Pricetype3=1,1,0),0))),I190)))</f>
        <v> </v>
      </c>
      <c r="S190" s="318" t="str">
        <f aca="false">IF($A190="N/A"," ",IF(Pricetype3=2,MAX(J190,0),IF(OR(Pricetype3=1,Pricetype3=4),IF(J190=0,0,(EURO(J190,Strikeprice3,0,0,($AK190+IF(Smile=TRUE(),VLOOKUP(MAX(-5,Strikeprice3-J190),Volsmile,2),0)),($A190-DateToday)+15,IF(Pricetype3=1,1,0),0))),J190)))</f>
        <v> </v>
      </c>
      <c r="T190" s="318" t="str">
        <f aca="false">IF($A190="N/A"," ",IF(Pricetype3=2,MAX(K190,0),IF(OR(Pricetype3=1,Pricetype3=4),IF(K190=0,0,(EURO(K190,Strikeprice3,0,0,($AK190+IF(Smile=TRUE(),VLOOKUP(MAX(-5,Strikeprice3-K190),Volsmile,2),0)),($A190-DateToday)+15,IF(Pricetype3=1,1,0),0))),K190)))</f>
        <v> </v>
      </c>
      <c r="U190" s="319" t="str">
        <f aca="false">IF($A190="N/A"," ",Volume3*$AM190)</f>
        <v> </v>
      </c>
      <c r="V190" s="320" t="str">
        <f aca="false">IF($A190="N/A"," ",$U190*(8*($BQ190))*L190)</f>
        <v> </v>
      </c>
      <c r="W190" s="320" t="str">
        <f aca="false">IF($A190="N/A"," ",$U190*(8*($BQ190))*M190)</f>
        <v> </v>
      </c>
      <c r="X190" s="320" t="str">
        <f aca="false">IF($A190="N/A"," ",$U190*(8*($BQ190))*N190)</f>
        <v> </v>
      </c>
      <c r="Y190" s="320" t="str">
        <f aca="false">IF($A190="N/A"," ",$U190*(8*($BR190))*O190)</f>
        <v> </v>
      </c>
      <c r="Z190" s="320" t="str">
        <f aca="false">IF($A190="N/A"," ",$U190*(8*($BR190))*P190)</f>
        <v> </v>
      </c>
      <c r="AA190" s="320" t="str">
        <f aca="false">IF($A190="N/A"," ",$U190*(8*($BR190))*Q190)</f>
        <v> </v>
      </c>
      <c r="AB190" s="320" t="str">
        <f aca="false">IF($A190="N/A"," ",$U190*(8*($BS190))*R190)</f>
        <v> </v>
      </c>
      <c r="AC190" s="320" t="str">
        <f aca="false">IF($A190="N/A"," ",$U190*(8*($BS190))*S190)</f>
        <v> </v>
      </c>
      <c r="AD190" s="320" t="str">
        <f aca="false">IF($A190="N/A"," ",$U190*(8*($BS190))*T190)</f>
        <v> </v>
      </c>
      <c r="AE190" s="320" t="str">
        <f aca="false">IF($A190="N/A"," ",SUM(V190:AD190))</f>
        <v> </v>
      </c>
      <c r="AF190" s="321" t="str">
        <f aca="false">IF(A190="N/A"," ",(VLOOKUP(A190,PowerVolTable,(IF(VolBMO3=2,7,IF(VolBMO3=1,6,8))),FALSE())))</f>
        <v> </v>
      </c>
      <c r="AG190" s="321" t="str">
        <f aca="false">IF(A190="N/A"," ",(VLOOKUP(A190,IntraPowerVol,(IF(VolBMO3=2,3,IF(VolBMO3=1,2,4))),FALSE())*VLOOKUP(MONTH($A190),Volscale,2)))</f>
        <v> </v>
      </c>
      <c r="AH190" s="321" t="str">
        <f aca="false">IF($A190="N/A"," ",IF(VolType3=1,AG190,AF190))</f>
        <v> </v>
      </c>
      <c r="AI190" s="321" t="str">
        <f aca="false">IF($A190="N/A"," ",(VLOOKUP($A190,OffPwrVolTable,(IF(VolBMO3=2,7,IF(VolBMO3=1,6,8))),FALSE())))</f>
        <v> </v>
      </c>
      <c r="AJ190" s="321" t="str">
        <f aca="false">IF($A190="N/A"," ",(VLOOKUP($A190,OffPwrVolTable,(IF(VolBMO3=2,3,IF(VolBMO3=1,2,4))),FALSE())*VLOOKUP(MONTH($A190),Volscale,2)))</f>
        <v> </v>
      </c>
      <c r="AK190" s="321" t="str">
        <f aca="false">IF($A190="N/A"," ",IF(VolType3=1,AJ190,AI190))</f>
        <v> </v>
      </c>
      <c r="AL190" s="321" t="str">
        <f aca="false">IF($A190="N/A"," ",IF(PV=1,0,'Pricing Inputs3'!R223))</f>
        <v> </v>
      </c>
      <c r="AM190" s="323" t="str">
        <f aca="false">IF($A190="N/A"," ",(1+AL190/2)^(-2*((EOMONTH(A190,0)+20)-DateToday)/365.25))</f>
        <v> </v>
      </c>
      <c r="BQ190" s="0" t="str">
        <f aca="false">IF($A190="N/A"," ",(VLOOKUP($A190,NumberofDaysTable,2)))</f>
        <v> </v>
      </c>
      <c r="BR190" s="0" t="str">
        <f aca="false">IF($A190="N/A"," ",(VLOOKUP($A190,NumberofDaysTable,3)))</f>
        <v> </v>
      </c>
      <c r="BS190" s="0" t="str">
        <f aca="false">IF($A190="N/A"," ",(VLOOKUP($A190,NumberofDaysTable,4)))</f>
        <v> </v>
      </c>
    </row>
    <row r="191" customFormat="false" ht="12.75" hidden="false" customHeight="false" outlineLevel="0" collapsed="false">
      <c r="A191" s="315" t="str">
        <f aca="false">IF(A190="N/A","N/A",IF(EDATE(A190,1)&gt;Inputs!$Q$5,"N/A",EDATE(A190,1)))</f>
        <v>N/A</v>
      </c>
      <c r="B191" s="316" t="str">
        <f aca="false">IF(A191="N/A"," ",YEAR(A191))</f>
        <v> </v>
      </c>
      <c r="C191" s="317" t="str">
        <f aca="false">IF($A191="N/A"," ",IF(Dayrun3=10,0,IF(Scaler3=1,(VLOOKUP(A191,ScaledPrice3,4)),(VLOOKUP(A191,ScaledPrice3,2)))))</f>
        <v> </v>
      </c>
      <c r="D191" s="317" t="str">
        <f aca="false">IF(A191="N/A"," ",IF(Dayrun3&gt;=7,0,IF(Scaler3=2,VLOOKUP(A191,ScaledPrice3,2),(VLOOKUP(A191,ScaledPrice3,2))*(2-(VLOOKUP(A191,ScaledPrice3,3))))))</f>
        <v> </v>
      </c>
      <c r="E191" s="317" t="str">
        <f aca="false">IF($A191="N/A"," ",IF(AND(Dayrun3&gt;=4,Dayrun3&lt;=9),0,VLOOKUP($A191,ScaledPrice3,9)))</f>
        <v> </v>
      </c>
      <c r="F191" s="317" t="str">
        <f aca="false">IF(A191="N/A"," ",IF(OR(Dayrun3=2,Dayrun3=3,Dayrun3=5,Dayrun3=6,Dayrun3=8,Dayrun3=9),VLOOKUP(A191,ScaledPrice3,IF(Scaler3=1,6,5)),0))</f>
        <v> </v>
      </c>
      <c r="G191" s="317" t="str">
        <f aca="false">IF(A191="N/A"," ",IF(OR(Dayrun3=2,Dayrun3=3,Dayrun3=5,Dayrun3=6),IF(Scaler3=2,F191,(VLOOKUP(A191,ScaledPrice3,5))*(2-(VLOOKUP(A191,ScaledPrice3,3)))),0))</f>
        <v> </v>
      </c>
      <c r="H191" s="317" t="str">
        <f aca="false">IF($A191="N/A"," ",IF(OR(Dayrun3=2,Dayrun3=3,Dayrun3=10),VLOOKUP($A191,ScaledPrice3,9),0))</f>
        <v> </v>
      </c>
      <c r="I191" s="317" t="str">
        <f aca="false">IF(A191="N/A"," ",IF(OR(Dayrun3=3,Dayrun3=6,Dayrun3=9),(VLOOKUP(A191,ScaledPrice3,IF(Scaler3=2,7,8))),0))</f>
        <v> </v>
      </c>
      <c r="J191" s="317" t="str">
        <f aca="false">IF(A191="N/A"," ",IF(OR(Dayrun3=3,Dayrun3=6),IF(Scaler3=2,I191,(VLOOKUP(A191,ScaledPrice3,7))*(2-(VLOOKUP(A191,ScaledPrice3,3)))),0))</f>
        <v> </v>
      </c>
      <c r="K191" s="317" t="str">
        <f aca="false">IF($A191="N/A"," ",IF(OR(Dayrun3=3,Dayrun3=10),VLOOKUP($A191,ScaledPrice3,9),0))</f>
        <v> </v>
      </c>
      <c r="L191" s="318" t="str">
        <f aca="false">IF($A191="N/A"," ",IF(Pricetype3=2,MAX(C191,0),IF(OR(Pricetype3=1,Pricetype3=4),IF(C191=0,0,(EURO(C191,Strikeprice3,0,0,($AH191+IF(Smile=TRUE(),VLOOKUP(MAX(-5,Strikeprice3-C191),Volsmile,2),0)),($A191-DateToday)+15,IF(Pricetype3=1,1,0),0))),C191)))</f>
        <v> </v>
      </c>
      <c r="M191" s="318" t="str">
        <f aca="false">IF($A191="N/A"," ",IF(Pricetype3=2,MAX(D191,0),IF(OR(Pricetype3=1,Pricetype3=4),IF(D191=0,0,(EURO(D191,Strikeprice3,0,0,($AH191+IF(Smile=TRUE(),VLOOKUP(MAX(-5,Strikeprice3-D191),Volsmile,2),0)),($A191-DateToday)+15,IF(Pricetype3=1,1,0),0))),D191)))</f>
        <v> </v>
      </c>
      <c r="N191" s="318" t="str">
        <f aca="false">IF($A191="N/A"," ",IF(Pricetype3=2,MAX(E191,0),IF(OR(Pricetype3=1,Pricetype3=4),IF(E191=0,0,(EURO(E191,Strikeprice3,0,0,($AK191+IF(Smile=TRUE(),VLOOKUP(MAX(-5,Strikeprice3-E191),Volsmile,2),0)),($A191-DateToday)+15,IF(Pricetype3=1,1,0),0))),E191)))</f>
        <v> </v>
      </c>
      <c r="O191" s="318" t="str">
        <f aca="false">IF($A191="N/A"," ",IF(Pricetype3=2,MAX(F191,0),IF(OR(Pricetype3=1,Pricetype3=4),IF(F191=0,0,(EURO(F191,Strikeprice3,0,0,($AK191+IF(Smile=TRUE(),VLOOKUP(MAX(-5,Strikeprice3-F191),Volsmile,2),0)),($A191-DateToday)+15,IF(Pricetype3=1,1,0),0))),F191)))</f>
        <v> </v>
      </c>
      <c r="P191" s="318" t="str">
        <f aca="false">IF($A191="N/A"," ",IF(Pricetype3=2,MAX(G191,0),IF(OR(Pricetype3=1,Pricetype3=4),IF(G191=0,0,(EURO(G191,Strikeprice3,0,0,($AK191+IF(Smile=TRUE(),VLOOKUP(MAX(-5,Strikeprice3-G191),Volsmile,2),0)),($A191-DateToday)+15,IF(Pricetype3=1,1,0),0))),G191)))</f>
        <v> </v>
      </c>
      <c r="Q191" s="318" t="str">
        <f aca="false">IF($A191="N/A"," ",IF(Pricetype3=2,MAX(H191,0),IF(OR(Pricetype3=1,Pricetype3=4),IF(H191=0,0,(EURO(H191,Strikeprice3,0,0,($AK191+IF(Smile=TRUE(),VLOOKUP(MAX(-5,Strikeprice3-H191),Volsmile,2),0)),($A191-DateToday)+15,IF(Pricetype3=1,1,0),0))),H191)))</f>
        <v> </v>
      </c>
      <c r="R191" s="318" t="str">
        <f aca="false">IF($A191="N/A"," ",IF(Pricetype3=2,MAX(I191,0),IF(OR(Pricetype3=1,Pricetype3=4),IF(I191=0,0,(EURO(I191,Strikeprice3,0,0,($AK191+IF(Smile=TRUE(),VLOOKUP(MAX(-5,Strikeprice3-I191),Volsmile,2),0)),($A191-DateToday)+15,IF(Pricetype3=1,1,0),0))),I191)))</f>
        <v> </v>
      </c>
      <c r="S191" s="318" t="str">
        <f aca="false">IF($A191="N/A"," ",IF(Pricetype3=2,MAX(J191,0),IF(OR(Pricetype3=1,Pricetype3=4),IF(J191=0,0,(EURO(J191,Strikeprice3,0,0,($AK191+IF(Smile=TRUE(),VLOOKUP(MAX(-5,Strikeprice3-J191),Volsmile,2),0)),($A191-DateToday)+15,IF(Pricetype3=1,1,0),0))),J191)))</f>
        <v> </v>
      </c>
      <c r="T191" s="318" t="str">
        <f aca="false">IF($A191="N/A"," ",IF(Pricetype3=2,MAX(K191,0),IF(OR(Pricetype3=1,Pricetype3=4),IF(K191=0,0,(EURO(K191,Strikeprice3,0,0,($AK191+IF(Smile=TRUE(),VLOOKUP(MAX(-5,Strikeprice3-K191),Volsmile,2),0)),($A191-DateToday)+15,IF(Pricetype3=1,1,0),0))),K191)))</f>
        <v> </v>
      </c>
      <c r="U191" s="319" t="str">
        <f aca="false">IF($A191="N/A"," ",Volume3*$AM191)</f>
        <v> </v>
      </c>
      <c r="V191" s="320" t="str">
        <f aca="false">IF($A191="N/A"," ",$U191*(8*($BQ191))*L191)</f>
        <v> </v>
      </c>
      <c r="W191" s="320" t="str">
        <f aca="false">IF($A191="N/A"," ",$U191*(8*($BQ191))*M191)</f>
        <v> </v>
      </c>
      <c r="X191" s="320" t="str">
        <f aca="false">IF($A191="N/A"," ",$U191*(8*($BQ191))*N191)</f>
        <v> </v>
      </c>
      <c r="Y191" s="320" t="str">
        <f aca="false">IF($A191="N/A"," ",$U191*(8*($BR191))*O191)</f>
        <v> </v>
      </c>
      <c r="Z191" s="320" t="str">
        <f aca="false">IF($A191="N/A"," ",$U191*(8*($BR191))*P191)</f>
        <v> </v>
      </c>
      <c r="AA191" s="320" t="str">
        <f aca="false">IF($A191="N/A"," ",$U191*(8*($BR191))*Q191)</f>
        <v> </v>
      </c>
      <c r="AB191" s="320" t="str">
        <f aca="false">IF($A191="N/A"," ",$U191*(8*($BS191))*R191)</f>
        <v> </v>
      </c>
      <c r="AC191" s="320" t="str">
        <f aca="false">IF($A191="N/A"," ",$U191*(8*($BS191))*S191)</f>
        <v> </v>
      </c>
      <c r="AD191" s="320" t="str">
        <f aca="false">IF($A191="N/A"," ",$U191*(8*($BS191))*T191)</f>
        <v> </v>
      </c>
      <c r="AE191" s="320" t="str">
        <f aca="false">IF($A191="N/A"," ",SUM(V191:AD191))</f>
        <v> </v>
      </c>
      <c r="AF191" s="321" t="str">
        <f aca="false">IF(A191="N/A"," ",(VLOOKUP(A191,PowerVolTable,(IF(VolBMO3=2,7,IF(VolBMO3=1,6,8))),FALSE())))</f>
        <v> </v>
      </c>
      <c r="AG191" s="321" t="str">
        <f aca="false">IF(A191="N/A"," ",(VLOOKUP(A191,IntraPowerVol,(IF(VolBMO3=2,3,IF(VolBMO3=1,2,4))),FALSE())*VLOOKUP(MONTH($A191),Volscale,2)))</f>
        <v> </v>
      </c>
      <c r="AH191" s="321" t="str">
        <f aca="false">IF($A191="N/A"," ",IF(VolType3=1,AG191,AF191))</f>
        <v> </v>
      </c>
      <c r="AI191" s="321" t="str">
        <f aca="false">IF($A191="N/A"," ",(VLOOKUP($A191,OffPwrVolTable,(IF(VolBMO3=2,7,IF(VolBMO3=1,6,8))),FALSE())))</f>
        <v> </v>
      </c>
      <c r="AJ191" s="321" t="str">
        <f aca="false">IF($A191="N/A"," ",(VLOOKUP($A191,OffPwrVolTable,(IF(VolBMO3=2,3,IF(VolBMO3=1,2,4))),FALSE())*VLOOKUP(MONTH($A191),Volscale,2)))</f>
        <v> </v>
      </c>
      <c r="AK191" s="321" t="str">
        <f aca="false">IF($A191="N/A"," ",IF(VolType3=1,AJ191,AI191))</f>
        <v> </v>
      </c>
      <c r="AL191" s="321" t="str">
        <f aca="false">IF($A191="N/A"," ",IF(PV=1,0,'Pricing Inputs3'!R224))</f>
        <v> </v>
      </c>
      <c r="AM191" s="323" t="str">
        <f aca="false">IF($A191="N/A"," ",(1+AL191/2)^(-2*((EOMONTH(A191,0)+20)-DateToday)/365.25))</f>
        <v> </v>
      </c>
      <c r="BQ191" s="0" t="str">
        <f aca="false">IF($A191="N/A"," ",(VLOOKUP($A191,NumberofDaysTable,2)))</f>
        <v> </v>
      </c>
      <c r="BR191" s="0" t="str">
        <f aca="false">IF($A191="N/A"," ",(VLOOKUP($A191,NumberofDaysTable,3)))</f>
        <v> </v>
      </c>
      <c r="BS191" s="0" t="str">
        <f aca="false">IF($A191="N/A"," ",(VLOOKUP($A191,NumberofDaysTable,4)))</f>
        <v> </v>
      </c>
    </row>
    <row r="192" customFormat="false" ht="12.75" hidden="false" customHeight="false" outlineLevel="0" collapsed="false">
      <c r="A192" s="315" t="str">
        <f aca="false">IF(A191="N/A","N/A",IF(EDATE(A191,1)&gt;Inputs!$Q$5,"N/A",EDATE(A191,1)))</f>
        <v>N/A</v>
      </c>
      <c r="B192" s="316" t="str">
        <f aca="false">IF(A192="N/A"," ",YEAR(A192))</f>
        <v> </v>
      </c>
      <c r="C192" s="317" t="str">
        <f aca="false">IF($A192="N/A"," ",IF(Dayrun3=10,0,IF(Scaler3=1,(VLOOKUP(A192,ScaledPrice3,4)),(VLOOKUP(A192,ScaledPrice3,2)))))</f>
        <v> </v>
      </c>
      <c r="D192" s="317" t="str">
        <f aca="false">IF(A192="N/A"," ",IF(Dayrun3&gt;=7,0,IF(Scaler3=2,VLOOKUP(A192,ScaledPrice3,2),(VLOOKUP(A192,ScaledPrice3,2))*(2-(VLOOKUP(A192,ScaledPrice3,3))))))</f>
        <v> </v>
      </c>
      <c r="E192" s="317" t="str">
        <f aca="false">IF($A192="N/A"," ",IF(AND(Dayrun3&gt;=4,Dayrun3&lt;=9),0,VLOOKUP($A192,ScaledPrice3,9)))</f>
        <v> </v>
      </c>
      <c r="F192" s="317" t="str">
        <f aca="false">IF(A192="N/A"," ",IF(OR(Dayrun3=2,Dayrun3=3,Dayrun3=5,Dayrun3=6,Dayrun3=8,Dayrun3=9),VLOOKUP(A192,ScaledPrice3,IF(Scaler3=1,6,5)),0))</f>
        <v> </v>
      </c>
      <c r="G192" s="317" t="str">
        <f aca="false">IF(A192="N/A"," ",IF(OR(Dayrun3=2,Dayrun3=3,Dayrun3=5,Dayrun3=6),IF(Scaler3=2,F192,(VLOOKUP(A192,ScaledPrice3,5))*(2-(VLOOKUP(A192,ScaledPrice3,3)))),0))</f>
        <v> </v>
      </c>
      <c r="H192" s="317" t="str">
        <f aca="false">IF($A192="N/A"," ",IF(OR(Dayrun3=2,Dayrun3=3,Dayrun3=10),VLOOKUP($A192,ScaledPrice3,9),0))</f>
        <v> </v>
      </c>
      <c r="I192" s="317" t="str">
        <f aca="false">IF(A192="N/A"," ",IF(OR(Dayrun3=3,Dayrun3=6,Dayrun3=9),(VLOOKUP(A192,ScaledPrice3,IF(Scaler3=2,7,8))),0))</f>
        <v> </v>
      </c>
      <c r="J192" s="317" t="str">
        <f aca="false">IF(A192="N/A"," ",IF(OR(Dayrun3=3,Dayrun3=6),IF(Scaler3=2,I192,(VLOOKUP(A192,ScaledPrice3,7))*(2-(VLOOKUP(A192,ScaledPrice3,3)))),0))</f>
        <v> </v>
      </c>
      <c r="K192" s="317" t="str">
        <f aca="false">IF($A192="N/A"," ",IF(OR(Dayrun3=3,Dayrun3=10),VLOOKUP($A192,ScaledPrice3,9),0))</f>
        <v> </v>
      </c>
      <c r="L192" s="318" t="str">
        <f aca="false">IF($A192="N/A"," ",IF(Pricetype3=2,MAX(C192,0),IF(OR(Pricetype3=1,Pricetype3=4),IF(C192=0,0,(EURO(C192,Strikeprice3,0,0,($AH192+IF(Smile=TRUE(),VLOOKUP(MAX(-5,Strikeprice3-C192),Volsmile,2),0)),($A192-DateToday)+15,IF(Pricetype3=1,1,0),0))),C192)))</f>
        <v> </v>
      </c>
      <c r="M192" s="318" t="str">
        <f aca="false">IF($A192="N/A"," ",IF(Pricetype3=2,MAX(D192,0),IF(OR(Pricetype3=1,Pricetype3=4),IF(D192=0,0,(EURO(D192,Strikeprice3,0,0,($AH192+IF(Smile=TRUE(),VLOOKUP(MAX(-5,Strikeprice3-D192),Volsmile,2),0)),($A192-DateToday)+15,IF(Pricetype3=1,1,0),0))),D192)))</f>
        <v> </v>
      </c>
      <c r="N192" s="318" t="str">
        <f aca="false">IF($A192="N/A"," ",IF(Pricetype3=2,MAX(E192,0),IF(OR(Pricetype3=1,Pricetype3=4),IF(E192=0,0,(EURO(E192,Strikeprice3,0,0,($AK192+IF(Smile=TRUE(),VLOOKUP(MAX(-5,Strikeprice3-E192),Volsmile,2),0)),($A192-DateToday)+15,IF(Pricetype3=1,1,0),0))),E192)))</f>
        <v> </v>
      </c>
      <c r="O192" s="318" t="str">
        <f aca="false">IF($A192="N/A"," ",IF(Pricetype3=2,MAX(F192,0),IF(OR(Pricetype3=1,Pricetype3=4),IF(F192=0,0,(EURO(F192,Strikeprice3,0,0,($AK192+IF(Smile=TRUE(),VLOOKUP(MAX(-5,Strikeprice3-F192),Volsmile,2),0)),($A192-DateToday)+15,IF(Pricetype3=1,1,0),0))),F192)))</f>
        <v> </v>
      </c>
      <c r="P192" s="318" t="str">
        <f aca="false">IF($A192="N/A"," ",IF(Pricetype3=2,MAX(G192,0),IF(OR(Pricetype3=1,Pricetype3=4),IF(G192=0,0,(EURO(G192,Strikeprice3,0,0,($AK192+IF(Smile=TRUE(),VLOOKUP(MAX(-5,Strikeprice3-G192),Volsmile,2),0)),($A192-DateToday)+15,IF(Pricetype3=1,1,0),0))),G192)))</f>
        <v> </v>
      </c>
      <c r="Q192" s="318" t="str">
        <f aca="false">IF($A192="N/A"," ",IF(Pricetype3=2,MAX(H192,0),IF(OR(Pricetype3=1,Pricetype3=4),IF(H192=0,0,(EURO(H192,Strikeprice3,0,0,($AK192+IF(Smile=TRUE(),VLOOKUP(MAX(-5,Strikeprice3-H192),Volsmile,2),0)),($A192-DateToday)+15,IF(Pricetype3=1,1,0),0))),H192)))</f>
        <v> </v>
      </c>
      <c r="R192" s="318" t="str">
        <f aca="false">IF($A192="N/A"," ",IF(Pricetype3=2,MAX(I192,0),IF(OR(Pricetype3=1,Pricetype3=4),IF(I192=0,0,(EURO(I192,Strikeprice3,0,0,($AK192+IF(Smile=TRUE(),VLOOKUP(MAX(-5,Strikeprice3-I192),Volsmile,2),0)),($A192-DateToday)+15,IF(Pricetype3=1,1,0),0))),I192)))</f>
        <v> </v>
      </c>
      <c r="S192" s="318" t="str">
        <f aca="false">IF($A192="N/A"," ",IF(Pricetype3=2,MAX(J192,0),IF(OR(Pricetype3=1,Pricetype3=4),IF(J192=0,0,(EURO(J192,Strikeprice3,0,0,($AK192+IF(Smile=TRUE(),VLOOKUP(MAX(-5,Strikeprice3-J192),Volsmile,2),0)),($A192-DateToday)+15,IF(Pricetype3=1,1,0),0))),J192)))</f>
        <v> </v>
      </c>
      <c r="T192" s="318" t="str">
        <f aca="false">IF($A192="N/A"," ",IF(Pricetype3=2,MAX(K192,0),IF(OR(Pricetype3=1,Pricetype3=4),IF(K192=0,0,(EURO(K192,Strikeprice3,0,0,($AK192+IF(Smile=TRUE(),VLOOKUP(MAX(-5,Strikeprice3-K192),Volsmile,2),0)),($A192-DateToday)+15,IF(Pricetype3=1,1,0),0))),K192)))</f>
        <v> </v>
      </c>
      <c r="U192" s="319" t="str">
        <f aca="false">IF($A192="N/A"," ",Volume3*$AM192)</f>
        <v> </v>
      </c>
      <c r="V192" s="320" t="str">
        <f aca="false">IF($A192="N/A"," ",$U192*(8*($BQ192))*L192)</f>
        <v> </v>
      </c>
      <c r="W192" s="320" t="str">
        <f aca="false">IF($A192="N/A"," ",$U192*(8*($BQ192))*M192)</f>
        <v> </v>
      </c>
      <c r="X192" s="320" t="str">
        <f aca="false">IF($A192="N/A"," ",$U192*(8*($BQ192))*N192)</f>
        <v> </v>
      </c>
      <c r="Y192" s="320" t="str">
        <f aca="false">IF($A192="N/A"," ",$U192*(8*($BR192))*O192)</f>
        <v> </v>
      </c>
      <c r="Z192" s="320" t="str">
        <f aca="false">IF($A192="N/A"," ",$U192*(8*($BR192))*P192)</f>
        <v> </v>
      </c>
      <c r="AA192" s="320" t="str">
        <f aca="false">IF($A192="N/A"," ",$U192*(8*($BR192))*Q192)</f>
        <v> </v>
      </c>
      <c r="AB192" s="320" t="str">
        <f aca="false">IF($A192="N/A"," ",$U192*(8*($BS192))*R192)</f>
        <v> </v>
      </c>
      <c r="AC192" s="320" t="str">
        <f aca="false">IF($A192="N/A"," ",$U192*(8*($BS192))*S192)</f>
        <v> </v>
      </c>
      <c r="AD192" s="320" t="str">
        <f aca="false">IF($A192="N/A"," ",$U192*(8*($BS192))*T192)</f>
        <v> </v>
      </c>
      <c r="AE192" s="320" t="str">
        <f aca="false">IF($A192="N/A"," ",SUM(V192:AD192))</f>
        <v> </v>
      </c>
      <c r="AF192" s="321" t="str">
        <f aca="false">IF(A192="N/A"," ",(VLOOKUP(A192,PowerVolTable,(IF(VolBMO3=2,7,IF(VolBMO3=1,6,8))),FALSE())))</f>
        <v> </v>
      </c>
      <c r="AG192" s="321" t="str">
        <f aca="false">IF(A192="N/A"," ",(VLOOKUP(A192,IntraPowerVol,(IF(VolBMO3=2,3,IF(VolBMO3=1,2,4))),FALSE())*VLOOKUP(MONTH($A192),Volscale,2)))</f>
        <v> </v>
      </c>
      <c r="AH192" s="321" t="str">
        <f aca="false">IF($A192="N/A"," ",IF(VolType3=1,AG192,AF192))</f>
        <v> </v>
      </c>
      <c r="AI192" s="321" t="str">
        <f aca="false">IF($A192="N/A"," ",(VLOOKUP($A192,OffPwrVolTable,(IF(VolBMO3=2,7,IF(VolBMO3=1,6,8))),FALSE())))</f>
        <v> </v>
      </c>
      <c r="AJ192" s="321" t="str">
        <f aca="false">IF($A192="N/A"," ",(VLOOKUP($A192,OffPwrVolTable,(IF(VolBMO3=2,3,IF(VolBMO3=1,2,4))),FALSE())*VLOOKUP(MONTH($A192),Volscale,2)))</f>
        <v> </v>
      </c>
      <c r="AK192" s="321" t="str">
        <f aca="false">IF($A192="N/A"," ",IF(VolType3=1,AJ192,AI192))</f>
        <v> </v>
      </c>
      <c r="AL192" s="321" t="str">
        <f aca="false">IF($A192="N/A"," ",IF(PV=1,0,'Pricing Inputs3'!R225))</f>
        <v> </v>
      </c>
      <c r="AM192" s="323" t="str">
        <f aca="false">IF($A192="N/A"," ",(1+AL192/2)^(-2*((EOMONTH(A192,0)+20)-DateToday)/365.25))</f>
        <v> </v>
      </c>
      <c r="BQ192" s="0" t="str">
        <f aca="false">IF($A192="N/A"," ",(VLOOKUP($A192,NumberofDaysTable,2)))</f>
        <v> </v>
      </c>
      <c r="BR192" s="0" t="str">
        <f aca="false">IF($A192="N/A"," ",(VLOOKUP($A192,NumberofDaysTable,3)))</f>
        <v> </v>
      </c>
      <c r="BS192" s="0" t="str">
        <f aca="false">IF($A192="N/A"," ",(VLOOKUP($A192,NumberofDaysTable,4)))</f>
        <v> </v>
      </c>
    </row>
    <row r="193" customFormat="false" ht="12.75" hidden="false" customHeight="false" outlineLevel="0" collapsed="false">
      <c r="A193" s="315" t="str">
        <f aca="false">IF(A192="N/A","N/A",IF(EDATE(A192,1)&gt;Inputs!$Q$5,"N/A",EDATE(A192,1)))</f>
        <v>N/A</v>
      </c>
      <c r="B193" s="316" t="str">
        <f aca="false">IF(A193="N/A"," ",YEAR(A193))</f>
        <v> </v>
      </c>
      <c r="C193" s="317" t="str">
        <f aca="false">IF($A193="N/A"," ",IF(Dayrun3=10,0,IF(Scaler3=1,(VLOOKUP(A193,ScaledPrice3,4)),(VLOOKUP(A193,ScaledPrice3,2)))))</f>
        <v> </v>
      </c>
      <c r="D193" s="317" t="str">
        <f aca="false">IF(A193="N/A"," ",IF(Dayrun3&gt;=7,0,IF(Scaler3=2,VLOOKUP(A193,ScaledPrice3,2),(VLOOKUP(A193,ScaledPrice3,2))*(2-(VLOOKUP(A193,ScaledPrice3,3))))))</f>
        <v> </v>
      </c>
      <c r="E193" s="317" t="str">
        <f aca="false">IF($A193="N/A"," ",IF(AND(Dayrun3&gt;=4,Dayrun3&lt;=9),0,VLOOKUP($A193,ScaledPrice3,9)))</f>
        <v> </v>
      </c>
      <c r="F193" s="317" t="str">
        <f aca="false">IF(A193="N/A"," ",IF(OR(Dayrun3=2,Dayrun3=3,Dayrun3=5,Dayrun3=6,Dayrun3=8,Dayrun3=9),VLOOKUP(A193,ScaledPrice3,IF(Scaler3=1,6,5)),0))</f>
        <v> </v>
      </c>
      <c r="G193" s="317" t="str">
        <f aca="false">IF(A193="N/A"," ",IF(OR(Dayrun3=2,Dayrun3=3,Dayrun3=5,Dayrun3=6),IF(Scaler3=2,F193,(VLOOKUP(A193,ScaledPrice3,5))*(2-(VLOOKUP(A193,ScaledPrice3,3)))),0))</f>
        <v> </v>
      </c>
      <c r="H193" s="317" t="str">
        <f aca="false">IF($A193="N/A"," ",IF(OR(Dayrun3=2,Dayrun3=3,Dayrun3=10),VLOOKUP($A193,ScaledPrice3,9),0))</f>
        <v> </v>
      </c>
      <c r="I193" s="317" t="str">
        <f aca="false">IF(A193="N/A"," ",IF(OR(Dayrun3=3,Dayrun3=6,Dayrun3=9),(VLOOKUP(A193,ScaledPrice3,IF(Scaler3=2,7,8))),0))</f>
        <v> </v>
      </c>
      <c r="J193" s="317" t="str">
        <f aca="false">IF(A193="N/A"," ",IF(OR(Dayrun3=3,Dayrun3=6),IF(Scaler3=2,I193,(VLOOKUP(A193,ScaledPrice3,7))*(2-(VLOOKUP(A193,ScaledPrice3,3)))),0))</f>
        <v> </v>
      </c>
      <c r="K193" s="317" t="str">
        <f aca="false">IF($A193="N/A"," ",IF(OR(Dayrun3=3,Dayrun3=10),VLOOKUP($A193,ScaledPrice3,9),0))</f>
        <v> </v>
      </c>
      <c r="L193" s="318" t="str">
        <f aca="false">IF($A193="N/A"," ",IF(Pricetype3=2,MAX(C193,0),IF(OR(Pricetype3=1,Pricetype3=4),IF(C193=0,0,(EURO(C193,Strikeprice3,0,0,($AH193+IF(Smile=TRUE(),VLOOKUP(MAX(-5,Strikeprice3-C193),Volsmile,2),0)),($A193-DateToday)+15,IF(Pricetype3=1,1,0),0))),C193)))</f>
        <v> </v>
      </c>
      <c r="M193" s="318" t="str">
        <f aca="false">IF($A193="N/A"," ",IF(Pricetype3=2,MAX(D193,0),IF(OR(Pricetype3=1,Pricetype3=4),IF(D193=0,0,(EURO(D193,Strikeprice3,0,0,($AH193+IF(Smile=TRUE(),VLOOKUP(MAX(-5,Strikeprice3-D193),Volsmile,2),0)),($A193-DateToday)+15,IF(Pricetype3=1,1,0),0))),D193)))</f>
        <v> </v>
      </c>
      <c r="N193" s="318" t="str">
        <f aca="false">IF($A193="N/A"," ",IF(Pricetype3=2,MAX(E193,0),IF(OR(Pricetype3=1,Pricetype3=4),IF(E193=0,0,(EURO(E193,Strikeprice3,0,0,($AK193+IF(Smile=TRUE(),VLOOKUP(MAX(-5,Strikeprice3-E193),Volsmile,2),0)),($A193-DateToday)+15,IF(Pricetype3=1,1,0),0))),E193)))</f>
        <v> </v>
      </c>
      <c r="O193" s="318" t="str">
        <f aca="false">IF($A193="N/A"," ",IF(Pricetype3=2,MAX(F193,0),IF(OR(Pricetype3=1,Pricetype3=4),IF(F193=0,0,(EURO(F193,Strikeprice3,0,0,($AK193+IF(Smile=TRUE(),VLOOKUP(MAX(-5,Strikeprice3-F193),Volsmile,2),0)),($A193-DateToday)+15,IF(Pricetype3=1,1,0),0))),F193)))</f>
        <v> </v>
      </c>
      <c r="P193" s="318" t="str">
        <f aca="false">IF($A193="N/A"," ",IF(Pricetype3=2,MAX(G193,0),IF(OR(Pricetype3=1,Pricetype3=4),IF(G193=0,0,(EURO(G193,Strikeprice3,0,0,($AK193+IF(Smile=TRUE(),VLOOKUP(MAX(-5,Strikeprice3-G193),Volsmile,2),0)),($A193-DateToday)+15,IF(Pricetype3=1,1,0),0))),G193)))</f>
        <v> </v>
      </c>
      <c r="Q193" s="318" t="str">
        <f aca="false">IF($A193="N/A"," ",IF(Pricetype3=2,MAX(H193,0),IF(OR(Pricetype3=1,Pricetype3=4),IF(H193=0,0,(EURO(H193,Strikeprice3,0,0,($AK193+IF(Smile=TRUE(),VLOOKUP(MAX(-5,Strikeprice3-H193),Volsmile,2),0)),($A193-DateToday)+15,IF(Pricetype3=1,1,0),0))),H193)))</f>
        <v> </v>
      </c>
      <c r="R193" s="318" t="str">
        <f aca="false">IF($A193="N/A"," ",IF(Pricetype3=2,MAX(I193,0),IF(OR(Pricetype3=1,Pricetype3=4),IF(I193=0,0,(EURO(I193,Strikeprice3,0,0,($AK193+IF(Smile=TRUE(),VLOOKUP(MAX(-5,Strikeprice3-I193),Volsmile,2),0)),($A193-DateToday)+15,IF(Pricetype3=1,1,0),0))),I193)))</f>
        <v> </v>
      </c>
      <c r="S193" s="318" t="str">
        <f aca="false">IF($A193="N/A"," ",IF(Pricetype3=2,MAX(J193,0),IF(OR(Pricetype3=1,Pricetype3=4),IF(J193=0,0,(EURO(J193,Strikeprice3,0,0,($AK193+IF(Smile=TRUE(),VLOOKUP(MAX(-5,Strikeprice3-J193),Volsmile,2),0)),($A193-DateToday)+15,IF(Pricetype3=1,1,0),0))),J193)))</f>
        <v> </v>
      </c>
      <c r="T193" s="318" t="str">
        <f aca="false">IF($A193="N/A"," ",IF(Pricetype3=2,MAX(K193,0),IF(OR(Pricetype3=1,Pricetype3=4),IF(K193=0,0,(EURO(K193,Strikeprice3,0,0,($AK193+IF(Smile=TRUE(),VLOOKUP(MAX(-5,Strikeprice3-K193),Volsmile,2),0)),($A193-DateToday)+15,IF(Pricetype3=1,1,0),0))),K193)))</f>
        <v> </v>
      </c>
      <c r="U193" s="319" t="str">
        <f aca="false">IF($A193="N/A"," ",Volume3*$AM193)</f>
        <v> </v>
      </c>
      <c r="V193" s="320" t="str">
        <f aca="false">IF($A193="N/A"," ",$U193*(8*($BQ193))*L193)</f>
        <v> </v>
      </c>
      <c r="W193" s="320" t="str">
        <f aca="false">IF($A193="N/A"," ",$U193*(8*($BQ193))*M193)</f>
        <v> </v>
      </c>
      <c r="X193" s="320" t="str">
        <f aca="false">IF($A193="N/A"," ",$U193*(8*($BQ193))*N193)</f>
        <v> </v>
      </c>
      <c r="Y193" s="320" t="str">
        <f aca="false">IF($A193="N/A"," ",$U193*(8*($BR193))*O193)</f>
        <v> </v>
      </c>
      <c r="Z193" s="320" t="str">
        <f aca="false">IF($A193="N/A"," ",$U193*(8*($BR193))*P193)</f>
        <v> </v>
      </c>
      <c r="AA193" s="320" t="str">
        <f aca="false">IF($A193="N/A"," ",$U193*(8*($BR193))*Q193)</f>
        <v> </v>
      </c>
      <c r="AB193" s="320" t="str">
        <f aca="false">IF($A193="N/A"," ",$U193*(8*($BS193))*R193)</f>
        <v> </v>
      </c>
      <c r="AC193" s="320" t="str">
        <f aca="false">IF($A193="N/A"," ",$U193*(8*($BS193))*S193)</f>
        <v> </v>
      </c>
      <c r="AD193" s="320" t="str">
        <f aca="false">IF($A193="N/A"," ",$U193*(8*($BS193))*T193)</f>
        <v> </v>
      </c>
      <c r="AE193" s="320" t="str">
        <f aca="false">IF($A193="N/A"," ",SUM(V193:AD193))</f>
        <v> </v>
      </c>
      <c r="AF193" s="321" t="str">
        <f aca="false">IF(A193="N/A"," ",(VLOOKUP(A193,PowerVolTable,(IF(VolBMO3=2,7,IF(VolBMO3=1,6,8))),FALSE())))</f>
        <v> </v>
      </c>
      <c r="AG193" s="321" t="str">
        <f aca="false">IF(A193="N/A"," ",(VLOOKUP(A193,IntraPowerVol,(IF(VolBMO3=2,3,IF(VolBMO3=1,2,4))),FALSE())*VLOOKUP(MONTH($A193),Volscale,2)))</f>
        <v> </v>
      </c>
      <c r="AH193" s="321" t="str">
        <f aca="false">IF($A193="N/A"," ",IF(VolType3=1,AG193,AF193))</f>
        <v> </v>
      </c>
      <c r="AI193" s="321" t="str">
        <f aca="false">IF($A193="N/A"," ",(VLOOKUP($A193,OffPwrVolTable,(IF(VolBMO3=2,7,IF(VolBMO3=1,6,8))),FALSE())))</f>
        <v> </v>
      </c>
      <c r="AJ193" s="321" t="str">
        <f aca="false">IF($A193="N/A"," ",(VLOOKUP($A193,OffPwrVolTable,(IF(VolBMO3=2,3,IF(VolBMO3=1,2,4))),FALSE())*VLOOKUP(MONTH($A193),Volscale,2)))</f>
        <v> </v>
      </c>
      <c r="AK193" s="321" t="str">
        <f aca="false">IF($A193="N/A"," ",IF(VolType3=1,AJ193,AI193))</f>
        <v> </v>
      </c>
      <c r="AL193" s="321" t="str">
        <f aca="false">IF($A193="N/A"," ",IF(PV=1,0,'Pricing Inputs3'!R226))</f>
        <v> </v>
      </c>
      <c r="AM193" s="323" t="str">
        <f aca="false">IF($A193="N/A"," ",(1+AL193/2)^(-2*((EOMONTH(A193,0)+20)-DateToday)/365.25))</f>
        <v> </v>
      </c>
      <c r="BQ193" s="0" t="str">
        <f aca="false">IF($A193="N/A"," ",(VLOOKUP($A193,NumberofDaysTable,2)))</f>
        <v> </v>
      </c>
      <c r="BR193" s="0" t="str">
        <f aca="false">IF($A193="N/A"," ",(VLOOKUP($A193,NumberofDaysTable,3)))</f>
        <v> </v>
      </c>
      <c r="BS193" s="0" t="str">
        <f aca="false">IF($A193="N/A"," ",(VLOOKUP($A193,NumberofDaysTable,4)))</f>
        <v> </v>
      </c>
    </row>
    <row r="194" customFormat="false" ht="12.75" hidden="false" customHeight="false" outlineLevel="0" collapsed="false">
      <c r="A194" s="315" t="str">
        <f aca="false">IF(A193="N/A","N/A",IF(EDATE(A193,1)&gt;Inputs!$Q$5,"N/A",EDATE(A193,1)))</f>
        <v>N/A</v>
      </c>
      <c r="B194" s="316" t="str">
        <f aca="false">IF(A194="N/A"," ",YEAR(A194))</f>
        <v> </v>
      </c>
      <c r="C194" s="317" t="str">
        <f aca="false">IF($A194="N/A"," ",IF(Dayrun3=10,0,IF(Scaler3=1,(VLOOKUP(A194,ScaledPrice3,4)),(VLOOKUP(A194,ScaledPrice3,2)))))</f>
        <v> </v>
      </c>
      <c r="D194" s="317" t="str">
        <f aca="false">IF(A194="N/A"," ",IF(Dayrun3&gt;=7,0,IF(Scaler3=2,VLOOKUP(A194,ScaledPrice3,2),(VLOOKUP(A194,ScaledPrice3,2))*(2-(VLOOKUP(A194,ScaledPrice3,3))))))</f>
        <v> </v>
      </c>
      <c r="E194" s="317" t="str">
        <f aca="false">IF($A194="N/A"," ",IF(AND(Dayrun3&gt;=4,Dayrun3&lt;=9),0,VLOOKUP($A194,ScaledPrice3,9)))</f>
        <v> </v>
      </c>
      <c r="F194" s="317" t="str">
        <f aca="false">IF(A194="N/A"," ",IF(OR(Dayrun3=2,Dayrun3=3,Dayrun3=5,Dayrun3=6,Dayrun3=8,Dayrun3=9),VLOOKUP(A194,ScaledPrice3,IF(Scaler3=1,6,5)),0))</f>
        <v> </v>
      </c>
      <c r="G194" s="317" t="str">
        <f aca="false">IF(A194="N/A"," ",IF(OR(Dayrun3=2,Dayrun3=3,Dayrun3=5,Dayrun3=6),IF(Scaler3=2,F194,(VLOOKUP(A194,ScaledPrice3,5))*(2-(VLOOKUP(A194,ScaledPrice3,3)))),0))</f>
        <v> </v>
      </c>
      <c r="H194" s="317" t="str">
        <f aca="false">IF($A194="N/A"," ",IF(OR(Dayrun3=2,Dayrun3=3,Dayrun3=10),VLOOKUP($A194,ScaledPrice3,9),0))</f>
        <v> </v>
      </c>
      <c r="I194" s="317" t="str">
        <f aca="false">IF(A194="N/A"," ",IF(OR(Dayrun3=3,Dayrun3=6,Dayrun3=9),(VLOOKUP(A194,ScaledPrice3,IF(Scaler3=2,7,8))),0))</f>
        <v> </v>
      </c>
      <c r="J194" s="317" t="str">
        <f aca="false">IF(A194="N/A"," ",IF(OR(Dayrun3=3,Dayrun3=6),IF(Scaler3=2,I194,(VLOOKUP(A194,ScaledPrice3,7))*(2-(VLOOKUP(A194,ScaledPrice3,3)))),0))</f>
        <v> </v>
      </c>
      <c r="K194" s="317" t="str">
        <f aca="false">IF($A194="N/A"," ",IF(OR(Dayrun3=3,Dayrun3=10),VLOOKUP($A194,ScaledPrice3,9),0))</f>
        <v> </v>
      </c>
      <c r="L194" s="318" t="str">
        <f aca="false">IF($A194="N/A"," ",IF(Pricetype3=2,MAX(C194,0),IF(OR(Pricetype3=1,Pricetype3=4),IF(C194=0,0,(EURO(C194,Strikeprice3,0,0,($AH194+IF(Smile=TRUE(),VLOOKUP(MAX(-5,Strikeprice3-C194),Volsmile,2),0)),($A194-DateToday)+15,IF(Pricetype3=1,1,0),0))),C194)))</f>
        <v> </v>
      </c>
      <c r="M194" s="318" t="str">
        <f aca="false">IF($A194="N/A"," ",IF(Pricetype3=2,MAX(D194,0),IF(OR(Pricetype3=1,Pricetype3=4),IF(D194=0,0,(EURO(D194,Strikeprice3,0,0,($AH194+IF(Smile=TRUE(),VLOOKUP(MAX(-5,Strikeprice3-D194),Volsmile,2),0)),($A194-DateToday)+15,IF(Pricetype3=1,1,0),0))),D194)))</f>
        <v> </v>
      </c>
      <c r="N194" s="318" t="str">
        <f aca="false">IF($A194="N/A"," ",IF(Pricetype3=2,MAX(E194,0),IF(OR(Pricetype3=1,Pricetype3=4),IF(E194=0,0,(EURO(E194,Strikeprice3,0,0,($AK194+IF(Smile=TRUE(),VLOOKUP(MAX(-5,Strikeprice3-E194),Volsmile,2),0)),($A194-DateToday)+15,IF(Pricetype3=1,1,0),0))),E194)))</f>
        <v> </v>
      </c>
      <c r="O194" s="318" t="str">
        <f aca="false">IF($A194="N/A"," ",IF(Pricetype3=2,MAX(F194,0),IF(OR(Pricetype3=1,Pricetype3=4),IF(F194=0,0,(EURO(F194,Strikeprice3,0,0,($AK194+IF(Smile=TRUE(),VLOOKUP(MAX(-5,Strikeprice3-F194),Volsmile,2),0)),($A194-DateToday)+15,IF(Pricetype3=1,1,0),0))),F194)))</f>
        <v> </v>
      </c>
      <c r="P194" s="318" t="str">
        <f aca="false">IF($A194="N/A"," ",IF(Pricetype3=2,MAX(G194,0),IF(OR(Pricetype3=1,Pricetype3=4),IF(G194=0,0,(EURO(G194,Strikeprice3,0,0,($AK194+IF(Smile=TRUE(),VLOOKUP(MAX(-5,Strikeprice3-G194),Volsmile,2),0)),($A194-DateToday)+15,IF(Pricetype3=1,1,0),0))),G194)))</f>
        <v> </v>
      </c>
      <c r="Q194" s="318" t="str">
        <f aca="false">IF($A194="N/A"," ",IF(Pricetype3=2,MAX(H194,0),IF(OR(Pricetype3=1,Pricetype3=4),IF(H194=0,0,(EURO(H194,Strikeprice3,0,0,($AK194+IF(Smile=TRUE(),VLOOKUP(MAX(-5,Strikeprice3-H194),Volsmile,2),0)),($A194-DateToday)+15,IF(Pricetype3=1,1,0),0))),H194)))</f>
        <v> </v>
      </c>
      <c r="R194" s="318" t="str">
        <f aca="false">IF($A194="N/A"," ",IF(Pricetype3=2,MAX(I194,0),IF(OR(Pricetype3=1,Pricetype3=4),IF(I194=0,0,(EURO(I194,Strikeprice3,0,0,($AK194+IF(Smile=TRUE(),VLOOKUP(MAX(-5,Strikeprice3-I194),Volsmile,2),0)),($A194-DateToday)+15,IF(Pricetype3=1,1,0),0))),I194)))</f>
        <v> </v>
      </c>
      <c r="S194" s="318" t="str">
        <f aca="false">IF($A194="N/A"," ",IF(Pricetype3=2,MAX(J194,0),IF(OR(Pricetype3=1,Pricetype3=4),IF(J194=0,0,(EURO(J194,Strikeprice3,0,0,($AK194+IF(Smile=TRUE(),VLOOKUP(MAX(-5,Strikeprice3-J194),Volsmile,2),0)),($A194-DateToday)+15,IF(Pricetype3=1,1,0),0))),J194)))</f>
        <v> </v>
      </c>
      <c r="T194" s="318" t="str">
        <f aca="false">IF($A194="N/A"," ",IF(Pricetype3=2,MAX(K194,0),IF(OR(Pricetype3=1,Pricetype3=4),IF(K194=0,0,(EURO(K194,Strikeprice3,0,0,($AK194+IF(Smile=TRUE(),VLOOKUP(MAX(-5,Strikeprice3-K194),Volsmile,2),0)),($A194-DateToday)+15,IF(Pricetype3=1,1,0),0))),K194)))</f>
        <v> </v>
      </c>
      <c r="U194" s="319" t="str">
        <f aca="false">IF($A194="N/A"," ",Volume3*$AM194)</f>
        <v> </v>
      </c>
      <c r="V194" s="320" t="str">
        <f aca="false">IF($A194="N/A"," ",$U194*(8*($BQ194))*L194)</f>
        <v> </v>
      </c>
      <c r="W194" s="320" t="str">
        <f aca="false">IF($A194="N/A"," ",$U194*(8*($BQ194))*M194)</f>
        <v> </v>
      </c>
      <c r="X194" s="320" t="str">
        <f aca="false">IF($A194="N/A"," ",$U194*(8*($BQ194))*N194)</f>
        <v> </v>
      </c>
      <c r="Y194" s="320" t="str">
        <f aca="false">IF($A194="N/A"," ",$U194*(8*($BR194))*O194)</f>
        <v> </v>
      </c>
      <c r="Z194" s="320" t="str">
        <f aca="false">IF($A194="N/A"," ",$U194*(8*($BR194))*P194)</f>
        <v> </v>
      </c>
      <c r="AA194" s="320" t="str">
        <f aca="false">IF($A194="N/A"," ",$U194*(8*($BR194))*Q194)</f>
        <v> </v>
      </c>
      <c r="AB194" s="320" t="str">
        <f aca="false">IF($A194="N/A"," ",$U194*(8*($BS194))*R194)</f>
        <v> </v>
      </c>
      <c r="AC194" s="320" t="str">
        <f aca="false">IF($A194="N/A"," ",$U194*(8*($BS194))*S194)</f>
        <v> </v>
      </c>
      <c r="AD194" s="320" t="str">
        <f aca="false">IF($A194="N/A"," ",$U194*(8*($BS194))*T194)</f>
        <v> </v>
      </c>
      <c r="AE194" s="320" t="str">
        <f aca="false">IF($A194="N/A"," ",SUM(V194:AD194))</f>
        <v> </v>
      </c>
      <c r="AF194" s="321" t="str">
        <f aca="false">IF(A194="N/A"," ",(VLOOKUP(A194,PowerVolTable,(IF(VolBMO3=2,7,IF(VolBMO3=1,6,8))),FALSE())))</f>
        <v> </v>
      </c>
      <c r="AG194" s="321" t="str">
        <f aca="false">IF(A194="N/A"," ",(VLOOKUP(A194,IntraPowerVol,(IF(VolBMO3=2,3,IF(VolBMO3=1,2,4))),FALSE())*VLOOKUP(MONTH($A194),Volscale,2)))</f>
        <v> </v>
      </c>
      <c r="AH194" s="321" t="str">
        <f aca="false">IF($A194="N/A"," ",IF(VolType3=1,AG194,AF194))</f>
        <v> </v>
      </c>
      <c r="AI194" s="321" t="str">
        <f aca="false">IF($A194="N/A"," ",(VLOOKUP($A194,OffPwrVolTable,(IF(VolBMO3=2,7,IF(VolBMO3=1,6,8))),FALSE())))</f>
        <v> </v>
      </c>
      <c r="AJ194" s="321" t="str">
        <f aca="false">IF($A194="N/A"," ",(VLOOKUP($A194,OffPwrVolTable,(IF(VolBMO3=2,3,IF(VolBMO3=1,2,4))),FALSE())*VLOOKUP(MONTH($A194),Volscale,2)))</f>
        <v> </v>
      </c>
      <c r="AK194" s="321" t="str">
        <f aca="false">IF($A194="N/A"," ",IF(VolType3=1,AJ194,AI194))</f>
        <v> </v>
      </c>
      <c r="AL194" s="321" t="str">
        <f aca="false">IF($A194="N/A"," ",IF(PV=1,0,'Pricing Inputs3'!R227))</f>
        <v> </v>
      </c>
      <c r="AM194" s="323" t="str">
        <f aca="false">IF($A194="N/A"," ",(1+AL194/2)^(-2*((EOMONTH(A194,0)+20)-DateToday)/365.25))</f>
        <v> </v>
      </c>
      <c r="BQ194" s="0" t="str">
        <f aca="false">IF($A194="N/A"," ",(VLOOKUP($A194,NumberofDaysTable,2)))</f>
        <v> </v>
      </c>
      <c r="BR194" s="0" t="str">
        <f aca="false">IF($A194="N/A"," ",(VLOOKUP($A194,NumberofDaysTable,3)))</f>
        <v> </v>
      </c>
      <c r="BS194" s="0" t="str">
        <f aca="false">IF($A194="N/A"," ",(VLOOKUP($A194,NumberofDaysTable,4)))</f>
        <v> </v>
      </c>
    </row>
    <row r="195" customFormat="false" ht="12.75" hidden="false" customHeight="false" outlineLevel="0" collapsed="false">
      <c r="A195" s="315" t="str">
        <f aca="false">IF(A194="N/A","N/A",IF(EDATE(A194,1)&gt;Inputs!$Q$5,"N/A",EDATE(A194,1)))</f>
        <v>N/A</v>
      </c>
      <c r="B195" s="316" t="str">
        <f aca="false">IF(A195="N/A"," ",YEAR(A195))</f>
        <v> </v>
      </c>
      <c r="C195" s="317" t="str">
        <f aca="false">IF($A195="N/A"," ",IF(Dayrun3=10,0,IF(Scaler3=1,(VLOOKUP(A195,ScaledPrice3,4)),(VLOOKUP(A195,ScaledPrice3,2)))))</f>
        <v> </v>
      </c>
      <c r="D195" s="317" t="str">
        <f aca="false">IF(A195="N/A"," ",IF(Dayrun3&gt;=7,0,IF(Scaler3=2,VLOOKUP(A195,ScaledPrice3,2),(VLOOKUP(A195,ScaledPrice3,2))*(2-(VLOOKUP(A195,ScaledPrice3,3))))))</f>
        <v> </v>
      </c>
      <c r="E195" s="317" t="str">
        <f aca="false">IF($A195="N/A"," ",IF(AND(Dayrun3&gt;=4,Dayrun3&lt;=9),0,VLOOKUP($A195,ScaledPrice3,9)))</f>
        <v> </v>
      </c>
      <c r="F195" s="317" t="str">
        <f aca="false">IF(A195="N/A"," ",IF(OR(Dayrun3=2,Dayrun3=3,Dayrun3=5,Dayrun3=6,Dayrun3=8,Dayrun3=9),VLOOKUP(A195,ScaledPrice3,IF(Scaler3=1,6,5)),0))</f>
        <v> </v>
      </c>
      <c r="G195" s="317" t="str">
        <f aca="false">IF(A195="N/A"," ",IF(OR(Dayrun3=2,Dayrun3=3,Dayrun3=5,Dayrun3=6),IF(Scaler3=2,F195,(VLOOKUP(A195,ScaledPrice3,5))*(2-(VLOOKUP(A195,ScaledPrice3,3)))),0))</f>
        <v> </v>
      </c>
      <c r="H195" s="317" t="str">
        <f aca="false">IF($A195="N/A"," ",IF(OR(Dayrun3=2,Dayrun3=3,Dayrun3=10),VLOOKUP($A195,ScaledPrice3,9),0))</f>
        <v> </v>
      </c>
      <c r="I195" s="317" t="str">
        <f aca="false">IF(A195="N/A"," ",IF(OR(Dayrun3=3,Dayrun3=6,Dayrun3=9),(VLOOKUP(A195,ScaledPrice3,IF(Scaler3=2,7,8))),0))</f>
        <v> </v>
      </c>
      <c r="J195" s="317" t="str">
        <f aca="false">IF(A195="N/A"," ",IF(OR(Dayrun3=3,Dayrun3=6),IF(Scaler3=2,I195,(VLOOKUP(A195,ScaledPrice3,7))*(2-(VLOOKUP(A195,ScaledPrice3,3)))),0))</f>
        <v> </v>
      </c>
      <c r="K195" s="317" t="str">
        <f aca="false">IF($A195="N/A"," ",IF(OR(Dayrun3=3,Dayrun3=10),VLOOKUP($A195,ScaledPrice3,9),0))</f>
        <v> </v>
      </c>
      <c r="L195" s="318" t="str">
        <f aca="false">IF($A195="N/A"," ",IF(Pricetype3=2,MAX(C195,0),IF(OR(Pricetype3=1,Pricetype3=4),IF(C195=0,0,(EURO(C195,Strikeprice3,0,0,($AH195+IF(Smile=TRUE(),VLOOKUP(MAX(-5,Strikeprice3-C195),Volsmile,2),0)),($A195-DateToday)+15,IF(Pricetype3=1,1,0),0))),C195)))</f>
        <v> </v>
      </c>
      <c r="M195" s="318" t="str">
        <f aca="false">IF($A195="N/A"," ",IF(Pricetype3=2,MAX(D195,0),IF(OR(Pricetype3=1,Pricetype3=4),IF(D195=0,0,(EURO(D195,Strikeprice3,0,0,($AH195+IF(Smile=TRUE(),VLOOKUP(MAX(-5,Strikeprice3-D195),Volsmile,2),0)),($A195-DateToday)+15,IF(Pricetype3=1,1,0),0))),D195)))</f>
        <v> </v>
      </c>
      <c r="N195" s="318" t="str">
        <f aca="false">IF($A195="N/A"," ",IF(Pricetype3=2,MAX(E195,0),IF(OR(Pricetype3=1,Pricetype3=4),IF(E195=0,0,(EURO(E195,Strikeprice3,0,0,($AK195+IF(Smile=TRUE(),VLOOKUP(MAX(-5,Strikeprice3-E195),Volsmile,2),0)),($A195-DateToday)+15,IF(Pricetype3=1,1,0),0))),E195)))</f>
        <v> </v>
      </c>
      <c r="O195" s="318" t="str">
        <f aca="false">IF($A195="N/A"," ",IF(Pricetype3=2,MAX(F195,0),IF(OR(Pricetype3=1,Pricetype3=4),IF(F195=0,0,(EURO(F195,Strikeprice3,0,0,($AK195+IF(Smile=TRUE(),VLOOKUP(MAX(-5,Strikeprice3-F195),Volsmile,2),0)),($A195-DateToday)+15,IF(Pricetype3=1,1,0),0))),F195)))</f>
        <v> </v>
      </c>
      <c r="P195" s="318" t="str">
        <f aca="false">IF($A195="N/A"," ",IF(Pricetype3=2,MAX(G195,0),IF(OR(Pricetype3=1,Pricetype3=4),IF(G195=0,0,(EURO(G195,Strikeprice3,0,0,($AK195+IF(Smile=TRUE(),VLOOKUP(MAX(-5,Strikeprice3-G195),Volsmile,2),0)),($A195-DateToday)+15,IF(Pricetype3=1,1,0),0))),G195)))</f>
        <v> </v>
      </c>
      <c r="Q195" s="318" t="str">
        <f aca="false">IF($A195="N/A"," ",IF(Pricetype3=2,MAX(H195,0),IF(OR(Pricetype3=1,Pricetype3=4),IF(H195=0,0,(EURO(H195,Strikeprice3,0,0,($AK195+IF(Smile=TRUE(),VLOOKUP(MAX(-5,Strikeprice3-H195),Volsmile,2),0)),($A195-DateToday)+15,IF(Pricetype3=1,1,0),0))),H195)))</f>
        <v> </v>
      </c>
      <c r="R195" s="318" t="str">
        <f aca="false">IF($A195="N/A"," ",IF(Pricetype3=2,MAX(I195,0),IF(OR(Pricetype3=1,Pricetype3=4),IF(I195=0,0,(EURO(I195,Strikeprice3,0,0,($AK195+IF(Smile=TRUE(),VLOOKUP(MAX(-5,Strikeprice3-I195),Volsmile,2),0)),($A195-DateToday)+15,IF(Pricetype3=1,1,0),0))),I195)))</f>
        <v> </v>
      </c>
      <c r="S195" s="318" t="str">
        <f aca="false">IF($A195="N/A"," ",IF(Pricetype3=2,MAX(J195,0),IF(OR(Pricetype3=1,Pricetype3=4),IF(J195=0,0,(EURO(J195,Strikeprice3,0,0,($AK195+IF(Smile=TRUE(),VLOOKUP(MAX(-5,Strikeprice3-J195),Volsmile,2),0)),($A195-DateToday)+15,IF(Pricetype3=1,1,0),0))),J195)))</f>
        <v> </v>
      </c>
      <c r="T195" s="318" t="str">
        <f aca="false">IF($A195="N/A"," ",IF(Pricetype3=2,MAX(K195,0),IF(OR(Pricetype3=1,Pricetype3=4),IF(K195=0,0,(EURO(K195,Strikeprice3,0,0,($AK195+IF(Smile=TRUE(),VLOOKUP(MAX(-5,Strikeprice3-K195),Volsmile,2),0)),($A195-DateToday)+15,IF(Pricetype3=1,1,0),0))),K195)))</f>
        <v> </v>
      </c>
      <c r="U195" s="319" t="str">
        <f aca="false">IF($A195="N/A"," ",Volume3*$AM195)</f>
        <v> </v>
      </c>
      <c r="V195" s="320" t="str">
        <f aca="false">IF($A195="N/A"," ",$U195*(8*($BQ195))*L195)</f>
        <v> </v>
      </c>
      <c r="W195" s="320" t="str">
        <f aca="false">IF($A195="N/A"," ",$U195*(8*($BQ195))*M195)</f>
        <v> </v>
      </c>
      <c r="X195" s="320" t="str">
        <f aca="false">IF($A195="N/A"," ",$U195*(8*($BQ195))*N195)</f>
        <v> </v>
      </c>
      <c r="Y195" s="320" t="str">
        <f aca="false">IF($A195="N/A"," ",$U195*(8*($BR195))*O195)</f>
        <v> </v>
      </c>
      <c r="Z195" s="320" t="str">
        <f aca="false">IF($A195="N/A"," ",$U195*(8*($BR195))*P195)</f>
        <v> </v>
      </c>
      <c r="AA195" s="320" t="str">
        <f aca="false">IF($A195="N/A"," ",$U195*(8*($BR195))*Q195)</f>
        <v> </v>
      </c>
      <c r="AB195" s="320" t="str">
        <f aca="false">IF($A195="N/A"," ",$U195*(8*($BS195))*R195)</f>
        <v> </v>
      </c>
      <c r="AC195" s="320" t="str">
        <f aca="false">IF($A195="N/A"," ",$U195*(8*($BS195))*S195)</f>
        <v> </v>
      </c>
      <c r="AD195" s="320" t="str">
        <f aca="false">IF($A195="N/A"," ",$U195*(8*($BS195))*T195)</f>
        <v> </v>
      </c>
      <c r="AE195" s="320" t="str">
        <f aca="false">IF($A195="N/A"," ",SUM(V195:AD195))</f>
        <v> </v>
      </c>
      <c r="AF195" s="321" t="str">
        <f aca="false">IF(A195="N/A"," ",(VLOOKUP(A195,PowerVolTable,(IF(VolBMO3=2,7,IF(VolBMO3=1,6,8))),FALSE())))</f>
        <v> </v>
      </c>
      <c r="AG195" s="321" t="str">
        <f aca="false">IF(A195="N/A"," ",(VLOOKUP(A195,IntraPowerVol,(IF(VolBMO3=2,3,IF(VolBMO3=1,2,4))),FALSE())*VLOOKUP(MONTH($A195),Volscale,2)))</f>
        <v> </v>
      </c>
      <c r="AH195" s="321" t="str">
        <f aca="false">IF($A195="N/A"," ",IF(VolType3=1,AG195,AF195))</f>
        <v> </v>
      </c>
      <c r="AI195" s="321" t="str">
        <f aca="false">IF($A195="N/A"," ",(VLOOKUP($A195,OffPwrVolTable,(IF(VolBMO3=2,7,IF(VolBMO3=1,6,8))),FALSE())))</f>
        <v> </v>
      </c>
      <c r="AJ195" s="321" t="str">
        <f aca="false">IF($A195="N/A"," ",(VLOOKUP($A195,OffPwrVolTable,(IF(VolBMO3=2,3,IF(VolBMO3=1,2,4))),FALSE())*VLOOKUP(MONTH($A195),Volscale,2)))</f>
        <v> </v>
      </c>
      <c r="AK195" s="321" t="str">
        <f aca="false">IF($A195="N/A"," ",IF(VolType3=1,AJ195,AI195))</f>
        <v> </v>
      </c>
      <c r="AL195" s="321" t="str">
        <f aca="false">IF($A195="N/A"," ",IF(PV=1,0,'Pricing Inputs3'!R228))</f>
        <v> </v>
      </c>
      <c r="AM195" s="323" t="str">
        <f aca="false">IF($A195="N/A"," ",(1+AL195/2)^(-2*((EOMONTH(A195,0)+20)-DateToday)/365.25))</f>
        <v> </v>
      </c>
      <c r="BQ195" s="0" t="str">
        <f aca="false">IF($A195="N/A"," ",(VLOOKUP($A195,NumberofDaysTable,2)))</f>
        <v> </v>
      </c>
      <c r="BR195" s="0" t="str">
        <f aca="false">IF($A195="N/A"," ",(VLOOKUP($A195,NumberofDaysTable,3)))</f>
        <v> </v>
      </c>
      <c r="BS195" s="0" t="str">
        <f aca="false">IF($A195="N/A"," ",(VLOOKUP($A195,NumberofDaysTable,4)))</f>
        <v> </v>
      </c>
    </row>
    <row r="196" customFormat="false" ht="12.75" hidden="false" customHeight="false" outlineLevel="0" collapsed="false">
      <c r="A196" s="315" t="str">
        <f aca="false">IF(A195="N/A","N/A",IF(EDATE(A195,1)&gt;Inputs!$Q$5,"N/A",EDATE(A195,1)))</f>
        <v>N/A</v>
      </c>
      <c r="B196" s="316" t="str">
        <f aca="false">IF(A196="N/A"," ",YEAR(A196))</f>
        <v> </v>
      </c>
      <c r="C196" s="317" t="str">
        <f aca="false">IF($A196="N/A"," ",IF(Dayrun3=10,0,IF(Scaler3=1,(VLOOKUP(A196,ScaledPrice3,4)),(VLOOKUP(A196,ScaledPrice3,2)))))</f>
        <v> </v>
      </c>
      <c r="D196" s="317" t="str">
        <f aca="false">IF(A196="N/A"," ",IF(Dayrun3&gt;=7,0,IF(Scaler3=2,VLOOKUP(A196,ScaledPrice3,2),(VLOOKUP(A196,ScaledPrice3,2))*(2-(VLOOKUP(A196,ScaledPrice3,3))))))</f>
        <v> </v>
      </c>
      <c r="E196" s="317" t="str">
        <f aca="false">IF($A196="N/A"," ",IF(AND(Dayrun3&gt;=4,Dayrun3&lt;=9),0,VLOOKUP($A196,ScaledPrice3,9)))</f>
        <v> </v>
      </c>
      <c r="F196" s="317" t="str">
        <f aca="false">IF(A196="N/A"," ",IF(OR(Dayrun3=2,Dayrun3=3,Dayrun3=5,Dayrun3=6,Dayrun3=8,Dayrun3=9),VLOOKUP(A196,ScaledPrice3,IF(Scaler3=1,6,5)),0))</f>
        <v> </v>
      </c>
      <c r="G196" s="317" t="str">
        <f aca="false">IF(A196="N/A"," ",IF(OR(Dayrun3=2,Dayrun3=3,Dayrun3=5,Dayrun3=6),IF(Scaler3=2,F196,(VLOOKUP(A196,ScaledPrice3,5))*(2-(VLOOKUP(A196,ScaledPrice3,3)))),0))</f>
        <v> </v>
      </c>
      <c r="H196" s="317" t="str">
        <f aca="false">IF($A196="N/A"," ",IF(OR(Dayrun3=2,Dayrun3=3,Dayrun3=10),VLOOKUP($A196,ScaledPrice3,9),0))</f>
        <v> </v>
      </c>
      <c r="I196" s="317" t="str">
        <f aca="false">IF(A196="N/A"," ",IF(OR(Dayrun3=3,Dayrun3=6,Dayrun3=9),(VLOOKUP(A196,ScaledPrice3,IF(Scaler3=2,7,8))),0))</f>
        <v> </v>
      </c>
      <c r="J196" s="317" t="str">
        <f aca="false">IF(A196="N/A"," ",IF(OR(Dayrun3=3,Dayrun3=6),IF(Scaler3=2,I196,(VLOOKUP(A196,ScaledPrice3,7))*(2-(VLOOKUP(A196,ScaledPrice3,3)))),0))</f>
        <v> </v>
      </c>
      <c r="K196" s="317" t="str">
        <f aca="false">IF($A196="N/A"," ",IF(OR(Dayrun3=3,Dayrun3=10),VLOOKUP($A196,ScaledPrice3,9),0))</f>
        <v> </v>
      </c>
      <c r="L196" s="318" t="str">
        <f aca="false">IF($A196="N/A"," ",IF(Pricetype3=2,MAX(C196,0),IF(OR(Pricetype3=1,Pricetype3=4),IF(C196=0,0,(EURO(C196,Strikeprice3,0,0,($AH196+IF(Smile=TRUE(),VLOOKUP(MAX(-5,Strikeprice3-C196),Volsmile,2),0)),($A196-DateToday)+15,IF(Pricetype3=1,1,0),0))),C196)))</f>
        <v> </v>
      </c>
      <c r="M196" s="318" t="str">
        <f aca="false">IF($A196="N/A"," ",IF(Pricetype3=2,MAX(D196,0),IF(OR(Pricetype3=1,Pricetype3=4),IF(D196=0,0,(EURO(D196,Strikeprice3,0,0,($AH196+IF(Smile=TRUE(),VLOOKUP(MAX(-5,Strikeprice3-D196),Volsmile,2),0)),($A196-DateToday)+15,IF(Pricetype3=1,1,0),0))),D196)))</f>
        <v> </v>
      </c>
      <c r="N196" s="318" t="str">
        <f aca="false">IF($A196="N/A"," ",IF(Pricetype3=2,MAX(E196,0),IF(OR(Pricetype3=1,Pricetype3=4),IF(E196=0,0,(EURO(E196,Strikeprice3,0,0,($AK196+IF(Smile=TRUE(),VLOOKUP(MAX(-5,Strikeprice3-E196),Volsmile,2),0)),($A196-DateToday)+15,IF(Pricetype3=1,1,0),0))),E196)))</f>
        <v> </v>
      </c>
      <c r="O196" s="318" t="str">
        <f aca="false">IF($A196="N/A"," ",IF(Pricetype3=2,MAX(F196,0),IF(OR(Pricetype3=1,Pricetype3=4),IF(F196=0,0,(EURO(F196,Strikeprice3,0,0,($AK196+IF(Smile=TRUE(),VLOOKUP(MAX(-5,Strikeprice3-F196),Volsmile,2),0)),($A196-DateToday)+15,IF(Pricetype3=1,1,0),0))),F196)))</f>
        <v> </v>
      </c>
      <c r="P196" s="318" t="str">
        <f aca="false">IF($A196="N/A"," ",IF(Pricetype3=2,MAX(G196,0),IF(OR(Pricetype3=1,Pricetype3=4),IF(G196=0,0,(EURO(G196,Strikeprice3,0,0,($AK196+IF(Smile=TRUE(),VLOOKUP(MAX(-5,Strikeprice3-G196),Volsmile,2),0)),($A196-DateToday)+15,IF(Pricetype3=1,1,0),0))),G196)))</f>
        <v> </v>
      </c>
      <c r="Q196" s="318" t="str">
        <f aca="false">IF($A196="N/A"," ",IF(Pricetype3=2,MAX(H196,0),IF(OR(Pricetype3=1,Pricetype3=4),IF(H196=0,0,(EURO(H196,Strikeprice3,0,0,($AK196+IF(Smile=TRUE(),VLOOKUP(MAX(-5,Strikeprice3-H196),Volsmile,2),0)),($A196-DateToday)+15,IF(Pricetype3=1,1,0),0))),H196)))</f>
        <v> </v>
      </c>
      <c r="R196" s="318" t="str">
        <f aca="false">IF($A196="N/A"," ",IF(Pricetype3=2,MAX(I196,0),IF(OR(Pricetype3=1,Pricetype3=4),IF(I196=0,0,(EURO(I196,Strikeprice3,0,0,($AK196+IF(Smile=TRUE(),VLOOKUP(MAX(-5,Strikeprice3-I196),Volsmile,2),0)),($A196-DateToday)+15,IF(Pricetype3=1,1,0),0))),I196)))</f>
        <v> </v>
      </c>
      <c r="S196" s="318" t="str">
        <f aca="false">IF($A196="N/A"," ",IF(Pricetype3=2,MAX(J196,0),IF(OR(Pricetype3=1,Pricetype3=4),IF(J196=0,0,(EURO(J196,Strikeprice3,0,0,($AK196+IF(Smile=TRUE(),VLOOKUP(MAX(-5,Strikeprice3-J196),Volsmile,2),0)),($A196-DateToday)+15,IF(Pricetype3=1,1,0),0))),J196)))</f>
        <v> </v>
      </c>
      <c r="T196" s="318" t="str">
        <f aca="false">IF($A196="N/A"," ",IF(Pricetype3=2,MAX(K196,0),IF(OR(Pricetype3=1,Pricetype3=4),IF(K196=0,0,(EURO(K196,Strikeprice3,0,0,($AK196+IF(Smile=TRUE(),VLOOKUP(MAX(-5,Strikeprice3-K196),Volsmile,2),0)),($A196-DateToday)+15,IF(Pricetype3=1,1,0),0))),K196)))</f>
        <v> </v>
      </c>
      <c r="U196" s="319" t="str">
        <f aca="false">IF($A196="N/A"," ",Volume3*$AM196)</f>
        <v> </v>
      </c>
      <c r="V196" s="320" t="str">
        <f aca="false">IF($A196="N/A"," ",$U196*(8*($BQ196))*L196)</f>
        <v> </v>
      </c>
      <c r="W196" s="320" t="str">
        <f aca="false">IF($A196="N/A"," ",$U196*(8*($BQ196))*M196)</f>
        <v> </v>
      </c>
      <c r="X196" s="320" t="str">
        <f aca="false">IF($A196="N/A"," ",$U196*(8*($BQ196))*N196)</f>
        <v> </v>
      </c>
      <c r="Y196" s="320" t="str">
        <f aca="false">IF($A196="N/A"," ",$U196*(8*($BR196))*O196)</f>
        <v> </v>
      </c>
      <c r="Z196" s="320" t="str">
        <f aca="false">IF($A196="N/A"," ",$U196*(8*($BR196))*P196)</f>
        <v> </v>
      </c>
      <c r="AA196" s="320" t="str">
        <f aca="false">IF($A196="N/A"," ",$U196*(8*($BR196))*Q196)</f>
        <v> </v>
      </c>
      <c r="AB196" s="320" t="str">
        <f aca="false">IF($A196="N/A"," ",$U196*(8*($BS196))*R196)</f>
        <v> </v>
      </c>
      <c r="AC196" s="320" t="str">
        <f aca="false">IF($A196="N/A"," ",$U196*(8*($BS196))*S196)</f>
        <v> </v>
      </c>
      <c r="AD196" s="320" t="str">
        <f aca="false">IF($A196="N/A"," ",$U196*(8*($BS196))*T196)</f>
        <v> </v>
      </c>
      <c r="AE196" s="320" t="str">
        <f aca="false">IF($A196="N/A"," ",SUM(V196:AD196))</f>
        <v> </v>
      </c>
      <c r="AF196" s="321" t="str">
        <f aca="false">IF(A196="N/A"," ",(VLOOKUP(A196,PowerVolTable,(IF(VolBMO3=2,7,IF(VolBMO3=1,6,8))),FALSE())))</f>
        <v> </v>
      </c>
      <c r="AG196" s="321" t="str">
        <f aca="false">IF(A196="N/A"," ",(VLOOKUP(A196,IntraPowerVol,(IF(VolBMO3=2,3,IF(VolBMO3=1,2,4))),FALSE())*VLOOKUP(MONTH($A196),Volscale,2)))</f>
        <v> </v>
      </c>
      <c r="AH196" s="321" t="str">
        <f aca="false">IF($A196="N/A"," ",IF(VolType3=1,AG196,AF196))</f>
        <v> </v>
      </c>
      <c r="AI196" s="321" t="str">
        <f aca="false">IF($A196="N/A"," ",(VLOOKUP($A196,OffPwrVolTable,(IF(VolBMO3=2,7,IF(VolBMO3=1,6,8))),FALSE())))</f>
        <v> </v>
      </c>
      <c r="AJ196" s="321" t="str">
        <f aca="false">IF($A196="N/A"," ",(VLOOKUP($A196,OffPwrVolTable,(IF(VolBMO3=2,3,IF(VolBMO3=1,2,4))),FALSE())*VLOOKUP(MONTH($A196),Volscale,2)))</f>
        <v> </v>
      </c>
      <c r="AK196" s="321" t="str">
        <f aca="false">IF($A196="N/A"," ",IF(VolType3=1,AJ196,AI196))</f>
        <v> </v>
      </c>
      <c r="AL196" s="321" t="str">
        <f aca="false">IF($A196="N/A"," ",IF(PV=1,0,'Pricing Inputs3'!R229))</f>
        <v> </v>
      </c>
      <c r="AM196" s="323" t="str">
        <f aca="false">IF($A196="N/A"," ",(1+AL196/2)^(-2*((EOMONTH(A196,0)+20)-DateToday)/365.25))</f>
        <v> </v>
      </c>
      <c r="BQ196" s="0" t="str">
        <f aca="false">IF($A196="N/A"," ",(VLOOKUP($A196,NumberofDaysTable,2)))</f>
        <v> </v>
      </c>
      <c r="BR196" s="0" t="str">
        <f aca="false">IF($A196="N/A"," ",(VLOOKUP($A196,NumberofDaysTable,3)))</f>
        <v> </v>
      </c>
      <c r="BS196" s="0" t="str">
        <f aca="false">IF($A196="N/A"," ",(VLOOKUP($A196,NumberofDaysTable,4)))</f>
        <v> </v>
      </c>
    </row>
    <row r="197" customFormat="false" ht="12.75" hidden="false" customHeight="false" outlineLevel="0" collapsed="false">
      <c r="A197" s="315" t="str">
        <f aca="false">IF(A196="N/A","N/A",IF(EDATE(A196,1)&gt;Inputs!$Q$5,"N/A",EDATE(A196,1)))</f>
        <v>N/A</v>
      </c>
      <c r="B197" s="316" t="str">
        <f aca="false">IF(A197="N/A"," ",YEAR(A197))</f>
        <v> </v>
      </c>
      <c r="C197" s="317" t="str">
        <f aca="false">IF($A197="N/A"," ",IF(Dayrun3=10,0,IF(Scaler3=1,(VLOOKUP(A197,ScaledPrice3,4)),(VLOOKUP(A197,ScaledPrice3,2)))))</f>
        <v> </v>
      </c>
      <c r="D197" s="317" t="str">
        <f aca="false">IF(A197="N/A"," ",IF(Dayrun3&gt;=7,0,IF(Scaler3=2,VLOOKUP(A197,ScaledPrice3,2),(VLOOKUP(A197,ScaledPrice3,2))*(2-(VLOOKUP(A197,ScaledPrice3,3))))))</f>
        <v> </v>
      </c>
      <c r="E197" s="317" t="str">
        <f aca="false">IF($A197="N/A"," ",IF(AND(Dayrun3&gt;=4,Dayrun3&lt;=9),0,VLOOKUP($A197,ScaledPrice3,9)))</f>
        <v> </v>
      </c>
      <c r="F197" s="317" t="str">
        <f aca="false">IF(A197="N/A"," ",IF(OR(Dayrun3=2,Dayrun3=3,Dayrun3=5,Dayrun3=6,Dayrun3=8,Dayrun3=9),VLOOKUP(A197,ScaledPrice3,IF(Scaler3=1,6,5)),0))</f>
        <v> </v>
      </c>
      <c r="G197" s="317" t="str">
        <f aca="false">IF(A197="N/A"," ",IF(OR(Dayrun3=2,Dayrun3=3,Dayrun3=5,Dayrun3=6),IF(Scaler3=2,F197,(VLOOKUP(A197,ScaledPrice3,5))*(2-(VLOOKUP(A197,ScaledPrice3,3)))),0))</f>
        <v> </v>
      </c>
      <c r="H197" s="317" t="str">
        <f aca="false">IF($A197="N/A"," ",IF(OR(Dayrun3=2,Dayrun3=3,Dayrun3=10),VLOOKUP($A197,ScaledPrice3,9),0))</f>
        <v> </v>
      </c>
      <c r="I197" s="317" t="str">
        <f aca="false">IF(A197="N/A"," ",IF(OR(Dayrun3=3,Dayrun3=6,Dayrun3=9),(VLOOKUP(A197,ScaledPrice3,IF(Scaler3=2,7,8))),0))</f>
        <v> </v>
      </c>
      <c r="J197" s="317" t="str">
        <f aca="false">IF(A197="N/A"," ",IF(OR(Dayrun3=3,Dayrun3=6),IF(Scaler3=2,I197,(VLOOKUP(A197,ScaledPrice3,7))*(2-(VLOOKUP(A197,ScaledPrice3,3)))),0))</f>
        <v> </v>
      </c>
      <c r="K197" s="317" t="str">
        <f aca="false">IF($A197="N/A"," ",IF(OR(Dayrun3=3,Dayrun3=10),VLOOKUP($A197,ScaledPrice3,9),0))</f>
        <v> </v>
      </c>
      <c r="L197" s="318" t="str">
        <f aca="false">IF($A197="N/A"," ",IF(Pricetype3=2,MAX(C197,0),IF(OR(Pricetype3=1,Pricetype3=4),IF(C197=0,0,(EURO(C197,Strikeprice3,0,0,($AH197+IF(Smile=TRUE(),VLOOKUP(MAX(-5,Strikeprice3-C197),Volsmile,2),0)),($A197-DateToday)+15,IF(Pricetype3=1,1,0),0))),C197)))</f>
        <v> </v>
      </c>
      <c r="M197" s="318" t="str">
        <f aca="false">IF($A197="N/A"," ",IF(Pricetype3=2,MAX(D197,0),IF(OR(Pricetype3=1,Pricetype3=4),IF(D197=0,0,(EURO(D197,Strikeprice3,0,0,($AH197+IF(Smile=TRUE(),VLOOKUP(MAX(-5,Strikeprice3-D197),Volsmile,2),0)),($A197-DateToday)+15,IF(Pricetype3=1,1,0),0))),D197)))</f>
        <v> </v>
      </c>
      <c r="N197" s="318" t="str">
        <f aca="false">IF($A197="N/A"," ",IF(Pricetype3=2,MAX(E197,0),IF(OR(Pricetype3=1,Pricetype3=4),IF(E197=0,0,(EURO(E197,Strikeprice3,0,0,($AK197+IF(Smile=TRUE(),VLOOKUP(MAX(-5,Strikeprice3-E197),Volsmile,2),0)),($A197-DateToday)+15,IF(Pricetype3=1,1,0),0))),E197)))</f>
        <v> </v>
      </c>
      <c r="O197" s="318" t="str">
        <f aca="false">IF($A197="N/A"," ",IF(Pricetype3=2,MAX(F197,0),IF(OR(Pricetype3=1,Pricetype3=4),IF(F197=0,0,(EURO(F197,Strikeprice3,0,0,($AK197+IF(Smile=TRUE(),VLOOKUP(MAX(-5,Strikeprice3-F197),Volsmile,2),0)),($A197-DateToday)+15,IF(Pricetype3=1,1,0),0))),F197)))</f>
        <v> </v>
      </c>
      <c r="P197" s="318" t="str">
        <f aca="false">IF($A197="N/A"," ",IF(Pricetype3=2,MAX(G197,0),IF(OR(Pricetype3=1,Pricetype3=4),IF(G197=0,0,(EURO(G197,Strikeprice3,0,0,($AK197+IF(Smile=TRUE(),VLOOKUP(MAX(-5,Strikeprice3-G197),Volsmile,2),0)),($A197-DateToday)+15,IF(Pricetype3=1,1,0),0))),G197)))</f>
        <v> </v>
      </c>
      <c r="Q197" s="318" t="str">
        <f aca="false">IF($A197="N/A"," ",IF(Pricetype3=2,MAX(H197,0),IF(OR(Pricetype3=1,Pricetype3=4),IF(H197=0,0,(EURO(H197,Strikeprice3,0,0,($AK197+IF(Smile=TRUE(),VLOOKUP(MAX(-5,Strikeprice3-H197),Volsmile,2),0)),($A197-DateToday)+15,IF(Pricetype3=1,1,0),0))),H197)))</f>
        <v> </v>
      </c>
      <c r="R197" s="318" t="str">
        <f aca="false">IF($A197="N/A"," ",IF(Pricetype3=2,MAX(I197,0),IF(OR(Pricetype3=1,Pricetype3=4),IF(I197=0,0,(EURO(I197,Strikeprice3,0,0,($AK197+IF(Smile=TRUE(),VLOOKUP(MAX(-5,Strikeprice3-I197),Volsmile,2),0)),($A197-DateToday)+15,IF(Pricetype3=1,1,0),0))),I197)))</f>
        <v> </v>
      </c>
      <c r="S197" s="318" t="str">
        <f aca="false">IF($A197="N/A"," ",IF(Pricetype3=2,MAX(J197,0),IF(OR(Pricetype3=1,Pricetype3=4),IF(J197=0,0,(EURO(J197,Strikeprice3,0,0,($AK197+IF(Smile=TRUE(),VLOOKUP(MAX(-5,Strikeprice3-J197),Volsmile,2),0)),($A197-DateToday)+15,IF(Pricetype3=1,1,0),0))),J197)))</f>
        <v> </v>
      </c>
      <c r="T197" s="318" t="str">
        <f aca="false">IF($A197="N/A"," ",IF(Pricetype3=2,MAX(K197,0),IF(OR(Pricetype3=1,Pricetype3=4),IF(K197=0,0,(EURO(K197,Strikeprice3,0,0,($AK197+IF(Smile=TRUE(),VLOOKUP(MAX(-5,Strikeprice3-K197),Volsmile,2),0)),($A197-DateToday)+15,IF(Pricetype3=1,1,0),0))),K197)))</f>
        <v> </v>
      </c>
      <c r="U197" s="319" t="str">
        <f aca="false">IF($A197="N/A"," ",Volume3*$AM197)</f>
        <v> </v>
      </c>
      <c r="V197" s="320" t="str">
        <f aca="false">IF($A197="N/A"," ",$U197*(8*($BQ197))*L197)</f>
        <v> </v>
      </c>
      <c r="W197" s="320" t="str">
        <f aca="false">IF($A197="N/A"," ",$U197*(8*($BQ197))*M197)</f>
        <v> </v>
      </c>
      <c r="X197" s="320" t="str">
        <f aca="false">IF($A197="N/A"," ",$U197*(8*($BQ197))*N197)</f>
        <v> </v>
      </c>
      <c r="Y197" s="320" t="str">
        <f aca="false">IF($A197="N/A"," ",$U197*(8*($BR197))*O197)</f>
        <v> </v>
      </c>
      <c r="Z197" s="320" t="str">
        <f aca="false">IF($A197="N/A"," ",$U197*(8*($BR197))*P197)</f>
        <v> </v>
      </c>
      <c r="AA197" s="320" t="str">
        <f aca="false">IF($A197="N/A"," ",$U197*(8*($BR197))*Q197)</f>
        <v> </v>
      </c>
      <c r="AB197" s="320" t="str">
        <f aca="false">IF($A197="N/A"," ",$U197*(8*($BS197))*R197)</f>
        <v> </v>
      </c>
      <c r="AC197" s="320" t="str">
        <f aca="false">IF($A197="N/A"," ",$U197*(8*($BS197))*S197)</f>
        <v> </v>
      </c>
      <c r="AD197" s="320" t="str">
        <f aca="false">IF($A197="N/A"," ",$U197*(8*($BS197))*T197)</f>
        <v> </v>
      </c>
      <c r="AE197" s="320" t="str">
        <f aca="false">IF($A197="N/A"," ",SUM(V197:AD197))</f>
        <v> </v>
      </c>
      <c r="AF197" s="321" t="str">
        <f aca="false">IF(A197="N/A"," ",(VLOOKUP(A197,PowerVolTable,(IF(VolBMO3=2,7,IF(VolBMO3=1,6,8))),FALSE())))</f>
        <v> </v>
      </c>
      <c r="AG197" s="321" t="str">
        <f aca="false">IF(A197="N/A"," ",(VLOOKUP(A197,IntraPowerVol,(IF(VolBMO3=2,3,IF(VolBMO3=1,2,4))),FALSE())*VLOOKUP(MONTH($A197),Volscale,2)))</f>
        <v> </v>
      </c>
      <c r="AH197" s="321" t="str">
        <f aca="false">IF($A197="N/A"," ",IF(VolType3=1,AG197,AF197))</f>
        <v> </v>
      </c>
      <c r="AI197" s="321" t="str">
        <f aca="false">IF($A197="N/A"," ",(VLOOKUP($A197,OffPwrVolTable,(IF(VolBMO3=2,7,IF(VolBMO3=1,6,8))),FALSE())))</f>
        <v> </v>
      </c>
      <c r="AJ197" s="321" t="str">
        <f aca="false">IF($A197="N/A"," ",(VLOOKUP($A197,OffPwrVolTable,(IF(VolBMO3=2,3,IF(VolBMO3=1,2,4))),FALSE())*VLOOKUP(MONTH($A197),Volscale,2)))</f>
        <v> </v>
      </c>
      <c r="AK197" s="321" t="str">
        <f aca="false">IF($A197="N/A"," ",IF(VolType3=1,AJ197,AI197))</f>
        <v> </v>
      </c>
      <c r="AL197" s="321" t="str">
        <f aca="false">IF($A197="N/A"," ",IF(PV=1,0,'Pricing Inputs3'!R230))</f>
        <v> </v>
      </c>
      <c r="AM197" s="323" t="str">
        <f aca="false">IF($A197="N/A"," ",(1+AL197/2)^(-2*((EOMONTH(A197,0)+20)-DateToday)/365.25))</f>
        <v> </v>
      </c>
      <c r="BQ197" s="0" t="str">
        <f aca="false">IF($A197="N/A"," ",(VLOOKUP($A197,NumberofDaysTable,2)))</f>
        <v> </v>
      </c>
      <c r="BR197" s="0" t="str">
        <f aca="false">IF($A197="N/A"," ",(VLOOKUP($A197,NumberofDaysTable,3)))</f>
        <v> </v>
      </c>
      <c r="BS197" s="0" t="str">
        <f aca="false">IF($A197="N/A"," ",(VLOOKUP($A197,NumberofDaysTable,4)))</f>
        <v> </v>
      </c>
    </row>
    <row r="198" customFormat="false" ht="12.75" hidden="false" customHeight="false" outlineLevel="0" collapsed="false">
      <c r="A198" s="315" t="str">
        <f aca="false">IF(A197="N/A","N/A",IF(EDATE(A197,1)&gt;Inputs!$Q$5,"N/A",EDATE(A197,1)))</f>
        <v>N/A</v>
      </c>
      <c r="B198" s="316" t="str">
        <f aca="false">IF(A198="N/A"," ",YEAR(A198))</f>
        <v> </v>
      </c>
      <c r="C198" s="317" t="str">
        <f aca="false">IF($A198="N/A"," ",IF(Dayrun3=10,0,IF(Scaler3=1,(VLOOKUP(A198,ScaledPrice3,4)),(VLOOKUP(A198,ScaledPrice3,2)))))</f>
        <v> </v>
      </c>
      <c r="D198" s="317" t="str">
        <f aca="false">IF(A198="N/A"," ",IF(Dayrun3&gt;=7,0,IF(Scaler3=2,VLOOKUP(A198,ScaledPrice3,2),(VLOOKUP(A198,ScaledPrice3,2))*(2-(VLOOKUP(A198,ScaledPrice3,3))))))</f>
        <v> </v>
      </c>
      <c r="E198" s="317" t="str">
        <f aca="false">IF($A198="N/A"," ",IF(AND(Dayrun3&gt;=4,Dayrun3&lt;=9),0,VLOOKUP($A198,ScaledPrice3,9)))</f>
        <v> </v>
      </c>
      <c r="F198" s="317" t="str">
        <f aca="false">IF(A198="N/A"," ",IF(OR(Dayrun3=2,Dayrun3=3,Dayrun3=5,Dayrun3=6,Dayrun3=8,Dayrun3=9),VLOOKUP(A198,ScaledPrice3,IF(Scaler3=1,6,5)),0))</f>
        <v> </v>
      </c>
      <c r="G198" s="317" t="str">
        <f aca="false">IF(A198="N/A"," ",IF(OR(Dayrun3=2,Dayrun3=3,Dayrun3=5,Dayrun3=6),IF(Scaler3=2,F198,(VLOOKUP(A198,ScaledPrice3,5))*(2-(VLOOKUP(A198,ScaledPrice3,3)))),0))</f>
        <v> </v>
      </c>
      <c r="H198" s="317" t="str">
        <f aca="false">IF($A198="N/A"," ",IF(OR(Dayrun3=2,Dayrun3=3,Dayrun3=10),VLOOKUP($A198,ScaledPrice3,9),0))</f>
        <v> </v>
      </c>
      <c r="I198" s="317" t="str">
        <f aca="false">IF(A198="N/A"," ",IF(OR(Dayrun3=3,Dayrun3=6,Dayrun3=9),(VLOOKUP(A198,ScaledPrice3,IF(Scaler3=2,7,8))),0))</f>
        <v> </v>
      </c>
      <c r="J198" s="317" t="str">
        <f aca="false">IF(A198="N/A"," ",IF(OR(Dayrun3=3,Dayrun3=6),IF(Scaler3=2,I198,(VLOOKUP(A198,ScaledPrice3,7))*(2-(VLOOKUP(A198,ScaledPrice3,3)))),0))</f>
        <v> </v>
      </c>
      <c r="K198" s="317" t="str">
        <f aca="false">IF($A198="N/A"," ",IF(OR(Dayrun3=3,Dayrun3=10),VLOOKUP($A198,ScaledPrice3,9),0))</f>
        <v> </v>
      </c>
      <c r="L198" s="318" t="str">
        <f aca="false">IF($A198="N/A"," ",IF(Pricetype3=2,MAX(C198,0),IF(OR(Pricetype3=1,Pricetype3=4),IF(C198=0,0,(EURO(C198,Strikeprice3,0,0,($AH198+IF(Smile=TRUE(),VLOOKUP(MAX(-5,Strikeprice3-C198),Volsmile,2),0)),($A198-DateToday)+15,IF(Pricetype3=1,1,0),0))),C198)))</f>
        <v> </v>
      </c>
      <c r="M198" s="318" t="str">
        <f aca="false">IF($A198="N/A"," ",IF(Pricetype3=2,MAX(D198,0),IF(OR(Pricetype3=1,Pricetype3=4),IF(D198=0,0,(EURO(D198,Strikeprice3,0,0,($AH198+IF(Smile=TRUE(),VLOOKUP(MAX(-5,Strikeprice3-D198),Volsmile,2),0)),($A198-DateToday)+15,IF(Pricetype3=1,1,0),0))),D198)))</f>
        <v> </v>
      </c>
      <c r="N198" s="318" t="str">
        <f aca="false">IF($A198="N/A"," ",IF(Pricetype3=2,MAX(E198,0),IF(OR(Pricetype3=1,Pricetype3=4),IF(E198=0,0,(EURO(E198,Strikeprice3,0,0,($AK198+IF(Smile=TRUE(),VLOOKUP(MAX(-5,Strikeprice3-E198),Volsmile,2),0)),($A198-DateToday)+15,IF(Pricetype3=1,1,0),0))),E198)))</f>
        <v> </v>
      </c>
      <c r="O198" s="318" t="str">
        <f aca="false">IF($A198="N/A"," ",IF(Pricetype3=2,MAX(F198,0),IF(OR(Pricetype3=1,Pricetype3=4),IF(F198=0,0,(EURO(F198,Strikeprice3,0,0,($AK198+IF(Smile=TRUE(),VLOOKUP(MAX(-5,Strikeprice3-F198),Volsmile,2),0)),($A198-DateToday)+15,IF(Pricetype3=1,1,0),0))),F198)))</f>
        <v> </v>
      </c>
      <c r="P198" s="318" t="str">
        <f aca="false">IF($A198="N/A"," ",IF(Pricetype3=2,MAX(G198,0),IF(OR(Pricetype3=1,Pricetype3=4),IF(G198=0,0,(EURO(G198,Strikeprice3,0,0,($AK198+IF(Smile=TRUE(),VLOOKUP(MAX(-5,Strikeprice3-G198),Volsmile,2),0)),($A198-DateToday)+15,IF(Pricetype3=1,1,0),0))),G198)))</f>
        <v> </v>
      </c>
      <c r="Q198" s="318" t="str">
        <f aca="false">IF($A198="N/A"," ",IF(Pricetype3=2,MAX(H198,0),IF(OR(Pricetype3=1,Pricetype3=4),IF(H198=0,0,(EURO(H198,Strikeprice3,0,0,($AK198+IF(Smile=TRUE(),VLOOKUP(MAX(-5,Strikeprice3-H198),Volsmile,2),0)),($A198-DateToday)+15,IF(Pricetype3=1,1,0),0))),H198)))</f>
        <v> </v>
      </c>
      <c r="R198" s="318" t="str">
        <f aca="false">IF($A198="N/A"," ",IF(Pricetype3=2,MAX(I198,0),IF(OR(Pricetype3=1,Pricetype3=4),IF(I198=0,0,(EURO(I198,Strikeprice3,0,0,($AK198+IF(Smile=TRUE(),VLOOKUP(MAX(-5,Strikeprice3-I198),Volsmile,2),0)),($A198-DateToday)+15,IF(Pricetype3=1,1,0),0))),I198)))</f>
        <v> </v>
      </c>
      <c r="S198" s="318" t="str">
        <f aca="false">IF($A198="N/A"," ",IF(Pricetype3=2,MAX(J198,0),IF(OR(Pricetype3=1,Pricetype3=4),IF(J198=0,0,(EURO(J198,Strikeprice3,0,0,($AK198+IF(Smile=TRUE(),VLOOKUP(MAX(-5,Strikeprice3-J198),Volsmile,2),0)),($A198-DateToday)+15,IF(Pricetype3=1,1,0),0))),J198)))</f>
        <v> </v>
      </c>
      <c r="T198" s="318" t="str">
        <f aca="false">IF($A198="N/A"," ",IF(Pricetype3=2,MAX(K198,0),IF(OR(Pricetype3=1,Pricetype3=4),IF(K198=0,0,(EURO(K198,Strikeprice3,0,0,($AK198+IF(Smile=TRUE(),VLOOKUP(MAX(-5,Strikeprice3-K198),Volsmile,2),0)),($A198-DateToday)+15,IF(Pricetype3=1,1,0),0))),K198)))</f>
        <v> </v>
      </c>
      <c r="U198" s="319" t="str">
        <f aca="false">IF($A198="N/A"," ",Volume3*$AM198)</f>
        <v> </v>
      </c>
      <c r="V198" s="320" t="str">
        <f aca="false">IF($A198="N/A"," ",$U198*(8*($BQ198))*L198)</f>
        <v> </v>
      </c>
      <c r="W198" s="320" t="str">
        <f aca="false">IF($A198="N/A"," ",$U198*(8*($BQ198))*M198)</f>
        <v> </v>
      </c>
      <c r="X198" s="320" t="str">
        <f aca="false">IF($A198="N/A"," ",$U198*(8*($BQ198))*N198)</f>
        <v> </v>
      </c>
      <c r="Y198" s="320" t="str">
        <f aca="false">IF($A198="N/A"," ",$U198*(8*($BR198))*O198)</f>
        <v> </v>
      </c>
      <c r="Z198" s="320" t="str">
        <f aca="false">IF($A198="N/A"," ",$U198*(8*($BR198))*P198)</f>
        <v> </v>
      </c>
      <c r="AA198" s="320" t="str">
        <f aca="false">IF($A198="N/A"," ",$U198*(8*($BR198))*Q198)</f>
        <v> </v>
      </c>
      <c r="AB198" s="320" t="str">
        <f aca="false">IF($A198="N/A"," ",$U198*(8*($BS198))*R198)</f>
        <v> </v>
      </c>
      <c r="AC198" s="320" t="str">
        <f aca="false">IF($A198="N/A"," ",$U198*(8*($BS198))*S198)</f>
        <v> </v>
      </c>
      <c r="AD198" s="320" t="str">
        <f aca="false">IF($A198="N/A"," ",$U198*(8*($BS198))*T198)</f>
        <v> </v>
      </c>
      <c r="AE198" s="320" t="str">
        <f aca="false">IF($A198="N/A"," ",SUM(V198:AD198))</f>
        <v> </v>
      </c>
      <c r="AF198" s="321" t="str">
        <f aca="false">IF(A198="N/A"," ",(VLOOKUP(A198,PowerVolTable,(IF(VolBMO3=2,7,IF(VolBMO3=1,6,8))),FALSE())))</f>
        <v> </v>
      </c>
      <c r="AG198" s="321" t="str">
        <f aca="false">IF(A198="N/A"," ",(VLOOKUP(A198,IntraPowerVol,(IF(VolBMO3=2,3,IF(VolBMO3=1,2,4))),FALSE())*VLOOKUP(MONTH($A198),Volscale,2)))</f>
        <v> </v>
      </c>
      <c r="AH198" s="321" t="str">
        <f aca="false">IF($A198="N/A"," ",IF(VolType3=1,AG198,AF198))</f>
        <v> </v>
      </c>
      <c r="AI198" s="321" t="str">
        <f aca="false">IF($A198="N/A"," ",(VLOOKUP($A198,OffPwrVolTable,(IF(VolBMO3=2,7,IF(VolBMO3=1,6,8))),FALSE())))</f>
        <v> </v>
      </c>
      <c r="AJ198" s="321" t="str">
        <f aca="false">IF($A198="N/A"," ",(VLOOKUP($A198,OffPwrVolTable,(IF(VolBMO3=2,3,IF(VolBMO3=1,2,4))),FALSE())*VLOOKUP(MONTH($A198),Volscale,2)))</f>
        <v> </v>
      </c>
      <c r="AK198" s="321" t="str">
        <f aca="false">IF($A198="N/A"," ",IF(VolType3=1,AJ198,AI198))</f>
        <v> </v>
      </c>
      <c r="AL198" s="321" t="str">
        <f aca="false">IF($A198="N/A"," ",IF(PV=1,0,'Pricing Inputs3'!R231))</f>
        <v> </v>
      </c>
      <c r="AM198" s="323" t="str">
        <f aca="false">IF($A198="N/A"," ",(1+AL198/2)^(-2*((EOMONTH(A198,0)+20)-DateToday)/365.25))</f>
        <v> </v>
      </c>
      <c r="BQ198" s="0" t="str">
        <f aca="false">IF($A198="N/A"," ",(VLOOKUP($A198,NumberofDaysTable,2)))</f>
        <v> </v>
      </c>
      <c r="BR198" s="0" t="str">
        <f aca="false">IF($A198="N/A"," ",(VLOOKUP($A198,NumberofDaysTable,3)))</f>
        <v> </v>
      </c>
      <c r="BS198" s="0" t="str">
        <f aca="false">IF($A198="N/A"," ",(VLOOKUP($A198,NumberofDaysTable,4)))</f>
        <v> </v>
      </c>
    </row>
    <row r="199" customFormat="false" ht="12.75" hidden="false" customHeight="false" outlineLevel="0" collapsed="false">
      <c r="A199" s="315" t="str">
        <f aca="false">IF(A198="N/A","N/A",IF(EDATE(A198,1)&gt;Inputs!$Q$5,"N/A",EDATE(A198,1)))</f>
        <v>N/A</v>
      </c>
      <c r="B199" s="316" t="str">
        <f aca="false">IF(A199="N/A"," ",YEAR(A199))</f>
        <v> </v>
      </c>
      <c r="C199" s="317" t="str">
        <f aca="false">IF($A199="N/A"," ",IF(Dayrun3=10,0,IF(Scaler3=1,(VLOOKUP(A199,ScaledPrice3,4)),(VLOOKUP(A199,ScaledPrice3,2)))))</f>
        <v> </v>
      </c>
      <c r="D199" s="317" t="str">
        <f aca="false">IF(A199="N/A"," ",IF(Dayrun3&gt;=7,0,IF(Scaler3=2,VLOOKUP(A199,ScaledPrice3,2),(VLOOKUP(A199,ScaledPrice3,2))*(2-(VLOOKUP(A199,ScaledPrice3,3))))))</f>
        <v> </v>
      </c>
      <c r="E199" s="317" t="str">
        <f aca="false">IF($A199="N/A"," ",IF(AND(Dayrun3&gt;=4,Dayrun3&lt;=9),0,VLOOKUP($A199,ScaledPrice3,9)))</f>
        <v> </v>
      </c>
      <c r="F199" s="317" t="str">
        <f aca="false">IF(A199="N/A"," ",IF(OR(Dayrun3=2,Dayrun3=3,Dayrun3=5,Dayrun3=6,Dayrun3=8,Dayrun3=9),VLOOKUP(A199,ScaledPrice3,IF(Scaler3=1,6,5)),0))</f>
        <v> </v>
      </c>
      <c r="G199" s="317" t="str">
        <f aca="false">IF(A199="N/A"," ",IF(OR(Dayrun3=2,Dayrun3=3,Dayrun3=5,Dayrun3=6),IF(Scaler3=2,F199,(VLOOKUP(A199,ScaledPrice3,5))*(2-(VLOOKUP(A199,ScaledPrice3,3)))),0))</f>
        <v> </v>
      </c>
      <c r="H199" s="317" t="str">
        <f aca="false">IF($A199="N/A"," ",IF(OR(Dayrun3=2,Dayrun3=3,Dayrun3=10),VLOOKUP($A199,ScaledPrice3,9),0))</f>
        <v> </v>
      </c>
      <c r="I199" s="317" t="str">
        <f aca="false">IF(A199="N/A"," ",IF(OR(Dayrun3=3,Dayrun3=6,Dayrun3=9),(VLOOKUP(A199,ScaledPrice3,IF(Scaler3=2,7,8))),0))</f>
        <v> </v>
      </c>
      <c r="J199" s="317" t="str">
        <f aca="false">IF(A199="N/A"," ",IF(OR(Dayrun3=3,Dayrun3=6),IF(Scaler3=2,I199,(VLOOKUP(A199,ScaledPrice3,7))*(2-(VLOOKUP(A199,ScaledPrice3,3)))),0))</f>
        <v> </v>
      </c>
      <c r="K199" s="317" t="str">
        <f aca="false">IF($A199="N/A"," ",IF(OR(Dayrun3=3,Dayrun3=10),VLOOKUP($A199,ScaledPrice3,9),0))</f>
        <v> </v>
      </c>
      <c r="L199" s="318" t="str">
        <f aca="false">IF($A199="N/A"," ",IF(Pricetype3=2,MAX(C199,0),IF(OR(Pricetype3=1,Pricetype3=4),IF(C199=0,0,(EURO(C199,Strikeprice3,0,0,($AH199+IF(Smile=TRUE(),VLOOKUP(MAX(-5,Strikeprice3-C199),Volsmile,2),0)),($A199-DateToday)+15,IF(Pricetype3=1,1,0),0))),C199)))</f>
        <v> </v>
      </c>
      <c r="M199" s="318" t="str">
        <f aca="false">IF($A199="N/A"," ",IF(Pricetype3=2,MAX(D199,0),IF(OR(Pricetype3=1,Pricetype3=4),IF(D199=0,0,(EURO(D199,Strikeprice3,0,0,($AH199+IF(Smile=TRUE(),VLOOKUP(MAX(-5,Strikeprice3-D199),Volsmile,2),0)),($A199-DateToday)+15,IF(Pricetype3=1,1,0),0))),D199)))</f>
        <v> </v>
      </c>
      <c r="N199" s="318" t="str">
        <f aca="false">IF($A199="N/A"," ",IF(Pricetype3=2,MAX(E199,0),IF(OR(Pricetype3=1,Pricetype3=4),IF(E199=0,0,(EURO(E199,Strikeprice3,0,0,($AK199+IF(Smile=TRUE(),VLOOKUP(MAX(-5,Strikeprice3-E199),Volsmile,2),0)),($A199-DateToday)+15,IF(Pricetype3=1,1,0),0))),E199)))</f>
        <v> </v>
      </c>
      <c r="O199" s="318" t="str">
        <f aca="false">IF($A199="N/A"," ",IF(Pricetype3=2,MAX(F199,0),IF(OR(Pricetype3=1,Pricetype3=4),IF(F199=0,0,(EURO(F199,Strikeprice3,0,0,($AK199+IF(Smile=TRUE(),VLOOKUP(MAX(-5,Strikeprice3-F199),Volsmile,2),0)),($A199-DateToday)+15,IF(Pricetype3=1,1,0),0))),F199)))</f>
        <v> </v>
      </c>
      <c r="P199" s="318" t="str">
        <f aca="false">IF($A199="N/A"," ",IF(Pricetype3=2,MAX(G199,0),IF(OR(Pricetype3=1,Pricetype3=4),IF(G199=0,0,(EURO(G199,Strikeprice3,0,0,($AK199+IF(Smile=TRUE(),VLOOKUP(MAX(-5,Strikeprice3-G199),Volsmile,2),0)),($A199-DateToday)+15,IF(Pricetype3=1,1,0),0))),G199)))</f>
        <v> </v>
      </c>
      <c r="Q199" s="318" t="str">
        <f aca="false">IF($A199="N/A"," ",IF(Pricetype3=2,MAX(H199,0),IF(OR(Pricetype3=1,Pricetype3=4),IF(H199=0,0,(EURO(H199,Strikeprice3,0,0,($AK199+IF(Smile=TRUE(),VLOOKUP(MAX(-5,Strikeprice3-H199),Volsmile,2),0)),($A199-DateToday)+15,IF(Pricetype3=1,1,0),0))),H199)))</f>
        <v> </v>
      </c>
      <c r="R199" s="318" t="str">
        <f aca="false">IF($A199="N/A"," ",IF(Pricetype3=2,MAX(I199,0),IF(OR(Pricetype3=1,Pricetype3=4),IF(I199=0,0,(EURO(I199,Strikeprice3,0,0,($AK199+IF(Smile=TRUE(),VLOOKUP(MAX(-5,Strikeprice3-I199),Volsmile,2),0)),($A199-DateToday)+15,IF(Pricetype3=1,1,0),0))),I199)))</f>
        <v> </v>
      </c>
      <c r="S199" s="318" t="str">
        <f aca="false">IF($A199="N/A"," ",IF(Pricetype3=2,MAX(J199,0),IF(OR(Pricetype3=1,Pricetype3=4),IF(J199=0,0,(EURO(J199,Strikeprice3,0,0,($AK199+IF(Smile=TRUE(),VLOOKUP(MAX(-5,Strikeprice3-J199),Volsmile,2),0)),($A199-DateToday)+15,IF(Pricetype3=1,1,0),0))),J199)))</f>
        <v> </v>
      </c>
      <c r="T199" s="318" t="str">
        <f aca="false">IF($A199="N/A"," ",IF(Pricetype3=2,MAX(K199,0),IF(OR(Pricetype3=1,Pricetype3=4),IF(K199=0,0,(EURO(K199,Strikeprice3,0,0,($AK199+IF(Smile=TRUE(),VLOOKUP(MAX(-5,Strikeprice3-K199),Volsmile,2),0)),($A199-DateToday)+15,IF(Pricetype3=1,1,0),0))),K199)))</f>
        <v> </v>
      </c>
      <c r="U199" s="319" t="str">
        <f aca="false">IF($A199="N/A"," ",Volume3*$AM199)</f>
        <v> </v>
      </c>
      <c r="V199" s="320" t="str">
        <f aca="false">IF($A199="N/A"," ",$U199*(8*($BQ199))*L199)</f>
        <v> </v>
      </c>
      <c r="W199" s="320" t="str">
        <f aca="false">IF($A199="N/A"," ",$U199*(8*($BQ199))*M199)</f>
        <v> </v>
      </c>
      <c r="X199" s="320" t="str">
        <f aca="false">IF($A199="N/A"," ",$U199*(8*($BQ199))*N199)</f>
        <v> </v>
      </c>
      <c r="Y199" s="320" t="str">
        <f aca="false">IF($A199="N/A"," ",$U199*(8*($BR199))*O199)</f>
        <v> </v>
      </c>
      <c r="Z199" s="320" t="str">
        <f aca="false">IF($A199="N/A"," ",$U199*(8*($BR199))*P199)</f>
        <v> </v>
      </c>
      <c r="AA199" s="320" t="str">
        <f aca="false">IF($A199="N/A"," ",$U199*(8*($BR199))*Q199)</f>
        <v> </v>
      </c>
      <c r="AB199" s="320" t="str">
        <f aca="false">IF($A199="N/A"," ",$U199*(8*($BS199))*R199)</f>
        <v> </v>
      </c>
      <c r="AC199" s="320" t="str">
        <f aca="false">IF($A199="N/A"," ",$U199*(8*($BS199))*S199)</f>
        <v> </v>
      </c>
      <c r="AD199" s="320" t="str">
        <f aca="false">IF($A199="N/A"," ",$U199*(8*($BS199))*T199)</f>
        <v> </v>
      </c>
      <c r="AE199" s="320" t="str">
        <f aca="false">IF($A199="N/A"," ",SUM(V199:AD199))</f>
        <v> </v>
      </c>
      <c r="AF199" s="321" t="str">
        <f aca="false">IF(A199="N/A"," ",(VLOOKUP(A199,PowerVolTable,(IF(VolBMO3=2,7,IF(VolBMO3=1,6,8))),FALSE())))</f>
        <v> </v>
      </c>
      <c r="AG199" s="321" t="str">
        <f aca="false">IF(A199="N/A"," ",(VLOOKUP(A199,IntraPowerVol,(IF(VolBMO3=2,3,IF(VolBMO3=1,2,4))),FALSE())*VLOOKUP(MONTH($A199),Volscale,2)))</f>
        <v> </v>
      </c>
      <c r="AH199" s="321" t="str">
        <f aca="false">IF($A199="N/A"," ",IF(VolType3=1,AG199,AF199))</f>
        <v> </v>
      </c>
      <c r="AI199" s="321" t="str">
        <f aca="false">IF($A199="N/A"," ",(VLOOKUP($A199,OffPwrVolTable,(IF(VolBMO3=2,7,IF(VolBMO3=1,6,8))),FALSE())))</f>
        <v> </v>
      </c>
      <c r="AJ199" s="321" t="str">
        <f aca="false">IF($A199="N/A"," ",(VLOOKUP($A199,OffPwrVolTable,(IF(VolBMO3=2,3,IF(VolBMO3=1,2,4))),FALSE())*VLOOKUP(MONTH($A199),Volscale,2)))</f>
        <v> </v>
      </c>
      <c r="AK199" s="321" t="str">
        <f aca="false">IF($A199="N/A"," ",IF(VolType3=1,AJ199,AI199))</f>
        <v> </v>
      </c>
      <c r="AL199" s="321" t="str">
        <f aca="false">IF($A199="N/A"," ",IF(PV=1,0,'Pricing Inputs3'!R232))</f>
        <v> </v>
      </c>
      <c r="AM199" s="323" t="str">
        <f aca="false">IF($A199="N/A"," ",(1+AL199/2)^(-2*((EOMONTH(A199,0)+20)-DateToday)/365.25))</f>
        <v> </v>
      </c>
      <c r="BQ199" s="0" t="str">
        <f aca="false">IF($A199="N/A"," ",(VLOOKUP($A199,NumberofDaysTable,2)))</f>
        <v> </v>
      </c>
      <c r="BR199" s="0" t="str">
        <f aca="false">IF($A199="N/A"," ",(VLOOKUP($A199,NumberofDaysTable,3)))</f>
        <v> </v>
      </c>
      <c r="BS199" s="0" t="str">
        <f aca="false">IF($A199="N/A"," ",(VLOOKUP($A199,NumberofDaysTable,4)))</f>
        <v> </v>
      </c>
    </row>
    <row r="200" customFormat="false" ht="12.75" hidden="false" customHeight="false" outlineLevel="0" collapsed="false">
      <c r="A200" s="315" t="str">
        <f aca="false">IF(A199="N/A","N/A",IF(EDATE(A199,1)&gt;Inputs!$Q$5,"N/A",EDATE(A199,1)))</f>
        <v>N/A</v>
      </c>
      <c r="B200" s="316" t="str">
        <f aca="false">IF(A200="N/A"," ",YEAR(A200))</f>
        <v> </v>
      </c>
      <c r="C200" s="317" t="str">
        <f aca="false">IF($A200="N/A"," ",IF(Dayrun3=10,0,IF(Scaler3=1,(VLOOKUP(A200,ScaledPrice3,4)),(VLOOKUP(A200,ScaledPrice3,2)))))</f>
        <v> </v>
      </c>
      <c r="D200" s="317" t="str">
        <f aca="false">IF(A200="N/A"," ",IF(Dayrun3&gt;=7,0,IF(Scaler3=2,VLOOKUP(A200,ScaledPrice3,2),(VLOOKUP(A200,ScaledPrice3,2))*(2-(VLOOKUP(A200,ScaledPrice3,3))))))</f>
        <v> </v>
      </c>
      <c r="E200" s="317" t="str">
        <f aca="false">IF($A200="N/A"," ",IF(AND(Dayrun3&gt;=4,Dayrun3&lt;=9),0,VLOOKUP($A200,ScaledPrice3,9)))</f>
        <v> </v>
      </c>
      <c r="F200" s="317" t="str">
        <f aca="false">IF(A200="N/A"," ",IF(OR(Dayrun3=2,Dayrun3=3,Dayrun3=5,Dayrun3=6,Dayrun3=8,Dayrun3=9),VLOOKUP(A200,ScaledPrice3,IF(Scaler3=1,6,5)),0))</f>
        <v> </v>
      </c>
      <c r="G200" s="317" t="str">
        <f aca="false">IF(A200="N/A"," ",IF(OR(Dayrun3=2,Dayrun3=3,Dayrun3=5,Dayrun3=6),IF(Scaler3=2,F200,(VLOOKUP(A200,ScaledPrice3,5))*(2-(VLOOKUP(A200,ScaledPrice3,3)))),0))</f>
        <v> </v>
      </c>
      <c r="H200" s="317" t="str">
        <f aca="false">IF($A200="N/A"," ",IF(OR(Dayrun3=2,Dayrun3=3,Dayrun3=10),VLOOKUP($A200,ScaledPrice3,9),0))</f>
        <v> </v>
      </c>
      <c r="I200" s="317" t="str">
        <f aca="false">IF(A200="N/A"," ",IF(OR(Dayrun3=3,Dayrun3=6,Dayrun3=9),(VLOOKUP(A200,ScaledPrice3,IF(Scaler3=2,7,8))),0))</f>
        <v> </v>
      </c>
      <c r="J200" s="317" t="str">
        <f aca="false">IF(A200="N/A"," ",IF(OR(Dayrun3=3,Dayrun3=6),IF(Scaler3=2,I200,(VLOOKUP(A200,ScaledPrice3,7))*(2-(VLOOKUP(A200,ScaledPrice3,3)))),0))</f>
        <v> </v>
      </c>
      <c r="K200" s="317" t="str">
        <f aca="false">IF($A200="N/A"," ",IF(OR(Dayrun3=3,Dayrun3=10),VLOOKUP($A200,ScaledPrice3,9),0))</f>
        <v> </v>
      </c>
      <c r="L200" s="318" t="str">
        <f aca="false">IF($A200="N/A"," ",IF(Pricetype3=2,MAX(C200,0),IF(OR(Pricetype3=1,Pricetype3=4),IF(C200=0,0,(EURO(C200,Strikeprice3,0,0,($AH200+IF(Smile=TRUE(),VLOOKUP(MAX(-5,Strikeprice3-C200),Volsmile,2),0)),($A200-DateToday)+15,IF(Pricetype3=1,1,0),0))),C200)))</f>
        <v> </v>
      </c>
      <c r="M200" s="318" t="str">
        <f aca="false">IF($A200="N/A"," ",IF(Pricetype3=2,MAX(D200,0),IF(OR(Pricetype3=1,Pricetype3=4),IF(D200=0,0,(EURO(D200,Strikeprice3,0,0,($AH200+IF(Smile=TRUE(),VLOOKUP(MAX(-5,Strikeprice3-D200),Volsmile,2),0)),($A200-DateToday)+15,IF(Pricetype3=1,1,0),0))),D200)))</f>
        <v> </v>
      </c>
      <c r="N200" s="318" t="str">
        <f aca="false">IF($A200="N/A"," ",IF(Pricetype3=2,MAX(E200,0),IF(OR(Pricetype3=1,Pricetype3=4),IF(E200=0,0,(EURO(E200,Strikeprice3,0,0,($AK200+IF(Smile=TRUE(),VLOOKUP(MAX(-5,Strikeprice3-E200),Volsmile,2),0)),($A200-DateToday)+15,IF(Pricetype3=1,1,0),0))),E200)))</f>
        <v> </v>
      </c>
      <c r="O200" s="318" t="str">
        <f aca="false">IF($A200="N/A"," ",IF(Pricetype3=2,MAX(F200,0),IF(OR(Pricetype3=1,Pricetype3=4),IF(F200=0,0,(EURO(F200,Strikeprice3,0,0,($AK200+IF(Smile=TRUE(),VLOOKUP(MAX(-5,Strikeprice3-F200),Volsmile,2),0)),($A200-DateToday)+15,IF(Pricetype3=1,1,0),0))),F200)))</f>
        <v> </v>
      </c>
      <c r="P200" s="318" t="str">
        <f aca="false">IF($A200="N/A"," ",IF(Pricetype3=2,MAX(G200,0),IF(OR(Pricetype3=1,Pricetype3=4),IF(G200=0,0,(EURO(G200,Strikeprice3,0,0,($AK200+IF(Smile=TRUE(),VLOOKUP(MAX(-5,Strikeprice3-G200),Volsmile,2),0)),($A200-DateToday)+15,IF(Pricetype3=1,1,0),0))),G200)))</f>
        <v> </v>
      </c>
      <c r="Q200" s="318" t="str">
        <f aca="false">IF($A200="N/A"," ",IF(Pricetype3=2,MAX(H200,0),IF(OR(Pricetype3=1,Pricetype3=4),IF(H200=0,0,(EURO(H200,Strikeprice3,0,0,($AK200+IF(Smile=TRUE(),VLOOKUP(MAX(-5,Strikeprice3-H200),Volsmile,2),0)),($A200-DateToday)+15,IF(Pricetype3=1,1,0),0))),H200)))</f>
        <v> </v>
      </c>
      <c r="R200" s="318" t="str">
        <f aca="false">IF($A200="N/A"," ",IF(Pricetype3=2,MAX(I200,0),IF(OR(Pricetype3=1,Pricetype3=4),IF(I200=0,0,(EURO(I200,Strikeprice3,0,0,($AK200+IF(Smile=TRUE(),VLOOKUP(MAX(-5,Strikeprice3-I200),Volsmile,2),0)),($A200-DateToday)+15,IF(Pricetype3=1,1,0),0))),I200)))</f>
        <v> </v>
      </c>
      <c r="S200" s="318" t="str">
        <f aca="false">IF($A200="N/A"," ",IF(Pricetype3=2,MAX(J200,0),IF(OR(Pricetype3=1,Pricetype3=4),IF(J200=0,0,(EURO(J200,Strikeprice3,0,0,($AK200+IF(Smile=TRUE(),VLOOKUP(MAX(-5,Strikeprice3-J200),Volsmile,2),0)),($A200-DateToday)+15,IF(Pricetype3=1,1,0),0))),J200)))</f>
        <v> </v>
      </c>
      <c r="T200" s="318" t="str">
        <f aca="false">IF($A200="N/A"," ",IF(Pricetype3=2,MAX(K200,0),IF(OR(Pricetype3=1,Pricetype3=4),IF(K200=0,0,(EURO(K200,Strikeprice3,0,0,($AK200+IF(Smile=TRUE(),VLOOKUP(MAX(-5,Strikeprice3-K200),Volsmile,2),0)),($A200-DateToday)+15,IF(Pricetype3=1,1,0),0))),K200)))</f>
        <v> </v>
      </c>
      <c r="U200" s="319" t="str">
        <f aca="false">IF($A200="N/A"," ",Volume3*$AM200)</f>
        <v> </v>
      </c>
      <c r="V200" s="320" t="str">
        <f aca="false">IF($A200="N/A"," ",$U200*(8*($BQ200))*L200)</f>
        <v> </v>
      </c>
      <c r="W200" s="320" t="str">
        <f aca="false">IF($A200="N/A"," ",$U200*(8*($BQ200))*M200)</f>
        <v> </v>
      </c>
      <c r="X200" s="320" t="str">
        <f aca="false">IF($A200="N/A"," ",$U200*(8*($BQ200))*N200)</f>
        <v> </v>
      </c>
      <c r="Y200" s="320" t="str">
        <f aca="false">IF($A200="N/A"," ",$U200*(8*($BR200))*O200)</f>
        <v> </v>
      </c>
      <c r="Z200" s="320" t="str">
        <f aca="false">IF($A200="N/A"," ",$U200*(8*($BR200))*P200)</f>
        <v> </v>
      </c>
      <c r="AA200" s="320" t="str">
        <f aca="false">IF($A200="N/A"," ",$U200*(8*($BR200))*Q200)</f>
        <v> </v>
      </c>
      <c r="AB200" s="320" t="str">
        <f aca="false">IF($A200="N/A"," ",$U200*(8*($BS200))*R200)</f>
        <v> </v>
      </c>
      <c r="AC200" s="320" t="str">
        <f aca="false">IF($A200="N/A"," ",$U200*(8*($BS200))*S200)</f>
        <v> </v>
      </c>
      <c r="AD200" s="320" t="str">
        <f aca="false">IF($A200="N/A"," ",$U200*(8*($BS200))*T200)</f>
        <v> </v>
      </c>
      <c r="AE200" s="320" t="str">
        <f aca="false">IF($A200="N/A"," ",SUM(V200:AD200))</f>
        <v> </v>
      </c>
      <c r="AF200" s="321" t="str">
        <f aca="false">IF(A200="N/A"," ",(VLOOKUP(A200,PowerVolTable,(IF(VolBMO3=2,7,IF(VolBMO3=1,6,8))),FALSE())))</f>
        <v> </v>
      </c>
      <c r="AG200" s="321" t="str">
        <f aca="false">IF(A200="N/A"," ",(VLOOKUP(A200,IntraPowerVol,(IF(VolBMO3=2,3,IF(VolBMO3=1,2,4))),FALSE())*VLOOKUP(MONTH($A200),Volscale,2)))</f>
        <v> </v>
      </c>
      <c r="AH200" s="321" t="str">
        <f aca="false">IF($A200="N/A"," ",IF(VolType3=1,AG200,AF200))</f>
        <v> </v>
      </c>
      <c r="AI200" s="321" t="str">
        <f aca="false">IF($A200="N/A"," ",(VLOOKUP($A200,OffPwrVolTable,(IF(VolBMO3=2,7,IF(VolBMO3=1,6,8))),FALSE())))</f>
        <v> </v>
      </c>
      <c r="AJ200" s="321" t="str">
        <f aca="false">IF($A200="N/A"," ",(VLOOKUP($A200,OffPwrVolTable,(IF(VolBMO3=2,3,IF(VolBMO3=1,2,4))),FALSE())*VLOOKUP(MONTH($A200),Volscale,2)))</f>
        <v> </v>
      </c>
      <c r="AK200" s="321" t="str">
        <f aca="false">IF($A200="N/A"," ",IF(VolType3=1,AJ200,AI200))</f>
        <v> </v>
      </c>
      <c r="AL200" s="321" t="str">
        <f aca="false">IF($A200="N/A"," ",IF(PV=1,0,'Pricing Inputs3'!R233))</f>
        <v> </v>
      </c>
      <c r="AM200" s="323" t="str">
        <f aca="false">IF($A200="N/A"," ",(1+AL200/2)^(-2*((EOMONTH(A200,0)+20)-DateToday)/365.25))</f>
        <v> </v>
      </c>
      <c r="BQ200" s="0" t="str">
        <f aca="false">IF($A200="N/A"," ",(VLOOKUP($A200,NumberofDaysTable,2)))</f>
        <v> </v>
      </c>
      <c r="BR200" s="0" t="str">
        <f aca="false">IF($A200="N/A"," ",(VLOOKUP($A200,NumberofDaysTable,3)))</f>
        <v> </v>
      </c>
      <c r="BS200" s="0" t="str">
        <f aca="false">IF($A200="N/A"," ",(VLOOKUP($A200,NumberofDaysTable,4)))</f>
        <v> </v>
      </c>
    </row>
    <row r="201" customFormat="false" ht="12.75" hidden="false" customHeight="false" outlineLevel="0" collapsed="false">
      <c r="A201" s="315" t="str">
        <f aca="false">IF(A200="N/A","N/A",IF(EDATE(A200,1)&gt;Inputs!$Q$5,"N/A",EDATE(A200,1)))</f>
        <v>N/A</v>
      </c>
      <c r="B201" s="316" t="str">
        <f aca="false">IF(A201="N/A"," ",YEAR(A201))</f>
        <v> </v>
      </c>
      <c r="C201" s="317" t="str">
        <f aca="false">IF($A201="N/A"," ",IF(Dayrun3=10,0,IF(Scaler3=1,(VLOOKUP(A201,ScaledPrice3,4)),(VLOOKUP(A201,ScaledPrice3,2)))))</f>
        <v> </v>
      </c>
      <c r="D201" s="317" t="str">
        <f aca="false">IF(A201="N/A"," ",IF(Dayrun3&gt;=7,0,IF(Scaler3=2,VLOOKUP(A201,ScaledPrice3,2),(VLOOKUP(A201,ScaledPrice3,2))*(2-(VLOOKUP(A201,ScaledPrice3,3))))))</f>
        <v> </v>
      </c>
      <c r="E201" s="317" t="str">
        <f aca="false">IF($A201="N/A"," ",IF(AND(Dayrun3&gt;=4,Dayrun3&lt;=9),0,VLOOKUP($A201,ScaledPrice3,9)))</f>
        <v> </v>
      </c>
      <c r="F201" s="317" t="str">
        <f aca="false">IF(A201="N/A"," ",IF(OR(Dayrun3=2,Dayrun3=3,Dayrun3=5,Dayrun3=6,Dayrun3=8,Dayrun3=9),VLOOKUP(A201,ScaledPrice3,IF(Scaler3=1,6,5)),0))</f>
        <v> </v>
      </c>
      <c r="G201" s="317" t="str">
        <f aca="false">IF(A201="N/A"," ",IF(OR(Dayrun3=2,Dayrun3=3,Dayrun3=5,Dayrun3=6),IF(Scaler3=2,F201,(VLOOKUP(A201,ScaledPrice3,5))*(2-(VLOOKUP(A201,ScaledPrice3,3)))),0))</f>
        <v> </v>
      </c>
      <c r="H201" s="317" t="str">
        <f aca="false">IF($A201="N/A"," ",IF(OR(Dayrun3=2,Dayrun3=3,Dayrun3=10),VLOOKUP($A201,ScaledPrice3,9),0))</f>
        <v> </v>
      </c>
      <c r="I201" s="317" t="str">
        <f aca="false">IF(A201="N/A"," ",IF(OR(Dayrun3=3,Dayrun3=6,Dayrun3=9),(VLOOKUP(A201,ScaledPrice3,IF(Scaler3=2,7,8))),0))</f>
        <v> </v>
      </c>
      <c r="J201" s="317" t="str">
        <f aca="false">IF(A201="N/A"," ",IF(OR(Dayrun3=3,Dayrun3=6),IF(Scaler3=2,I201,(VLOOKUP(A201,ScaledPrice3,7))*(2-(VLOOKUP(A201,ScaledPrice3,3)))),0))</f>
        <v> </v>
      </c>
      <c r="K201" s="317" t="str">
        <f aca="false">IF($A201="N/A"," ",IF(OR(Dayrun3=3,Dayrun3=10),VLOOKUP($A201,ScaledPrice3,9),0))</f>
        <v> </v>
      </c>
      <c r="L201" s="318" t="str">
        <f aca="false">IF($A201="N/A"," ",IF(Pricetype3=2,MAX(C201,0),IF(OR(Pricetype3=1,Pricetype3=4),IF(C201=0,0,(EURO(C201,Strikeprice3,0,0,($AH201+IF(Smile=TRUE(),VLOOKUP(MAX(-5,Strikeprice3-C201),Volsmile,2),0)),($A201-DateToday)+15,IF(Pricetype3=1,1,0),0))),C201)))</f>
        <v> </v>
      </c>
      <c r="M201" s="318" t="str">
        <f aca="false">IF($A201="N/A"," ",IF(Pricetype3=2,MAX(D201,0),IF(OR(Pricetype3=1,Pricetype3=4),IF(D201=0,0,(EURO(D201,Strikeprice3,0,0,($AH201+IF(Smile=TRUE(),VLOOKUP(MAX(-5,Strikeprice3-D201),Volsmile,2),0)),($A201-DateToday)+15,IF(Pricetype3=1,1,0),0))),D201)))</f>
        <v> </v>
      </c>
      <c r="N201" s="318" t="str">
        <f aca="false">IF($A201="N/A"," ",IF(Pricetype3=2,MAX(E201,0),IF(OR(Pricetype3=1,Pricetype3=4),IF(E201=0,0,(EURO(E201,Strikeprice3,0,0,($AK201+IF(Smile=TRUE(),VLOOKUP(MAX(-5,Strikeprice3-E201),Volsmile,2),0)),($A201-DateToday)+15,IF(Pricetype3=1,1,0),0))),E201)))</f>
        <v> </v>
      </c>
      <c r="O201" s="318" t="str">
        <f aca="false">IF($A201="N/A"," ",IF(Pricetype3=2,MAX(F201,0),IF(OR(Pricetype3=1,Pricetype3=4),IF(F201=0,0,(EURO(F201,Strikeprice3,0,0,($AK201+IF(Smile=TRUE(),VLOOKUP(MAX(-5,Strikeprice3-F201),Volsmile,2),0)),($A201-DateToday)+15,IF(Pricetype3=1,1,0),0))),F201)))</f>
        <v> </v>
      </c>
      <c r="P201" s="318" t="str">
        <f aca="false">IF($A201="N/A"," ",IF(Pricetype3=2,MAX(G201,0),IF(OR(Pricetype3=1,Pricetype3=4),IF(G201=0,0,(EURO(G201,Strikeprice3,0,0,($AK201+IF(Smile=TRUE(),VLOOKUP(MAX(-5,Strikeprice3-G201),Volsmile,2),0)),($A201-DateToday)+15,IF(Pricetype3=1,1,0),0))),G201)))</f>
        <v> </v>
      </c>
      <c r="Q201" s="318" t="str">
        <f aca="false">IF($A201="N/A"," ",IF(Pricetype3=2,MAX(H201,0),IF(OR(Pricetype3=1,Pricetype3=4),IF(H201=0,0,(EURO(H201,Strikeprice3,0,0,($AK201+IF(Smile=TRUE(),VLOOKUP(MAX(-5,Strikeprice3-H201),Volsmile,2),0)),($A201-DateToday)+15,IF(Pricetype3=1,1,0),0))),H201)))</f>
        <v> </v>
      </c>
      <c r="R201" s="318" t="str">
        <f aca="false">IF($A201="N/A"," ",IF(Pricetype3=2,MAX(I201,0),IF(OR(Pricetype3=1,Pricetype3=4),IF(I201=0,0,(EURO(I201,Strikeprice3,0,0,($AK201+IF(Smile=TRUE(),VLOOKUP(MAX(-5,Strikeprice3-I201),Volsmile,2),0)),($A201-DateToday)+15,IF(Pricetype3=1,1,0),0))),I201)))</f>
        <v> </v>
      </c>
      <c r="S201" s="318" t="str">
        <f aca="false">IF($A201="N/A"," ",IF(Pricetype3=2,MAX(J201,0),IF(OR(Pricetype3=1,Pricetype3=4),IF(J201=0,0,(EURO(J201,Strikeprice3,0,0,($AK201+IF(Smile=TRUE(),VLOOKUP(MAX(-5,Strikeprice3-J201),Volsmile,2),0)),($A201-DateToday)+15,IF(Pricetype3=1,1,0),0))),J201)))</f>
        <v> </v>
      </c>
      <c r="T201" s="318" t="str">
        <f aca="false">IF($A201="N/A"," ",IF(Pricetype3=2,MAX(K201,0),IF(OR(Pricetype3=1,Pricetype3=4),IF(K201=0,0,(EURO(K201,Strikeprice3,0,0,($AK201+IF(Smile=TRUE(),VLOOKUP(MAX(-5,Strikeprice3-K201),Volsmile,2),0)),($A201-DateToday)+15,IF(Pricetype3=1,1,0),0))),K201)))</f>
        <v> </v>
      </c>
      <c r="U201" s="319" t="str">
        <f aca="false">IF($A201="N/A"," ",Volume3*$AM201)</f>
        <v> </v>
      </c>
      <c r="V201" s="320" t="str">
        <f aca="false">IF($A201="N/A"," ",$U201*(8*($BQ201))*L201)</f>
        <v> </v>
      </c>
      <c r="W201" s="320" t="str">
        <f aca="false">IF($A201="N/A"," ",$U201*(8*($BQ201))*M201)</f>
        <v> </v>
      </c>
      <c r="X201" s="320" t="str">
        <f aca="false">IF($A201="N/A"," ",$U201*(8*($BQ201))*N201)</f>
        <v> </v>
      </c>
      <c r="Y201" s="320" t="str">
        <f aca="false">IF($A201="N/A"," ",$U201*(8*($BR201))*O201)</f>
        <v> </v>
      </c>
      <c r="Z201" s="320" t="str">
        <f aca="false">IF($A201="N/A"," ",$U201*(8*($BR201))*P201)</f>
        <v> </v>
      </c>
      <c r="AA201" s="320" t="str">
        <f aca="false">IF($A201="N/A"," ",$U201*(8*($BR201))*Q201)</f>
        <v> </v>
      </c>
      <c r="AB201" s="320" t="str">
        <f aca="false">IF($A201="N/A"," ",$U201*(8*($BS201))*R201)</f>
        <v> </v>
      </c>
      <c r="AC201" s="320" t="str">
        <f aca="false">IF($A201="N/A"," ",$U201*(8*($BS201))*S201)</f>
        <v> </v>
      </c>
      <c r="AD201" s="320" t="str">
        <f aca="false">IF($A201="N/A"," ",$U201*(8*($BS201))*T201)</f>
        <v> </v>
      </c>
      <c r="AE201" s="320" t="str">
        <f aca="false">IF($A201="N/A"," ",SUM(V201:AD201))</f>
        <v> </v>
      </c>
      <c r="AF201" s="321" t="str">
        <f aca="false">IF(A201="N/A"," ",(VLOOKUP(A201,PowerVolTable,(IF(VolBMO3=2,7,IF(VolBMO3=1,6,8))),FALSE())))</f>
        <v> </v>
      </c>
      <c r="AG201" s="321" t="str">
        <f aca="false">IF(A201="N/A"," ",(VLOOKUP(A201,IntraPowerVol,(IF(VolBMO3=2,3,IF(VolBMO3=1,2,4))),FALSE())*VLOOKUP(MONTH($A201),Volscale,2)))</f>
        <v> </v>
      </c>
      <c r="AH201" s="321" t="str">
        <f aca="false">IF($A201="N/A"," ",IF(VolType3=1,AG201,AF201))</f>
        <v> </v>
      </c>
      <c r="AI201" s="321" t="str">
        <f aca="false">IF($A201="N/A"," ",(VLOOKUP($A201,OffPwrVolTable,(IF(VolBMO3=2,7,IF(VolBMO3=1,6,8))),FALSE())))</f>
        <v> </v>
      </c>
      <c r="AJ201" s="321" t="str">
        <f aca="false">IF($A201="N/A"," ",(VLOOKUP($A201,OffPwrVolTable,(IF(VolBMO3=2,3,IF(VolBMO3=1,2,4))),FALSE())*VLOOKUP(MONTH($A201),Volscale,2)))</f>
        <v> </v>
      </c>
      <c r="AK201" s="321" t="str">
        <f aca="false">IF($A201="N/A"," ",IF(VolType3=1,AJ201,AI201))</f>
        <v> </v>
      </c>
      <c r="AL201" s="321" t="str">
        <f aca="false">IF($A201="N/A"," ",IF(PV=1,0,'Pricing Inputs3'!R234))</f>
        <v> </v>
      </c>
      <c r="AM201" s="323" t="str">
        <f aca="false">IF($A201="N/A"," ",(1+AL201/2)^(-2*((EOMONTH(A201,0)+20)-DateToday)/365.25))</f>
        <v> </v>
      </c>
      <c r="BQ201" s="0" t="str">
        <f aca="false">IF($A201="N/A"," ",(VLOOKUP($A201,NumberofDaysTable,2)))</f>
        <v> </v>
      </c>
      <c r="BR201" s="0" t="str">
        <f aca="false">IF($A201="N/A"," ",(VLOOKUP($A201,NumberofDaysTable,3)))</f>
        <v> </v>
      </c>
      <c r="BS201" s="0" t="str">
        <f aca="false">IF($A201="N/A"," ",(VLOOKUP($A201,NumberofDaysTable,4)))</f>
        <v> </v>
      </c>
    </row>
    <row r="202" customFormat="false" ht="12.75" hidden="false" customHeight="false" outlineLevel="0" collapsed="false">
      <c r="A202" s="315" t="str">
        <f aca="false">IF(A201="N/A","N/A",IF(EDATE(A201,1)&gt;Inputs!$Q$5,"N/A",EDATE(A201,1)))</f>
        <v>N/A</v>
      </c>
      <c r="B202" s="316" t="str">
        <f aca="false">IF(A202="N/A"," ",YEAR(A202))</f>
        <v> </v>
      </c>
      <c r="C202" s="317" t="str">
        <f aca="false">IF($A202="N/A"," ",IF(Dayrun3=10,0,IF(Scaler3=1,(VLOOKUP(A202,ScaledPrice3,4)),(VLOOKUP(A202,ScaledPrice3,2)))))</f>
        <v> </v>
      </c>
      <c r="D202" s="317" t="str">
        <f aca="false">IF(A202="N/A"," ",IF(Dayrun3&gt;=7,0,IF(Scaler3=2,VLOOKUP(A202,ScaledPrice3,2),(VLOOKUP(A202,ScaledPrice3,2))*(2-(VLOOKUP(A202,ScaledPrice3,3))))))</f>
        <v> </v>
      </c>
      <c r="E202" s="317" t="str">
        <f aca="false">IF($A202="N/A"," ",IF(AND(Dayrun3&gt;=4,Dayrun3&lt;=9),0,VLOOKUP($A202,ScaledPrice3,9)))</f>
        <v> </v>
      </c>
      <c r="F202" s="317" t="str">
        <f aca="false">IF(A202="N/A"," ",IF(OR(Dayrun3=2,Dayrun3=3,Dayrun3=5,Dayrun3=6,Dayrun3=8,Dayrun3=9),VLOOKUP(A202,ScaledPrice3,IF(Scaler3=1,6,5)),0))</f>
        <v> </v>
      </c>
      <c r="G202" s="317" t="str">
        <f aca="false">IF(A202="N/A"," ",IF(OR(Dayrun3=2,Dayrun3=3,Dayrun3=5,Dayrun3=6),IF(Scaler3=2,F202,(VLOOKUP(A202,ScaledPrice3,5))*(2-(VLOOKUP(A202,ScaledPrice3,3)))),0))</f>
        <v> </v>
      </c>
      <c r="H202" s="317" t="str">
        <f aca="false">IF($A202="N/A"," ",IF(OR(Dayrun3=2,Dayrun3=3,Dayrun3=10),VLOOKUP($A202,ScaledPrice3,9),0))</f>
        <v> </v>
      </c>
      <c r="I202" s="317" t="str">
        <f aca="false">IF(A202="N/A"," ",IF(OR(Dayrun3=3,Dayrun3=6,Dayrun3=9),(VLOOKUP(A202,ScaledPrice3,IF(Scaler3=2,7,8))),0))</f>
        <v> </v>
      </c>
      <c r="J202" s="317" t="str">
        <f aca="false">IF(A202="N/A"," ",IF(OR(Dayrun3=3,Dayrun3=6),IF(Scaler3=2,I202,(VLOOKUP(A202,ScaledPrice3,7))*(2-(VLOOKUP(A202,ScaledPrice3,3)))),0))</f>
        <v> </v>
      </c>
      <c r="K202" s="317" t="str">
        <f aca="false">IF($A202="N/A"," ",IF(OR(Dayrun3=3,Dayrun3=10),VLOOKUP($A202,ScaledPrice3,9),0))</f>
        <v> </v>
      </c>
      <c r="L202" s="318" t="str">
        <f aca="false">IF($A202="N/A"," ",IF(Pricetype3=2,MAX(C202,0),IF(OR(Pricetype3=1,Pricetype3=4),IF(C202=0,0,(EURO(C202,Strikeprice3,0,0,($AH202+IF(Smile=TRUE(),VLOOKUP(MAX(-5,Strikeprice3-C202),Volsmile,2),0)),($A202-DateToday)+15,IF(Pricetype3=1,1,0),0))),C202)))</f>
        <v> </v>
      </c>
      <c r="M202" s="318" t="str">
        <f aca="false">IF($A202="N/A"," ",IF(Pricetype3=2,MAX(D202,0),IF(OR(Pricetype3=1,Pricetype3=4),IF(D202=0,0,(EURO(D202,Strikeprice3,0,0,($AH202+IF(Smile=TRUE(),VLOOKUP(MAX(-5,Strikeprice3-D202),Volsmile,2),0)),($A202-DateToday)+15,IF(Pricetype3=1,1,0),0))),D202)))</f>
        <v> </v>
      </c>
      <c r="N202" s="318" t="str">
        <f aca="false">IF($A202="N/A"," ",IF(Pricetype3=2,MAX(E202,0),IF(OR(Pricetype3=1,Pricetype3=4),IF(E202=0,0,(EURO(E202,Strikeprice3,0,0,($AK202+IF(Smile=TRUE(),VLOOKUP(MAX(-5,Strikeprice3-E202),Volsmile,2),0)),($A202-DateToday)+15,IF(Pricetype3=1,1,0),0))),E202)))</f>
        <v> </v>
      </c>
      <c r="O202" s="318" t="str">
        <f aca="false">IF($A202="N/A"," ",IF(Pricetype3=2,MAX(F202,0),IF(OR(Pricetype3=1,Pricetype3=4),IF(F202=0,0,(EURO(F202,Strikeprice3,0,0,($AK202+IF(Smile=TRUE(),VLOOKUP(MAX(-5,Strikeprice3-F202),Volsmile,2),0)),($A202-DateToday)+15,IF(Pricetype3=1,1,0),0))),F202)))</f>
        <v> </v>
      </c>
      <c r="P202" s="318" t="str">
        <f aca="false">IF($A202="N/A"," ",IF(Pricetype3=2,MAX(G202,0),IF(OR(Pricetype3=1,Pricetype3=4),IF(G202=0,0,(EURO(G202,Strikeprice3,0,0,($AK202+IF(Smile=TRUE(),VLOOKUP(MAX(-5,Strikeprice3-G202),Volsmile,2),0)),($A202-DateToday)+15,IF(Pricetype3=1,1,0),0))),G202)))</f>
        <v> </v>
      </c>
      <c r="Q202" s="318" t="str">
        <f aca="false">IF($A202="N/A"," ",IF(Pricetype3=2,MAX(H202,0),IF(OR(Pricetype3=1,Pricetype3=4),IF(H202=0,0,(EURO(H202,Strikeprice3,0,0,($AK202+IF(Smile=TRUE(),VLOOKUP(MAX(-5,Strikeprice3-H202),Volsmile,2),0)),($A202-DateToday)+15,IF(Pricetype3=1,1,0),0))),H202)))</f>
        <v> </v>
      </c>
      <c r="R202" s="318" t="str">
        <f aca="false">IF($A202="N/A"," ",IF(Pricetype3=2,MAX(I202,0),IF(OR(Pricetype3=1,Pricetype3=4),IF(I202=0,0,(EURO(I202,Strikeprice3,0,0,($AK202+IF(Smile=TRUE(),VLOOKUP(MAX(-5,Strikeprice3-I202),Volsmile,2),0)),($A202-DateToday)+15,IF(Pricetype3=1,1,0),0))),I202)))</f>
        <v> </v>
      </c>
      <c r="S202" s="318" t="str">
        <f aca="false">IF($A202="N/A"," ",IF(Pricetype3=2,MAX(J202,0),IF(OR(Pricetype3=1,Pricetype3=4),IF(J202=0,0,(EURO(J202,Strikeprice3,0,0,($AK202+IF(Smile=TRUE(),VLOOKUP(MAX(-5,Strikeprice3-J202),Volsmile,2),0)),($A202-DateToday)+15,IF(Pricetype3=1,1,0),0))),J202)))</f>
        <v> </v>
      </c>
      <c r="T202" s="318" t="str">
        <f aca="false">IF($A202="N/A"," ",IF(Pricetype3=2,MAX(K202,0),IF(OR(Pricetype3=1,Pricetype3=4),IF(K202=0,0,(EURO(K202,Strikeprice3,0,0,($AK202+IF(Smile=TRUE(),VLOOKUP(MAX(-5,Strikeprice3-K202),Volsmile,2),0)),($A202-DateToday)+15,IF(Pricetype3=1,1,0),0))),K202)))</f>
        <v> </v>
      </c>
      <c r="U202" s="319" t="str">
        <f aca="false">IF($A202="N/A"," ",Volume3*$AM202)</f>
        <v> </v>
      </c>
      <c r="V202" s="320" t="str">
        <f aca="false">IF($A202="N/A"," ",$U202*(8*($BQ202))*L202)</f>
        <v> </v>
      </c>
      <c r="W202" s="320" t="str">
        <f aca="false">IF($A202="N/A"," ",$U202*(8*($BQ202))*M202)</f>
        <v> </v>
      </c>
      <c r="X202" s="320" t="str">
        <f aca="false">IF($A202="N/A"," ",$U202*(8*($BQ202))*N202)</f>
        <v> </v>
      </c>
      <c r="Y202" s="320" t="str">
        <f aca="false">IF($A202="N/A"," ",$U202*(8*($BR202))*O202)</f>
        <v> </v>
      </c>
      <c r="Z202" s="320" t="str">
        <f aca="false">IF($A202="N/A"," ",$U202*(8*($BR202))*P202)</f>
        <v> </v>
      </c>
      <c r="AA202" s="320" t="str">
        <f aca="false">IF($A202="N/A"," ",$U202*(8*($BR202))*Q202)</f>
        <v> </v>
      </c>
      <c r="AB202" s="320" t="str">
        <f aca="false">IF($A202="N/A"," ",$U202*(8*($BS202))*R202)</f>
        <v> </v>
      </c>
      <c r="AC202" s="320" t="str">
        <f aca="false">IF($A202="N/A"," ",$U202*(8*($BS202))*S202)</f>
        <v> </v>
      </c>
      <c r="AD202" s="320" t="str">
        <f aca="false">IF($A202="N/A"," ",$U202*(8*($BS202))*T202)</f>
        <v> </v>
      </c>
      <c r="AE202" s="320" t="str">
        <f aca="false">IF($A202="N/A"," ",SUM(V202:AD202))</f>
        <v> </v>
      </c>
      <c r="AF202" s="321" t="str">
        <f aca="false">IF(A202="N/A"," ",(VLOOKUP(A202,PowerVolTable,(IF(VolBMO3=2,7,IF(VolBMO3=1,6,8))),FALSE())))</f>
        <v> </v>
      </c>
      <c r="AG202" s="321" t="str">
        <f aca="false">IF(A202="N/A"," ",(VLOOKUP(A202,IntraPowerVol,(IF(VolBMO3=2,3,IF(VolBMO3=1,2,4))),FALSE())*VLOOKUP(MONTH($A202),Volscale,2)))</f>
        <v> </v>
      </c>
      <c r="AH202" s="321" t="str">
        <f aca="false">IF($A202="N/A"," ",IF(VolType3=1,AG202,AF202))</f>
        <v> </v>
      </c>
      <c r="AI202" s="321" t="str">
        <f aca="false">IF($A202="N/A"," ",(VLOOKUP($A202,OffPwrVolTable,(IF(VolBMO3=2,7,IF(VolBMO3=1,6,8))),FALSE())))</f>
        <v> </v>
      </c>
      <c r="AJ202" s="321" t="str">
        <f aca="false">IF($A202="N/A"," ",(VLOOKUP($A202,OffPwrVolTable,(IF(VolBMO3=2,3,IF(VolBMO3=1,2,4))),FALSE())*VLOOKUP(MONTH($A202),Volscale,2)))</f>
        <v> </v>
      </c>
      <c r="AK202" s="321" t="str">
        <f aca="false">IF($A202="N/A"," ",IF(VolType3=1,AJ202,AI202))</f>
        <v> </v>
      </c>
      <c r="AL202" s="321" t="str">
        <f aca="false">IF($A202="N/A"," ",IF(PV=1,0,'Pricing Inputs3'!R235))</f>
        <v> </v>
      </c>
      <c r="AM202" s="323" t="str">
        <f aca="false">IF($A202="N/A"," ",(1+AL202/2)^(-2*((EOMONTH(A202,0)+20)-DateToday)/365.25))</f>
        <v> </v>
      </c>
      <c r="BQ202" s="0" t="str">
        <f aca="false">IF($A202="N/A"," ",(VLOOKUP($A202,NumberofDaysTable,2)))</f>
        <v> </v>
      </c>
      <c r="BR202" s="0" t="str">
        <f aca="false">IF($A202="N/A"," ",(VLOOKUP($A202,NumberofDaysTable,3)))</f>
        <v> </v>
      </c>
      <c r="BS202" s="0" t="str">
        <f aca="false">IF($A202="N/A"," ",(VLOOKUP($A202,NumberofDaysTable,4)))</f>
        <v> </v>
      </c>
    </row>
    <row r="203" customFormat="false" ht="12.75" hidden="false" customHeight="false" outlineLevel="0" collapsed="false">
      <c r="A203" s="315" t="str">
        <f aca="false">IF(A202="N/A","N/A",IF(EDATE(A202,1)&gt;Inputs!$Q$5,"N/A",EDATE(A202,1)))</f>
        <v>N/A</v>
      </c>
      <c r="B203" s="316" t="str">
        <f aca="false">IF(A203="N/A"," ",YEAR(A203))</f>
        <v> </v>
      </c>
      <c r="C203" s="317" t="str">
        <f aca="false">IF($A203="N/A"," ",IF(Dayrun3=10,0,IF(Scaler3=1,(VLOOKUP(A203,ScaledPrice3,4)),(VLOOKUP(A203,ScaledPrice3,2)))))</f>
        <v> </v>
      </c>
      <c r="D203" s="317" t="str">
        <f aca="false">IF(A203="N/A"," ",IF(Dayrun3&gt;=7,0,IF(Scaler3=2,VLOOKUP(A203,ScaledPrice3,2),(VLOOKUP(A203,ScaledPrice3,2))*(2-(VLOOKUP(A203,ScaledPrice3,3))))))</f>
        <v> </v>
      </c>
      <c r="E203" s="317" t="str">
        <f aca="false">IF($A203="N/A"," ",IF(AND(Dayrun3&gt;=4,Dayrun3&lt;=9),0,VLOOKUP($A203,ScaledPrice3,9)))</f>
        <v> </v>
      </c>
      <c r="F203" s="317" t="str">
        <f aca="false">IF(A203="N/A"," ",IF(OR(Dayrun3=2,Dayrun3=3,Dayrun3=5,Dayrun3=6,Dayrun3=8,Dayrun3=9),VLOOKUP(A203,ScaledPrice3,IF(Scaler3=1,6,5)),0))</f>
        <v> </v>
      </c>
      <c r="G203" s="317" t="str">
        <f aca="false">IF(A203="N/A"," ",IF(OR(Dayrun3=2,Dayrun3=3,Dayrun3=5,Dayrun3=6),IF(Scaler3=2,F203,(VLOOKUP(A203,ScaledPrice3,5))*(2-(VLOOKUP(A203,ScaledPrice3,3)))),0))</f>
        <v> </v>
      </c>
      <c r="H203" s="317" t="str">
        <f aca="false">IF($A203="N/A"," ",IF(OR(Dayrun3=2,Dayrun3=3,Dayrun3=10),VLOOKUP($A203,ScaledPrice3,9),0))</f>
        <v> </v>
      </c>
      <c r="I203" s="317" t="str">
        <f aca="false">IF(A203="N/A"," ",IF(OR(Dayrun3=3,Dayrun3=6,Dayrun3=9),(VLOOKUP(A203,ScaledPrice3,IF(Scaler3=2,7,8))),0))</f>
        <v> </v>
      </c>
      <c r="J203" s="317" t="str">
        <f aca="false">IF(A203="N/A"," ",IF(OR(Dayrun3=3,Dayrun3=6),IF(Scaler3=2,I203,(VLOOKUP(A203,ScaledPrice3,7))*(2-(VLOOKUP(A203,ScaledPrice3,3)))),0))</f>
        <v> </v>
      </c>
      <c r="K203" s="317" t="str">
        <f aca="false">IF($A203="N/A"," ",IF(OR(Dayrun3=3,Dayrun3=10),VLOOKUP($A203,ScaledPrice3,9),0))</f>
        <v> </v>
      </c>
      <c r="L203" s="318" t="str">
        <f aca="false">IF($A203="N/A"," ",IF(Pricetype3=2,MAX(C203,0),IF(OR(Pricetype3=1,Pricetype3=4),IF(C203=0,0,(EURO(C203,Strikeprice3,0,0,($AH203+IF(Smile=TRUE(),VLOOKUP(MAX(-5,Strikeprice3-C203),Volsmile,2),0)),($A203-DateToday)+15,IF(Pricetype3=1,1,0),0))),C203)))</f>
        <v> </v>
      </c>
      <c r="M203" s="318" t="str">
        <f aca="false">IF($A203="N/A"," ",IF(Pricetype3=2,MAX(D203,0),IF(OR(Pricetype3=1,Pricetype3=4),IF(D203=0,0,(EURO(D203,Strikeprice3,0,0,($AH203+IF(Smile=TRUE(),VLOOKUP(MAX(-5,Strikeprice3-D203),Volsmile,2),0)),($A203-DateToday)+15,IF(Pricetype3=1,1,0),0))),D203)))</f>
        <v> </v>
      </c>
      <c r="N203" s="318" t="str">
        <f aca="false">IF($A203="N/A"," ",IF(Pricetype3=2,MAX(E203,0),IF(OR(Pricetype3=1,Pricetype3=4),IF(E203=0,0,(EURO(E203,Strikeprice3,0,0,($AK203+IF(Smile=TRUE(),VLOOKUP(MAX(-5,Strikeprice3-E203),Volsmile,2),0)),($A203-DateToday)+15,IF(Pricetype3=1,1,0),0))),E203)))</f>
        <v> </v>
      </c>
      <c r="O203" s="318" t="str">
        <f aca="false">IF($A203="N/A"," ",IF(Pricetype3=2,MAX(F203,0),IF(OR(Pricetype3=1,Pricetype3=4),IF(F203=0,0,(EURO(F203,Strikeprice3,0,0,($AK203+IF(Smile=TRUE(),VLOOKUP(MAX(-5,Strikeprice3-F203),Volsmile,2),0)),($A203-DateToday)+15,IF(Pricetype3=1,1,0),0))),F203)))</f>
        <v> </v>
      </c>
      <c r="P203" s="318" t="str">
        <f aca="false">IF($A203="N/A"," ",IF(Pricetype3=2,MAX(G203,0),IF(OR(Pricetype3=1,Pricetype3=4),IF(G203=0,0,(EURO(G203,Strikeprice3,0,0,($AK203+IF(Smile=TRUE(),VLOOKUP(MAX(-5,Strikeprice3-G203),Volsmile,2),0)),($A203-DateToday)+15,IF(Pricetype3=1,1,0),0))),G203)))</f>
        <v> </v>
      </c>
      <c r="Q203" s="318" t="str">
        <f aca="false">IF($A203="N/A"," ",IF(Pricetype3=2,MAX(H203,0),IF(OR(Pricetype3=1,Pricetype3=4),IF(H203=0,0,(EURO(H203,Strikeprice3,0,0,($AK203+IF(Smile=TRUE(),VLOOKUP(MAX(-5,Strikeprice3-H203),Volsmile,2),0)),($A203-DateToday)+15,IF(Pricetype3=1,1,0),0))),H203)))</f>
        <v> </v>
      </c>
      <c r="R203" s="318" t="str">
        <f aca="false">IF($A203="N/A"," ",IF(Pricetype3=2,MAX(I203,0),IF(OR(Pricetype3=1,Pricetype3=4),IF(I203=0,0,(EURO(I203,Strikeprice3,0,0,($AK203+IF(Smile=TRUE(),VLOOKUP(MAX(-5,Strikeprice3-I203),Volsmile,2),0)),($A203-DateToday)+15,IF(Pricetype3=1,1,0),0))),I203)))</f>
        <v> </v>
      </c>
      <c r="S203" s="318" t="str">
        <f aca="false">IF($A203="N/A"," ",IF(Pricetype3=2,MAX(J203,0),IF(OR(Pricetype3=1,Pricetype3=4),IF(J203=0,0,(EURO(J203,Strikeprice3,0,0,($AK203+IF(Smile=TRUE(),VLOOKUP(MAX(-5,Strikeprice3-J203),Volsmile,2),0)),($A203-DateToday)+15,IF(Pricetype3=1,1,0),0))),J203)))</f>
        <v> </v>
      </c>
      <c r="T203" s="318" t="str">
        <f aca="false">IF($A203="N/A"," ",IF(Pricetype3=2,MAX(K203,0),IF(OR(Pricetype3=1,Pricetype3=4),IF(K203=0,0,(EURO(K203,Strikeprice3,0,0,($AK203+IF(Smile=TRUE(),VLOOKUP(MAX(-5,Strikeprice3-K203),Volsmile,2),0)),($A203-DateToday)+15,IF(Pricetype3=1,1,0),0))),K203)))</f>
        <v> </v>
      </c>
      <c r="U203" s="319" t="str">
        <f aca="false">IF($A203="N/A"," ",Volume3*$AM203)</f>
        <v> </v>
      </c>
      <c r="V203" s="320" t="str">
        <f aca="false">IF($A203="N/A"," ",$U203*(8*($BQ203))*L203)</f>
        <v> </v>
      </c>
      <c r="W203" s="320" t="str">
        <f aca="false">IF($A203="N/A"," ",$U203*(8*($BQ203))*M203)</f>
        <v> </v>
      </c>
      <c r="X203" s="320" t="str">
        <f aca="false">IF($A203="N/A"," ",$U203*(8*($BQ203))*N203)</f>
        <v> </v>
      </c>
      <c r="Y203" s="320" t="str">
        <f aca="false">IF($A203="N/A"," ",$U203*(8*($BR203))*O203)</f>
        <v> </v>
      </c>
      <c r="Z203" s="320" t="str">
        <f aca="false">IF($A203="N/A"," ",$U203*(8*($BR203))*P203)</f>
        <v> </v>
      </c>
      <c r="AA203" s="320" t="str">
        <f aca="false">IF($A203="N/A"," ",$U203*(8*($BR203))*Q203)</f>
        <v> </v>
      </c>
      <c r="AB203" s="320" t="str">
        <f aca="false">IF($A203="N/A"," ",$U203*(8*($BS203))*R203)</f>
        <v> </v>
      </c>
      <c r="AC203" s="320" t="str">
        <f aca="false">IF($A203="N/A"," ",$U203*(8*($BS203))*S203)</f>
        <v> </v>
      </c>
      <c r="AD203" s="320" t="str">
        <f aca="false">IF($A203="N/A"," ",$U203*(8*($BS203))*T203)</f>
        <v> </v>
      </c>
      <c r="AE203" s="320" t="str">
        <f aca="false">IF($A203="N/A"," ",SUM(V203:AD203))</f>
        <v> </v>
      </c>
      <c r="AF203" s="321" t="str">
        <f aca="false">IF(A203="N/A"," ",(VLOOKUP(A203,PowerVolTable,(IF(VolBMO3=2,7,IF(VolBMO3=1,6,8))),FALSE())))</f>
        <v> </v>
      </c>
      <c r="AG203" s="321" t="str">
        <f aca="false">IF(A203="N/A"," ",(VLOOKUP(A203,IntraPowerVol,(IF(VolBMO3=2,3,IF(VolBMO3=1,2,4))),FALSE())*VLOOKUP(MONTH($A203),Volscale,2)))</f>
        <v> </v>
      </c>
      <c r="AH203" s="321" t="str">
        <f aca="false">IF($A203="N/A"," ",IF(VolType3=1,AG203,AF203))</f>
        <v> </v>
      </c>
      <c r="AI203" s="321" t="str">
        <f aca="false">IF($A203="N/A"," ",(VLOOKUP($A203,OffPwrVolTable,(IF(VolBMO3=2,7,IF(VolBMO3=1,6,8))),FALSE())))</f>
        <v> </v>
      </c>
      <c r="AJ203" s="321" t="str">
        <f aca="false">IF($A203="N/A"," ",(VLOOKUP($A203,OffPwrVolTable,(IF(VolBMO3=2,3,IF(VolBMO3=1,2,4))),FALSE())*VLOOKUP(MONTH($A203),Volscale,2)))</f>
        <v> </v>
      </c>
      <c r="AK203" s="321" t="str">
        <f aca="false">IF($A203="N/A"," ",IF(VolType3=1,AJ203,AI203))</f>
        <v> </v>
      </c>
      <c r="AL203" s="321" t="str">
        <f aca="false">IF($A203="N/A"," ",IF(PV=1,0,'Pricing Inputs3'!R236))</f>
        <v> </v>
      </c>
      <c r="AM203" s="323" t="str">
        <f aca="false">IF($A203="N/A"," ",(1+AL203/2)^(-2*((EOMONTH(A203,0)+20)-DateToday)/365.25))</f>
        <v> </v>
      </c>
      <c r="BQ203" s="0" t="str">
        <f aca="false">IF($A203="N/A"," ",(VLOOKUP($A203,NumberofDaysTable,2)))</f>
        <v> </v>
      </c>
      <c r="BR203" s="0" t="str">
        <f aca="false">IF($A203="N/A"," ",(VLOOKUP($A203,NumberofDaysTable,3)))</f>
        <v> </v>
      </c>
      <c r="BS203" s="0" t="str">
        <f aca="false">IF($A203="N/A"," ",(VLOOKUP($A203,NumberofDaysTable,4)))</f>
        <v> </v>
      </c>
    </row>
    <row r="204" customFormat="false" ht="12.75" hidden="false" customHeight="false" outlineLevel="0" collapsed="false">
      <c r="A204" s="315" t="str">
        <f aca="false">IF(A203="N/A","N/A",IF(EDATE(A203,1)&gt;Inputs!$Q$5,"N/A",EDATE(A203,1)))</f>
        <v>N/A</v>
      </c>
      <c r="B204" s="316" t="str">
        <f aca="false">IF(A204="N/A"," ",YEAR(A204))</f>
        <v> </v>
      </c>
      <c r="C204" s="317" t="str">
        <f aca="false">IF($A204="N/A"," ",IF(Dayrun3=10,0,IF(Scaler3=1,(VLOOKUP(A204,ScaledPrice3,4)),(VLOOKUP(A204,ScaledPrice3,2)))))</f>
        <v> </v>
      </c>
      <c r="D204" s="317" t="str">
        <f aca="false">IF(A204="N/A"," ",IF(Dayrun3&gt;=7,0,IF(Scaler3=2,VLOOKUP(A204,ScaledPrice3,2),(VLOOKUP(A204,ScaledPrice3,2))*(2-(VLOOKUP(A204,ScaledPrice3,3))))))</f>
        <v> </v>
      </c>
      <c r="E204" s="317" t="str">
        <f aca="false">IF($A204="N/A"," ",IF(AND(Dayrun3&gt;=4,Dayrun3&lt;=9),0,VLOOKUP($A204,ScaledPrice3,9)))</f>
        <v> </v>
      </c>
      <c r="F204" s="317" t="str">
        <f aca="false">IF(A204="N/A"," ",IF(OR(Dayrun3=2,Dayrun3=3,Dayrun3=5,Dayrun3=6,Dayrun3=8,Dayrun3=9),VLOOKUP(A204,ScaledPrice3,IF(Scaler3=1,6,5)),0))</f>
        <v> </v>
      </c>
      <c r="G204" s="317" t="str">
        <f aca="false">IF(A204="N/A"," ",IF(OR(Dayrun3=2,Dayrun3=3,Dayrun3=5,Dayrun3=6),IF(Scaler3=2,F204,(VLOOKUP(A204,ScaledPrice3,5))*(2-(VLOOKUP(A204,ScaledPrice3,3)))),0))</f>
        <v> </v>
      </c>
      <c r="H204" s="317" t="str">
        <f aca="false">IF($A204="N/A"," ",IF(OR(Dayrun3=2,Dayrun3=3,Dayrun3=10),VLOOKUP($A204,ScaledPrice3,9),0))</f>
        <v> </v>
      </c>
      <c r="I204" s="317" t="str">
        <f aca="false">IF(A204="N/A"," ",IF(OR(Dayrun3=3,Dayrun3=6,Dayrun3=9),(VLOOKUP(A204,ScaledPrice3,IF(Scaler3=2,7,8))),0))</f>
        <v> </v>
      </c>
      <c r="J204" s="317" t="str">
        <f aca="false">IF(A204="N/A"," ",IF(OR(Dayrun3=3,Dayrun3=6),IF(Scaler3=2,I204,(VLOOKUP(A204,ScaledPrice3,7))*(2-(VLOOKUP(A204,ScaledPrice3,3)))),0))</f>
        <v> </v>
      </c>
      <c r="K204" s="317" t="str">
        <f aca="false">IF($A204="N/A"," ",IF(OR(Dayrun3=3,Dayrun3=10),VLOOKUP($A204,ScaledPrice3,9),0))</f>
        <v> </v>
      </c>
      <c r="L204" s="318" t="str">
        <f aca="false">IF($A204="N/A"," ",IF(Pricetype3=2,MAX(C204,0),IF(OR(Pricetype3=1,Pricetype3=4),IF(C204=0,0,(EURO(C204,Strikeprice3,0,0,($AH204+IF(Smile=TRUE(),VLOOKUP(MAX(-5,Strikeprice3-C204),Volsmile,2),0)),($A204-DateToday)+15,IF(Pricetype3=1,1,0),0))),C204)))</f>
        <v> </v>
      </c>
      <c r="M204" s="318" t="str">
        <f aca="false">IF($A204="N/A"," ",IF(Pricetype3=2,MAX(D204,0),IF(OR(Pricetype3=1,Pricetype3=4),IF(D204=0,0,(EURO(D204,Strikeprice3,0,0,($AH204+IF(Smile=TRUE(),VLOOKUP(MAX(-5,Strikeprice3-D204),Volsmile,2),0)),($A204-DateToday)+15,IF(Pricetype3=1,1,0),0))),D204)))</f>
        <v> </v>
      </c>
      <c r="N204" s="318" t="str">
        <f aca="false">IF($A204="N/A"," ",IF(Pricetype3=2,MAX(E204,0),IF(OR(Pricetype3=1,Pricetype3=4),IF(E204=0,0,(EURO(E204,Strikeprice3,0,0,($AK204+IF(Smile=TRUE(),VLOOKUP(MAX(-5,Strikeprice3-E204),Volsmile,2),0)),($A204-DateToday)+15,IF(Pricetype3=1,1,0),0))),E204)))</f>
        <v> </v>
      </c>
      <c r="O204" s="318" t="str">
        <f aca="false">IF($A204="N/A"," ",IF(Pricetype3=2,MAX(F204,0),IF(OR(Pricetype3=1,Pricetype3=4),IF(F204=0,0,(EURO(F204,Strikeprice3,0,0,($AK204+IF(Smile=TRUE(),VLOOKUP(MAX(-5,Strikeprice3-F204),Volsmile,2),0)),($A204-DateToday)+15,IF(Pricetype3=1,1,0),0))),F204)))</f>
        <v> </v>
      </c>
      <c r="P204" s="318" t="str">
        <f aca="false">IF($A204="N/A"," ",IF(Pricetype3=2,MAX(G204,0),IF(OR(Pricetype3=1,Pricetype3=4),IF(G204=0,0,(EURO(G204,Strikeprice3,0,0,($AK204+IF(Smile=TRUE(),VLOOKUP(MAX(-5,Strikeprice3-G204),Volsmile,2),0)),($A204-DateToday)+15,IF(Pricetype3=1,1,0),0))),G204)))</f>
        <v> </v>
      </c>
      <c r="Q204" s="318" t="str">
        <f aca="false">IF($A204="N/A"," ",IF(Pricetype3=2,MAX(H204,0),IF(OR(Pricetype3=1,Pricetype3=4),IF(H204=0,0,(EURO(H204,Strikeprice3,0,0,($AK204+IF(Smile=TRUE(),VLOOKUP(MAX(-5,Strikeprice3-H204),Volsmile,2),0)),($A204-DateToday)+15,IF(Pricetype3=1,1,0),0))),H204)))</f>
        <v> </v>
      </c>
      <c r="R204" s="318" t="str">
        <f aca="false">IF($A204="N/A"," ",IF(Pricetype3=2,MAX(I204,0),IF(OR(Pricetype3=1,Pricetype3=4),IF(I204=0,0,(EURO(I204,Strikeprice3,0,0,($AK204+IF(Smile=TRUE(),VLOOKUP(MAX(-5,Strikeprice3-I204),Volsmile,2),0)),($A204-DateToday)+15,IF(Pricetype3=1,1,0),0))),I204)))</f>
        <v> </v>
      </c>
      <c r="S204" s="318" t="str">
        <f aca="false">IF($A204="N/A"," ",IF(Pricetype3=2,MAX(J204,0),IF(OR(Pricetype3=1,Pricetype3=4),IF(J204=0,0,(EURO(J204,Strikeprice3,0,0,($AK204+IF(Smile=TRUE(),VLOOKUP(MAX(-5,Strikeprice3-J204),Volsmile,2),0)),($A204-DateToday)+15,IF(Pricetype3=1,1,0),0))),J204)))</f>
        <v> </v>
      </c>
      <c r="T204" s="318" t="str">
        <f aca="false">IF($A204="N/A"," ",IF(Pricetype3=2,MAX(K204,0),IF(OR(Pricetype3=1,Pricetype3=4),IF(K204=0,0,(EURO(K204,Strikeprice3,0,0,($AK204+IF(Smile=TRUE(),VLOOKUP(MAX(-5,Strikeprice3-K204),Volsmile,2),0)),($A204-DateToday)+15,IF(Pricetype3=1,1,0),0))),K204)))</f>
        <v> </v>
      </c>
      <c r="U204" s="319" t="str">
        <f aca="false">IF($A204="N/A"," ",Volume3*$AM204)</f>
        <v> </v>
      </c>
      <c r="V204" s="320" t="str">
        <f aca="false">IF($A204="N/A"," ",$U204*(8*($BQ204))*L204)</f>
        <v> </v>
      </c>
      <c r="W204" s="320" t="str">
        <f aca="false">IF($A204="N/A"," ",$U204*(8*($BQ204))*M204)</f>
        <v> </v>
      </c>
      <c r="X204" s="320" t="str">
        <f aca="false">IF($A204="N/A"," ",$U204*(8*($BQ204))*N204)</f>
        <v> </v>
      </c>
      <c r="Y204" s="320" t="str">
        <f aca="false">IF($A204="N/A"," ",$U204*(8*($BR204))*O204)</f>
        <v> </v>
      </c>
      <c r="Z204" s="320" t="str">
        <f aca="false">IF($A204="N/A"," ",$U204*(8*($BR204))*P204)</f>
        <v> </v>
      </c>
      <c r="AA204" s="320" t="str">
        <f aca="false">IF($A204="N/A"," ",$U204*(8*($BR204))*Q204)</f>
        <v> </v>
      </c>
      <c r="AB204" s="320" t="str">
        <f aca="false">IF($A204="N/A"," ",$U204*(8*($BS204))*R204)</f>
        <v> </v>
      </c>
      <c r="AC204" s="320" t="str">
        <f aca="false">IF($A204="N/A"," ",$U204*(8*($BS204))*S204)</f>
        <v> </v>
      </c>
      <c r="AD204" s="320" t="str">
        <f aca="false">IF($A204="N/A"," ",$U204*(8*($BS204))*T204)</f>
        <v> </v>
      </c>
      <c r="AE204" s="320" t="str">
        <f aca="false">IF($A204="N/A"," ",SUM(V204:AD204))</f>
        <v> </v>
      </c>
      <c r="AF204" s="321" t="str">
        <f aca="false">IF(A204="N/A"," ",(VLOOKUP(A204,PowerVolTable,(IF(VolBMO3=2,7,IF(VolBMO3=1,6,8))),FALSE())))</f>
        <v> </v>
      </c>
      <c r="AG204" s="321" t="str">
        <f aca="false">IF(A204="N/A"," ",(VLOOKUP(A204,IntraPowerVol,(IF(VolBMO3=2,3,IF(VolBMO3=1,2,4))),FALSE())*VLOOKUP(MONTH($A204),Volscale,2)))</f>
        <v> </v>
      </c>
      <c r="AH204" s="321" t="str">
        <f aca="false">IF($A204="N/A"," ",IF(VolType3=1,AG204,AF204))</f>
        <v> </v>
      </c>
      <c r="AI204" s="321" t="str">
        <f aca="false">IF($A204="N/A"," ",(VLOOKUP($A204,OffPwrVolTable,(IF(VolBMO3=2,7,IF(VolBMO3=1,6,8))),FALSE())))</f>
        <v> </v>
      </c>
      <c r="AJ204" s="321" t="str">
        <f aca="false">IF($A204="N/A"," ",(VLOOKUP($A204,OffPwrVolTable,(IF(VolBMO3=2,3,IF(VolBMO3=1,2,4))),FALSE())*VLOOKUP(MONTH($A204),Volscale,2)))</f>
        <v> </v>
      </c>
      <c r="AK204" s="321" t="str">
        <f aca="false">IF($A204="N/A"," ",IF(VolType3=1,AJ204,AI204))</f>
        <v> </v>
      </c>
      <c r="AL204" s="321" t="str">
        <f aca="false">IF($A204="N/A"," ",IF(PV=1,0,'Pricing Inputs3'!R237))</f>
        <v> </v>
      </c>
      <c r="AM204" s="323" t="str">
        <f aca="false">IF($A204="N/A"," ",(1+AL204/2)^(-2*((EOMONTH(A204,0)+20)-DateToday)/365.25))</f>
        <v> </v>
      </c>
      <c r="BQ204" s="0" t="str">
        <f aca="false">IF($A204="N/A"," ",(VLOOKUP($A204,NumberofDaysTable,2)))</f>
        <v> </v>
      </c>
      <c r="BR204" s="0" t="str">
        <f aca="false">IF($A204="N/A"," ",(VLOOKUP($A204,NumberofDaysTable,3)))</f>
        <v> </v>
      </c>
      <c r="BS204" s="0" t="str">
        <f aca="false">IF($A204="N/A"," ",(VLOOKUP($A204,NumberofDaysTable,4)))</f>
        <v> </v>
      </c>
    </row>
    <row r="205" customFormat="false" ht="12.75" hidden="false" customHeight="false" outlineLevel="0" collapsed="false">
      <c r="A205" s="315" t="str">
        <f aca="false">IF(A204="N/A","N/A",IF(EDATE(A204,1)&gt;Inputs!$Q$5,"N/A",EDATE(A204,1)))</f>
        <v>N/A</v>
      </c>
      <c r="B205" s="316" t="str">
        <f aca="false">IF(A205="N/A"," ",YEAR(A205))</f>
        <v> </v>
      </c>
      <c r="C205" s="317" t="str">
        <f aca="false">IF($A205="N/A"," ",IF(Dayrun3=10,0,IF(Scaler3=1,(VLOOKUP(A205,ScaledPrice3,4)),(VLOOKUP(A205,ScaledPrice3,2)))))</f>
        <v> </v>
      </c>
      <c r="D205" s="317" t="str">
        <f aca="false">IF(A205="N/A"," ",IF(Dayrun3&gt;=7,0,IF(Scaler3=2,VLOOKUP(A205,ScaledPrice3,2),(VLOOKUP(A205,ScaledPrice3,2))*(2-(VLOOKUP(A205,ScaledPrice3,3))))))</f>
        <v> </v>
      </c>
      <c r="E205" s="317" t="str">
        <f aca="false">IF($A205="N/A"," ",IF(AND(Dayrun3&gt;=4,Dayrun3&lt;=9),0,VLOOKUP($A205,ScaledPrice3,9)))</f>
        <v> </v>
      </c>
      <c r="F205" s="317" t="str">
        <f aca="false">IF(A205="N/A"," ",IF(OR(Dayrun3=2,Dayrun3=3,Dayrun3=5,Dayrun3=6,Dayrun3=8,Dayrun3=9),VLOOKUP(A205,ScaledPrice3,IF(Scaler3=1,6,5)),0))</f>
        <v> </v>
      </c>
      <c r="G205" s="317" t="str">
        <f aca="false">IF(A205="N/A"," ",IF(OR(Dayrun3=2,Dayrun3=3,Dayrun3=5,Dayrun3=6),IF(Scaler3=2,F205,(VLOOKUP(A205,ScaledPrice3,5))*(2-(VLOOKUP(A205,ScaledPrice3,3)))),0))</f>
        <v> </v>
      </c>
      <c r="H205" s="317" t="str">
        <f aca="false">IF($A205="N/A"," ",IF(OR(Dayrun3=2,Dayrun3=3,Dayrun3=10),VLOOKUP($A205,ScaledPrice3,9),0))</f>
        <v> </v>
      </c>
      <c r="I205" s="317" t="str">
        <f aca="false">IF(A205="N/A"," ",IF(OR(Dayrun3=3,Dayrun3=6,Dayrun3=9),(VLOOKUP(A205,ScaledPrice3,IF(Scaler3=2,7,8))),0))</f>
        <v> </v>
      </c>
      <c r="J205" s="317" t="str">
        <f aca="false">IF(A205="N/A"," ",IF(OR(Dayrun3=3,Dayrun3=6),IF(Scaler3=2,I205,(VLOOKUP(A205,ScaledPrice3,7))*(2-(VLOOKUP(A205,ScaledPrice3,3)))),0))</f>
        <v> </v>
      </c>
      <c r="K205" s="317" t="str">
        <f aca="false">IF($A205="N/A"," ",IF(OR(Dayrun3=3,Dayrun3=10),VLOOKUP($A205,ScaledPrice3,9),0))</f>
        <v> </v>
      </c>
      <c r="L205" s="318" t="str">
        <f aca="false">IF($A205="N/A"," ",IF(Pricetype3=2,MAX(C205,0),IF(OR(Pricetype3=1,Pricetype3=4),IF(C205=0,0,(EURO(C205,Strikeprice3,0,0,($AH205+IF(Smile=TRUE(),VLOOKUP(MAX(-5,Strikeprice3-C205),Volsmile,2),0)),($A205-DateToday)+15,IF(Pricetype3=1,1,0),0))),C205)))</f>
        <v> </v>
      </c>
      <c r="M205" s="318" t="str">
        <f aca="false">IF($A205="N/A"," ",IF(Pricetype3=2,MAX(D205,0),IF(OR(Pricetype3=1,Pricetype3=4),IF(D205=0,0,(EURO(D205,Strikeprice3,0,0,($AH205+IF(Smile=TRUE(),VLOOKUP(MAX(-5,Strikeprice3-D205),Volsmile,2),0)),($A205-DateToday)+15,IF(Pricetype3=1,1,0),0))),D205)))</f>
        <v> </v>
      </c>
      <c r="N205" s="318" t="str">
        <f aca="false">IF($A205="N/A"," ",IF(Pricetype3=2,MAX(E205,0),IF(OR(Pricetype3=1,Pricetype3=4),IF(E205=0,0,(EURO(E205,Strikeprice3,0,0,($AK205+IF(Smile=TRUE(),VLOOKUP(MAX(-5,Strikeprice3-E205),Volsmile,2),0)),($A205-DateToday)+15,IF(Pricetype3=1,1,0),0))),E205)))</f>
        <v> </v>
      </c>
      <c r="O205" s="318" t="str">
        <f aca="false">IF($A205="N/A"," ",IF(Pricetype3=2,MAX(F205,0),IF(OR(Pricetype3=1,Pricetype3=4),IF(F205=0,0,(EURO(F205,Strikeprice3,0,0,($AK205+IF(Smile=TRUE(),VLOOKUP(MAX(-5,Strikeprice3-F205),Volsmile,2),0)),($A205-DateToday)+15,IF(Pricetype3=1,1,0),0))),F205)))</f>
        <v> </v>
      </c>
      <c r="P205" s="318" t="str">
        <f aca="false">IF($A205="N/A"," ",IF(Pricetype3=2,MAX(G205,0),IF(OR(Pricetype3=1,Pricetype3=4),IF(G205=0,0,(EURO(G205,Strikeprice3,0,0,($AK205+IF(Smile=TRUE(),VLOOKUP(MAX(-5,Strikeprice3-G205),Volsmile,2),0)),($A205-DateToday)+15,IF(Pricetype3=1,1,0),0))),G205)))</f>
        <v> </v>
      </c>
      <c r="Q205" s="318" t="str">
        <f aca="false">IF($A205="N/A"," ",IF(Pricetype3=2,MAX(H205,0),IF(OR(Pricetype3=1,Pricetype3=4),IF(H205=0,0,(EURO(H205,Strikeprice3,0,0,($AK205+IF(Smile=TRUE(),VLOOKUP(MAX(-5,Strikeprice3-H205),Volsmile,2),0)),($A205-DateToday)+15,IF(Pricetype3=1,1,0),0))),H205)))</f>
        <v> </v>
      </c>
      <c r="R205" s="318" t="str">
        <f aca="false">IF($A205="N/A"," ",IF(Pricetype3=2,MAX(I205,0),IF(OR(Pricetype3=1,Pricetype3=4),IF(I205=0,0,(EURO(I205,Strikeprice3,0,0,($AK205+IF(Smile=TRUE(),VLOOKUP(MAX(-5,Strikeprice3-I205),Volsmile,2),0)),($A205-DateToday)+15,IF(Pricetype3=1,1,0),0))),I205)))</f>
        <v> </v>
      </c>
      <c r="S205" s="318" t="str">
        <f aca="false">IF($A205="N/A"," ",IF(Pricetype3=2,MAX(J205,0),IF(OR(Pricetype3=1,Pricetype3=4),IF(J205=0,0,(EURO(J205,Strikeprice3,0,0,($AK205+IF(Smile=TRUE(),VLOOKUP(MAX(-5,Strikeprice3-J205),Volsmile,2),0)),($A205-DateToday)+15,IF(Pricetype3=1,1,0),0))),J205)))</f>
        <v> </v>
      </c>
      <c r="T205" s="318" t="str">
        <f aca="false">IF($A205="N/A"," ",IF(Pricetype3=2,MAX(K205,0),IF(OR(Pricetype3=1,Pricetype3=4),IF(K205=0,0,(EURO(K205,Strikeprice3,0,0,($AK205+IF(Smile=TRUE(),VLOOKUP(MAX(-5,Strikeprice3-K205),Volsmile,2),0)),($A205-DateToday)+15,IF(Pricetype3=1,1,0),0))),K205)))</f>
        <v> </v>
      </c>
      <c r="U205" s="319" t="str">
        <f aca="false">IF($A205="N/A"," ",Volume3*$AM205)</f>
        <v> </v>
      </c>
      <c r="V205" s="320" t="str">
        <f aca="false">IF($A205="N/A"," ",$U205*(8*($BQ205))*L205)</f>
        <v> </v>
      </c>
      <c r="W205" s="320" t="str">
        <f aca="false">IF($A205="N/A"," ",$U205*(8*($BQ205))*M205)</f>
        <v> </v>
      </c>
      <c r="X205" s="320" t="str">
        <f aca="false">IF($A205="N/A"," ",$U205*(8*($BQ205))*N205)</f>
        <v> </v>
      </c>
      <c r="Y205" s="320" t="str">
        <f aca="false">IF($A205="N/A"," ",$U205*(8*($BR205))*O205)</f>
        <v> </v>
      </c>
      <c r="Z205" s="320" t="str">
        <f aca="false">IF($A205="N/A"," ",$U205*(8*($BR205))*P205)</f>
        <v> </v>
      </c>
      <c r="AA205" s="320" t="str">
        <f aca="false">IF($A205="N/A"," ",$U205*(8*($BR205))*Q205)</f>
        <v> </v>
      </c>
      <c r="AB205" s="320" t="str">
        <f aca="false">IF($A205="N/A"," ",$U205*(8*($BS205))*R205)</f>
        <v> </v>
      </c>
      <c r="AC205" s="320" t="str">
        <f aca="false">IF($A205="N/A"," ",$U205*(8*($BS205))*S205)</f>
        <v> </v>
      </c>
      <c r="AD205" s="320" t="str">
        <f aca="false">IF($A205="N/A"," ",$U205*(8*($BS205))*T205)</f>
        <v> </v>
      </c>
      <c r="AE205" s="320" t="str">
        <f aca="false">IF($A205="N/A"," ",SUM(V205:AD205))</f>
        <v> </v>
      </c>
      <c r="AF205" s="321" t="str">
        <f aca="false">IF(A205="N/A"," ",(VLOOKUP(A205,PowerVolTable,(IF(VolBMO3=2,7,IF(VolBMO3=1,6,8))),FALSE())))</f>
        <v> </v>
      </c>
      <c r="AG205" s="321" t="str">
        <f aca="false">IF(A205="N/A"," ",(VLOOKUP(A205,IntraPowerVol,(IF(VolBMO3=2,3,IF(VolBMO3=1,2,4))),FALSE())*VLOOKUP(MONTH($A205),Volscale,2)))</f>
        <v> </v>
      </c>
      <c r="AH205" s="321" t="str">
        <f aca="false">IF($A205="N/A"," ",IF(VolType3=1,AG205,AF205))</f>
        <v> </v>
      </c>
      <c r="AI205" s="321" t="str">
        <f aca="false">IF($A205="N/A"," ",(VLOOKUP($A205,OffPwrVolTable,(IF(VolBMO3=2,7,IF(VolBMO3=1,6,8))),FALSE())))</f>
        <v> </v>
      </c>
      <c r="AJ205" s="321" t="str">
        <f aca="false">IF($A205="N/A"," ",(VLOOKUP($A205,OffPwrVolTable,(IF(VolBMO3=2,3,IF(VolBMO3=1,2,4))),FALSE())*VLOOKUP(MONTH($A205),Volscale,2)))</f>
        <v> </v>
      </c>
      <c r="AK205" s="321" t="str">
        <f aca="false">IF($A205="N/A"," ",IF(VolType3=1,AJ205,AI205))</f>
        <v> </v>
      </c>
      <c r="AL205" s="321" t="str">
        <f aca="false">IF($A205="N/A"," ",IF(PV=1,0,'Pricing Inputs3'!R238))</f>
        <v> </v>
      </c>
      <c r="AM205" s="323" t="str">
        <f aca="false">IF($A205="N/A"," ",(1+AL205/2)^(-2*((EOMONTH(A205,0)+20)-DateToday)/365.25))</f>
        <v> </v>
      </c>
      <c r="BQ205" s="0" t="str">
        <f aca="false">IF($A205="N/A"," ",(VLOOKUP($A205,NumberofDaysTable,2)))</f>
        <v> </v>
      </c>
      <c r="BR205" s="0" t="str">
        <f aca="false">IF($A205="N/A"," ",(VLOOKUP($A205,NumberofDaysTable,3)))</f>
        <v> </v>
      </c>
      <c r="BS205" s="0" t="str">
        <f aca="false">IF($A205="N/A"," ",(VLOOKUP($A205,NumberofDaysTable,4)))</f>
        <v> </v>
      </c>
    </row>
    <row r="206" customFormat="false" ht="12.75" hidden="false" customHeight="false" outlineLevel="0" collapsed="false">
      <c r="A206" s="315" t="str">
        <f aca="false">IF(A205="N/A","N/A",IF(EDATE(A205,1)&gt;Inputs!$Q$5,"N/A",EDATE(A205,1)))</f>
        <v>N/A</v>
      </c>
      <c r="B206" s="316" t="str">
        <f aca="false">IF(A206="N/A"," ",YEAR(A206))</f>
        <v> </v>
      </c>
      <c r="C206" s="317" t="str">
        <f aca="false">IF($A206="N/A"," ",IF(Dayrun3=10,0,IF(Scaler3=1,(VLOOKUP(A206,ScaledPrice3,4)),(VLOOKUP(A206,ScaledPrice3,2)))))</f>
        <v> </v>
      </c>
      <c r="D206" s="317" t="str">
        <f aca="false">IF(A206="N/A"," ",IF(Dayrun3&gt;=7,0,IF(Scaler3=2,VLOOKUP(A206,ScaledPrice3,2),(VLOOKUP(A206,ScaledPrice3,2))*(2-(VLOOKUP(A206,ScaledPrice3,3))))))</f>
        <v> </v>
      </c>
      <c r="E206" s="317" t="str">
        <f aca="false">IF($A206="N/A"," ",IF(AND(Dayrun3&gt;=4,Dayrun3&lt;=9),0,VLOOKUP($A206,ScaledPrice3,9)))</f>
        <v> </v>
      </c>
      <c r="F206" s="317" t="str">
        <f aca="false">IF(A206="N/A"," ",IF(OR(Dayrun3=2,Dayrun3=3,Dayrun3=5,Dayrun3=6,Dayrun3=8,Dayrun3=9),VLOOKUP(A206,ScaledPrice3,IF(Scaler3=1,6,5)),0))</f>
        <v> </v>
      </c>
      <c r="G206" s="317" t="str">
        <f aca="false">IF(A206="N/A"," ",IF(OR(Dayrun3=2,Dayrun3=3,Dayrun3=5,Dayrun3=6),IF(Scaler3=2,F206,(VLOOKUP(A206,ScaledPrice3,5))*(2-(VLOOKUP(A206,ScaledPrice3,3)))),0))</f>
        <v> </v>
      </c>
      <c r="H206" s="317" t="str">
        <f aca="false">IF($A206="N/A"," ",IF(OR(Dayrun3=2,Dayrun3=3,Dayrun3=10),VLOOKUP($A206,ScaledPrice3,9),0))</f>
        <v> </v>
      </c>
      <c r="I206" s="317" t="str">
        <f aca="false">IF(A206="N/A"," ",IF(OR(Dayrun3=3,Dayrun3=6,Dayrun3=9),(VLOOKUP(A206,ScaledPrice3,IF(Scaler3=2,7,8))),0))</f>
        <v> </v>
      </c>
      <c r="J206" s="317" t="str">
        <f aca="false">IF(A206="N/A"," ",IF(OR(Dayrun3=3,Dayrun3=6),IF(Scaler3=2,I206,(VLOOKUP(A206,ScaledPrice3,7))*(2-(VLOOKUP(A206,ScaledPrice3,3)))),0))</f>
        <v> </v>
      </c>
      <c r="K206" s="317" t="str">
        <f aca="false">IF($A206="N/A"," ",IF(OR(Dayrun3=3,Dayrun3=10),VLOOKUP($A206,ScaledPrice3,9),0))</f>
        <v> </v>
      </c>
      <c r="L206" s="318" t="str">
        <f aca="false">IF($A206="N/A"," ",IF(Pricetype3=2,MAX(C206,0),IF(OR(Pricetype3=1,Pricetype3=4),IF(C206=0,0,(EURO(C206,Strikeprice3,0,0,($AH206+IF(Smile=TRUE(),VLOOKUP(MAX(-5,Strikeprice3-C206),Volsmile,2),0)),($A206-DateToday)+15,IF(Pricetype3=1,1,0),0))),C206)))</f>
        <v> </v>
      </c>
      <c r="M206" s="318" t="str">
        <f aca="false">IF($A206="N/A"," ",IF(Pricetype3=2,MAX(D206,0),IF(OR(Pricetype3=1,Pricetype3=4),IF(D206=0,0,(EURO(D206,Strikeprice3,0,0,($AH206+IF(Smile=TRUE(),VLOOKUP(MAX(-5,Strikeprice3-D206),Volsmile,2),0)),($A206-DateToday)+15,IF(Pricetype3=1,1,0),0))),D206)))</f>
        <v> </v>
      </c>
      <c r="N206" s="318" t="str">
        <f aca="false">IF($A206="N/A"," ",IF(Pricetype3=2,MAX(E206,0),IF(OR(Pricetype3=1,Pricetype3=4),IF(E206=0,0,(EURO(E206,Strikeprice3,0,0,($AK206+IF(Smile=TRUE(),VLOOKUP(MAX(-5,Strikeprice3-E206),Volsmile,2),0)),($A206-DateToday)+15,IF(Pricetype3=1,1,0),0))),E206)))</f>
        <v> </v>
      </c>
      <c r="O206" s="318" t="str">
        <f aca="false">IF($A206="N/A"," ",IF(Pricetype3=2,MAX(F206,0),IF(OR(Pricetype3=1,Pricetype3=4),IF(F206=0,0,(EURO(F206,Strikeprice3,0,0,($AK206+IF(Smile=TRUE(),VLOOKUP(MAX(-5,Strikeprice3-F206),Volsmile,2),0)),($A206-DateToday)+15,IF(Pricetype3=1,1,0),0))),F206)))</f>
        <v> </v>
      </c>
      <c r="P206" s="318" t="str">
        <f aca="false">IF($A206="N/A"," ",IF(Pricetype3=2,MAX(G206,0),IF(OR(Pricetype3=1,Pricetype3=4),IF(G206=0,0,(EURO(G206,Strikeprice3,0,0,($AK206+IF(Smile=TRUE(),VLOOKUP(MAX(-5,Strikeprice3-G206),Volsmile,2),0)),($A206-DateToday)+15,IF(Pricetype3=1,1,0),0))),G206)))</f>
        <v> </v>
      </c>
      <c r="Q206" s="318" t="str">
        <f aca="false">IF($A206="N/A"," ",IF(Pricetype3=2,MAX(H206,0),IF(OR(Pricetype3=1,Pricetype3=4),IF(H206=0,0,(EURO(H206,Strikeprice3,0,0,($AK206+IF(Smile=TRUE(),VLOOKUP(MAX(-5,Strikeprice3-H206),Volsmile,2),0)),($A206-DateToday)+15,IF(Pricetype3=1,1,0),0))),H206)))</f>
        <v> </v>
      </c>
      <c r="R206" s="318" t="str">
        <f aca="false">IF($A206="N/A"," ",IF(Pricetype3=2,MAX(I206,0),IF(OR(Pricetype3=1,Pricetype3=4),IF(I206=0,0,(EURO(I206,Strikeprice3,0,0,($AK206+IF(Smile=TRUE(),VLOOKUP(MAX(-5,Strikeprice3-I206),Volsmile,2),0)),($A206-DateToday)+15,IF(Pricetype3=1,1,0),0))),I206)))</f>
        <v> </v>
      </c>
      <c r="S206" s="318" t="str">
        <f aca="false">IF($A206="N/A"," ",IF(Pricetype3=2,MAX(J206,0),IF(OR(Pricetype3=1,Pricetype3=4),IF(J206=0,0,(EURO(J206,Strikeprice3,0,0,($AK206+IF(Smile=TRUE(),VLOOKUP(MAX(-5,Strikeprice3-J206),Volsmile,2),0)),($A206-DateToday)+15,IF(Pricetype3=1,1,0),0))),J206)))</f>
        <v> </v>
      </c>
      <c r="T206" s="318" t="str">
        <f aca="false">IF($A206="N/A"," ",IF(Pricetype3=2,MAX(K206,0),IF(OR(Pricetype3=1,Pricetype3=4),IF(K206=0,0,(EURO(K206,Strikeprice3,0,0,($AK206+IF(Smile=TRUE(),VLOOKUP(MAX(-5,Strikeprice3-K206),Volsmile,2),0)),($A206-DateToday)+15,IF(Pricetype3=1,1,0),0))),K206)))</f>
        <v> </v>
      </c>
      <c r="U206" s="319" t="str">
        <f aca="false">IF($A206="N/A"," ",Volume3*$AM206)</f>
        <v> </v>
      </c>
      <c r="V206" s="320" t="str">
        <f aca="false">IF($A206="N/A"," ",$U206*(8*($BQ206))*L206)</f>
        <v> </v>
      </c>
      <c r="W206" s="320" t="str">
        <f aca="false">IF($A206="N/A"," ",$U206*(8*($BQ206))*M206)</f>
        <v> </v>
      </c>
      <c r="X206" s="320" t="str">
        <f aca="false">IF($A206="N/A"," ",$U206*(8*($BQ206))*N206)</f>
        <v> </v>
      </c>
      <c r="Y206" s="320" t="str">
        <f aca="false">IF($A206="N/A"," ",$U206*(8*($BR206))*O206)</f>
        <v> </v>
      </c>
      <c r="Z206" s="320" t="str">
        <f aca="false">IF($A206="N/A"," ",$U206*(8*($BR206))*P206)</f>
        <v> </v>
      </c>
      <c r="AA206" s="320" t="str">
        <f aca="false">IF($A206="N/A"," ",$U206*(8*($BR206))*Q206)</f>
        <v> </v>
      </c>
      <c r="AB206" s="320" t="str">
        <f aca="false">IF($A206="N/A"," ",$U206*(8*($BS206))*R206)</f>
        <v> </v>
      </c>
      <c r="AC206" s="320" t="str">
        <f aca="false">IF($A206="N/A"," ",$U206*(8*($BS206))*S206)</f>
        <v> </v>
      </c>
      <c r="AD206" s="320" t="str">
        <f aca="false">IF($A206="N/A"," ",$U206*(8*($BS206))*T206)</f>
        <v> </v>
      </c>
      <c r="AE206" s="320" t="str">
        <f aca="false">IF($A206="N/A"," ",SUM(V206:AD206))</f>
        <v> </v>
      </c>
      <c r="AF206" s="321" t="str">
        <f aca="false">IF(A206="N/A"," ",(VLOOKUP(A206,PowerVolTable,(IF(VolBMO3=2,7,IF(VolBMO3=1,6,8))),FALSE())))</f>
        <v> </v>
      </c>
      <c r="AG206" s="321" t="str">
        <f aca="false">IF(A206="N/A"," ",(VLOOKUP(A206,IntraPowerVol,(IF(VolBMO3=2,3,IF(VolBMO3=1,2,4))),FALSE())*VLOOKUP(MONTH($A206),Volscale,2)))</f>
        <v> </v>
      </c>
      <c r="AH206" s="321" t="str">
        <f aca="false">IF($A206="N/A"," ",IF(VolType3=1,AG206,AF206))</f>
        <v> </v>
      </c>
      <c r="AI206" s="321" t="str">
        <f aca="false">IF($A206="N/A"," ",(VLOOKUP($A206,OffPwrVolTable,(IF(VolBMO3=2,7,IF(VolBMO3=1,6,8))),FALSE())))</f>
        <v> </v>
      </c>
      <c r="AJ206" s="321" t="str">
        <f aca="false">IF($A206="N/A"," ",(VLOOKUP($A206,OffPwrVolTable,(IF(VolBMO3=2,3,IF(VolBMO3=1,2,4))),FALSE())*VLOOKUP(MONTH($A206),Volscale,2)))</f>
        <v> </v>
      </c>
      <c r="AK206" s="321" t="str">
        <f aca="false">IF($A206="N/A"," ",IF(VolType3=1,AJ206,AI206))</f>
        <v> </v>
      </c>
      <c r="AL206" s="321" t="str">
        <f aca="false">IF($A206="N/A"," ",IF(PV=1,0,'Pricing Inputs3'!R239))</f>
        <v> </v>
      </c>
      <c r="AM206" s="323" t="str">
        <f aca="false">IF($A206="N/A"," ",(1+AL206/2)^(-2*((EOMONTH(A206,0)+20)-DateToday)/365.25))</f>
        <v> </v>
      </c>
      <c r="BQ206" s="0" t="str">
        <f aca="false">IF($A206="N/A"," ",(VLOOKUP($A206,NumberofDaysTable,2)))</f>
        <v> </v>
      </c>
      <c r="BR206" s="0" t="str">
        <f aca="false">IF($A206="N/A"," ",(VLOOKUP($A206,NumberofDaysTable,3)))</f>
        <v> </v>
      </c>
      <c r="BS206" s="0" t="str">
        <f aca="false">IF($A206="N/A"," ",(VLOOKUP($A206,NumberofDaysTable,4)))</f>
        <v> </v>
      </c>
    </row>
    <row r="207" customFormat="false" ht="12.75" hidden="false" customHeight="false" outlineLevel="0" collapsed="false">
      <c r="A207" s="315" t="str">
        <f aca="false">IF(A206="N/A","N/A",IF(EDATE(A206,1)&gt;Inputs!$Q$5,"N/A",EDATE(A206,1)))</f>
        <v>N/A</v>
      </c>
      <c r="B207" s="316" t="str">
        <f aca="false">IF(A207="N/A"," ",YEAR(A207))</f>
        <v> </v>
      </c>
      <c r="C207" s="317" t="str">
        <f aca="false">IF($A207="N/A"," ",IF(Dayrun3=10,0,IF(Scaler3=1,(VLOOKUP(A207,ScaledPrice3,4)),(VLOOKUP(A207,ScaledPrice3,2)))))</f>
        <v> </v>
      </c>
      <c r="D207" s="317" t="str">
        <f aca="false">IF(A207="N/A"," ",IF(Dayrun3&gt;=7,0,IF(Scaler3=2,VLOOKUP(A207,ScaledPrice3,2),(VLOOKUP(A207,ScaledPrice3,2))*(2-(VLOOKUP(A207,ScaledPrice3,3))))))</f>
        <v> </v>
      </c>
      <c r="E207" s="317" t="str">
        <f aca="false">IF($A207="N/A"," ",IF(AND(Dayrun3&gt;=4,Dayrun3&lt;=9),0,VLOOKUP($A207,ScaledPrice3,9)))</f>
        <v> </v>
      </c>
      <c r="F207" s="317" t="str">
        <f aca="false">IF(A207="N/A"," ",IF(OR(Dayrun3=2,Dayrun3=3,Dayrun3=5,Dayrun3=6,Dayrun3=8,Dayrun3=9),VLOOKUP(A207,ScaledPrice3,IF(Scaler3=1,6,5)),0))</f>
        <v> </v>
      </c>
      <c r="G207" s="317" t="str">
        <f aca="false">IF(A207="N/A"," ",IF(OR(Dayrun3=2,Dayrun3=3,Dayrun3=5,Dayrun3=6),IF(Scaler3=2,F207,(VLOOKUP(A207,ScaledPrice3,5))*(2-(VLOOKUP(A207,ScaledPrice3,3)))),0))</f>
        <v> </v>
      </c>
      <c r="H207" s="317" t="str">
        <f aca="false">IF($A207="N/A"," ",IF(OR(Dayrun3=2,Dayrun3=3,Dayrun3=10),VLOOKUP($A207,ScaledPrice3,9),0))</f>
        <v> </v>
      </c>
      <c r="I207" s="317" t="str">
        <f aca="false">IF(A207="N/A"," ",IF(OR(Dayrun3=3,Dayrun3=6,Dayrun3=9),(VLOOKUP(A207,ScaledPrice3,IF(Scaler3=2,7,8))),0))</f>
        <v> </v>
      </c>
      <c r="J207" s="317" t="str">
        <f aca="false">IF(A207="N/A"," ",IF(OR(Dayrun3=3,Dayrun3=6),IF(Scaler3=2,I207,(VLOOKUP(A207,ScaledPrice3,7))*(2-(VLOOKUP(A207,ScaledPrice3,3)))),0))</f>
        <v> </v>
      </c>
      <c r="K207" s="317" t="str">
        <f aca="false">IF($A207="N/A"," ",IF(OR(Dayrun3=3,Dayrun3=10),VLOOKUP($A207,ScaledPrice3,9),0))</f>
        <v> </v>
      </c>
      <c r="L207" s="318" t="str">
        <f aca="false">IF($A207="N/A"," ",IF(Pricetype3=2,MAX(C207,0),IF(OR(Pricetype3=1,Pricetype3=4),IF(C207=0,0,(EURO(C207,Strikeprice3,0,0,($AH207+IF(Smile=TRUE(),VLOOKUP(MAX(-5,Strikeprice3-C207),Volsmile,2),0)),($A207-DateToday)+15,IF(Pricetype3=1,1,0),0))),C207)))</f>
        <v> </v>
      </c>
      <c r="M207" s="318" t="str">
        <f aca="false">IF($A207="N/A"," ",IF(Pricetype3=2,MAX(D207,0),IF(OR(Pricetype3=1,Pricetype3=4),IF(D207=0,0,(EURO(D207,Strikeprice3,0,0,($AH207+IF(Smile=TRUE(),VLOOKUP(MAX(-5,Strikeprice3-D207),Volsmile,2),0)),($A207-DateToday)+15,IF(Pricetype3=1,1,0),0))),D207)))</f>
        <v> </v>
      </c>
      <c r="N207" s="318" t="str">
        <f aca="false">IF($A207="N/A"," ",IF(Pricetype3=2,MAX(E207,0),IF(OR(Pricetype3=1,Pricetype3=4),IF(E207=0,0,(EURO(E207,Strikeprice3,0,0,($AK207+IF(Smile=TRUE(),VLOOKUP(MAX(-5,Strikeprice3-E207),Volsmile,2),0)),($A207-DateToday)+15,IF(Pricetype3=1,1,0),0))),E207)))</f>
        <v> </v>
      </c>
      <c r="O207" s="318" t="str">
        <f aca="false">IF($A207="N/A"," ",IF(Pricetype3=2,MAX(F207,0),IF(OR(Pricetype3=1,Pricetype3=4),IF(F207=0,0,(EURO(F207,Strikeprice3,0,0,($AK207+IF(Smile=TRUE(),VLOOKUP(MAX(-5,Strikeprice3-F207),Volsmile,2),0)),($A207-DateToday)+15,IF(Pricetype3=1,1,0),0))),F207)))</f>
        <v> </v>
      </c>
      <c r="P207" s="318" t="str">
        <f aca="false">IF($A207="N/A"," ",IF(Pricetype3=2,MAX(G207,0),IF(OR(Pricetype3=1,Pricetype3=4),IF(G207=0,0,(EURO(G207,Strikeprice3,0,0,($AK207+IF(Smile=TRUE(),VLOOKUP(MAX(-5,Strikeprice3-G207),Volsmile,2),0)),($A207-DateToday)+15,IF(Pricetype3=1,1,0),0))),G207)))</f>
        <v> </v>
      </c>
      <c r="Q207" s="318" t="str">
        <f aca="false">IF($A207="N/A"," ",IF(Pricetype3=2,MAX(H207,0),IF(OR(Pricetype3=1,Pricetype3=4),IF(H207=0,0,(EURO(H207,Strikeprice3,0,0,($AK207+IF(Smile=TRUE(),VLOOKUP(MAX(-5,Strikeprice3-H207),Volsmile,2),0)),($A207-DateToday)+15,IF(Pricetype3=1,1,0),0))),H207)))</f>
        <v> </v>
      </c>
      <c r="R207" s="318" t="str">
        <f aca="false">IF($A207="N/A"," ",IF(Pricetype3=2,MAX(I207,0),IF(OR(Pricetype3=1,Pricetype3=4),IF(I207=0,0,(EURO(I207,Strikeprice3,0,0,($AK207+IF(Smile=TRUE(),VLOOKUP(MAX(-5,Strikeprice3-I207),Volsmile,2),0)),($A207-DateToday)+15,IF(Pricetype3=1,1,0),0))),I207)))</f>
        <v> </v>
      </c>
      <c r="S207" s="318" t="str">
        <f aca="false">IF($A207="N/A"," ",IF(Pricetype3=2,MAX(J207,0),IF(OR(Pricetype3=1,Pricetype3=4),IF(J207=0,0,(EURO(J207,Strikeprice3,0,0,($AK207+IF(Smile=TRUE(),VLOOKUP(MAX(-5,Strikeprice3-J207),Volsmile,2),0)),($A207-DateToday)+15,IF(Pricetype3=1,1,0),0))),J207)))</f>
        <v> </v>
      </c>
      <c r="T207" s="318" t="str">
        <f aca="false">IF($A207="N/A"," ",IF(Pricetype3=2,MAX(K207,0),IF(OR(Pricetype3=1,Pricetype3=4),IF(K207=0,0,(EURO(K207,Strikeprice3,0,0,($AK207+IF(Smile=TRUE(),VLOOKUP(MAX(-5,Strikeprice3-K207),Volsmile,2),0)),($A207-DateToday)+15,IF(Pricetype3=1,1,0),0))),K207)))</f>
        <v> </v>
      </c>
      <c r="U207" s="319" t="str">
        <f aca="false">IF($A207="N/A"," ",Volume3*$AM207)</f>
        <v> </v>
      </c>
      <c r="V207" s="320" t="str">
        <f aca="false">IF($A207="N/A"," ",$U207*(8*($BQ207))*L207)</f>
        <v> </v>
      </c>
      <c r="W207" s="320" t="str">
        <f aca="false">IF($A207="N/A"," ",$U207*(8*($BQ207))*M207)</f>
        <v> </v>
      </c>
      <c r="X207" s="320" t="str">
        <f aca="false">IF($A207="N/A"," ",$U207*(8*($BQ207))*N207)</f>
        <v> </v>
      </c>
      <c r="Y207" s="320" t="str">
        <f aca="false">IF($A207="N/A"," ",$U207*(8*($BR207))*O207)</f>
        <v> </v>
      </c>
      <c r="Z207" s="320" t="str">
        <f aca="false">IF($A207="N/A"," ",$U207*(8*($BR207))*P207)</f>
        <v> </v>
      </c>
      <c r="AA207" s="320" t="str">
        <f aca="false">IF($A207="N/A"," ",$U207*(8*($BR207))*Q207)</f>
        <v> </v>
      </c>
      <c r="AB207" s="320" t="str">
        <f aca="false">IF($A207="N/A"," ",$U207*(8*($BS207))*R207)</f>
        <v> </v>
      </c>
      <c r="AC207" s="320" t="str">
        <f aca="false">IF($A207="N/A"," ",$U207*(8*($BS207))*S207)</f>
        <v> </v>
      </c>
      <c r="AD207" s="320" t="str">
        <f aca="false">IF($A207="N/A"," ",$U207*(8*($BS207))*T207)</f>
        <v> </v>
      </c>
      <c r="AE207" s="320" t="str">
        <f aca="false">IF($A207="N/A"," ",SUM(V207:AD207))</f>
        <v> </v>
      </c>
      <c r="AF207" s="321" t="str">
        <f aca="false">IF(A207="N/A"," ",(VLOOKUP(A207,PowerVolTable,(IF(VolBMO3=2,7,IF(VolBMO3=1,6,8))),FALSE())))</f>
        <v> </v>
      </c>
      <c r="AG207" s="321" t="str">
        <f aca="false">IF(A207="N/A"," ",(VLOOKUP(A207,IntraPowerVol,(IF(VolBMO3=2,3,IF(VolBMO3=1,2,4))),FALSE())*VLOOKUP(MONTH($A207),Volscale,2)))</f>
        <v> </v>
      </c>
      <c r="AH207" s="321" t="str">
        <f aca="false">IF($A207="N/A"," ",IF(VolType3=1,AG207,AF207))</f>
        <v> </v>
      </c>
      <c r="AI207" s="321" t="str">
        <f aca="false">IF($A207="N/A"," ",(VLOOKUP($A207,OffPwrVolTable,(IF(VolBMO3=2,7,IF(VolBMO3=1,6,8))),FALSE())))</f>
        <v> </v>
      </c>
      <c r="AJ207" s="321" t="str">
        <f aca="false">IF($A207="N/A"," ",(VLOOKUP($A207,OffPwrVolTable,(IF(VolBMO3=2,3,IF(VolBMO3=1,2,4))),FALSE())*VLOOKUP(MONTH($A207),Volscale,2)))</f>
        <v> </v>
      </c>
      <c r="AK207" s="321" t="str">
        <f aca="false">IF($A207="N/A"," ",IF(VolType3=1,AJ207,AI207))</f>
        <v> </v>
      </c>
      <c r="AL207" s="321" t="str">
        <f aca="false">IF($A207="N/A"," ",IF(PV=1,0,'Pricing Inputs3'!R240))</f>
        <v> </v>
      </c>
      <c r="AM207" s="323" t="str">
        <f aca="false">IF($A207="N/A"," ",(1+AL207/2)^(-2*((EOMONTH(A207,0)+20)-DateToday)/365.25))</f>
        <v> </v>
      </c>
      <c r="BQ207" s="0" t="str">
        <f aca="false">IF($A207="N/A"," ",(VLOOKUP($A207,NumberofDaysTable,2)))</f>
        <v> </v>
      </c>
      <c r="BR207" s="0" t="str">
        <f aca="false">IF($A207="N/A"," ",(VLOOKUP($A207,NumberofDaysTable,3)))</f>
        <v> </v>
      </c>
      <c r="BS207" s="0" t="str">
        <f aca="false">IF($A207="N/A"," ",(VLOOKUP($A207,NumberofDaysTable,4)))</f>
        <v> </v>
      </c>
    </row>
    <row r="208" customFormat="false" ht="12.75" hidden="false" customHeight="false" outlineLevel="0" collapsed="false">
      <c r="A208" s="315" t="str">
        <f aca="false">IF(A207="N/A","N/A",IF(EDATE(A207,1)&gt;Inputs!$Q$5,"N/A",EDATE(A207,1)))</f>
        <v>N/A</v>
      </c>
      <c r="B208" s="316" t="str">
        <f aca="false">IF(A208="N/A"," ",YEAR(A208))</f>
        <v> </v>
      </c>
      <c r="C208" s="317" t="str">
        <f aca="false">IF($A208="N/A"," ",IF(Dayrun3=10,0,IF(Scaler3=1,(VLOOKUP(A208,ScaledPrice3,4)),(VLOOKUP(A208,ScaledPrice3,2)))))</f>
        <v> </v>
      </c>
      <c r="D208" s="317" t="str">
        <f aca="false">IF(A208="N/A"," ",IF(Dayrun3&gt;=7,0,IF(Scaler3=2,VLOOKUP(A208,ScaledPrice3,2),(VLOOKUP(A208,ScaledPrice3,2))*(2-(VLOOKUP(A208,ScaledPrice3,3))))))</f>
        <v> </v>
      </c>
      <c r="E208" s="317" t="str">
        <f aca="false">IF($A208="N/A"," ",IF(AND(Dayrun3&gt;=4,Dayrun3&lt;=9),0,VLOOKUP($A208,ScaledPrice3,9)))</f>
        <v> </v>
      </c>
      <c r="F208" s="317" t="str">
        <f aca="false">IF(A208="N/A"," ",IF(OR(Dayrun3=2,Dayrun3=3,Dayrun3=5,Dayrun3=6,Dayrun3=8,Dayrun3=9),VLOOKUP(A208,ScaledPrice3,IF(Scaler3=1,6,5)),0))</f>
        <v> </v>
      </c>
      <c r="G208" s="317" t="str">
        <f aca="false">IF(A208="N/A"," ",IF(OR(Dayrun3=2,Dayrun3=3,Dayrun3=5,Dayrun3=6),IF(Scaler3=2,F208,(VLOOKUP(A208,ScaledPrice3,5))*(2-(VLOOKUP(A208,ScaledPrice3,3)))),0))</f>
        <v> </v>
      </c>
      <c r="H208" s="317" t="str">
        <f aca="false">IF($A208="N/A"," ",IF(OR(Dayrun3=2,Dayrun3=3,Dayrun3=10),VLOOKUP($A208,ScaledPrice3,9),0))</f>
        <v> </v>
      </c>
      <c r="I208" s="317" t="str">
        <f aca="false">IF(A208="N/A"," ",IF(OR(Dayrun3=3,Dayrun3=6,Dayrun3=9),(VLOOKUP(A208,ScaledPrice3,IF(Scaler3=2,7,8))),0))</f>
        <v> </v>
      </c>
      <c r="J208" s="317" t="str">
        <f aca="false">IF(A208="N/A"," ",IF(OR(Dayrun3=3,Dayrun3=6),IF(Scaler3=2,I208,(VLOOKUP(A208,ScaledPrice3,7))*(2-(VLOOKUP(A208,ScaledPrice3,3)))),0))</f>
        <v> </v>
      </c>
      <c r="K208" s="317" t="str">
        <f aca="false">IF($A208="N/A"," ",IF(OR(Dayrun3=3,Dayrun3=10),VLOOKUP($A208,ScaledPrice3,9),0))</f>
        <v> </v>
      </c>
      <c r="L208" s="318" t="str">
        <f aca="false">IF($A208="N/A"," ",IF(Pricetype3=2,MAX(C208,0),IF(OR(Pricetype3=1,Pricetype3=4),IF(C208=0,0,(EURO(C208,Strikeprice3,0,0,($AH208+IF(Smile=TRUE(),VLOOKUP(MAX(-5,Strikeprice3-C208),Volsmile,2),0)),($A208-DateToday)+15,IF(Pricetype3=1,1,0),0))),C208)))</f>
        <v> </v>
      </c>
      <c r="M208" s="318" t="str">
        <f aca="false">IF($A208="N/A"," ",IF(Pricetype3=2,MAX(D208,0),IF(OR(Pricetype3=1,Pricetype3=4),IF(D208=0,0,(EURO(D208,Strikeprice3,0,0,($AH208+IF(Smile=TRUE(),VLOOKUP(MAX(-5,Strikeprice3-D208),Volsmile,2),0)),($A208-DateToday)+15,IF(Pricetype3=1,1,0),0))),D208)))</f>
        <v> </v>
      </c>
      <c r="N208" s="318" t="str">
        <f aca="false">IF($A208="N/A"," ",IF(Pricetype3=2,MAX(E208,0),IF(OR(Pricetype3=1,Pricetype3=4),IF(E208=0,0,(EURO(E208,Strikeprice3,0,0,($AK208+IF(Smile=TRUE(),VLOOKUP(MAX(-5,Strikeprice3-E208),Volsmile,2),0)),($A208-DateToday)+15,IF(Pricetype3=1,1,0),0))),E208)))</f>
        <v> </v>
      </c>
      <c r="O208" s="318" t="str">
        <f aca="false">IF($A208="N/A"," ",IF(Pricetype3=2,MAX(F208,0),IF(OR(Pricetype3=1,Pricetype3=4),IF(F208=0,0,(EURO(F208,Strikeprice3,0,0,($AK208+IF(Smile=TRUE(),VLOOKUP(MAX(-5,Strikeprice3-F208),Volsmile,2),0)),($A208-DateToday)+15,IF(Pricetype3=1,1,0),0))),F208)))</f>
        <v> </v>
      </c>
      <c r="P208" s="318" t="str">
        <f aca="false">IF($A208="N/A"," ",IF(Pricetype3=2,MAX(G208,0),IF(OR(Pricetype3=1,Pricetype3=4),IF(G208=0,0,(EURO(G208,Strikeprice3,0,0,($AK208+IF(Smile=TRUE(),VLOOKUP(MAX(-5,Strikeprice3-G208),Volsmile,2),0)),($A208-DateToday)+15,IF(Pricetype3=1,1,0),0))),G208)))</f>
        <v> </v>
      </c>
      <c r="Q208" s="318" t="str">
        <f aca="false">IF($A208="N/A"," ",IF(Pricetype3=2,MAX(H208,0),IF(OR(Pricetype3=1,Pricetype3=4),IF(H208=0,0,(EURO(H208,Strikeprice3,0,0,($AK208+IF(Smile=TRUE(),VLOOKUP(MAX(-5,Strikeprice3-H208),Volsmile,2),0)),($A208-DateToday)+15,IF(Pricetype3=1,1,0),0))),H208)))</f>
        <v> </v>
      </c>
      <c r="R208" s="318" t="str">
        <f aca="false">IF($A208="N/A"," ",IF(Pricetype3=2,MAX(I208,0),IF(OR(Pricetype3=1,Pricetype3=4),IF(I208=0,0,(EURO(I208,Strikeprice3,0,0,($AK208+IF(Smile=TRUE(),VLOOKUP(MAX(-5,Strikeprice3-I208),Volsmile,2),0)),($A208-DateToday)+15,IF(Pricetype3=1,1,0),0))),I208)))</f>
        <v> </v>
      </c>
      <c r="S208" s="318" t="str">
        <f aca="false">IF($A208="N/A"," ",IF(Pricetype3=2,MAX(J208,0),IF(OR(Pricetype3=1,Pricetype3=4),IF(J208=0,0,(EURO(J208,Strikeprice3,0,0,($AK208+IF(Smile=TRUE(),VLOOKUP(MAX(-5,Strikeprice3-J208),Volsmile,2),0)),($A208-DateToday)+15,IF(Pricetype3=1,1,0),0))),J208)))</f>
        <v> </v>
      </c>
      <c r="T208" s="318" t="str">
        <f aca="false">IF($A208="N/A"," ",IF(Pricetype3=2,MAX(K208,0),IF(OR(Pricetype3=1,Pricetype3=4),IF(K208=0,0,(EURO(K208,Strikeprice3,0,0,($AK208+IF(Smile=TRUE(),VLOOKUP(MAX(-5,Strikeprice3-K208),Volsmile,2),0)),($A208-DateToday)+15,IF(Pricetype3=1,1,0),0))),K208)))</f>
        <v> </v>
      </c>
      <c r="U208" s="319" t="str">
        <f aca="false">IF($A208="N/A"," ",Volume3*$AM208)</f>
        <v> </v>
      </c>
      <c r="V208" s="320" t="str">
        <f aca="false">IF($A208="N/A"," ",$U208*(8*($BQ208))*L208)</f>
        <v> </v>
      </c>
      <c r="W208" s="320" t="str">
        <f aca="false">IF($A208="N/A"," ",$U208*(8*($BQ208))*M208)</f>
        <v> </v>
      </c>
      <c r="X208" s="320" t="str">
        <f aca="false">IF($A208="N/A"," ",$U208*(8*($BQ208))*N208)</f>
        <v> </v>
      </c>
      <c r="Y208" s="320" t="str">
        <f aca="false">IF($A208="N/A"," ",$U208*(8*($BR208))*O208)</f>
        <v> </v>
      </c>
      <c r="Z208" s="320" t="str">
        <f aca="false">IF($A208="N/A"," ",$U208*(8*($BR208))*P208)</f>
        <v> </v>
      </c>
      <c r="AA208" s="320" t="str">
        <f aca="false">IF($A208="N/A"," ",$U208*(8*($BR208))*Q208)</f>
        <v> </v>
      </c>
      <c r="AB208" s="320" t="str">
        <f aca="false">IF($A208="N/A"," ",$U208*(8*($BS208))*R208)</f>
        <v> </v>
      </c>
      <c r="AC208" s="320" t="str">
        <f aca="false">IF($A208="N/A"," ",$U208*(8*($BS208))*S208)</f>
        <v> </v>
      </c>
      <c r="AD208" s="320" t="str">
        <f aca="false">IF($A208="N/A"," ",$U208*(8*($BS208))*T208)</f>
        <v> </v>
      </c>
      <c r="AE208" s="320" t="str">
        <f aca="false">IF($A208="N/A"," ",SUM(V208:AD208))</f>
        <v> </v>
      </c>
      <c r="AF208" s="321" t="str">
        <f aca="false">IF(A208="N/A"," ",(VLOOKUP(A208,PowerVolTable,(IF(VolBMO3=2,7,IF(VolBMO3=1,6,8))),FALSE())))</f>
        <v> </v>
      </c>
      <c r="AG208" s="321" t="str">
        <f aca="false">IF(A208="N/A"," ",(VLOOKUP(A208,IntraPowerVol,(IF(VolBMO3=2,3,IF(VolBMO3=1,2,4))),FALSE())*VLOOKUP(MONTH($A208),Volscale,2)))</f>
        <v> </v>
      </c>
      <c r="AH208" s="321" t="str">
        <f aca="false">IF($A208="N/A"," ",IF(VolType3=1,AG208,AF208))</f>
        <v> </v>
      </c>
      <c r="AI208" s="321" t="str">
        <f aca="false">IF($A208="N/A"," ",(VLOOKUP($A208,OffPwrVolTable,(IF(VolBMO3=2,7,IF(VolBMO3=1,6,8))),FALSE())))</f>
        <v> </v>
      </c>
      <c r="AJ208" s="321" t="str">
        <f aca="false">IF($A208="N/A"," ",(VLOOKUP($A208,OffPwrVolTable,(IF(VolBMO3=2,3,IF(VolBMO3=1,2,4))),FALSE())*VLOOKUP(MONTH($A208),Volscale,2)))</f>
        <v> </v>
      </c>
      <c r="AK208" s="321" t="str">
        <f aca="false">IF($A208="N/A"," ",IF(VolType3=1,AJ208,AI208))</f>
        <v> </v>
      </c>
      <c r="AL208" s="321" t="str">
        <f aca="false">IF($A208="N/A"," ",IF(PV=1,0,'Pricing Inputs3'!R241))</f>
        <v> </v>
      </c>
      <c r="AM208" s="323" t="str">
        <f aca="false">IF($A208="N/A"," ",(1+AL208/2)^(-2*((EOMONTH(A208,0)+20)-DateToday)/365.25))</f>
        <v> </v>
      </c>
      <c r="BQ208" s="0" t="str">
        <f aca="false">IF($A208="N/A"," ",(VLOOKUP($A208,NumberofDaysTable,2)))</f>
        <v> </v>
      </c>
      <c r="BR208" s="0" t="str">
        <f aca="false">IF($A208="N/A"," ",(VLOOKUP($A208,NumberofDaysTable,3)))</f>
        <v> </v>
      </c>
      <c r="BS208" s="0" t="str">
        <f aca="false">IF($A208="N/A"," ",(VLOOKUP($A208,NumberofDaysTable,4)))</f>
        <v> </v>
      </c>
    </row>
    <row r="209" customFormat="false" ht="12.75" hidden="false" customHeight="false" outlineLevel="0" collapsed="false">
      <c r="A209" s="315" t="str">
        <f aca="false">IF(A208="N/A","N/A",IF(EDATE(A208,1)&gt;Inputs!$Q$5,"N/A",EDATE(A208,1)))</f>
        <v>N/A</v>
      </c>
      <c r="B209" s="316" t="str">
        <f aca="false">IF(A209="N/A"," ",YEAR(A209))</f>
        <v> </v>
      </c>
      <c r="C209" s="317" t="str">
        <f aca="false">IF($A209="N/A"," ",IF(Dayrun3=10,0,IF(Scaler3=1,(VLOOKUP(A209,ScaledPrice3,4)),(VLOOKUP(A209,ScaledPrice3,2)))))</f>
        <v> </v>
      </c>
      <c r="D209" s="317" t="str">
        <f aca="false">IF(A209="N/A"," ",IF(Dayrun3&gt;=7,0,IF(Scaler3=2,VLOOKUP(A209,ScaledPrice3,2),(VLOOKUP(A209,ScaledPrice3,2))*(2-(VLOOKUP(A209,ScaledPrice3,3))))))</f>
        <v> </v>
      </c>
      <c r="E209" s="317" t="str">
        <f aca="false">IF($A209="N/A"," ",IF(AND(Dayrun3&gt;=4,Dayrun3&lt;=9),0,VLOOKUP($A209,ScaledPrice3,9)))</f>
        <v> </v>
      </c>
      <c r="F209" s="317" t="str">
        <f aca="false">IF(A209="N/A"," ",IF(OR(Dayrun3=2,Dayrun3=3,Dayrun3=5,Dayrun3=6,Dayrun3=8,Dayrun3=9),VLOOKUP(A209,ScaledPrice3,IF(Scaler3=1,6,5)),0))</f>
        <v> </v>
      </c>
      <c r="G209" s="317" t="str">
        <f aca="false">IF(A209="N/A"," ",IF(OR(Dayrun3=2,Dayrun3=3,Dayrun3=5,Dayrun3=6),IF(Scaler3=2,F209,(VLOOKUP(A209,ScaledPrice3,5))*(2-(VLOOKUP(A209,ScaledPrice3,3)))),0))</f>
        <v> </v>
      </c>
      <c r="H209" s="317" t="str">
        <f aca="false">IF($A209="N/A"," ",IF(OR(Dayrun3=2,Dayrun3=3,Dayrun3=10),VLOOKUP($A209,ScaledPrice3,9),0))</f>
        <v> </v>
      </c>
      <c r="I209" s="317" t="str">
        <f aca="false">IF(A209="N/A"," ",IF(OR(Dayrun3=3,Dayrun3=6,Dayrun3=9),(VLOOKUP(A209,ScaledPrice3,IF(Scaler3=2,7,8))),0))</f>
        <v> </v>
      </c>
      <c r="J209" s="317" t="str">
        <f aca="false">IF(A209="N/A"," ",IF(OR(Dayrun3=3,Dayrun3=6),IF(Scaler3=2,I209,(VLOOKUP(A209,ScaledPrice3,7))*(2-(VLOOKUP(A209,ScaledPrice3,3)))),0))</f>
        <v> </v>
      </c>
      <c r="K209" s="317" t="str">
        <f aca="false">IF($A209="N/A"," ",IF(OR(Dayrun3=3,Dayrun3=10),VLOOKUP($A209,ScaledPrice3,9),0))</f>
        <v> </v>
      </c>
      <c r="L209" s="318" t="str">
        <f aca="false">IF($A209="N/A"," ",IF(Pricetype3=2,MAX(C209,0),IF(OR(Pricetype3=1,Pricetype3=4),IF(C209=0,0,(EURO(C209,Strikeprice3,0,0,($AH209+IF(Smile=TRUE(),VLOOKUP(MAX(-5,Strikeprice3-C209),Volsmile,2),0)),($A209-DateToday)+15,IF(Pricetype3=1,1,0),0))),C209)))</f>
        <v> </v>
      </c>
      <c r="M209" s="318" t="str">
        <f aca="false">IF($A209="N/A"," ",IF(Pricetype3=2,MAX(D209,0),IF(OR(Pricetype3=1,Pricetype3=4),IF(D209=0,0,(EURO(D209,Strikeprice3,0,0,($AH209+IF(Smile=TRUE(),VLOOKUP(MAX(-5,Strikeprice3-D209),Volsmile,2),0)),($A209-DateToday)+15,IF(Pricetype3=1,1,0),0))),D209)))</f>
        <v> </v>
      </c>
      <c r="N209" s="318" t="str">
        <f aca="false">IF($A209="N/A"," ",IF(Pricetype3=2,MAX(E209,0),IF(OR(Pricetype3=1,Pricetype3=4),IF(E209=0,0,(EURO(E209,Strikeprice3,0,0,($AK209+IF(Smile=TRUE(),VLOOKUP(MAX(-5,Strikeprice3-E209),Volsmile,2),0)),($A209-DateToday)+15,IF(Pricetype3=1,1,0),0))),E209)))</f>
        <v> </v>
      </c>
      <c r="O209" s="318" t="str">
        <f aca="false">IF($A209="N/A"," ",IF(Pricetype3=2,MAX(F209,0),IF(OR(Pricetype3=1,Pricetype3=4),IF(F209=0,0,(EURO(F209,Strikeprice3,0,0,($AK209+IF(Smile=TRUE(),VLOOKUP(MAX(-5,Strikeprice3-F209),Volsmile,2),0)),($A209-DateToday)+15,IF(Pricetype3=1,1,0),0))),F209)))</f>
        <v> </v>
      </c>
      <c r="P209" s="318" t="str">
        <f aca="false">IF($A209="N/A"," ",IF(Pricetype3=2,MAX(G209,0),IF(OR(Pricetype3=1,Pricetype3=4),IF(G209=0,0,(EURO(G209,Strikeprice3,0,0,($AK209+IF(Smile=TRUE(),VLOOKUP(MAX(-5,Strikeprice3-G209),Volsmile,2),0)),($A209-DateToday)+15,IF(Pricetype3=1,1,0),0))),G209)))</f>
        <v> </v>
      </c>
      <c r="Q209" s="318" t="str">
        <f aca="false">IF($A209="N/A"," ",IF(Pricetype3=2,MAX(H209,0),IF(OR(Pricetype3=1,Pricetype3=4),IF(H209=0,0,(EURO(H209,Strikeprice3,0,0,($AK209+IF(Smile=TRUE(),VLOOKUP(MAX(-5,Strikeprice3-H209),Volsmile,2),0)),($A209-DateToday)+15,IF(Pricetype3=1,1,0),0))),H209)))</f>
        <v> </v>
      </c>
      <c r="R209" s="318" t="str">
        <f aca="false">IF($A209="N/A"," ",IF(Pricetype3=2,MAX(I209,0),IF(OR(Pricetype3=1,Pricetype3=4),IF(I209=0,0,(EURO(I209,Strikeprice3,0,0,($AK209+IF(Smile=TRUE(),VLOOKUP(MAX(-5,Strikeprice3-I209),Volsmile,2),0)),($A209-DateToday)+15,IF(Pricetype3=1,1,0),0))),I209)))</f>
        <v> </v>
      </c>
      <c r="S209" s="318" t="str">
        <f aca="false">IF($A209="N/A"," ",IF(Pricetype3=2,MAX(J209,0),IF(OR(Pricetype3=1,Pricetype3=4),IF(J209=0,0,(EURO(J209,Strikeprice3,0,0,($AK209+IF(Smile=TRUE(),VLOOKUP(MAX(-5,Strikeprice3-J209),Volsmile,2),0)),($A209-DateToday)+15,IF(Pricetype3=1,1,0),0))),J209)))</f>
        <v> </v>
      </c>
      <c r="T209" s="318" t="str">
        <f aca="false">IF($A209="N/A"," ",IF(Pricetype3=2,MAX(K209,0),IF(OR(Pricetype3=1,Pricetype3=4),IF(K209=0,0,(EURO(K209,Strikeprice3,0,0,($AK209+IF(Smile=TRUE(),VLOOKUP(MAX(-5,Strikeprice3-K209),Volsmile,2),0)),($A209-DateToday)+15,IF(Pricetype3=1,1,0),0))),K209)))</f>
        <v> </v>
      </c>
      <c r="U209" s="319" t="str">
        <f aca="false">IF($A209="N/A"," ",Volume3*$AM209)</f>
        <v> </v>
      </c>
      <c r="V209" s="320" t="str">
        <f aca="false">IF($A209="N/A"," ",$U209*(8*($BQ209))*L209)</f>
        <v> </v>
      </c>
      <c r="W209" s="320" t="str">
        <f aca="false">IF($A209="N/A"," ",$U209*(8*($BQ209))*M209)</f>
        <v> </v>
      </c>
      <c r="X209" s="320" t="str">
        <f aca="false">IF($A209="N/A"," ",$U209*(8*($BQ209))*N209)</f>
        <v> </v>
      </c>
      <c r="Y209" s="320" t="str">
        <f aca="false">IF($A209="N/A"," ",$U209*(8*($BR209))*O209)</f>
        <v> </v>
      </c>
      <c r="Z209" s="320" t="str">
        <f aca="false">IF($A209="N/A"," ",$U209*(8*($BR209))*P209)</f>
        <v> </v>
      </c>
      <c r="AA209" s="320" t="str">
        <f aca="false">IF($A209="N/A"," ",$U209*(8*($BR209))*Q209)</f>
        <v> </v>
      </c>
      <c r="AB209" s="320" t="str">
        <f aca="false">IF($A209="N/A"," ",$U209*(8*($BS209))*R209)</f>
        <v> </v>
      </c>
      <c r="AC209" s="320" t="str">
        <f aca="false">IF($A209="N/A"," ",$U209*(8*($BS209))*S209)</f>
        <v> </v>
      </c>
      <c r="AD209" s="320" t="str">
        <f aca="false">IF($A209="N/A"," ",$U209*(8*($BS209))*T209)</f>
        <v> </v>
      </c>
      <c r="AE209" s="320" t="str">
        <f aca="false">IF($A209="N/A"," ",SUM(V209:AD209))</f>
        <v> </v>
      </c>
      <c r="AF209" s="321" t="str">
        <f aca="false">IF(A209="N/A"," ",(VLOOKUP(A209,PowerVolTable,(IF(VolBMO3=2,7,IF(VolBMO3=1,6,8))),FALSE())))</f>
        <v> </v>
      </c>
      <c r="AG209" s="321" t="str">
        <f aca="false">IF(A209="N/A"," ",(VLOOKUP(A209,IntraPowerVol,(IF(VolBMO3=2,3,IF(VolBMO3=1,2,4))),FALSE())*VLOOKUP(MONTH($A209),Volscale,2)))</f>
        <v> </v>
      </c>
      <c r="AH209" s="321" t="str">
        <f aca="false">IF($A209="N/A"," ",IF(VolType3=1,AG209,AF209))</f>
        <v> </v>
      </c>
      <c r="AI209" s="321" t="str">
        <f aca="false">IF($A209="N/A"," ",(VLOOKUP($A209,OffPwrVolTable,(IF(VolBMO3=2,7,IF(VolBMO3=1,6,8))),FALSE())))</f>
        <v> </v>
      </c>
      <c r="AJ209" s="321" t="str">
        <f aca="false">IF($A209="N/A"," ",(VLOOKUP($A209,OffPwrVolTable,(IF(VolBMO3=2,3,IF(VolBMO3=1,2,4))),FALSE())*VLOOKUP(MONTH($A209),Volscale,2)))</f>
        <v> </v>
      </c>
      <c r="AK209" s="321" t="str">
        <f aca="false">IF($A209="N/A"," ",IF(VolType3=1,AJ209,AI209))</f>
        <v> </v>
      </c>
      <c r="AL209" s="321" t="str">
        <f aca="false">IF($A209="N/A"," ",IF(PV=1,0,'Pricing Inputs3'!R242))</f>
        <v> </v>
      </c>
      <c r="AM209" s="323" t="str">
        <f aca="false">IF($A209="N/A"," ",(1+AL209/2)^(-2*((EOMONTH(A209,0)+20)-DateToday)/365.25))</f>
        <v> </v>
      </c>
      <c r="BQ209" s="0" t="str">
        <f aca="false">IF($A209="N/A"," ",(VLOOKUP($A209,NumberofDaysTable,2)))</f>
        <v> </v>
      </c>
      <c r="BR209" s="0" t="str">
        <f aca="false">IF($A209="N/A"," ",(VLOOKUP($A209,NumberofDaysTable,3)))</f>
        <v> </v>
      </c>
      <c r="BS209" s="0" t="str">
        <f aca="false">IF($A209="N/A"," ",(VLOOKUP($A209,NumberofDaysTable,4)))</f>
        <v> </v>
      </c>
    </row>
    <row r="210" customFormat="false" ht="12.75" hidden="false" customHeight="false" outlineLevel="0" collapsed="false">
      <c r="A210" s="315" t="str">
        <f aca="false">IF(A209="N/A","N/A",IF(EDATE(A209,1)&gt;Inputs!$Q$5,"N/A",EDATE(A209,1)))</f>
        <v>N/A</v>
      </c>
      <c r="B210" s="316" t="str">
        <f aca="false">IF(A210="N/A"," ",YEAR(A210))</f>
        <v> </v>
      </c>
      <c r="C210" s="317" t="str">
        <f aca="false">IF($A210="N/A"," ",IF(Dayrun3=10,0,IF(Scaler3=1,(VLOOKUP(A210,ScaledPrice3,4)),(VLOOKUP(A210,ScaledPrice3,2)))))</f>
        <v> </v>
      </c>
      <c r="D210" s="317" t="str">
        <f aca="false">IF(A210="N/A"," ",IF(Dayrun3&gt;=7,0,IF(Scaler3=2,VLOOKUP(A210,ScaledPrice3,2),(VLOOKUP(A210,ScaledPrice3,2))*(2-(VLOOKUP(A210,ScaledPrice3,3))))))</f>
        <v> </v>
      </c>
      <c r="E210" s="317" t="str">
        <f aca="false">IF($A210="N/A"," ",IF(AND(Dayrun3&gt;=4,Dayrun3&lt;=9),0,VLOOKUP($A210,ScaledPrice3,9)))</f>
        <v> </v>
      </c>
      <c r="F210" s="317" t="str">
        <f aca="false">IF(A210="N/A"," ",IF(OR(Dayrun3=2,Dayrun3=3,Dayrun3=5,Dayrun3=6,Dayrun3=8,Dayrun3=9),VLOOKUP(A210,ScaledPrice3,IF(Scaler3=1,6,5)),0))</f>
        <v> </v>
      </c>
      <c r="G210" s="317" t="str">
        <f aca="false">IF(A210="N/A"," ",IF(OR(Dayrun3=2,Dayrun3=3,Dayrun3=5,Dayrun3=6),IF(Scaler3=2,F210,(VLOOKUP(A210,ScaledPrice3,5))*(2-(VLOOKUP(A210,ScaledPrice3,3)))),0))</f>
        <v> </v>
      </c>
      <c r="H210" s="317" t="str">
        <f aca="false">IF($A210="N/A"," ",IF(OR(Dayrun3=2,Dayrun3=3,Dayrun3=10),VLOOKUP($A210,ScaledPrice3,9),0))</f>
        <v> </v>
      </c>
      <c r="I210" s="317" t="str">
        <f aca="false">IF(A210="N/A"," ",IF(OR(Dayrun3=3,Dayrun3=6,Dayrun3=9),(VLOOKUP(A210,ScaledPrice3,IF(Scaler3=2,7,8))),0))</f>
        <v> </v>
      </c>
      <c r="J210" s="317" t="str">
        <f aca="false">IF(A210="N/A"," ",IF(OR(Dayrun3=3,Dayrun3=6),IF(Scaler3=2,I210,(VLOOKUP(A210,ScaledPrice3,7))*(2-(VLOOKUP(A210,ScaledPrice3,3)))),0))</f>
        <v> </v>
      </c>
      <c r="K210" s="317" t="str">
        <f aca="false">IF($A210="N/A"," ",IF(OR(Dayrun3=3,Dayrun3=10),VLOOKUP($A210,ScaledPrice3,9),0))</f>
        <v> </v>
      </c>
      <c r="L210" s="318" t="str">
        <f aca="false">IF($A210="N/A"," ",IF(Pricetype3=2,MAX(C210,0),IF(OR(Pricetype3=1,Pricetype3=4),IF(C210=0,0,(EURO(C210,Strikeprice3,0,0,($AH210+IF(Smile=TRUE(),VLOOKUP(MAX(-5,Strikeprice3-C210),Volsmile,2),0)),($A210-DateToday)+15,IF(Pricetype3=1,1,0),0))),C210)))</f>
        <v> </v>
      </c>
      <c r="M210" s="318" t="str">
        <f aca="false">IF($A210="N/A"," ",IF(Pricetype3=2,MAX(D210,0),IF(OR(Pricetype3=1,Pricetype3=4),IF(D210=0,0,(EURO(D210,Strikeprice3,0,0,($AH210+IF(Smile=TRUE(),VLOOKUP(MAX(-5,Strikeprice3-D210),Volsmile,2),0)),($A210-DateToday)+15,IF(Pricetype3=1,1,0),0))),D210)))</f>
        <v> </v>
      </c>
      <c r="N210" s="318" t="str">
        <f aca="false">IF($A210="N/A"," ",IF(Pricetype3=2,MAX(E210,0),IF(OR(Pricetype3=1,Pricetype3=4),IF(E210=0,0,(EURO(E210,Strikeprice3,0,0,($AK210+IF(Smile=TRUE(),VLOOKUP(MAX(-5,Strikeprice3-E210),Volsmile,2),0)),($A210-DateToday)+15,IF(Pricetype3=1,1,0),0))),E210)))</f>
        <v> </v>
      </c>
      <c r="O210" s="318" t="str">
        <f aca="false">IF($A210="N/A"," ",IF(Pricetype3=2,MAX(F210,0),IF(OR(Pricetype3=1,Pricetype3=4),IF(F210=0,0,(EURO(F210,Strikeprice3,0,0,($AK210+IF(Smile=TRUE(),VLOOKUP(MAX(-5,Strikeprice3-F210),Volsmile,2),0)),($A210-DateToday)+15,IF(Pricetype3=1,1,0),0))),F210)))</f>
        <v> </v>
      </c>
      <c r="P210" s="318" t="str">
        <f aca="false">IF($A210="N/A"," ",IF(Pricetype3=2,MAX(G210,0),IF(OR(Pricetype3=1,Pricetype3=4),IF(G210=0,0,(EURO(G210,Strikeprice3,0,0,($AK210+IF(Smile=TRUE(),VLOOKUP(MAX(-5,Strikeprice3-G210),Volsmile,2),0)),($A210-DateToday)+15,IF(Pricetype3=1,1,0),0))),G210)))</f>
        <v> </v>
      </c>
      <c r="Q210" s="318" t="str">
        <f aca="false">IF($A210="N/A"," ",IF(Pricetype3=2,MAX(H210,0),IF(OR(Pricetype3=1,Pricetype3=4),IF(H210=0,0,(EURO(H210,Strikeprice3,0,0,($AK210+IF(Smile=TRUE(),VLOOKUP(MAX(-5,Strikeprice3-H210),Volsmile,2),0)),($A210-DateToday)+15,IF(Pricetype3=1,1,0),0))),H210)))</f>
        <v> </v>
      </c>
      <c r="R210" s="318" t="str">
        <f aca="false">IF($A210="N/A"," ",IF(Pricetype3=2,MAX(I210,0),IF(OR(Pricetype3=1,Pricetype3=4),IF(I210=0,0,(EURO(I210,Strikeprice3,0,0,($AK210+IF(Smile=TRUE(),VLOOKUP(MAX(-5,Strikeprice3-I210),Volsmile,2),0)),($A210-DateToday)+15,IF(Pricetype3=1,1,0),0))),I210)))</f>
        <v> </v>
      </c>
      <c r="S210" s="318" t="str">
        <f aca="false">IF($A210="N/A"," ",IF(Pricetype3=2,MAX(J210,0),IF(OR(Pricetype3=1,Pricetype3=4),IF(J210=0,0,(EURO(J210,Strikeprice3,0,0,($AK210+IF(Smile=TRUE(),VLOOKUP(MAX(-5,Strikeprice3-J210),Volsmile,2),0)),($A210-DateToday)+15,IF(Pricetype3=1,1,0),0))),J210)))</f>
        <v> </v>
      </c>
      <c r="T210" s="318" t="str">
        <f aca="false">IF($A210="N/A"," ",IF(Pricetype3=2,MAX(K210,0),IF(OR(Pricetype3=1,Pricetype3=4),IF(K210=0,0,(EURO(K210,Strikeprice3,0,0,($AK210+IF(Smile=TRUE(),VLOOKUP(MAX(-5,Strikeprice3-K210),Volsmile,2),0)),($A210-DateToday)+15,IF(Pricetype3=1,1,0),0))),K210)))</f>
        <v> </v>
      </c>
      <c r="U210" s="319" t="str">
        <f aca="false">IF($A210="N/A"," ",Volume3*$AM210)</f>
        <v> </v>
      </c>
      <c r="V210" s="320" t="str">
        <f aca="false">IF($A210="N/A"," ",$U210*(8*($BQ210))*L210)</f>
        <v> </v>
      </c>
      <c r="W210" s="320" t="str">
        <f aca="false">IF($A210="N/A"," ",$U210*(8*($BQ210))*M210)</f>
        <v> </v>
      </c>
      <c r="X210" s="320" t="str">
        <f aca="false">IF($A210="N/A"," ",$U210*(8*($BQ210))*N210)</f>
        <v> </v>
      </c>
      <c r="Y210" s="320" t="str">
        <f aca="false">IF($A210="N/A"," ",$U210*(8*($BR210))*O210)</f>
        <v> </v>
      </c>
      <c r="Z210" s="320" t="str">
        <f aca="false">IF($A210="N/A"," ",$U210*(8*($BR210))*P210)</f>
        <v> </v>
      </c>
      <c r="AA210" s="320" t="str">
        <f aca="false">IF($A210="N/A"," ",$U210*(8*($BR210))*Q210)</f>
        <v> </v>
      </c>
      <c r="AB210" s="320" t="str">
        <f aca="false">IF($A210="N/A"," ",$U210*(8*($BS210))*R210)</f>
        <v> </v>
      </c>
      <c r="AC210" s="320" t="str">
        <f aca="false">IF($A210="N/A"," ",$U210*(8*($BS210))*S210)</f>
        <v> </v>
      </c>
      <c r="AD210" s="320" t="str">
        <f aca="false">IF($A210="N/A"," ",$U210*(8*($BS210))*T210)</f>
        <v> </v>
      </c>
      <c r="AE210" s="320" t="str">
        <f aca="false">IF($A210="N/A"," ",SUM(V210:AD210))</f>
        <v> </v>
      </c>
      <c r="AF210" s="321" t="str">
        <f aca="false">IF(A210="N/A"," ",(VLOOKUP(A210,PowerVolTable,(IF(VolBMO3=2,7,IF(VolBMO3=1,6,8))),FALSE())))</f>
        <v> </v>
      </c>
      <c r="AG210" s="321" t="str">
        <f aca="false">IF(A210="N/A"," ",(VLOOKUP(A210,IntraPowerVol,(IF(VolBMO3=2,3,IF(VolBMO3=1,2,4))),FALSE())*VLOOKUP(MONTH($A210),Volscale,2)))</f>
        <v> </v>
      </c>
      <c r="AH210" s="321" t="str">
        <f aca="false">IF($A210="N/A"," ",IF(VolType3=1,AG210,AF210))</f>
        <v> </v>
      </c>
      <c r="AI210" s="321" t="str">
        <f aca="false">IF($A210="N/A"," ",(VLOOKUP($A210,OffPwrVolTable,(IF(VolBMO3=2,7,IF(VolBMO3=1,6,8))),FALSE())))</f>
        <v> </v>
      </c>
      <c r="AJ210" s="321" t="str">
        <f aca="false">IF($A210="N/A"," ",(VLOOKUP($A210,OffPwrVolTable,(IF(VolBMO3=2,3,IF(VolBMO3=1,2,4))),FALSE())*VLOOKUP(MONTH($A210),Volscale,2)))</f>
        <v> </v>
      </c>
      <c r="AK210" s="321" t="str">
        <f aca="false">IF($A210="N/A"," ",IF(VolType3=1,AJ210,AI210))</f>
        <v> </v>
      </c>
      <c r="AL210" s="321" t="str">
        <f aca="false">IF($A210="N/A"," ",IF(PV=1,0,'Pricing Inputs3'!R243))</f>
        <v> </v>
      </c>
      <c r="AM210" s="323" t="str">
        <f aca="false">IF($A210="N/A"," ",(1+AL210/2)^(-2*((EOMONTH(A210,0)+20)-DateToday)/365.25))</f>
        <v> </v>
      </c>
      <c r="BQ210" s="0" t="str">
        <f aca="false">IF($A210="N/A"," ",(VLOOKUP($A210,NumberofDaysTable,2)))</f>
        <v> </v>
      </c>
      <c r="BR210" s="0" t="str">
        <f aca="false">IF($A210="N/A"," ",(VLOOKUP($A210,NumberofDaysTable,3)))</f>
        <v> </v>
      </c>
      <c r="BS210" s="0" t="str">
        <f aca="false">IF($A210="N/A"," ",(VLOOKUP($A210,NumberofDaysTable,4)))</f>
        <v> </v>
      </c>
    </row>
    <row r="211" customFormat="false" ht="12.75" hidden="false" customHeight="false" outlineLevel="0" collapsed="false">
      <c r="A211" s="315" t="str">
        <f aca="false">IF(A210="N/A","N/A",IF(EDATE(A210,1)&gt;Inputs!$Q$5,"N/A",EDATE(A210,1)))</f>
        <v>N/A</v>
      </c>
      <c r="B211" s="316" t="str">
        <f aca="false">IF(A211="N/A"," ",YEAR(A211))</f>
        <v> </v>
      </c>
      <c r="C211" s="317" t="str">
        <f aca="false">IF($A211="N/A"," ",IF(Dayrun3=10,0,IF(Scaler3=1,(VLOOKUP(A211,ScaledPrice3,4)),(VLOOKUP(A211,ScaledPrice3,2)))))</f>
        <v> </v>
      </c>
      <c r="D211" s="317" t="str">
        <f aca="false">IF(A211="N/A"," ",IF(Dayrun3&gt;=7,0,IF(Scaler3=2,VLOOKUP(A211,ScaledPrice3,2),(VLOOKUP(A211,ScaledPrice3,2))*(2-(VLOOKUP(A211,ScaledPrice3,3))))))</f>
        <v> </v>
      </c>
      <c r="E211" s="317" t="str">
        <f aca="false">IF($A211="N/A"," ",IF(AND(Dayrun3&gt;=4,Dayrun3&lt;=9),0,VLOOKUP($A211,ScaledPrice3,9)))</f>
        <v> </v>
      </c>
      <c r="F211" s="317" t="str">
        <f aca="false">IF(A211="N/A"," ",IF(OR(Dayrun3=2,Dayrun3=3,Dayrun3=5,Dayrun3=6,Dayrun3=8,Dayrun3=9),VLOOKUP(A211,ScaledPrice3,IF(Scaler3=1,6,5)),0))</f>
        <v> </v>
      </c>
      <c r="G211" s="317" t="str">
        <f aca="false">IF(A211="N/A"," ",IF(OR(Dayrun3=2,Dayrun3=3,Dayrun3=5,Dayrun3=6),IF(Scaler3=2,F211,(VLOOKUP(A211,ScaledPrice3,5))*(2-(VLOOKUP(A211,ScaledPrice3,3)))),0))</f>
        <v> </v>
      </c>
      <c r="H211" s="317" t="str">
        <f aca="false">IF($A211="N/A"," ",IF(OR(Dayrun3=2,Dayrun3=3,Dayrun3=10),VLOOKUP($A211,ScaledPrice3,9),0))</f>
        <v> </v>
      </c>
      <c r="I211" s="317" t="str">
        <f aca="false">IF(A211="N/A"," ",IF(OR(Dayrun3=3,Dayrun3=6,Dayrun3=9),(VLOOKUP(A211,ScaledPrice3,IF(Scaler3=2,7,8))),0))</f>
        <v> </v>
      </c>
      <c r="J211" s="317" t="str">
        <f aca="false">IF(A211="N/A"," ",IF(OR(Dayrun3=3,Dayrun3=6),IF(Scaler3=2,I211,(VLOOKUP(A211,ScaledPrice3,7))*(2-(VLOOKUP(A211,ScaledPrice3,3)))),0))</f>
        <v> </v>
      </c>
      <c r="K211" s="317" t="str">
        <f aca="false">IF($A211="N/A"," ",IF(OR(Dayrun3=3,Dayrun3=10),VLOOKUP($A211,ScaledPrice3,9),0))</f>
        <v> </v>
      </c>
      <c r="L211" s="318" t="str">
        <f aca="false">IF($A211="N/A"," ",IF(Pricetype3=2,MAX(C211,0),IF(OR(Pricetype3=1,Pricetype3=4),IF(C211=0,0,(EURO(C211,Strikeprice3,0,0,($AH211+IF(Smile=TRUE(),VLOOKUP(MAX(-5,Strikeprice3-C211),Volsmile,2),0)),($A211-DateToday)+15,IF(Pricetype3=1,1,0),0))),C211)))</f>
        <v> </v>
      </c>
      <c r="M211" s="318" t="str">
        <f aca="false">IF($A211="N/A"," ",IF(Pricetype3=2,MAX(D211,0),IF(OR(Pricetype3=1,Pricetype3=4),IF(D211=0,0,(EURO(D211,Strikeprice3,0,0,($AH211+IF(Smile=TRUE(),VLOOKUP(MAX(-5,Strikeprice3-D211),Volsmile,2),0)),($A211-DateToday)+15,IF(Pricetype3=1,1,0),0))),D211)))</f>
        <v> </v>
      </c>
      <c r="N211" s="318" t="str">
        <f aca="false">IF($A211="N/A"," ",IF(Pricetype3=2,MAX(E211,0),IF(OR(Pricetype3=1,Pricetype3=4),IF(E211=0,0,(EURO(E211,Strikeprice3,0,0,($AK211+IF(Smile=TRUE(),VLOOKUP(MAX(-5,Strikeprice3-E211),Volsmile,2),0)),($A211-DateToday)+15,IF(Pricetype3=1,1,0),0))),E211)))</f>
        <v> </v>
      </c>
      <c r="O211" s="318" t="str">
        <f aca="false">IF($A211="N/A"," ",IF(Pricetype3=2,MAX(F211,0),IF(OR(Pricetype3=1,Pricetype3=4),IF(F211=0,0,(EURO(F211,Strikeprice3,0,0,($AK211+IF(Smile=TRUE(),VLOOKUP(MAX(-5,Strikeprice3-F211),Volsmile,2),0)),($A211-DateToday)+15,IF(Pricetype3=1,1,0),0))),F211)))</f>
        <v> </v>
      </c>
      <c r="P211" s="318" t="str">
        <f aca="false">IF($A211="N/A"," ",IF(Pricetype3=2,MAX(G211,0),IF(OR(Pricetype3=1,Pricetype3=4),IF(G211=0,0,(EURO(G211,Strikeprice3,0,0,($AK211+IF(Smile=TRUE(),VLOOKUP(MAX(-5,Strikeprice3-G211),Volsmile,2),0)),($A211-DateToday)+15,IF(Pricetype3=1,1,0),0))),G211)))</f>
        <v> </v>
      </c>
      <c r="Q211" s="318" t="str">
        <f aca="false">IF($A211="N/A"," ",IF(Pricetype3=2,MAX(H211,0),IF(OR(Pricetype3=1,Pricetype3=4),IF(H211=0,0,(EURO(H211,Strikeprice3,0,0,($AK211+IF(Smile=TRUE(),VLOOKUP(MAX(-5,Strikeprice3-H211),Volsmile,2),0)),($A211-DateToday)+15,IF(Pricetype3=1,1,0),0))),H211)))</f>
        <v> </v>
      </c>
      <c r="R211" s="318" t="str">
        <f aca="false">IF($A211="N/A"," ",IF(Pricetype3=2,MAX(I211,0),IF(OR(Pricetype3=1,Pricetype3=4),IF(I211=0,0,(EURO(I211,Strikeprice3,0,0,($AK211+IF(Smile=TRUE(),VLOOKUP(MAX(-5,Strikeprice3-I211),Volsmile,2),0)),($A211-DateToday)+15,IF(Pricetype3=1,1,0),0))),I211)))</f>
        <v> </v>
      </c>
      <c r="S211" s="318" t="str">
        <f aca="false">IF($A211="N/A"," ",IF(Pricetype3=2,MAX(J211,0),IF(OR(Pricetype3=1,Pricetype3=4),IF(J211=0,0,(EURO(J211,Strikeprice3,0,0,($AK211+IF(Smile=TRUE(),VLOOKUP(MAX(-5,Strikeprice3-J211),Volsmile,2),0)),($A211-DateToday)+15,IF(Pricetype3=1,1,0),0))),J211)))</f>
        <v> </v>
      </c>
      <c r="T211" s="318" t="str">
        <f aca="false">IF($A211="N/A"," ",IF(Pricetype3=2,MAX(K211,0),IF(OR(Pricetype3=1,Pricetype3=4),IF(K211=0,0,(EURO(K211,Strikeprice3,0,0,($AK211+IF(Smile=TRUE(),VLOOKUP(MAX(-5,Strikeprice3-K211),Volsmile,2),0)),($A211-DateToday)+15,IF(Pricetype3=1,1,0),0))),K211)))</f>
        <v> </v>
      </c>
      <c r="U211" s="319" t="str">
        <f aca="false">IF($A211="N/A"," ",Volume3*$AM211)</f>
        <v> </v>
      </c>
      <c r="V211" s="320" t="str">
        <f aca="false">IF($A211="N/A"," ",$U211*(8*($BQ211))*L211)</f>
        <v> </v>
      </c>
      <c r="W211" s="320" t="str">
        <f aca="false">IF($A211="N/A"," ",$U211*(8*($BQ211))*M211)</f>
        <v> </v>
      </c>
      <c r="X211" s="320" t="str">
        <f aca="false">IF($A211="N/A"," ",$U211*(8*($BQ211))*N211)</f>
        <v> </v>
      </c>
      <c r="Y211" s="320" t="str">
        <f aca="false">IF($A211="N/A"," ",$U211*(8*($BR211))*O211)</f>
        <v> </v>
      </c>
      <c r="Z211" s="320" t="str">
        <f aca="false">IF($A211="N/A"," ",$U211*(8*($BR211))*P211)</f>
        <v> </v>
      </c>
      <c r="AA211" s="320" t="str">
        <f aca="false">IF($A211="N/A"," ",$U211*(8*($BR211))*Q211)</f>
        <v> </v>
      </c>
      <c r="AB211" s="320" t="str">
        <f aca="false">IF($A211="N/A"," ",$U211*(8*($BS211))*R211)</f>
        <v> </v>
      </c>
      <c r="AC211" s="320" t="str">
        <f aca="false">IF($A211="N/A"," ",$U211*(8*($BS211))*S211)</f>
        <v> </v>
      </c>
      <c r="AD211" s="320" t="str">
        <f aca="false">IF($A211="N/A"," ",$U211*(8*($BS211))*T211)</f>
        <v> </v>
      </c>
      <c r="AE211" s="320" t="str">
        <f aca="false">IF($A211="N/A"," ",SUM(V211:AD211))</f>
        <v> </v>
      </c>
      <c r="AF211" s="321" t="str">
        <f aca="false">IF(A211="N/A"," ",(VLOOKUP(A211,PowerVolTable,(IF(VolBMO3=2,7,IF(VolBMO3=1,6,8))),FALSE())))</f>
        <v> </v>
      </c>
      <c r="AG211" s="321" t="str">
        <f aca="false">IF(A211="N/A"," ",(VLOOKUP(A211,IntraPowerVol,(IF(VolBMO3=2,3,IF(VolBMO3=1,2,4))),FALSE())*VLOOKUP(MONTH($A211),Volscale,2)))</f>
        <v> </v>
      </c>
      <c r="AH211" s="321" t="str">
        <f aca="false">IF($A211="N/A"," ",IF(VolType3=1,AG211,AF211))</f>
        <v> </v>
      </c>
      <c r="AI211" s="321" t="str">
        <f aca="false">IF($A211="N/A"," ",(VLOOKUP($A211,OffPwrVolTable,(IF(VolBMO3=2,7,IF(VolBMO3=1,6,8))),FALSE())))</f>
        <v> </v>
      </c>
      <c r="AJ211" s="321" t="str">
        <f aca="false">IF($A211="N/A"," ",(VLOOKUP($A211,OffPwrVolTable,(IF(VolBMO3=2,3,IF(VolBMO3=1,2,4))),FALSE())*VLOOKUP(MONTH($A211),Volscale,2)))</f>
        <v> </v>
      </c>
      <c r="AK211" s="321" t="str">
        <f aca="false">IF($A211="N/A"," ",IF(VolType3=1,AJ211,AI211))</f>
        <v> </v>
      </c>
      <c r="AL211" s="321" t="str">
        <f aca="false">IF($A211="N/A"," ",IF(PV=1,0,'Pricing Inputs3'!R244))</f>
        <v> </v>
      </c>
      <c r="AM211" s="323" t="str">
        <f aca="false">IF($A211="N/A"," ",(1+AL211/2)^(-2*((EOMONTH(A211,0)+20)-DateToday)/365.25))</f>
        <v> </v>
      </c>
      <c r="BQ211" s="0" t="str">
        <f aca="false">IF($A211="N/A"," ",(VLOOKUP($A211,NumberofDaysTable,2)))</f>
        <v> </v>
      </c>
      <c r="BR211" s="0" t="str">
        <f aca="false">IF($A211="N/A"," ",(VLOOKUP($A211,NumberofDaysTable,3)))</f>
        <v> </v>
      </c>
      <c r="BS211" s="0" t="str">
        <f aca="false">IF($A211="N/A"," ",(VLOOKUP($A211,NumberofDaysTable,4)))</f>
        <v> </v>
      </c>
    </row>
    <row r="212" customFormat="false" ht="12.75" hidden="false" customHeight="false" outlineLevel="0" collapsed="false">
      <c r="A212" s="315" t="str">
        <f aca="false">IF(A211="N/A","N/A",IF(EDATE(A211,1)&gt;Inputs!$Q$5,"N/A",EDATE(A211,1)))</f>
        <v>N/A</v>
      </c>
      <c r="B212" s="316" t="str">
        <f aca="false">IF(A212="N/A"," ",YEAR(A212))</f>
        <v> </v>
      </c>
      <c r="C212" s="317" t="str">
        <f aca="false">IF($A212="N/A"," ",IF(Dayrun3=10,0,IF(Scaler3=1,(VLOOKUP(A212,ScaledPrice3,4)),(VLOOKUP(A212,ScaledPrice3,2)))))</f>
        <v> </v>
      </c>
      <c r="D212" s="317" t="str">
        <f aca="false">IF(A212="N/A"," ",IF(Dayrun3&gt;=7,0,IF(Scaler3=2,VLOOKUP(A212,ScaledPrice3,2),(VLOOKUP(A212,ScaledPrice3,2))*(2-(VLOOKUP(A212,ScaledPrice3,3))))))</f>
        <v> </v>
      </c>
      <c r="E212" s="317" t="str">
        <f aca="false">IF($A212="N/A"," ",IF(AND(Dayrun3&gt;=4,Dayrun3&lt;=9),0,VLOOKUP($A212,ScaledPrice3,9)))</f>
        <v> </v>
      </c>
      <c r="F212" s="317" t="str">
        <f aca="false">IF(A212="N/A"," ",IF(OR(Dayrun3=2,Dayrun3=3,Dayrun3=5,Dayrun3=6,Dayrun3=8,Dayrun3=9),VLOOKUP(A212,ScaledPrice3,IF(Scaler3=1,6,5)),0))</f>
        <v> </v>
      </c>
      <c r="G212" s="317" t="str">
        <f aca="false">IF(A212="N/A"," ",IF(OR(Dayrun3=2,Dayrun3=3,Dayrun3=5,Dayrun3=6),IF(Scaler3=2,F212,(VLOOKUP(A212,ScaledPrice3,5))*(2-(VLOOKUP(A212,ScaledPrice3,3)))),0))</f>
        <v> </v>
      </c>
      <c r="H212" s="317" t="str">
        <f aca="false">IF($A212="N/A"," ",IF(OR(Dayrun3=2,Dayrun3=3,Dayrun3=10),VLOOKUP($A212,ScaledPrice3,9),0))</f>
        <v> </v>
      </c>
      <c r="I212" s="317" t="str">
        <f aca="false">IF(A212="N/A"," ",IF(OR(Dayrun3=3,Dayrun3=6,Dayrun3=9),(VLOOKUP(A212,ScaledPrice3,IF(Scaler3=2,7,8))),0))</f>
        <v> </v>
      </c>
      <c r="J212" s="317" t="str">
        <f aca="false">IF(A212="N/A"," ",IF(OR(Dayrun3=3,Dayrun3=6),IF(Scaler3=2,I212,(VLOOKUP(A212,ScaledPrice3,7))*(2-(VLOOKUP(A212,ScaledPrice3,3)))),0))</f>
        <v> </v>
      </c>
      <c r="K212" s="317" t="str">
        <f aca="false">IF($A212="N/A"," ",IF(OR(Dayrun3=3,Dayrun3=10),VLOOKUP($A212,ScaledPrice3,9),0))</f>
        <v> </v>
      </c>
      <c r="L212" s="318" t="str">
        <f aca="false">IF($A212="N/A"," ",IF(Pricetype3=2,MAX(C212,0),IF(OR(Pricetype3=1,Pricetype3=4),IF(C212=0,0,(EURO(C212,Strikeprice3,0,0,($AH212+IF(Smile=TRUE(),VLOOKUP(MAX(-5,Strikeprice3-C212),Volsmile,2),0)),($A212-DateToday)+15,IF(Pricetype3=1,1,0),0))),C212)))</f>
        <v> </v>
      </c>
      <c r="M212" s="318" t="str">
        <f aca="false">IF($A212="N/A"," ",IF(Pricetype3=2,MAX(D212,0),IF(OR(Pricetype3=1,Pricetype3=4),IF(D212=0,0,(EURO(D212,Strikeprice3,0,0,($AH212+IF(Smile=TRUE(),VLOOKUP(MAX(-5,Strikeprice3-D212),Volsmile,2),0)),($A212-DateToday)+15,IF(Pricetype3=1,1,0),0))),D212)))</f>
        <v> </v>
      </c>
      <c r="N212" s="318" t="str">
        <f aca="false">IF($A212="N/A"," ",IF(Pricetype3=2,MAX(E212,0),IF(OR(Pricetype3=1,Pricetype3=4),IF(E212=0,0,(EURO(E212,Strikeprice3,0,0,($AK212+IF(Smile=TRUE(),VLOOKUP(MAX(-5,Strikeprice3-E212),Volsmile,2),0)),($A212-DateToday)+15,IF(Pricetype3=1,1,0),0))),E212)))</f>
        <v> </v>
      </c>
      <c r="O212" s="318" t="str">
        <f aca="false">IF($A212="N/A"," ",IF(Pricetype3=2,MAX(F212,0),IF(OR(Pricetype3=1,Pricetype3=4),IF(F212=0,0,(EURO(F212,Strikeprice3,0,0,($AK212+IF(Smile=TRUE(),VLOOKUP(MAX(-5,Strikeprice3-F212),Volsmile,2),0)),($A212-DateToday)+15,IF(Pricetype3=1,1,0),0))),F212)))</f>
        <v> </v>
      </c>
      <c r="P212" s="318" t="str">
        <f aca="false">IF($A212="N/A"," ",IF(Pricetype3=2,MAX(G212,0),IF(OR(Pricetype3=1,Pricetype3=4),IF(G212=0,0,(EURO(G212,Strikeprice3,0,0,($AK212+IF(Smile=TRUE(),VLOOKUP(MAX(-5,Strikeprice3-G212),Volsmile,2),0)),($A212-DateToday)+15,IF(Pricetype3=1,1,0),0))),G212)))</f>
        <v> </v>
      </c>
      <c r="Q212" s="318" t="str">
        <f aca="false">IF($A212="N/A"," ",IF(Pricetype3=2,MAX(H212,0),IF(OR(Pricetype3=1,Pricetype3=4),IF(H212=0,0,(EURO(H212,Strikeprice3,0,0,($AK212+IF(Smile=TRUE(),VLOOKUP(MAX(-5,Strikeprice3-H212),Volsmile,2),0)),($A212-DateToday)+15,IF(Pricetype3=1,1,0),0))),H212)))</f>
        <v> </v>
      </c>
      <c r="R212" s="318" t="str">
        <f aca="false">IF($A212="N/A"," ",IF(Pricetype3=2,MAX(I212,0),IF(OR(Pricetype3=1,Pricetype3=4),IF(I212=0,0,(EURO(I212,Strikeprice3,0,0,($AK212+IF(Smile=TRUE(),VLOOKUP(MAX(-5,Strikeprice3-I212),Volsmile,2),0)),($A212-DateToday)+15,IF(Pricetype3=1,1,0),0))),I212)))</f>
        <v> </v>
      </c>
      <c r="S212" s="318" t="str">
        <f aca="false">IF($A212="N/A"," ",IF(Pricetype3=2,MAX(J212,0),IF(OR(Pricetype3=1,Pricetype3=4),IF(J212=0,0,(EURO(J212,Strikeprice3,0,0,($AK212+IF(Smile=TRUE(),VLOOKUP(MAX(-5,Strikeprice3-J212),Volsmile,2),0)),($A212-DateToday)+15,IF(Pricetype3=1,1,0),0))),J212)))</f>
        <v> </v>
      </c>
      <c r="T212" s="318" t="str">
        <f aca="false">IF($A212="N/A"," ",IF(Pricetype3=2,MAX(K212,0),IF(OR(Pricetype3=1,Pricetype3=4),IF(K212=0,0,(EURO(K212,Strikeprice3,0,0,($AK212+IF(Smile=TRUE(),VLOOKUP(MAX(-5,Strikeprice3-K212),Volsmile,2),0)),($A212-DateToday)+15,IF(Pricetype3=1,1,0),0))),K212)))</f>
        <v> </v>
      </c>
      <c r="U212" s="319" t="str">
        <f aca="false">IF($A212="N/A"," ",Volume3*$AM212)</f>
        <v> </v>
      </c>
      <c r="V212" s="320" t="str">
        <f aca="false">IF($A212="N/A"," ",$U212*(8*($BQ212))*L212)</f>
        <v> </v>
      </c>
      <c r="W212" s="320" t="str">
        <f aca="false">IF($A212="N/A"," ",$U212*(8*($BQ212))*M212)</f>
        <v> </v>
      </c>
      <c r="X212" s="320" t="str">
        <f aca="false">IF($A212="N/A"," ",$U212*(8*($BQ212))*N212)</f>
        <v> </v>
      </c>
      <c r="Y212" s="320" t="str">
        <f aca="false">IF($A212="N/A"," ",$U212*(8*($BR212))*O212)</f>
        <v> </v>
      </c>
      <c r="Z212" s="320" t="str">
        <f aca="false">IF($A212="N/A"," ",$U212*(8*($BR212))*P212)</f>
        <v> </v>
      </c>
      <c r="AA212" s="320" t="str">
        <f aca="false">IF($A212="N/A"," ",$U212*(8*($BR212))*Q212)</f>
        <v> </v>
      </c>
      <c r="AB212" s="320" t="str">
        <f aca="false">IF($A212="N/A"," ",$U212*(8*($BS212))*R212)</f>
        <v> </v>
      </c>
      <c r="AC212" s="320" t="str">
        <f aca="false">IF($A212="N/A"," ",$U212*(8*($BS212))*S212)</f>
        <v> </v>
      </c>
      <c r="AD212" s="320" t="str">
        <f aca="false">IF($A212="N/A"," ",$U212*(8*($BS212))*T212)</f>
        <v> </v>
      </c>
      <c r="AE212" s="320" t="str">
        <f aca="false">IF($A212="N/A"," ",SUM(V212:AD212))</f>
        <v> </v>
      </c>
      <c r="AF212" s="321" t="str">
        <f aca="false">IF(A212="N/A"," ",(VLOOKUP(A212,PowerVolTable,(IF(VolBMO3=2,7,IF(VolBMO3=1,6,8))),FALSE())))</f>
        <v> </v>
      </c>
      <c r="AG212" s="321" t="str">
        <f aca="false">IF(A212="N/A"," ",(VLOOKUP(A212,IntraPowerVol,(IF(VolBMO3=2,3,IF(VolBMO3=1,2,4))),FALSE())*VLOOKUP(MONTH($A212),Volscale,2)))</f>
        <v> </v>
      </c>
      <c r="AH212" s="321" t="str">
        <f aca="false">IF($A212="N/A"," ",IF(VolType3=1,AG212,AF212))</f>
        <v> </v>
      </c>
      <c r="AI212" s="321" t="str">
        <f aca="false">IF($A212="N/A"," ",(VLOOKUP($A212,OffPwrVolTable,(IF(VolBMO3=2,7,IF(VolBMO3=1,6,8))),FALSE())))</f>
        <v> </v>
      </c>
      <c r="AJ212" s="321" t="str">
        <f aca="false">IF($A212="N/A"," ",(VLOOKUP($A212,OffPwrVolTable,(IF(VolBMO3=2,3,IF(VolBMO3=1,2,4))),FALSE())*VLOOKUP(MONTH($A212),Volscale,2)))</f>
        <v> </v>
      </c>
      <c r="AK212" s="321" t="str">
        <f aca="false">IF($A212="N/A"," ",IF(VolType3=1,AJ212,AI212))</f>
        <v> </v>
      </c>
      <c r="AL212" s="321" t="str">
        <f aca="false">IF($A212="N/A"," ",IF(PV=1,0,'Pricing Inputs3'!R245))</f>
        <v> </v>
      </c>
      <c r="AM212" s="323" t="str">
        <f aca="false">IF($A212="N/A"," ",(1+AL212/2)^(-2*((EOMONTH(A212,0)+20)-DateToday)/365.25))</f>
        <v> </v>
      </c>
      <c r="BQ212" s="0" t="str">
        <f aca="false">IF($A212="N/A"," ",(VLOOKUP($A212,NumberofDaysTable,2)))</f>
        <v> </v>
      </c>
      <c r="BR212" s="0" t="str">
        <f aca="false">IF($A212="N/A"," ",(VLOOKUP($A212,NumberofDaysTable,3)))</f>
        <v> </v>
      </c>
      <c r="BS212" s="0" t="str">
        <f aca="false">IF($A212="N/A"," ",(VLOOKUP($A212,NumberofDaysTable,4)))</f>
        <v> </v>
      </c>
    </row>
    <row r="213" customFormat="false" ht="12.75" hidden="false" customHeight="false" outlineLevel="0" collapsed="false">
      <c r="A213" s="315" t="str">
        <f aca="false">IF(A212="N/A","N/A",IF(EDATE(A212,1)&gt;Inputs!$Q$5,"N/A",EDATE(A212,1)))</f>
        <v>N/A</v>
      </c>
      <c r="B213" s="316" t="str">
        <f aca="false">IF(A213="N/A"," ",YEAR(A213))</f>
        <v> </v>
      </c>
      <c r="C213" s="317" t="str">
        <f aca="false">IF($A213="N/A"," ",IF(Dayrun3=10,0,IF(Scaler3=1,(VLOOKUP(A213,ScaledPrice3,4)),(VLOOKUP(A213,ScaledPrice3,2)))))</f>
        <v> </v>
      </c>
      <c r="D213" s="317" t="str">
        <f aca="false">IF(A213="N/A"," ",IF(Dayrun3&gt;=7,0,IF(Scaler3=2,VLOOKUP(A213,ScaledPrice3,2),(VLOOKUP(A213,ScaledPrice3,2))*(2-(VLOOKUP(A213,ScaledPrice3,3))))))</f>
        <v> </v>
      </c>
      <c r="E213" s="317" t="str">
        <f aca="false">IF($A213="N/A"," ",IF(AND(Dayrun3&gt;=4,Dayrun3&lt;=9),0,VLOOKUP($A213,ScaledPrice3,9)))</f>
        <v> </v>
      </c>
      <c r="F213" s="317" t="str">
        <f aca="false">IF(A213="N/A"," ",IF(OR(Dayrun3=2,Dayrun3=3,Dayrun3=5,Dayrun3=6,Dayrun3=8,Dayrun3=9),VLOOKUP(A213,ScaledPrice3,IF(Scaler3=1,6,5)),0))</f>
        <v> </v>
      </c>
      <c r="G213" s="317" t="str">
        <f aca="false">IF(A213="N/A"," ",IF(OR(Dayrun3=2,Dayrun3=3,Dayrun3=5,Dayrun3=6),IF(Scaler3=2,F213,(VLOOKUP(A213,ScaledPrice3,5))*(2-(VLOOKUP(A213,ScaledPrice3,3)))),0))</f>
        <v> </v>
      </c>
      <c r="H213" s="317" t="str">
        <f aca="false">IF($A213="N/A"," ",IF(OR(Dayrun3=2,Dayrun3=3,Dayrun3=10),VLOOKUP($A213,ScaledPrice3,9),0))</f>
        <v> </v>
      </c>
      <c r="I213" s="317" t="str">
        <f aca="false">IF(A213="N/A"," ",IF(OR(Dayrun3=3,Dayrun3=6,Dayrun3=9),(VLOOKUP(A213,ScaledPrice3,IF(Scaler3=2,7,8))),0))</f>
        <v> </v>
      </c>
      <c r="J213" s="317" t="str">
        <f aca="false">IF(A213="N/A"," ",IF(OR(Dayrun3=3,Dayrun3=6),IF(Scaler3=2,I213,(VLOOKUP(A213,ScaledPrice3,7))*(2-(VLOOKUP(A213,ScaledPrice3,3)))),0))</f>
        <v> </v>
      </c>
      <c r="K213" s="317" t="str">
        <f aca="false">IF($A213="N/A"," ",IF(OR(Dayrun3=3,Dayrun3=10),VLOOKUP($A213,ScaledPrice3,9),0))</f>
        <v> </v>
      </c>
      <c r="L213" s="318" t="str">
        <f aca="false">IF($A213="N/A"," ",IF(Pricetype3=2,MAX(C213,0),IF(OR(Pricetype3=1,Pricetype3=4),IF(C213=0,0,(EURO(C213,Strikeprice3,0,0,($AH213+IF(Smile=TRUE(),VLOOKUP(MAX(-5,Strikeprice3-C213),Volsmile,2),0)),($A213-DateToday)+15,IF(Pricetype3=1,1,0),0))),C213)))</f>
        <v> </v>
      </c>
      <c r="M213" s="318" t="str">
        <f aca="false">IF($A213="N/A"," ",IF(Pricetype3=2,MAX(D213,0),IF(OR(Pricetype3=1,Pricetype3=4),IF(D213=0,0,(EURO(D213,Strikeprice3,0,0,($AH213+IF(Smile=TRUE(),VLOOKUP(MAX(-5,Strikeprice3-D213),Volsmile,2),0)),($A213-DateToday)+15,IF(Pricetype3=1,1,0),0))),D213)))</f>
        <v> </v>
      </c>
      <c r="N213" s="318" t="str">
        <f aca="false">IF($A213="N/A"," ",IF(Pricetype3=2,MAX(E213,0),IF(OR(Pricetype3=1,Pricetype3=4),IF(E213=0,0,(EURO(E213,Strikeprice3,0,0,($AK213+IF(Smile=TRUE(),VLOOKUP(MAX(-5,Strikeprice3-E213),Volsmile,2),0)),($A213-DateToday)+15,IF(Pricetype3=1,1,0),0))),E213)))</f>
        <v> </v>
      </c>
      <c r="O213" s="318" t="str">
        <f aca="false">IF($A213="N/A"," ",IF(Pricetype3=2,MAX(F213,0),IF(OR(Pricetype3=1,Pricetype3=4),IF(F213=0,0,(EURO(F213,Strikeprice3,0,0,($AK213+IF(Smile=TRUE(),VLOOKUP(MAX(-5,Strikeprice3-F213),Volsmile,2),0)),($A213-DateToday)+15,IF(Pricetype3=1,1,0),0))),F213)))</f>
        <v> </v>
      </c>
      <c r="P213" s="318" t="str">
        <f aca="false">IF($A213="N/A"," ",IF(Pricetype3=2,MAX(G213,0),IF(OR(Pricetype3=1,Pricetype3=4),IF(G213=0,0,(EURO(G213,Strikeprice3,0,0,($AK213+IF(Smile=TRUE(),VLOOKUP(MAX(-5,Strikeprice3-G213),Volsmile,2),0)),($A213-DateToday)+15,IF(Pricetype3=1,1,0),0))),G213)))</f>
        <v> </v>
      </c>
      <c r="Q213" s="318" t="str">
        <f aca="false">IF($A213="N/A"," ",IF(Pricetype3=2,MAX(H213,0),IF(OR(Pricetype3=1,Pricetype3=4),IF(H213=0,0,(EURO(H213,Strikeprice3,0,0,($AK213+IF(Smile=TRUE(),VLOOKUP(MAX(-5,Strikeprice3-H213),Volsmile,2),0)),($A213-DateToday)+15,IF(Pricetype3=1,1,0),0))),H213)))</f>
        <v> </v>
      </c>
      <c r="R213" s="318" t="str">
        <f aca="false">IF($A213="N/A"," ",IF(Pricetype3=2,MAX(I213,0),IF(OR(Pricetype3=1,Pricetype3=4),IF(I213=0,0,(EURO(I213,Strikeprice3,0,0,($AK213+IF(Smile=TRUE(),VLOOKUP(MAX(-5,Strikeprice3-I213),Volsmile,2),0)),($A213-DateToday)+15,IF(Pricetype3=1,1,0),0))),I213)))</f>
        <v> </v>
      </c>
      <c r="S213" s="318" t="str">
        <f aca="false">IF($A213="N/A"," ",IF(Pricetype3=2,MAX(J213,0),IF(OR(Pricetype3=1,Pricetype3=4),IF(J213=0,0,(EURO(J213,Strikeprice3,0,0,($AK213+IF(Smile=TRUE(),VLOOKUP(MAX(-5,Strikeprice3-J213),Volsmile,2),0)),($A213-DateToday)+15,IF(Pricetype3=1,1,0),0))),J213)))</f>
        <v> </v>
      </c>
      <c r="T213" s="318" t="str">
        <f aca="false">IF($A213="N/A"," ",IF(Pricetype3=2,MAX(K213,0),IF(OR(Pricetype3=1,Pricetype3=4),IF(K213=0,0,(EURO(K213,Strikeprice3,0,0,($AK213+IF(Smile=TRUE(),VLOOKUP(MAX(-5,Strikeprice3-K213),Volsmile,2),0)),($A213-DateToday)+15,IF(Pricetype3=1,1,0),0))),K213)))</f>
        <v> </v>
      </c>
      <c r="U213" s="319" t="str">
        <f aca="false">IF($A213="N/A"," ",Volume3*$AM213)</f>
        <v> </v>
      </c>
      <c r="V213" s="320" t="str">
        <f aca="false">IF($A213="N/A"," ",$U213*(8*($BQ213))*L213)</f>
        <v> </v>
      </c>
      <c r="W213" s="320" t="str">
        <f aca="false">IF($A213="N/A"," ",$U213*(8*($BQ213))*M213)</f>
        <v> </v>
      </c>
      <c r="X213" s="320" t="str">
        <f aca="false">IF($A213="N/A"," ",$U213*(8*($BQ213))*N213)</f>
        <v> </v>
      </c>
      <c r="Y213" s="320" t="str">
        <f aca="false">IF($A213="N/A"," ",$U213*(8*($BR213))*O213)</f>
        <v> </v>
      </c>
      <c r="Z213" s="320" t="str">
        <f aca="false">IF($A213="N/A"," ",$U213*(8*($BR213))*P213)</f>
        <v> </v>
      </c>
      <c r="AA213" s="320" t="str">
        <f aca="false">IF($A213="N/A"," ",$U213*(8*($BR213))*Q213)</f>
        <v> </v>
      </c>
      <c r="AB213" s="320" t="str">
        <f aca="false">IF($A213="N/A"," ",$U213*(8*($BS213))*R213)</f>
        <v> </v>
      </c>
      <c r="AC213" s="320" t="str">
        <f aca="false">IF($A213="N/A"," ",$U213*(8*($BS213))*S213)</f>
        <v> </v>
      </c>
      <c r="AD213" s="320" t="str">
        <f aca="false">IF($A213="N/A"," ",$U213*(8*($BS213))*T213)</f>
        <v> </v>
      </c>
      <c r="AE213" s="320" t="str">
        <f aca="false">IF($A213="N/A"," ",SUM(V213:AD213))</f>
        <v> </v>
      </c>
      <c r="AF213" s="321" t="str">
        <f aca="false">IF(A213="N/A"," ",(VLOOKUP(A213,PowerVolTable,(IF(VolBMO3=2,7,IF(VolBMO3=1,6,8))),FALSE())))</f>
        <v> </v>
      </c>
      <c r="AG213" s="321" t="str">
        <f aca="false">IF(A213="N/A"," ",(VLOOKUP(A213,IntraPowerVol,(IF(VolBMO3=2,3,IF(VolBMO3=1,2,4))),FALSE())*VLOOKUP(MONTH($A213),Volscale,2)))</f>
        <v> </v>
      </c>
      <c r="AH213" s="321" t="str">
        <f aca="false">IF($A213="N/A"," ",IF(VolType3=1,AG213,AF213))</f>
        <v> </v>
      </c>
      <c r="AI213" s="321" t="str">
        <f aca="false">IF($A213="N/A"," ",(VLOOKUP($A213,OffPwrVolTable,(IF(VolBMO3=2,7,IF(VolBMO3=1,6,8))),FALSE())))</f>
        <v> </v>
      </c>
      <c r="AJ213" s="321" t="str">
        <f aca="false">IF($A213="N/A"," ",(VLOOKUP($A213,OffPwrVolTable,(IF(VolBMO3=2,3,IF(VolBMO3=1,2,4))),FALSE())*VLOOKUP(MONTH($A213),Volscale,2)))</f>
        <v> </v>
      </c>
      <c r="AK213" s="321" t="str">
        <f aca="false">IF($A213="N/A"," ",IF(VolType3=1,AJ213,AI213))</f>
        <v> </v>
      </c>
      <c r="AL213" s="321" t="str">
        <f aca="false">IF($A213="N/A"," ",IF(PV=1,0,'Pricing Inputs3'!R246))</f>
        <v> </v>
      </c>
      <c r="AM213" s="323" t="str">
        <f aca="false">IF($A213="N/A"," ",(1+AL213/2)^(-2*((EOMONTH(A213,0)+20)-DateToday)/365.25))</f>
        <v> </v>
      </c>
      <c r="BQ213" s="0" t="str">
        <f aca="false">IF($A213="N/A"," ",(VLOOKUP($A213,NumberofDaysTable,2)))</f>
        <v> </v>
      </c>
      <c r="BR213" s="0" t="str">
        <f aca="false">IF($A213="N/A"," ",(VLOOKUP($A213,NumberofDaysTable,3)))</f>
        <v> </v>
      </c>
      <c r="BS213" s="0" t="str">
        <f aca="false">IF($A213="N/A"," ",(VLOOKUP($A213,NumberofDaysTable,4)))</f>
        <v> </v>
      </c>
    </row>
    <row r="214" customFormat="false" ht="12.75" hidden="false" customHeight="false" outlineLevel="0" collapsed="false">
      <c r="A214" s="315" t="str">
        <f aca="false">IF(A213="N/A","N/A",IF(EDATE(A213,1)&gt;Inputs!$Q$5,"N/A",EDATE(A213,1)))</f>
        <v>N/A</v>
      </c>
      <c r="B214" s="316" t="str">
        <f aca="false">IF(A214="N/A"," ",YEAR(A214))</f>
        <v> </v>
      </c>
      <c r="C214" s="317" t="str">
        <f aca="false">IF($A214="N/A"," ",IF(Dayrun3=10,0,IF(Scaler3=1,(VLOOKUP(A214,ScaledPrice3,4)),(VLOOKUP(A214,ScaledPrice3,2)))))</f>
        <v> </v>
      </c>
      <c r="D214" s="317" t="str">
        <f aca="false">IF(A214="N/A"," ",IF(Dayrun3&gt;=7,0,IF(Scaler3=2,VLOOKUP(A214,ScaledPrice3,2),(VLOOKUP(A214,ScaledPrice3,2))*(2-(VLOOKUP(A214,ScaledPrice3,3))))))</f>
        <v> </v>
      </c>
      <c r="E214" s="317" t="str">
        <f aca="false">IF($A214="N/A"," ",IF(AND(Dayrun3&gt;=4,Dayrun3&lt;=9),0,VLOOKUP($A214,ScaledPrice3,9)))</f>
        <v> </v>
      </c>
      <c r="F214" s="317" t="str">
        <f aca="false">IF(A214="N/A"," ",IF(OR(Dayrun3=2,Dayrun3=3,Dayrun3=5,Dayrun3=6,Dayrun3=8,Dayrun3=9),VLOOKUP(A214,ScaledPrice3,IF(Scaler3=1,6,5)),0))</f>
        <v> </v>
      </c>
      <c r="G214" s="317" t="str">
        <f aca="false">IF(A214="N/A"," ",IF(OR(Dayrun3=2,Dayrun3=3,Dayrun3=5,Dayrun3=6),IF(Scaler3=2,F214,(VLOOKUP(A214,ScaledPrice3,5))*(2-(VLOOKUP(A214,ScaledPrice3,3)))),0))</f>
        <v> </v>
      </c>
      <c r="H214" s="317" t="str">
        <f aca="false">IF($A214="N/A"," ",IF(OR(Dayrun3=2,Dayrun3=3,Dayrun3=10),VLOOKUP($A214,ScaledPrice3,9),0))</f>
        <v> </v>
      </c>
      <c r="I214" s="317" t="str">
        <f aca="false">IF(A214="N/A"," ",IF(OR(Dayrun3=3,Dayrun3=6,Dayrun3=9),(VLOOKUP(A214,ScaledPrice3,IF(Scaler3=2,7,8))),0))</f>
        <v> </v>
      </c>
      <c r="J214" s="317" t="str">
        <f aca="false">IF(A214="N/A"," ",IF(OR(Dayrun3=3,Dayrun3=6),IF(Scaler3=2,I214,(VLOOKUP(A214,ScaledPrice3,7))*(2-(VLOOKUP(A214,ScaledPrice3,3)))),0))</f>
        <v> </v>
      </c>
      <c r="K214" s="317" t="str">
        <f aca="false">IF($A214="N/A"," ",IF(OR(Dayrun3=3,Dayrun3=10),VLOOKUP($A214,ScaledPrice3,9),0))</f>
        <v> </v>
      </c>
      <c r="L214" s="318" t="str">
        <f aca="false">IF($A214="N/A"," ",IF(Pricetype3=2,MAX(C214,0),IF(OR(Pricetype3=1,Pricetype3=4),IF(C214=0,0,(EURO(C214,Strikeprice3,0,0,($AH214+IF(Smile=TRUE(),VLOOKUP(MAX(-5,Strikeprice3-C214),Volsmile,2),0)),($A214-DateToday)+15,IF(Pricetype3=1,1,0),0))),C214)))</f>
        <v> </v>
      </c>
      <c r="M214" s="318" t="str">
        <f aca="false">IF($A214="N/A"," ",IF(Pricetype3=2,MAX(D214,0),IF(OR(Pricetype3=1,Pricetype3=4),IF(D214=0,0,(EURO(D214,Strikeprice3,0,0,($AH214+IF(Smile=TRUE(),VLOOKUP(MAX(-5,Strikeprice3-D214),Volsmile,2),0)),($A214-DateToday)+15,IF(Pricetype3=1,1,0),0))),D214)))</f>
        <v> </v>
      </c>
      <c r="N214" s="318" t="str">
        <f aca="false">IF($A214="N/A"," ",IF(Pricetype3=2,MAX(E214,0),IF(OR(Pricetype3=1,Pricetype3=4),IF(E214=0,0,(EURO(E214,Strikeprice3,0,0,($AK214+IF(Smile=TRUE(),VLOOKUP(MAX(-5,Strikeprice3-E214),Volsmile,2),0)),($A214-DateToday)+15,IF(Pricetype3=1,1,0),0))),E214)))</f>
        <v> </v>
      </c>
      <c r="O214" s="318" t="str">
        <f aca="false">IF($A214="N/A"," ",IF(Pricetype3=2,MAX(F214,0),IF(OR(Pricetype3=1,Pricetype3=4),IF(F214=0,0,(EURO(F214,Strikeprice3,0,0,($AK214+IF(Smile=TRUE(),VLOOKUP(MAX(-5,Strikeprice3-F214),Volsmile,2),0)),($A214-DateToday)+15,IF(Pricetype3=1,1,0),0))),F214)))</f>
        <v> </v>
      </c>
      <c r="P214" s="318" t="str">
        <f aca="false">IF($A214="N/A"," ",IF(Pricetype3=2,MAX(G214,0),IF(OR(Pricetype3=1,Pricetype3=4),IF(G214=0,0,(EURO(G214,Strikeprice3,0,0,($AK214+IF(Smile=TRUE(),VLOOKUP(MAX(-5,Strikeprice3-G214),Volsmile,2),0)),($A214-DateToday)+15,IF(Pricetype3=1,1,0),0))),G214)))</f>
        <v> </v>
      </c>
      <c r="Q214" s="318" t="str">
        <f aca="false">IF($A214="N/A"," ",IF(Pricetype3=2,MAX(H214,0),IF(OR(Pricetype3=1,Pricetype3=4),IF(H214=0,0,(EURO(H214,Strikeprice3,0,0,($AK214+IF(Smile=TRUE(),VLOOKUP(MAX(-5,Strikeprice3-H214),Volsmile,2),0)),($A214-DateToday)+15,IF(Pricetype3=1,1,0),0))),H214)))</f>
        <v> </v>
      </c>
      <c r="R214" s="318" t="str">
        <f aca="false">IF($A214="N/A"," ",IF(Pricetype3=2,MAX(I214,0),IF(OR(Pricetype3=1,Pricetype3=4),IF(I214=0,0,(EURO(I214,Strikeprice3,0,0,($AK214+IF(Smile=TRUE(),VLOOKUP(MAX(-5,Strikeprice3-I214),Volsmile,2),0)),($A214-DateToday)+15,IF(Pricetype3=1,1,0),0))),I214)))</f>
        <v> </v>
      </c>
      <c r="S214" s="318" t="str">
        <f aca="false">IF($A214="N/A"," ",IF(Pricetype3=2,MAX(J214,0),IF(OR(Pricetype3=1,Pricetype3=4),IF(J214=0,0,(EURO(J214,Strikeprice3,0,0,($AK214+IF(Smile=TRUE(),VLOOKUP(MAX(-5,Strikeprice3-J214),Volsmile,2),0)),($A214-DateToday)+15,IF(Pricetype3=1,1,0),0))),J214)))</f>
        <v> </v>
      </c>
      <c r="T214" s="318" t="str">
        <f aca="false">IF($A214="N/A"," ",IF(Pricetype3=2,MAX(K214,0),IF(OR(Pricetype3=1,Pricetype3=4),IF(K214=0,0,(EURO(K214,Strikeprice3,0,0,($AK214+IF(Smile=TRUE(),VLOOKUP(MAX(-5,Strikeprice3-K214),Volsmile,2),0)),($A214-DateToday)+15,IF(Pricetype3=1,1,0),0))),K214)))</f>
        <v> </v>
      </c>
      <c r="U214" s="319" t="str">
        <f aca="false">IF($A214="N/A"," ",Volume3*$AM214)</f>
        <v> </v>
      </c>
      <c r="V214" s="320" t="str">
        <f aca="false">IF($A214="N/A"," ",$U214*(8*($BQ214))*L214)</f>
        <v> </v>
      </c>
      <c r="W214" s="320" t="str">
        <f aca="false">IF($A214="N/A"," ",$U214*(8*($BQ214))*M214)</f>
        <v> </v>
      </c>
      <c r="X214" s="320" t="str">
        <f aca="false">IF($A214="N/A"," ",$U214*(8*($BQ214))*N214)</f>
        <v> </v>
      </c>
      <c r="Y214" s="320" t="str">
        <f aca="false">IF($A214="N/A"," ",$U214*(8*($BR214))*O214)</f>
        <v> </v>
      </c>
      <c r="Z214" s="320" t="str">
        <f aca="false">IF($A214="N/A"," ",$U214*(8*($BR214))*P214)</f>
        <v> </v>
      </c>
      <c r="AA214" s="320" t="str">
        <f aca="false">IF($A214="N/A"," ",$U214*(8*($BR214))*Q214)</f>
        <v> </v>
      </c>
      <c r="AB214" s="320" t="str">
        <f aca="false">IF($A214="N/A"," ",$U214*(8*($BS214))*R214)</f>
        <v> </v>
      </c>
      <c r="AC214" s="320" t="str">
        <f aca="false">IF($A214="N/A"," ",$U214*(8*($BS214))*S214)</f>
        <v> </v>
      </c>
      <c r="AD214" s="320" t="str">
        <f aca="false">IF($A214="N/A"," ",$U214*(8*($BS214))*T214)</f>
        <v> </v>
      </c>
      <c r="AE214" s="320" t="str">
        <f aca="false">IF($A214="N/A"," ",SUM(V214:AD214))</f>
        <v> </v>
      </c>
      <c r="AF214" s="321" t="str">
        <f aca="false">IF(A214="N/A"," ",(VLOOKUP(A214,PowerVolTable,(IF(VolBMO3=2,7,IF(VolBMO3=1,6,8))),FALSE())))</f>
        <v> </v>
      </c>
      <c r="AG214" s="321" t="str">
        <f aca="false">IF(A214="N/A"," ",(VLOOKUP(A214,IntraPowerVol,(IF(VolBMO3=2,3,IF(VolBMO3=1,2,4))),FALSE())*VLOOKUP(MONTH($A214),Volscale,2)))</f>
        <v> </v>
      </c>
      <c r="AH214" s="321" t="str">
        <f aca="false">IF($A214="N/A"," ",IF(VolType3=1,AG214,AF214))</f>
        <v> </v>
      </c>
      <c r="AI214" s="321" t="str">
        <f aca="false">IF($A214="N/A"," ",(VLOOKUP($A214,OffPwrVolTable,(IF(VolBMO3=2,7,IF(VolBMO3=1,6,8))),FALSE())))</f>
        <v> </v>
      </c>
      <c r="AJ214" s="321" t="str">
        <f aca="false">IF($A214="N/A"," ",(VLOOKUP($A214,OffPwrVolTable,(IF(VolBMO3=2,3,IF(VolBMO3=1,2,4))),FALSE())*VLOOKUP(MONTH($A214),Volscale,2)))</f>
        <v> </v>
      </c>
      <c r="AK214" s="321" t="str">
        <f aca="false">IF($A214="N/A"," ",IF(VolType3=1,AJ214,AI214))</f>
        <v> </v>
      </c>
      <c r="AL214" s="321" t="str">
        <f aca="false">IF($A214="N/A"," ",IF(PV=1,0,'Pricing Inputs3'!R247))</f>
        <v> </v>
      </c>
      <c r="AM214" s="323" t="str">
        <f aca="false">IF($A214="N/A"," ",(1+AL214/2)^(-2*((EOMONTH(A214,0)+20)-DateToday)/365.25))</f>
        <v> </v>
      </c>
      <c r="BQ214" s="0" t="str">
        <f aca="false">IF($A214="N/A"," ",(VLOOKUP($A214,NumberofDaysTable,2)))</f>
        <v> </v>
      </c>
      <c r="BR214" s="0" t="str">
        <f aca="false">IF($A214="N/A"," ",(VLOOKUP($A214,NumberofDaysTable,3)))</f>
        <v> </v>
      </c>
      <c r="BS214" s="0" t="str">
        <f aca="false">IF($A214="N/A"," ",(VLOOKUP($A214,NumberofDaysTable,4)))</f>
        <v> </v>
      </c>
    </row>
    <row r="215" customFormat="false" ht="12.75" hidden="false" customHeight="false" outlineLevel="0" collapsed="false">
      <c r="A215" s="315" t="str">
        <f aca="false">IF(A214="N/A","N/A",IF(EDATE(A214,1)&gt;Inputs!$Q$5,"N/A",EDATE(A214,1)))</f>
        <v>N/A</v>
      </c>
      <c r="B215" s="316" t="str">
        <f aca="false">IF(A215="N/A"," ",YEAR(A215))</f>
        <v> </v>
      </c>
      <c r="C215" s="317" t="str">
        <f aca="false">IF($A215="N/A"," ",IF(Dayrun3=10,0,IF(Scaler3=1,(VLOOKUP(A215,ScaledPrice3,4)),(VLOOKUP(A215,ScaledPrice3,2)))))</f>
        <v> </v>
      </c>
      <c r="D215" s="317" t="str">
        <f aca="false">IF(A215="N/A"," ",IF(Dayrun3&gt;=7,0,IF(Scaler3=2,VLOOKUP(A215,ScaledPrice3,2),(VLOOKUP(A215,ScaledPrice3,2))*(2-(VLOOKUP(A215,ScaledPrice3,3))))))</f>
        <v> </v>
      </c>
      <c r="E215" s="317" t="str">
        <f aca="false">IF($A215="N/A"," ",IF(AND(Dayrun3&gt;=4,Dayrun3&lt;=9),0,VLOOKUP($A215,ScaledPrice3,9)))</f>
        <v> </v>
      </c>
      <c r="F215" s="317" t="str">
        <f aca="false">IF(A215="N/A"," ",IF(OR(Dayrun3=2,Dayrun3=3,Dayrun3=5,Dayrun3=6,Dayrun3=8,Dayrun3=9),VLOOKUP(A215,ScaledPrice3,IF(Scaler3=1,6,5)),0))</f>
        <v> </v>
      </c>
      <c r="G215" s="317" t="str">
        <f aca="false">IF(A215="N/A"," ",IF(OR(Dayrun3=2,Dayrun3=3,Dayrun3=5,Dayrun3=6),IF(Scaler3=2,F215,(VLOOKUP(A215,ScaledPrice3,5))*(2-(VLOOKUP(A215,ScaledPrice3,3)))),0))</f>
        <v> </v>
      </c>
      <c r="H215" s="317" t="str">
        <f aca="false">IF($A215="N/A"," ",IF(OR(Dayrun3=2,Dayrun3=3,Dayrun3=10),VLOOKUP($A215,ScaledPrice3,9),0))</f>
        <v> </v>
      </c>
      <c r="I215" s="317" t="str">
        <f aca="false">IF(A215="N/A"," ",IF(OR(Dayrun3=3,Dayrun3=6,Dayrun3=9),(VLOOKUP(A215,ScaledPrice3,IF(Scaler3=2,7,8))),0))</f>
        <v> </v>
      </c>
      <c r="J215" s="317" t="str">
        <f aca="false">IF(A215="N/A"," ",IF(OR(Dayrun3=3,Dayrun3=6),IF(Scaler3=2,I215,(VLOOKUP(A215,ScaledPrice3,7))*(2-(VLOOKUP(A215,ScaledPrice3,3)))),0))</f>
        <v> </v>
      </c>
      <c r="K215" s="317" t="str">
        <f aca="false">IF($A215="N/A"," ",IF(OR(Dayrun3=3,Dayrun3=10),VLOOKUP($A215,ScaledPrice3,9),0))</f>
        <v> </v>
      </c>
      <c r="L215" s="318" t="str">
        <f aca="false">IF($A215="N/A"," ",IF(Pricetype3=2,MAX(C215,0),IF(OR(Pricetype3=1,Pricetype3=4),IF(C215=0,0,(EURO(C215,Strikeprice3,0,0,($AH215+IF(Smile=TRUE(),VLOOKUP(MAX(-5,Strikeprice3-C215),Volsmile,2),0)),($A215-DateToday)+15,IF(Pricetype3=1,1,0),0))),C215)))</f>
        <v> </v>
      </c>
      <c r="M215" s="318" t="str">
        <f aca="false">IF($A215="N/A"," ",IF(Pricetype3=2,MAX(D215,0),IF(OR(Pricetype3=1,Pricetype3=4),IF(D215=0,0,(EURO(D215,Strikeprice3,0,0,($AH215+IF(Smile=TRUE(),VLOOKUP(MAX(-5,Strikeprice3-D215),Volsmile,2),0)),($A215-DateToday)+15,IF(Pricetype3=1,1,0),0))),D215)))</f>
        <v> </v>
      </c>
      <c r="N215" s="318" t="str">
        <f aca="false">IF($A215="N/A"," ",IF(Pricetype3=2,MAX(E215,0),IF(OR(Pricetype3=1,Pricetype3=4),IF(E215=0,0,(EURO(E215,Strikeprice3,0,0,($AK215+IF(Smile=TRUE(),VLOOKUP(MAX(-5,Strikeprice3-E215),Volsmile,2),0)),($A215-DateToday)+15,IF(Pricetype3=1,1,0),0))),E215)))</f>
        <v> </v>
      </c>
      <c r="O215" s="318" t="str">
        <f aca="false">IF($A215="N/A"," ",IF(Pricetype3=2,MAX(F215,0),IF(OR(Pricetype3=1,Pricetype3=4),IF(F215=0,0,(EURO(F215,Strikeprice3,0,0,($AK215+IF(Smile=TRUE(),VLOOKUP(MAX(-5,Strikeprice3-F215),Volsmile,2),0)),($A215-DateToday)+15,IF(Pricetype3=1,1,0),0))),F215)))</f>
        <v> </v>
      </c>
      <c r="P215" s="318" t="str">
        <f aca="false">IF($A215="N/A"," ",IF(Pricetype3=2,MAX(G215,0),IF(OR(Pricetype3=1,Pricetype3=4),IF(G215=0,0,(EURO(G215,Strikeprice3,0,0,($AK215+IF(Smile=TRUE(),VLOOKUP(MAX(-5,Strikeprice3-G215),Volsmile,2),0)),($A215-DateToday)+15,IF(Pricetype3=1,1,0),0))),G215)))</f>
        <v> </v>
      </c>
      <c r="Q215" s="318" t="str">
        <f aca="false">IF($A215="N/A"," ",IF(Pricetype3=2,MAX(H215,0),IF(OR(Pricetype3=1,Pricetype3=4),IF(H215=0,0,(EURO(H215,Strikeprice3,0,0,($AK215+IF(Smile=TRUE(),VLOOKUP(MAX(-5,Strikeprice3-H215),Volsmile,2),0)),($A215-DateToday)+15,IF(Pricetype3=1,1,0),0))),H215)))</f>
        <v> </v>
      </c>
      <c r="R215" s="318" t="str">
        <f aca="false">IF($A215="N/A"," ",IF(Pricetype3=2,MAX(I215,0),IF(OR(Pricetype3=1,Pricetype3=4),IF(I215=0,0,(EURO(I215,Strikeprice3,0,0,($AK215+IF(Smile=TRUE(),VLOOKUP(MAX(-5,Strikeprice3-I215),Volsmile,2),0)),($A215-DateToday)+15,IF(Pricetype3=1,1,0),0))),I215)))</f>
        <v> </v>
      </c>
      <c r="S215" s="318" t="str">
        <f aca="false">IF($A215="N/A"," ",IF(Pricetype3=2,MAX(J215,0),IF(OR(Pricetype3=1,Pricetype3=4),IF(J215=0,0,(EURO(J215,Strikeprice3,0,0,($AK215+IF(Smile=TRUE(),VLOOKUP(MAX(-5,Strikeprice3-J215),Volsmile,2),0)),($A215-DateToday)+15,IF(Pricetype3=1,1,0),0))),J215)))</f>
        <v> </v>
      </c>
      <c r="T215" s="318" t="str">
        <f aca="false">IF($A215="N/A"," ",IF(Pricetype3=2,MAX(K215,0),IF(OR(Pricetype3=1,Pricetype3=4),IF(K215=0,0,(EURO(K215,Strikeprice3,0,0,($AK215+IF(Smile=TRUE(),VLOOKUP(MAX(-5,Strikeprice3-K215),Volsmile,2),0)),($A215-DateToday)+15,IF(Pricetype3=1,1,0),0))),K215)))</f>
        <v> </v>
      </c>
      <c r="U215" s="319" t="str">
        <f aca="false">IF($A215="N/A"," ",Volume3*$AM215)</f>
        <v> </v>
      </c>
      <c r="V215" s="320" t="str">
        <f aca="false">IF($A215="N/A"," ",$U215*(8*($BQ215))*L215)</f>
        <v> </v>
      </c>
      <c r="W215" s="320" t="str">
        <f aca="false">IF($A215="N/A"," ",$U215*(8*($BQ215))*M215)</f>
        <v> </v>
      </c>
      <c r="X215" s="320" t="str">
        <f aca="false">IF($A215="N/A"," ",$U215*(8*($BQ215))*N215)</f>
        <v> </v>
      </c>
      <c r="Y215" s="320" t="str">
        <f aca="false">IF($A215="N/A"," ",$U215*(8*($BR215))*O215)</f>
        <v> </v>
      </c>
      <c r="Z215" s="320" t="str">
        <f aca="false">IF($A215="N/A"," ",$U215*(8*($BR215))*P215)</f>
        <v> </v>
      </c>
      <c r="AA215" s="320" t="str">
        <f aca="false">IF($A215="N/A"," ",$U215*(8*($BR215))*Q215)</f>
        <v> </v>
      </c>
      <c r="AB215" s="320" t="str">
        <f aca="false">IF($A215="N/A"," ",$U215*(8*($BS215))*R215)</f>
        <v> </v>
      </c>
      <c r="AC215" s="320" t="str">
        <f aca="false">IF($A215="N/A"," ",$U215*(8*($BS215))*S215)</f>
        <v> </v>
      </c>
      <c r="AD215" s="320" t="str">
        <f aca="false">IF($A215="N/A"," ",$U215*(8*($BS215))*T215)</f>
        <v> </v>
      </c>
      <c r="AE215" s="320" t="str">
        <f aca="false">IF($A215="N/A"," ",SUM(V215:AD215))</f>
        <v> </v>
      </c>
      <c r="AF215" s="321" t="str">
        <f aca="false">IF(A215="N/A"," ",(VLOOKUP(A215,PowerVolTable,(IF(VolBMO3=2,7,IF(VolBMO3=1,6,8))),FALSE())))</f>
        <v> </v>
      </c>
      <c r="AG215" s="321" t="str">
        <f aca="false">IF(A215="N/A"," ",(VLOOKUP(A215,IntraPowerVol,(IF(VolBMO3=2,3,IF(VolBMO3=1,2,4))),FALSE())*VLOOKUP(MONTH($A215),Volscale,2)))</f>
        <v> </v>
      </c>
      <c r="AH215" s="321" t="str">
        <f aca="false">IF($A215="N/A"," ",IF(VolType3=1,AG215,AF215))</f>
        <v> </v>
      </c>
      <c r="AI215" s="321" t="str">
        <f aca="false">IF($A215="N/A"," ",(VLOOKUP($A215,OffPwrVolTable,(IF(VolBMO3=2,7,IF(VolBMO3=1,6,8))),FALSE())))</f>
        <v> </v>
      </c>
      <c r="AJ215" s="321" t="str">
        <f aca="false">IF($A215="N/A"," ",(VLOOKUP($A215,OffPwrVolTable,(IF(VolBMO3=2,3,IF(VolBMO3=1,2,4))),FALSE())*VLOOKUP(MONTH($A215),Volscale,2)))</f>
        <v> </v>
      </c>
      <c r="AK215" s="321" t="str">
        <f aca="false">IF($A215="N/A"," ",IF(VolType3=1,AJ215,AI215))</f>
        <v> </v>
      </c>
      <c r="AL215" s="321" t="str">
        <f aca="false">IF($A215="N/A"," ",IF(PV=1,0,'Pricing Inputs3'!R248))</f>
        <v> </v>
      </c>
      <c r="AM215" s="323" t="str">
        <f aca="false">IF($A215="N/A"," ",(1+AL215/2)^(-2*((EOMONTH(A215,0)+20)-DateToday)/365.25))</f>
        <v> </v>
      </c>
      <c r="BQ215" s="0" t="str">
        <f aca="false">IF($A215="N/A"," ",(VLOOKUP($A215,NumberofDaysTable,2)))</f>
        <v> </v>
      </c>
      <c r="BR215" s="0" t="str">
        <f aca="false">IF($A215="N/A"," ",(VLOOKUP($A215,NumberofDaysTable,3)))</f>
        <v> </v>
      </c>
      <c r="BS215" s="0" t="str">
        <f aca="false">IF($A215="N/A"," ",(VLOOKUP($A215,NumberofDaysTable,4)))</f>
        <v> </v>
      </c>
    </row>
    <row r="216" customFormat="false" ht="12.75" hidden="false" customHeight="false" outlineLevel="0" collapsed="false">
      <c r="A216" s="315" t="str">
        <f aca="false">IF(A215="N/A","N/A",IF(EDATE(A215,1)&gt;Inputs!$Q$5,"N/A",EDATE(A215,1)))</f>
        <v>N/A</v>
      </c>
      <c r="B216" s="316" t="str">
        <f aca="false">IF(A216="N/A"," ",YEAR(A216))</f>
        <v> </v>
      </c>
      <c r="C216" s="317" t="str">
        <f aca="false">IF($A216="N/A"," ",IF(Dayrun3=10,0,IF(Scaler3=1,(VLOOKUP(A216,ScaledPrice3,4)),(VLOOKUP(A216,ScaledPrice3,2)))))</f>
        <v> </v>
      </c>
      <c r="D216" s="317" t="str">
        <f aca="false">IF(A216="N/A"," ",IF(Dayrun3&gt;=7,0,IF(Scaler3=2,VLOOKUP(A216,ScaledPrice3,2),(VLOOKUP(A216,ScaledPrice3,2))*(2-(VLOOKUP(A216,ScaledPrice3,3))))))</f>
        <v> </v>
      </c>
      <c r="E216" s="317" t="str">
        <f aca="false">IF($A216="N/A"," ",IF(AND(Dayrun3&gt;=4,Dayrun3&lt;=9),0,VLOOKUP($A216,ScaledPrice3,9)))</f>
        <v> </v>
      </c>
      <c r="F216" s="317" t="str">
        <f aca="false">IF(A216="N/A"," ",IF(OR(Dayrun3=2,Dayrun3=3,Dayrun3=5,Dayrun3=6,Dayrun3=8,Dayrun3=9),VLOOKUP(A216,ScaledPrice3,IF(Scaler3=1,6,5)),0))</f>
        <v> </v>
      </c>
      <c r="G216" s="317" t="str">
        <f aca="false">IF(A216="N/A"," ",IF(OR(Dayrun3=2,Dayrun3=3,Dayrun3=5,Dayrun3=6),IF(Scaler3=2,F216,(VLOOKUP(A216,ScaledPrice3,5))*(2-(VLOOKUP(A216,ScaledPrice3,3)))),0))</f>
        <v> </v>
      </c>
      <c r="H216" s="317" t="str">
        <f aca="false">IF($A216="N/A"," ",IF(OR(Dayrun3=2,Dayrun3=3,Dayrun3=10),VLOOKUP($A216,ScaledPrice3,9),0))</f>
        <v> </v>
      </c>
      <c r="I216" s="317" t="str">
        <f aca="false">IF(A216="N/A"," ",IF(OR(Dayrun3=3,Dayrun3=6,Dayrun3=9),(VLOOKUP(A216,ScaledPrice3,IF(Scaler3=2,7,8))),0))</f>
        <v> </v>
      </c>
      <c r="J216" s="317" t="str">
        <f aca="false">IF(A216="N/A"," ",IF(OR(Dayrun3=3,Dayrun3=6),IF(Scaler3=2,I216,(VLOOKUP(A216,ScaledPrice3,7))*(2-(VLOOKUP(A216,ScaledPrice3,3)))),0))</f>
        <v> </v>
      </c>
      <c r="K216" s="317" t="str">
        <f aca="false">IF($A216="N/A"," ",IF(OR(Dayrun3=3,Dayrun3=10),VLOOKUP($A216,ScaledPrice3,9),0))</f>
        <v> </v>
      </c>
      <c r="L216" s="318" t="str">
        <f aca="false">IF($A216="N/A"," ",IF(Pricetype3=2,MAX(C216,0),IF(OR(Pricetype3=1,Pricetype3=4),IF(C216=0,0,(EURO(C216,Strikeprice3,0,0,($AH216+IF(Smile=TRUE(),VLOOKUP(MAX(-5,Strikeprice3-C216),Volsmile,2),0)),($A216-DateToday)+15,IF(Pricetype3=1,1,0),0))),C216)))</f>
        <v> </v>
      </c>
      <c r="M216" s="318" t="str">
        <f aca="false">IF($A216="N/A"," ",IF(Pricetype3=2,MAX(D216,0),IF(OR(Pricetype3=1,Pricetype3=4),IF(D216=0,0,(EURO(D216,Strikeprice3,0,0,($AH216+IF(Smile=TRUE(),VLOOKUP(MAX(-5,Strikeprice3-D216),Volsmile,2),0)),($A216-DateToday)+15,IF(Pricetype3=1,1,0),0))),D216)))</f>
        <v> </v>
      </c>
      <c r="N216" s="318" t="str">
        <f aca="false">IF($A216="N/A"," ",IF(Pricetype3=2,MAX(E216,0),IF(OR(Pricetype3=1,Pricetype3=4),IF(E216=0,0,(EURO(E216,Strikeprice3,0,0,($AK216+IF(Smile=TRUE(),VLOOKUP(MAX(-5,Strikeprice3-E216),Volsmile,2),0)),($A216-DateToday)+15,IF(Pricetype3=1,1,0),0))),E216)))</f>
        <v> </v>
      </c>
      <c r="O216" s="318" t="str">
        <f aca="false">IF($A216="N/A"," ",IF(Pricetype3=2,MAX(F216,0),IF(OR(Pricetype3=1,Pricetype3=4),IF(F216=0,0,(EURO(F216,Strikeprice3,0,0,($AK216+IF(Smile=TRUE(),VLOOKUP(MAX(-5,Strikeprice3-F216),Volsmile,2),0)),($A216-DateToday)+15,IF(Pricetype3=1,1,0),0))),F216)))</f>
        <v> </v>
      </c>
      <c r="P216" s="318" t="str">
        <f aca="false">IF($A216="N/A"," ",IF(Pricetype3=2,MAX(G216,0),IF(OR(Pricetype3=1,Pricetype3=4),IF(G216=0,0,(EURO(G216,Strikeprice3,0,0,($AK216+IF(Smile=TRUE(),VLOOKUP(MAX(-5,Strikeprice3-G216),Volsmile,2),0)),($A216-DateToday)+15,IF(Pricetype3=1,1,0),0))),G216)))</f>
        <v> </v>
      </c>
      <c r="Q216" s="318" t="str">
        <f aca="false">IF($A216="N/A"," ",IF(Pricetype3=2,MAX(H216,0),IF(OR(Pricetype3=1,Pricetype3=4),IF(H216=0,0,(EURO(H216,Strikeprice3,0,0,($AK216+IF(Smile=TRUE(),VLOOKUP(MAX(-5,Strikeprice3-H216),Volsmile,2),0)),($A216-DateToday)+15,IF(Pricetype3=1,1,0),0))),H216)))</f>
        <v> </v>
      </c>
      <c r="R216" s="318" t="str">
        <f aca="false">IF($A216="N/A"," ",IF(Pricetype3=2,MAX(I216,0),IF(OR(Pricetype3=1,Pricetype3=4),IF(I216=0,0,(EURO(I216,Strikeprice3,0,0,($AK216+IF(Smile=TRUE(),VLOOKUP(MAX(-5,Strikeprice3-I216),Volsmile,2),0)),($A216-DateToday)+15,IF(Pricetype3=1,1,0),0))),I216)))</f>
        <v> </v>
      </c>
      <c r="S216" s="318" t="str">
        <f aca="false">IF($A216="N/A"," ",IF(Pricetype3=2,MAX(J216,0),IF(OR(Pricetype3=1,Pricetype3=4),IF(J216=0,0,(EURO(J216,Strikeprice3,0,0,($AK216+IF(Smile=TRUE(),VLOOKUP(MAX(-5,Strikeprice3-J216),Volsmile,2),0)),($A216-DateToday)+15,IF(Pricetype3=1,1,0),0))),J216)))</f>
        <v> </v>
      </c>
      <c r="T216" s="318" t="str">
        <f aca="false">IF($A216="N/A"," ",IF(Pricetype3=2,MAX(K216,0),IF(OR(Pricetype3=1,Pricetype3=4),IF(K216=0,0,(EURO(K216,Strikeprice3,0,0,($AK216+IF(Smile=TRUE(),VLOOKUP(MAX(-5,Strikeprice3-K216),Volsmile,2),0)),($A216-DateToday)+15,IF(Pricetype3=1,1,0),0))),K216)))</f>
        <v> </v>
      </c>
      <c r="U216" s="319" t="str">
        <f aca="false">IF($A216="N/A"," ",Volume3*$AM216)</f>
        <v> </v>
      </c>
      <c r="V216" s="320" t="str">
        <f aca="false">IF($A216="N/A"," ",$U216*(8*($BQ216))*L216)</f>
        <v> </v>
      </c>
      <c r="W216" s="320" t="str">
        <f aca="false">IF($A216="N/A"," ",$U216*(8*($BQ216))*M216)</f>
        <v> </v>
      </c>
      <c r="X216" s="320" t="str">
        <f aca="false">IF($A216="N/A"," ",$U216*(8*($BQ216))*N216)</f>
        <v> </v>
      </c>
      <c r="Y216" s="320" t="str">
        <f aca="false">IF($A216="N/A"," ",$U216*(8*($BR216))*O216)</f>
        <v> </v>
      </c>
      <c r="Z216" s="320" t="str">
        <f aca="false">IF($A216="N/A"," ",$U216*(8*($BR216))*P216)</f>
        <v> </v>
      </c>
      <c r="AA216" s="320" t="str">
        <f aca="false">IF($A216="N/A"," ",$U216*(8*($BR216))*Q216)</f>
        <v> </v>
      </c>
      <c r="AB216" s="320" t="str">
        <f aca="false">IF($A216="N/A"," ",$U216*(8*($BS216))*R216)</f>
        <v> </v>
      </c>
      <c r="AC216" s="320" t="str">
        <f aca="false">IF($A216="N/A"," ",$U216*(8*($BS216))*S216)</f>
        <v> </v>
      </c>
      <c r="AD216" s="320" t="str">
        <f aca="false">IF($A216="N/A"," ",$U216*(8*($BS216))*T216)</f>
        <v> </v>
      </c>
      <c r="AE216" s="320" t="str">
        <f aca="false">IF($A216="N/A"," ",SUM(V216:AD216))</f>
        <v> </v>
      </c>
      <c r="AF216" s="321" t="str">
        <f aca="false">IF(A216="N/A"," ",(VLOOKUP(A216,PowerVolTable,(IF(VolBMO3=2,7,IF(VolBMO3=1,6,8))),FALSE())))</f>
        <v> </v>
      </c>
      <c r="AG216" s="321" t="str">
        <f aca="false">IF(A216="N/A"," ",(VLOOKUP(A216,IntraPowerVol,(IF(VolBMO3=2,3,IF(VolBMO3=1,2,4))),FALSE())*VLOOKUP(MONTH($A216),Volscale,2)))</f>
        <v> </v>
      </c>
      <c r="AH216" s="321" t="str">
        <f aca="false">IF($A216="N/A"," ",IF(VolType3=1,AG216,AF216))</f>
        <v> </v>
      </c>
      <c r="AI216" s="321" t="str">
        <f aca="false">IF($A216="N/A"," ",(VLOOKUP($A216,OffPwrVolTable,(IF(VolBMO3=2,7,IF(VolBMO3=1,6,8))),FALSE())))</f>
        <v> </v>
      </c>
      <c r="AJ216" s="321" t="str">
        <f aca="false">IF($A216="N/A"," ",(VLOOKUP($A216,OffPwrVolTable,(IF(VolBMO3=2,3,IF(VolBMO3=1,2,4))),FALSE())*VLOOKUP(MONTH($A216),Volscale,2)))</f>
        <v> </v>
      </c>
      <c r="AK216" s="321" t="str">
        <f aca="false">IF($A216="N/A"," ",IF(VolType3=1,AJ216,AI216))</f>
        <v> </v>
      </c>
      <c r="AL216" s="321" t="str">
        <f aca="false">IF($A216="N/A"," ",IF(PV=1,0,'Pricing Inputs3'!R249))</f>
        <v> </v>
      </c>
      <c r="AM216" s="323" t="str">
        <f aca="false">IF($A216="N/A"," ",(1+AL216/2)^(-2*((EOMONTH(A216,0)+20)-DateToday)/365.25))</f>
        <v> </v>
      </c>
      <c r="BQ216" s="0" t="str">
        <f aca="false">IF($A216="N/A"," ",(VLOOKUP($A216,NumberofDaysTable,2)))</f>
        <v> </v>
      </c>
      <c r="BR216" s="0" t="str">
        <f aca="false">IF($A216="N/A"," ",(VLOOKUP($A216,NumberofDaysTable,3)))</f>
        <v> </v>
      </c>
      <c r="BS216" s="0" t="str">
        <f aca="false">IF($A216="N/A"," ",(VLOOKUP($A216,NumberofDaysTable,4)))</f>
        <v> </v>
      </c>
    </row>
    <row r="217" customFormat="false" ht="12.75" hidden="false" customHeight="false" outlineLevel="0" collapsed="false">
      <c r="A217" s="315" t="str">
        <f aca="false">IF(A216="N/A","N/A",IF(EDATE(A216,1)&gt;Inputs!$Q$5,"N/A",EDATE(A216,1)))</f>
        <v>N/A</v>
      </c>
      <c r="B217" s="316" t="str">
        <f aca="false">IF(A217="N/A"," ",YEAR(A217))</f>
        <v> </v>
      </c>
      <c r="C217" s="317" t="str">
        <f aca="false">IF($A217="N/A"," ",IF(Dayrun3=10,0,IF(Scaler3=1,(VLOOKUP(A217,ScaledPrice3,4)),(VLOOKUP(A217,ScaledPrice3,2)))))</f>
        <v> </v>
      </c>
      <c r="D217" s="317" t="str">
        <f aca="false">IF(A217="N/A"," ",IF(Dayrun3&gt;=7,0,IF(Scaler3=2,VLOOKUP(A217,ScaledPrice3,2),(VLOOKUP(A217,ScaledPrice3,2))*(2-(VLOOKUP(A217,ScaledPrice3,3))))))</f>
        <v> </v>
      </c>
      <c r="E217" s="317" t="str">
        <f aca="false">IF($A217="N/A"," ",IF(AND(Dayrun3&gt;=4,Dayrun3&lt;=9),0,VLOOKUP($A217,ScaledPrice3,9)))</f>
        <v> </v>
      </c>
      <c r="F217" s="317" t="str">
        <f aca="false">IF(A217="N/A"," ",IF(OR(Dayrun3=2,Dayrun3=3,Dayrun3=5,Dayrun3=6,Dayrun3=8,Dayrun3=9),VLOOKUP(A217,ScaledPrice3,IF(Scaler3=1,6,5)),0))</f>
        <v> </v>
      </c>
      <c r="G217" s="317" t="str">
        <f aca="false">IF(A217="N/A"," ",IF(OR(Dayrun3=2,Dayrun3=3,Dayrun3=5,Dayrun3=6),IF(Scaler3=2,F217,(VLOOKUP(A217,ScaledPrice3,5))*(2-(VLOOKUP(A217,ScaledPrice3,3)))),0))</f>
        <v> </v>
      </c>
      <c r="H217" s="317" t="str">
        <f aca="false">IF($A217="N/A"," ",IF(OR(Dayrun3=2,Dayrun3=3,Dayrun3=10),VLOOKUP($A217,ScaledPrice3,9),0))</f>
        <v> </v>
      </c>
      <c r="I217" s="317" t="str">
        <f aca="false">IF(A217="N/A"," ",IF(OR(Dayrun3=3,Dayrun3=6,Dayrun3=9),(VLOOKUP(A217,ScaledPrice3,IF(Scaler3=2,7,8))),0))</f>
        <v> </v>
      </c>
      <c r="J217" s="317" t="str">
        <f aca="false">IF(A217="N/A"," ",IF(OR(Dayrun3=3,Dayrun3=6),IF(Scaler3=2,I217,(VLOOKUP(A217,ScaledPrice3,7))*(2-(VLOOKUP(A217,ScaledPrice3,3)))),0))</f>
        <v> </v>
      </c>
      <c r="K217" s="317" t="str">
        <f aca="false">IF($A217="N/A"," ",IF(OR(Dayrun3=3,Dayrun3=10),VLOOKUP($A217,ScaledPrice3,9),0))</f>
        <v> </v>
      </c>
      <c r="L217" s="318" t="str">
        <f aca="false">IF($A217="N/A"," ",IF(Pricetype3=2,MAX(C217,0),IF(OR(Pricetype3=1,Pricetype3=4),IF(C217=0,0,(EURO(C217,Strikeprice3,0,0,($AH217+IF(Smile=TRUE(),VLOOKUP(MAX(-5,Strikeprice3-C217),Volsmile,2),0)),($A217-DateToday)+15,IF(Pricetype3=1,1,0),0))),C217)))</f>
        <v> </v>
      </c>
      <c r="M217" s="318" t="str">
        <f aca="false">IF($A217="N/A"," ",IF(Pricetype3=2,MAX(D217,0),IF(OR(Pricetype3=1,Pricetype3=4),IF(D217=0,0,(EURO(D217,Strikeprice3,0,0,($AH217+IF(Smile=TRUE(),VLOOKUP(MAX(-5,Strikeprice3-D217),Volsmile,2),0)),($A217-DateToday)+15,IF(Pricetype3=1,1,0),0))),D217)))</f>
        <v> </v>
      </c>
      <c r="N217" s="318" t="str">
        <f aca="false">IF($A217="N/A"," ",IF(Pricetype3=2,MAX(E217,0),IF(OR(Pricetype3=1,Pricetype3=4),IF(E217=0,0,(EURO(E217,Strikeprice3,0,0,($AK217+IF(Smile=TRUE(),VLOOKUP(MAX(-5,Strikeprice3-E217),Volsmile,2),0)),($A217-DateToday)+15,IF(Pricetype3=1,1,0),0))),E217)))</f>
        <v> </v>
      </c>
      <c r="O217" s="318" t="str">
        <f aca="false">IF($A217="N/A"," ",IF(Pricetype3=2,MAX(F217,0),IF(OR(Pricetype3=1,Pricetype3=4),IF(F217=0,0,(EURO(F217,Strikeprice3,0,0,($AK217+IF(Smile=TRUE(),VLOOKUP(MAX(-5,Strikeprice3-F217),Volsmile,2),0)),($A217-DateToday)+15,IF(Pricetype3=1,1,0),0))),F217)))</f>
        <v> </v>
      </c>
      <c r="P217" s="318" t="str">
        <f aca="false">IF($A217="N/A"," ",IF(Pricetype3=2,MAX(G217,0),IF(OR(Pricetype3=1,Pricetype3=4),IF(G217=0,0,(EURO(G217,Strikeprice3,0,0,($AK217+IF(Smile=TRUE(),VLOOKUP(MAX(-5,Strikeprice3-G217),Volsmile,2),0)),($A217-DateToday)+15,IF(Pricetype3=1,1,0),0))),G217)))</f>
        <v> </v>
      </c>
      <c r="Q217" s="318" t="str">
        <f aca="false">IF($A217="N/A"," ",IF(Pricetype3=2,MAX(H217,0),IF(OR(Pricetype3=1,Pricetype3=4),IF(H217=0,0,(EURO(H217,Strikeprice3,0,0,($AK217+IF(Smile=TRUE(),VLOOKUP(MAX(-5,Strikeprice3-H217),Volsmile,2),0)),($A217-DateToday)+15,IF(Pricetype3=1,1,0),0))),H217)))</f>
        <v> </v>
      </c>
      <c r="R217" s="318" t="str">
        <f aca="false">IF($A217="N/A"," ",IF(Pricetype3=2,MAX(I217,0),IF(OR(Pricetype3=1,Pricetype3=4),IF(I217=0,0,(EURO(I217,Strikeprice3,0,0,($AK217+IF(Smile=TRUE(),VLOOKUP(MAX(-5,Strikeprice3-I217),Volsmile,2),0)),($A217-DateToday)+15,IF(Pricetype3=1,1,0),0))),I217)))</f>
        <v> </v>
      </c>
      <c r="S217" s="318" t="str">
        <f aca="false">IF($A217="N/A"," ",IF(Pricetype3=2,MAX(J217,0),IF(OR(Pricetype3=1,Pricetype3=4),IF(J217=0,0,(EURO(J217,Strikeprice3,0,0,($AK217+IF(Smile=TRUE(),VLOOKUP(MAX(-5,Strikeprice3-J217),Volsmile,2),0)),($A217-DateToday)+15,IF(Pricetype3=1,1,0),0))),J217)))</f>
        <v> </v>
      </c>
      <c r="T217" s="318" t="str">
        <f aca="false">IF($A217="N/A"," ",IF(Pricetype3=2,MAX(K217,0),IF(OR(Pricetype3=1,Pricetype3=4),IF(K217=0,0,(EURO(K217,Strikeprice3,0,0,($AK217+IF(Smile=TRUE(),VLOOKUP(MAX(-5,Strikeprice3-K217),Volsmile,2),0)),($A217-DateToday)+15,IF(Pricetype3=1,1,0),0))),K217)))</f>
        <v> </v>
      </c>
      <c r="U217" s="319" t="str">
        <f aca="false">IF($A217="N/A"," ",Volume3*$AM217)</f>
        <v> </v>
      </c>
      <c r="V217" s="320" t="str">
        <f aca="false">IF($A217="N/A"," ",$U217*(8*($BQ217))*L217)</f>
        <v> </v>
      </c>
      <c r="W217" s="320" t="str">
        <f aca="false">IF($A217="N/A"," ",$U217*(8*($BQ217))*M217)</f>
        <v> </v>
      </c>
      <c r="X217" s="320" t="str">
        <f aca="false">IF($A217="N/A"," ",$U217*(8*($BQ217))*N217)</f>
        <v> </v>
      </c>
      <c r="Y217" s="320" t="str">
        <f aca="false">IF($A217="N/A"," ",$U217*(8*($BR217))*O217)</f>
        <v> </v>
      </c>
      <c r="Z217" s="320" t="str">
        <f aca="false">IF($A217="N/A"," ",$U217*(8*($BR217))*P217)</f>
        <v> </v>
      </c>
      <c r="AA217" s="320" t="str">
        <f aca="false">IF($A217="N/A"," ",$U217*(8*($BR217))*Q217)</f>
        <v> </v>
      </c>
      <c r="AB217" s="320" t="str">
        <f aca="false">IF($A217="N/A"," ",$U217*(8*($BS217))*R217)</f>
        <v> </v>
      </c>
      <c r="AC217" s="320" t="str">
        <f aca="false">IF($A217="N/A"," ",$U217*(8*($BS217))*S217)</f>
        <v> </v>
      </c>
      <c r="AD217" s="320" t="str">
        <f aca="false">IF($A217="N/A"," ",$U217*(8*($BS217))*T217)</f>
        <v> </v>
      </c>
      <c r="AE217" s="320" t="str">
        <f aca="false">IF($A217="N/A"," ",SUM(V217:AD217))</f>
        <v> </v>
      </c>
      <c r="AF217" s="321" t="str">
        <f aca="false">IF(A217="N/A"," ",(VLOOKUP(A217,PowerVolTable,(IF(VolBMO3=2,7,IF(VolBMO3=1,6,8))),FALSE())))</f>
        <v> </v>
      </c>
      <c r="AG217" s="321" t="str">
        <f aca="false">IF(A217="N/A"," ",(VLOOKUP(A217,IntraPowerVol,(IF(VolBMO3=2,3,IF(VolBMO3=1,2,4))),FALSE())*VLOOKUP(MONTH($A217),Volscale,2)))</f>
        <v> </v>
      </c>
      <c r="AH217" s="321" t="str">
        <f aca="false">IF($A217="N/A"," ",IF(VolType3=1,AG217,AF217))</f>
        <v> </v>
      </c>
      <c r="AI217" s="321" t="str">
        <f aca="false">IF($A217="N/A"," ",(VLOOKUP($A217,OffPwrVolTable,(IF(VolBMO3=2,7,IF(VolBMO3=1,6,8))),FALSE())))</f>
        <v> </v>
      </c>
      <c r="AJ217" s="321" t="str">
        <f aca="false">IF($A217="N/A"," ",(VLOOKUP($A217,OffPwrVolTable,(IF(VolBMO3=2,3,IF(VolBMO3=1,2,4))),FALSE())*VLOOKUP(MONTH($A217),Volscale,2)))</f>
        <v> </v>
      </c>
      <c r="AK217" s="321" t="str">
        <f aca="false">IF($A217="N/A"," ",IF(VolType3=1,AJ217,AI217))</f>
        <v> </v>
      </c>
      <c r="AL217" s="321" t="str">
        <f aca="false">IF($A217="N/A"," ",IF(PV=1,0,'Pricing Inputs3'!R250))</f>
        <v> </v>
      </c>
      <c r="AM217" s="323" t="str">
        <f aca="false">IF($A217="N/A"," ",(1+AL217/2)^(-2*((EOMONTH(A217,0)+20)-DateToday)/365.25))</f>
        <v> </v>
      </c>
      <c r="BQ217" s="0" t="str">
        <f aca="false">IF($A217="N/A"," ",(VLOOKUP($A217,NumberofDaysTable,2)))</f>
        <v> </v>
      </c>
      <c r="BR217" s="0" t="str">
        <f aca="false">IF($A217="N/A"," ",(VLOOKUP($A217,NumberofDaysTable,3)))</f>
        <v> </v>
      </c>
      <c r="BS217" s="0" t="str">
        <f aca="false">IF($A217="N/A"," ",(VLOOKUP($A217,NumberofDaysTable,4)))</f>
        <v> </v>
      </c>
    </row>
    <row r="218" customFormat="false" ht="12.75" hidden="false" customHeight="false" outlineLevel="0" collapsed="false">
      <c r="A218" s="315" t="str">
        <f aca="false">IF(A217="N/A","N/A",IF(EDATE(A217,1)&gt;Inputs!$Q$5,"N/A",EDATE(A217,1)))</f>
        <v>N/A</v>
      </c>
      <c r="B218" s="316" t="str">
        <f aca="false">IF(A218="N/A"," ",YEAR(A218))</f>
        <v> </v>
      </c>
      <c r="C218" s="317" t="str">
        <f aca="false">IF($A218="N/A"," ",IF(Dayrun3=10,0,IF(Scaler3=1,(VLOOKUP(A218,ScaledPrice3,4)),(VLOOKUP(A218,ScaledPrice3,2)))))</f>
        <v> </v>
      </c>
      <c r="D218" s="317" t="str">
        <f aca="false">IF(A218="N/A"," ",IF(Dayrun3&gt;=7,0,IF(Scaler3=2,VLOOKUP(A218,ScaledPrice3,2),(VLOOKUP(A218,ScaledPrice3,2))*(2-(VLOOKUP(A218,ScaledPrice3,3))))))</f>
        <v> </v>
      </c>
      <c r="E218" s="317" t="str">
        <f aca="false">IF($A218="N/A"," ",IF(AND(Dayrun3&gt;=4,Dayrun3&lt;=9),0,VLOOKUP($A218,ScaledPrice3,9)))</f>
        <v> </v>
      </c>
      <c r="F218" s="317" t="str">
        <f aca="false">IF(A218="N/A"," ",IF(OR(Dayrun3=2,Dayrun3=3,Dayrun3=5,Dayrun3=6,Dayrun3=8,Dayrun3=9),VLOOKUP(A218,ScaledPrice3,IF(Scaler3=1,6,5)),0))</f>
        <v> </v>
      </c>
      <c r="G218" s="317" t="str">
        <f aca="false">IF(A218="N/A"," ",IF(OR(Dayrun3=2,Dayrun3=3,Dayrun3=5,Dayrun3=6),IF(Scaler3=2,F218,(VLOOKUP(A218,ScaledPrice3,5))*(2-(VLOOKUP(A218,ScaledPrice3,3)))),0))</f>
        <v> </v>
      </c>
      <c r="H218" s="317" t="str">
        <f aca="false">IF($A218="N/A"," ",IF(OR(Dayrun3=2,Dayrun3=3,Dayrun3=10),VLOOKUP($A218,ScaledPrice3,9),0))</f>
        <v> </v>
      </c>
      <c r="I218" s="317" t="str">
        <f aca="false">IF(A218="N/A"," ",IF(OR(Dayrun3=3,Dayrun3=6,Dayrun3=9),(VLOOKUP(A218,ScaledPrice3,IF(Scaler3=2,7,8))),0))</f>
        <v> </v>
      </c>
      <c r="J218" s="317" t="str">
        <f aca="false">IF(A218="N/A"," ",IF(OR(Dayrun3=3,Dayrun3=6),IF(Scaler3=2,I218,(VLOOKUP(A218,ScaledPrice3,7))*(2-(VLOOKUP(A218,ScaledPrice3,3)))),0))</f>
        <v> </v>
      </c>
      <c r="K218" s="317" t="str">
        <f aca="false">IF($A218="N/A"," ",IF(OR(Dayrun3=3,Dayrun3=10),VLOOKUP($A218,ScaledPrice3,9),0))</f>
        <v> </v>
      </c>
      <c r="L218" s="318" t="str">
        <f aca="false">IF($A218="N/A"," ",IF(Pricetype3=2,MAX(C218,0),IF(OR(Pricetype3=1,Pricetype3=4),IF(C218=0,0,(EURO(C218,Strikeprice3,0,0,($AH218+IF(Smile=TRUE(),VLOOKUP(MAX(-5,Strikeprice3-C218),Volsmile,2),0)),($A218-DateToday)+15,IF(Pricetype3=1,1,0),0))),C218)))</f>
        <v> </v>
      </c>
      <c r="M218" s="318" t="str">
        <f aca="false">IF($A218="N/A"," ",IF(Pricetype3=2,MAX(D218,0),IF(OR(Pricetype3=1,Pricetype3=4),IF(D218=0,0,(EURO(D218,Strikeprice3,0,0,($AH218+IF(Smile=TRUE(),VLOOKUP(MAX(-5,Strikeprice3-D218),Volsmile,2),0)),($A218-DateToday)+15,IF(Pricetype3=1,1,0),0))),D218)))</f>
        <v> </v>
      </c>
      <c r="N218" s="318" t="str">
        <f aca="false">IF($A218="N/A"," ",IF(Pricetype3=2,MAX(E218,0),IF(OR(Pricetype3=1,Pricetype3=4),IF(E218=0,0,(EURO(E218,Strikeprice3,0,0,($AK218+IF(Smile=TRUE(),VLOOKUP(MAX(-5,Strikeprice3-E218),Volsmile,2),0)),($A218-DateToday)+15,IF(Pricetype3=1,1,0),0))),E218)))</f>
        <v> </v>
      </c>
      <c r="O218" s="318" t="str">
        <f aca="false">IF($A218="N/A"," ",IF(Pricetype3=2,MAX(F218,0),IF(OR(Pricetype3=1,Pricetype3=4),IF(F218=0,0,(EURO(F218,Strikeprice3,0,0,($AK218+IF(Smile=TRUE(),VLOOKUP(MAX(-5,Strikeprice3-F218),Volsmile,2),0)),($A218-DateToday)+15,IF(Pricetype3=1,1,0),0))),F218)))</f>
        <v> </v>
      </c>
      <c r="P218" s="318" t="str">
        <f aca="false">IF($A218="N/A"," ",IF(Pricetype3=2,MAX(G218,0),IF(OR(Pricetype3=1,Pricetype3=4),IF(G218=0,0,(EURO(G218,Strikeprice3,0,0,($AK218+IF(Smile=TRUE(),VLOOKUP(MAX(-5,Strikeprice3-G218),Volsmile,2),0)),($A218-DateToday)+15,IF(Pricetype3=1,1,0),0))),G218)))</f>
        <v> </v>
      </c>
      <c r="Q218" s="318" t="str">
        <f aca="false">IF($A218="N/A"," ",IF(Pricetype3=2,MAX(H218,0),IF(OR(Pricetype3=1,Pricetype3=4),IF(H218=0,0,(EURO(H218,Strikeprice3,0,0,($AK218+IF(Smile=TRUE(),VLOOKUP(MAX(-5,Strikeprice3-H218),Volsmile,2),0)),($A218-DateToday)+15,IF(Pricetype3=1,1,0),0))),H218)))</f>
        <v> </v>
      </c>
      <c r="R218" s="318" t="str">
        <f aca="false">IF($A218="N/A"," ",IF(Pricetype3=2,MAX(I218,0),IF(OR(Pricetype3=1,Pricetype3=4),IF(I218=0,0,(EURO(I218,Strikeprice3,0,0,($AK218+IF(Smile=TRUE(),VLOOKUP(MAX(-5,Strikeprice3-I218),Volsmile,2),0)),($A218-DateToday)+15,IF(Pricetype3=1,1,0),0))),I218)))</f>
        <v> </v>
      </c>
      <c r="S218" s="318" t="str">
        <f aca="false">IF($A218="N/A"," ",IF(Pricetype3=2,MAX(J218,0),IF(OR(Pricetype3=1,Pricetype3=4),IF(J218=0,0,(EURO(J218,Strikeprice3,0,0,($AK218+IF(Smile=TRUE(),VLOOKUP(MAX(-5,Strikeprice3-J218),Volsmile,2),0)),($A218-DateToday)+15,IF(Pricetype3=1,1,0),0))),J218)))</f>
        <v> </v>
      </c>
      <c r="T218" s="318" t="str">
        <f aca="false">IF($A218="N/A"," ",IF(Pricetype3=2,MAX(K218,0),IF(OR(Pricetype3=1,Pricetype3=4),IF(K218=0,0,(EURO(K218,Strikeprice3,0,0,($AK218+IF(Smile=TRUE(),VLOOKUP(MAX(-5,Strikeprice3-K218),Volsmile,2),0)),($A218-DateToday)+15,IF(Pricetype3=1,1,0),0))),K218)))</f>
        <v> </v>
      </c>
      <c r="U218" s="319" t="str">
        <f aca="false">IF($A218="N/A"," ",Volume3*$AM218)</f>
        <v> </v>
      </c>
      <c r="V218" s="320" t="str">
        <f aca="false">IF($A218="N/A"," ",$U218*(8*($BQ218))*L218)</f>
        <v> </v>
      </c>
      <c r="W218" s="320" t="str">
        <f aca="false">IF($A218="N/A"," ",$U218*(8*($BQ218))*M218)</f>
        <v> </v>
      </c>
      <c r="X218" s="320" t="str">
        <f aca="false">IF($A218="N/A"," ",$U218*(8*($BQ218))*N218)</f>
        <v> </v>
      </c>
      <c r="Y218" s="320" t="str">
        <f aca="false">IF($A218="N/A"," ",$U218*(8*($BR218))*O218)</f>
        <v> </v>
      </c>
      <c r="Z218" s="320" t="str">
        <f aca="false">IF($A218="N/A"," ",$U218*(8*($BR218))*P218)</f>
        <v> </v>
      </c>
      <c r="AA218" s="320" t="str">
        <f aca="false">IF($A218="N/A"," ",$U218*(8*($BR218))*Q218)</f>
        <v> </v>
      </c>
      <c r="AB218" s="320" t="str">
        <f aca="false">IF($A218="N/A"," ",$U218*(8*($BS218))*R218)</f>
        <v> </v>
      </c>
      <c r="AC218" s="320" t="str">
        <f aca="false">IF($A218="N/A"," ",$U218*(8*($BS218))*S218)</f>
        <v> </v>
      </c>
      <c r="AD218" s="320" t="str">
        <f aca="false">IF($A218="N/A"," ",$U218*(8*($BS218))*T218)</f>
        <v> </v>
      </c>
      <c r="AE218" s="320" t="str">
        <f aca="false">IF($A218="N/A"," ",SUM(V218:AD218))</f>
        <v> </v>
      </c>
      <c r="AF218" s="321" t="str">
        <f aca="false">IF(A218="N/A"," ",(VLOOKUP(A218,PowerVolTable,(IF(VolBMO3=2,7,IF(VolBMO3=1,6,8))),FALSE())))</f>
        <v> </v>
      </c>
      <c r="AG218" s="321" t="str">
        <f aca="false">IF(A218="N/A"," ",(VLOOKUP(A218,IntraPowerVol,(IF(VolBMO3=2,3,IF(VolBMO3=1,2,4))),FALSE())*VLOOKUP(MONTH($A218),Volscale,2)))</f>
        <v> </v>
      </c>
      <c r="AH218" s="321" t="str">
        <f aca="false">IF($A218="N/A"," ",IF(VolType3=1,AG218,AF218))</f>
        <v> </v>
      </c>
      <c r="AI218" s="321" t="str">
        <f aca="false">IF($A218="N/A"," ",(VLOOKUP($A218,OffPwrVolTable,(IF(VolBMO3=2,7,IF(VolBMO3=1,6,8))),FALSE())))</f>
        <v> </v>
      </c>
      <c r="AJ218" s="321" t="str">
        <f aca="false">IF($A218="N/A"," ",(VLOOKUP($A218,OffPwrVolTable,(IF(VolBMO3=2,3,IF(VolBMO3=1,2,4))),FALSE())*VLOOKUP(MONTH($A218),Volscale,2)))</f>
        <v> </v>
      </c>
      <c r="AK218" s="321" t="str">
        <f aca="false">IF($A218="N/A"," ",IF(VolType3=1,AJ218,AI218))</f>
        <v> </v>
      </c>
      <c r="AL218" s="321" t="str">
        <f aca="false">IF($A218="N/A"," ",IF(PV=1,0,'Pricing Inputs3'!R251))</f>
        <v> </v>
      </c>
      <c r="AM218" s="323" t="str">
        <f aca="false">IF($A218="N/A"," ",(1+AL218/2)^(-2*((EOMONTH(A218,0)+20)-DateToday)/365.25))</f>
        <v> </v>
      </c>
      <c r="BQ218" s="0" t="str">
        <f aca="false">IF($A218="N/A"," ",(VLOOKUP($A218,NumberofDaysTable,2)))</f>
        <v> </v>
      </c>
      <c r="BR218" s="0" t="str">
        <f aca="false">IF($A218="N/A"," ",(VLOOKUP($A218,NumberofDaysTable,3)))</f>
        <v> </v>
      </c>
      <c r="BS218" s="0" t="str">
        <f aca="false">IF($A218="N/A"," ",(VLOOKUP($A218,NumberofDaysTable,4)))</f>
        <v> </v>
      </c>
    </row>
    <row r="219" customFormat="false" ht="12.75" hidden="false" customHeight="false" outlineLevel="0" collapsed="false">
      <c r="A219" s="315" t="str">
        <f aca="false">IF(A218="N/A","N/A",IF(EDATE(A218,1)&gt;Inputs!$Q$5,"N/A",EDATE(A218,1)))</f>
        <v>N/A</v>
      </c>
      <c r="B219" s="316" t="str">
        <f aca="false">IF(A219="N/A"," ",YEAR(A219))</f>
        <v> </v>
      </c>
      <c r="C219" s="317" t="str">
        <f aca="false">IF($A219="N/A"," ",IF(Dayrun3=10,0,IF(Scaler3=1,(VLOOKUP(A219,ScaledPrice3,4)),(VLOOKUP(A219,ScaledPrice3,2)))))</f>
        <v> </v>
      </c>
      <c r="D219" s="317" t="str">
        <f aca="false">IF(A219="N/A"," ",IF(Dayrun3&gt;=7,0,IF(Scaler3=2,VLOOKUP(A219,ScaledPrice3,2),(VLOOKUP(A219,ScaledPrice3,2))*(2-(VLOOKUP(A219,ScaledPrice3,3))))))</f>
        <v> </v>
      </c>
      <c r="E219" s="317" t="str">
        <f aca="false">IF($A219="N/A"," ",IF(AND(Dayrun3&gt;=4,Dayrun3&lt;=9),0,VLOOKUP($A219,ScaledPrice3,9)))</f>
        <v> </v>
      </c>
      <c r="F219" s="317" t="str">
        <f aca="false">IF(A219="N/A"," ",IF(OR(Dayrun3=2,Dayrun3=3,Dayrun3=5,Dayrun3=6,Dayrun3=8,Dayrun3=9),VLOOKUP(A219,ScaledPrice3,IF(Scaler3=1,6,5)),0))</f>
        <v> </v>
      </c>
      <c r="G219" s="317" t="str">
        <f aca="false">IF(A219="N/A"," ",IF(OR(Dayrun3=2,Dayrun3=3,Dayrun3=5,Dayrun3=6),IF(Scaler3=2,F219,(VLOOKUP(A219,ScaledPrice3,5))*(2-(VLOOKUP(A219,ScaledPrice3,3)))),0))</f>
        <v> </v>
      </c>
      <c r="H219" s="317" t="str">
        <f aca="false">IF($A219="N/A"," ",IF(OR(Dayrun3=2,Dayrun3=3,Dayrun3=10),VLOOKUP($A219,ScaledPrice3,9),0))</f>
        <v> </v>
      </c>
      <c r="I219" s="317" t="str">
        <f aca="false">IF(A219="N/A"," ",IF(OR(Dayrun3=3,Dayrun3=6,Dayrun3=9),(VLOOKUP(A219,ScaledPrice3,IF(Scaler3=2,7,8))),0))</f>
        <v> </v>
      </c>
      <c r="J219" s="317" t="str">
        <f aca="false">IF(A219="N/A"," ",IF(OR(Dayrun3=3,Dayrun3=6),IF(Scaler3=2,I219,(VLOOKUP(A219,ScaledPrice3,7))*(2-(VLOOKUP(A219,ScaledPrice3,3)))),0))</f>
        <v> </v>
      </c>
      <c r="K219" s="317" t="str">
        <f aca="false">IF($A219="N/A"," ",IF(OR(Dayrun3=3,Dayrun3=10),VLOOKUP($A219,ScaledPrice3,9),0))</f>
        <v> </v>
      </c>
      <c r="L219" s="318" t="str">
        <f aca="false">IF($A219="N/A"," ",IF(Pricetype3=2,MAX(C219,0),IF(OR(Pricetype3=1,Pricetype3=4),IF(C219=0,0,(EURO(C219,Strikeprice3,0,0,($AH219+IF(Smile=TRUE(),VLOOKUP(MAX(-5,Strikeprice3-C219),Volsmile,2),0)),($A219-DateToday)+15,IF(Pricetype3=1,1,0),0))),C219)))</f>
        <v> </v>
      </c>
      <c r="M219" s="318" t="str">
        <f aca="false">IF($A219="N/A"," ",IF(Pricetype3=2,MAX(D219,0),IF(OR(Pricetype3=1,Pricetype3=4),IF(D219=0,0,(EURO(D219,Strikeprice3,0,0,($AH219+IF(Smile=TRUE(),VLOOKUP(MAX(-5,Strikeprice3-D219),Volsmile,2),0)),($A219-DateToday)+15,IF(Pricetype3=1,1,0),0))),D219)))</f>
        <v> </v>
      </c>
      <c r="N219" s="318" t="str">
        <f aca="false">IF($A219="N/A"," ",IF(Pricetype3=2,MAX(E219,0),IF(OR(Pricetype3=1,Pricetype3=4),IF(E219=0,0,(EURO(E219,Strikeprice3,0,0,($AK219+IF(Smile=TRUE(),VLOOKUP(MAX(-5,Strikeprice3-E219),Volsmile,2),0)),($A219-DateToday)+15,IF(Pricetype3=1,1,0),0))),E219)))</f>
        <v> </v>
      </c>
      <c r="O219" s="318" t="str">
        <f aca="false">IF($A219="N/A"," ",IF(Pricetype3=2,MAX(F219,0),IF(OR(Pricetype3=1,Pricetype3=4),IF(F219=0,0,(EURO(F219,Strikeprice3,0,0,($AK219+IF(Smile=TRUE(),VLOOKUP(MAX(-5,Strikeprice3-F219),Volsmile,2),0)),($A219-DateToday)+15,IF(Pricetype3=1,1,0),0))),F219)))</f>
        <v> </v>
      </c>
      <c r="P219" s="318" t="str">
        <f aca="false">IF($A219="N/A"," ",IF(Pricetype3=2,MAX(G219,0),IF(OR(Pricetype3=1,Pricetype3=4),IF(G219=0,0,(EURO(G219,Strikeprice3,0,0,($AK219+IF(Smile=TRUE(),VLOOKUP(MAX(-5,Strikeprice3-G219),Volsmile,2),0)),($A219-DateToday)+15,IF(Pricetype3=1,1,0),0))),G219)))</f>
        <v> </v>
      </c>
      <c r="Q219" s="318" t="str">
        <f aca="false">IF($A219="N/A"," ",IF(Pricetype3=2,MAX(H219,0),IF(OR(Pricetype3=1,Pricetype3=4),IF(H219=0,0,(EURO(H219,Strikeprice3,0,0,($AK219+IF(Smile=TRUE(),VLOOKUP(MAX(-5,Strikeprice3-H219),Volsmile,2),0)),($A219-DateToday)+15,IF(Pricetype3=1,1,0),0))),H219)))</f>
        <v> </v>
      </c>
      <c r="R219" s="318" t="str">
        <f aca="false">IF($A219="N/A"," ",IF(Pricetype3=2,MAX(I219,0),IF(OR(Pricetype3=1,Pricetype3=4),IF(I219=0,0,(EURO(I219,Strikeprice3,0,0,($AK219+IF(Smile=TRUE(),VLOOKUP(MAX(-5,Strikeprice3-I219),Volsmile,2),0)),($A219-DateToday)+15,IF(Pricetype3=1,1,0),0))),I219)))</f>
        <v> </v>
      </c>
      <c r="S219" s="318" t="str">
        <f aca="false">IF($A219="N/A"," ",IF(Pricetype3=2,MAX(J219,0),IF(OR(Pricetype3=1,Pricetype3=4),IF(J219=0,0,(EURO(J219,Strikeprice3,0,0,($AK219+IF(Smile=TRUE(),VLOOKUP(MAX(-5,Strikeprice3-J219),Volsmile,2),0)),($A219-DateToday)+15,IF(Pricetype3=1,1,0),0))),J219)))</f>
        <v> </v>
      </c>
      <c r="T219" s="318" t="str">
        <f aca="false">IF($A219="N/A"," ",IF(Pricetype3=2,MAX(K219,0),IF(OR(Pricetype3=1,Pricetype3=4),IF(K219=0,0,(EURO(K219,Strikeprice3,0,0,($AK219+IF(Smile=TRUE(),VLOOKUP(MAX(-5,Strikeprice3-K219),Volsmile,2),0)),($A219-DateToday)+15,IF(Pricetype3=1,1,0),0))),K219)))</f>
        <v> </v>
      </c>
      <c r="U219" s="319" t="str">
        <f aca="false">IF($A219="N/A"," ",Volume3*$AM219)</f>
        <v> </v>
      </c>
      <c r="V219" s="320" t="str">
        <f aca="false">IF($A219="N/A"," ",$U219*(8*($BQ219))*L219)</f>
        <v> </v>
      </c>
      <c r="W219" s="320" t="str">
        <f aca="false">IF($A219="N/A"," ",$U219*(8*($BQ219))*M219)</f>
        <v> </v>
      </c>
      <c r="X219" s="320" t="str">
        <f aca="false">IF($A219="N/A"," ",$U219*(8*($BQ219))*N219)</f>
        <v> </v>
      </c>
      <c r="Y219" s="320" t="str">
        <f aca="false">IF($A219="N/A"," ",$U219*(8*($BR219))*O219)</f>
        <v> </v>
      </c>
      <c r="Z219" s="320" t="str">
        <f aca="false">IF($A219="N/A"," ",$U219*(8*($BR219))*P219)</f>
        <v> </v>
      </c>
      <c r="AA219" s="320" t="str">
        <f aca="false">IF($A219="N/A"," ",$U219*(8*($BR219))*Q219)</f>
        <v> </v>
      </c>
      <c r="AB219" s="320" t="str">
        <f aca="false">IF($A219="N/A"," ",$U219*(8*($BS219))*R219)</f>
        <v> </v>
      </c>
      <c r="AC219" s="320" t="str">
        <f aca="false">IF($A219="N/A"," ",$U219*(8*($BS219))*S219)</f>
        <v> </v>
      </c>
      <c r="AD219" s="320" t="str">
        <f aca="false">IF($A219="N/A"," ",$U219*(8*($BS219))*T219)</f>
        <v> </v>
      </c>
      <c r="AE219" s="320" t="str">
        <f aca="false">IF($A219="N/A"," ",SUM(V219:AD219))</f>
        <v> </v>
      </c>
      <c r="AF219" s="321" t="str">
        <f aca="false">IF(A219="N/A"," ",(VLOOKUP(A219,PowerVolTable,(IF(VolBMO3=2,7,IF(VolBMO3=1,6,8))),FALSE())))</f>
        <v> </v>
      </c>
      <c r="AG219" s="321" t="str">
        <f aca="false">IF(A219="N/A"," ",(VLOOKUP(A219,IntraPowerVol,(IF(VolBMO3=2,3,IF(VolBMO3=1,2,4))),FALSE())*VLOOKUP(MONTH($A219),Volscale,2)))</f>
        <v> </v>
      </c>
      <c r="AH219" s="321" t="str">
        <f aca="false">IF($A219="N/A"," ",IF(VolType3=1,AG219,AF219))</f>
        <v> </v>
      </c>
      <c r="AI219" s="321" t="str">
        <f aca="false">IF($A219="N/A"," ",(VLOOKUP($A219,OffPwrVolTable,(IF(VolBMO3=2,7,IF(VolBMO3=1,6,8))),FALSE())))</f>
        <v> </v>
      </c>
      <c r="AJ219" s="321" t="str">
        <f aca="false">IF($A219="N/A"," ",(VLOOKUP($A219,OffPwrVolTable,(IF(VolBMO3=2,3,IF(VolBMO3=1,2,4))),FALSE())*VLOOKUP(MONTH($A219),Volscale,2)))</f>
        <v> </v>
      </c>
      <c r="AK219" s="321" t="str">
        <f aca="false">IF($A219="N/A"," ",IF(VolType3=1,AJ219,AI219))</f>
        <v> </v>
      </c>
      <c r="AL219" s="321" t="str">
        <f aca="false">IF($A219="N/A"," ",IF(PV=1,0,'Pricing Inputs3'!R252))</f>
        <v> </v>
      </c>
      <c r="AM219" s="323" t="str">
        <f aca="false">IF($A219="N/A"," ",(1+AL219/2)^(-2*((EOMONTH(A219,0)+20)-DateToday)/365.25))</f>
        <v> </v>
      </c>
      <c r="BQ219" s="0" t="str">
        <f aca="false">IF($A219="N/A"," ",(VLOOKUP($A219,NumberofDaysTable,2)))</f>
        <v> </v>
      </c>
      <c r="BR219" s="0" t="str">
        <f aca="false">IF($A219="N/A"," ",(VLOOKUP($A219,NumberofDaysTable,3)))</f>
        <v> </v>
      </c>
      <c r="BS219" s="0" t="str">
        <f aca="false">IF($A219="N/A"," ",(VLOOKUP($A219,NumberofDaysTable,4)))</f>
        <v> </v>
      </c>
    </row>
    <row r="220" customFormat="false" ht="12.75" hidden="false" customHeight="false" outlineLevel="0" collapsed="false">
      <c r="A220" s="315" t="str">
        <f aca="false">IF(A219="N/A","N/A",IF(EDATE(A219,1)&gt;Inputs!$Q$5,"N/A",EDATE(A219,1)))</f>
        <v>N/A</v>
      </c>
      <c r="B220" s="316" t="str">
        <f aca="false">IF(A220="N/A"," ",YEAR(A220))</f>
        <v> </v>
      </c>
      <c r="C220" s="317" t="str">
        <f aca="false">IF($A220="N/A"," ",IF(Dayrun3=10,0,IF(Scaler3=1,(VLOOKUP(A220,ScaledPrice3,4)),(VLOOKUP(A220,ScaledPrice3,2)))))</f>
        <v> </v>
      </c>
      <c r="D220" s="317" t="str">
        <f aca="false">IF(A220="N/A"," ",IF(Dayrun3&gt;=7,0,IF(Scaler3=2,VLOOKUP(A220,ScaledPrice3,2),(VLOOKUP(A220,ScaledPrice3,2))*(2-(VLOOKUP(A220,ScaledPrice3,3))))))</f>
        <v> </v>
      </c>
      <c r="E220" s="317" t="str">
        <f aca="false">IF($A220="N/A"," ",IF(AND(Dayrun3&gt;=4,Dayrun3&lt;=9),0,VLOOKUP($A220,ScaledPrice3,9)))</f>
        <v> </v>
      </c>
      <c r="F220" s="317" t="str">
        <f aca="false">IF(A220="N/A"," ",IF(OR(Dayrun3=2,Dayrun3=3,Dayrun3=5,Dayrun3=6,Dayrun3=8,Dayrun3=9),VLOOKUP(A220,ScaledPrice3,IF(Scaler3=1,6,5)),0))</f>
        <v> </v>
      </c>
      <c r="G220" s="317" t="str">
        <f aca="false">IF(A220="N/A"," ",IF(OR(Dayrun3=2,Dayrun3=3,Dayrun3=5,Dayrun3=6),IF(Scaler3=2,F220,(VLOOKUP(A220,ScaledPrice3,5))*(2-(VLOOKUP(A220,ScaledPrice3,3)))),0))</f>
        <v> </v>
      </c>
      <c r="H220" s="317" t="str">
        <f aca="false">IF($A220="N/A"," ",IF(OR(Dayrun3=2,Dayrun3=3,Dayrun3=10),VLOOKUP($A220,ScaledPrice3,9),0))</f>
        <v> </v>
      </c>
      <c r="I220" s="317" t="str">
        <f aca="false">IF(A220="N/A"," ",IF(OR(Dayrun3=3,Dayrun3=6,Dayrun3=9),(VLOOKUP(A220,ScaledPrice3,IF(Scaler3=2,7,8))),0))</f>
        <v> </v>
      </c>
      <c r="J220" s="317" t="str">
        <f aca="false">IF(A220="N/A"," ",IF(OR(Dayrun3=3,Dayrun3=6),IF(Scaler3=2,I220,(VLOOKUP(A220,ScaledPrice3,7))*(2-(VLOOKUP(A220,ScaledPrice3,3)))),0))</f>
        <v> </v>
      </c>
      <c r="K220" s="317" t="str">
        <f aca="false">IF($A220="N/A"," ",IF(OR(Dayrun3=3,Dayrun3=10),VLOOKUP($A220,ScaledPrice3,9),0))</f>
        <v> </v>
      </c>
      <c r="L220" s="318" t="str">
        <f aca="false">IF($A220="N/A"," ",IF(Pricetype3=2,MAX(C220,0),IF(OR(Pricetype3=1,Pricetype3=4),IF(C220=0,0,(EURO(C220,Strikeprice3,0,0,($AH220+IF(Smile=TRUE(),VLOOKUP(MAX(-5,Strikeprice3-C220),Volsmile,2),0)),($A220-DateToday)+15,IF(Pricetype3=1,1,0),0))),C220)))</f>
        <v> </v>
      </c>
      <c r="M220" s="318" t="str">
        <f aca="false">IF($A220="N/A"," ",IF(Pricetype3=2,MAX(D220,0),IF(OR(Pricetype3=1,Pricetype3=4),IF(D220=0,0,(EURO(D220,Strikeprice3,0,0,($AH220+IF(Smile=TRUE(),VLOOKUP(MAX(-5,Strikeprice3-D220),Volsmile,2),0)),($A220-DateToday)+15,IF(Pricetype3=1,1,0),0))),D220)))</f>
        <v> </v>
      </c>
      <c r="N220" s="318" t="str">
        <f aca="false">IF($A220="N/A"," ",IF(Pricetype3=2,MAX(E220,0),IF(OR(Pricetype3=1,Pricetype3=4),IF(E220=0,0,(EURO(E220,Strikeprice3,0,0,($AK220+IF(Smile=TRUE(),VLOOKUP(MAX(-5,Strikeprice3-E220),Volsmile,2),0)),($A220-DateToday)+15,IF(Pricetype3=1,1,0),0))),E220)))</f>
        <v> </v>
      </c>
      <c r="O220" s="318" t="str">
        <f aca="false">IF($A220="N/A"," ",IF(Pricetype3=2,MAX(F220,0),IF(OR(Pricetype3=1,Pricetype3=4),IF(F220=0,0,(EURO(F220,Strikeprice3,0,0,($AK220+IF(Smile=TRUE(),VLOOKUP(MAX(-5,Strikeprice3-F220),Volsmile,2),0)),($A220-DateToday)+15,IF(Pricetype3=1,1,0),0))),F220)))</f>
        <v> </v>
      </c>
      <c r="P220" s="318" t="str">
        <f aca="false">IF($A220="N/A"," ",IF(Pricetype3=2,MAX(G220,0),IF(OR(Pricetype3=1,Pricetype3=4),IF(G220=0,0,(EURO(G220,Strikeprice3,0,0,($AK220+IF(Smile=TRUE(),VLOOKUP(MAX(-5,Strikeprice3-G220),Volsmile,2),0)),($A220-DateToday)+15,IF(Pricetype3=1,1,0),0))),G220)))</f>
        <v> </v>
      </c>
      <c r="Q220" s="318" t="str">
        <f aca="false">IF($A220="N/A"," ",IF(Pricetype3=2,MAX(H220,0),IF(OR(Pricetype3=1,Pricetype3=4),IF(H220=0,0,(EURO(H220,Strikeprice3,0,0,($AK220+IF(Smile=TRUE(),VLOOKUP(MAX(-5,Strikeprice3-H220),Volsmile,2),0)),($A220-DateToday)+15,IF(Pricetype3=1,1,0),0))),H220)))</f>
        <v> </v>
      </c>
      <c r="R220" s="318" t="str">
        <f aca="false">IF($A220="N/A"," ",IF(Pricetype3=2,MAX(I220,0),IF(OR(Pricetype3=1,Pricetype3=4),IF(I220=0,0,(EURO(I220,Strikeprice3,0,0,($AK220+IF(Smile=TRUE(),VLOOKUP(MAX(-5,Strikeprice3-I220),Volsmile,2),0)),($A220-DateToday)+15,IF(Pricetype3=1,1,0),0))),I220)))</f>
        <v> </v>
      </c>
      <c r="S220" s="318" t="str">
        <f aca="false">IF($A220="N/A"," ",IF(Pricetype3=2,MAX(J220,0),IF(OR(Pricetype3=1,Pricetype3=4),IF(J220=0,0,(EURO(J220,Strikeprice3,0,0,($AK220+IF(Smile=TRUE(),VLOOKUP(MAX(-5,Strikeprice3-J220),Volsmile,2),0)),($A220-DateToday)+15,IF(Pricetype3=1,1,0),0))),J220)))</f>
        <v> </v>
      </c>
      <c r="T220" s="318" t="str">
        <f aca="false">IF($A220="N/A"," ",IF(Pricetype3=2,MAX(K220,0),IF(OR(Pricetype3=1,Pricetype3=4),IF(K220=0,0,(EURO(K220,Strikeprice3,0,0,($AK220+IF(Smile=TRUE(),VLOOKUP(MAX(-5,Strikeprice3-K220),Volsmile,2),0)),($A220-DateToday)+15,IF(Pricetype3=1,1,0),0))),K220)))</f>
        <v> </v>
      </c>
      <c r="U220" s="319" t="str">
        <f aca="false">IF($A220="N/A"," ",Volume3*$AM220)</f>
        <v> </v>
      </c>
      <c r="V220" s="320" t="str">
        <f aca="false">IF($A220="N/A"," ",$U220*(8*($BQ220))*L220)</f>
        <v> </v>
      </c>
      <c r="W220" s="320" t="str">
        <f aca="false">IF($A220="N/A"," ",$U220*(8*($BQ220))*M220)</f>
        <v> </v>
      </c>
      <c r="X220" s="320" t="str">
        <f aca="false">IF($A220="N/A"," ",$U220*(8*($BQ220))*N220)</f>
        <v> </v>
      </c>
      <c r="Y220" s="320" t="str">
        <f aca="false">IF($A220="N/A"," ",$U220*(8*($BR220))*O220)</f>
        <v> </v>
      </c>
      <c r="Z220" s="320" t="str">
        <f aca="false">IF($A220="N/A"," ",$U220*(8*($BR220))*P220)</f>
        <v> </v>
      </c>
      <c r="AA220" s="320" t="str">
        <f aca="false">IF($A220="N/A"," ",$U220*(8*($BR220))*Q220)</f>
        <v> </v>
      </c>
      <c r="AB220" s="320" t="str">
        <f aca="false">IF($A220="N/A"," ",$U220*(8*($BS220))*R220)</f>
        <v> </v>
      </c>
      <c r="AC220" s="320" t="str">
        <f aca="false">IF($A220="N/A"," ",$U220*(8*($BS220))*S220)</f>
        <v> </v>
      </c>
      <c r="AD220" s="320" t="str">
        <f aca="false">IF($A220="N/A"," ",$U220*(8*($BS220))*T220)</f>
        <v> </v>
      </c>
      <c r="AE220" s="320" t="str">
        <f aca="false">IF($A220="N/A"," ",SUM(V220:AD220))</f>
        <v> </v>
      </c>
      <c r="AF220" s="321" t="str">
        <f aca="false">IF(A220="N/A"," ",(VLOOKUP(A220,PowerVolTable,(IF(VolBMO3=2,7,IF(VolBMO3=1,6,8))),FALSE())))</f>
        <v> </v>
      </c>
      <c r="AG220" s="321" t="str">
        <f aca="false">IF(A220="N/A"," ",(VLOOKUP(A220,IntraPowerVol,(IF(VolBMO3=2,3,IF(VolBMO3=1,2,4))),FALSE())*VLOOKUP(MONTH($A220),Volscale,2)))</f>
        <v> </v>
      </c>
      <c r="AH220" s="321" t="str">
        <f aca="false">IF($A220="N/A"," ",IF(VolType3=1,AG220,AF220))</f>
        <v> </v>
      </c>
      <c r="AI220" s="321" t="str">
        <f aca="false">IF($A220="N/A"," ",(VLOOKUP($A220,OffPwrVolTable,(IF(VolBMO3=2,7,IF(VolBMO3=1,6,8))),FALSE())))</f>
        <v> </v>
      </c>
      <c r="AJ220" s="321" t="str">
        <f aca="false">IF($A220="N/A"," ",(VLOOKUP($A220,OffPwrVolTable,(IF(VolBMO3=2,3,IF(VolBMO3=1,2,4))),FALSE())*VLOOKUP(MONTH($A220),Volscale,2)))</f>
        <v> </v>
      </c>
      <c r="AK220" s="321" t="str">
        <f aca="false">IF($A220="N/A"," ",IF(VolType3=1,AJ220,AI220))</f>
        <v> </v>
      </c>
      <c r="AL220" s="321" t="str">
        <f aca="false">IF($A220="N/A"," ",IF(PV=1,0,'Pricing Inputs3'!R253))</f>
        <v> </v>
      </c>
      <c r="AM220" s="323" t="str">
        <f aca="false">IF($A220="N/A"," ",(1+AL220/2)^(-2*((EOMONTH(A220,0)+20)-DateToday)/365.25))</f>
        <v> </v>
      </c>
      <c r="BQ220" s="0" t="str">
        <f aca="false">IF($A220="N/A"," ",(VLOOKUP($A220,NumberofDaysTable,2)))</f>
        <v> </v>
      </c>
      <c r="BR220" s="0" t="str">
        <f aca="false">IF($A220="N/A"," ",(VLOOKUP($A220,NumberofDaysTable,3)))</f>
        <v> </v>
      </c>
      <c r="BS220" s="0" t="str">
        <f aca="false">IF($A220="N/A"," ",(VLOOKUP($A220,NumberofDaysTable,4)))</f>
        <v> </v>
      </c>
    </row>
    <row r="221" customFormat="false" ht="12.75" hidden="false" customHeight="false" outlineLevel="0" collapsed="false">
      <c r="A221" s="315" t="str">
        <f aca="false">IF(A220="N/A","N/A",IF(EDATE(A220,1)&gt;Inputs!$Q$5,"N/A",EDATE(A220,1)))</f>
        <v>N/A</v>
      </c>
      <c r="B221" s="316" t="str">
        <f aca="false">IF(A221="N/A"," ",YEAR(A221))</f>
        <v> </v>
      </c>
      <c r="C221" s="317" t="str">
        <f aca="false">IF($A221="N/A"," ",IF(Dayrun3=10,0,IF(Scaler3=1,(VLOOKUP(A221,ScaledPrice3,4)),(VLOOKUP(A221,ScaledPrice3,2)))))</f>
        <v> </v>
      </c>
      <c r="D221" s="317" t="str">
        <f aca="false">IF(A221="N/A"," ",IF(Dayrun3&gt;=7,0,IF(Scaler3=2,VLOOKUP(A221,ScaledPrice3,2),(VLOOKUP(A221,ScaledPrice3,2))*(2-(VLOOKUP(A221,ScaledPrice3,3))))))</f>
        <v> </v>
      </c>
      <c r="E221" s="317" t="str">
        <f aca="false">IF($A221="N/A"," ",IF(AND(Dayrun3&gt;=4,Dayrun3&lt;=9),0,VLOOKUP($A221,ScaledPrice3,9)))</f>
        <v> </v>
      </c>
      <c r="F221" s="317" t="str">
        <f aca="false">IF(A221="N/A"," ",IF(OR(Dayrun3=2,Dayrun3=3,Dayrun3=5,Dayrun3=6,Dayrun3=8,Dayrun3=9),VLOOKUP(A221,ScaledPrice3,IF(Scaler3=1,6,5)),0))</f>
        <v> </v>
      </c>
      <c r="G221" s="317" t="str">
        <f aca="false">IF(A221="N/A"," ",IF(OR(Dayrun3=2,Dayrun3=3,Dayrun3=5,Dayrun3=6),IF(Scaler3=2,F221,(VLOOKUP(A221,ScaledPrice3,5))*(2-(VLOOKUP(A221,ScaledPrice3,3)))),0))</f>
        <v> </v>
      </c>
      <c r="H221" s="317" t="str">
        <f aca="false">IF($A221="N/A"," ",IF(OR(Dayrun3=2,Dayrun3=3,Dayrun3=10),VLOOKUP($A221,ScaledPrice3,9),0))</f>
        <v> </v>
      </c>
      <c r="I221" s="317" t="str">
        <f aca="false">IF(A221="N/A"," ",IF(OR(Dayrun3=3,Dayrun3=6,Dayrun3=9),(VLOOKUP(A221,ScaledPrice3,IF(Scaler3=2,7,8))),0))</f>
        <v> </v>
      </c>
      <c r="J221" s="317" t="str">
        <f aca="false">IF(A221="N/A"," ",IF(OR(Dayrun3=3,Dayrun3=6),IF(Scaler3=2,I221,(VLOOKUP(A221,ScaledPrice3,7))*(2-(VLOOKUP(A221,ScaledPrice3,3)))),0))</f>
        <v> </v>
      </c>
      <c r="K221" s="317" t="str">
        <f aca="false">IF($A221="N/A"," ",IF(OR(Dayrun3=3,Dayrun3=10),VLOOKUP($A221,ScaledPrice3,9),0))</f>
        <v> </v>
      </c>
      <c r="L221" s="318" t="str">
        <f aca="false">IF($A221="N/A"," ",IF(Pricetype3=2,MAX(C221,0),IF(OR(Pricetype3=1,Pricetype3=4),IF(C221=0,0,(EURO(C221,Strikeprice3,0,0,($AH221+IF(Smile=TRUE(),VLOOKUP(MAX(-5,Strikeprice3-C221),Volsmile,2),0)),($A221-DateToday)+15,IF(Pricetype3=1,1,0),0))),C221)))</f>
        <v> </v>
      </c>
      <c r="M221" s="318" t="str">
        <f aca="false">IF($A221="N/A"," ",IF(Pricetype3=2,MAX(D221,0),IF(OR(Pricetype3=1,Pricetype3=4),IF(D221=0,0,(EURO(D221,Strikeprice3,0,0,($AH221+IF(Smile=TRUE(),VLOOKUP(MAX(-5,Strikeprice3-D221),Volsmile,2),0)),($A221-DateToday)+15,IF(Pricetype3=1,1,0),0))),D221)))</f>
        <v> </v>
      </c>
      <c r="N221" s="318" t="str">
        <f aca="false">IF($A221="N/A"," ",IF(Pricetype3=2,MAX(E221,0),IF(OR(Pricetype3=1,Pricetype3=4),IF(E221=0,0,(EURO(E221,Strikeprice3,0,0,($AK221+IF(Smile=TRUE(),VLOOKUP(MAX(-5,Strikeprice3-E221),Volsmile,2),0)),($A221-DateToday)+15,IF(Pricetype3=1,1,0),0))),E221)))</f>
        <v> </v>
      </c>
      <c r="O221" s="318" t="str">
        <f aca="false">IF($A221="N/A"," ",IF(Pricetype3=2,MAX(F221,0),IF(OR(Pricetype3=1,Pricetype3=4),IF(F221=0,0,(EURO(F221,Strikeprice3,0,0,($AK221+IF(Smile=TRUE(),VLOOKUP(MAX(-5,Strikeprice3-F221),Volsmile,2),0)),($A221-DateToday)+15,IF(Pricetype3=1,1,0),0))),F221)))</f>
        <v> </v>
      </c>
      <c r="P221" s="318" t="str">
        <f aca="false">IF($A221="N/A"," ",IF(Pricetype3=2,MAX(G221,0),IF(OR(Pricetype3=1,Pricetype3=4),IF(G221=0,0,(EURO(G221,Strikeprice3,0,0,($AK221+IF(Smile=TRUE(),VLOOKUP(MAX(-5,Strikeprice3-G221),Volsmile,2),0)),($A221-DateToday)+15,IF(Pricetype3=1,1,0),0))),G221)))</f>
        <v> </v>
      </c>
      <c r="Q221" s="318" t="str">
        <f aca="false">IF($A221="N/A"," ",IF(Pricetype3=2,MAX(H221,0),IF(OR(Pricetype3=1,Pricetype3=4),IF(H221=0,0,(EURO(H221,Strikeprice3,0,0,($AK221+IF(Smile=TRUE(),VLOOKUP(MAX(-5,Strikeprice3-H221),Volsmile,2),0)),($A221-DateToday)+15,IF(Pricetype3=1,1,0),0))),H221)))</f>
        <v> </v>
      </c>
      <c r="R221" s="318" t="str">
        <f aca="false">IF($A221="N/A"," ",IF(Pricetype3=2,MAX(I221,0),IF(OR(Pricetype3=1,Pricetype3=4),IF(I221=0,0,(EURO(I221,Strikeprice3,0,0,($AK221+IF(Smile=TRUE(),VLOOKUP(MAX(-5,Strikeprice3-I221),Volsmile,2),0)),($A221-DateToday)+15,IF(Pricetype3=1,1,0),0))),I221)))</f>
        <v> </v>
      </c>
      <c r="S221" s="318" t="str">
        <f aca="false">IF($A221="N/A"," ",IF(Pricetype3=2,MAX(J221,0),IF(OR(Pricetype3=1,Pricetype3=4),IF(J221=0,0,(EURO(J221,Strikeprice3,0,0,($AK221+IF(Smile=TRUE(),VLOOKUP(MAX(-5,Strikeprice3-J221),Volsmile,2),0)),($A221-DateToday)+15,IF(Pricetype3=1,1,0),0))),J221)))</f>
        <v> </v>
      </c>
      <c r="T221" s="318" t="str">
        <f aca="false">IF($A221="N/A"," ",IF(Pricetype3=2,MAX(K221,0),IF(OR(Pricetype3=1,Pricetype3=4),IF(K221=0,0,(EURO(K221,Strikeprice3,0,0,($AK221+IF(Smile=TRUE(),VLOOKUP(MAX(-5,Strikeprice3-K221),Volsmile,2),0)),($A221-DateToday)+15,IF(Pricetype3=1,1,0),0))),K221)))</f>
        <v> </v>
      </c>
      <c r="U221" s="319" t="str">
        <f aca="false">IF($A221="N/A"," ",Volume3*$AM221)</f>
        <v> </v>
      </c>
      <c r="V221" s="320" t="str">
        <f aca="false">IF($A221="N/A"," ",$U221*(8*($BQ221))*L221)</f>
        <v> </v>
      </c>
      <c r="W221" s="320" t="str">
        <f aca="false">IF($A221="N/A"," ",$U221*(8*($BQ221))*M221)</f>
        <v> </v>
      </c>
      <c r="X221" s="320" t="str">
        <f aca="false">IF($A221="N/A"," ",$U221*(8*($BQ221))*N221)</f>
        <v> </v>
      </c>
      <c r="Y221" s="320" t="str">
        <f aca="false">IF($A221="N/A"," ",$U221*(8*($BR221))*O221)</f>
        <v> </v>
      </c>
      <c r="Z221" s="320" t="str">
        <f aca="false">IF($A221="N/A"," ",$U221*(8*($BR221))*P221)</f>
        <v> </v>
      </c>
      <c r="AA221" s="320" t="str">
        <f aca="false">IF($A221="N/A"," ",$U221*(8*($BR221))*Q221)</f>
        <v> </v>
      </c>
      <c r="AB221" s="320" t="str">
        <f aca="false">IF($A221="N/A"," ",$U221*(8*($BS221))*R221)</f>
        <v> </v>
      </c>
      <c r="AC221" s="320" t="str">
        <f aca="false">IF($A221="N/A"," ",$U221*(8*($BS221))*S221)</f>
        <v> </v>
      </c>
      <c r="AD221" s="320" t="str">
        <f aca="false">IF($A221="N/A"," ",$U221*(8*($BS221))*T221)</f>
        <v> </v>
      </c>
      <c r="AE221" s="320" t="str">
        <f aca="false">IF($A221="N/A"," ",SUM(V221:AD221))</f>
        <v> </v>
      </c>
      <c r="AF221" s="321" t="str">
        <f aca="false">IF(A221="N/A"," ",(VLOOKUP(A221,PowerVolTable,(IF(VolBMO3=2,7,IF(VolBMO3=1,6,8))),FALSE())))</f>
        <v> </v>
      </c>
      <c r="AG221" s="321" t="str">
        <f aca="false">IF(A221="N/A"," ",(VLOOKUP(A221,IntraPowerVol,(IF(VolBMO3=2,3,IF(VolBMO3=1,2,4))),FALSE())*VLOOKUP(MONTH($A221),Volscale,2)))</f>
        <v> </v>
      </c>
      <c r="AH221" s="321" t="str">
        <f aca="false">IF($A221="N/A"," ",IF(VolType3=1,AG221,AF221))</f>
        <v> </v>
      </c>
      <c r="AI221" s="321" t="str">
        <f aca="false">IF($A221="N/A"," ",(VLOOKUP($A221,OffPwrVolTable,(IF(VolBMO3=2,7,IF(VolBMO3=1,6,8))),FALSE())))</f>
        <v> </v>
      </c>
      <c r="AJ221" s="321" t="str">
        <f aca="false">IF($A221="N/A"," ",(VLOOKUP($A221,OffPwrVolTable,(IF(VolBMO3=2,3,IF(VolBMO3=1,2,4))),FALSE())*VLOOKUP(MONTH($A221),Volscale,2)))</f>
        <v> </v>
      </c>
      <c r="AK221" s="321" t="str">
        <f aca="false">IF($A221="N/A"," ",IF(VolType3=1,AJ221,AI221))</f>
        <v> </v>
      </c>
      <c r="AL221" s="321" t="str">
        <f aca="false">IF($A221="N/A"," ",IF(PV=1,0,'Pricing Inputs3'!R254))</f>
        <v> </v>
      </c>
      <c r="AM221" s="323" t="str">
        <f aca="false">IF($A221="N/A"," ",(1+AL221/2)^(-2*((EOMONTH(A221,0)+20)-DateToday)/365.25))</f>
        <v> </v>
      </c>
      <c r="BQ221" s="0" t="str">
        <f aca="false">IF($A221="N/A"," ",(VLOOKUP($A221,NumberofDaysTable,2)))</f>
        <v> </v>
      </c>
      <c r="BR221" s="0" t="str">
        <f aca="false">IF($A221="N/A"," ",(VLOOKUP($A221,NumberofDaysTable,3)))</f>
        <v> </v>
      </c>
      <c r="BS221" s="0" t="str">
        <f aca="false">IF($A221="N/A"," ",(VLOOKUP($A221,NumberofDaysTable,4)))</f>
        <v> </v>
      </c>
    </row>
    <row r="222" customFormat="false" ht="12.75" hidden="false" customHeight="false" outlineLevel="0" collapsed="false">
      <c r="A222" s="315" t="str">
        <f aca="false">IF(A221="N/A","N/A",IF(EDATE(A221,1)&gt;Inputs!$Q$5,"N/A",EDATE(A221,1)))</f>
        <v>N/A</v>
      </c>
      <c r="B222" s="316" t="str">
        <f aca="false">IF(A222="N/A"," ",YEAR(A222))</f>
        <v> </v>
      </c>
      <c r="C222" s="317" t="str">
        <f aca="false">IF($A222="N/A"," ",IF(Dayrun3=10,0,IF(Scaler3=1,(VLOOKUP(A222,ScaledPrice3,4)),(VLOOKUP(A222,ScaledPrice3,2)))))</f>
        <v> </v>
      </c>
      <c r="D222" s="317" t="str">
        <f aca="false">IF(A222="N/A"," ",IF(Dayrun3&gt;=7,0,IF(Scaler3=2,VLOOKUP(A222,ScaledPrice3,2),(VLOOKUP(A222,ScaledPrice3,2))*(2-(VLOOKUP(A222,ScaledPrice3,3))))))</f>
        <v> </v>
      </c>
      <c r="E222" s="317" t="str">
        <f aca="false">IF($A222="N/A"," ",IF(AND(Dayrun3&gt;=4,Dayrun3&lt;=9),0,VLOOKUP($A222,ScaledPrice3,9)))</f>
        <v> </v>
      </c>
      <c r="F222" s="317" t="str">
        <f aca="false">IF(A222="N/A"," ",IF(OR(Dayrun3=2,Dayrun3=3,Dayrun3=5,Dayrun3=6,Dayrun3=8,Dayrun3=9),VLOOKUP(A222,ScaledPrice3,IF(Scaler3=1,6,5)),0))</f>
        <v> </v>
      </c>
      <c r="G222" s="317" t="str">
        <f aca="false">IF(A222="N/A"," ",IF(OR(Dayrun3=2,Dayrun3=3,Dayrun3=5,Dayrun3=6),IF(Scaler3=2,F222,(VLOOKUP(A222,ScaledPrice3,5))*(2-(VLOOKUP(A222,ScaledPrice3,3)))),0))</f>
        <v> </v>
      </c>
      <c r="H222" s="317" t="str">
        <f aca="false">IF($A222="N/A"," ",IF(OR(Dayrun3=2,Dayrun3=3,Dayrun3=10),VLOOKUP($A222,ScaledPrice3,9),0))</f>
        <v> </v>
      </c>
      <c r="I222" s="317" t="str">
        <f aca="false">IF(A222="N/A"," ",IF(OR(Dayrun3=3,Dayrun3=6,Dayrun3=9),(VLOOKUP(A222,ScaledPrice3,IF(Scaler3=2,7,8))),0))</f>
        <v> </v>
      </c>
      <c r="J222" s="317" t="str">
        <f aca="false">IF(A222="N/A"," ",IF(OR(Dayrun3=3,Dayrun3=6),IF(Scaler3=2,I222,(VLOOKUP(A222,ScaledPrice3,7))*(2-(VLOOKUP(A222,ScaledPrice3,3)))),0))</f>
        <v> </v>
      </c>
      <c r="K222" s="317" t="str">
        <f aca="false">IF($A222="N/A"," ",IF(OR(Dayrun3=3,Dayrun3=10),VLOOKUP($A222,ScaledPrice3,9),0))</f>
        <v> </v>
      </c>
      <c r="L222" s="318" t="str">
        <f aca="false">IF($A222="N/A"," ",IF(Pricetype3=2,MAX(C222,0),IF(OR(Pricetype3=1,Pricetype3=4),IF(C222=0,0,(EURO(C222,Strikeprice3,0,0,($AH222+IF(Smile=TRUE(),VLOOKUP(MAX(-5,Strikeprice3-C222),Volsmile,2),0)),($A222-DateToday)+15,IF(Pricetype3=1,1,0),0))),C222)))</f>
        <v> </v>
      </c>
      <c r="M222" s="318" t="str">
        <f aca="false">IF($A222="N/A"," ",IF(Pricetype3=2,MAX(D222,0),IF(OR(Pricetype3=1,Pricetype3=4),IF(D222=0,0,(EURO(D222,Strikeprice3,0,0,($AH222+IF(Smile=TRUE(),VLOOKUP(MAX(-5,Strikeprice3-D222),Volsmile,2),0)),($A222-DateToday)+15,IF(Pricetype3=1,1,0),0))),D222)))</f>
        <v> </v>
      </c>
      <c r="N222" s="318" t="str">
        <f aca="false">IF($A222="N/A"," ",IF(Pricetype3=2,MAX(E222,0),IF(OR(Pricetype3=1,Pricetype3=4),IF(E222=0,0,(EURO(E222,Strikeprice3,0,0,($AK222+IF(Smile=TRUE(),VLOOKUP(MAX(-5,Strikeprice3-E222),Volsmile,2),0)),($A222-DateToday)+15,IF(Pricetype3=1,1,0),0))),E222)))</f>
        <v> </v>
      </c>
      <c r="O222" s="318" t="str">
        <f aca="false">IF($A222="N/A"," ",IF(Pricetype3=2,MAX(F222,0),IF(OR(Pricetype3=1,Pricetype3=4),IF(F222=0,0,(EURO(F222,Strikeprice3,0,0,($AK222+IF(Smile=TRUE(),VLOOKUP(MAX(-5,Strikeprice3-F222),Volsmile,2),0)),($A222-DateToday)+15,IF(Pricetype3=1,1,0),0))),F222)))</f>
        <v> </v>
      </c>
      <c r="P222" s="318" t="str">
        <f aca="false">IF($A222="N/A"," ",IF(Pricetype3=2,MAX(G222,0),IF(OR(Pricetype3=1,Pricetype3=4),IF(G222=0,0,(EURO(G222,Strikeprice3,0,0,($AK222+IF(Smile=TRUE(),VLOOKUP(MAX(-5,Strikeprice3-G222),Volsmile,2),0)),($A222-DateToday)+15,IF(Pricetype3=1,1,0),0))),G222)))</f>
        <v> </v>
      </c>
      <c r="Q222" s="318" t="str">
        <f aca="false">IF($A222="N/A"," ",IF(Pricetype3=2,MAX(H222,0),IF(OR(Pricetype3=1,Pricetype3=4),IF(H222=0,0,(EURO(H222,Strikeprice3,0,0,($AK222+IF(Smile=TRUE(),VLOOKUP(MAX(-5,Strikeprice3-H222),Volsmile,2),0)),($A222-DateToday)+15,IF(Pricetype3=1,1,0),0))),H222)))</f>
        <v> </v>
      </c>
      <c r="R222" s="318" t="str">
        <f aca="false">IF($A222="N/A"," ",IF(Pricetype3=2,MAX(I222,0),IF(OR(Pricetype3=1,Pricetype3=4),IF(I222=0,0,(EURO(I222,Strikeprice3,0,0,($AK222+IF(Smile=TRUE(),VLOOKUP(MAX(-5,Strikeprice3-I222),Volsmile,2),0)),($A222-DateToday)+15,IF(Pricetype3=1,1,0),0))),I222)))</f>
        <v> </v>
      </c>
      <c r="S222" s="318" t="str">
        <f aca="false">IF($A222="N/A"," ",IF(Pricetype3=2,MAX(J222,0),IF(OR(Pricetype3=1,Pricetype3=4),IF(J222=0,0,(EURO(J222,Strikeprice3,0,0,($AK222+IF(Smile=TRUE(),VLOOKUP(MAX(-5,Strikeprice3-J222),Volsmile,2),0)),($A222-DateToday)+15,IF(Pricetype3=1,1,0),0))),J222)))</f>
        <v> </v>
      </c>
      <c r="T222" s="318" t="str">
        <f aca="false">IF($A222="N/A"," ",IF(Pricetype3=2,MAX(K222,0),IF(OR(Pricetype3=1,Pricetype3=4),IF(K222=0,0,(EURO(K222,Strikeprice3,0,0,($AK222+IF(Smile=TRUE(),VLOOKUP(MAX(-5,Strikeprice3-K222),Volsmile,2),0)),($A222-DateToday)+15,IF(Pricetype3=1,1,0),0))),K222)))</f>
        <v> </v>
      </c>
      <c r="U222" s="319" t="str">
        <f aca="false">IF($A222="N/A"," ",Volume3*$AM222)</f>
        <v> </v>
      </c>
      <c r="V222" s="320" t="str">
        <f aca="false">IF($A222="N/A"," ",$U222*(8*($BQ222))*L222)</f>
        <v> </v>
      </c>
      <c r="W222" s="320" t="str">
        <f aca="false">IF($A222="N/A"," ",$U222*(8*($BQ222))*M222)</f>
        <v> </v>
      </c>
      <c r="X222" s="320" t="str">
        <f aca="false">IF($A222="N/A"," ",$U222*(8*($BQ222))*N222)</f>
        <v> </v>
      </c>
      <c r="Y222" s="320" t="str">
        <f aca="false">IF($A222="N/A"," ",$U222*(8*($BR222))*O222)</f>
        <v> </v>
      </c>
      <c r="Z222" s="320" t="str">
        <f aca="false">IF($A222="N/A"," ",$U222*(8*($BR222))*P222)</f>
        <v> </v>
      </c>
      <c r="AA222" s="320" t="str">
        <f aca="false">IF($A222="N/A"," ",$U222*(8*($BR222))*Q222)</f>
        <v> </v>
      </c>
      <c r="AB222" s="320" t="str">
        <f aca="false">IF($A222="N/A"," ",$U222*(8*($BS222))*R222)</f>
        <v> </v>
      </c>
      <c r="AC222" s="320" t="str">
        <f aca="false">IF($A222="N/A"," ",$U222*(8*($BS222))*S222)</f>
        <v> </v>
      </c>
      <c r="AD222" s="320" t="str">
        <f aca="false">IF($A222="N/A"," ",$U222*(8*($BS222))*T222)</f>
        <v> </v>
      </c>
      <c r="AE222" s="320" t="str">
        <f aca="false">IF($A222="N/A"," ",SUM(V222:AD222))</f>
        <v> </v>
      </c>
      <c r="AF222" s="321" t="str">
        <f aca="false">IF(A222="N/A"," ",(VLOOKUP(A222,PowerVolTable,(IF(VolBMO3=2,7,IF(VolBMO3=1,6,8))),FALSE())))</f>
        <v> </v>
      </c>
      <c r="AG222" s="321" t="str">
        <f aca="false">IF(A222="N/A"," ",(VLOOKUP(A222,IntraPowerVol,(IF(VolBMO3=2,3,IF(VolBMO3=1,2,4))),FALSE())*VLOOKUP(MONTH($A222),Volscale,2)))</f>
        <v> </v>
      </c>
      <c r="AH222" s="321" t="str">
        <f aca="false">IF($A222="N/A"," ",IF(VolType3=1,AG222,AF222))</f>
        <v> </v>
      </c>
      <c r="AI222" s="321" t="str">
        <f aca="false">IF($A222="N/A"," ",(VLOOKUP($A222,OffPwrVolTable,(IF(VolBMO3=2,7,IF(VolBMO3=1,6,8))),FALSE())))</f>
        <v> </v>
      </c>
      <c r="AJ222" s="321" t="str">
        <f aca="false">IF($A222="N/A"," ",(VLOOKUP($A222,OffPwrVolTable,(IF(VolBMO3=2,3,IF(VolBMO3=1,2,4))),FALSE())*VLOOKUP(MONTH($A222),Volscale,2)))</f>
        <v> </v>
      </c>
      <c r="AK222" s="321" t="str">
        <f aca="false">IF($A222="N/A"," ",IF(VolType3=1,AJ222,AI222))</f>
        <v> </v>
      </c>
      <c r="AL222" s="321" t="str">
        <f aca="false">IF($A222="N/A"," ",IF(PV=1,0,'Pricing Inputs3'!R255))</f>
        <v> </v>
      </c>
      <c r="AM222" s="323" t="str">
        <f aca="false">IF($A222="N/A"," ",(1+AL222/2)^(-2*((EOMONTH(A222,0)+20)-DateToday)/365.25))</f>
        <v> </v>
      </c>
      <c r="BQ222" s="0" t="str">
        <f aca="false">IF($A222="N/A"," ",(VLOOKUP($A222,NumberofDaysTable,2)))</f>
        <v> </v>
      </c>
      <c r="BR222" s="0" t="str">
        <f aca="false">IF($A222="N/A"," ",(VLOOKUP($A222,NumberofDaysTable,3)))</f>
        <v> </v>
      </c>
      <c r="BS222" s="0" t="str">
        <f aca="false">IF($A222="N/A"," ",(VLOOKUP($A222,NumberofDaysTable,4)))</f>
        <v> </v>
      </c>
    </row>
    <row r="223" customFormat="false" ht="12.75" hidden="false" customHeight="false" outlineLevel="0" collapsed="false">
      <c r="A223" s="315" t="str">
        <f aca="false">IF(A222="N/A","N/A",IF(EDATE(A222,1)&gt;Inputs!$Q$5,"N/A",EDATE(A222,1)))</f>
        <v>N/A</v>
      </c>
      <c r="B223" s="316" t="str">
        <f aca="false">IF(A223="N/A"," ",YEAR(A223))</f>
        <v> </v>
      </c>
      <c r="C223" s="317" t="str">
        <f aca="false">IF($A223="N/A"," ",IF(Dayrun3=10,0,IF(Scaler3=1,(VLOOKUP(A223,ScaledPrice3,4)),(VLOOKUP(A223,ScaledPrice3,2)))))</f>
        <v> </v>
      </c>
      <c r="D223" s="317" t="str">
        <f aca="false">IF(A223="N/A"," ",IF(Dayrun3&gt;=7,0,IF(Scaler3=2,VLOOKUP(A223,ScaledPrice3,2),(VLOOKUP(A223,ScaledPrice3,2))*(2-(VLOOKUP(A223,ScaledPrice3,3))))))</f>
        <v> </v>
      </c>
      <c r="E223" s="317" t="str">
        <f aca="false">IF($A223="N/A"," ",IF(AND(Dayrun3&gt;=4,Dayrun3&lt;=9),0,VLOOKUP($A223,ScaledPrice3,9)))</f>
        <v> </v>
      </c>
      <c r="F223" s="317" t="str">
        <f aca="false">IF(A223="N/A"," ",IF(OR(Dayrun3=2,Dayrun3=3,Dayrun3=5,Dayrun3=6,Dayrun3=8,Dayrun3=9),VLOOKUP(A223,ScaledPrice3,IF(Scaler3=1,6,5)),0))</f>
        <v> </v>
      </c>
      <c r="G223" s="317" t="str">
        <f aca="false">IF(A223="N/A"," ",IF(OR(Dayrun3=2,Dayrun3=3,Dayrun3=5,Dayrun3=6),IF(Scaler3=2,F223,(VLOOKUP(A223,ScaledPrice3,5))*(2-(VLOOKUP(A223,ScaledPrice3,3)))),0))</f>
        <v> </v>
      </c>
      <c r="H223" s="317" t="str">
        <f aca="false">IF($A223="N/A"," ",IF(OR(Dayrun3=2,Dayrun3=3,Dayrun3=10),VLOOKUP($A223,ScaledPrice3,9),0))</f>
        <v> </v>
      </c>
      <c r="I223" s="317" t="str">
        <f aca="false">IF(A223="N/A"," ",IF(OR(Dayrun3=3,Dayrun3=6,Dayrun3=9),(VLOOKUP(A223,ScaledPrice3,IF(Scaler3=2,7,8))),0))</f>
        <v> </v>
      </c>
      <c r="J223" s="317" t="str">
        <f aca="false">IF(A223="N/A"," ",IF(OR(Dayrun3=3,Dayrun3=6),IF(Scaler3=2,I223,(VLOOKUP(A223,ScaledPrice3,7))*(2-(VLOOKUP(A223,ScaledPrice3,3)))),0))</f>
        <v> </v>
      </c>
      <c r="K223" s="317" t="str">
        <f aca="false">IF($A223="N/A"," ",IF(OR(Dayrun3=3,Dayrun3=10),VLOOKUP($A223,ScaledPrice3,9),0))</f>
        <v> </v>
      </c>
      <c r="L223" s="318" t="str">
        <f aca="false">IF($A223="N/A"," ",IF(Pricetype3=2,MAX(C223,0),IF(OR(Pricetype3=1,Pricetype3=4),IF(C223=0,0,(EURO(C223,Strikeprice3,0,0,($AH223+IF(Smile=TRUE(),VLOOKUP(MAX(-5,Strikeprice3-C223),Volsmile,2),0)),($A223-DateToday)+15,IF(Pricetype3=1,1,0),0))),C223)))</f>
        <v> </v>
      </c>
      <c r="M223" s="318" t="str">
        <f aca="false">IF($A223="N/A"," ",IF(Pricetype3=2,MAX(D223,0),IF(OR(Pricetype3=1,Pricetype3=4),IF(D223=0,0,(EURO(D223,Strikeprice3,0,0,($AH223+IF(Smile=TRUE(),VLOOKUP(MAX(-5,Strikeprice3-D223),Volsmile,2),0)),($A223-DateToday)+15,IF(Pricetype3=1,1,0),0))),D223)))</f>
        <v> </v>
      </c>
      <c r="N223" s="318" t="str">
        <f aca="false">IF($A223="N/A"," ",IF(Pricetype3=2,MAX(E223,0),IF(OR(Pricetype3=1,Pricetype3=4),IF(E223=0,0,(EURO(E223,Strikeprice3,0,0,($AK223+IF(Smile=TRUE(),VLOOKUP(MAX(-5,Strikeprice3-E223),Volsmile,2),0)),($A223-DateToday)+15,IF(Pricetype3=1,1,0),0))),E223)))</f>
        <v> </v>
      </c>
      <c r="O223" s="318" t="str">
        <f aca="false">IF($A223="N/A"," ",IF(Pricetype3=2,MAX(F223,0),IF(OR(Pricetype3=1,Pricetype3=4),IF(F223=0,0,(EURO(F223,Strikeprice3,0,0,($AK223+IF(Smile=TRUE(),VLOOKUP(MAX(-5,Strikeprice3-F223),Volsmile,2),0)),($A223-DateToday)+15,IF(Pricetype3=1,1,0),0))),F223)))</f>
        <v> </v>
      </c>
      <c r="P223" s="318" t="str">
        <f aca="false">IF($A223="N/A"," ",IF(Pricetype3=2,MAX(G223,0),IF(OR(Pricetype3=1,Pricetype3=4),IF(G223=0,0,(EURO(G223,Strikeprice3,0,0,($AK223+IF(Smile=TRUE(),VLOOKUP(MAX(-5,Strikeprice3-G223),Volsmile,2),0)),($A223-DateToday)+15,IF(Pricetype3=1,1,0),0))),G223)))</f>
        <v> </v>
      </c>
      <c r="Q223" s="318" t="str">
        <f aca="false">IF($A223="N/A"," ",IF(Pricetype3=2,MAX(H223,0),IF(OR(Pricetype3=1,Pricetype3=4),IF(H223=0,0,(EURO(H223,Strikeprice3,0,0,($AK223+IF(Smile=TRUE(),VLOOKUP(MAX(-5,Strikeprice3-H223),Volsmile,2),0)),($A223-DateToday)+15,IF(Pricetype3=1,1,0),0))),H223)))</f>
        <v> </v>
      </c>
      <c r="R223" s="318" t="str">
        <f aca="false">IF($A223="N/A"," ",IF(Pricetype3=2,MAX(I223,0),IF(OR(Pricetype3=1,Pricetype3=4),IF(I223=0,0,(EURO(I223,Strikeprice3,0,0,($AK223+IF(Smile=TRUE(),VLOOKUP(MAX(-5,Strikeprice3-I223),Volsmile,2),0)),($A223-DateToday)+15,IF(Pricetype3=1,1,0),0))),I223)))</f>
        <v> </v>
      </c>
      <c r="S223" s="318" t="str">
        <f aca="false">IF($A223="N/A"," ",IF(Pricetype3=2,MAX(J223,0),IF(OR(Pricetype3=1,Pricetype3=4),IF(J223=0,0,(EURO(J223,Strikeprice3,0,0,($AK223+IF(Smile=TRUE(),VLOOKUP(MAX(-5,Strikeprice3-J223),Volsmile,2),0)),($A223-DateToday)+15,IF(Pricetype3=1,1,0),0))),J223)))</f>
        <v> </v>
      </c>
      <c r="T223" s="318" t="str">
        <f aca="false">IF($A223="N/A"," ",IF(Pricetype3=2,MAX(K223,0),IF(OR(Pricetype3=1,Pricetype3=4),IF(K223=0,0,(EURO(K223,Strikeprice3,0,0,($AK223+IF(Smile=TRUE(),VLOOKUP(MAX(-5,Strikeprice3-K223),Volsmile,2),0)),($A223-DateToday)+15,IF(Pricetype3=1,1,0),0))),K223)))</f>
        <v> </v>
      </c>
      <c r="U223" s="319" t="str">
        <f aca="false">IF($A223="N/A"," ",Volume3*$AM223)</f>
        <v> </v>
      </c>
      <c r="V223" s="320" t="str">
        <f aca="false">IF($A223="N/A"," ",$U223*(8*($BQ223))*L223)</f>
        <v> </v>
      </c>
      <c r="W223" s="320" t="str">
        <f aca="false">IF($A223="N/A"," ",$U223*(8*($BQ223))*M223)</f>
        <v> </v>
      </c>
      <c r="X223" s="320" t="str">
        <f aca="false">IF($A223="N/A"," ",$U223*(8*($BQ223))*N223)</f>
        <v> </v>
      </c>
      <c r="Y223" s="320" t="str">
        <f aca="false">IF($A223="N/A"," ",$U223*(8*($BR223))*O223)</f>
        <v> </v>
      </c>
      <c r="Z223" s="320" t="str">
        <f aca="false">IF($A223="N/A"," ",$U223*(8*($BR223))*P223)</f>
        <v> </v>
      </c>
      <c r="AA223" s="320" t="str">
        <f aca="false">IF($A223="N/A"," ",$U223*(8*($BR223))*Q223)</f>
        <v> </v>
      </c>
      <c r="AB223" s="320" t="str">
        <f aca="false">IF($A223="N/A"," ",$U223*(8*($BS223))*R223)</f>
        <v> </v>
      </c>
      <c r="AC223" s="320" t="str">
        <f aca="false">IF($A223="N/A"," ",$U223*(8*($BS223))*S223)</f>
        <v> </v>
      </c>
      <c r="AD223" s="320" t="str">
        <f aca="false">IF($A223="N/A"," ",$U223*(8*($BS223))*T223)</f>
        <v> </v>
      </c>
      <c r="AE223" s="320" t="str">
        <f aca="false">IF($A223="N/A"," ",SUM(V223:AD223))</f>
        <v> </v>
      </c>
      <c r="AF223" s="321" t="str">
        <f aca="false">IF(A223="N/A"," ",(VLOOKUP(A223,PowerVolTable,(IF(VolBMO3=2,7,IF(VolBMO3=1,6,8))),FALSE())))</f>
        <v> </v>
      </c>
      <c r="AG223" s="321" t="str">
        <f aca="false">IF(A223="N/A"," ",(VLOOKUP(A223,IntraPowerVol,(IF(VolBMO3=2,3,IF(VolBMO3=1,2,4))),FALSE())*VLOOKUP(MONTH($A223),Volscale,2)))</f>
        <v> </v>
      </c>
      <c r="AH223" s="321" t="str">
        <f aca="false">IF($A223="N/A"," ",IF(VolType3=1,AG223,AF223))</f>
        <v> </v>
      </c>
      <c r="AI223" s="321" t="str">
        <f aca="false">IF($A223="N/A"," ",(VLOOKUP($A223,OffPwrVolTable,(IF(VolBMO3=2,7,IF(VolBMO3=1,6,8))),FALSE())))</f>
        <v> </v>
      </c>
      <c r="AJ223" s="321" t="str">
        <f aca="false">IF($A223="N/A"," ",(VLOOKUP($A223,OffPwrVolTable,(IF(VolBMO3=2,3,IF(VolBMO3=1,2,4))),FALSE())*VLOOKUP(MONTH($A223),Volscale,2)))</f>
        <v> </v>
      </c>
      <c r="AK223" s="321" t="str">
        <f aca="false">IF($A223="N/A"," ",IF(VolType3=1,AJ223,AI223))</f>
        <v> </v>
      </c>
      <c r="AL223" s="321" t="str">
        <f aca="false">IF($A223="N/A"," ",IF(PV=1,0,'Pricing Inputs3'!R256))</f>
        <v> </v>
      </c>
      <c r="AM223" s="323" t="str">
        <f aca="false">IF($A223="N/A"," ",(1+AL223/2)^(-2*((EOMONTH(A223,0)+20)-DateToday)/365.25))</f>
        <v> </v>
      </c>
      <c r="BQ223" s="0" t="str">
        <f aca="false">IF($A223="N/A"," ",(VLOOKUP($A223,NumberofDaysTable,2)))</f>
        <v> </v>
      </c>
      <c r="BR223" s="0" t="str">
        <f aca="false">IF($A223="N/A"," ",(VLOOKUP($A223,NumberofDaysTable,3)))</f>
        <v> </v>
      </c>
      <c r="BS223" s="0" t="str">
        <f aca="false">IF($A223="N/A"," ",(VLOOKUP($A223,NumberofDaysTable,4)))</f>
        <v> </v>
      </c>
    </row>
    <row r="224" customFormat="false" ht="12.75" hidden="false" customHeight="false" outlineLevel="0" collapsed="false">
      <c r="A224" s="315" t="str">
        <f aca="false">IF(A223="N/A","N/A",IF(EDATE(A223,1)&gt;Inputs!$Q$5,"N/A",EDATE(A223,1)))</f>
        <v>N/A</v>
      </c>
      <c r="B224" s="316" t="str">
        <f aca="false">IF(A224="N/A"," ",YEAR(A224))</f>
        <v> </v>
      </c>
      <c r="C224" s="317" t="str">
        <f aca="false">IF($A224="N/A"," ",IF(Dayrun3=10,0,IF(Scaler3=1,(VLOOKUP(A224,ScaledPrice3,4)),(VLOOKUP(A224,ScaledPrice3,2)))))</f>
        <v> </v>
      </c>
      <c r="D224" s="317" t="str">
        <f aca="false">IF(A224="N/A"," ",IF(Dayrun3&gt;=7,0,IF(Scaler3=2,VLOOKUP(A224,ScaledPrice3,2),(VLOOKUP(A224,ScaledPrice3,2))*(2-(VLOOKUP(A224,ScaledPrice3,3))))))</f>
        <v> </v>
      </c>
      <c r="E224" s="317" t="str">
        <f aca="false">IF($A224="N/A"," ",IF(AND(Dayrun3&gt;=4,Dayrun3&lt;=9),0,VLOOKUP($A224,ScaledPrice3,9)))</f>
        <v> </v>
      </c>
      <c r="F224" s="317" t="str">
        <f aca="false">IF(A224="N/A"," ",IF(OR(Dayrun3=2,Dayrun3=3,Dayrun3=5,Dayrun3=6,Dayrun3=8,Dayrun3=9),VLOOKUP(A224,ScaledPrice3,IF(Scaler3=1,6,5)),0))</f>
        <v> </v>
      </c>
      <c r="G224" s="317" t="str">
        <f aca="false">IF(A224="N/A"," ",IF(OR(Dayrun3=2,Dayrun3=3,Dayrun3=5,Dayrun3=6),IF(Scaler3=2,F224,(VLOOKUP(A224,ScaledPrice3,5))*(2-(VLOOKUP(A224,ScaledPrice3,3)))),0))</f>
        <v> </v>
      </c>
      <c r="H224" s="317" t="str">
        <f aca="false">IF($A224="N/A"," ",IF(OR(Dayrun3=2,Dayrun3=3,Dayrun3=10),VLOOKUP($A224,ScaledPrice3,9),0))</f>
        <v> </v>
      </c>
      <c r="I224" s="317" t="str">
        <f aca="false">IF(A224="N/A"," ",IF(OR(Dayrun3=3,Dayrun3=6,Dayrun3=9),(VLOOKUP(A224,ScaledPrice3,IF(Scaler3=2,7,8))),0))</f>
        <v> </v>
      </c>
      <c r="J224" s="317" t="str">
        <f aca="false">IF(A224="N/A"," ",IF(OR(Dayrun3=3,Dayrun3=6),IF(Scaler3=2,I224,(VLOOKUP(A224,ScaledPrice3,7))*(2-(VLOOKUP(A224,ScaledPrice3,3)))),0))</f>
        <v> </v>
      </c>
      <c r="K224" s="317" t="str">
        <f aca="false">IF($A224="N/A"," ",IF(OR(Dayrun3=3,Dayrun3=10),VLOOKUP($A224,ScaledPrice3,9),0))</f>
        <v> </v>
      </c>
      <c r="L224" s="318" t="str">
        <f aca="false">IF($A224="N/A"," ",IF(Pricetype3=2,MAX(C224,0),IF(OR(Pricetype3=1,Pricetype3=4),IF(C224=0,0,(EURO(C224,Strikeprice3,0,0,($AH224+IF(Smile=TRUE(),VLOOKUP(MAX(-5,Strikeprice3-C224),Volsmile,2),0)),($A224-DateToday)+15,IF(Pricetype3=1,1,0),0))),C224)))</f>
        <v> </v>
      </c>
      <c r="M224" s="318" t="str">
        <f aca="false">IF($A224="N/A"," ",IF(Pricetype3=2,MAX(D224,0),IF(OR(Pricetype3=1,Pricetype3=4),IF(D224=0,0,(EURO(D224,Strikeprice3,0,0,($AH224+IF(Smile=TRUE(),VLOOKUP(MAX(-5,Strikeprice3-D224),Volsmile,2),0)),($A224-DateToday)+15,IF(Pricetype3=1,1,0),0))),D224)))</f>
        <v> </v>
      </c>
      <c r="N224" s="318" t="str">
        <f aca="false">IF($A224="N/A"," ",IF(Pricetype3=2,MAX(E224,0),IF(OR(Pricetype3=1,Pricetype3=4),IF(E224=0,0,(EURO(E224,Strikeprice3,0,0,($AK224+IF(Smile=TRUE(),VLOOKUP(MAX(-5,Strikeprice3-E224),Volsmile,2),0)),($A224-DateToday)+15,IF(Pricetype3=1,1,0),0))),E224)))</f>
        <v> </v>
      </c>
      <c r="O224" s="318" t="str">
        <f aca="false">IF($A224="N/A"," ",IF(Pricetype3=2,MAX(F224,0),IF(OR(Pricetype3=1,Pricetype3=4),IF(F224=0,0,(EURO(F224,Strikeprice3,0,0,($AK224+IF(Smile=TRUE(),VLOOKUP(MAX(-5,Strikeprice3-F224),Volsmile,2),0)),($A224-DateToday)+15,IF(Pricetype3=1,1,0),0))),F224)))</f>
        <v> </v>
      </c>
      <c r="P224" s="318" t="str">
        <f aca="false">IF($A224="N/A"," ",IF(Pricetype3=2,MAX(G224,0),IF(OR(Pricetype3=1,Pricetype3=4),IF(G224=0,0,(EURO(G224,Strikeprice3,0,0,($AK224+IF(Smile=TRUE(),VLOOKUP(MAX(-5,Strikeprice3-G224),Volsmile,2),0)),($A224-DateToday)+15,IF(Pricetype3=1,1,0),0))),G224)))</f>
        <v> </v>
      </c>
      <c r="Q224" s="318" t="str">
        <f aca="false">IF($A224="N/A"," ",IF(Pricetype3=2,MAX(H224,0),IF(OR(Pricetype3=1,Pricetype3=4),IF(H224=0,0,(EURO(H224,Strikeprice3,0,0,($AK224+IF(Smile=TRUE(),VLOOKUP(MAX(-5,Strikeprice3-H224),Volsmile,2),0)),($A224-DateToday)+15,IF(Pricetype3=1,1,0),0))),H224)))</f>
        <v> </v>
      </c>
      <c r="R224" s="318" t="str">
        <f aca="false">IF($A224="N/A"," ",IF(Pricetype3=2,MAX(I224,0),IF(OR(Pricetype3=1,Pricetype3=4),IF(I224=0,0,(EURO(I224,Strikeprice3,0,0,($AK224+IF(Smile=TRUE(),VLOOKUP(MAX(-5,Strikeprice3-I224),Volsmile,2),0)),($A224-DateToday)+15,IF(Pricetype3=1,1,0),0))),I224)))</f>
        <v> </v>
      </c>
      <c r="S224" s="318" t="str">
        <f aca="false">IF($A224="N/A"," ",IF(Pricetype3=2,MAX(J224,0),IF(OR(Pricetype3=1,Pricetype3=4),IF(J224=0,0,(EURO(J224,Strikeprice3,0,0,($AK224+IF(Smile=TRUE(),VLOOKUP(MAX(-5,Strikeprice3-J224),Volsmile,2),0)),($A224-DateToday)+15,IF(Pricetype3=1,1,0),0))),J224)))</f>
        <v> </v>
      </c>
      <c r="T224" s="318" t="str">
        <f aca="false">IF($A224="N/A"," ",IF(Pricetype3=2,MAX(K224,0),IF(OR(Pricetype3=1,Pricetype3=4),IF(K224=0,0,(EURO(K224,Strikeprice3,0,0,($AK224+IF(Smile=TRUE(),VLOOKUP(MAX(-5,Strikeprice3-K224),Volsmile,2),0)),($A224-DateToday)+15,IF(Pricetype3=1,1,0),0))),K224)))</f>
        <v> </v>
      </c>
      <c r="U224" s="319" t="str">
        <f aca="false">IF($A224="N/A"," ",Volume3*$AM224)</f>
        <v> </v>
      </c>
      <c r="V224" s="320" t="str">
        <f aca="false">IF($A224="N/A"," ",$U224*(8*($BQ224))*L224)</f>
        <v> </v>
      </c>
      <c r="W224" s="320" t="str">
        <f aca="false">IF($A224="N/A"," ",$U224*(8*($BQ224))*M224)</f>
        <v> </v>
      </c>
      <c r="X224" s="320" t="str">
        <f aca="false">IF($A224="N/A"," ",$U224*(8*($BQ224))*N224)</f>
        <v> </v>
      </c>
      <c r="Y224" s="320" t="str">
        <f aca="false">IF($A224="N/A"," ",$U224*(8*($BR224))*O224)</f>
        <v> </v>
      </c>
      <c r="Z224" s="320" t="str">
        <f aca="false">IF($A224="N/A"," ",$U224*(8*($BR224))*P224)</f>
        <v> </v>
      </c>
      <c r="AA224" s="320" t="str">
        <f aca="false">IF($A224="N/A"," ",$U224*(8*($BR224))*Q224)</f>
        <v> </v>
      </c>
      <c r="AB224" s="320" t="str">
        <f aca="false">IF($A224="N/A"," ",$U224*(8*($BS224))*R224)</f>
        <v> </v>
      </c>
      <c r="AC224" s="320" t="str">
        <f aca="false">IF($A224="N/A"," ",$U224*(8*($BS224))*S224)</f>
        <v> </v>
      </c>
      <c r="AD224" s="320" t="str">
        <f aca="false">IF($A224="N/A"," ",$U224*(8*($BS224))*T224)</f>
        <v> </v>
      </c>
      <c r="AE224" s="320" t="str">
        <f aca="false">IF($A224="N/A"," ",SUM(V224:AD224))</f>
        <v> </v>
      </c>
      <c r="AF224" s="321" t="str">
        <f aca="false">IF(A224="N/A"," ",(VLOOKUP(A224,PowerVolTable,(IF(VolBMO3=2,7,IF(VolBMO3=1,6,8))),FALSE())))</f>
        <v> </v>
      </c>
      <c r="AG224" s="321" t="str">
        <f aca="false">IF(A224="N/A"," ",(VLOOKUP(A224,IntraPowerVol,(IF(VolBMO3=2,3,IF(VolBMO3=1,2,4))),FALSE())*VLOOKUP(MONTH($A224),Volscale,2)))</f>
        <v> </v>
      </c>
      <c r="AH224" s="321" t="str">
        <f aca="false">IF($A224="N/A"," ",IF(VolType3=1,AG224,AF224))</f>
        <v> </v>
      </c>
      <c r="AI224" s="321" t="str">
        <f aca="false">IF($A224="N/A"," ",(VLOOKUP($A224,OffPwrVolTable,(IF(VolBMO3=2,7,IF(VolBMO3=1,6,8))),FALSE())))</f>
        <v> </v>
      </c>
      <c r="AJ224" s="321" t="str">
        <f aca="false">IF($A224="N/A"," ",(VLOOKUP($A224,OffPwrVolTable,(IF(VolBMO3=2,3,IF(VolBMO3=1,2,4))),FALSE())*VLOOKUP(MONTH($A224),Volscale,2)))</f>
        <v> </v>
      </c>
      <c r="AK224" s="321" t="str">
        <f aca="false">IF($A224="N/A"," ",IF(VolType3=1,AJ224,AI224))</f>
        <v> </v>
      </c>
      <c r="AL224" s="321" t="str">
        <f aca="false">IF($A224="N/A"," ",IF(PV=1,0,'Pricing Inputs3'!R257))</f>
        <v> </v>
      </c>
      <c r="AM224" s="323" t="str">
        <f aca="false">IF($A224="N/A"," ",(1+AL224/2)^(-2*((EOMONTH(A224,0)+20)-DateToday)/365.25))</f>
        <v> </v>
      </c>
      <c r="BQ224" s="0" t="str">
        <f aca="false">IF($A224="N/A"," ",(VLOOKUP($A224,NumberofDaysTable,2)))</f>
        <v> </v>
      </c>
      <c r="BR224" s="0" t="str">
        <f aca="false">IF($A224="N/A"," ",(VLOOKUP($A224,NumberofDaysTable,3)))</f>
        <v> </v>
      </c>
      <c r="BS224" s="0" t="str">
        <f aca="false">IF($A224="N/A"," ",(VLOOKUP($A224,NumberofDaysTable,4)))</f>
        <v> </v>
      </c>
    </row>
    <row r="225" customFormat="false" ht="12.75" hidden="false" customHeight="false" outlineLevel="0" collapsed="false">
      <c r="A225" s="315" t="str">
        <f aca="false">IF(A224="N/A","N/A",IF(EDATE(A224,1)&gt;Inputs!$Q$5,"N/A",EDATE(A224,1)))</f>
        <v>N/A</v>
      </c>
      <c r="B225" s="316" t="str">
        <f aca="false">IF(A225="N/A"," ",YEAR(A225))</f>
        <v> </v>
      </c>
      <c r="C225" s="317" t="str">
        <f aca="false">IF($A225="N/A"," ",IF(Dayrun3=10,0,IF(Scaler3=1,(VLOOKUP(A225,ScaledPrice3,4)),(VLOOKUP(A225,ScaledPrice3,2)))))</f>
        <v> </v>
      </c>
      <c r="D225" s="317" t="str">
        <f aca="false">IF(A225="N/A"," ",IF(Dayrun3&gt;=7,0,IF(Scaler3=2,VLOOKUP(A225,ScaledPrice3,2),(VLOOKUP(A225,ScaledPrice3,2))*(2-(VLOOKUP(A225,ScaledPrice3,3))))))</f>
        <v> </v>
      </c>
      <c r="E225" s="317" t="str">
        <f aca="false">IF($A225="N/A"," ",IF(AND(Dayrun3&gt;=4,Dayrun3&lt;=9),0,VLOOKUP($A225,ScaledPrice3,9)))</f>
        <v> </v>
      </c>
      <c r="F225" s="317" t="str">
        <f aca="false">IF(A225="N/A"," ",IF(OR(Dayrun3=2,Dayrun3=3,Dayrun3=5,Dayrun3=6,Dayrun3=8,Dayrun3=9),VLOOKUP(A225,ScaledPrice3,IF(Scaler3=1,6,5)),0))</f>
        <v> </v>
      </c>
      <c r="G225" s="317" t="str">
        <f aca="false">IF(A225="N/A"," ",IF(OR(Dayrun3=2,Dayrun3=3,Dayrun3=5,Dayrun3=6),IF(Scaler3=2,F225,(VLOOKUP(A225,ScaledPrice3,5))*(2-(VLOOKUP(A225,ScaledPrice3,3)))),0))</f>
        <v> </v>
      </c>
      <c r="H225" s="317" t="str">
        <f aca="false">IF($A225="N/A"," ",IF(OR(Dayrun3=2,Dayrun3=3,Dayrun3=10),VLOOKUP($A225,ScaledPrice3,9),0))</f>
        <v> </v>
      </c>
      <c r="I225" s="317" t="str">
        <f aca="false">IF(A225="N/A"," ",IF(OR(Dayrun3=3,Dayrun3=6,Dayrun3=9),(VLOOKUP(A225,ScaledPrice3,IF(Scaler3=2,7,8))),0))</f>
        <v> </v>
      </c>
      <c r="J225" s="317" t="str">
        <f aca="false">IF(A225="N/A"," ",IF(OR(Dayrun3=3,Dayrun3=6),IF(Scaler3=2,I225,(VLOOKUP(A225,ScaledPrice3,7))*(2-(VLOOKUP(A225,ScaledPrice3,3)))),0))</f>
        <v> </v>
      </c>
      <c r="K225" s="317" t="str">
        <f aca="false">IF($A225="N/A"," ",IF(OR(Dayrun3=3,Dayrun3=10),VLOOKUP($A225,ScaledPrice3,9),0))</f>
        <v> </v>
      </c>
      <c r="L225" s="318" t="str">
        <f aca="false">IF($A225="N/A"," ",IF(Pricetype3=2,MAX(C225,0),IF(OR(Pricetype3=1,Pricetype3=4),IF(C225=0,0,(EURO(C225,Strikeprice3,0,0,($AH225+IF(Smile=TRUE(),VLOOKUP(MAX(-5,Strikeprice3-C225),Volsmile,2),0)),($A225-DateToday)+15,IF(Pricetype3=1,1,0),0))),C225)))</f>
        <v> </v>
      </c>
      <c r="M225" s="318" t="str">
        <f aca="false">IF($A225="N/A"," ",IF(Pricetype3=2,MAX(D225,0),IF(OR(Pricetype3=1,Pricetype3=4),IF(D225=0,0,(EURO(D225,Strikeprice3,0,0,($AH225+IF(Smile=TRUE(),VLOOKUP(MAX(-5,Strikeprice3-D225),Volsmile,2),0)),($A225-DateToday)+15,IF(Pricetype3=1,1,0),0))),D225)))</f>
        <v> </v>
      </c>
      <c r="N225" s="318" t="str">
        <f aca="false">IF($A225="N/A"," ",IF(Pricetype3=2,MAX(E225,0),IF(OR(Pricetype3=1,Pricetype3=4),IF(E225=0,0,(EURO(E225,Strikeprice3,0,0,($AK225+IF(Smile=TRUE(),VLOOKUP(MAX(-5,Strikeprice3-E225),Volsmile,2),0)),($A225-DateToday)+15,IF(Pricetype3=1,1,0),0))),E225)))</f>
        <v> </v>
      </c>
      <c r="O225" s="318" t="str">
        <f aca="false">IF($A225="N/A"," ",IF(Pricetype3=2,MAX(F225,0),IF(OR(Pricetype3=1,Pricetype3=4),IF(F225=0,0,(EURO(F225,Strikeprice3,0,0,($AK225+IF(Smile=TRUE(),VLOOKUP(MAX(-5,Strikeprice3-F225),Volsmile,2),0)),($A225-DateToday)+15,IF(Pricetype3=1,1,0),0))),F225)))</f>
        <v> </v>
      </c>
      <c r="P225" s="318" t="str">
        <f aca="false">IF($A225="N/A"," ",IF(Pricetype3=2,MAX(G225,0),IF(OR(Pricetype3=1,Pricetype3=4),IF(G225=0,0,(EURO(G225,Strikeprice3,0,0,($AK225+IF(Smile=TRUE(),VLOOKUP(MAX(-5,Strikeprice3-G225),Volsmile,2),0)),($A225-DateToday)+15,IF(Pricetype3=1,1,0),0))),G225)))</f>
        <v> </v>
      </c>
      <c r="Q225" s="318" t="str">
        <f aca="false">IF($A225="N/A"," ",IF(Pricetype3=2,MAX(H225,0),IF(OR(Pricetype3=1,Pricetype3=4),IF(H225=0,0,(EURO(H225,Strikeprice3,0,0,($AK225+IF(Smile=TRUE(),VLOOKUP(MAX(-5,Strikeprice3-H225),Volsmile,2),0)),($A225-DateToday)+15,IF(Pricetype3=1,1,0),0))),H225)))</f>
        <v> </v>
      </c>
      <c r="R225" s="318" t="str">
        <f aca="false">IF($A225="N/A"," ",IF(Pricetype3=2,MAX(I225,0),IF(OR(Pricetype3=1,Pricetype3=4),IF(I225=0,0,(EURO(I225,Strikeprice3,0,0,($AK225+IF(Smile=TRUE(),VLOOKUP(MAX(-5,Strikeprice3-I225),Volsmile,2),0)),($A225-DateToday)+15,IF(Pricetype3=1,1,0),0))),I225)))</f>
        <v> </v>
      </c>
      <c r="S225" s="318" t="str">
        <f aca="false">IF($A225="N/A"," ",IF(Pricetype3=2,MAX(J225,0),IF(OR(Pricetype3=1,Pricetype3=4),IF(J225=0,0,(EURO(J225,Strikeprice3,0,0,($AK225+IF(Smile=TRUE(),VLOOKUP(MAX(-5,Strikeprice3-J225),Volsmile,2),0)),($A225-DateToday)+15,IF(Pricetype3=1,1,0),0))),J225)))</f>
        <v> </v>
      </c>
      <c r="T225" s="318" t="str">
        <f aca="false">IF($A225="N/A"," ",IF(Pricetype3=2,MAX(K225,0),IF(OR(Pricetype3=1,Pricetype3=4),IF(K225=0,0,(EURO(K225,Strikeprice3,0,0,($AK225+IF(Smile=TRUE(),VLOOKUP(MAX(-5,Strikeprice3-K225),Volsmile,2),0)),($A225-DateToday)+15,IF(Pricetype3=1,1,0),0))),K225)))</f>
        <v> </v>
      </c>
      <c r="U225" s="319" t="str">
        <f aca="false">IF($A225="N/A"," ",Volume3*$AM225)</f>
        <v> </v>
      </c>
      <c r="V225" s="320" t="str">
        <f aca="false">IF($A225="N/A"," ",$U225*(8*($BQ225))*L225)</f>
        <v> </v>
      </c>
      <c r="W225" s="320" t="str">
        <f aca="false">IF($A225="N/A"," ",$U225*(8*($BQ225))*M225)</f>
        <v> </v>
      </c>
      <c r="X225" s="320" t="str">
        <f aca="false">IF($A225="N/A"," ",$U225*(8*($BQ225))*N225)</f>
        <v> </v>
      </c>
      <c r="Y225" s="320" t="str">
        <f aca="false">IF($A225="N/A"," ",$U225*(8*($BR225))*O225)</f>
        <v> </v>
      </c>
      <c r="Z225" s="320" t="str">
        <f aca="false">IF($A225="N/A"," ",$U225*(8*($BR225))*P225)</f>
        <v> </v>
      </c>
      <c r="AA225" s="320" t="str">
        <f aca="false">IF($A225="N/A"," ",$U225*(8*($BR225))*Q225)</f>
        <v> </v>
      </c>
      <c r="AB225" s="320" t="str">
        <f aca="false">IF($A225="N/A"," ",$U225*(8*($BS225))*R225)</f>
        <v> </v>
      </c>
      <c r="AC225" s="320" t="str">
        <f aca="false">IF($A225="N/A"," ",$U225*(8*($BS225))*S225)</f>
        <v> </v>
      </c>
      <c r="AD225" s="320" t="str">
        <f aca="false">IF($A225="N/A"," ",$U225*(8*($BS225))*T225)</f>
        <v> </v>
      </c>
      <c r="AE225" s="320" t="str">
        <f aca="false">IF($A225="N/A"," ",SUM(V225:AD225))</f>
        <v> </v>
      </c>
      <c r="AF225" s="321" t="str">
        <f aca="false">IF(A225="N/A"," ",(VLOOKUP(A225,PowerVolTable,(IF(VolBMO3=2,7,IF(VolBMO3=1,6,8))),FALSE())))</f>
        <v> </v>
      </c>
      <c r="AG225" s="321" t="str">
        <f aca="false">IF(A225="N/A"," ",(VLOOKUP(A225,IntraPowerVol,(IF(VolBMO3=2,3,IF(VolBMO3=1,2,4))),FALSE())*VLOOKUP(MONTH($A225),Volscale,2)))</f>
        <v> </v>
      </c>
      <c r="AH225" s="321" t="str">
        <f aca="false">IF($A225="N/A"," ",IF(VolType3=1,AG225,AF225))</f>
        <v> </v>
      </c>
      <c r="AI225" s="321" t="str">
        <f aca="false">IF($A225="N/A"," ",(VLOOKUP($A225,OffPwrVolTable,(IF(VolBMO3=2,7,IF(VolBMO3=1,6,8))),FALSE())))</f>
        <v> </v>
      </c>
      <c r="AJ225" s="321" t="str">
        <f aca="false">IF($A225="N/A"," ",(VLOOKUP($A225,OffPwrVolTable,(IF(VolBMO3=2,3,IF(VolBMO3=1,2,4))),FALSE())*VLOOKUP(MONTH($A225),Volscale,2)))</f>
        <v> </v>
      </c>
      <c r="AK225" s="321" t="str">
        <f aca="false">IF($A225="N/A"," ",IF(VolType3=1,AJ225,AI225))</f>
        <v> </v>
      </c>
      <c r="AL225" s="321" t="str">
        <f aca="false">IF($A225="N/A"," ",IF(PV=1,0,'Pricing Inputs3'!R258))</f>
        <v> </v>
      </c>
      <c r="AM225" s="323" t="str">
        <f aca="false">IF($A225="N/A"," ",(1+AL225/2)^(-2*((EOMONTH(A225,0)+20)-DateToday)/365.25))</f>
        <v> </v>
      </c>
      <c r="BQ225" s="0" t="str">
        <f aca="false">IF($A225="N/A"," ",(VLOOKUP($A225,NumberofDaysTable,2)))</f>
        <v> </v>
      </c>
      <c r="BR225" s="0" t="str">
        <f aca="false">IF($A225="N/A"," ",(VLOOKUP($A225,NumberofDaysTable,3)))</f>
        <v> </v>
      </c>
      <c r="BS225" s="0" t="str">
        <f aca="false">IF($A225="N/A"," ",(VLOOKUP($A225,NumberofDaysTable,4)))</f>
        <v> </v>
      </c>
    </row>
    <row r="226" customFormat="false" ht="12.75" hidden="false" customHeight="false" outlineLevel="0" collapsed="false">
      <c r="A226" s="315" t="str">
        <f aca="false">IF(A225="N/A","N/A",IF(EDATE(A225,1)&gt;Inputs!$Q$5,"N/A",EDATE(A225,1)))</f>
        <v>N/A</v>
      </c>
      <c r="B226" s="316" t="str">
        <f aca="false">IF(A226="N/A"," ",YEAR(A226))</f>
        <v> </v>
      </c>
      <c r="C226" s="317" t="str">
        <f aca="false">IF($A226="N/A"," ",IF(Dayrun3=10,0,IF(Scaler3=1,(VLOOKUP(A226,ScaledPrice3,4)),(VLOOKUP(A226,ScaledPrice3,2)))))</f>
        <v> </v>
      </c>
      <c r="D226" s="317" t="str">
        <f aca="false">IF(A226="N/A"," ",IF(Dayrun3&gt;=7,0,IF(Scaler3=2,VLOOKUP(A226,ScaledPrice3,2),(VLOOKUP(A226,ScaledPrice3,2))*(2-(VLOOKUP(A226,ScaledPrice3,3))))))</f>
        <v> </v>
      </c>
      <c r="E226" s="317" t="str">
        <f aca="false">IF($A226="N/A"," ",IF(AND(Dayrun3&gt;=4,Dayrun3&lt;=9),0,VLOOKUP($A226,ScaledPrice3,9)))</f>
        <v> </v>
      </c>
      <c r="F226" s="317" t="str">
        <f aca="false">IF(A226="N/A"," ",IF(OR(Dayrun3=2,Dayrun3=3,Dayrun3=5,Dayrun3=6,Dayrun3=8,Dayrun3=9),VLOOKUP(A226,ScaledPrice3,IF(Scaler3=1,6,5)),0))</f>
        <v> </v>
      </c>
      <c r="G226" s="317" t="str">
        <f aca="false">IF(A226="N/A"," ",IF(OR(Dayrun3=2,Dayrun3=3,Dayrun3=5,Dayrun3=6),IF(Scaler3=2,F226,(VLOOKUP(A226,ScaledPrice3,5))*(2-(VLOOKUP(A226,ScaledPrice3,3)))),0))</f>
        <v> </v>
      </c>
      <c r="H226" s="317" t="str">
        <f aca="false">IF($A226="N/A"," ",IF(OR(Dayrun3=2,Dayrun3=3,Dayrun3=10),VLOOKUP($A226,ScaledPrice3,9),0))</f>
        <v> </v>
      </c>
      <c r="I226" s="317" t="str">
        <f aca="false">IF(A226="N/A"," ",IF(OR(Dayrun3=3,Dayrun3=6,Dayrun3=9),(VLOOKUP(A226,ScaledPrice3,IF(Scaler3=2,7,8))),0))</f>
        <v> </v>
      </c>
      <c r="J226" s="317" t="str">
        <f aca="false">IF(A226="N/A"," ",IF(OR(Dayrun3=3,Dayrun3=6),IF(Scaler3=2,I226,(VLOOKUP(A226,ScaledPrice3,7))*(2-(VLOOKUP(A226,ScaledPrice3,3)))),0))</f>
        <v> </v>
      </c>
      <c r="K226" s="317" t="str">
        <f aca="false">IF($A226="N/A"," ",IF(OR(Dayrun3=3,Dayrun3=10),VLOOKUP($A226,ScaledPrice3,9),0))</f>
        <v> </v>
      </c>
      <c r="L226" s="318" t="str">
        <f aca="false">IF($A226="N/A"," ",IF(Pricetype3=2,MAX(C226,0),IF(OR(Pricetype3=1,Pricetype3=4),IF(C226=0,0,(EURO(C226,Strikeprice3,0,0,($AH226+IF(Smile=TRUE(),VLOOKUP(MAX(-5,Strikeprice3-C226),Volsmile,2),0)),($A226-DateToday)+15,IF(Pricetype3=1,1,0),0))),C226)))</f>
        <v> </v>
      </c>
      <c r="M226" s="318" t="str">
        <f aca="false">IF($A226="N/A"," ",IF(Pricetype3=2,MAX(D226,0),IF(OR(Pricetype3=1,Pricetype3=4),IF(D226=0,0,(EURO(D226,Strikeprice3,0,0,($AH226+IF(Smile=TRUE(),VLOOKUP(MAX(-5,Strikeprice3-D226),Volsmile,2),0)),($A226-DateToday)+15,IF(Pricetype3=1,1,0),0))),D226)))</f>
        <v> </v>
      </c>
      <c r="N226" s="318" t="str">
        <f aca="false">IF($A226="N/A"," ",IF(Pricetype3=2,MAX(E226,0),IF(OR(Pricetype3=1,Pricetype3=4),IF(E226=0,0,(EURO(E226,Strikeprice3,0,0,($AK226+IF(Smile=TRUE(),VLOOKUP(MAX(-5,Strikeprice3-E226),Volsmile,2),0)),($A226-DateToday)+15,IF(Pricetype3=1,1,0),0))),E226)))</f>
        <v> </v>
      </c>
      <c r="O226" s="318" t="str">
        <f aca="false">IF($A226="N/A"," ",IF(Pricetype3=2,MAX(F226,0),IF(OR(Pricetype3=1,Pricetype3=4),IF(F226=0,0,(EURO(F226,Strikeprice3,0,0,($AK226+IF(Smile=TRUE(),VLOOKUP(MAX(-5,Strikeprice3-F226),Volsmile,2),0)),($A226-DateToday)+15,IF(Pricetype3=1,1,0),0))),F226)))</f>
        <v> </v>
      </c>
      <c r="P226" s="318" t="str">
        <f aca="false">IF($A226="N/A"," ",IF(Pricetype3=2,MAX(G226,0),IF(OR(Pricetype3=1,Pricetype3=4),IF(G226=0,0,(EURO(G226,Strikeprice3,0,0,($AK226+IF(Smile=TRUE(),VLOOKUP(MAX(-5,Strikeprice3-G226),Volsmile,2),0)),($A226-DateToday)+15,IF(Pricetype3=1,1,0),0))),G226)))</f>
        <v> </v>
      </c>
      <c r="Q226" s="318" t="str">
        <f aca="false">IF($A226="N/A"," ",IF(Pricetype3=2,MAX(H226,0),IF(OR(Pricetype3=1,Pricetype3=4),IF(H226=0,0,(EURO(H226,Strikeprice3,0,0,($AK226+IF(Smile=TRUE(),VLOOKUP(MAX(-5,Strikeprice3-H226),Volsmile,2),0)),($A226-DateToday)+15,IF(Pricetype3=1,1,0),0))),H226)))</f>
        <v> </v>
      </c>
      <c r="R226" s="318" t="str">
        <f aca="false">IF($A226="N/A"," ",IF(Pricetype3=2,MAX(I226,0),IF(OR(Pricetype3=1,Pricetype3=4),IF(I226=0,0,(EURO(I226,Strikeprice3,0,0,($AK226+IF(Smile=TRUE(),VLOOKUP(MAX(-5,Strikeprice3-I226),Volsmile,2),0)),($A226-DateToday)+15,IF(Pricetype3=1,1,0),0))),I226)))</f>
        <v> </v>
      </c>
      <c r="S226" s="318" t="str">
        <f aca="false">IF($A226="N/A"," ",IF(Pricetype3=2,MAX(J226,0),IF(OR(Pricetype3=1,Pricetype3=4),IF(J226=0,0,(EURO(J226,Strikeprice3,0,0,($AK226+IF(Smile=TRUE(),VLOOKUP(MAX(-5,Strikeprice3-J226),Volsmile,2),0)),($A226-DateToday)+15,IF(Pricetype3=1,1,0),0))),J226)))</f>
        <v> </v>
      </c>
      <c r="T226" s="318" t="str">
        <f aca="false">IF($A226="N/A"," ",IF(Pricetype3=2,MAX(K226,0),IF(OR(Pricetype3=1,Pricetype3=4),IF(K226=0,0,(EURO(K226,Strikeprice3,0,0,($AK226+IF(Smile=TRUE(),VLOOKUP(MAX(-5,Strikeprice3-K226),Volsmile,2),0)),($A226-DateToday)+15,IF(Pricetype3=1,1,0),0))),K226)))</f>
        <v> </v>
      </c>
      <c r="U226" s="319" t="str">
        <f aca="false">IF($A226="N/A"," ",Volume3*$AM226)</f>
        <v> </v>
      </c>
      <c r="V226" s="320" t="str">
        <f aca="false">IF($A226="N/A"," ",$U226*(8*($BQ226))*L226)</f>
        <v> </v>
      </c>
      <c r="W226" s="320" t="str">
        <f aca="false">IF($A226="N/A"," ",$U226*(8*($BQ226))*M226)</f>
        <v> </v>
      </c>
      <c r="X226" s="320" t="str">
        <f aca="false">IF($A226="N/A"," ",$U226*(8*($BQ226))*N226)</f>
        <v> </v>
      </c>
      <c r="Y226" s="320" t="str">
        <f aca="false">IF($A226="N/A"," ",$U226*(8*($BR226))*O226)</f>
        <v> </v>
      </c>
      <c r="Z226" s="320" t="str">
        <f aca="false">IF($A226="N/A"," ",$U226*(8*($BR226))*P226)</f>
        <v> </v>
      </c>
      <c r="AA226" s="320" t="str">
        <f aca="false">IF($A226="N/A"," ",$U226*(8*($BR226))*Q226)</f>
        <v> </v>
      </c>
      <c r="AB226" s="320" t="str">
        <f aca="false">IF($A226="N/A"," ",$U226*(8*($BS226))*R226)</f>
        <v> </v>
      </c>
      <c r="AC226" s="320" t="str">
        <f aca="false">IF($A226="N/A"," ",$U226*(8*($BS226))*S226)</f>
        <v> </v>
      </c>
      <c r="AD226" s="320" t="str">
        <f aca="false">IF($A226="N/A"," ",$U226*(8*($BS226))*T226)</f>
        <v> </v>
      </c>
      <c r="AE226" s="320" t="str">
        <f aca="false">IF($A226="N/A"," ",SUM(V226:AD226))</f>
        <v> </v>
      </c>
      <c r="AF226" s="321" t="str">
        <f aca="false">IF(A226="N/A"," ",(VLOOKUP(A226,PowerVolTable,(IF(VolBMO3=2,7,IF(VolBMO3=1,6,8))),FALSE())))</f>
        <v> </v>
      </c>
      <c r="AG226" s="321" t="str">
        <f aca="false">IF(A226="N/A"," ",(VLOOKUP(A226,IntraPowerVol,(IF(VolBMO3=2,3,IF(VolBMO3=1,2,4))),FALSE())*VLOOKUP(MONTH($A226),Volscale,2)))</f>
        <v> </v>
      </c>
      <c r="AH226" s="321" t="str">
        <f aca="false">IF($A226="N/A"," ",IF(VolType3=1,AG226,AF226))</f>
        <v> </v>
      </c>
      <c r="AI226" s="321" t="str">
        <f aca="false">IF($A226="N/A"," ",(VLOOKUP($A226,OffPwrVolTable,(IF(VolBMO3=2,7,IF(VolBMO3=1,6,8))),FALSE())))</f>
        <v> </v>
      </c>
      <c r="AJ226" s="321" t="str">
        <f aca="false">IF($A226="N/A"," ",(VLOOKUP($A226,OffPwrVolTable,(IF(VolBMO3=2,3,IF(VolBMO3=1,2,4))),FALSE())*VLOOKUP(MONTH($A226),Volscale,2)))</f>
        <v> </v>
      </c>
      <c r="AK226" s="321" t="str">
        <f aca="false">IF($A226="N/A"," ",IF(VolType3=1,AJ226,AI226))</f>
        <v> </v>
      </c>
      <c r="AL226" s="321" t="str">
        <f aca="false">IF($A226="N/A"," ",IF(PV=1,0,'Pricing Inputs3'!R259))</f>
        <v> </v>
      </c>
      <c r="AM226" s="323" t="str">
        <f aca="false">IF($A226="N/A"," ",(1+AL226/2)^(-2*((EOMONTH(A226,0)+20)-DateToday)/365.25))</f>
        <v> </v>
      </c>
      <c r="BQ226" s="0" t="str">
        <f aca="false">IF($A226="N/A"," ",(VLOOKUP($A226,NumberofDaysTable,2)))</f>
        <v> </v>
      </c>
      <c r="BR226" s="0" t="str">
        <f aca="false">IF($A226="N/A"," ",(VLOOKUP($A226,NumberofDaysTable,3)))</f>
        <v> </v>
      </c>
      <c r="BS226" s="0" t="str">
        <f aca="false">IF($A226="N/A"," ",(VLOOKUP($A226,NumberofDaysTable,4)))</f>
        <v> </v>
      </c>
    </row>
    <row r="227" customFormat="false" ht="12.75" hidden="false" customHeight="false" outlineLevel="0" collapsed="false">
      <c r="A227" s="315" t="str">
        <f aca="false">IF(A226="N/A","N/A",IF(EDATE(A226,1)&gt;Inputs!$Q$5,"N/A",EDATE(A226,1)))</f>
        <v>N/A</v>
      </c>
      <c r="B227" s="316" t="str">
        <f aca="false">IF(A227="N/A"," ",YEAR(A227))</f>
        <v> </v>
      </c>
      <c r="C227" s="317" t="str">
        <f aca="false">IF($A227="N/A"," ",IF(Dayrun3=10,0,IF(Scaler3=1,(VLOOKUP(A227,ScaledPrice3,4)),(VLOOKUP(A227,ScaledPrice3,2)))))</f>
        <v> </v>
      </c>
      <c r="D227" s="317" t="str">
        <f aca="false">IF(A227="N/A"," ",IF(Dayrun3&gt;=7,0,IF(Scaler3=2,VLOOKUP(A227,ScaledPrice3,2),(VLOOKUP(A227,ScaledPrice3,2))*(2-(VLOOKUP(A227,ScaledPrice3,3))))))</f>
        <v> </v>
      </c>
      <c r="E227" s="317" t="str">
        <f aca="false">IF($A227="N/A"," ",IF(AND(Dayrun3&gt;=4,Dayrun3&lt;=9),0,VLOOKUP($A227,ScaledPrice3,9)))</f>
        <v> </v>
      </c>
      <c r="F227" s="317" t="str">
        <f aca="false">IF(A227="N/A"," ",IF(OR(Dayrun3=2,Dayrun3=3,Dayrun3=5,Dayrun3=6,Dayrun3=8,Dayrun3=9),VLOOKUP(A227,ScaledPrice3,IF(Scaler3=1,6,5)),0))</f>
        <v> </v>
      </c>
      <c r="G227" s="317" t="str">
        <f aca="false">IF(A227="N/A"," ",IF(OR(Dayrun3=2,Dayrun3=3,Dayrun3=5,Dayrun3=6),IF(Scaler3=2,F227,(VLOOKUP(A227,ScaledPrice3,5))*(2-(VLOOKUP(A227,ScaledPrice3,3)))),0))</f>
        <v> </v>
      </c>
      <c r="H227" s="317" t="str">
        <f aca="false">IF($A227="N/A"," ",IF(OR(Dayrun3=2,Dayrun3=3,Dayrun3=10),VLOOKUP($A227,ScaledPrice3,9),0))</f>
        <v> </v>
      </c>
      <c r="I227" s="317" t="str">
        <f aca="false">IF(A227="N/A"," ",IF(OR(Dayrun3=3,Dayrun3=6,Dayrun3=9),(VLOOKUP(A227,ScaledPrice3,IF(Scaler3=2,7,8))),0))</f>
        <v> </v>
      </c>
      <c r="J227" s="317" t="str">
        <f aca="false">IF(A227="N/A"," ",IF(OR(Dayrun3=3,Dayrun3=6),IF(Scaler3=2,I227,(VLOOKUP(A227,ScaledPrice3,7))*(2-(VLOOKUP(A227,ScaledPrice3,3)))),0))</f>
        <v> </v>
      </c>
      <c r="K227" s="317" t="str">
        <f aca="false">IF($A227="N/A"," ",IF(OR(Dayrun3=3,Dayrun3=10),VLOOKUP($A227,ScaledPrice3,9),0))</f>
        <v> </v>
      </c>
      <c r="L227" s="318" t="str">
        <f aca="false">IF($A227="N/A"," ",IF(Pricetype3=2,MAX(C227,0),IF(OR(Pricetype3=1,Pricetype3=4),IF(C227=0,0,(EURO(C227,Strikeprice3,0,0,($AH227+IF(Smile=TRUE(),VLOOKUP(MAX(-5,Strikeprice3-C227),Volsmile,2),0)),($A227-DateToday)+15,IF(Pricetype3=1,1,0),0))),C227)))</f>
        <v> </v>
      </c>
      <c r="M227" s="318" t="str">
        <f aca="false">IF($A227="N/A"," ",IF(Pricetype3=2,MAX(D227,0),IF(OR(Pricetype3=1,Pricetype3=4),IF(D227=0,0,(EURO(D227,Strikeprice3,0,0,($AH227+IF(Smile=TRUE(),VLOOKUP(MAX(-5,Strikeprice3-D227),Volsmile,2),0)),($A227-DateToday)+15,IF(Pricetype3=1,1,0),0))),D227)))</f>
        <v> </v>
      </c>
      <c r="N227" s="318" t="str">
        <f aca="false">IF($A227="N/A"," ",IF(Pricetype3=2,MAX(E227,0),IF(OR(Pricetype3=1,Pricetype3=4),IF(E227=0,0,(EURO(E227,Strikeprice3,0,0,($AK227+IF(Smile=TRUE(),VLOOKUP(MAX(-5,Strikeprice3-E227),Volsmile,2),0)),($A227-DateToday)+15,IF(Pricetype3=1,1,0),0))),E227)))</f>
        <v> </v>
      </c>
      <c r="O227" s="318" t="str">
        <f aca="false">IF($A227="N/A"," ",IF(Pricetype3=2,MAX(F227,0),IF(OR(Pricetype3=1,Pricetype3=4),IF(F227=0,0,(EURO(F227,Strikeprice3,0,0,($AK227+IF(Smile=TRUE(),VLOOKUP(MAX(-5,Strikeprice3-F227),Volsmile,2),0)),($A227-DateToday)+15,IF(Pricetype3=1,1,0),0))),F227)))</f>
        <v> </v>
      </c>
      <c r="P227" s="318" t="str">
        <f aca="false">IF($A227="N/A"," ",IF(Pricetype3=2,MAX(G227,0),IF(OR(Pricetype3=1,Pricetype3=4),IF(G227=0,0,(EURO(G227,Strikeprice3,0,0,($AK227+IF(Smile=TRUE(),VLOOKUP(MAX(-5,Strikeprice3-G227),Volsmile,2),0)),($A227-DateToday)+15,IF(Pricetype3=1,1,0),0))),G227)))</f>
        <v> </v>
      </c>
      <c r="Q227" s="318" t="str">
        <f aca="false">IF($A227="N/A"," ",IF(Pricetype3=2,MAX(H227,0),IF(OR(Pricetype3=1,Pricetype3=4),IF(H227=0,0,(EURO(H227,Strikeprice3,0,0,($AK227+IF(Smile=TRUE(),VLOOKUP(MAX(-5,Strikeprice3-H227),Volsmile,2),0)),($A227-DateToday)+15,IF(Pricetype3=1,1,0),0))),H227)))</f>
        <v> </v>
      </c>
      <c r="R227" s="318" t="str">
        <f aca="false">IF($A227="N/A"," ",IF(Pricetype3=2,MAX(I227,0),IF(OR(Pricetype3=1,Pricetype3=4),IF(I227=0,0,(EURO(I227,Strikeprice3,0,0,($AK227+IF(Smile=TRUE(),VLOOKUP(MAX(-5,Strikeprice3-I227),Volsmile,2),0)),($A227-DateToday)+15,IF(Pricetype3=1,1,0),0))),I227)))</f>
        <v> </v>
      </c>
      <c r="S227" s="318" t="str">
        <f aca="false">IF($A227="N/A"," ",IF(Pricetype3=2,MAX(J227,0),IF(OR(Pricetype3=1,Pricetype3=4),IF(J227=0,0,(EURO(J227,Strikeprice3,0,0,($AK227+IF(Smile=TRUE(),VLOOKUP(MAX(-5,Strikeprice3-J227),Volsmile,2),0)),($A227-DateToday)+15,IF(Pricetype3=1,1,0),0))),J227)))</f>
        <v> </v>
      </c>
      <c r="T227" s="318" t="str">
        <f aca="false">IF($A227="N/A"," ",IF(Pricetype3=2,MAX(K227,0),IF(OR(Pricetype3=1,Pricetype3=4),IF(K227=0,0,(EURO(K227,Strikeprice3,0,0,($AK227+IF(Smile=TRUE(),VLOOKUP(MAX(-5,Strikeprice3-K227),Volsmile,2),0)),($A227-DateToday)+15,IF(Pricetype3=1,1,0),0))),K227)))</f>
        <v> </v>
      </c>
      <c r="U227" s="319" t="str">
        <f aca="false">IF($A227="N/A"," ",Volume3*$AM227)</f>
        <v> </v>
      </c>
      <c r="V227" s="320" t="str">
        <f aca="false">IF($A227="N/A"," ",$U227*(8*($BQ227))*L227)</f>
        <v> </v>
      </c>
      <c r="W227" s="320" t="str">
        <f aca="false">IF($A227="N/A"," ",$U227*(8*($BQ227))*M227)</f>
        <v> </v>
      </c>
      <c r="X227" s="320" t="str">
        <f aca="false">IF($A227="N/A"," ",$U227*(8*($BQ227))*N227)</f>
        <v> </v>
      </c>
      <c r="Y227" s="320" t="str">
        <f aca="false">IF($A227="N/A"," ",$U227*(8*($BR227))*O227)</f>
        <v> </v>
      </c>
      <c r="Z227" s="320" t="str">
        <f aca="false">IF($A227="N/A"," ",$U227*(8*($BR227))*P227)</f>
        <v> </v>
      </c>
      <c r="AA227" s="320" t="str">
        <f aca="false">IF($A227="N/A"," ",$U227*(8*($BR227))*Q227)</f>
        <v> </v>
      </c>
      <c r="AB227" s="320" t="str">
        <f aca="false">IF($A227="N/A"," ",$U227*(8*($BS227))*R227)</f>
        <v> </v>
      </c>
      <c r="AC227" s="320" t="str">
        <f aca="false">IF($A227="N/A"," ",$U227*(8*($BS227))*S227)</f>
        <v> </v>
      </c>
      <c r="AD227" s="320" t="str">
        <f aca="false">IF($A227="N/A"," ",$U227*(8*($BS227))*T227)</f>
        <v> </v>
      </c>
      <c r="AE227" s="320" t="str">
        <f aca="false">IF($A227="N/A"," ",SUM(V227:AD227))</f>
        <v> </v>
      </c>
      <c r="AF227" s="321" t="str">
        <f aca="false">IF(A227="N/A"," ",(VLOOKUP(A227,PowerVolTable,(IF(VolBMO3=2,7,IF(VolBMO3=1,6,8))),FALSE())))</f>
        <v> </v>
      </c>
      <c r="AG227" s="321" t="str">
        <f aca="false">IF(A227="N/A"," ",(VLOOKUP(A227,IntraPowerVol,(IF(VolBMO3=2,3,IF(VolBMO3=1,2,4))),FALSE())*VLOOKUP(MONTH($A227),Volscale,2)))</f>
        <v> </v>
      </c>
      <c r="AH227" s="321" t="str">
        <f aca="false">IF($A227="N/A"," ",IF(VolType3=1,AG227,AF227))</f>
        <v> </v>
      </c>
      <c r="AI227" s="321" t="str">
        <f aca="false">IF($A227="N/A"," ",(VLOOKUP($A227,OffPwrVolTable,(IF(VolBMO3=2,7,IF(VolBMO3=1,6,8))),FALSE())))</f>
        <v> </v>
      </c>
      <c r="AJ227" s="321" t="str">
        <f aca="false">IF($A227="N/A"," ",(VLOOKUP($A227,OffPwrVolTable,(IF(VolBMO3=2,3,IF(VolBMO3=1,2,4))),FALSE())*VLOOKUP(MONTH($A227),Volscale,2)))</f>
        <v> </v>
      </c>
      <c r="AK227" s="321" t="str">
        <f aca="false">IF($A227="N/A"," ",IF(VolType3=1,AJ227,AI227))</f>
        <v> </v>
      </c>
      <c r="AL227" s="321" t="str">
        <f aca="false">IF($A227="N/A"," ",IF(PV=1,0,'Pricing Inputs3'!R260))</f>
        <v> </v>
      </c>
      <c r="AM227" s="323" t="str">
        <f aca="false">IF($A227="N/A"," ",(1+AL227/2)^(-2*((EOMONTH(A227,0)+20)-DateToday)/365.25))</f>
        <v> </v>
      </c>
      <c r="BQ227" s="0" t="str">
        <f aca="false">IF($A227="N/A"," ",(VLOOKUP($A227,NumberofDaysTable,2)))</f>
        <v> </v>
      </c>
      <c r="BR227" s="0" t="str">
        <f aca="false">IF($A227="N/A"," ",(VLOOKUP($A227,NumberofDaysTable,3)))</f>
        <v> </v>
      </c>
      <c r="BS227" s="0" t="str">
        <f aca="false">IF($A227="N/A"," ",(VLOOKUP($A227,NumberofDaysTable,4)))</f>
        <v> </v>
      </c>
    </row>
    <row r="228" customFormat="false" ht="12.75" hidden="false" customHeight="false" outlineLevel="0" collapsed="false">
      <c r="A228" s="315" t="str">
        <f aca="false">IF(A227="N/A","N/A",IF(EDATE(A227,1)&gt;Inputs!$Q$5,"N/A",EDATE(A227,1)))</f>
        <v>N/A</v>
      </c>
      <c r="B228" s="316" t="str">
        <f aca="false">IF(A228="N/A"," ",YEAR(A228))</f>
        <v> </v>
      </c>
      <c r="C228" s="317" t="str">
        <f aca="false">IF($A228="N/A"," ",IF(Dayrun3=10,0,IF(Scaler3=1,(VLOOKUP(A228,ScaledPrice3,4)),(VLOOKUP(A228,ScaledPrice3,2)))))</f>
        <v> </v>
      </c>
      <c r="D228" s="317" t="str">
        <f aca="false">IF(A228="N/A"," ",IF(Dayrun3&gt;=7,0,IF(Scaler3=2,VLOOKUP(A228,ScaledPrice3,2),(VLOOKUP(A228,ScaledPrice3,2))*(2-(VLOOKUP(A228,ScaledPrice3,3))))))</f>
        <v> </v>
      </c>
      <c r="E228" s="317" t="str">
        <f aca="false">IF($A228="N/A"," ",IF(AND(Dayrun3&gt;=4,Dayrun3&lt;=9),0,VLOOKUP($A228,ScaledPrice3,9)))</f>
        <v> </v>
      </c>
      <c r="F228" s="317" t="str">
        <f aca="false">IF(A228="N/A"," ",IF(OR(Dayrun3=2,Dayrun3=3,Dayrun3=5,Dayrun3=6,Dayrun3=8,Dayrun3=9),VLOOKUP(A228,ScaledPrice3,IF(Scaler3=1,6,5)),0))</f>
        <v> </v>
      </c>
      <c r="G228" s="317" t="str">
        <f aca="false">IF(A228="N/A"," ",IF(OR(Dayrun3=2,Dayrun3=3,Dayrun3=5,Dayrun3=6),IF(Scaler3=2,F228,(VLOOKUP(A228,ScaledPrice3,5))*(2-(VLOOKUP(A228,ScaledPrice3,3)))),0))</f>
        <v> </v>
      </c>
      <c r="H228" s="317" t="str">
        <f aca="false">IF($A228="N/A"," ",IF(OR(Dayrun3=2,Dayrun3=3,Dayrun3=10),VLOOKUP($A228,ScaledPrice3,9),0))</f>
        <v> </v>
      </c>
      <c r="I228" s="317" t="str">
        <f aca="false">IF(A228="N/A"," ",IF(OR(Dayrun3=3,Dayrun3=6,Dayrun3=9),(VLOOKUP(A228,ScaledPrice3,IF(Scaler3=2,7,8))),0))</f>
        <v> </v>
      </c>
      <c r="J228" s="317" t="str">
        <f aca="false">IF(A228="N/A"," ",IF(OR(Dayrun3=3,Dayrun3=6),IF(Scaler3=2,I228,(VLOOKUP(A228,ScaledPrice3,7))*(2-(VLOOKUP(A228,ScaledPrice3,3)))),0))</f>
        <v> </v>
      </c>
      <c r="K228" s="317" t="str">
        <f aca="false">IF($A228="N/A"," ",IF(OR(Dayrun3=3,Dayrun3=10),VLOOKUP($A228,ScaledPrice3,9),0))</f>
        <v> </v>
      </c>
      <c r="L228" s="318" t="str">
        <f aca="false">IF($A228="N/A"," ",IF(Pricetype3=2,MAX(C228,0),IF(OR(Pricetype3=1,Pricetype3=4),IF(C228=0,0,(EURO(C228,Strikeprice3,0,0,($AH228+IF(Smile=TRUE(),VLOOKUP(MAX(-5,Strikeprice3-C228),Volsmile,2),0)),($A228-DateToday)+15,IF(Pricetype3=1,1,0),0))),C228)))</f>
        <v> </v>
      </c>
      <c r="M228" s="318" t="str">
        <f aca="false">IF($A228="N/A"," ",IF(Pricetype3=2,MAX(D228,0),IF(OR(Pricetype3=1,Pricetype3=4),IF(D228=0,0,(EURO(D228,Strikeprice3,0,0,($AH228+IF(Smile=TRUE(),VLOOKUP(MAX(-5,Strikeprice3-D228),Volsmile,2),0)),($A228-DateToday)+15,IF(Pricetype3=1,1,0),0))),D228)))</f>
        <v> </v>
      </c>
      <c r="N228" s="318" t="str">
        <f aca="false">IF($A228="N/A"," ",IF(Pricetype3=2,MAX(E228,0),IF(OR(Pricetype3=1,Pricetype3=4),IF(E228=0,0,(EURO(E228,Strikeprice3,0,0,($AK228+IF(Smile=TRUE(),VLOOKUP(MAX(-5,Strikeprice3-E228),Volsmile,2),0)),($A228-DateToday)+15,IF(Pricetype3=1,1,0),0))),E228)))</f>
        <v> </v>
      </c>
      <c r="O228" s="318" t="str">
        <f aca="false">IF($A228="N/A"," ",IF(Pricetype3=2,MAX(F228,0),IF(OR(Pricetype3=1,Pricetype3=4),IF(F228=0,0,(EURO(F228,Strikeprice3,0,0,($AK228+IF(Smile=TRUE(),VLOOKUP(MAX(-5,Strikeprice3-F228),Volsmile,2),0)),($A228-DateToday)+15,IF(Pricetype3=1,1,0),0))),F228)))</f>
        <v> </v>
      </c>
      <c r="P228" s="318" t="str">
        <f aca="false">IF($A228="N/A"," ",IF(Pricetype3=2,MAX(G228,0),IF(OR(Pricetype3=1,Pricetype3=4),IF(G228=0,0,(EURO(G228,Strikeprice3,0,0,($AK228+IF(Smile=TRUE(),VLOOKUP(MAX(-5,Strikeprice3-G228),Volsmile,2),0)),($A228-DateToday)+15,IF(Pricetype3=1,1,0),0))),G228)))</f>
        <v> </v>
      </c>
      <c r="Q228" s="318" t="str">
        <f aca="false">IF($A228="N/A"," ",IF(Pricetype3=2,MAX(H228,0),IF(OR(Pricetype3=1,Pricetype3=4),IF(H228=0,0,(EURO(H228,Strikeprice3,0,0,($AK228+IF(Smile=TRUE(),VLOOKUP(MAX(-5,Strikeprice3-H228),Volsmile,2),0)),($A228-DateToday)+15,IF(Pricetype3=1,1,0),0))),H228)))</f>
        <v> </v>
      </c>
      <c r="R228" s="318" t="str">
        <f aca="false">IF($A228="N/A"," ",IF(Pricetype3=2,MAX(I228,0),IF(OR(Pricetype3=1,Pricetype3=4),IF(I228=0,0,(EURO(I228,Strikeprice3,0,0,($AK228+IF(Smile=TRUE(),VLOOKUP(MAX(-5,Strikeprice3-I228),Volsmile,2),0)),($A228-DateToday)+15,IF(Pricetype3=1,1,0),0))),I228)))</f>
        <v> </v>
      </c>
      <c r="S228" s="318" t="str">
        <f aca="false">IF($A228="N/A"," ",IF(Pricetype3=2,MAX(J228,0),IF(OR(Pricetype3=1,Pricetype3=4),IF(J228=0,0,(EURO(J228,Strikeprice3,0,0,($AK228+IF(Smile=TRUE(),VLOOKUP(MAX(-5,Strikeprice3-J228),Volsmile,2),0)),($A228-DateToday)+15,IF(Pricetype3=1,1,0),0))),J228)))</f>
        <v> </v>
      </c>
      <c r="T228" s="318" t="str">
        <f aca="false">IF($A228="N/A"," ",IF(Pricetype3=2,MAX(K228,0),IF(OR(Pricetype3=1,Pricetype3=4),IF(K228=0,0,(EURO(K228,Strikeprice3,0,0,($AK228+IF(Smile=TRUE(),VLOOKUP(MAX(-5,Strikeprice3-K228),Volsmile,2),0)),($A228-DateToday)+15,IF(Pricetype3=1,1,0),0))),K228)))</f>
        <v> </v>
      </c>
      <c r="U228" s="319" t="str">
        <f aca="false">IF($A228="N/A"," ",Volume3*$AM228)</f>
        <v> </v>
      </c>
      <c r="V228" s="320" t="str">
        <f aca="false">IF($A228="N/A"," ",$U228*(8*($BQ228))*L228)</f>
        <v> </v>
      </c>
      <c r="W228" s="320" t="str">
        <f aca="false">IF($A228="N/A"," ",$U228*(8*($BQ228))*M228)</f>
        <v> </v>
      </c>
      <c r="X228" s="320" t="str">
        <f aca="false">IF($A228="N/A"," ",$U228*(8*($BQ228))*N228)</f>
        <v> </v>
      </c>
      <c r="Y228" s="320" t="str">
        <f aca="false">IF($A228="N/A"," ",$U228*(8*($BR228))*O228)</f>
        <v> </v>
      </c>
      <c r="Z228" s="320" t="str">
        <f aca="false">IF($A228="N/A"," ",$U228*(8*($BR228))*P228)</f>
        <v> </v>
      </c>
      <c r="AA228" s="320" t="str">
        <f aca="false">IF($A228="N/A"," ",$U228*(8*($BR228))*Q228)</f>
        <v> </v>
      </c>
      <c r="AB228" s="320" t="str">
        <f aca="false">IF($A228="N/A"," ",$U228*(8*($BS228))*R228)</f>
        <v> </v>
      </c>
      <c r="AC228" s="320" t="str">
        <f aca="false">IF($A228="N/A"," ",$U228*(8*($BS228))*S228)</f>
        <v> </v>
      </c>
      <c r="AD228" s="320" t="str">
        <f aca="false">IF($A228="N/A"," ",$U228*(8*($BS228))*T228)</f>
        <v> </v>
      </c>
      <c r="AE228" s="320" t="str">
        <f aca="false">IF($A228="N/A"," ",SUM(V228:AD228))</f>
        <v> </v>
      </c>
      <c r="AF228" s="321" t="str">
        <f aca="false">IF(A228="N/A"," ",(VLOOKUP(A228,PowerVolTable,(IF(VolBMO3=2,7,IF(VolBMO3=1,6,8))),FALSE())))</f>
        <v> </v>
      </c>
      <c r="AG228" s="321" t="str">
        <f aca="false">IF(A228="N/A"," ",(VLOOKUP(A228,IntraPowerVol,(IF(VolBMO3=2,3,IF(VolBMO3=1,2,4))),FALSE())*VLOOKUP(MONTH($A228),Volscale,2)))</f>
        <v> </v>
      </c>
      <c r="AH228" s="321" t="str">
        <f aca="false">IF($A228="N/A"," ",IF(VolType3=1,AG228,AF228))</f>
        <v> </v>
      </c>
      <c r="AI228" s="321" t="str">
        <f aca="false">IF($A228="N/A"," ",(VLOOKUP($A228,OffPwrVolTable,(IF(VolBMO3=2,7,IF(VolBMO3=1,6,8))),FALSE())))</f>
        <v> </v>
      </c>
      <c r="AJ228" s="321" t="str">
        <f aca="false">IF($A228="N/A"," ",(VLOOKUP($A228,OffPwrVolTable,(IF(VolBMO3=2,3,IF(VolBMO3=1,2,4))),FALSE())*VLOOKUP(MONTH($A228),Volscale,2)))</f>
        <v> </v>
      </c>
      <c r="AK228" s="321" t="str">
        <f aca="false">IF($A228="N/A"," ",IF(VolType3=1,AJ228,AI228))</f>
        <v> </v>
      </c>
      <c r="AL228" s="321" t="str">
        <f aca="false">IF($A228="N/A"," ",IF(PV=1,0,'Pricing Inputs3'!R261))</f>
        <v> </v>
      </c>
      <c r="AM228" s="323" t="str">
        <f aca="false">IF($A228="N/A"," ",(1+AL228/2)^(-2*((EOMONTH(A228,0)+20)-DateToday)/365.25))</f>
        <v> </v>
      </c>
      <c r="BQ228" s="0" t="str">
        <f aca="false">IF($A228="N/A"," ",(VLOOKUP($A228,NumberofDaysTable,2)))</f>
        <v> </v>
      </c>
      <c r="BR228" s="0" t="str">
        <f aca="false">IF($A228="N/A"," ",(VLOOKUP($A228,NumberofDaysTable,3)))</f>
        <v> </v>
      </c>
      <c r="BS228" s="0" t="str">
        <f aca="false">IF($A228="N/A"," ",(VLOOKUP($A228,NumberofDaysTable,4)))</f>
        <v> </v>
      </c>
    </row>
    <row r="229" customFormat="false" ht="12.75" hidden="false" customHeight="false" outlineLevel="0" collapsed="false">
      <c r="A229" s="315" t="str">
        <f aca="false">IF(A228="N/A","N/A",IF(EDATE(A228,1)&gt;Inputs!$Q$5,"N/A",EDATE(A228,1)))</f>
        <v>N/A</v>
      </c>
      <c r="B229" s="316" t="str">
        <f aca="false">IF(A229="N/A"," ",YEAR(A229))</f>
        <v> </v>
      </c>
      <c r="C229" s="317" t="str">
        <f aca="false">IF($A229="N/A"," ",IF(Dayrun3=10,0,IF(Scaler3=1,(VLOOKUP(A229,ScaledPrice3,4)),(VLOOKUP(A229,ScaledPrice3,2)))))</f>
        <v> </v>
      </c>
      <c r="D229" s="317" t="str">
        <f aca="false">IF(A229="N/A"," ",IF(Dayrun3&gt;=7,0,IF(Scaler3=2,VLOOKUP(A229,ScaledPrice3,2),(VLOOKUP(A229,ScaledPrice3,2))*(2-(VLOOKUP(A229,ScaledPrice3,3))))))</f>
        <v> </v>
      </c>
      <c r="E229" s="317" t="str">
        <f aca="false">IF($A229="N/A"," ",IF(AND(Dayrun3&gt;=4,Dayrun3&lt;=9),0,VLOOKUP($A229,ScaledPrice3,9)))</f>
        <v> </v>
      </c>
      <c r="F229" s="317" t="str">
        <f aca="false">IF(A229="N/A"," ",IF(OR(Dayrun3=2,Dayrun3=3,Dayrun3=5,Dayrun3=6,Dayrun3=8,Dayrun3=9),VLOOKUP(A229,ScaledPrice3,IF(Scaler3=1,6,5)),0))</f>
        <v> </v>
      </c>
      <c r="G229" s="317" t="str">
        <f aca="false">IF(A229="N/A"," ",IF(OR(Dayrun3=2,Dayrun3=3,Dayrun3=5,Dayrun3=6),IF(Scaler3=2,F229,(VLOOKUP(A229,ScaledPrice3,5))*(2-(VLOOKUP(A229,ScaledPrice3,3)))),0))</f>
        <v> </v>
      </c>
      <c r="H229" s="317" t="str">
        <f aca="false">IF($A229="N/A"," ",IF(OR(Dayrun3=2,Dayrun3=3,Dayrun3=10),VLOOKUP($A229,ScaledPrice3,9),0))</f>
        <v> </v>
      </c>
      <c r="I229" s="317" t="str">
        <f aca="false">IF(A229="N/A"," ",IF(OR(Dayrun3=3,Dayrun3=6,Dayrun3=9),(VLOOKUP(A229,ScaledPrice3,IF(Scaler3=2,7,8))),0))</f>
        <v> </v>
      </c>
      <c r="J229" s="317" t="str">
        <f aca="false">IF(A229="N/A"," ",IF(OR(Dayrun3=3,Dayrun3=6),IF(Scaler3=2,I229,(VLOOKUP(A229,ScaledPrice3,7))*(2-(VLOOKUP(A229,ScaledPrice3,3)))),0))</f>
        <v> </v>
      </c>
      <c r="K229" s="317" t="str">
        <f aca="false">IF($A229="N/A"," ",IF(OR(Dayrun3=3,Dayrun3=10),VLOOKUP($A229,ScaledPrice3,9),0))</f>
        <v> </v>
      </c>
      <c r="L229" s="318" t="str">
        <f aca="false">IF($A229="N/A"," ",IF(Pricetype3=2,MAX(C229,0),IF(OR(Pricetype3=1,Pricetype3=4),IF(C229=0,0,(EURO(C229,Strikeprice3,0,0,($AH229+IF(Smile=TRUE(),VLOOKUP(MAX(-5,Strikeprice3-C229),Volsmile,2),0)),($A229-DateToday)+15,IF(Pricetype3=1,1,0),0))),C229)))</f>
        <v> </v>
      </c>
      <c r="M229" s="318" t="str">
        <f aca="false">IF($A229="N/A"," ",IF(Pricetype3=2,MAX(D229,0),IF(OR(Pricetype3=1,Pricetype3=4),IF(D229=0,0,(EURO(D229,Strikeprice3,0,0,($AH229+IF(Smile=TRUE(),VLOOKUP(MAX(-5,Strikeprice3-D229),Volsmile,2),0)),($A229-DateToday)+15,IF(Pricetype3=1,1,0),0))),D229)))</f>
        <v> </v>
      </c>
      <c r="N229" s="318" t="str">
        <f aca="false">IF($A229="N/A"," ",IF(Pricetype3=2,MAX(E229,0),IF(OR(Pricetype3=1,Pricetype3=4),IF(E229=0,0,(EURO(E229,Strikeprice3,0,0,($AK229+IF(Smile=TRUE(),VLOOKUP(MAX(-5,Strikeprice3-E229),Volsmile,2),0)),($A229-DateToday)+15,IF(Pricetype3=1,1,0),0))),E229)))</f>
        <v> </v>
      </c>
      <c r="O229" s="318" t="str">
        <f aca="false">IF($A229="N/A"," ",IF(Pricetype3=2,MAX(F229,0),IF(OR(Pricetype3=1,Pricetype3=4),IF(F229=0,0,(EURO(F229,Strikeprice3,0,0,($AK229+IF(Smile=TRUE(),VLOOKUP(MAX(-5,Strikeprice3-F229),Volsmile,2),0)),($A229-DateToday)+15,IF(Pricetype3=1,1,0),0))),F229)))</f>
        <v> </v>
      </c>
      <c r="P229" s="318" t="str">
        <f aca="false">IF($A229="N/A"," ",IF(Pricetype3=2,MAX(G229,0),IF(OR(Pricetype3=1,Pricetype3=4),IF(G229=0,0,(EURO(G229,Strikeprice3,0,0,($AK229+IF(Smile=TRUE(),VLOOKUP(MAX(-5,Strikeprice3-G229),Volsmile,2),0)),($A229-DateToday)+15,IF(Pricetype3=1,1,0),0))),G229)))</f>
        <v> </v>
      </c>
      <c r="Q229" s="318" t="str">
        <f aca="false">IF($A229="N/A"," ",IF(Pricetype3=2,MAX(H229,0),IF(OR(Pricetype3=1,Pricetype3=4),IF(H229=0,0,(EURO(H229,Strikeprice3,0,0,($AK229+IF(Smile=TRUE(),VLOOKUP(MAX(-5,Strikeprice3-H229),Volsmile,2),0)),($A229-DateToday)+15,IF(Pricetype3=1,1,0),0))),H229)))</f>
        <v> </v>
      </c>
      <c r="R229" s="318" t="str">
        <f aca="false">IF($A229="N/A"," ",IF(Pricetype3=2,MAX(I229,0),IF(OR(Pricetype3=1,Pricetype3=4),IF(I229=0,0,(EURO(I229,Strikeprice3,0,0,($AK229+IF(Smile=TRUE(),VLOOKUP(MAX(-5,Strikeprice3-I229),Volsmile,2),0)),($A229-DateToday)+15,IF(Pricetype3=1,1,0),0))),I229)))</f>
        <v> </v>
      </c>
      <c r="S229" s="318" t="str">
        <f aca="false">IF($A229="N/A"," ",IF(Pricetype3=2,MAX(J229,0),IF(OR(Pricetype3=1,Pricetype3=4),IF(J229=0,0,(EURO(J229,Strikeprice3,0,0,($AK229+IF(Smile=TRUE(),VLOOKUP(MAX(-5,Strikeprice3-J229),Volsmile,2),0)),($A229-DateToday)+15,IF(Pricetype3=1,1,0),0))),J229)))</f>
        <v> </v>
      </c>
      <c r="T229" s="318" t="str">
        <f aca="false">IF($A229="N/A"," ",IF(Pricetype3=2,MAX(K229,0),IF(OR(Pricetype3=1,Pricetype3=4),IF(K229=0,0,(EURO(K229,Strikeprice3,0,0,($AK229+IF(Smile=TRUE(),VLOOKUP(MAX(-5,Strikeprice3-K229),Volsmile,2),0)),($A229-DateToday)+15,IF(Pricetype3=1,1,0),0))),K229)))</f>
        <v> </v>
      </c>
      <c r="U229" s="319" t="str">
        <f aca="false">IF($A229="N/A"," ",Volume3*$AM229)</f>
        <v> </v>
      </c>
      <c r="V229" s="320" t="str">
        <f aca="false">IF($A229="N/A"," ",$U229*(8*($BQ229))*L229)</f>
        <v> </v>
      </c>
      <c r="W229" s="320" t="str">
        <f aca="false">IF($A229="N/A"," ",$U229*(8*($BQ229))*M229)</f>
        <v> </v>
      </c>
      <c r="X229" s="320" t="str">
        <f aca="false">IF($A229="N/A"," ",$U229*(8*($BQ229))*N229)</f>
        <v> </v>
      </c>
      <c r="Y229" s="320" t="str">
        <f aca="false">IF($A229="N/A"," ",$U229*(8*($BR229))*O229)</f>
        <v> </v>
      </c>
      <c r="Z229" s="320" t="str">
        <f aca="false">IF($A229="N/A"," ",$U229*(8*($BR229))*P229)</f>
        <v> </v>
      </c>
      <c r="AA229" s="320" t="str">
        <f aca="false">IF($A229="N/A"," ",$U229*(8*($BR229))*Q229)</f>
        <v> </v>
      </c>
      <c r="AB229" s="320" t="str">
        <f aca="false">IF($A229="N/A"," ",$U229*(8*($BS229))*R229)</f>
        <v> </v>
      </c>
      <c r="AC229" s="320" t="str">
        <f aca="false">IF($A229="N/A"," ",$U229*(8*($BS229))*S229)</f>
        <v> </v>
      </c>
      <c r="AD229" s="320" t="str">
        <f aca="false">IF($A229="N/A"," ",$U229*(8*($BS229))*T229)</f>
        <v> </v>
      </c>
      <c r="AE229" s="320" t="str">
        <f aca="false">IF($A229="N/A"," ",SUM(V229:AD229))</f>
        <v> </v>
      </c>
      <c r="AF229" s="321" t="str">
        <f aca="false">IF(A229="N/A"," ",(VLOOKUP(A229,PowerVolTable,(IF(VolBMO3=2,7,IF(VolBMO3=1,6,8))),FALSE())))</f>
        <v> </v>
      </c>
      <c r="AG229" s="321" t="str">
        <f aca="false">IF(A229="N/A"," ",(VLOOKUP(A229,IntraPowerVol,(IF(VolBMO3=2,3,IF(VolBMO3=1,2,4))),FALSE())*VLOOKUP(MONTH($A229),Volscale,2)))</f>
        <v> </v>
      </c>
      <c r="AH229" s="321" t="str">
        <f aca="false">IF($A229="N/A"," ",IF(VolType3=1,AG229,AF229))</f>
        <v> </v>
      </c>
      <c r="AI229" s="321" t="str">
        <f aca="false">IF($A229="N/A"," ",(VLOOKUP($A229,OffPwrVolTable,(IF(VolBMO3=2,7,IF(VolBMO3=1,6,8))),FALSE())))</f>
        <v> </v>
      </c>
      <c r="AJ229" s="321" t="str">
        <f aca="false">IF($A229="N/A"," ",(VLOOKUP($A229,OffPwrVolTable,(IF(VolBMO3=2,3,IF(VolBMO3=1,2,4))),FALSE())*VLOOKUP(MONTH($A229),Volscale,2)))</f>
        <v> </v>
      </c>
      <c r="AK229" s="321" t="str">
        <f aca="false">IF($A229="N/A"," ",IF(VolType3=1,AJ229,AI229))</f>
        <v> </v>
      </c>
      <c r="AL229" s="321" t="str">
        <f aca="false">IF($A229="N/A"," ",IF(PV=1,0,'Pricing Inputs3'!R262))</f>
        <v> </v>
      </c>
      <c r="AM229" s="323" t="str">
        <f aca="false">IF($A229="N/A"," ",(1+AL229/2)^(-2*((EOMONTH(A229,0)+20)-DateToday)/365.25))</f>
        <v> </v>
      </c>
      <c r="BQ229" s="0" t="str">
        <f aca="false">IF($A229="N/A"," ",(VLOOKUP($A229,NumberofDaysTable,2)))</f>
        <v> </v>
      </c>
      <c r="BR229" s="0" t="str">
        <f aca="false">IF($A229="N/A"," ",(VLOOKUP($A229,NumberofDaysTable,3)))</f>
        <v> </v>
      </c>
      <c r="BS229" s="0" t="str">
        <f aca="false">IF($A229="N/A"," ",(VLOOKUP($A229,NumberofDaysTable,4)))</f>
        <v> </v>
      </c>
    </row>
    <row r="230" customFormat="false" ht="12.75" hidden="false" customHeight="false" outlineLevel="0" collapsed="false">
      <c r="A230" s="315" t="str">
        <f aca="false">IF(A229="N/A","N/A",IF(EDATE(A229,1)&gt;Inputs!$Q$5,"N/A",EDATE(A229,1)))</f>
        <v>N/A</v>
      </c>
      <c r="B230" s="316" t="str">
        <f aca="false">IF(A230="N/A"," ",YEAR(A230))</f>
        <v> </v>
      </c>
      <c r="C230" s="317" t="str">
        <f aca="false">IF($A230="N/A"," ",IF(Dayrun3=10,0,IF(Scaler3=1,(VLOOKUP(A230,ScaledPrice3,4)),(VLOOKUP(A230,ScaledPrice3,2)))))</f>
        <v> </v>
      </c>
      <c r="D230" s="317" t="str">
        <f aca="false">IF(A230="N/A"," ",IF(Dayrun3&gt;=7,0,IF(Scaler3=2,VLOOKUP(A230,ScaledPrice3,2),(VLOOKUP(A230,ScaledPrice3,2))*(2-(VLOOKUP(A230,ScaledPrice3,3))))))</f>
        <v> </v>
      </c>
      <c r="E230" s="317" t="str">
        <f aca="false">IF($A230="N/A"," ",IF(AND(Dayrun3&gt;=4,Dayrun3&lt;=9),0,VLOOKUP($A230,ScaledPrice3,9)))</f>
        <v> </v>
      </c>
      <c r="F230" s="317" t="str">
        <f aca="false">IF(A230="N/A"," ",IF(OR(Dayrun3=2,Dayrun3=3,Dayrun3=5,Dayrun3=6,Dayrun3=8,Dayrun3=9),VLOOKUP(A230,ScaledPrice3,IF(Scaler3=1,6,5)),0))</f>
        <v> </v>
      </c>
      <c r="G230" s="317" t="str">
        <f aca="false">IF(A230="N/A"," ",IF(OR(Dayrun3=2,Dayrun3=3,Dayrun3=5,Dayrun3=6),IF(Scaler3=2,F230,(VLOOKUP(A230,ScaledPrice3,5))*(2-(VLOOKUP(A230,ScaledPrice3,3)))),0))</f>
        <v> </v>
      </c>
      <c r="H230" s="317" t="str">
        <f aca="false">IF($A230="N/A"," ",IF(OR(Dayrun3=2,Dayrun3=3,Dayrun3=10),VLOOKUP($A230,ScaledPrice3,9),0))</f>
        <v> </v>
      </c>
      <c r="I230" s="317" t="str">
        <f aca="false">IF(A230="N/A"," ",IF(OR(Dayrun3=3,Dayrun3=6,Dayrun3=9),(VLOOKUP(A230,ScaledPrice3,IF(Scaler3=2,7,8))),0))</f>
        <v> </v>
      </c>
      <c r="J230" s="317" t="str">
        <f aca="false">IF(A230="N/A"," ",IF(OR(Dayrun3=3,Dayrun3=6),IF(Scaler3=2,I230,(VLOOKUP(A230,ScaledPrice3,7))*(2-(VLOOKUP(A230,ScaledPrice3,3)))),0))</f>
        <v> </v>
      </c>
      <c r="K230" s="317" t="str">
        <f aca="false">IF($A230="N/A"," ",IF(OR(Dayrun3=3,Dayrun3=10),VLOOKUP($A230,ScaledPrice3,9),0))</f>
        <v> </v>
      </c>
      <c r="L230" s="318" t="str">
        <f aca="false">IF($A230="N/A"," ",IF(Pricetype3=2,MAX(C230,0),IF(OR(Pricetype3=1,Pricetype3=4),IF(C230=0,0,(EURO(C230,Strikeprice3,0,0,($AH230+IF(Smile=TRUE(),VLOOKUP(MAX(-5,Strikeprice3-C230),Volsmile,2),0)),($A230-DateToday)+15,IF(Pricetype3=1,1,0),0))),C230)))</f>
        <v> </v>
      </c>
      <c r="M230" s="318" t="str">
        <f aca="false">IF($A230="N/A"," ",IF(Pricetype3=2,MAX(D230,0),IF(OR(Pricetype3=1,Pricetype3=4),IF(D230=0,0,(EURO(D230,Strikeprice3,0,0,($AH230+IF(Smile=TRUE(),VLOOKUP(MAX(-5,Strikeprice3-D230),Volsmile,2),0)),($A230-DateToday)+15,IF(Pricetype3=1,1,0),0))),D230)))</f>
        <v> </v>
      </c>
      <c r="N230" s="318" t="str">
        <f aca="false">IF($A230="N/A"," ",IF(Pricetype3=2,MAX(E230,0),IF(OR(Pricetype3=1,Pricetype3=4),IF(E230=0,0,(EURO(E230,Strikeprice3,0,0,($AK230+IF(Smile=TRUE(),VLOOKUP(MAX(-5,Strikeprice3-E230),Volsmile,2),0)),($A230-DateToday)+15,IF(Pricetype3=1,1,0),0))),E230)))</f>
        <v> </v>
      </c>
      <c r="O230" s="318" t="str">
        <f aca="false">IF($A230="N/A"," ",IF(Pricetype3=2,MAX(F230,0),IF(OR(Pricetype3=1,Pricetype3=4),IF(F230=0,0,(EURO(F230,Strikeprice3,0,0,($AK230+IF(Smile=TRUE(),VLOOKUP(MAX(-5,Strikeprice3-F230),Volsmile,2),0)),($A230-DateToday)+15,IF(Pricetype3=1,1,0),0))),F230)))</f>
        <v> </v>
      </c>
      <c r="P230" s="318" t="str">
        <f aca="false">IF($A230="N/A"," ",IF(Pricetype3=2,MAX(G230,0),IF(OR(Pricetype3=1,Pricetype3=4),IF(G230=0,0,(EURO(G230,Strikeprice3,0,0,($AK230+IF(Smile=TRUE(),VLOOKUP(MAX(-5,Strikeprice3-G230),Volsmile,2),0)),($A230-DateToday)+15,IF(Pricetype3=1,1,0),0))),G230)))</f>
        <v> </v>
      </c>
      <c r="Q230" s="318" t="str">
        <f aca="false">IF($A230="N/A"," ",IF(Pricetype3=2,MAX(H230,0),IF(OR(Pricetype3=1,Pricetype3=4),IF(H230=0,0,(EURO(H230,Strikeprice3,0,0,($AK230+IF(Smile=TRUE(),VLOOKUP(MAX(-5,Strikeprice3-H230),Volsmile,2),0)),($A230-DateToday)+15,IF(Pricetype3=1,1,0),0))),H230)))</f>
        <v> </v>
      </c>
      <c r="R230" s="318" t="str">
        <f aca="false">IF($A230="N/A"," ",IF(Pricetype3=2,MAX(I230,0),IF(OR(Pricetype3=1,Pricetype3=4),IF(I230=0,0,(EURO(I230,Strikeprice3,0,0,($AK230+IF(Smile=TRUE(),VLOOKUP(MAX(-5,Strikeprice3-I230),Volsmile,2),0)),($A230-DateToday)+15,IF(Pricetype3=1,1,0),0))),I230)))</f>
        <v> </v>
      </c>
      <c r="S230" s="318" t="str">
        <f aca="false">IF($A230="N/A"," ",IF(Pricetype3=2,MAX(J230,0),IF(OR(Pricetype3=1,Pricetype3=4),IF(J230=0,0,(EURO(J230,Strikeprice3,0,0,($AK230+IF(Smile=TRUE(),VLOOKUP(MAX(-5,Strikeprice3-J230),Volsmile,2),0)),($A230-DateToday)+15,IF(Pricetype3=1,1,0),0))),J230)))</f>
        <v> </v>
      </c>
      <c r="T230" s="318" t="str">
        <f aca="false">IF($A230="N/A"," ",IF(Pricetype3=2,MAX(K230,0),IF(OR(Pricetype3=1,Pricetype3=4),IF(K230=0,0,(EURO(K230,Strikeprice3,0,0,($AK230+IF(Smile=TRUE(),VLOOKUP(MAX(-5,Strikeprice3-K230),Volsmile,2),0)),($A230-DateToday)+15,IF(Pricetype3=1,1,0),0))),K230)))</f>
        <v> </v>
      </c>
      <c r="U230" s="319" t="str">
        <f aca="false">IF($A230="N/A"," ",Volume3*$AM230)</f>
        <v> </v>
      </c>
      <c r="V230" s="320" t="str">
        <f aca="false">IF($A230="N/A"," ",$U230*(8*($BQ230))*L230)</f>
        <v> </v>
      </c>
      <c r="W230" s="320" t="str">
        <f aca="false">IF($A230="N/A"," ",$U230*(8*($BQ230))*M230)</f>
        <v> </v>
      </c>
      <c r="X230" s="320" t="str">
        <f aca="false">IF($A230="N/A"," ",$U230*(8*($BQ230))*N230)</f>
        <v> </v>
      </c>
      <c r="Y230" s="320" t="str">
        <f aca="false">IF($A230="N/A"," ",$U230*(8*($BR230))*O230)</f>
        <v> </v>
      </c>
      <c r="Z230" s="320" t="str">
        <f aca="false">IF($A230="N/A"," ",$U230*(8*($BR230))*P230)</f>
        <v> </v>
      </c>
      <c r="AA230" s="320" t="str">
        <f aca="false">IF($A230="N/A"," ",$U230*(8*($BR230))*Q230)</f>
        <v> </v>
      </c>
      <c r="AB230" s="320" t="str">
        <f aca="false">IF($A230="N/A"," ",$U230*(8*($BS230))*R230)</f>
        <v> </v>
      </c>
      <c r="AC230" s="320" t="str">
        <f aca="false">IF($A230="N/A"," ",$U230*(8*($BS230))*S230)</f>
        <v> </v>
      </c>
      <c r="AD230" s="320" t="str">
        <f aca="false">IF($A230="N/A"," ",$U230*(8*($BS230))*T230)</f>
        <v> </v>
      </c>
      <c r="AE230" s="320" t="str">
        <f aca="false">IF($A230="N/A"," ",SUM(V230:AD230))</f>
        <v> </v>
      </c>
      <c r="AF230" s="321" t="str">
        <f aca="false">IF(A230="N/A"," ",(VLOOKUP(A230,PowerVolTable,(IF(VolBMO3=2,7,IF(VolBMO3=1,6,8))),FALSE())))</f>
        <v> </v>
      </c>
      <c r="AG230" s="321" t="str">
        <f aca="false">IF(A230="N/A"," ",(VLOOKUP(A230,IntraPowerVol,(IF(VolBMO3=2,3,IF(VolBMO3=1,2,4))),FALSE())*VLOOKUP(MONTH($A230),Volscale,2)))</f>
        <v> </v>
      </c>
      <c r="AH230" s="321" t="str">
        <f aca="false">IF($A230="N/A"," ",IF(VolType3=1,AG230,AF230))</f>
        <v> </v>
      </c>
      <c r="AI230" s="321" t="str">
        <f aca="false">IF($A230="N/A"," ",(VLOOKUP($A230,OffPwrVolTable,(IF(VolBMO3=2,7,IF(VolBMO3=1,6,8))),FALSE())))</f>
        <v> </v>
      </c>
      <c r="AJ230" s="321" t="str">
        <f aca="false">IF($A230="N/A"," ",(VLOOKUP($A230,OffPwrVolTable,(IF(VolBMO3=2,3,IF(VolBMO3=1,2,4))),FALSE())*VLOOKUP(MONTH($A230),Volscale,2)))</f>
        <v> </v>
      </c>
      <c r="AK230" s="321" t="str">
        <f aca="false">IF($A230="N/A"," ",IF(VolType3=1,AJ230,AI230))</f>
        <v> </v>
      </c>
      <c r="AL230" s="321" t="str">
        <f aca="false">IF($A230="N/A"," ",IF(PV=1,0,'Pricing Inputs3'!R263))</f>
        <v> </v>
      </c>
      <c r="AM230" s="323" t="str">
        <f aca="false">IF($A230="N/A"," ",(1+AL230/2)^(-2*((EOMONTH(A230,0)+20)-DateToday)/365.25))</f>
        <v> </v>
      </c>
      <c r="BQ230" s="0" t="str">
        <f aca="false">IF($A230="N/A"," ",(VLOOKUP($A230,NumberofDaysTable,2)))</f>
        <v> </v>
      </c>
      <c r="BR230" s="0" t="str">
        <f aca="false">IF($A230="N/A"," ",(VLOOKUP($A230,NumberofDaysTable,3)))</f>
        <v> </v>
      </c>
      <c r="BS230" s="0" t="str">
        <f aca="false">IF($A230="N/A"," ",(VLOOKUP($A230,NumberofDaysTable,4)))</f>
        <v> </v>
      </c>
    </row>
    <row r="231" customFormat="false" ht="12.75" hidden="false" customHeight="false" outlineLevel="0" collapsed="false">
      <c r="A231" s="315" t="str">
        <f aca="false">IF(A230="N/A","N/A",IF(EDATE(A230,1)&gt;Inputs!$Q$5,"N/A",EDATE(A230,1)))</f>
        <v>N/A</v>
      </c>
      <c r="B231" s="316" t="str">
        <f aca="false">IF(A231="N/A"," ",YEAR(A231))</f>
        <v> </v>
      </c>
      <c r="C231" s="317" t="str">
        <f aca="false">IF($A231="N/A"," ",IF(Dayrun3=10,0,IF(Scaler3=1,(VLOOKUP(A231,ScaledPrice3,4)),(VLOOKUP(A231,ScaledPrice3,2)))))</f>
        <v> </v>
      </c>
      <c r="D231" s="317" t="str">
        <f aca="false">IF(A231="N/A"," ",IF(Dayrun3&gt;=7,0,IF(Scaler3=2,VLOOKUP(A231,ScaledPrice3,2),(VLOOKUP(A231,ScaledPrice3,2))*(2-(VLOOKUP(A231,ScaledPrice3,3))))))</f>
        <v> </v>
      </c>
      <c r="E231" s="317" t="str">
        <f aca="false">IF($A231="N/A"," ",IF(AND(Dayrun3&gt;=4,Dayrun3&lt;=9),0,VLOOKUP($A231,ScaledPrice3,9)))</f>
        <v> </v>
      </c>
      <c r="F231" s="317" t="str">
        <f aca="false">IF(A231="N/A"," ",IF(OR(Dayrun3=2,Dayrun3=3,Dayrun3=5,Dayrun3=6,Dayrun3=8,Dayrun3=9),VLOOKUP(A231,ScaledPrice3,IF(Scaler3=1,6,5)),0))</f>
        <v> </v>
      </c>
      <c r="G231" s="317" t="str">
        <f aca="false">IF(A231="N/A"," ",IF(OR(Dayrun3=2,Dayrun3=3,Dayrun3=5,Dayrun3=6),IF(Scaler3=2,F231,(VLOOKUP(A231,ScaledPrice3,5))*(2-(VLOOKUP(A231,ScaledPrice3,3)))),0))</f>
        <v> </v>
      </c>
      <c r="H231" s="317" t="str">
        <f aca="false">IF($A231="N/A"," ",IF(OR(Dayrun3=2,Dayrun3=3,Dayrun3=10),VLOOKUP($A231,ScaledPrice3,9),0))</f>
        <v> </v>
      </c>
      <c r="I231" s="317" t="str">
        <f aca="false">IF(A231="N/A"," ",IF(OR(Dayrun3=3,Dayrun3=6,Dayrun3=9),(VLOOKUP(A231,ScaledPrice3,IF(Scaler3=2,7,8))),0))</f>
        <v> </v>
      </c>
      <c r="J231" s="317" t="str">
        <f aca="false">IF(A231="N/A"," ",IF(OR(Dayrun3=3,Dayrun3=6),IF(Scaler3=2,I231,(VLOOKUP(A231,ScaledPrice3,7))*(2-(VLOOKUP(A231,ScaledPrice3,3)))),0))</f>
        <v> </v>
      </c>
      <c r="K231" s="317" t="str">
        <f aca="false">IF($A231="N/A"," ",IF(OR(Dayrun3=3,Dayrun3=10),VLOOKUP($A231,ScaledPrice3,9),0))</f>
        <v> </v>
      </c>
      <c r="L231" s="318" t="str">
        <f aca="false">IF($A231="N/A"," ",IF(Pricetype3=2,MAX(C231,0),IF(OR(Pricetype3=1,Pricetype3=4),IF(C231=0,0,(EURO(C231,Strikeprice3,0,0,($AH231+IF(Smile=TRUE(),VLOOKUP(MAX(-5,Strikeprice3-C231),Volsmile,2),0)),($A231-DateToday)+15,IF(Pricetype3=1,1,0),0))),C231)))</f>
        <v> </v>
      </c>
      <c r="M231" s="318" t="str">
        <f aca="false">IF($A231="N/A"," ",IF(Pricetype3=2,MAX(D231,0),IF(OR(Pricetype3=1,Pricetype3=4),IF(D231=0,0,(EURO(D231,Strikeprice3,0,0,($AH231+IF(Smile=TRUE(),VLOOKUP(MAX(-5,Strikeprice3-D231),Volsmile,2),0)),($A231-DateToday)+15,IF(Pricetype3=1,1,0),0))),D231)))</f>
        <v> </v>
      </c>
      <c r="N231" s="318" t="str">
        <f aca="false">IF($A231="N/A"," ",IF(Pricetype3=2,MAX(E231,0),IF(OR(Pricetype3=1,Pricetype3=4),IF(E231=0,0,(EURO(E231,Strikeprice3,0,0,($AK231+IF(Smile=TRUE(),VLOOKUP(MAX(-5,Strikeprice3-E231),Volsmile,2),0)),($A231-DateToday)+15,IF(Pricetype3=1,1,0),0))),E231)))</f>
        <v> </v>
      </c>
      <c r="O231" s="318" t="str">
        <f aca="false">IF($A231="N/A"," ",IF(Pricetype3=2,MAX(F231,0),IF(OR(Pricetype3=1,Pricetype3=4),IF(F231=0,0,(EURO(F231,Strikeprice3,0,0,($AK231+IF(Smile=TRUE(),VLOOKUP(MAX(-5,Strikeprice3-F231),Volsmile,2),0)),($A231-DateToday)+15,IF(Pricetype3=1,1,0),0))),F231)))</f>
        <v> </v>
      </c>
      <c r="P231" s="318" t="str">
        <f aca="false">IF($A231="N/A"," ",IF(Pricetype3=2,MAX(G231,0),IF(OR(Pricetype3=1,Pricetype3=4),IF(G231=0,0,(EURO(G231,Strikeprice3,0,0,($AK231+IF(Smile=TRUE(),VLOOKUP(MAX(-5,Strikeprice3-G231),Volsmile,2),0)),($A231-DateToday)+15,IF(Pricetype3=1,1,0),0))),G231)))</f>
        <v> </v>
      </c>
      <c r="Q231" s="318" t="str">
        <f aca="false">IF($A231="N/A"," ",IF(Pricetype3=2,MAX(H231,0),IF(OR(Pricetype3=1,Pricetype3=4),IF(H231=0,0,(EURO(H231,Strikeprice3,0,0,($AK231+IF(Smile=TRUE(),VLOOKUP(MAX(-5,Strikeprice3-H231),Volsmile,2),0)),($A231-DateToday)+15,IF(Pricetype3=1,1,0),0))),H231)))</f>
        <v> </v>
      </c>
      <c r="R231" s="318" t="str">
        <f aca="false">IF($A231="N/A"," ",IF(Pricetype3=2,MAX(I231,0),IF(OR(Pricetype3=1,Pricetype3=4),IF(I231=0,0,(EURO(I231,Strikeprice3,0,0,($AK231+IF(Smile=TRUE(),VLOOKUP(MAX(-5,Strikeprice3-I231),Volsmile,2),0)),($A231-DateToday)+15,IF(Pricetype3=1,1,0),0))),I231)))</f>
        <v> </v>
      </c>
      <c r="S231" s="318" t="str">
        <f aca="false">IF($A231="N/A"," ",IF(Pricetype3=2,MAX(J231,0),IF(OR(Pricetype3=1,Pricetype3=4),IF(J231=0,0,(EURO(J231,Strikeprice3,0,0,($AK231+IF(Smile=TRUE(),VLOOKUP(MAX(-5,Strikeprice3-J231),Volsmile,2),0)),($A231-DateToday)+15,IF(Pricetype3=1,1,0),0))),J231)))</f>
        <v> </v>
      </c>
      <c r="T231" s="318" t="str">
        <f aca="false">IF($A231="N/A"," ",IF(Pricetype3=2,MAX(K231,0),IF(OR(Pricetype3=1,Pricetype3=4),IF(K231=0,0,(EURO(K231,Strikeprice3,0,0,($AK231+IF(Smile=TRUE(),VLOOKUP(MAX(-5,Strikeprice3-K231),Volsmile,2),0)),($A231-DateToday)+15,IF(Pricetype3=1,1,0),0))),K231)))</f>
        <v> </v>
      </c>
      <c r="U231" s="319" t="str">
        <f aca="false">IF($A231="N/A"," ",Volume3*$AM231)</f>
        <v> </v>
      </c>
      <c r="V231" s="320" t="str">
        <f aca="false">IF($A231="N/A"," ",$U231*(8*($BQ231))*L231)</f>
        <v> </v>
      </c>
      <c r="W231" s="320" t="str">
        <f aca="false">IF($A231="N/A"," ",$U231*(8*($BQ231))*M231)</f>
        <v> </v>
      </c>
      <c r="X231" s="320" t="str">
        <f aca="false">IF($A231="N/A"," ",$U231*(8*($BQ231))*N231)</f>
        <v> </v>
      </c>
      <c r="Y231" s="320" t="str">
        <f aca="false">IF($A231="N/A"," ",$U231*(8*($BR231))*O231)</f>
        <v> </v>
      </c>
      <c r="Z231" s="320" t="str">
        <f aca="false">IF($A231="N/A"," ",$U231*(8*($BR231))*P231)</f>
        <v> </v>
      </c>
      <c r="AA231" s="320" t="str">
        <f aca="false">IF($A231="N/A"," ",$U231*(8*($BR231))*Q231)</f>
        <v> </v>
      </c>
      <c r="AB231" s="320" t="str">
        <f aca="false">IF($A231="N/A"," ",$U231*(8*($BS231))*R231)</f>
        <v> </v>
      </c>
      <c r="AC231" s="320" t="str">
        <f aca="false">IF($A231="N/A"," ",$U231*(8*($BS231))*S231)</f>
        <v> </v>
      </c>
      <c r="AD231" s="320" t="str">
        <f aca="false">IF($A231="N/A"," ",$U231*(8*($BS231))*T231)</f>
        <v> </v>
      </c>
      <c r="AE231" s="320" t="str">
        <f aca="false">IF($A231="N/A"," ",SUM(V231:AD231))</f>
        <v> </v>
      </c>
      <c r="AF231" s="321" t="str">
        <f aca="false">IF(A231="N/A"," ",(VLOOKUP(A231,PowerVolTable,(IF(VolBMO3=2,7,IF(VolBMO3=1,6,8))),FALSE())))</f>
        <v> </v>
      </c>
      <c r="AG231" s="321" t="str">
        <f aca="false">IF(A231="N/A"," ",(VLOOKUP(A231,IntraPowerVol,(IF(VolBMO3=2,3,IF(VolBMO3=1,2,4))),FALSE())*VLOOKUP(MONTH($A231),Volscale,2)))</f>
        <v> </v>
      </c>
      <c r="AH231" s="321" t="str">
        <f aca="false">IF($A231="N/A"," ",IF(VolType3=1,AG231,AF231))</f>
        <v> </v>
      </c>
      <c r="AI231" s="321" t="str">
        <f aca="false">IF($A231="N/A"," ",(VLOOKUP($A231,OffPwrVolTable,(IF(VolBMO3=2,7,IF(VolBMO3=1,6,8))),FALSE())))</f>
        <v> </v>
      </c>
      <c r="AJ231" s="321" t="str">
        <f aca="false">IF($A231="N/A"," ",(VLOOKUP($A231,OffPwrVolTable,(IF(VolBMO3=2,3,IF(VolBMO3=1,2,4))),FALSE())*VLOOKUP(MONTH($A231),Volscale,2)))</f>
        <v> </v>
      </c>
      <c r="AK231" s="321" t="str">
        <f aca="false">IF($A231="N/A"," ",IF(VolType3=1,AJ231,AI231))</f>
        <v> </v>
      </c>
      <c r="AL231" s="321" t="str">
        <f aca="false">IF($A231="N/A"," ",IF(PV=1,0,'Pricing Inputs3'!R264))</f>
        <v> </v>
      </c>
      <c r="AM231" s="323" t="str">
        <f aca="false">IF($A231="N/A"," ",(1+AL231/2)^(-2*((EOMONTH(A231,0)+20)-DateToday)/365.25))</f>
        <v> </v>
      </c>
      <c r="BQ231" s="0" t="str">
        <f aca="false">IF($A231="N/A"," ",(VLOOKUP($A231,NumberofDaysTable,2)))</f>
        <v> </v>
      </c>
      <c r="BR231" s="0" t="str">
        <f aca="false">IF($A231="N/A"," ",(VLOOKUP($A231,NumberofDaysTable,3)))</f>
        <v> </v>
      </c>
      <c r="BS231" s="0" t="str">
        <f aca="false">IF($A231="N/A"," ",(VLOOKUP($A231,NumberofDaysTable,4)))</f>
        <v> </v>
      </c>
    </row>
    <row r="232" customFormat="false" ht="12.75" hidden="false" customHeight="false" outlineLevel="0" collapsed="false">
      <c r="A232" s="315" t="str">
        <f aca="false">IF(A231="N/A","N/A",IF(EDATE(A231,1)&gt;Inputs!$Q$5,"N/A",EDATE(A231,1)))</f>
        <v>N/A</v>
      </c>
      <c r="B232" s="316" t="str">
        <f aca="false">IF(A232="N/A"," ",YEAR(A232))</f>
        <v> </v>
      </c>
      <c r="C232" s="317" t="str">
        <f aca="false">IF($A232="N/A"," ",IF(Dayrun3=10,0,IF(Scaler3=1,(VLOOKUP(A232,ScaledPrice3,4)),(VLOOKUP(A232,ScaledPrice3,2)))))</f>
        <v> </v>
      </c>
      <c r="D232" s="317" t="str">
        <f aca="false">IF(A232="N/A"," ",IF(Dayrun3&gt;=7,0,IF(Scaler3=2,VLOOKUP(A232,ScaledPrice3,2),(VLOOKUP(A232,ScaledPrice3,2))*(2-(VLOOKUP(A232,ScaledPrice3,3))))))</f>
        <v> </v>
      </c>
      <c r="E232" s="317" t="str">
        <f aca="false">IF($A232="N/A"," ",IF(AND(Dayrun3&gt;=4,Dayrun3&lt;=9),0,VLOOKUP($A232,ScaledPrice3,9)))</f>
        <v> </v>
      </c>
      <c r="F232" s="317" t="str">
        <f aca="false">IF(A232="N/A"," ",IF(OR(Dayrun3=2,Dayrun3=3,Dayrun3=5,Dayrun3=6,Dayrun3=8,Dayrun3=9),VLOOKUP(A232,ScaledPrice3,IF(Scaler3=1,6,5)),0))</f>
        <v> </v>
      </c>
      <c r="G232" s="317" t="str">
        <f aca="false">IF(A232="N/A"," ",IF(OR(Dayrun3=2,Dayrun3=3,Dayrun3=5,Dayrun3=6),IF(Scaler3=2,F232,(VLOOKUP(A232,ScaledPrice3,5))*(2-(VLOOKUP(A232,ScaledPrice3,3)))),0))</f>
        <v> </v>
      </c>
      <c r="H232" s="317" t="str">
        <f aca="false">IF($A232="N/A"," ",IF(OR(Dayrun3=2,Dayrun3=3,Dayrun3=10),VLOOKUP($A232,ScaledPrice3,9),0))</f>
        <v> </v>
      </c>
      <c r="I232" s="317" t="str">
        <f aca="false">IF(A232="N/A"," ",IF(OR(Dayrun3=3,Dayrun3=6,Dayrun3=9),(VLOOKUP(A232,ScaledPrice3,IF(Scaler3=2,7,8))),0))</f>
        <v> </v>
      </c>
      <c r="J232" s="317" t="str">
        <f aca="false">IF(A232="N/A"," ",IF(OR(Dayrun3=3,Dayrun3=6),IF(Scaler3=2,I232,(VLOOKUP(A232,ScaledPrice3,7))*(2-(VLOOKUP(A232,ScaledPrice3,3)))),0))</f>
        <v> </v>
      </c>
      <c r="K232" s="317" t="str">
        <f aca="false">IF($A232="N/A"," ",IF(OR(Dayrun3=3,Dayrun3=10),VLOOKUP($A232,ScaledPrice3,9),0))</f>
        <v> </v>
      </c>
      <c r="L232" s="318" t="str">
        <f aca="false">IF($A232="N/A"," ",IF(Pricetype3=2,MAX(C232,0),IF(OR(Pricetype3=1,Pricetype3=4),IF(C232=0,0,(EURO(C232,Strikeprice3,0,0,($AH232+IF(Smile=TRUE(),VLOOKUP(MAX(-5,Strikeprice3-C232),Volsmile,2),0)),($A232-DateToday)+15,IF(Pricetype3=1,1,0),0))),C232)))</f>
        <v> </v>
      </c>
      <c r="M232" s="318" t="str">
        <f aca="false">IF($A232="N/A"," ",IF(Pricetype3=2,MAX(D232,0),IF(OR(Pricetype3=1,Pricetype3=4),IF(D232=0,0,(EURO(D232,Strikeprice3,0,0,($AH232+IF(Smile=TRUE(),VLOOKUP(MAX(-5,Strikeprice3-D232),Volsmile,2),0)),($A232-DateToday)+15,IF(Pricetype3=1,1,0),0))),D232)))</f>
        <v> </v>
      </c>
      <c r="N232" s="318" t="str">
        <f aca="false">IF($A232="N/A"," ",IF(Pricetype3=2,MAX(E232,0),IF(OR(Pricetype3=1,Pricetype3=4),IF(E232=0,0,(EURO(E232,Strikeprice3,0,0,($AK232+IF(Smile=TRUE(),VLOOKUP(MAX(-5,Strikeprice3-E232),Volsmile,2),0)),($A232-DateToday)+15,IF(Pricetype3=1,1,0),0))),E232)))</f>
        <v> </v>
      </c>
      <c r="O232" s="318" t="str">
        <f aca="false">IF($A232="N/A"," ",IF(Pricetype3=2,MAX(F232,0),IF(OR(Pricetype3=1,Pricetype3=4),IF(F232=0,0,(EURO(F232,Strikeprice3,0,0,($AK232+IF(Smile=TRUE(),VLOOKUP(MAX(-5,Strikeprice3-F232),Volsmile,2),0)),($A232-DateToday)+15,IF(Pricetype3=1,1,0),0))),F232)))</f>
        <v> </v>
      </c>
      <c r="P232" s="318" t="str">
        <f aca="false">IF($A232="N/A"," ",IF(Pricetype3=2,MAX(G232,0),IF(OR(Pricetype3=1,Pricetype3=4),IF(G232=0,0,(EURO(G232,Strikeprice3,0,0,($AK232+IF(Smile=TRUE(),VLOOKUP(MAX(-5,Strikeprice3-G232),Volsmile,2),0)),($A232-DateToday)+15,IF(Pricetype3=1,1,0),0))),G232)))</f>
        <v> </v>
      </c>
      <c r="Q232" s="318" t="str">
        <f aca="false">IF($A232="N/A"," ",IF(Pricetype3=2,MAX(H232,0),IF(OR(Pricetype3=1,Pricetype3=4),IF(H232=0,0,(EURO(H232,Strikeprice3,0,0,($AK232+IF(Smile=TRUE(),VLOOKUP(MAX(-5,Strikeprice3-H232),Volsmile,2),0)),($A232-DateToday)+15,IF(Pricetype3=1,1,0),0))),H232)))</f>
        <v> </v>
      </c>
      <c r="R232" s="318" t="str">
        <f aca="false">IF($A232="N/A"," ",IF(Pricetype3=2,MAX(I232,0),IF(OR(Pricetype3=1,Pricetype3=4),IF(I232=0,0,(EURO(I232,Strikeprice3,0,0,($AK232+IF(Smile=TRUE(),VLOOKUP(MAX(-5,Strikeprice3-I232),Volsmile,2),0)),($A232-DateToday)+15,IF(Pricetype3=1,1,0),0))),I232)))</f>
        <v> </v>
      </c>
      <c r="S232" s="318" t="str">
        <f aca="false">IF($A232="N/A"," ",IF(Pricetype3=2,MAX(J232,0),IF(OR(Pricetype3=1,Pricetype3=4),IF(J232=0,0,(EURO(J232,Strikeprice3,0,0,($AK232+IF(Smile=TRUE(),VLOOKUP(MAX(-5,Strikeprice3-J232),Volsmile,2),0)),($A232-DateToday)+15,IF(Pricetype3=1,1,0),0))),J232)))</f>
        <v> </v>
      </c>
      <c r="T232" s="318" t="str">
        <f aca="false">IF($A232="N/A"," ",IF(Pricetype3=2,MAX(K232,0),IF(OR(Pricetype3=1,Pricetype3=4),IF(K232=0,0,(EURO(K232,Strikeprice3,0,0,($AK232+IF(Smile=TRUE(),VLOOKUP(MAX(-5,Strikeprice3-K232),Volsmile,2),0)),($A232-DateToday)+15,IF(Pricetype3=1,1,0),0))),K232)))</f>
        <v> </v>
      </c>
      <c r="U232" s="319" t="str">
        <f aca="false">IF($A232="N/A"," ",Volume3*$AM232)</f>
        <v> </v>
      </c>
      <c r="V232" s="320" t="str">
        <f aca="false">IF($A232="N/A"," ",$U232*(8*($BQ232))*L232)</f>
        <v> </v>
      </c>
      <c r="W232" s="320" t="str">
        <f aca="false">IF($A232="N/A"," ",$U232*(8*($BQ232))*M232)</f>
        <v> </v>
      </c>
      <c r="X232" s="320" t="str">
        <f aca="false">IF($A232="N/A"," ",$U232*(8*($BQ232))*N232)</f>
        <v> </v>
      </c>
      <c r="Y232" s="320" t="str">
        <f aca="false">IF($A232="N/A"," ",$U232*(8*($BR232))*O232)</f>
        <v> </v>
      </c>
      <c r="Z232" s="320" t="str">
        <f aca="false">IF($A232="N/A"," ",$U232*(8*($BR232))*P232)</f>
        <v> </v>
      </c>
      <c r="AA232" s="320" t="str">
        <f aca="false">IF($A232="N/A"," ",$U232*(8*($BR232))*Q232)</f>
        <v> </v>
      </c>
      <c r="AB232" s="320" t="str">
        <f aca="false">IF($A232="N/A"," ",$U232*(8*($BS232))*R232)</f>
        <v> </v>
      </c>
      <c r="AC232" s="320" t="str">
        <f aca="false">IF($A232="N/A"," ",$U232*(8*($BS232))*S232)</f>
        <v> </v>
      </c>
      <c r="AD232" s="320" t="str">
        <f aca="false">IF($A232="N/A"," ",$U232*(8*($BS232))*T232)</f>
        <v> </v>
      </c>
      <c r="AE232" s="320" t="str">
        <f aca="false">IF($A232="N/A"," ",SUM(V232:AD232))</f>
        <v> </v>
      </c>
      <c r="AF232" s="321" t="str">
        <f aca="false">IF(A232="N/A"," ",(VLOOKUP(A232,PowerVolTable,(IF(VolBMO3=2,7,IF(VolBMO3=1,6,8))),FALSE())))</f>
        <v> </v>
      </c>
      <c r="AG232" s="321" t="str">
        <f aca="false">IF(A232="N/A"," ",(VLOOKUP(A232,IntraPowerVol,(IF(VolBMO3=2,3,IF(VolBMO3=1,2,4))),FALSE())*VLOOKUP(MONTH($A232),Volscale,2)))</f>
        <v> </v>
      </c>
      <c r="AH232" s="321" t="str">
        <f aca="false">IF($A232="N/A"," ",IF(VolType3=1,AG232,AF232))</f>
        <v> </v>
      </c>
      <c r="AI232" s="321" t="str">
        <f aca="false">IF($A232="N/A"," ",(VLOOKUP($A232,OffPwrVolTable,(IF(VolBMO3=2,7,IF(VolBMO3=1,6,8))),FALSE())))</f>
        <v> </v>
      </c>
      <c r="AJ232" s="321" t="str">
        <f aca="false">IF($A232="N/A"," ",(VLOOKUP($A232,OffPwrVolTable,(IF(VolBMO3=2,3,IF(VolBMO3=1,2,4))),FALSE())*VLOOKUP(MONTH($A232),Volscale,2)))</f>
        <v> </v>
      </c>
      <c r="AK232" s="321" t="str">
        <f aca="false">IF($A232="N/A"," ",IF(VolType3=1,AJ232,AI232))</f>
        <v> </v>
      </c>
      <c r="AL232" s="321" t="str">
        <f aca="false">IF($A232="N/A"," ",IF(PV=1,0,'Pricing Inputs3'!R265))</f>
        <v> </v>
      </c>
      <c r="AM232" s="323" t="str">
        <f aca="false">IF($A232="N/A"," ",(1+AL232/2)^(-2*((EOMONTH(A232,0)+20)-DateToday)/365.25))</f>
        <v> </v>
      </c>
      <c r="BQ232" s="0" t="str">
        <f aca="false">IF($A232="N/A"," ",(VLOOKUP($A232,NumberofDaysTable,2)))</f>
        <v> </v>
      </c>
      <c r="BR232" s="0" t="str">
        <f aca="false">IF($A232="N/A"," ",(VLOOKUP($A232,NumberofDaysTable,3)))</f>
        <v> </v>
      </c>
      <c r="BS232" s="0" t="str">
        <f aca="false">IF($A232="N/A"," ",(VLOOKUP($A232,NumberofDaysTable,4)))</f>
        <v> </v>
      </c>
    </row>
    <row r="233" customFormat="false" ht="12.75" hidden="false" customHeight="false" outlineLevel="0" collapsed="false">
      <c r="A233" s="315" t="str">
        <f aca="false">IF(A232="N/A","N/A",IF(EDATE(A232,1)&gt;Inputs!$Q$5,"N/A",EDATE(A232,1)))</f>
        <v>N/A</v>
      </c>
      <c r="B233" s="316" t="str">
        <f aca="false">IF(A233="N/A"," ",YEAR(A233))</f>
        <v> </v>
      </c>
      <c r="C233" s="317" t="str">
        <f aca="false">IF($A233="N/A"," ",IF(Dayrun3=10,0,IF(Scaler3=1,(VLOOKUP(A233,ScaledPrice3,4)),(VLOOKUP(A233,ScaledPrice3,2)))))</f>
        <v> </v>
      </c>
      <c r="D233" s="317" t="str">
        <f aca="false">IF(A233="N/A"," ",IF(Dayrun3&gt;=7,0,IF(Scaler3=2,VLOOKUP(A233,ScaledPrice3,2),(VLOOKUP(A233,ScaledPrice3,2))*(2-(VLOOKUP(A233,ScaledPrice3,3))))))</f>
        <v> </v>
      </c>
      <c r="E233" s="317" t="str">
        <f aca="false">IF($A233="N/A"," ",IF(AND(Dayrun3&gt;=4,Dayrun3&lt;=9),0,VLOOKUP($A233,ScaledPrice3,9)))</f>
        <v> </v>
      </c>
      <c r="F233" s="317" t="str">
        <f aca="false">IF(A233="N/A"," ",IF(OR(Dayrun3=2,Dayrun3=3,Dayrun3=5,Dayrun3=6,Dayrun3=8,Dayrun3=9),VLOOKUP(A233,ScaledPrice3,IF(Scaler3=1,6,5)),0))</f>
        <v> </v>
      </c>
      <c r="G233" s="317" t="str">
        <f aca="false">IF(A233="N/A"," ",IF(OR(Dayrun3=2,Dayrun3=3,Dayrun3=5,Dayrun3=6),IF(Scaler3=2,F233,(VLOOKUP(A233,ScaledPrice3,5))*(2-(VLOOKUP(A233,ScaledPrice3,3)))),0))</f>
        <v> </v>
      </c>
      <c r="H233" s="317" t="str">
        <f aca="false">IF($A233="N/A"," ",IF(OR(Dayrun3=2,Dayrun3=3,Dayrun3=10),VLOOKUP($A233,ScaledPrice3,9),0))</f>
        <v> </v>
      </c>
      <c r="I233" s="317" t="str">
        <f aca="false">IF(A233="N/A"," ",IF(OR(Dayrun3=3,Dayrun3=6,Dayrun3=9),(VLOOKUP(A233,ScaledPrice3,IF(Scaler3=2,7,8))),0))</f>
        <v> </v>
      </c>
      <c r="J233" s="317" t="str">
        <f aca="false">IF(A233="N/A"," ",IF(OR(Dayrun3=3,Dayrun3=6),IF(Scaler3=2,I233,(VLOOKUP(A233,ScaledPrice3,7))*(2-(VLOOKUP(A233,ScaledPrice3,3)))),0))</f>
        <v> </v>
      </c>
      <c r="K233" s="317" t="str">
        <f aca="false">IF($A233="N/A"," ",IF(OR(Dayrun3=3,Dayrun3=10),VLOOKUP($A233,ScaledPrice3,9),0))</f>
        <v> </v>
      </c>
      <c r="L233" s="318" t="str">
        <f aca="false">IF($A233="N/A"," ",IF(Pricetype3=2,MAX(C233,0),IF(OR(Pricetype3=1,Pricetype3=4),IF(C233=0,0,(EURO(C233,Strikeprice3,0,0,($AH233+IF(Smile=TRUE(),VLOOKUP(MAX(-5,Strikeprice3-C233),Volsmile,2),0)),($A233-DateToday)+15,IF(Pricetype3=1,1,0),0))),C233)))</f>
        <v> </v>
      </c>
      <c r="M233" s="318" t="str">
        <f aca="false">IF($A233="N/A"," ",IF(Pricetype3=2,MAX(D233,0),IF(OR(Pricetype3=1,Pricetype3=4),IF(D233=0,0,(EURO(D233,Strikeprice3,0,0,($AH233+IF(Smile=TRUE(),VLOOKUP(MAX(-5,Strikeprice3-D233),Volsmile,2),0)),($A233-DateToday)+15,IF(Pricetype3=1,1,0),0))),D233)))</f>
        <v> </v>
      </c>
      <c r="N233" s="318" t="str">
        <f aca="false">IF($A233="N/A"," ",IF(Pricetype3=2,MAX(E233,0),IF(OR(Pricetype3=1,Pricetype3=4),IF(E233=0,0,(EURO(E233,Strikeprice3,0,0,($AK233+IF(Smile=TRUE(),VLOOKUP(MAX(-5,Strikeprice3-E233),Volsmile,2),0)),($A233-DateToday)+15,IF(Pricetype3=1,1,0),0))),E233)))</f>
        <v> </v>
      </c>
      <c r="O233" s="318" t="str">
        <f aca="false">IF($A233="N/A"," ",IF(Pricetype3=2,MAX(F233,0),IF(OR(Pricetype3=1,Pricetype3=4),IF(F233=0,0,(EURO(F233,Strikeprice3,0,0,($AK233+IF(Smile=TRUE(),VLOOKUP(MAX(-5,Strikeprice3-F233),Volsmile,2),0)),($A233-DateToday)+15,IF(Pricetype3=1,1,0),0))),F233)))</f>
        <v> </v>
      </c>
      <c r="P233" s="318" t="str">
        <f aca="false">IF($A233="N/A"," ",IF(Pricetype3=2,MAX(G233,0),IF(OR(Pricetype3=1,Pricetype3=4),IF(G233=0,0,(EURO(G233,Strikeprice3,0,0,($AK233+IF(Smile=TRUE(),VLOOKUP(MAX(-5,Strikeprice3-G233),Volsmile,2),0)),($A233-DateToday)+15,IF(Pricetype3=1,1,0),0))),G233)))</f>
        <v> </v>
      </c>
      <c r="Q233" s="318" t="str">
        <f aca="false">IF($A233="N/A"," ",IF(Pricetype3=2,MAX(H233,0),IF(OR(Pricetype3=1,Pricetype3=4),IF(H233=0,0,(EURO(H233,Strikeprice3,0,0,($AK233+IF(Smile=TRUE(),VLOOKUP(MAX(-5,Strikeprice3-H233),Volsmile,2),0)),($A233-DateToday)+15,IF(Pricetype3=1,1,0),0))),H233)))</f>
        <v> </v>
      </c>
      <c r="R233" s="318" t="str">
        <f aca="false">IF($A233="N/A"," ",IF(Pricetype3=2,MAX(I233,0),IF(OR(Pricetype3=1,Pricetype3=4),IF(I233=0,0,(EURO(I233,Strikeprice3,0,0,($AK233+IF(Smile=TRUE(),VLOOKUP(MAX(-5,Strikeprice3-I233),Volsmile,2),0)),($A233-DateToday)+15,IF(Pricetype3=1,1,0),0))),I233)))</f>
        <v> </v>
      </c>
      <c r="S233" s="318" t="str">
        <f aca="false">IF($A233="N/A"," ",IF(Pricetype3=2,MAX(J233,0),IF(OR(Pricetype3=1,Pricetype3=4),IF(J233=0,0,(EURO(J233,Strikeprice3,0,0,($AK233+IF(Smile=TRUE(),VLOOKUP(MAX(-5,Strikeprice3-J233),Volsmile,2),0)),($A233-DateToday)+15,IF(Pricetype3=1,1,0),0))),J233)))</f>
        <v> </v>
      </c>
      <c r="T233" s="318" t="str">
        <f aca="false">IF($A233="N/A"," ",IF(Pricetype3=2,MAX(K233,0),IF(OR(Pricetype3=1,Pricetype3=4),IF(K233=0,0,(EURO(K233,Strikeprice3,0,0,($AK233+IF(Smile=TRUE(),VLOOKUP(MAX(-5,Strikeprice3-K233),Volsmile,2),0)),($A233-DateToday)+15,IF(Pricetype3=1,1,0),0))),K233)))</f>
        <v> </v>
      </c>
      <c r="U233" s="319" t="str">
        <f aca="false">IF($A233="N/A"," ",Volume3*$AM233)</f>
        <v> </v>
      </c>
      <c r="V233" s="320" t="str">
        <f aca="false">IF($A233="N/A"," ",$U233*(8*($BQ233))*L233)</f>
        <v> </v>
      </c>
      <c r="W233" s="320" t="str">
        <f aca="false">IF($A233="N/A"," ",$U233*(8*($BQ233))*M233)</f>
        <v> </v>
      </c>
      <c r="X233" s="320" t="str">
        <f aca="false">IF($A233="N/A"," ",$U233*(8*($BQ233))*N233)</f>
        <v> </v>
      </c>
      <c r="Y233" s="320" t="str">
        <f aca="false">IF($A233="N/A"," ",$U233*(8*($BR233))*O233)</f>
        <v> </v>
      </c>
      <c r="Z233" s="320" t="str">
        <f aca="false">IF($A233="N/A"," ",$U233*(8*($BR233))*P233)</f>
        <v> </v>
      </c>
      <c r="AA233" s="320" t="str">
        <f aca="false">IF($A233="N/A"," ",$U233*(8*($BR233))*Q233)</f>
        <v> </v>
      </c>
      <c r="AB233" s="320" t="str">
        <f aca="false">IF($A233="N/A"," ",$U233*(8*($BS233))*R233)</f>
        <v> </v>
      </c>
      <c r="AC233" s="320" t="str">
        <f aca="false">IF($A233="N/A"," ",$U233*(8*($BS233))*S233)</f>
        <v> </v>
      </c>
      <c r="AD233" s="320" t="str">
        <f aca="false">IF($A233="N/A"," ",$U233*(8*($BS233))*T233)</f>
        <v> </v>
      </c>
      <c r="AE233" s="320" t="str">
        <f aca="false">IF($A233="N/A"," ",SUM(V233:AD233))</f>
        <v> </v>
      </c>
      <c r="AF233" s="321" t="str">
        <f aca="false">IF(A233="N/A"," ",(VLOOKUP(A233,PowerVolTable,(IF(VolBMO3=2,7,IF(VolBMO3=1,6,8))),FALSE())))</f>
        <v> </v>
      </c>
      <c r="AG233" s="321" t="str">
        <f aca="false">IF(A233="N/A"," ",(VLOOKUP(A233,IntraPowerVol,(IF(VolBMO3=2,3,IF(VolBMO3=1,2,4))),FALSE())*VLOOKUP(MONTH($A233),Volscale,2)))</f>
        <v> </v>
      </c>
      <c r="AH233" s="321" t="str">
        <f aca="false">IF($A233="N/A"," ",IF(VolType3=1,AG233,AF233))</f>
        <v> </v>
      </c>
      <c r="AI233" s="321" t="str">
        <f aca="false">IF($A233="N/A"," ",(VLOOKUP($A233,OffPwrVolTable,(IF(VolBMO3=2,7,IF(VolBMO3=1,6,8))),FALSE())))</f>
        <v> </v>
      </c>
      <c r="AJ233" s="321" t="str">
        <f aca="false">IF($A233="N/A"," ",(VLOOKUP($A233,OffPwrVolTable,(IF(VolBMO3=2,3,IF(VolBMO3=1,2,4))),FALSE())*VLOOKUP(MONTH($A233),Volscale,2)))</f>
        <v> </v>
      </c>
      <c r="AK233" s="321" t="str">
        <f aca="false">IF($A233="N/A"," ",IF(VolType3=1,AJ233,AI233))</f>
        <v> </v>
      </c>
      <c r="AL233" s="321" t="str">
        <f aca="false">IF($A233="N/A"," ",IF(PV=1,0,'Pricing Inputs3'!R266))</f>
        <v> </v>
      </c>
      <c r="AM233" s="323" t="str">
        <f aca="false">IF($A233="N/A"," ",(1+AL233/2)^(-2*((EOMONTH(A233,0)+20)-DateToday)/365.25))</f>
        <v> </v>
      </c>
      <c r="BQ233" s="0" t="str">
        <f aca="false">IF($A233="N/A"," ",(VLOOKUP($A233,NumberofDaysTable,2)))</f>
        <v> </v>
      </c>
      <c r="BR233" s="0" t="str">
        <f aca="false">IF($A233="N/A"," ",(VLOOKUP($A233,NumberofDaysTable,3)))</f>
        <v> </v>
      </c>
      <c r="BS233" s="0" t="str">
        <f aca="false">IF($A233="N/A"," ",(VLOOKUP($A233,NumberofDaysTable,4)))</f>
        <v> </v>
      </c>
    </row>
    <row r="234" customFormat="false" ht="12.75" hidden="false" customHeight="false" outlineLevel="0" collapsed="false">
      <c r="A234" s="315" t="str">
        <f aca="false">IF(A233="N/A","N/A",IF(EDATE(A233,1)&gt;Inputs!$Q$5,"N/A",EDATE(A233,1)))</f>
        <v>N/A</v>
      </c>
      <c r="B234" s="316" t="str">
        <f aca="false">IF(A234="N/A"," ",YEAR(A234))</f>
        <v> </v>
      </c>
      <c r="C234" s="317" t="str">
        <f aca="false">IF($A234="N/A"," ",IF(Dayrun3=10,0,IF(Scaler3=1,(VLOOKUP(A234,ScaledPrice3,4)),(VLOOKUP(A234,ScaledPrice3,2)))))</f>
        <v> </v>
      </c>
      <c r="D234" s="317" t="str">
        <f aca="false">IF(A234="N/A"," ",IF(Dayrun3&gt;=7,0,IF(Scaler3=2,VLOOKUP(A234,ScaledPrice3,2),(VLOOKUP(A234,ScaledPrice3,2))*(2-(VLOOKUP(A234,ScaledPrice3,3))))))</f>
        <v> </v>
      </c>
      <c r="E234" s="317" t="str">
        <f aca="false">IF($A234="N/A"," ",IF(AND(Dayrun3&gt;=4,Dayrun3&lt;=9),0,VLOOKUP($A234,ScaledPrice3,9)))</f>
        <v> </v>
      </c>
      <c r="F234" s="317" t="str">
        <f aca="false">IF(A234="N/A"," ",IF(OR(Dayrun3=2,Dayrun3=3,Dayrun3=5,Dayrun3=6,Dayrun3=8,Dayrun3=9),VLOOKUP(A234,ScaledPrice3,IF(Scaler3=1,6,5)),0))</f>
        <v> </v>
      </c>
      <c r="G234" s="317" t="str">
        <f aca="false">IF(A234="N/A"," ",IF(OR(Dayrun3=2,Dayrun3=3,Dayrun3=5,Dayrun3=6),IF(Scaler3=2,F234,(VLOOKUP(A234,ScaledPrice3,5))*(2-(VLOOKUP(A234,ScaledPrice3,3)))),0))</f>
        <v> </v>
      </c>
      <c r="H234" s="317" t="str">
        <f aca="false">IF($A234="N/A"," ",IF(OR(Dayrun3=2,Dayrun3=3,Dayrun3=10),VLOOKUP($A234,ScaledPrice3,9),0))</f>
        <v> </v>
      </c>
      <c r="I234" s="317" t="str">
        <f aca="false">IF(A234="N/A"," ",IF(OR(Dayrun3=3,Dayrun3=6,Dayrun3=9),(VLOOKUP(A234,ScaledPrice3,IF(Scaler3=2,7,8))),0))</f>
        <v> </v>
      </c>
      <c r="J234" s="317" t="str">
        <f aca="false">IF(A234="N/A"," ",IF(OR(Dayrun3=3,Dayrun3=6),IF(Scaler3=2,I234,(VLOOKUP(A234,ScaledPrice3,7))*(2-(VLOOKUP(A234,ScaledPrice3,3)))),0))</f>
        <v> </v>
      </c>
      <c r="K234" s="317" t="str">
        <f aca="false">IF($A234="N/A"," ",IF(OR(Dayrun3=3,Dayrun3=10),VLOOKUP($A234,ScaledPrice3,9),0))</f>
        <v> </v>
      </c>
      <c r="L234" s="318" t="str">
        <f aca="false">IF($A234="N/A"," ",IF(Pricetype3=2,MAX(C234,0),IF(OR(Pricetype3=1,Pricetype3=4),IF(C234=0,0,(EURO(C234,Strikeprice3,0,0,($AH234+IF(Smile=TRUE(),VLOOKUP(MAX(-5,Strikeprice3-C234),Volsmile,2),0)),($A234-DateToday)+15,IF(Pricetype3=1,1,0),0))),C234)))</f>
        <v> </v>
      </c>
      <c r="M234" s="318" t="str">
        <f aca="false">IF($A234="N/A"," ",IF(Pricetype3=2,MAX(D234,0),IF(OR(Pricetype3=1,Pricetype3=4),IF(D234=0,0,(EURO(D234,Strikeprice3,0,0,($AH234+IF(Smile=TRUE(),VLOOKUP(MAX(-5,Strikeprice3-D234),Volsmile,2),0)),($A234-DateToday)+15,IF(Pricetype3=1,1,0),0))),D234)))</f>
        <v> </v>
      </c>
      <c r="N234" s="318" t="str">
        <f aca="false">IF($A234="N/A"," ",IF(Pricetype3=2,MAX(E234,0),IF(OR(Pricetype3=1,Pricetype3=4),IF(E234=0,0,(EURO(E234,Strikeprice3,0,0,($AK234+IF(Smile=TRUE(),VLOOKUP(MAX(-5,Strikeprice3-E234),Volsmile,2),0)),($A234-DateToday)+15,IF(Pricetype3=1,1,0),0))),E234)))</f>
        <v> </v>
      </c>
      <c r="O234" s="318" t="str">
        <f aca="false">IF($A234="N/A"," ",IF(Pricetype3=2,MAX(F234,0),IF(OR(Pricetype3=1,Pricetype3=4),IF(F234=0,0,(EURO(F234,Strikeprice3,0,0,($AK234+IF(Smile=TRUE(),VLOOKUP(MAX(-5,Strikeprice3-F234),Volsmile,2),0)),($A234-DateToday)+15,IF(Pricetype3=1,1,0),0))),F234)))</f>
        <v> </v>
      </c>
      <c r="P234" s="318" t="str">
        <f aca="false">IF($A234="N/A"," ",IF(Pricetype3=2,MAX(G234,0),IF(OR(Pricetype3=1,Pricetype3=4),IF(G234=0,0,(EURO(G234,Strikeprice3,0,0,($AK234+IF(Smile=TRUE(),VLOOKUP(MAX(-5,Strikeprice3-G234),Volsmile,2),0)),($A234-DateToday)+15,IF(Pricetype3=1,1,0),0))),G234)))</f>
        <v> </v>
      </c>
      <c r="Q234" s="318" t="str">
        <f aca="false">IF($A234="N/A"," ",IF(Pricetype3=2,MAX(H234,0),IF(OR(Pricetype3=1,Pricetype3=4),IF(H234=0,0,(EURO(H234,Strikeprice3,0,0,($AK234+IF(Smile=TRUE(),VLOOKUP(MAX(-5,Strikeprice3-H234),Volsmile,2),0)),($A234-DateToday)+15,IF(Pricetype3=1,1,0),0))),H234)))</f>
        <v> </v>
      </c>
      <c r="R234" s="318" t="str">
        <f aca="false">IF($A234="N/A"," ",IF(Pricetype3=2,MAX(I234,0),IF(OR(Pricetype3=1,Pricetype3=4),IF(I234=0,0,(EURO(I234,Strikeprice3,0,0,($AK234+IF(Smile=TRUE(),VLOOKUP(MAX(-5,Strikeprice3-I234),Volsmile,2),0)),($A234-DateToday)+15,IF(Pricetype3=1,1,0),0))),I234)))</f>
        <v> </v>
      </c>
      <c r="S234" s="318" t="str">
        <f aca="false">IF($A234="N/A"," ",IF(Pricetype3=2,MAX(J234,0),IF(OR(Pricetype3=1,Pricetype3=4),IF(J234=0,0,(EURO(J234,Strikeprice3,0,0,($AK234+IF(Smile=TRUE(),VLOOKUP(MAX(-5,Strikeprice3-J234),Volsmile,2),0)),($A234-DateToday)+15,IF(Pricetype3=1,1,0),0))),J234)))</f>
        <v> </v>
      </c>
      <c r="T234" s="318" t="str">
        <f aca="false">IF($A234="N/A"," ",IF(Pricetype3=2,MAX(K234,0),IF(OR(Pricetype3=1,Pricetype3=4),IF(K234=0,0,(EURO(K234,Strikeprice3,0,0,($AK234+IF(Smile=TRUE(),VLOOKUP(MAX(-5,Strikeprice3-K234),Volsmile,2),0)),($A234-DateToday)+15,IF(Pricetype3=1,1,0),0))),K234)))</f>
        <v> </v>
      </c>
      <c r="U234" s="319" t="str">
        <f aca="false">IF($A234="N/A"," ",Volume3*$AM234)</f>
        <v> </v>
      </c>
      <c r="V234" s="320" t="str">
        <f aca="false">IF($A234="N/A"," ",$U234*(8*($BQ234))*L234)</f>
        <v> </v>
      </c>
      <c r="W234" s="320" t="str">
        <f aca="false">IF($A234="N/A"," ",$U234*(8*($BQ234))*M234)</f>
        <v> </v>
      </c>
      <c r="X234" s="320" t="str">
        <f aca="false">IF($A234="N/A"," ",$U234*(8*($BQ234))*N234)</f>
        <v> </v>
      </c>
      <c r="Y234" s="320" t="str">
        <f aca="false">IF($A234="N/A"," ",$U234*(8*($BR234))*O234)</f>
        <v> </v>
      </c>
      <c r="Z234" s="320" t="str">
        <f aca="false">IF($A234="N/A"," ",$U234*(8*($BR234))*P234)</f>
        <v> </v>
      </c>
      <c r="AA234" s="320" t="str">
        <f aca="false">IF($A234="N/A"," ",$U234*(8*($BR234))*Q234)</f>
        <v> </v>
      </c>
      <c r="AB234" s="320" t="str">
        <f aca="false">IF($A234="N/A"," ",$U234*(8*($BS234))*R234)</f>
        <v> </v>
      </c>
      <c r="AC234" s="320" t="str">
        <f aca="false">IF($A234="N/A"," ",$U234*(8*($BS234))*S234)</f>
        <v> </v>
      </c>
      <c r="AD234" s="320" t="str">
        <f aca="false">IF($A234="N/A"," ",$U234*(8*($BS234))*T234)</f>
        <v> </v>
      </c>
      <c r="AE234" s="320" t="str">
        <f aca="false">IF($A234="N/A"," ",SUM(V234:AD234))</f>
        <v> </v>
      </c>
      <c r="AF234" s="321" t="str">
        <f aca="false">IF(A234="N/A"," ",(VLOOKUP(A234,PowerVolTable,(IF(VolBMO3=2,7,IF(VolBMO3=1,6,8))),FALSE())))</f>
        <v> </v>
      </c>
      <c r="AG234" s="321" t="str">
        <f aca="false">IF(A234="N/A"," ",(VLOOKUP(A234,IntraPowerVol,(IF(VolBMO3=2,3,IF(VolBMO3=1,2,4))),FALSE())*VLOOKUP(MONTH($A234),Volscale,2)))</f>
        <v> </v>
      </c>
      <c r="AH234" s="321" t="str">
        <f aca="false">IF($A234="N/A"," ",IF(VolType3=1,AG234,AF234))</f>
        <v> </v>
      </c>
      <c r="AI234" s="321" t="str">
        <f aca="false">IF($A234="N/A"," ",(VLOOKUP($A234,OffPwrVolTable,(IF(VolBMO3=2,7,IF(VolBMO3=1,6,8))),FALSE())))</f>
        <v> </v>
      </c>
      <c r="AJ234" s="321" t="str">
        <f aca="false">IF($A234="N/A"," ",(VLOOKUP($A234,OffPwrVolTable,(IF(VolBMO3=2,3,IF(VolBMO3=1,2,4))),FALSE())*VLOOKUP(MONTH($A234),Volscale,2)))</f>
        <v> </v>
      </c>
      <c r="AK234" s="321" t="str">
        <f aca="false">IF($A234="N/A"," ",IF(VolType3=1,AJ234,AI234))</f>
        <v> </v>
      </c>
      <c r="AL234" s="321" t="str">
        <f aca="false">IF($A234="N/A"," ",IF(PV=1,0,'Pricing Inputs3'!R267))</f>
        <v> </v>
      </c>
      <c r="AM234" s="323" t="str">
        <f aca="false">IF($A234="N/A"," ",(1+AL234/2)^(-2*((EOMONTH(A234,0)+20)-DateToday)/365.25))</f>
        <v> </v>
      </c>
      <c r="BQ234" s="0" t="str">
        <f aca="false">IF($A234="N/A"," ",(VLOOKUP($A234,NumberofDaysTable,2)))</f>
        <v> </v>
      </c>
      <c r="BR234" s="0" t="str">
        <f aca="false">IF($A234="N/A"," ",(VLOOKUP($A234,NumberofDaysTable,3)))</f>
        <v> </v>
      </c>
      <c r="BS234" s="0" t="str">
        <f aca="false">IF($A234="N/A"," ",(VLOOKUP($A234,NumberofDaysTable,4)))</f>
        <v> </v>
      </c>
    </row>
    <row r="235" customFormat="false" ht="12.75" hidden="false" customHeight="false" outlineLevel="0" collapsed="false">
      <c r="A235" s="315" t="str">
        <f aca="false">IF(A234="N/A","N/A",IF(EDATE(A234,1)&gt;Inputs!$Q$5,"N/A",EDATE(A234,1)))</f>
        <v>N/A</v>
      </c>
      <c r="B235" s="316" t="str">
        <f aca="false">IF(A235="N/A"," ",YEAR(A235))</f>
        <v> </v>
      </c>
      <c r="C235" s="317" t="str">
        <f aca="false">IF($A235="N/A"," ",IF(Dayrun3=10,0,IF(Scaler3=1,(VLOOKUP(A235,ScaledPrice3,4)),(VLOOKUP(A235,ScaledPrice3,2)))))</f>
        <v> </v>
      </c>
      <c r="D235" s="317" t="str">
        <f aca="false">IF(A235="N/A"," ",IF(Dayrun3&gt;=7,0,IF(Scaler3=2,VLOOKUP(A235,ScaledPrice3,2),(VLOOKUP(A235,ScaledPrice3,2))*(2-(VLOOKUP(A235,ScaledPrice3,3))))))</f>
        <v> </v>
      </c>
      <c r="E235" s="317" t="str">
        <f aca="false">IF($A235="N/A"," ",IF(AND(Dayrun3&gt;=4,Dayrun3&lt;=9),0,VLOOKUP($A235,ScaledPrice3,9)))</f>
        <v> </v>
      </c>
      <c r="F235" s="317" t="str">
        <f aca="false">IF(A235="N/A"," ",IF(OR(Dayrun3=2,Dayrun3=3,Dayrun3=5,Dayrun3=6,Dayrun3=8,Dayrun3=9),VLOOKUP(A235,ScaledPrice3,IF(Scaler3=1,6,5)),0))</f>
        <v> </v>
      </c>
      <c r="G235" s="317" t="str">
        <f aca="false">IF(A235="N/A"," ",IF(OR(Dayrun3=2,Dayrun3=3,Dayrun3=5,Dayrun3=6),IF(Scaler3=2,F235,(VLOOKUP(A235,ScaledPrice3,5))*(2-(VLOOKUP(A235,ScaledPrice3,3)))),0))</f>
        <v> </v>
      </c>
      <c r="H235" s="317" t="str">
        <f aca="false">IF($A235="N/A"," ",IF(OR(Dayrun3=2,Dayrun3=3,Dayrun3=10),VLOOKUP($A235,ScaledPrice3,9),0))</f>
        <v> </v>
      </c>
      <c r="I235" s="317" t="str">
        <f aca="false">IF(A235="N/A"," ",IF(OR(Dayrun3=3,Dayrun3=6,Dayrun3=9),(VLOOKUP(A235,ScaledPrice3,IF(Scaler3=2,7,8))),0))</f>
        <v> </v>
      </c>
      <c r="J235" s="317" t="str">
        <f aca="false">IF(A235="N/A"," ",IF(OR(Dayrun3=3,Dayrun3=6),IF(Scaler3=2,I235,(VLOOKUP(A235,ScaledPrice3,7))*(2-(VLOOKUP(A235,ScaledPrice3,3)))),0))</f>
        <v> </v>
      </c>
      <c r="K235" s="317" t="str">
        <f aca="false">IF($A235="N/A"," ",IF(OR(Dayrun3=3,Dayrun3=10),VLOOKUP($A235,ScaledPrice3,9),0))</f>
        <v> </v>
      </c>
      <c r="L235" s="318" t="str">
        <f aca="false">IF($A235="N/A"," ",IF(Pricetype3=2,MAX(C235,0),IF(OR(Pricetype3=1,Pricetype3=4),IF(C235=0,0,(EURO(C235,Strikeprice3,0,0,($AH235+IF(Smile=TRUE(),VLOOKUP(MAX(-5,Strikeprice3-C235),Volsmile,2),0)),($A235-DateToday)+15,IF(Pricetype3=1,1,0),0))),C235)))</f>
        <v> </v>
      </c>
      <c r="M235" s="318" t="str">
        <f aca="false">IF($A235="N/A"," ",IF(Pricetype3=2,MAX(D235,0),IF(OR(Pricetype3=1,Pricetype3=4),IF(D235=0,0,(EURO(D235,Strikeprice3,0,0,($AH235+IF(Smile=TRUE(),VLOOKUP(MAX(-5,Strikeprice3-D235),Volsmile,2),0)),($A235-DateToday)+15,IF(Pricetype3=1,1,0),0))),D235)))</f>
        <v> </v>
      </c>
      <c r="N235" s="318" t="str">
        <f aca="false">IF($A235="N/A"," ",IF(Pricetype3=2,MAX(E235,0),IF(OR(Pricetype3=1,Pricetype3=4),IF(E235=0,0,(EURO(E235,Strikeprice3,0,0,($AK235+IF(Smile=TRUE(),VLOOKUP(MAX(-5,Strikeprice3-E235),Volsmile,2),0)),($A235-DateToday)+15,IF(Pricetype3=1,1,0),0))),E235)))</f>
        <v> </v>
      </c>
      <c r="O235" s="318" t="str">
        <f aca="false">IF($A235="N/A"," ",IF(Pricetype3=2,MAX(F235,0),IF(OR(Pricetype3=1,Pricetype3=4),IF(F235=0,0,(EURO(F235,Strikeprice3,0,0,($AK235+IF(Smile=TRUE(),VLOOKUP(MAX(-5,Strikeprice3-F235),Volsmile,2),0)),($A235-DateToday)+15,IF(Pricetype3=1,1,0),0))),F235)))</f>
        <v> </v>
      </c>
      <c r="P235" s="318" t="str">
        <f aca="false">IF($A235="N/A"," ",IF(Pricetype3=2,MAX(G235,0),IF(OR(Pricetype3=1,Pricetype3=4),IF(G235=0,0,(EURO(G235,Strikeprice3,0,0,($AK235+IF(Smile=TRUE(),VLOOKUP(MAX(-5,Strikeprice3-G235),Volsmile,2),0)),($A235-DateToday)+15,IF(Pricetype3=1,1,0),0))),G235)))</f>
        <v> </v>
      </c>
      <c r="Q235" s="318" t="str">
        <f aca="false">IF($A235="N/A"," ",IF(Pricetype3=2,MAX(H235,0),IF(OR(Pricetype3=1,Pricetype3=4),IF(H235=0,0,(EURO(H235,Strikeprice3,0,0,($AK235+IF(Smile=TRUE(),VLOOKUP(MAX(-5,Strikeprice3-H235),Volsmile,2),0)),($A235-DateToday)+15,IF(Pricetype3=1,1,0),0))),H235)))</f>
        <v> </v>
      </c>
      <c r="R235" s="318" t="str">
        <f aca="false">IF($A235="N/A"," ",IF(Pricetype3=2,MAX(I235,0),IF(OR(Pricetype3=1,Pricetype3=4),IF(I235=0,0,(EURO(I235,Strikeprice3,0,0,($AK235+IF(Smile=TRUE(),VLOOKUP(MAX(-5,Strikeprice3-I235),Volsmile,2),0)),($A235-DateToday)+15,IF(Pricetype3=1,1,0),0))),I235)))</f>
        <v> </v>
      </c>
      <c r="S235" s="318" t="str">
        <f aca="false">IF($A235="N/A"," ",IF(Pricetype3=2,MAX(J235,0),IF(OR(Pricetype3=1,Pricetype3=4),IF(J235=0,0,(EURO(J235,Strikeprice3,0,0,($AK235+IF(Smile=TRUE(),VLOOKUP(MAX(-5,Strikeprice3-J235),Volsmile,2),0)),($A235-DateToday)+15,IF(Pricetype3=1,1,0),0))),J235)))</f>
        <v> </v>
      </c>
      <c r="T235" s="318" t="str">
        <f aca="false">IF($A235="N/A"," ",IF(Pricetype3=2,MAX(K235,0),IF(OR(Pricetype3=1,Pricetype3=4),IF(K235=0,0,(EURO(K235,Strikeprice3,0,0,($AK235+IF(Smile=TRUE(),VLOOKUP(MAX(-5,Strikeprice3-K235),Volsmile,2),0)),($A235-DateToday)+15,IF(Pricetype3=1,1,0),0))),K235)))</f>
        <v> </v>
      </c>
      <c r="U235" s="319" t="str">
        <f aca="false">IF($A235="N/A"," ",Volume3*$AM235)</f>
        <v> </v>
      </c>
      <c r="V235" s="320" t="str">
        <f aca="false">IF($A235="N/A"," ",$U235*(8*($BQ235))*L235)</f>
        <v> </v>
      </c>
      <c r="W235" s="320" t="str">
        <f aca="false">IF($A235="N/A"," ",$U235*(8*($BQ235))*M235)</f>
        <v> </v>
      </c>
      <c r="X235" s="320" t="str">
        <f aca="false">IF($A235="N/A"," ",$U235*(8*($BQ235))*N235)</f>
        <v> </v>
      </c>
      <c r="Y235" s="320" t="str">
        <f aca="false">IF($A235="N/A"," ",$U235*(8*($BR235))*O235)</f>
        <v> </v>
      </c>
      <c r="Z235" s="320" t="str">
        <f aca="false">IF($A235="N/A"," ",$U235*(8*($BR235))*P235)</f>
        <v> </v>
      </c>
      <c r="AA235" s="320" t="str">
        <f aca="false">IF($A235="N/A"," ",$U235*(8*($BR235))*Q235)</f>
        <v> </v>
      </c>
      <c r="AB235" s="320" t="str">
        <f aca="false">IF($A235="N/A"," ",$U235*(8*($BS235))*R235)</f>
        <v> </v>
      </c>
      <c r="AC235" s="320" t="str">
        <f aca="false">IF($A235="N/A"," ",$U235*(8*($BS235))*S235)</f>
        <v> </v>
      </c>
      <c r="AD235" s="320" t="str">
        <f aca="false">IF($A235="N/A"," ",$U235*(8*($BS235))*T235)</f>
        <v> </v>
      </c>
      <c r="AE235" s="320" t="str">
        <f aca="false">IF($A235="N/A"," ",SUM(V235:AD235))</f>
        <v> </v>
      </c>
      <c r="AF235" s="321" t="str">
        <f aca="false">IF(A235="N/A"," ",(VLOOKUP(A235,PowerVolTable,(IF(VolBMO3=2,7,IF(VolBMO3=1,6,8))),FALSE())))</f>
        <v> </v>
      </c>
      <c r="AG235" s="321" t="str">
        <f aca="false">IF(A235="N/A"," ",(VLOOKUP(A235,IntraPowerVol,(IF(VolBMO3=2,3,IF(VolBMO3=1,2,4))),FALSE())*VLOOKUP(MONTH($A235),Volscale,2)))</f>
        <v> </v>
      </c>
      <c r="AH235" s="321" t="str">
        <f aca="false">IF($A235="N/A"," ",IF(VolType3=1,AG235,AF235))</f>
        <v> </v>
      </c>
      <c r="AI235" s="321" t="str">
        <f aca="false">IF($A235="N/A"," ",(VLOOKUP($A235,OffPwrVolTable,(IF(VolBMO3=2,7,IF(VolBMO3=1,6,8))),FALSE())))</f>
        <v> </v>
      </c>
      <c r="AJ235" s="321" t="str">
        <f aca="false">IF($A235="N/A"," ",(VLOOKUP($A235,OffPwrVolTable,(IF(VolBMO3=2,3,IF(VolBMO3=1,2,4))),FALSE())*VLOOKUP(MONTH($A235),Volscale,2)))</f>
        <v> </v>
      </c>
      <c r="AK235" s="321" t="str">
        <f aca="false">IF($A235="N/A"," ",IF(VolType3=1,AJ235,AI235))</f>
        <v> </v>
      </c>
      <c r="AL235" s="321" t="str">
        <f aca="false">IF($A235="N/A"," ",IF(PV=1,0,'Pricing Inputs3'!R268))</f>
        <v> </v>
      </c>
      <c r="AM235" s="323" t="str">
        <f aca="false">IF($A235="N/A"," ",(1+AL235/2)^(-2*((EOMONTH(A235,0)+20)-DateToday)/365.25))</f>
        <v> </v>
      </c>
      <c r="BQ235" s="0" t="str">
        <f aca="false">IF($A235="N/A"," ",(VLOOKUP($A235,NumberofDaysTable,2)))</f>
        <v> </v>
      </c>
      <c r="BR235" s="0" t="str">
        <f aca="false">IF($A235="N/A"," ",(VLOOKUP($A235,NumberofDaysTable,3)))</f>
        <v> </v>
      </c>
      <c r="BS235" s="0" t="str">
        <f aca="false">IF($A235="N/A"," ",(VLOOKUP($A235,NumberofDaysTable,4)))</f>
        <v> </v>
      </c>
    </row>
    <row r="236" customFormat="false" ht="12.75" hidden="false" customHeight="false" outlineLevel="0" collapsed="false">
      <c r="A236" s="315" t="str">
        <f aca="false">IF(A235="N/A","N/A",IF(EDATE(A235,1)&gt;Inputs!$Q$5,"N/A",EDATE(A235,1)))</f>
        <v>N/A</v>
      </c>
      <c r="B236" s="316" t="str">
        <f aca="false">IF(A236="N/A"," ",YEAR(A236))</f>
        <v> </v>
      </c>
      <c r="C236" s="317" t="str">
        <f aca="false">IF($A236="N/A"," ",IF(Dayrun3=10,0,IF(Scaler3=1,(VLOOKUP(A236,ScaledPrice3,4)),(VLOOKUP(A236,ScaledPrice3,2)))))</f>
        <v> </v>
      </c>
      <c r="D236" s="317" t="str">
        <f aca="false">IF(A236="N/A"," ",IF(Dayrun3&gt;=7,0,IF(Scaler3=2,VLOOKUP(A236,ScaledPrice3,2),(VLOOKUP(A236,ScaledPrice3,2))*(2-(VLOOKUP(A236,ScaledPrice3,3))))))</f>
        <v> </v>
      </c>
      <c r="E236" s="317" t="str">
        <f aca="false">IF($A236="N/A"," ",IF(AND(Dayrun3&gt;=4,Dayrun3&lt;=9),0,VLOOKUP($A236,ScaledPrice3,9)))</f>
        <v> </v>
      </c>
      <c r="F236" s="317" t="str">
        <f aca="false">IF(A236="N/A"," ",IF(OR(Dayrun3=2,Dayrun3=3,Dayrun3=5,Dayrun3=6,Dayrun3=8,Dayrun3=9),VLOOKUP(A236,ScaledPrice3,IF(Scaler3=1,6,5)),0))</f>
        <v> </v>
      </c>
      <c r="G236" s="317" t="str">
        <f aca="false">IF(A236="N/A"," ",IF(OR(Dayrun3=2,Dayrun3=3,Dayrun3=5,Dayrun3=6),IF(Scaler3=2,F236,(VLOOKUP(A236,ScaledPrice3,5))*(2-(VLOOKUP(A236,ScaledPrice3,3)))),0))</f>
        <v> </v>
      </c>
      <c r="H236" s="317" t="str">
        <f aca="false">IF($A236="N/A"," ",IF(OR(Dayrun3=2,Dayrun3=3,Dayrun3=10),VLOOKUP($A236,ScaledPrice3,9),0))</f>
        <v> </v>
      </c>
      <c r="I236" s="317" t="str">
        <f aca="false">IF(A236="N/A"," ",IF(OR(Dayrun3=3,Dayrun3=6,Dayrun3=9),(VLOOKUP(A236,ScaledPrice3,IF(Scaler3=2,7,8))),0))</f>
        <v> </v>
      </c>
      <c r="J236" s="317" t="str">
        <f aca="false">IF(A236="N/A"," ",IF(OR(Dayrun3=3,Dayrun3=6),IF(Scaler3=2,I236,(VLOOKUP(A236,ScaledPrice3,7))*(2-(VLOOKUP(A236,ScaledPrice3,3)))),0))</f>
        <v> </v>
      </c>
      <c r="K236" s="317" t="str">
        <f aca="false">IF($A236="N/A"," ",IF(OR(Dayrun3=3,Dayrun3=10),VLOOKUP($A236,ScaledPrice3,9),0))</f>
        <v> </v>
      </c>
      <c r="L236" s="318" t="str">
        <f aca="false">IF($A236="N/A"," ",IF(Pricetype3=2,MAX(C236,0),IF(OR(Pricetype3=1,Pricetype3=4),IF(C236=0,0,(EURO(C236,Strikeprice3,0,0,($AH236+IF(Smile=TRUE(),VLOOKUP(MAX(-5,Strikeprice3-C236),Volsmile,2),0)),($A236-DateToday)+15,IF(Pricetype3=1,1,0),0))),C236)))</f>
        <v> </v>
      </c>
      <c r="M236" s="318" t="str">
        <f aca="false">IF($A236="N/A"," ",IF(Pricetype3=2,MAX(D236,0),IF(OR(Pricetype3=1,Pricetype3=4),IF(D236=0,0,(EURO(D236,Strikeprice3,0,0,($AH236+IF(Smile=TRUE(),VLOOKUP(MAX(-5,Strikeprice3-D236),Volsmile,2),0)),($A236-DateToday)+15,IF(Pricetype3=1,1,0),0))),D236)))</f>
        <v> </v>
      </c>
      <c r="N236" s="318" t="str">
        <f aca="false">IF($A236="N/A"," ",IF(Pricetype3=2,MAX(E236,0),IF(OR(Pricetype3=1,Pricetype3=4),IF(E236=0,0,(EURO(E236,Strikeprice3,0,0,($AK236+IF(Smile=TRUE(),VLOOKUP(MAX(-5,Strikeprice3-E236),Volsmile,2),0)),($A236-DateToday)+15,IF(Pricetype3=1,1,0),0))),E236)))</f>
        <v> </v>
      </c>
      <c r="O236" s="318" t="str">
        <f aca="false">IF($A236="N/A"," ",IF(Pricetype3=2,MAX(F236,0),IF(OR(Pricetype3=1,Pricetype3=4),IF(F236=0,0,(EURO(F236,Strikeprice3,0,0,($AK236+IF(Smile=TRUE(),VLOOKUP(MAX(-5,Strikeprice3-F236),Volsmile,2),0)),($A236-DateToday)+15,IF(Pricetype3=1,1,0),0))),F236)))</f>
        <v> </v>
      </c>
      <c r="P236" s="318" t="str">
        <f aca="false">IF($A236="N/A"," ",IF(Pricetype3=2,MAX(G236,0),IF(OR(Pricetype3=1,Pricetype3=4),IF(G236=0,0,(EURO(G236,Strikeprice3,0,0,($AK236+IF(Smile=TRUE(),VLOOKUP(MAX(-5,Strikeprice3-G236),Volsmile,2),0)),($A236-DateToday)+15,IF(Pricetype3=1,1,0),0))),G236)))</f>
        <v> </v>
      </c>
      <c r="Q236" s="318" t="str">
        <f aca="false">IF($A236="N/A"," ",IF(Pricetype3=2,MAX(H236,0),IF(OR(Pricetype3=1,Pricetype3=4),IF(H236=0,0,(EURO(H236,Strikeprice3,0,0,($AK236+IF(Smile=TRUE(),VLOOKUP(MAX(-5,Strikeprice3-H236),Volsmile,2),0)),($A236-DateToday)+15,IF(Pricetype3=1,1,0),0))),H236)))</f>
        <v> </v>
      </c>
      <c r="R236" s="318" t="str">
        <f aca="false">IF($A236="N/A"," ",IF(Pricetype3=2,MAX(I236,0),IF(OR(Pricetype3=1,Pricetype3=4),IF(I236=0,0,(EURO(I236,Strikeprice3,0,0,($AK236+IF(Smile=TRUE(),VLOOKUP(MAX(-5,Strikeprice3-I236),Volsmile,2),0)),($A236-DateToday)+15,IF(Pricetype3=1,1,0),0))),I236)))</f>
        <v> </v>
      </c>
      <c r="S236" s="318" t="str">
        <f aca="false">IF($A236="N/A"," ",IF(Pricetype3=2,MAX(J236,0),IF(OR(Pricetype3=1,Pricetype3=4),IF(J236=0,0,(EURO(J236,Strikeprice3,0,0,($AK236+IF(Smile=TRUE(),VLOOKUP(MAX(-5,Strikeprice3-J236),Volsmile,2),0)),($A236-DateToday)+15,IF(Pricetype3=1,1,0),0))),J236)))</f>
        <v> </v>
      </c>
      <c r="T236" s="318" t="str">
        <f aca="false">IF($A236="N/A"," ",IF(Pricetype3=2,MAX(K236,0),IF(OR(Pricetype3=1,Pricetype3=4),IF(K236=0,0,(EURO(K236,Strikeprice3,0,0,($AK236+IF(Smile=TRUE(),VLOOKUP(MAX(-5,Strikeprice3-K236),Volsmile,2),0)),($A236-DateToday)+15,IF(Pricetype3=1,1,0),0))),K236)))</f>
        <v> </v>
      </c>
      <c r="U236" s="319" t="str">
        <f aca="false">IF($A236="N/A"," ",Volume3*$AM236)</f>
        <v> </v>
      </c>
      <c r="V236" s="320" t="str">
        <f aca="false">IF($A236="N/A"," ",$U236*(8*($BQ236))*L236)</f>
        <v> </v>
      </c>
      <c r="W236" s="320" t="str">
        <f aca="false">IF($A236="N/A"," ",$U236*(8*($BQ236))*M236)</f>
        <v> </v>
      </c>
      <c r="X236" s="320" t="str">
        <f aca="false">IF($A236="N/A"," ",$U236*(8*($BQ236))*N236)</f>
        <v> </v>
      </c>
      <c r="Y236" s="320" t="str">
        <f aca="false">IF($A236="N/A"," ",$U236*(8*($BR236))*O236)</f>
        <v> </v>
      </c>
      <c r="Z236" s="320" t="str">
        <f aca="false">IF($A236="N/A"," ",$U236*(8*($BR236))*P236)</f>
        <v> </v>
      </c>
      <c r="AA236" s="320" t="str">
        <f aca="false">IF($A236="N/A"," ",$U236*(8*($BR236))*Q236)</f>
        <v> </v>
      </c>
      <c r="AB236" s="320" t="str">
        <f aca="false">IF($A236="N/A"," ",$U236*(8*($BS236))*R236)</f>
        <v> </v>
      </c>
      <c r="AC236" s="320" t="str">
        <f aca="false">IF($A236="N/A"," ",$U236*(8*($BS236))*S236)</f>
        <v> </v>
      </c>
      <c r="AD236" s="320" t="str">
        <f aca="false">IF($A236="N/A"," ",$U236*(8*($BS236))*T236)</f>
        <v> </v>
      </c>
      <c r="AE236" s="320" t="str">
        <f aca="false">IF($A236="N/A"," ",SUM(V236:AD236))</f>
        <v> </v>
      </c>
      <c r="AF236" s="321" t="str">
        <f aca="false">IF(A236="N/A"," ",(VLOOKUP(A236,PowerVolTable,(IF(VolBMO3=2,7,IF(VolBMO3=1,6,8))),FALSE())))</f>
        <v> </v>
      </c>
      <c r="AG236" s="321" t="str">
        <f aca="false">IF(A236="N/A"," ",(VLOOKUP(A236,IntraPowerVol,(IF(VolBMO3=2,3,IF(VolBMO3=1,2,4))),FALSE())*VLOOKUP(MONTH($A236),Volscale,2)))</f>
        <v> </v>
      </c>
      <c r="AH236" s="321" t="str">
        <f aca="false">IF($A236="N/A"," ",IF(VolType3=1,AG236,AF236))</f>
        <v> </v>
      </c>
      <c r="AI236" s="321" t="str">
        <f aca="false">IF($A236="N/A"," ",(VLOOKUP($A236,OffPwrVolTable,(IF(VolBMO3=2,7,IF(VolBMO3=1,6,8))),FALSE())))</f>
        <v> </v>
      </c>
      <c r="AJ236" s="321" t="str">
        <f aca="false">IF($A236="N/A"," ",(VLOOKUP($A236,OffPwrVolTable,(IF(VolBMO3=2,3,IF(VolBMO3=1,2,4))),FALSE())*VLOOKUP(MONTH($A236),Volscale,2)))</f>
        <v> </v>
      </c>
      <c r="AK236" s="321" t="str">
        <f aca="false">IF($A236="N/A"," ",IF(VolType3=1,AJ236,AI236))</f>
        <v> </v>
      </c>
      <c r="AL236" s="321" t="str">
        <f aca="false">IF($A236="N/A"," ",IF(PV=1,0,'Pricing Inputs3'!R269))</f>
        <v> </v>
      </c>
      <c r="AM236" s="323" t="str">
        <f aca="false">IF($A236="N/A"," ",(1+AL236/2)^(-2*((EOMONTH(A236,0)+20)-DateToday)/365.25))</f>
        <v> </v>
      </c>
      <c r="BQ236" s="0" t="str">
        <f aca="false">IF($A236="N/A"," ",(VLOOKUP($A236,NumberofDaysTable,2)))</f>
        <v> </v>
      </c>
      <c r="BR236" s="0" t="str">
        <f aca="false">IF($A236="N/A"," ",(VLOOKUP($A236,NumberofDaysTable,3)))</f>
        <v> </v>
      </c>
      <c r="BS236" s="0" t="str">
        <f aca="false">IF($A236="N/A"," ",(VLOOKUP($A236,NumberofDaysTable,4)))</f>
        <v> </v>
      </c>
    </row>
    <row r="237" customFormat="false" ht="12.75" hidden="false" customHeight="false" outlineLevel="0" collapsed="false">
      <c r="A237" s="315" t="str">
        <f aca="false">IF(A236="N/A","N/A",IF(EDATE(A236,1)&gt;Inputs!$Q$5,"N/A",EDATE(A236,1)))</f>
        <v>N/A</v>
      </c>
      <c r="B237" s="316" t="str">
        <f aca="false">IF(A237="N/A"," ",YEAR(A237))</f>
        <v> </v>
      </c>
      <c r="C237" s="317" t="str">
        <f aca="false">IF($A237="N/A"," ",IF(Dayrun3=10,0,IF(Scaler3=1,(VLOOKUP(A237,ScaledPrice3,4)),(VLOOKUP(A237,ScaledPrice3,2)))))</f>
        <v> </v>
      </c>
      <c r="D237" s="317" t="str">
        <f aca="false">IF(A237="N/A"," ",IF(Dayrun3&gt;=7,0,IF(Scaler3=2,VLOOKUP(A237,ScaledPrice3,2),(VLOOKUP(A237,ScaledPrice3,2))*(2-(VLOOKUP(A237,ScaledPrice3,3))))))</f>
        <v> </v>
      </c>
      <c r="E237" s="317" t="str">
        <f aca="false">IF($A237="N/A"," ",IF(AND(Dayrun3&gt;=4,Dayrun3&lt;=9),0,VLOOKUP($A237,ScaledPrice3,9)))</f>
        <v> </v>
      </c>
      <c r="F237" s="317" t="str">
        <f aca="false">IF(A237="N/A"," ",IF(OR(Dayrun3=2,Dayrun3=3,Dayrun3=5,Dayrun3=6,Dayrun3=8,Dayrun3=9),VLOOKUP(A237,ScaledPrice3,IF(Scaler3=1,6,5)),0))</f>
        <v> </v>
      </c>
      <c r="G237" s="317" t="str">
        <f aca="false">IF(A237="N/A"," ",IF(OR(Dayrun3=2,Dayrun3=3,Dayrun3=5,Dayrun3=6),IF(Scaler3=2,F237,(VLOOKUP(A237,ScaledPrice3,5))*(2-(VLOOKUP(A237,ScaledPrice3,3)))),0))</f>
        <v> </v>
      </c>
      <c r="H237" s="317" t="str">
        <f aca="false">IF($A237="N/A"," ",IF(OR(Dayrun3=2,Dayrun3=3,Dayrun3=10),VLOOKUP($A237,ScaledPrice3,9),0))</f>
        <v> </v>
      </c>
      <c r="I237" s="317" t="str">
        <f aca="false">IF(A237="N/A"," ",IF(OR(Dayrun3=3,Dayrun3=6,Dayrun3=9),(VLOOKUP(A237,ScaledPrice3,IF(Scaler3=2,7,8))),0))</f>
        <v> </v>
      </c>
      <c r="J237" s="317" t="str">
        <f aca="false">IF(A237="N/A"," ",IF(OR(Dayrun3=3,Dayrun3=6),IF(Scaler3=2,I237,(VLOOKUP(A237,ScaledPrice3,7))*(2-(VLOOKUP(A237,ScaledPrice3,3)))),0))</f>
        <v> </v>
      </c>
      <c r="K237" s="317" t="str">
        <f aca="false">IF($A237="N/A"," ",IF(OR(Dayrun3=3,Dayrun3=10),VLOOKUP($A237,ScaledPrice3,9),0))</f>
        <v> </v>
      </c>
      <c r="L237" s="318" t="str">
        <f aca="false">IF($A237="N/A"," ",IF(Pricetype3=2,MAX(C237,0),IF(OR(Pricetype3=1,Pricetype3=4),IF(C237=0,0,(EURO(C237,Strikeprice3,0,0,($AH237+IF(Smile=TRUE(),VLOOKUP(MAX(-5,Strikeprice3-C237),Volsmile,2),0)),($A237-DateToday)+15,IF(Pricetype3=1,1,0),0))),C237)))</f>
        <v> </v>
      </c>
      <c r="M237" s="318" t="str">
        <f aca="false">IF($A237="N/A"," ",IF(Pricetype3=2,MAX(D237,0),IF(OR(Pricetype3=1,Pricetype3=4),IF(D237=0,0,(EURO(D237,Strikeprice3,0,0,($AH237+IF(Smile=TRUE(),VLOOKUP(MAX(-5,Strikeprice3-D237),Volsmile,2),0)),($A237-DateToday)+15,IF(Pricetype3=1,1,0),0))),D237)))</f>
        <v> </v>
      </c>
      <c r="N237" s="318" t="str">
        <f aca="false">IF($A237="N/A"," ",IF(Pricetype3=2,MAX(E237,0),IF(OR(Pricetype3=1,Pricetype3=4),IF(E237=0,0,(EURO(E237,Strikeprice3,0,0,($AK237+IF(Smile=TRUE(),VLOOKUP(MAX(-5,Strikeprice3-E237),Volsmile,2),0)),($A237-DateToday)+15,IF(Pricetype3=1,1,0),0))),E237)))</f>
        <v> </v>
      </c>
      <c r="O237" s="318" t="str">
        <f aca="false">IF($A237="N/A"," ",IF(Pricetype3=2,MAX(F237,0),IF(OR(Pricetype3=1,Pricetype3=4),IF(F237=0,0,(EURO(F237,Strikeprice3,0,0,($AK237+IF(Smile=TRUE(),VLOOKUP(MAX(-5,Strikeprice3-F237),Volsmile,2),0)),($A237-DateToday)+15,IF(Pricetype3=1,1,0),0))),F237)))</f>
        <v> </v>
      </c>
      <c r="P237" s="318" t="str">
        <f aca="false">IF($A237="N/A"," ",IF(Pricetype3=2,MAX(G237,0),IF(OR(Pricetype3=1,Pricetype3=4),IF(G237=0,0,(EURO(G237,Strikeprice3,0,0,($AK237+IF(Smile=TRUE(),VLOOKUP(MAX(-5,Strikeprice3-G237),Volsmile,2),0)),($A237-DateToday)+15,IF(Pricetype3=1,1,0),0))),G237)))</f>
        <v> </v>
      </c>
      <c r="Q237" s="318" t="str">
        <f aca="false">IF($A237="N/A"," ",IF(Pricetype3=2,MAX(H237,0),IF(OR(Pricetype3=1,Pricetype3=4),IF(H237=0,0,(EURO(H237,Strikeprice3,0,0,($AK237+IF(Smile=TRUE(),VLOOKUP(MAX(-5,Strikeprice3-H237),Volsmile,2),0)),($A237-DateToday)+15,IF(Pricetype3=1,1,0),0))),H237)))</f>
        <v> </v>
      </c>
      <c r="R237" s="318" t="str">
        <f aca="false">IF($A237="N/A"," ",IF(Pricetype3=2,MAX(I237,0),IF(OR(Pricetype3=1,Pricetype3=4),IF(I237=0,0,(EURO(I237,Strikeprice3,0,0,($AK237+IF(Smile=TRUE(),VLOOKUP(MAX(-5,Strikeprice3-I237),Volsmile,2),0)),($A237-DateToday)+15,IF(Pricetype3=1,1,0),0))),I237)))</f>
        <v> </v>
      </c>
      <c r="S237" s="318" t="str">
        <f aca="false">IF($A237="N/A"," ",IF(Pricetype3=2,MAX(J237,0),IF(OR(Pricetype3=1,Pricetype3=4),IF(J237=0,0,(EURO(J237,Strikeprice3,0,0,($AK237+IF(Smile=TRUE(),VLOOKUP(MAX(-5,Strikeprice3-J237),Volsmile,2),0)),($A237-DateToday)+15,IF(Pricetype3=1,1,0),0))),J237)))</f>
        <v> </v>
      </c>
      <c r="T237" s="318" t="str">
        <f aca="false">IF($A237="N/A"," ",IF(Pricetype3=2,MAX(K237,0),IF(OR(Pricetype3=1,Pricetype3=4),IF(K237=0,0,(EURO(K237,Strikeprice3,0,0,($AK237+IF(Smile=TRUE(),VLOOKUP(MAX(-5,Strikeprice3-K237),Volsmile,2),0)),($A237-DateToday)+15,IF(Pricetype3=1,1,0),0))),K237)))</f>
        <v> </v>
      </c>
      <c r="U237" s="319" t="str">
        <f aca="false">IF($A237="N/A"," ",Volume3*$AM237)</f>
        <v> </v>
      </c>
      <c r="V237" s="320" t="str">
        <f aca="false">IF($A237="N/A"," ",$U237*(8*($BQ237))*L237)</f>
        <v> </v>
      </c>
      <c r="W237" s="320" t="str">
        <f aca="false">IF($A237="N/A"," ",$U237*(8*($BQ237))*M237)</f>
        <v> </v>
      </c>
      <c r="X237" s="320" t="str">
        <f aca="false">IF($A237="N/A"," ",$U237*(8*($BQ237))*N237)</f>
        <v> </v>
      </c>
      <c r="Y237" s="320" t="str">
        <f aca="false">IF($A237="N/A"," ",$U237*(8*($BR237))*O237)</f>
        <v> </v>
      </c>
      <c r="Z237" s="320" t="str">
        <f aca="false">IF($A237="N/A"," ",$U237*(8*($BR237))*P237)</f>
        <v> </v>
      </c>
      <c r="AA237" s="320" t="str">
        <f aca="false">IF($A237="N/A"," ",$U237*(8*($BR237))*Q237)</f>
        <v> </v>
      </c>
      <c r="AB237" s="320" t="str">
        <f aca="false">IF($A237="N/A"," ",$U237*(8*($BS237))*R237)</f>
        <v> </v>
      </c>
      <c r="AC237" s="320" t="str">
        <f aca="false">IF($A237="N/A"," ",$U237*(8*($BS237))*S237)</f>
        <v> </v>
      </c>
      <c r="AD237" s="320" t="str">
        <f aca="false">IF($A237="N/A"," ",$U237*(8*($BS237))*T237)</f>
        <v> </v>
      </c>
      <c r="AE237" s="320" t="str">
        <f aca="false">IF($A237="N/A"," ",SUM(V237:AD237))</f>
        <v> </v>
      </c>
      <c r="AF237" s="321" t="str">
        <f aca="false">IF(A237="N/A"," ",(VLOOKUP(A237,PowerVolTable,(IF(VolBMO3=2,7,IF(VolBMO3=1,6,8))),FALSE())))</f>
        <v> </v>
      </c>
      <c r="AG237" s="321" t="str">
        <f aca="false">IF(A237="N/A"," ",(VLOOKUP(A237,IntraPowerVol,(IF(VolBMO3=2,3,IF(VolBMO3=1,2,4))),FALSE())*VLOOKUP(MONTH($A237),Volscale,2)))</f>
        <v> </v>
      </c>
      <c r="AH237" s="321" t="str">
        <f aca="false">IF($A237="N/A"," ",IF(VolType3=1,AG237,AF237))</f>
        <v> </v>
      </c>
      <c r="AI237" s="321" t="str">
        <f aca="false">IF($A237="N/A"," ",(VLOOKUP($A237,OffPwrVolTable,(IF(VolBMO3=2,7,IF(VolBMO3=1,6,8))),FALSE())))</f>
        <v> </v>
      </c>
      <c r="AJ237" s="321" t="str">
        <f aca="false">IF($A237="N/A"," ",(VLOOKUP($A237,OffPwrVolTable,(IF(VolBMO3=2,3,IF(VolBMO3=1,2,4))),FALSE())*VLOOKUP(MONTH($A237),Volscale,2)))</f>
        <v> </v>
      </c>
      <c r="AK237" s="321" t="str">
        <f aca="false">IF($A237="N/A"," ",IF(VolType3=1,AJ237,AI237))</f>
        <v> </v>
      </c>
      <c r="AL237" s="321" t="str">
        <f aca="false">IF($A237="N/A"," ",IF(PV=1,0,'Pricing Inputs3'!R270))</f>
        <v> </v>
      </c>
      <c r="AM237" s="323" t="str">
        <f aca="false">IF($A237="N/A"," ",(1+AL237/2)^(-2*((EOMONTH(A237,0)+20)-DateToday)/365.25))</f>
        <v> </v>
      </c>
      <c r="BQ237" s="0" t="str">
        <f aca="false">IF($A237="N/A"," ",(VLOOKUP($A237,NumberofDaysTable,2)))</f>
        <v> </v>
      </c>
      <c r="BR237" s="0" t="str">
        <f aca="false">IF($A237="N/A"," ",(VLOOKUP($A237,NumberofDaysTable,3)))</f>
        <v> </v>
      </c>
      <c r="BS237" s="0" t="str">
        <f aca="false">IF($A237="N/A"," ",(VLOOKUP($A237,NumberofDaysTable,4)))</f>
        <v> </v>
      </c>
    </row>
    <row r="238" customFormat="false" ht="12.75" hidden="false" customHeight="false" outlineLevel="0" collapsed="false">
      <c r="A238" s="315" t="str">
        <f aca="false">IF(A237="N/A","N/A",IF(EDATE(A237,1)&gt;Inputs!$Q$5,"N/A",EDATE(A237,1)))</f>
        <v>N/A</v>
      </c>
      <c r="B238" s="316" t="str">
        <f aca="false">IF(A238="N/A"," ",YEAR(A238))</f>
        <v> </v>
      </c>
      <c r="C238" s="317" t="str">
        <f aca="false">IF($A238="N/A"," ",IF(Dayrun3=10,0,IF(Scaler3=1,(VLOOKUP(A238,ScaledPrice3,4)),(VLOOKUP(A238,ScaledPrice3,2)))))</f>
        <v> </v>
      </c>
      <c r="D238" s="317" t="str">
        <f aca="false">IF(A238="N/A"," ",IF(Dayrun3&gt;=7,0,IF(Scaler3=2,VLOOKUP(A238,ScaledPrice3,2),(VLOOKUP(A238,ScaledPrice3,2))*(2-(VLOOKUP(A238,ScaledPrice3,3))))))</f>
        <v> </v>
      </c>
      <c r="E238" s="317" t="str">
        <f aca="false">IF($A238="N/A"," ",IF(AND(Dayrun3&gt;=4,Dayrun3&lt;=9),0,VLOOKUP($A238,ScaledPrice3,9)))</f>
        <v> </v>
      </c>
      <c r="F238" s="317" t="str">
        <f aca="false">IF(A238="N/A"," ",IF(OR(Dayrun3=2,Dayrun3=3,Dayrun3=5,Dayrun3=6,Dayrun3=8,Dayrun3=9),VLOOKUP(A238,ScaledPrice3,IF(Scaler3=1,6,5)),0))</f>
        <v> </v>
      </c>
      <c r="G238" s="317" t="str">
        <f aca="false">IF(A238="N/A"," ",IF(OR(Dayrun3=2,Dayrun3=3,Dayrun3=5,Dayrun3=6),IF(Scaler3=2,F238,(VLOOKUP(A238,ScaledPrice3,5))*(2-(VLOOKUP(A238,ScaledPrice3,3)))),0))</f>
        <v> </v>
      </c>
      <c r="H238" s="317" t="str">
        <f aca="false">IF($A238="N/A"," ",IF(OR(Dayrun3=2,Dayrun3=3,Dayrun3=10),VLOOKUP($A238,ScaledPrice3,9),0))</f>
        <v> </v>
      </c>
      <c r="I238" s="317" t="str">
        <f aca="false">IF(A238="N/A"," ",IF(OR(Dayrun3=3,Dayrun3=6,Dayrun3=9),(VLOOKUP(A238,ScaledPrice3,IF(Scaler3=2,7,8))),0))</f>
        <v> </v>
      </c>
      <c r="J238" s="317" t="str">
        <f aca="false">IF(A238="N/A"," ",IF(OR(Dayrun3=3,Dayrun3=6),IF(Scaler3=2,I238,(VLOOKUP(A238,ScaledPrice3,7))*(2-(VLOOKUP(A238,ScaledPrice3,3)))),0))</f>
        <v> </v>
      </c>
      <c r="K238" s="317" t="str">
        <f aca="false">IF($A238="N/A"," ",IF(OR(Dayrun3=3,Dayrun3=10),VLOOKUP($A238,ScaledPrice3,9),0))</f>
        <v> </v>
      </c>
      <c r="L238" s="318" t="str">
        <f aca="false">IF($A238="N/A"," ",IF(Pricetype3=2,MAX(C238,0),IF(OR(Pricetype3=1,Pricetype3=4),IF(C238=0,0,(EURO(C238,Strikeprice3,0,0,($AH238+IF(Smile=TRUE(),VLOOKUP(MAX(-5,Strikeprice3-C238),Volsmile,2),0)),($A238-DateToday)+15,IF(Pricetype3=1,1,0),0))),C238)))</f>
        <v> </v>
      </c>
      <c r="M238" s="318" t="str">
        <f aca="false">IF($A238="N/A"," ",IF(Pricetype3=2,MAX(D238,0),IF(OR(Pricetype3=1,Pricetype3=4),IF(D238=0,0,(EURO(D238,Strikeprice3,0,0,($AH238+IF(Smile=TRUE(),VLOOKUP(MAX(-5,Strikeprice3-D238),Volsmile,2),0)),($A238-DateToday)+15,IF(Pricetype3=1,1,0),0))),D238)))</f>
        <v> </v>
      </c>
      <c r="N238" s="318" t="str">
        <f aca="false">IF($A238="N/A"," ",IF(Pricetype3=2,MAX(E238,0),IF(OR(Pricetype3=1,Pricetype3=4),IF(E238=0,0,(EURO(E238,Strikeprice3,0,0,($AK238+IF(Smile=TRUE(),VLOOKUP(MAX(-5,Strikeprice3-E238),Volsmile,2),0)),($A238-DateToday)+15,IF(Pricetype3=1,1,0),0))),E238)))</f>
        <v> </v>
      </c>
      <c r="O238" s="318" t="str">
        <f aca="false">IF($A238="N/A"," ",IF(Pricetype3=2,MAX(F238,0),IF(OR(Pricetype3=1,Pricetype3=4),IF(F238=0,0,(EURO(F238,Strikeprice3,0,0,($AK238+IF(Smile=TRUE(),VLOOKUP(MAX(-5,Strikeprice3-F238),Volsmile,2),0)),($A238-DateToday)+15,IF(Pricetype3=1,1,0),0))),F238)))</f>
        <v> </v>
      </c>
      <c r="P238" s="318" t="str">
        <f aca="false">IF($A238="N/A"," ",IF(Pricetype3=2,MAX(G238,0),IF(OR(Pricetype3=1,Pricetype3=4),IF(G238=0,0,(EURO(G238,Strikeprice3,0,0,($AK238+IF(Smile=TRUE(),VLOOKUP(MAX(-5,Strikeprice3-G238),Volsmile,2),0)),($A238-DateToday)+15,IF(Pricetype3=1,1,0),0))),G238)))</f>
        <v> </v>
      </c>
      <c r="Q238" s="318" t="str">
        <f aca="false">IF($A238="N/A"," ",IF(Pricetype3=2,MAX(H238,0),IF(OR(Pricetype3=1,Pricetype3=4),IF(H238=0,0,(EURO(H238,Strikeprice3,0,0,($AK238+IF(Smile=TRUE(),VLOOKUP(MAX(-5,Strikeprice3-H238),Volsmile,2),0)),($A238-DateToday)+15,IF(Pricetype3=1,1,0),0))),H238)))</f>
        <v> </v>
      </c>
      <c r="R238" s="318" t="str">
        <f aca="false">IF($A238="N/A"," ",IF(Pricetype3=2,MAX(I238,0),IF(OR(Pricetype3=1,Pricetype3=4),IF(I238=0,0,(EURO(I238,Strikeprice3,0,0,($AK238+IF(Smile=TRUE(),VLOOKUP(MAX(-5,Strikeprice3-I238),Volsmile,2),0)),($A238-DateToday)+15,IF(Pricetype3=1,1,0),0))),I238)))</f>
        <v> </v>
      </c>
      <c r="S238" s="318" t="str">
        <f aca="false">IF($A238="N/A"," ",IF(Pricetype3=2,MAX(J238,0),IF(OR(Pricetype3=1,Pricetype3=4),IF(J238=0,0,(EURO(J238,Strikeprice3,0,0,($AK238+IF(Smile=TRUE(),VLOOKUP(MAX(-5,Strikeprice3-J238),Volsmile,2),0)),($A238-DateToday)+15,IF(Pricetype3=1,1,0),0))),J238)))</f>
        <v> </v>
      </c>
      <c r="T238" s="318" t="str">
        <f aca="false">IF($A238="N/A"," ",IF(Pricetype3=2,MAX(K238,0),IF(OR(Pricetype3=1,Pricetype3=4),IF(K238=0,0,(EURO(K238,Strikeprice3,0,0,($AK238+IF(Smile=TRUE(),VLOOKUP(MAX(-5,Strikeprice3-K238),Volsmile,2),0)),($A238-DateToday)+15,IF(Pricetype3=1,1,0),0))),K238)))</f>
        <v> </v>
      </c>
      <c r="U238" s="319" t="str">
        <f aca="false">IF($A238="N/A"," ",Volume3*$AM238)</f>
        <v> </v>
      </c>
      <c r="V238" s="320" t="str">
        <f aca="false">IF($A238="N/A"," ",$U238*(8*($BQ238))*L238)</f>
        <v> </v>
      </c>
      <c r="W238" s="320" t="str">
        <f aca="false">IF($A238="N/A"," ",$U238*(8*($BQ238))*M238)</f>
        <v> </v>
      </c>
      <c r="X238" s="320" t="str">
        <f aca="false">IF($A238="N/A"," ",$U238*(8*($BQ238))*N238)</f>
        <v> </v>
      </c>
      <c r="Y238" s="320" t="str">
        <f aca="false">IF($A238="N/A"," ",$U238*(8*($BR238))*O238)</f>
        <v> </v>
      </c>
      <c r="Z238" s="320" t="str">
        <f aca="false">IF($A238="N/A"," ",$U238*(8*($BR238))*P238)</f>
        <v> </v>
      </c>
      <c r="AA238" s="320" t="str">
        <f aca="false">IF($A238="N/A"," ",$U238*(8*($BR238))*Q238)</f>
        <v> </v>
      </c>
      <c r="AB238" s="320" t="str">
        <f aca="false">IF($A238="N/A"," ",$U238*(8*($BS238))*R238)</f>
        <v> </v>
      </c>
      <c r="AC238" s="320" t="str">
        <f aca="false">IF($A238="N/A"," ",$U238*(8*($BS238))*S238)</f>
        <v> </v>
      </c>
      <c r="AD238" s="320" t="str">
        <f aca="false">IF($A238="N/A"," ",$U238*(8*($BS238))*T238)</f>
        <v> </v>
      </c>
      <c r="AE238" s="320" t="str">
        <f aca="false">IF($A238="N/A"," ",SUM(V238:AD238))</f>
        <v> </v>
      </c>
      <c r="AF238" s="321" t="str">
        <f aca="false">IF(A238="N/A"," ",(VLOOKUP(A238,PowerVolTable,(IF(VolBMO3=2,7,IF(VolBMO3=1,6,8))),FALSE())))</f>
        <v> </v>
      </c>
      <c r="AG238" s="321" t="str">
        <f aca="false">IF(A238="N/A"," ",(VLOOKUP(A238,IntraPowerVol,(IF(VolBMO3=2,3,IF(VolBMO3=1,2,4))),FALSE())*VLOOKUP(MONTH($A238),Volscale,2)))</f>
        <v> </v>
      </c>
      <c r="AH238" s="321" t="str">
        <f aca="false">IF($A238="N/A"," ",IF(VolType3=1,AG238,AF238))</f>
        <v> </v>
      </c>
      <c r="AI238" s="321" t="str">
        <f aca="false">IF($A238="N/A"," ",(VLOOKUP($A238,OffPwrVolTable,(IF(VolBMO3=2,7,IF(VolBMO3=1,6,8))),FALSE())))</f>
        <v> </v>
      </c>
      <c r="AJ238" s="321" t="str">
        <f aca="false">IF($A238="N/A"," ",(VLOOKUP($A238,OffPwrVolTable,(IF(VolBMO3=2,3,IF(VolBMO3=1,2,4))),FALSE())*VLOOKUP(MONTH($A238),Volscale,2)))</f>
        <v> </v>
      </c>
      <c r="AK238" s="321" t="str">
        <f aca="false">IF($A238="N/A"," ",IF(VolType3=1,AJ238,AI238))</f>
        <v> </v>
      </c>
      <c r="AL238" s="321" t="str">
        <f aca="false">IF($A238="N/A"," ",IF(PV=1,0,'Pricing Inputs3'!R271))</f>
        <v> </v>
      </c>
      <c r="AM238" s="323" t="str">
        <f aca="false">IF($A238="N/A"," ",(1+AL238/2)^(-2*((EOMONTH(A238,0)+20)-DateToday)/365.25))</f>
        <v> </v>
      </c>
      <c r="BQ238" s="0" t="str">
        <f aca="false">IF($A238="N/A"," ",(VLOOKUP($A238,NumberofDaysTable,2)))</f>
        <v> </v>
      </c>
      <c r="BR238" s="0" t="str">
        <f aca="false">IF($A238="N/A"," ",(VLOOKUP($A238,NumberofDaysTable,3)))</f>
        <v> </v>
      </c>
      <c r="BS238" s="0" t="str">
        <f aca="false">IF($A238="N/A"," ",(VLOOKUP($A238,NumberofDaysTable,4)))</f>
        <v> </v>
      </c>
    </row>
    <row r="239" customFormat="false" ht="12.75" hidden="false" customHeight="false" outlineLevel="0" collapsed="false">
      <c r="A239" s="315" t="str">
        <f aca="false">IF(A238="N/A","N/A",IF(EDATE(A238,1)&gt;Inputs!$Q$5,"N/A",EDATE(A238,1)))</f>
        <v>N/A</v>
      </c>
      <c r="B239" s="316" t="str">
        <f aca="false">IF(A239="N/A"," ",YEAR(A239))</f>
        <v> </v>
      </c>
      <c r="C239" s="317" t="str">
        <f aca="false">IF($A239="N/A"," ",IF(Dayrun3=10,0,IF(Scaler3=1,(VLOOKUP(A239,ScaledPrice3,4)),(VLOOKUP(A239,ScaledPrice3,2)))))</f>
        <v> </v>
      </c>
      <c r="D239" s="317" t="str">
        <f aca="false">IF(A239="N/A"," ",IF(Dayrun3&gt;=7,0,IF(Scaler3=2,VLOOKUP(A239,ScaledPrice3,2),(VLOOKUP(A239,ScaledPrice3,2))*(2-(VLOOKUP(A239,ScaledPrice3,3))))))</f>
        <v> </v>
      </c>
      <c r="E239" s="317" t="str">
        <f aca="false">IF($A239="N/A"," ",IF(AND(Dayrun3&gt;=4,Dayrun3&lt;=9),0,VLOOKUP($A239,ScaledPrice3,9)))</f>
        <v> </v>
      </c>
      <c r="F239" s="317" t="str">
        <f aca="false">IF(A239="N/A"," ",IF(OR(Dayrun3=2,Dayrun3=3,Dayrun3=5,Dayrun3=6,Dayrun3=8,Dayrun3=9),VLOOKUP(A239,ScaledPrice3,IF(Scaler3=1,6,5)),0))</f>
        <v> </v>
      </c>
      <c r="G239" s="317" t="str">
        <f aca="false">IF(A239="N/A"," ",IF(OR(Dayrun3=2,Dayrun3=3,Dayrun3=5,Dayrun3=6),IF(Scaler3=2,F239,(VLOOKUP(A239,ScaledPrice3,5))*(2-(VLOOKUP(A239,ScaledPrice3,3)))),0))</f>
        <v> </v>
      </c>
      <c r="H239" s="317" t="str">
        <f aca="false">IF($A239="N/A"," ",IF(OR(Dayrun3=2,Dayrun3=3,Dayrun3=10),VLOOKUP($A239,ScaledPrice3,9),0))</f>
        <v> </v>
      </c>
      <c r="I239" s="317" t="str">
        <f aca="false">IF(A239="N/A"," ",IF(OR(Dayrun3=3,Dayrun3=6,Dayrun3=9),(VLOOKUP(A239,ScaledPrice3,IF(Scaler3=2,7,8))),0))</f>
        <v> </v>
      </c>
      <c r="J239" s="317" t="str">
        <f aca="false">IF(A239="N/A"," ",IF(OR(Dayrun3=3,Dayrun3=6),IF(Scaler3=2,I239,(VLOOKUP(A239,ScaledPrice3,7))*(2-(VLOOKUP(A239,ScaledPrice3,3)))),0))</f>
        <v> </v>
      </c>
      <c r="K239" s="317" t="str">
        <f aca="false">IF($A239="N/A"," ",IF(OR(Dayrun3=3,Dayrun3=10),VLOOKUP($A239,ScaledPrice3,9),0))</f>
        <v> </v>
      </c>
      <c r="L239" s="318" t="str">
        <f aca="false">IF($A239="N/A"," ",IF(Pricetype3=2,MAX(C239,0),IF(OR(Pricetype3=1,Pricetype3=4),IF(C239=0,0,(EURO(C239,Strikeprice3,0,0,($AH239+IF(Smile=TRUE(),VLOOKUP(MAX(-5,Strikeprice3-C239),Volsmile,2),0)),($A239-DateToday)+15,IF(Pricetype3=1,1,0),0))),C239)))</f>
        <v> </v>
      </c>
      <c r="M239" s="318" t="str">
        <f aca="false">IF($A239="N/A"," ",IF(Pricetype3=2,MAX(D239,0),IF(OR(Pricetype3=1,Pricetype3=4),IF(D239=0,0,(EURO(D239,Strikeprice3,0,0,($AH239+IF(Smile=TRUE(),VLOOKUP(MAX(-5,Strikeprice3-D239),Volsmile,2),0)),($A239-DateToday)+15,IF(Pricetype3=1,1,0),0))),D239)))</f>
        <v> </v>
      </c>
      <c r="N239" s="318" t="str">
        <f aca="false">IF($A239="N/A"," ",IF(Pricetype3=2,MAX(E239,0),IF(OR(Pricetype3=1,Pricetype3=4),IF(E239=0,0,(EURO(E239,Strikeprice3,0,0,($AK239+IF(Smile=TRUE(),VLOOKUP(MAX(-5,Strikeprice3-E239),Volsmile,2),0)),($A239-DateToday)+15,IF(Pricetype3=1,1,0),0))),E239)))</f>
        <v> </v>
      </c>
      <c r="O239" s="318" t="str">
        <f aca="false">IF($A239="N/A"," ",IF(Pricetype3=2,MAX(F239,0),IF(OR(Pricetype3=1,Pricetype3=4),IF(F239=0,0,(EURO(F239,Strikeprice3,0,0,($AK239+IF(Smile=TRUE(),VLOOKUP(MAX(-5,Strikeprice3-F239),Volsmile,2),0)),($A239-DateToday)+15,IF(Pricetype3=1,1,0),0))),F239)))</f>
        <v> </v>
      </c>
      <c r="P239" s="318" t="str">
        <f aca="false">IF($A239="N/A"," ",IF(Pricetype3=2,MAX(G239,0),IF(OR(Pricetype3=1,Pricetype3=4),IF(G239=0,0,(EURO(G239,Strikeprice3,0,0,($AK239+IF(Smile=TRUE(),VLOOKUP(MAX(-5,Strikeprice3-G239),Volsmile,2),0)),($A239-DateToday)+15,IF(Pricetype3=1,1,0),0))),G239)))</f>
        <v> </v>
      </c>
      <c r="Q239" s="318" t="str">
        <f aca="false">IF($A239="N/A"," ",IF(Pricetype3=2,MAX(H239,0),IF(OR(Pricetype3=1,Pricetype3=4),IF(H239=0,0,(EURO(H239,Strikeprice3,0,0,($AK239+IF(Smile=TRUE(),VLOOKUP(MAX(-5,Strikeprice3-H239),Volsmile,2),0)),($A239-DateToday)+15,IF(Pricetype3=1,1,0),0))),H239)))</f>
        <v> </v>
      </c>
      <c r="R239" s="318" t="str">
        <f aca="false">IF($A239="N/A"," ",IF(Pricetype3=2,MAX(I239,0),IF(OR(Pricetype3=1,Pricetype3=4),IF(I239=0,0,(EURO(I239,Strikeprice3,0,0,($AK239+IF(Smile=TRUE(),VLOOKUP(MAX(-5,Strikeprice3-I239),Volsmile,2),0)),($A239-DateToday)+15,IF(Pricetype3=1,1,0),0))),I239)))</f>
        <v> </v>
      </c>
      <c r="S239" s="318" t="str">
        <f aca="false">IF($A239="N/A"," ",IF(Pricetype3=2,MAX(J239,0),IF(OR(Pricetype3=1,Pricetype3=4),IF(J239=0,0,(EURO(J239,Strikeprice3,0,0,($AK239+IF(Smile=TRUE(),VLOOKUP(MAX(-5,Strikeprice3-J239),Volsmile,2),0)),($A239-DateToday)+15,IF(Pricetype3=1,1,0),0))),J239)))</f>
        <v> </v>
      </c>
      <c r="T239" s="318" t="str">
        <f aca="false">IF($A239="N/A"," ",IF(Pricetype3=2,MAX(K239,0),IF(OR(Pricetype3=1,Pricetype3=4),IF(K239=0,0,(EURO(K239,Strikeprice3,0,0,($AK239+IF(Smile=TRUE(),VLOOKUP(MAX(-5,Strikeprice3-K239),Volsmile,2),0)),($A239-DateToday)+15,IF(Pricetype3=1,1,0),0))),K239)))</f>
        <v> </v>
      </c>
      <c r="U239" s="319" t="str">
        <f aca="false">IF($A239="N/A"," ",Volume3*$AM239)</f>
        <v> </v>
      </c>
      <c r="V239" s="320" t="str">
        <f aca="false">IF($A239="N/A"," ",$U239*(8*($BQ239))*L239)</f>
        <v> </v>
      </c>
      <c r="W239" s="320" t="str">
        <f aca="false">IF($A239="N/A"," ",$U239*(8*($BQ239))*M239)</f>
        <v> </v>
      </c>
      <c r="X239" s="320" t="str">
        <f aca="false">IF($A239="N/A"," ",$U239*(8*($BQ239))*N239)</f>
        <v> </v>
      </c>
      <c r="Y239" s="320" t="str">
        <f aca="false">IF($A239="N/A"," ",$U239*(8*($BR239))*O239)</f>
        <v> </v>
      </c>
      <c r="Z239" s="320" t="str">
        <f aca="false">IF($A239="N/A"," ",$U239*(8*($BR239))*P239)</f>
        <v> </v>
      </c>
      <c r="AA239" s="320" t="str">
        <f aca="false">IF($A239="N/A"," ",$U239*(8*($BR239))*Q239)</f>
        <v> </v>
      </c>
      <c r="AB239" s="320" t="str">
        <f aca="false">IF($A239="N/A"," ",$U239*(8*($BS239))*R239)</f>
        <v> </v>
      </c>
      <c r="AC239" s="320" t="str">
        <f aca="false">IF($A239="N/A"," ",$U239*(8*($BS239))*S239)</f>
        <v> </v>
      </c>
      <c r="AD239" s="320" t="str">
        <f aca="false">IF($A239="N/A"," ",$U239*(8*($BS239))*T239)</f>
        <v> </v>
      </c>
      <c r="AE239" s="320" t="str">
        <f aca="false">IF($A239="N/A"," ",SUM(V239:AD239))</f>
        <v> </v>
      </c>
      <c r="AF239" s="321" t="str">
        <f aca="false">IF(A239="N/A"," ",(VLOOKUP(A239,PowerVolTable,(IF(VolBMO3=2,7,IF(VolBMO3=1,6,8))),FALSE())))</f>
        <v> </v>
      </c>
      <c r="AG239" s="321" t="str">
        <f aca="false">IF(A239="N/A"," ",(VLOOKUP(A239,IntraPowerVol,(IF(VolBMO3=2,3,IF(VolBMO3=1,2,4))),FALSE())*VLOOKUP(MONTH($A239),Volscale,2)))</f>
        <v> </v>
      </c>
      <c r="AH239" s="321" t="str">
        <f aca="false">IF($A239="N/A"," ",IF(VolType3=1,AG239,AF239))</f>
        <v> </v>
      </c>
      <c r="AI239" s="321" t="str">
        <f aca="false">IF($A239="N/A"," ",(VLOOKUP($A239,OffPwrVolTable,(IF(VolBMO3=2,7,IF(VolBMO3=1,6,8))),FALSE())))</f>
        <v> </v>
      </c>
      <c r="AJ239" s="321" t="str">
        <f aca="false">IF($A239="N/A"," ",(VLOOKUP($A239,OffPwrVolTable,(IF(VolBMO3=2,3,IF(VolBMO3=1,2,4))),FALSE())*VLOOKUP(MONTH($A239),Volscale,2)))</f>
        <v> </v>
      </c>
      <c r="AK239" s="321" t="str">
        <f aca="false">IF($A239="N/A"," ",IF(VolType3=1,AJ239,AI239))</f>
        <v> </v>
      </c>
      <c r="AL239" s="321" t="str">
        <f aca="false">IF($A239="N/A"," ",IF(PV=1,0,'Pricing Inputs3'!R272))</f>
        <v> </v>
      </c>
      <c r="AM239" s="323" t="str">
        <f aca="false">IF($A239="N/A"," ",(1+AL239/2)^(-2*((EOMONTH(A239,0)+20)-DateToday)/365.25))</f>
        <v> </v>
      </c>
      <c r="BQ239" s="0" t="str">
        <f aca="false">IF($A239="N/A"," ",(VLOOKUP($A239,NumberofDaysTable,2)))</f>
        <v> </v>
      </c>
      <c r="BR239" s="0" t="str">
        <f aca="false">IF($A239="N/A"," ",(VLOOKUP($A239,NumberofDaysTable,3)))</f>
        <v> </v>
      </c>
      <c r="BS239" s="0" t="str">
        <f aca="false">IF($A239="N/A"," ",(VLOOKUP($A239,NumberofDaysTable,4)))</f>
        <v> </v>
      </c>
    </row>
    <row r="240" customFormat="false" ht="12.75" hidden="false" customHeight="false" outlineLevel="0" collapsed="false">
      <c r="A240" s="315" t="str">
        <f aca="false">IF(A239="N/A","N/A",IF(EDATE(A239,1)&gt;Inputs!$Q$5,"N/A",EDATE(A239,1)))</f>
        <v>N/A</v>
      </c>
      <c r="B240" s="316" t="str">
        <f aca="false">IF(A240="N/A"," ",YEAR(A240))</f>
        <v> </v>
      </c>
      <c r="C240" s="317" t="str">
        <f aca="false">IF($A240="N/A"," ",IF(Dayrun3=10,0,IF(Scaler3=1,(VLOOKUP(A240,ScaledPrice3,4)),(VLOOKUP(A240,ScaledPrice3,2)))))</f>
        <v> </v>
      </c>
      <c r="D240" s="317" t="str">
        <f aca="false">IF(A240="N/A"," ",IF(Dayrun3&gt;=7,0,IF(Scaler3=2,VLOOKUP(A240,ScaledPrice3,2),(VLOOKUP(A240,ScaledPrice3,2))*(2-(VLOOKUP(A240,ScaledPrice3,3))))))</f>
        <v> </v>
      </c>
      <c r="E240" s="317" t="str">
        <f aca="false">IF($A240="N/A"," ",IF(AND(Dayrun3&gt;=4,Dayrun3&lt;=9),0,VLOOKUP($A240,ScaledPrice3,9)))</f>
        <v> </v>
      </c>
      <c r="F240" s="317" t="str">
        <f aca="false">IF(A240="N/A"," ",IF(OR(Dayrun3=2,Dayrun3=3,Dayrun3=5,Dayrun3=6,Dayrun3=8,Dayrun3=9),VLOOKUP(A240,ScaledPrice3,IF(Scaler3=1,6,5)),0))</f>
        <v> </v>
      </c>
      <c r="G240" s="317" t="str">
        <f aca="false">IF(A240="N/A"," ",IF(OR(Dayrun3=2,Dayrun3=3,Dayrun3=5,Dayrun3=6),IF(Scaler3=2,F240,(VLOOKUP(A240,ScaledPrice3,5))*(2-(VLOOKUP(A240,ScaledPrice3,3)))),0))</f>
        <v> </v>
      </c>
      <c r="H240" s="317" t="str">
        <f aca="false">IF($A240="N/A"," ",IF(OR(Dayrun3=2,Dayrun3=3,Dayrun3=10),VLOOKUP($A240,ScaledPrice3,9),0))</f>
        <v> </v>
      </c>
      <c r="I240" s="317" t="str">
        <f aca="false">IF(A240="N/A"," ",IF(OR(Dayrun3=3,Dayrun3=6,Dayrun3=9),(VLOOKUP(A240,ScaledPrice3,IF(Scaler3=2,7,8))),0))</f>
        <v> </v>
      </c>
      <c r="J240" s="317" t="str">
        <f aca="false">IF(A240="N/A"," ",IF(OR(Dayrun3=3,Dayrun3=6),IF(Scaler3=2,I240,(VLOOKUP(A240,ScaledPrice3,7))*(2-(VLOOKUP(A240,ScaledPrice3,3)))),0))</f>
        <v> </v>
      </c>
      <c r="K240" s="317" t="str">
        <f aca="false">IF($A240="N/A"," ",IF(OR(Dayrun3=3,Dayrun3=10),VLOOKUP($A240,ScaledPrice3,9),0))</f>
        <v> </v>
      </c>
      <c r="L240" s="318" t="str">
        <f aca="false">IF($A240="N/A"," ",IF(Pricetype3=2,MAX(C240,0),IF(OR(Pricetype3=1,Pricetype3=4),IF(C240=0,0,(EURO(C240,Strikeprice3,0,0,($AH240+IF(Smile=TRUE(),VLOOKUP(MAX(-5,Strikeprice3-C240),Volsmile,2),0)),($A240-DateToday)+15,IF(Pricetype3=1,1,0),0))),C240)))</f>
        <v> </v>
      </c>
      <c r="M240" s="318" t="str">
        <f aca="false">IF($A240="N/A"," ",IF(Pricetype3=2,MAX(D240,0),IF(OR(Pricetype3=1,Pricetype3=4),IF(D240=0,0,(EURO(D240,Strikeprice3,0,0,($AH240+IF(Smile=TRUE(),VLOOKUP(MAX(-5,Strikeprice3-D240),Volsmile,2),0)),($A240-DateToday)+15,IF(Pricetype3=1,1,0),0))),D240)))</f>
        <v> </v>
      </c>
      <c r="N240" s="318" t="str">
        <f aca="false">IF($A240="N/A"," ",IF(Pricetype3=2,MAX(E240,0),IF(OR(Pricetype3=1,Pricetype3=4),IF(E240=0,0,(EURO(E240,Strikeprice3,0,0,($AK240+IF(Smile=TRUE(),VLOOKUP(MAX(-5,Strikeprice3-E240),Volsmile,2),0)),($A240-DateToday)+15,IF(Pricetype3=1,1,0),0))),E240)))</f>
        <v> </v>
      </c>
      <c r="O240" s="318" t="str">
        <f aca="false">IF($A240="N/A"," ",IF(Pricetype3=2,MAX(F240,0),IF(OR(Pricetype3=1,Pricetype3=4),IF(F240=0,0,(EURO(F240,Strikeprice3,0,0,($AK240+IF(Smile=TRUE(),VLOOKUP(MAX(-5,Strikeprice3-F240),Volsmile,2),0)),($A240-DateToday)+15,IF(Pricetype3=1,1,0),0))),F240)))</f>
        <v> </v>
      </c>
      <c r="P240" s="318" t="str">
        <f aca="false">IF($A240="N/A"," ",IF(Pricetype3=2,MAX(G240,0),IF(OR(Pricetype3=1,Pricetype3=4),IF(G240=0,0,(EURO(G240,Strikeprice3,0,0,($AK240+IF(Smile=TRUE(),VLOOKUP(MAX(-5,Strikeprice3-G240),Volsmile,2),0)),($A240-DateToday)+15,IF(Pricetype3=1,1,0),0))),G240)))</f>
        <v> </v>
      </c>
      <c r="Q240" s="318" t="str">
        <f aca="false">IF($A240="N/A"," ",IF(Pricetype3=2,MAX(H240,0),IF(OR(Pricetype3=1,Pricetype3=4),IF(H240=0,0,(EURO(H240,Strikeprice3,0,0,($AK240+IF(Smile=TRUE(),VLOOKUP(MAX(-5,Strikeprice3-H240),Volsmile,2),0)),($A240-DateToday)+15,IF(Pricetype3=1,1,0),0))),H240)))</f>
        <v> </v>
      </c>
      <c r="R240" s="318" t="str">
        <f aca="false">IF($A240="N/A"," ",IF(Pricetype3=2,MAX(I240,0),IF(OR(Pricetype3=1,Pricetype3=4),IF(I240=0,0,(EURO(I240,Strikeprice3,0,0,($AK240+IF(Smile=TRUE(),VLOOKUP(MAX(-5,Strikeprice3-I240),Volsmile,2),0)),($A240-DateToday)+15,IF(Pricetype3=1,1,0),0))),I240)))</f>
        <v> </v>
      </c>
      <c r="S240" s="318" t="str">
        <f aca="false">IF($A240="N/A"," ",IF(Pricetype3=2,MAX(J240,0),IF(OR(Pricetype3=1,Pricetype3=4),IF(J240=0,0,(EURO(J240,Strikeprice3,0,0,($AK240+IF(Smile=TRUE(),VLOOKUP(MAX(-5,Strikeprice3-J240),Volsmile,2),0)),($A240-DateToday)+15,IF(Pricetype3=1,1,0),0))),J240)))</f>
        <v> </v>
      </c>
      <c r="T240" s="318" t="str">
        <f aca="false">IF($A240="N/A"," ",IF(Pricetype3=2,MAX(K240,0),IF(OR(Pricetype3=1,Pricetype3=4),IF(K240=0,0,(EURO(K240,Strikeprice3,0,0,($AK240+IF(Smile=TRUE(),VLOOKUP(MAX(-5,Strikeprice3-K240),Volsmile,2),0)),($A240-DateToday)+15,IF(Pricetype3=1,1,0),0))),K240)))</f>
        <v> </v>
      </c>
      <c r="U240" s="319" t="str">
        <f aca="false">IF($A240="N/A"," ",Volume3*$AM240)</f>
        <v> </v>
      </c>
      <c r="V240" s="320" t="str">
        <f aca="false">IF($A240="N/A"," ",$U240*(8*($BQ240))*L240)</f>
        <v> </v>
      </c>
      <c r="W240" s="320" t="str">
        <f aca="false">IF($A240="N/A"," ",$U240*(8*($BQ240))*M240)</f>
        <v> </v>
      </c>
      <c r="X240" s="320" t="str">
        <f aca="false">IF($A240="N/A"," ",$U240*(8*($BQ240))*N240)</f>
        <v> </v>
      </c>
      <c r="Y240" s="320" t="str">
        <f aca="false">IF($A240="N/A"," ",$U240*(8*($BR240))*O240)</f>
        <v> </v>
      </c>
      <c r="Z240" s="320" t="str">
        <f aca="false">IF($A240="N/A"," ",$U240*(8*($BR240))*P240)</f>
        <v> </v>
      </c>
      <c r="AA240" s="320" t="str">
        <f aca="false">IF($A240="N/A"," ",$U240*(8*($BR240))*Q240)</f>
        <v> </v>
      </c>
      <c r="AB240" s="320" t="str">
        <f aca="false">IF($A240="N/A"," ",$U240*(8*($BS240))*R240)</f>
        <v> </v>
      </c>
      <c r="AC240" s="320" t="str">
        <f aca="false">IF($A240="N/A"," ",$U240*(8*($BS240))*S240)</f>
        <v> </v>
      </c>
      <c r="AD240" s="320" t="str">
        <f aca="false">IF($A240="N/A"," ",$U240*(8*($BS240))*T240)</f>
        <v> </v>
      </c>
      <c r="AE240" s="320" t="str">
        <f aca="false">IF($A240="N/A"," ",SUM(V240:AD240))</f>
        <v> </v>
      </c>
      <c r="AF240" s="321" t="str">
        <f aca="false">IF(A240="N/A"," ",(VLOOKUP(A240,PowerVolTable,(IF(VolBMO3=2,7,IF(VolBMO3=1,6,8))),FALSE())))</f>
        <v> </v>
      </c>
      <c r="AG240" s="321" t="str">
        <f aca="false">IF(A240="N/A"," ",(VLOOKUP(A240,IntraPowerVol,(IF(VolBMO3=2,3,IF(VolBMO3=1,2,4))),FALSE())*VLOOKUP(MONTH($A240),Volscale,2)))</f>
        <v> </v>
      </c>
      <c r="AH240" s="321" t="str">
        <f aca="false">IF($A240="N/A"," ",IF(VolType3=1,AG240,AF240))</f>
        <v> </v>
      </c>
      <c r="AI240" s="321" t="str">
        <f aca="false">IF($A240="N/A"," ",(VLOOKUP($A240,OffPwrVolTable,(IF(VolBMO3=2,7,IF(VolBMO3=1,6,8))),FALSE())))</f>
        <v> </v>
      </c>
      <c r="AJ240" s="321" t="str">
        <f aca="false">IF($A240="N/A"," ",(VLOOKUP($A240,OffPwrVolTable,(IF(VolBMO3=2,3,IF(VolBMO3=1,2,4))),FALSE())*VLOOKUP(MONTH($A240),Volscale,2)))</f>
        <v> </v>
      </c>
      <c r="AK240" s="321" t="str">
        <f aca="false">IF($A240="N/A"," ",IF(VolType3=1,AJ240,AI240))</f>
        <v> </v>
      </c>
      <c r="AL240" s="321" t="str">
        <f aca="false">IF($A240="N/A"," ",IF(PV=1,0,'Pricing Inputs3'!R273))</f>
        <v> </v>
      </c>
      <c r="AM240" s="323" t="str">
        <f aca="false">IF($A240="N/A"," ",(1+AL240/2)^(-2*((EOMONTH(A240,0)+20)-DateToday)/365.25))</f>
        <v> </v>
      </c>
      <c r="BQ240" s="0" t="str">
        <f aca="false">IF($A240="N/A"," ",(VLOOKUP($A240,NumberofDaysTable,2)))</f>
        <v> </v>
      </c>
      <c r="BR240" s="0" t="str">
        <f aca="false">IF($A240="N/A"," ",(VLOOKUP($A240,NumberofDaysTable,3)))</f>
        <v> </v>
      </c>
      <c r="BS240" s="0" t="str">
        <f aca="false">IF($A240="N/A"," ",(VLOOKUP($A240,NumberofDaysTable,4)))</f>
        <v> </v>
      </c>
    </row>
    <row r="241" customFormat="false" ht="12.75" hidden="false" customHeight="false" outlineLevel="0" collapsed="false">
      <c r="A241" s="315" t="str">
        <f aca="false">IF(A240="N/A","N/A",IF(EDATE(A240,1)&gt;Inputs!$Q$5,"N/A",EDATE(A240,1)))</f>
        <v>N/A</v>
      </c>
      <c r="B241" s="316" t="str">
        <f aca="false">IF(A241="N/A"," ",YEAR(A241))</f>
        <v> </v>
      </c>
      <c r="C241" s="317" t="str">
        <f aca="false">IF($A241="N/A"," ",IF(Dayrun3=10,0,IF(Scaler3=1,(VLOOKUP(A241,ScaledPrice3,4)),(VLOOKUP(A241,ScaledPrice3,2)))))</f>
        <v> </v>
      </c>
      <c r="D241" s="317" t="str">
        <f aca="false">IF(A241="N/A"," ",IF(Dayrun3&gt;=7,0,IF(Scaler3=2,VLOOKUP(A241,ScaledPrice3,2),(VLOOKUP(A241,ScaledPrice3,2))*(2-(VLOOKUP(A241,ScaledPrice3,3))))))</f>
        <v> </v>
      </c>
      <c r="E241" s="317" t="str">
        <f aca="false">IF($A241="N/A"," ",IF(AND(Dayrun3&gt;=4,Dayrun3&lt;=9),0,VLOOKUP($A241,ScaledPrice3,9)))</f>
        <v> </v>
      </c>
      <c r="F241" s="317" t="str">
        <f aca="false">IF(A241="N/A"," ",IF(OR(Dayrun3=2,Dayrun3=3,Dayrun3=5,Dayrun3=6,Dayrun3=8,Dayrun3=9),VLOOKUP(A241,ScaledPrice3,IF(Scaler3=1,6,5)),0))</f>
        <v> </v>
      </c>
      <c r="G241" s="317" t="str">
        <f aca="false">IF(A241="N/A"," ",IF(OR(Dayrun3=2,Dayrun3=3,Dayrun3=5,Dayrun3=6),IF(Scaler3=2,F241,(VLOOKUP(A241,ScaledPrice3,5))*(2-(VLOOKUP(A241,ScaledPrice3,3)))),0))</f>
        <v> </v>
      </c>
      <c r="H241" s="317" t="str">
        <f aca="false">IF($A241="N/A"," ",IF(OR(Dayrun3=2,Dayrun3=3,Dayrun3=10),VLOOKUP($A241,ScaledPrice3,9),0))</f>
        <v> </v>
      </c>
      <c r="I241" s="317" t="str">
        <f aca="false">IF(A241="N/A"," ",IF(OR(Dayrun3=3,Dayrun3=6,Dayrun3=9),(VLOOKUP(A241,ScaledPrice3,IF(Scaler3=2,7,8))),0))</f>
        <v> </v>
      </c>
      <c r="J241" s="317" t="str">
        <f aca="false">IF(A241="N/A"," ",IF(OR(Dayrun3=3,Dayrun3=6),IF(Scaler3=2,I241,(VLOOKUP(A241,ScaledPrice3,7))*(2-(VLOOKUP(A241,ScaledPrice3,3)))),0))</f>
        <v> </v>
      </c>
      <c r="K241" s="317" t="str">
        <f aca="false">IF($A241="N/A"," ",IF(OR(Dayrun3=3,Dayrun3=10),VLOOKUP($A241,ScaledPrice3,9),0))</f>
        <v> </v>
      </c>
      <c r="L241" s="318" t="str">
        <f aca="false">IF($A241="N/A"," ",IF(Pricetype3=2,MAX(C241,0),IF(OR(Pricetype3=1,Pricetype3=4),IF(C241=0,0,(EURO(C241,Strikeprice3,0,0,($AH241+IF(Smile=TRUE(),VLOOKUP(MAX(-5,Strikeprice3-C241),Volsmile,2),0)),($A241-DateToday)+15,IF(Pricetype3=1,1,0),0))),C241)))</f>
        <v> </v>
      </c>
      <c r="M241" s="318" t="str">
        <f aca="false">IF($A241="N/A"," ",IF(Pricetype3=2,MAX(D241,0),IF(OR(Pricetype3=1,Pricetype3=4),IF(D241=0,0,(EURO(D241,Strikeprice3,0,0,($AH241+IF(Smile=TRUE(),VLOOKUP(MAX(-5,Strikeprice3-D241),Volsmile,2),0)),($A241-DateToday)+15,IF(Pricetype3=1,1,0),0))),D241)))</f>
        <v> </v>
      </c>
      <c r="N241" s="318" t="str">
        <f aca="false">IF($A241="N/A"," ",IF(Pricetype3=2,MAX(E241,0),IF(OR(Pricetype3=1,Pricetype3=4),IF(E241=0,0,(EURO(E241,Strikeprice3,0,0,($AK241+IF(Smile=TRUE(),VLOOKUP(MAX(-5,Strikeprice3-E241),Volsmile,2),0)),($A241-DateToday)+15,IF(Pricetype3=1,1,0),0))),E241)))</f>
        <v> </v>
      </c>
      <c r="O241" s="318" t="str">
        <f aca="false">IF($A241="N/A"," ",IF(Pricetype3=2,MAX(F241,0),IF(OR(Pricetype3=1,Pricetype3=4),IF(F241=0,0,(EURO(F241,Strikeprice3,0,0,($AK241+IF(Smile=TRUE(),VLOOKUP(MAX(-5,Strikeprice3-F241),Volsmile,2),0)),($A241-DateToday)+15,IF(Pricetype3=1,1,0),0))),F241)))</f>
        <v> </v>
      </c>
      <c r="P241" s="318" t="str">
        <f aca="false">IF($A241="N/A"," ",IF(Pricetype3=2,MAX(G241,0),IF(OR(Pricetype3=1,Pricetype3=4),IF(G241=0,0,(EURO(G241,Strikeprice3,0,0,($AK241+IF(Smile=TRUE(),VLOOKUP(MAX(-5,Strikeprice3-G241),Volsmile,2),0)),($A241-DateToday)+15,IF(Pricetype3=1,1,0),0))),G241)))</f>
        <v> </v>
      </c>
      <c r="Q241" s="318" t="str">
        <f aca="false">IF($A241="N/A"," ",IF(Pricetype3=2,MAX(H241,0),IF(OR(Pricetype3=1,Pricetype3=4),IF(H241=0,0,(EURO(H241,Strikeprice3,0,0,($AK241+IF(Smile=TRUE(),VLOOKUP(MAX(-5,Strikeprice3-H241),Volsmile,2),0)),($A241-DateToday)+15,IF(Pricetype3=1,1,0),0))),H241)))</f>
        <v> </v>
      </c>
      <c r="R241" s="318" t="str">
        <f aca="false">IF($A241="N/A"," ",IF(Pricetype3=2,MAX(I241,0),IF(OR(Pricetype3=1,Pricetype3=4),IF(I241=0,0,(EURO(I241,Strikeprice3,0,0,($AK241+IF(Smile=TRUE(),VLOOKUP(MAX(-5,Strikeprice3-I241),Volsmile,2),0)),($A241-DateToday)+15,IF(Pricetype3=1,1,0),0))),I241)))</f>
        <v> </v>
      </c>
      <c r="S241" s="318" t="str">
        <f aca="false">IF($A241="N/A"," ",IF(Pricetype3=2,MAX(J241,0),IF(OR(Pricetype3=1,Pricetype3=4),IF(J241=0,0,(EURO(J241,Strikeprice3,0,0,($AK241+IF(Smile=TRUE(),VLOOKUP(MAX(-5,Strikeprice3-J241),Volsmile,2),0)),($A241-DateToday)+15,IF(Pricetype3=1,1,0),0))),J241)))</f>
        <v> </v>
      </c>
      <c r="T241" s="318" t="str">
        <f aca="false">IF($A241="N/A"," ",IF(Pricetype3=2,MAX(K241,0),IF(OR(Pricetype3=1,Pricetype3=4),IF(K241=0,0,(EURO(K241,Strikeprice3,0,0,($AK241+IF(Smile=TRUE(),VLOOKUP(MAX(-5,Strikeprice3-K241),Volsmile,2),0)),($A241-DateToday)+15,IF(Pricetype3=1,1,0),0))),K241)))</f>
        <v> </v>
      </c>
      <c r="U241" s="319" t="str">
        <f aca="false">IF($A241="N/A"," ",Volume3*$AM241)</f>
        <v> </v>
      </c>
      <c r="V241" s="320" t="str">
        <f aca="false">IF($A241="N/A"," ",$U241*(8*($BQ241))*L241)</f>
        <v> </v>
      </c>
      <c r="W241" s="320" t="str">
        <f aca="false">IF($A241="N/A"," ",$U241*(8*($BQ241))*M241)</f>
        <v> </v>
      </c>
      <c r="X241" s="320" t="str">
        <f aca="false">IF($A241="N/A"," ",$U241*(8*($BQ241))*N241)</f>
        <v> </v>
      </c>
      <c r="Y241" s="320" t="str">
        <f aca="false">IF($A241="N/A"," ",$U241*(8*($BR241))*O241)</f>
        <v> </v>
      </c>
      <c r="Z241" s="320" t="str">
        <f aca="false">IF($A241="N/A"," ",$U241*(8*($BR241))*P241)</f>
        <v> </v>
      </c>
      <c r="AA241" s="320" t="str">
        <f aca="false">IF($A241="N/A"," ",$U241*(8*($BR241))*Q241)</f>
        <v> </v>
      </c>
      <c r="AB241" s="320" t="str">
        <f aca="false">IF($A241="N/A"," ",$U241*(8*($BS241))*R241)</f>
        <v> </v>
      </c>
      <c r="AC241" s="320" t="str">
        <f aca="false">IF($A241="N/A"," ",$U241*(8*($BS241))*S241)</f>
        <v> </v>
      </c>
      <c r="AD241" s="320" t="str">
        <f aca="false">IF($A241="N/A"," ",$U241*(8*($BS241))*T241)</f>
        <v> </v>
      </c>
      <c r="AE241" s="320" t="str">
        <f aca="false">IF($A241="N/A"," ",SUM(V241:AD241))</f>
        <v> </v>
      </c>
      <c r="AF241" s="321" t="str">
        <f aca="false">IF(A241="N/A"," ",(VLOOKUP(A241,PowerVolTable,(IF(VolBMO3=2,7,IF(VolBMO3=1,6,8))),FALSE())))</f>
        <v> </v>
      </c>
      <c r="AG241" s="321" t="str">
        <f aca="false">IF(A241="N/A"," ",(VLOOKUP(A241,IntraPowerVol,(IF(VolBMO3=2,3,IF(VolBMO3=1,2,4))),FALSE())*VLOOKUP(MONTH($A241),Volscale,2)))</f>
        <v> </v>
      </c>
      <c r="AH241" s="321" t="str">
        <f aca="false">IF($A241="N/A"," ",IF(VolType3=1,AG241,AF241))</f>
        <v> </v>
      </c>
      <c r="AI241" s="321" t="str">
        <f aca="false">IF($A241="N/A"," ",(VLOOKUP($A241,OffPwrVolTable,(IF(VolBMO3=2,7,IF(VolBMO3=1,6,8))),FALSE())))</f>
        <v> </v>
      </c>
      <c r="AJ241" s="321" t="str">
        <f aca="false">IF($A241="N/A"," ",(VLOOKUP($A241,OffPwrVolTable,(IF(VolBMO3=2,3,IF(VolBMO3=1,2,4))),FALSE())*VLOOKUP(MONTH($A241),Volscale,2)))</f>
        <v> </v>
      </c>
      <c r="AK241" s="321" t="str">
        <f aca="false">IF($A241="N/A"," ",IF(VolType3=1,AJ241,AI241))</f>
        <v> </v>
      </c>
      <c r="AL241" s="321" t="str">
        <f aca="false">IF($A241="N/A"," ",IF(PV=1,0,'Pricing Inputs3'!R274))</f>
        <v> </v>
      </c>
      <c r="AM241" s="323" t="str">
        <f aca="false">IF($A241="N/A"," ",(1+AL241/2)^(-2*((EOMONTH(A241,0)+20)-DateToday)/365.25))</f>
        <v> </v>
      </c>
      <c r="BQ241" s="0" t="str">
        <f aca="false">IF($A241="N/A"," ",(VLOOKUP($A241,NumberofDaysTable,2)))</f>
        <v> </v>
      </c>
      <c r="BR241" s="0" t="str">
        <f aca="false">IF($A241="N/A"," ",(VLOOKUP($A241,NumberofDaysTable,3)))</f>
        <v> </v>
      </c>
      <c r="BS241" s="0" t="str">
        <f aca="false">IF($A241="N/A"," ",(VLOOKUP($A241,NumberofDaysTable,4)))</f>
        <v> </v>
      </c>
    </row>
    <row r="242" customFormat="false" ht="12.75" hidden="false" customHeight="false" outlineLevel="0" collapsed="false">
      <c r="A242" s="315" t="str">
        <f aca="false">IF(A241="N/A","N/A",IF(EDATE(A241,1)&gt;Inputs!$Q$5,"N/A",EDATE(A241,1)))</f>
        <v>N/A</v>
      </c>
      <c r="B242" s="316" t="str">
        <f aca="false">IF(A242="N/A"," ",YEAR(A242))</f>
        <v> </v>
      </c>
      <c r="C242" s="317" t="str">
        <f aca="false">IF($A242="N/A"," ",IF(Dayrun3=10,0,IF(Scaler3=1,(VLOOKUP(A242,ScaledPrice3,4)),(VLOOKUP(A242,ScaledPrice3,2)))))</f>
        <v> </v>
      </c>
      <c r="D242" s="317" t="str">
        <f aca="false">IF(A242="N/A"," ",IF(Dayrun3&gt;=7,0,IF(Scaler3=2,VLOOKUP(A242,ScaledPrice3,2),(VLOOKUP(A242,ScaledPrice3,2))*(2-(VLOOKUP(A242,ScaledPrice3,3))))))</f>
        <v> </v>
      </c>
      <c r="E242" s="317" t="str">
        <f aca="false">IF($A242="N/A"," ",IF(AND(Dayrun3&gt;=4,Dayrun3&lt;=9),0,VLOOKUP($A242,ScaledPrice3,9)))</f>
        <v> </v>
      </c>
      <c r="F242" s="317" t="str">
        <f aca="false">IF(A242="N/A"," ",IF(OR(Dayrun3=2,Dayrun3=3,Dayrun3=5,Dayrun3=6,Dayrun3=8,Dayrun3=9),VLOOKUP(A242,ScaledPrice3,IF(Scaler3=1,6,5)),0))</f>
        <v> </v>
      </c>
      <c r="G242" s="317" t="str">
        <f aca="false">IF(A242="N/A"," ",IF(OR(Dayrun3=2,Dayrun3=3,Dayrun3=5,Dayrun3=6),IF(Scaler3=2,F242,(VLOOKUP(A242,ScaledPrice3,5))*(2-(VLOOKUP(A242,ScaledPrice3,3)))),0))</f>
        <v> </v>
      </c>
      <c r="H242" s="317" t="str">
        <f aca="false">IF($A242="N/A"," ",IF(OR(Dayrun3=2,Dayrun3=3,Dayrun3=10),VLOOKUP($A242,ScaledPrice3,9),0))</f>
        <v> </v>
      </c>
      <c r="I242" s="317" t="str">
        <f aca="false">IF(A242="N/A"," ",IF(OR(Dayrun3=3,Dayrun3=6,Dayrun3=9),(VLOOKUP(A242,ScaledPrice3,IF(Scaler3=2,7,8))),0))</f>
        <v> </v>
      </c>
      <c r="J242" s="317" t="str">
        <f aca="false">IF(A242="N/A"," ",IF(OR(Dayrun3=3,Dayrun3=6),IF(Scaler3=2,I242,(VLOOKUP(A242,ScaledPrice3,7))*(2-(VLOOKUP(A242,ScaledPrice3,3)))),0))</f>
        <v> </v>
      </c>
      <c r="K242" s="317" t="str">
        <f aca="false">IF($A242="N/A"," ",IF(OR(Dayrun3=3,Dayrun3=10),VLOOKUP($A242,ScaledPrice3,9),0))</f>
        <v> </v>
      </c>
      <c r="L242" s="318" t="str">
        <f aca="false">IF($A242="N/A"," ",IF(Pricetype3=2,MAX(C242,0),IF(OR(Pricetype3=1,Pricetype3=4),IF(C242=0,0,(EURO(C242,Strikeprice3,0,0,($AH242+IF(Smile=TRUE(),VLOOKUP(MAX(-5,Strikeprice3-C242),Volsmile,2),0)),($A242-DateToday)+15,IF(Pricetype3=1,1,0),0))),C242)))</f>
        <v> </v>
      </c>
      <c r="M242" s="318" t="str">
        <f aca="false">IF($A242="N/A"," ",IF(Pricetype3=2,MAX(D242,0),IF(OR(Pricetype3=1,Pricetype3=4),IF(D242=0,0,(EURO(D242,Strikeprice3,0,0,($AH242+IF(Smile=TRUE(),VLOOKUP(MAX(-5,Strikeprice3-D242),Volsmile,2),0)),($A242-DateToday)+15,IF(Pricetype3=1,1,0),0))),D242)))</f>
        <v> </v>
      </c>
      <c r="N242" s="318" t="str">
        <f aca="false">IF($A242="N/A"," ",IF(Pricetype3=2,MAX(E242,0),IF(OR(Pricetype3=1,Pricetype3=4),IF(E242=0,0,(EURO(E242,Strikeprice3,0,0,($AK242+IF(Smile=TRUE(),VLOOKUP(MAX(-5,Strikeprice3-E242),Volsmile,2),0)),($A242-DateToday)+15,IF(Pricetype3=1,1,0),0))),E242)))</f>
        <v> </v>
      </c>
      <c r="O242" s="318" t="str">
        <f aca="false">IF($A242="N/A"," ",IF(Pricetype3=2,MAX(F242,0),IF(OR(Pricetype3=1,Pricetype3=4),IF(F242=0,0,(EURO(F242,Strikeprice3,0,0,($AK242+IF(Smile=TRUE(),VLOOKUP(MAX(-5,Strikeprice3-F242),Volsmile,2),0)),($A242-DateToday)+15,IF(Pricetype3=1,1,0),0))),F242)))</f>
        <v> </v>
      </c>
      <c r="P242" s="318" t="str">
        <f aca="false">IF($A242="N/A"," ",IF(Pricetype3=2,MAX(G242,0),IF(OR(Pricetype3=1,Pricetype3=4),IF(G242=0,0,(EURO(G242,Strikeprice3,0,0,($AK242+IF(Smile=TRUE(),VLOOKUP(MAX(-5,Strikeprice3-G242),Volsmile,2),0)),($A242-DateToday)+15,IF(Pricetype3=1,1,0),0))),G242)))</f>
        <v> </v>
      </c>
      <c r="Q242" s="318" t="str">
        <f aca="false">IF($A242="N/A"," ",IF(Pricetype3=2,MAX(H242,0),IF(OR(Pricetype3=1,Pricetype3=4),IF(H242=0,0,(EURO(H242,Strikeprice3,0,0,($AK242+IF(Smile=TRUE(),VLOOKUP(MAX(-5,Strikeprice3-H242),Volsmile,2),0)),($A242-DateToday)+15,IF(Pricetype3=1,1,0),0))),H242)))</f>
        <v> </v>
      </c>
      <c r="R242" s="318" t="str">
        <f aca="false">IF($A242="N/A"," ",IF(Pricetype3=2,MAX(I242,0),IF(OR(Pricetype3=1,Pricetype3=4),IF(I242=0,0,(EURO(I242,Strikeprice3,0,0,($AK242+IF(Smile=TRUE(),VLOOKUP(MAX(-5,Strikeprice3-I242),Volsmile,2),0)),($A242-DateToday)+15,IF(Pricetype3=1,1,0),0))),I242)))</f>
        <v> </v>
      </c>
      <c r="S242" s="318" t="str">
        <f aca="false">IF($A242="N/A"," ",IF(Pricetype3=2,MAX(J242,0),IF(OR(Pricetype3=1,Pricetype3=4),IF(J242=0,0,(EURO(J242,Strikeprice3,0,0,($AK242+IF(Smile=TRUE(),VLOOKUP(MAX(-5,Strikeprice3-J242),Volsmile,2),0)),($A242-DateToday)+15,IF(Pricetype3=1,1,0),0))),J242)))</f>
        <v> </v>
      </c>
      <c r="T242" s="318" t="str">
        <f aca="false">IF($A242="N/A"," ",IF(Pricetype3=2,MAX(K242,0),IF(OR(Pricetype3=1,Pricetype3=4),IF(K242=0,0,(EURO(K242,Strikeprice3,0,0,($AK242+IF(Smile=TRUE(),VLOOKUP(MAX(-5,Strikeprice3-K242),Volsmile,2),0)),($A242-DateToday)+15,IF(Pricetype3=1,1,0),0))),K242)))</f>
        <v> </v>
      </c>
      <c r="U242" s="319" t="str">
        <f aca="false">IF($A242="N/A"," ",Volume3*$AM242)</f>
        <v> </v>
      </c>
      <c r="V242" s="320" t="str">
        <f aca="false">IF($A242="N/A"," ",$U242*(8*($BQ242))*L242)</f>
        <v> </v>
      </c>
      <c r="W242" s="320" t="str">
        <f aca="false">IF($A242="N/A"," ",$U242*(8*($BQ242))*M242)</f>
        <v> </v>
      </c>
      <c r="X242" s="320" t="str">
        <f aca="false">IF($A242="N/A"," ",$U242*(8*($BQ242))*N242)</f>
        <v> </v>
      </c>
      <c r="Y242" s="320" t="str">
        <f aca="false">IF($A242="N/A"," ",$U242*(8*($BR242))*O242)</f>
        <v> </v>
      </c>
      <c r="Z242" s="320" t="str">
        <f aca="false">IF($A242="N/A"," ",$U242*(8*($BR242))*P242)</f>
        <v> </v>
      </c>
      <c r="AA242" s="320" t="str">
        <f aca="false">IF($A242="N/A"," ",$U242*(8*($BR242))*Q242)</f>
        <v> </v>
      </c>
      <c r="AB242" s="320" t="str">
        <f aca="false">IF($A242="N/A"," ",$U242*(8*($BS242))*R242)</f>
        <v> </v>
      </c>
      <c r="AC242" s="320" t="str">
        <f aca="false">IF($A242="N/A"," ",$U242*(8*($BS242))*S242)</f>
        <v> </v>
      </c>
      <c r="AD242" s="320" t="str">
        <f aca="false">IF($A242="N/A"," ",$U242*(8*($BS242))*T242)</f>
        <v> </v>
      </c>
      <c r="AE242" s="320" t="str">
        <f aca="false">IF($A242="N/A"," ",SUM(V242:AD242))</f>
        <v> </v>
      </c>
      <c r="AF242" s="321" t="str">
        <f aca="false">IF(A242="N/A"," ",(VLOOKUP(A242,PowerVolTable,(IF(VolBMO3=2,7,IF(VolBMO3=1,6,8))),FALSE())))</f>
        <v> </v>
      </c>
      <c r="AG242" s="321" t="str">
        <f aca="false">IF(A242="N/A"," ",(VLOOKUP(A242,IntraPowerVol,(IF(VolBMO3=2,3,IF(VolBMO3=1,2,4))),FALSE())*VLOOKUP(MONTH($A242),Volscale,2)))</f>
        <v> </v>
      </c>
      <c r="AH242" s="321" t="str">
        <f aca="false">IF($A242="N/A"," ",IF(VolType3=1,AG242,AF242))</f>
        <v> </v>
      </c>
      <c r="AI242" s="321" t="str">
        <f aca="false">IF($A242="N/A"," ",(VLOOKUP($A242,OffPwrVolTable,(IF(VolBMO3=2,7,IF(VolBMO3=1,6,8))),FALSE())))</f>
        <v> </v>
      </c>
      <c r="AJ242" s="321" t="str">
        <f aca="false">IF($A242="N/A"," ",(VLOOKUP($A242,OffPwrVolTable,(IF(VolBMO3=2,3,IF(VolBMO3=1,2,4))),FALSE())*VLOOKUP(MONTH($A242),Volscale,2)))</f>
        <v> </v>
      </c>
      <c r="AK242" s="321" t="str">
        <f aca="false">IF($A242="N/A"," ",IF(VolType3=1,AJ242,AI242))</f>
        <v> </v>
      </c>
      <c r="AL242" s="321" t="str">
        <f aca="false">IF($A242="N/A"," ",IF(PV=1,0,'Pricing Inputs3'!R275))</f>
        <v> </v>
      </c>
      <c r="AM242" s="323" t="str">
        <f aca="false">IF($A242="N/A"," ",(1+AL242/2)^(-2*((EOMONTH(A242,0)+20)-DateToday)/365.25))</f>
        <v> </v>
      </c>
      <c r="BQ242" s="0" t="str">
        <f aca="false">IF($A242="N/A"," ",(VLOOKUP($A242,NumberofDaysTable,2)))</f>
        <v> </v>
      </c>
      <c r="BR242" s="0" t="str">
        <f aca="false">IF($A242="N/A"," ",(VLOOKUP($A242,NumberofDaysTable,3)))</f>
        <v> </v>
      </c>
      <c r="BS242" s="0" t="str">
        <f aca="false">IF($A242="N/A"," ",(VLOOKUP($A242,NumberofDaysTable,4)))</f>
        <v> </v>
      </c>
    </row>
    <row r="243" customFormat="false" ht="12.75" hidden="false" customHeight="false" outlineLevel="0" collapsed="false">
      <c r="A243" s="315" t="str">
        <f aca="false">IF(A242="N/A","N/A",IF(EDATE(A242,1)&gt;Inputs!$Q$5,"N/A",EDATE(A242,1)))</f>
        <v>N/A</v>
      </c>
      <c r="B243" s="316" t="str">
        <f aca="false">IF(A243="N/A"," ",YEAR(A243))</f>
        <v> </v>
      </c>
      <c r="C243" s="317" t="str">
        <f aca="false">IF($A243="N/A"," ",IF(Dayrun3=10,0,IF(Scaler3=1,(VLOOKUP(A243,ScaledPrice3,4)),(VLOOKUP(A243,ScaledPrice3,2)))))</f>
        <v> </v>
      </c>
      <c r="D243" s="317" t="str">
        <f aca="false">IF(A243="N/A"," ",IF(Dayrun3&gt;=7,0,IF(Scaler3=2,VLOOKUP(A243,ScaledPrice3,2),(VLOOKUP(A243,ScaledPrice3,2))*(2-(VLOOKUP(A243,ScaledPrice3,3))))))</f>
        <v> </v>
      </c>
      <c r="E243" s="317" t="str">
        <f aca="false">IF($A243="N/A"," ",IF(AND(Dayrun3&gt;=4,Dayrun3&lt;=9),0,VLOOKUP($A243,ScaledPrice3,9)))</f>
        <v> </v>
      </c>
      <c r="F243" s="317" t="str">
        <f aca="false">IF(A243="N/A"," ",IF(OR(Dayrun3=2,Dayrun3=3,Dayrun3=5,Dayrun3=6,Dayrun3=8,Dayrun3=9),VLOOKUP(A243,ScaledPrice3,IF(Scaler3=1,6,5)),0))</f>
        <v> </v>
      </c>
      <c r="G243" s="317" t="str">
        <f aca="false">IF(A243="N/A"," ",IF(OR(Dayrun3=2,Dayrun3=3,Dayrun3=5,Dayrun3=6),IF(Scaler3=2,F243,(VLOOKUP(A243,ScaledPrice3,5))*(2-(VLOOKUP(A243,ScaledPrice3,3)))),0))</f>
        <v> </v>
      </c>
      <c r="H243" s="317" t="str">
        <f aca="false">IF($A243="N/A"," ",IF(OR(Dayrun3=2,Dayrun3=3,Dayrun3=10),VLOOKUP($A243,ScaledPrice3,9),0))</f>
        <v> </v>
      </c>
      <c r="I243" s="317" t="str">
        <f aca="false">IF(A243="N/A"," ",IF(OR(Dayrun3=3,Dayrun3=6,Dayrun3=9),(VLOOKUP(A243,ScaledPrice3,IF(Scaler3=2,7,8))),0))</f>
        <v> </v>
      </c>
      <c r="J243" s="317" t="str">
        <f aca="false">IF(A243="N/A"," ",IF(OR(Dayrun3=3,Dayrun3=6),IF(Scaler3=2,I243,(VLOOKUP(A243,ScaledPrice3,7))*(2-(VLOOKUP(A243,ScaledPrice3,3)))),0))</f>
        <v> </v>
      </c>
      <c r="K243" s="317" t="str">
        <f aca="false">IF($A243="N/A"," ",IF(OR(Dayrun3=3,Dayrun3=10),VLOOKUP($A243,ScaledPrice3,9),0))</f>
        <v> </v>
      </c>
      <c r="L243" s="318" t="str">
        <f aca="false">IF($A243="N/A"," ",IF(Pricetype3=2,MAX(C243,0),IF(OR(Pricetype3=1,Pricetype3=4),IF(C243=0,0,(EURO(C243,Strikeprice3,0,0,($AH243+IF(Smile=TRUE(),VLOOKUP(MAX(-5,Strikeprice3-C243),Volsmile,2),0)),($A243-DateToday)+15,IF(Pricetype3=1,1,0),0))),C243)))</f>
        <v> </v>
      </c>
      <c r="M243" s="318" t="str">
        <f aca="false">IF($A243="N/A"," ",IF(Pricetype3=2,MAX(D243,0),IF(OR(Pricetype3=1,Pricetype3=4),IF(D243=0,0,(EURO(D243,Strikeprice3,0,0,($AH243+IF(Smile=TRUE(),VLOOKUP(MAX(-5,Strikeprice3-D243),Volsmile,2),0)),($A243-DateToday)+15,IF(Pricetype3=1,1,0),0))),D243)))</f>
        <v> </v>
      </c>
      <c r="N243" s="318" t="str">
        <f aca="false">IF($A243="N/A"," ",IF(Pricetype3=2,MAX(E243,0),IF(OR(Pricetype3=1,Pricetype3=4),IF(E243=0,0,(EURO(E243,Strikeprice3,0,0,($AK243+IF(Smile=TRUE(),VLOOKUP(MAX(-5,Strikeprice3-E243),Volsmile,2),0)),($A243-DateToday)+15,IF(Pricetype3=1,1,0),0))),E243)))</f>
        <v> </v>
      </c>
      <c r="O243" s="318" t="str">
        <f aca="false">IF($A243="N/A"," ",IF(Pricetype3=2,MAX(F243,0),IF(OR(Pricetype3=1,Pricetype3=4),IF(F243=0,0,(EURO(F243,Strikeprice3,0,0,($AK243+IF(Smile=TRUE(),VLOOKUP(MAX(-5,Strikeprice3-F243),Volsmile,2),0)),($A243-DateToday)+15,IF(Pricetype3=1,1,0),0))),F243)))</f>
        <v> </v>
      </c>
      <c r="P243" s="318" t="str">
        <f aca="false">IF($A243="N/A"," ",IF(Pricetype3=2,MAX(G243,0),IF(OR(Pricetype3=1,Pricetype3=4),IF(G243=0,0,(EURO(G243,Strikeprice3,0,0,($AK243+IF(Smile=TRUE(),VLOOKUP(MAX(-5,Strikeprice3-G243),Volsmile,2),0)),($A243-DateToday)+15,IF(Pricetype3=1,1,0),0))),G243)))</f>
        <v> </v>
      </c>
      <c r="Q243" s="318" t="str">
        <f aca="false">IF($A243="N/A"," ",IF(Pricetype3=2,MAX(H243,0),IF(OR(Pricetype3=1,Pricetype3=4),IF(H243=0,0,(EURO(H243,Strikeprice3,0,0,($AK243+IF(Smile=TRUE(),VLOOKUP(MAX(-5,Strikeprice3-H243),Volsmile,2),0)),($A243-DateToday)+15,IF(Pricetype3=1,1,0),0))),H243)))</f>
        <v> </v>
      </c>
      <c r="R243" s="318" t="str">
        <f aca="false">IF($A243="N/A"," ",IF(Pricetype3=2,MAX(I243,0),IF(OR(Pricetype3=1,Pricetype3=4),IF(I243=0,0,(EURO(I243,Strikeprice3,0,0,($AK243+IF(Smile=TRUE(),VLOOKUP(MAX(-5,Strikeprice3-I243),Volsmile,2),0)),($A243-DateToday)+15,IF(Pricetype3=1,1,0),0))),I243)))</f>
        <v> </v>
      </c>
      <c r="S243" s="318" t="str">
        <f aca="false">IF($A243="N/A"," ",IF(Pricetype3=2,MAX(J243,0),IF(OR(Pricetype3=1,Pricetype3=4),IF(J243=0,0,(EURO(J243,Strikeprice3,0,0,($AK243+IF(Smile=TRUE(),VLOOKUP(MAX(-5,Strikeprice3-J243),Volsmile,2),0)),($A243-DateToday)+15,IF(Pricetype3=1,1,0),0))),J243)))</f>
        <v> </v>
      </c>
      <c r="T243" s="318" t="str">
        <f aca="false">IF($A243="N/A"," ",IF(Pricetype3=2,MAX(K243,0),IF(OR(Pricetype3=1,Pricetype3=4),IF(K243=0,0,(EURO(K243,Strikeprice3,0,0,($AK243+IF(Smile=TRUE(),VLOOKUP(MAX(-5,Strikeprice3-K243),Volsmile,2),0)),($A243-DateToday)+15,IF(Pricetype3=1,1,0),0))),K243)))</f>
        <v> </v>
      </c>
      <c r="U243" s="319" t="str">
        <f aca="false">IF($A243="N/A"," ",Volume3*$AM243)</f>
        <v> </v>
      </c>
      <c r="V243" s="320" t="str">
        <f aca="false">IF($A243="N/A"," ",$U243*(8*($BQ243))*L243)</f>
        <v> </v>
      </c>
      <c r="W243" s="320" t="str">
        <f aca="false">IF($A243="N/A"," ",$U243*(8*($BQ243))*M243)</f>
        <v> </v>
      </c>
      <c r="X243" s="320" t="str">
        <f aca="false">IF($A243="N/A"," ",$U243*(8*($BQ243))*N243)</f>
        <v> </v>
      </c>
      <c r="Y243" s="320" t="str">
        <f aca="false">IF($A243="N/A"," ",$U243*(8*($BR243))*O243)</f>
        <v> </v>
      </c>
      <c r="Z243" s="320" t="str">
        <f aca="false">IF($A243="N/A"," ",$U243*(8*($BR243))*P243)</f>
        <v> </v>
      </c>
      <c r="AA243" s="320" t="str">
        <f aca="false">IF($A243="N/A"," ",$U243*(8*($BR243))*Q243)</f>
        <v> </v>
      </c>
      <c r="AB243" s="320" t="str">
        <f aca="false">IF($A243="N/A"," ",$U243*(8*($BS243))*R243)</f>
        <v> </v>
      </c>
      <c r="AC243" s="320" t="str">
        <f aca="false">IF($A243="N/A"," ",$U243*(8*($BS243))*S243)</f>
        <v> </v>
      </c>
      <c r="AD243" s="320" t="str">
        <f aca="false">IF($A243="N/A"," ",$U243*(8*($BS243))*T243)</f>
        <v> </v>
      </c>
      <c r="AE243" s="320" t="str">
        <f aca="false">IF($A243="N/A"," ",SUM(V243:AD243))</f>
        <v> </v>
      </c>
      <c r="AF243" s="321" t="str">
        <f aca="false">IF(A243="N/A"," ",(VLOOKUP(A243,PowerVolTable,(IF(VolBMO3=2,7,IF(VolBMO3=1,6,8))),FALSE())))</f>
        <v> </v>
      </c>
      <c r="AG243" s="321" t="str">
        <f aca="false">IF(A243="N/A"," ",(VLOOKUP(A243,IntraPowerVol,(IF(VolBMO3=2,3,IF(VolBMO3=1,2,4))),FALSE())*VLOOKUP(MONTH($A243),Volscale,2)))</f>
        <v> </v>
      </c>
      <c r="AH243" s="321" t="str">
        <f aca="false">IF($A243="N/A"," ",IF(VolType3=1,AG243,AF243))</f>
        <v> </v>
      </c>
      <c r="AI243" s="321" t="str">
        <f aca="false">IF($A243="N/A"," ",(VLOOKUP($A243,OffPwrVolTable,(IF(VolBMO3=2,7,IF(VolBMO3=1,6,8))),FALSE())))</f>
        <v> </v>
      </c>
      <c r="AJ243" s="321" t="str">
        <f aca="false">IF($A243="N/A"," ",(VLOOKUP($A243,OffPwrVolTable,(IF(VolBMO3=2,3,IF(VolBMO3=1,2,4))),FALSE())*VLOOKUP(MONTH($A243),Volscale,2)))</f>
        <v> </v>
      </c>
      <c r="AK243" s="321" t="str">
        <f aca="false">IF($A243="N/A"," ",IF(VolType3=1,AJ243,AI243))</f>
        <v> </v>
      </c>
      <c r="AL243" s="321" t="str">
        <f aca="false">IF($A243="N/A"," ",IF(PV=1,0,'Pricing Inputs3'!R276))</f>
        <v> </v>
      </c>
      <c r="AM243" s="323" t="str">
        <f aca="false">IF($A243="N/A"," ",(1+AL243/2)^(-2*((EOMONTH(A243,0)+20)-DateToday)/365.25))</f>
        <v> </v>
      </c>
      <c r="BQ243" s="0" t="str">
        <f aca="false">IF($A243="N/A"," ",(VLOOKUP($A243,NumberofDaysTable,2)))</f>
        <v> </v>
      </c>
      <c r="BR243" s="0" t="str">
        <f aca="false">IF($A243="N/A"," ",(VLOOKUP($A243,NumberofDaysTable,3)))</f>
        <v> </v>
      </c>
      <c r="BS243" s="0" t="str">
        <f aca="false">IF($A243="N/A"," ",(VLOOKUP($A243,NumberofDaysTable,4)))</f>
        <v> </v>
      </c>
    </row>
    <row r="244" customFormat="false" ht="12.75" hidden="false" customHeight="false" outlineLevel="0" collapsed="false">
      <c r="A244" s="315" t="str">
        <f aca="false">IF(A243="N/A","N/A",IF(EDATE(A243,1)&gt;Inputs!$Q$5,"N/A",EDATE(A243,1)))</f>
        <v>N/A</v>
      </c>
      <c r="B244" s="316" t="str">
        <f aca="false">IF(A244="N/A"," ",YEAR(A244))</f>
        <v> </v>
      </c>
      <c r="C244" s="317" t="str">
        <f aca="false">IF($A244="N/A"," ",IF(Dayrun3=10,0,IF(Scaler3=1,(VLOOKUP(A244,ScaledPrice3,4)),(VLOOKUP(A244,ScaledPrice3,2)))))</f>
        <v> </v>
      </c>
      <c r="D244" s="317" t="str">
        <f aca="false">IF(A244="N/A"," ",IF(Dayrun3&gt;=7,0,IF(Scaler3=2,VLOOKUP(A244,ScaledPrice3,2),(VLOOKUP(A244,ScaledPrice3,2))*(2-(VLOOKUP(A244,ScaledPrice3,3))))))</f>
        <v> </v>
      </c>
      <c r="E244" s="317" t="str">
        <f aca="false">IF($A244="N/A"," ",IF(AND(Dayrun3&gt;=4,Dayrun3&lt;=9),0,VLOOKUP($A244,ScaledPrice3,9)))</f>
        <v> </v>
      </c>
      <c r="F244" s="317" t="str">
        <f aca="false">IF(A244="N/A"," ",IF(OR(Dayrun3=2,Dayrun3=3,Dayrun3=5,Dayrun3=6,Dayrun3=8,Dayrun3=9),VLOOKUP(A244,ScaledPrice3,IF(Scaler3=1,6,5)),0))</f>
        <v> </v>
      </c>
      <c r="G244" s="317" t="str">
        <f aca="false">IF(A244="N/A"," ",IF(OR(Dayrun3=2,Dayrun3=3,Dayrun3=5,Dayrun3=6),IF(Scaler3=2,F244,(VLOOKUP(A244,ScaledPrice3,5))*(2-(VLOOKUP(A244,ScaledPrice3,3)))),0))</f>
        <v> </v>
      </c>
      <c r="H244" s="317" t="str">
        <f aca="false">IF($A244="N/A"," ",IF(OR(Dayrun3=2,Dayrun3=3,Dayrun3=10),VLOOKUP($A244,ScaledPrice3,9),0))</f>
        <v> </v>
      </c>
      <c r="I244" s="317" t="str">
        <f aca="false">IF(A244="N/A"," ",IF(OR(Dayrun3=3,Dayrun3=6,Dayrun3=9),(VLOOKUP(A244,ScaledPrice3,IF(Scaler3=2,7,8))),0))</f>
        <v> </v>
      </c>
      <c r="J244" s="317" t="str">
        <f aca="false">IF(A244="N/A"," ",IF(OR(Dayrun3=3,Dayrun3=6),IF(Scaler3=2,I244,(VLOOKUP(A244,ScaledPrice3,7))*(2-(VLOOKUP(A244,ScaledPrice3,3)))),0))</f>
        <v> </v>
      </c>
      <c r="K244" s="317" t="str">
        <f aca="false">IF($A244="N/A"," ",IF(OR(Dayrun3=3,Dayrun3=10),VLOOKUP($A244,ScaledPrice3,9),0))</f>
        <v> </v>
      </c>
      <c r="L244" s="318" t="str">
        <f aca="false">IF($A244="N/A"," ",IF(Pricetype3=2,MAX(C244,0),IF(OR(Pricetype3=1,Pricetype3=4),IF(C244=0,0,(EURO(C244,Strikeprice3,0,0,($AH244+IF(Smile=TRUE(),VLOOKUP(MAX(-5,Strikeprice3-C244),Volsmile,2),0)),($A244-DateToday)+15,IF(Pricetype3=1,1,0),0))),C244)))</f>
        <v> </v>
      </c>
      <c r="M244" s="318" t="str">
        <f aca="false">IF($A244="N/A"," ",IF(Pricetype3=2,MAX(D244,0),IF(OR(Pricetype3=1,Pricetype3=4),IF(D244=0,0,(EURO(D244,Strikeprice3,0,0,($AH244+IF(Smile=TRUE(),VLOOKUP(MAX(-5,Strikeprice3-D244),Volsmile,2),0)),($A244-DateToday)+15,IF(Pricetype3=1,1,0),0))),D244)))</f>
        <v> </v>
      </c>
      <c r="N244" s="318" t="str">
        <f aca="false">IF($A244="N/A"," ",IF(Pricetype3=2,MAX(E244,0),IF(OR(Pricetype3=1,Pricetype3=4),IF(E244=0,0,(EURO(E244,Strikeprice3,0,0,($AK244+IF(Smile=TRUE(),VLOOKUP(MAX(-5,Strikeprice3-E244),Volsmile,2),0)),($A244-DateToday)+15,IF(Pricetype3=1,1,0),0))),E244)))</f>
        <v> </v>
      </c>
      <c r="O244" s="318" t="str">
        <f aca="false">IF($A244="N/A"," ",IF(Pricetype3=2,MAX(F244,0),IF(OR(Pricetype3=1,Pricetype3=4),IF(F244=0,0,(EURO(F244,Strikeprice3,0,0,($AK244+IF(Smile=TRUE(),VLOOKUP(MAX(-5,Strikeprice3-F244),Volsmile,2),0)),($A244-DateToday)+15,IF(Pricetype3=1,1,0),0))),F244)))</f>
        <v> </v>
      </c>
      <c r="P244" s="318" t="str">
        <f aca="false">IF($A244="N/A"," ",IF(Pricetype3=2,MAX(G244,0),IF(OR(Pricetype3=1,Pricetype3=4),IF(G244=0,0,(EURO(G244,Strikeprice3,0,0,($AK244+IF(Smile=TRUE(),VLOOKUP(MAX(-5,Strikeprice3-G244),Volsmile,2),0)),($A244-DateToday)+15,IF(Pricetype3=1,1,0),0))),G244)))</f>
        <v> </v>
      </c>
      <c r="Q244" s="318" t="str">
        <f aca="false">IF($A244="N/A"," ",IF(Pricetype3=2,MAX(H244,0),IF(OR(Pricetype3=1,Pricetype3=4),IF(H244=0,0,(EURO(H244,Strikeprice3,0,0,($AK244+IF(Smile=TRUE(),VLOOKUP(MAX(-5,Strikeprice3-H244),Volsmile,2),0)),($A244-DateToday)+15,IF(Pricetype3=1,1,0),0))),H244)))</f>
        <v> </v>
      </c>
      <c r="R244" s="318" t="str">
        <f aca="false">IF($A244="N/A"," ",IF(Pricetype3=2,MAX(I244,0),IF(OR(Pricetype3=1,Pricetype3=4),IF(I244=0,0,(EURO(I244,Strikeprice3,0,0,($AK244+IF(Smile=TRUE(),VLOOKUP(MAX(-5,Strikeprice3-I244),Volsmile,2),0)),($A244-DateToday)+15,IF(Pricetype3=1,1,0),0))),I244)))</f>
        <v> </v>
      </c>
      <c r="S244" s="318" t="str">
        <f aca="false">IF($A244="N/A"," ",IF(Pricetype3=2,MAX(J244,0),IF(OR(Pricetype3=1,Pricetype3=4),IF(J244=0,0,(EURO(J244,Strikeprice3,0,0,($AK244+IF(Smile=TRUE(),VLOOKUP(MAX(-5,Strikeprice3-J244),Volsmile,2),0)),($A244-DateToday)+15,IF(Pricetype3=1,1,0),0))),J244)))</f>
        <v> </v>
      </c>
      <c r="T244" s="318" t="str">
        <f aca="false">IF($A244="N/A"," ",IF(Pricetype3=2,MAX(K244,0),IF(OR(Pricetype3=1,Pricetype3=4),IF(K244=0,0,(EURO(K244,Strikeprice3,0,0,($AK244+IF(Smile=TRUE(),VLOOKUP(MAX(-5,Strikeprice3-K244),Volsmile,2),0)),($A244-DateToday)+15,IF(Pricetype3=1,1,0),0))),K244)))</f>
        <v> </v>
      </c>
      <c r="U244" s="319" t="str">
        <f aca="false">IF($A244="N/A"," ",Volume3*$AM244)</f>
        <v> </v>
      </c>
      <c r="V244" s="320" t="str">
        <f aca="false">IF($A244="N/A"," ",$U244*(8*($BQ244))*L244)</f>
        <v> </v>
      </c>
      <c r="W244" s="320" t="str">
        <f aca="false">IF($A244="N/A"," ",$U244*(8*($BQ244))*M244)</f>
        <v> </v>
      </c>
      <c r="X244" s="320" t="str">
        <f aca="false">IF($A244="N/A"," ",$U244*(8*($BQ244))*N244)</f>
        <v> </v>
      </c>
      <c r="Y244" s="320" t="str">
        <f aca="false">IF($A244="N/A"," ",$U244*(8*($BR244))*O244)</f>
        <v> </v>
      </c>
      <c r="Z244" s="320" t="str">
        <f aca="false">IF($A244="N/A"," ",$U244*(8*($BR244))*P244)</f>
        <v> </v>
      </c>
      <c r="AA244" s="320" t="str">
        <f aca="false">IF($A244="N/A"," ",$U244*(8*($BR244))*Q244)</f>
        <v> </v>
      </c>
      <c r="AB244" s="320" t="str">
        <f aca="false">IF($A244="N/A"," ",$U244*(8*($BS244))*R244)</f>
        <v> </v>
      </c>
      <c r="AC244" s="320" t="str">
        <f aca="false">IF($A244="N/A"," ",$U244*(8*($BS244))*S244)</f>
        <v> </v>
      </c>
      <c r="AD244" s="320" t="str">
        <f aca="false">IF($A244="N/A"," ",$U244*(8*($BS244))*T244)</f>
        <v> </v>
      </c>
      <c r="AE244" s="320" t="str">
        <f aca="false">IF($A244="N/A"," ",SUM(V244:AD244))</f>
        <v> </v>
      </c>
      <c r="AF244" s="321" t="str">
        <f aca="false">IF(A244="N/A"," ",(VLOOKUP(A244,PowerVolTable,(IF(VolBMO3=2,7,IF(VolBMO3=1,6,8))),FALSE())))</f>
        <v> </v>
      </c>
      <c r="AG244" s="321" t="str">
        <f aca="false">IF(A244="N/A"," ",(VLOOKUP(A244,IntraPowerVol,(IF(VolBMO3=2,3,IF(VolBMO3=1,2,4))),FALSE())*VLOOKUP(MONTH($A244),Volscale,2)))</f>
        <v> </v>
      </c>
      <c r="AH244" s="321" t="str">
        <f aca="false">IF($A244="N/A"," ",IF(VolType3=1,AG244,AF244))</f>
        <v> </v>
      </c>
      <c r="AI244" s="321" t="str">
        <f aca="false">IF($A244="N/A"," ",(VLOOKUP($A244,OffPwrVolTable,(IF(VolBMO3=2,7,IF(VolBMO3=1,6,8))),FALSE())))</f>
        <v> </v>
      </c>
      <c r="AJ244" s="321" t="str">
        <f aca="false">IF($A244="N/A"," ",(VLOOKUP($A244,OffPwrVolTable,(IF(VolBMO3=2,3,IF(VolBMO3=1,2,4))),FALSE())*VLOOKUP(MONTH($A244),Volscale,2)))</f>
        <v> </v>
      </c>
      <c r="AK244" s="321" t="str">
        <f aca="false">IF($A244="N/A"," ",IF(VolType3=1,AJ244,AI244))</f>
        <v> </v>
      </c>
      <c r="AL244" s="321" t="str">
        <f aca="false">IF($A244="N/A"," ",IF(PV=1,0,'Pricing Inputs3'!R277))</f>
        <v> </v>
      </c>
      <c r="AM244" s="323" t="str">
        <f aca="false">IF($A244="N/A"," ",(1+AL244/2)^(-2*((EOMONTH(A244,0)+20)-DateToday)/365.25))</f>
        <v> </v>
      </c>
      <c r="BQ244" s="0" t="str">
        <f aca="false">IF($A244="N/A"," ",(VLOOKUP($A244,NumberofDaysTable,2)))</f>
        <v> </v>
      </c>
      <c r="BR244" s="0" t="str">
        <f aca="false">IF($A244="N/A"," ",(VLOOKUP($A244,NumberofDaysTable,3)))</f>
        <v> </v>
      </c>
      <c r="BS244" s="0" t="str">
        <f aca="false">IF($A244="N/A"," ",(VLOOKUP($A244,NumberofDaysTable,4)))</f>
        <v> </v>
      </c>
    </row>
    <row r="245" customFormat="false" ht="12.75" hidden="false" customHeight="false" outlineLevel="0" collapsed="false">
      <c r="A245" s="315" t="str">
        <f aca="false">IF(A244="N/A","N/A",IF(EDATE(A244,1)&gt;Inputs!$Q$5,"N/A",EDATE(A244,1)))</f>
        <v>N/A</v>
      </c>
      <c r="B245" s="316" t="str">
        <f aca="false">IF(A245="N/A"," ",YEAR(A245))</f>
        <v> </v>
      </c>
      <c r="C245" s="317" t="str">
        <f aca="false">IF($A245="N/A"," ",IF(Dayrun3=10,0,IF(Scaler3=1,(VLOOKUP(A245,ScaledPrice3,4)),(VLOOKUP(A245,ScaledPrice3,2)))))</f>
        <v> </v>
      </c>
      <c r="D245" s="317" t="str">
        <f aca="false">IF(A245="N/A"," ",IF(Dayrun3&gt;=7,0,IF(Scaler3=2,VLOOKUP(A245,ScaledPrice3,2),(VLOOKUP(A245,ScaledPrice3,2))*(2-(VLOOKUP(A245,ScaledPrice3,3))))))</f>
        <v> </v>
      </c>
      <c r="E245" s="317" t="str">
        <f aca="false">IF($A245="N/A"," ",IF(AND(Dayrun3&gt;=4,Dayrun3&lt;=9),0,VLOOKUP($A245,ScaledPrice3,9)))</f>
        <v> </v>
      </c>
      <c r="F245" s="317" t="str">
        <f aca="false">IF(A245="N/A"," ",IF(OR(Dayrun3=2,Dayrun3=3,Dayrun3=5,Dayrun3=6,Dayrun3=8,Dayrun3=9),VLOOKUP(A245,ScaledPrice3,IF(Scaler3=1,6,5)),0))</f>
        <v> </v>
      </c>
      <c r="G245" s="317" t="str">
        <f aca="false">IF(A245="N/A"," ",IF(OR(Dayrun3=2,Dayrun3=3,Dayrun3=5,Dayrun3=6),IF(Scaler3=2,F245,(VLOOKUP(A245,ScaledPrice3,5))*(2-(VLOOKUP(A245,ScaledPrice3,3)))),0))</f>
        <v> </v>
      </c>
      <c r="H245" s="317" t="str">
        <f aca="false">IF($A245="N/A"," ",IF(OR(Dayrun3=2,Dayrun3=3,Dayrun3=10),VLOOKUP($A245,ScaledPrice3,9),0))</f>
        <v> </v>
      </c>
      <c r="I245" s="317" t="str">
        <f aca="false">IF(A245="N/A"," ",IF(OR(Dayrun3=3,Dayrun3=6,Dayrun3=9),(VLOOKUP(A245,ScaledPrice3,IF(Scaler3=2,7,8))),0))</f>
        <v> </v>
      </c>
      <c r="J245" s="317" t="str">
        <f aca="false">IF(A245="N/A"," ",IF(OR(Dayrun3=3,Dayrun3=6),IF(Scaler3=2,I245,(VLOOKUP(A245,ScaledPrice3,7))*(2-(VLOOKUP(A245,ScaledPrice3,3)))),0))</f>
        <v> </v>
      </c>
      <c r="K245" s="317" t="str">
        <f aca="false">IF($A245="N/A"," ",IF(OR(Dayrun3=3,Dayrun3=10),VLOOKUP($A245,ScaledPrice3,9),0))</f>
        <v> </v>
      </c>
      <c r="L245" s="318" t="str">
        <f aca="false">IF($A245="N/A"," ",IF(Pricetype3=2,MAX(C245,0),IF(OR(Pricetype3=1,Pricetype3=4),IF(C245=0,0,(EURO(C245,Strikeprice3,0,0,($AH245+IF(Smile=TRUE(),VLOOKUP(MAX(-5,Strikeprice3-C245),Volsmile,2),0)),($A245-DateToday)+15,IF(Pricetype3=1,1,0),0))),C245)))</f>
        <v> </v>
      </c>
      <c r="M245" s="318" t="str">
        <f aca="false">IF($A245="N/A"," ",IF(Pricetype3=2,MAX(D245,0),IF(OR(Pricetype3=1,Pricetype3=4),IF(D245=0,0,(EURO(D245,Strikeprice3,0,0,($AH245+IF(Smile=TRUE(),VLOOKUP(MAX(-5,Strikeprice3-D245),Volsmile,2),0)),($A245-DateToday)+15,IF(Pricetype3=1,1,0),0))),D245)))</f>
        <v> </v>
      </c>
      <c r="N245" s="318" t="str">
        <f aca="false">IF($A245="N/A"," ",IF(Pricetype3=2,MAX(E245,0),IF(OR(Pricetype3=1,Pricetype3=4),IF(E245=0,0,(EURO(E245,Strikeprice3,0,0,($AK245+IF(Smile=TRUE(),VLOOKUP(MAX(-5,Strikeprice3-E245),Volsmile,2),0)),($A245-DateToday)+15,IF(Pricetype3=1,1,0),0))),E245)))</f>
        <v> </v>
      </c>
      <c r="O245" s="318" t="str">
        <f aca="false">IF($A245="N/A"," ",IF(Pricetype3=2,MAX(F245,0),IF(OR(Pricetype3=1,Pricetype3=4),IF(F245=0,0,(EURO(F245,Strikeprice3,0,0,($AK245+IF(Smile=TRUE(),VLOOKUP(MAX(-5,Strikeprice3-F245),Volsmile,2),0)),($A245-DateToday)+15,IF(Pricetype3=1,1,0),0))),F245)))</f>
        <v> </v>
      </c>
      <c r="P245" s="318" t="str">
        <f aca="false">IF($A245="N/A"," ",IF(Pricetype3=2,MAX(G245,0),IF(OR(Pricetype3=1,Pricetype3=4),IF(G245=0,0,(EURO(G245,Strikeprice3,0,0,($AK245+IF(Smile=TRUE(),VLOOKUP(MAX(-5,Strikeprice3-G245),Volsmile,2),0)),($A245-DateToday)+15,IF(Pricetype3=1,1,0),0))),G245)))</f>
        <v> </v>
      </c>
      <c r="Q245" s="318" t="str">
        <f aca="false">IF($A245="N/A"," ",IF(Pricetype3=2,MAX(H245,0),IF(OR(Pricetype3=1,Pricetype3=4),IF(H245=0,0,(EURO(H245,Strikeprice3,0,0,($AK245+IF(Smile=TRUE(),VLOOKUP(MAX(-5,Strikeprice3-H245),Volsmile,2),0)),($A245-DateToday)+15,IF(Pricetype3=1,1,0),0))),H245)))</f>
        <v> </v>
      </c>
      <c r="R245" s="318" t="str">
        <f aca="false">IF($A245="N/A"," ",IF(Pricetype3=2,MAX(I245,0),IF(OR(Pricetype3=1,Pricetype3=4),IF(I245=0,0,(EURO(I245,Strikeprice3,0,0,($AK245+IF(Smile=TRUE(),VLOOKUP(MAX(-5,Strikeprice3-I245),Volsmile,2),0)),($A245-DateToday)+15,IF(Pricetype3=1,1,0),0))),I245)))</f>
        <v> </v>
      </c>
      <c r="S245" s="318" t="str">
        <f aca="false">IF($A245="N/A"," ",IF(Pricetype3=2,MAX(J245,0),IF(OR(Pricetype3=1,Pricetype3=4),IF(J245=0,0,(EURO(J245,Strikeprice3,0,0,($AK245+IF(Smile=TRUE(),VLOOKUP(MAX(-5,Strikeprice3-J245),Volsmile,2),0)),($A245-DateToday)+15,IF(Pricetype3=1,1,0),0))),J245)))</f>
        <v> </v>
      </c>
      <c r="T245" s="318" t="str">
        <f aca="false">IF($A245="N/A"," ",IF(Pricetype3=2,MAX(K245,0),IF(OR(Pricetype3=1,Pricetype3=4),IF(K245=0,0,(EURO(K245,Strikeprice3,0,0,($AK245+IF(Smile=TRUE(),VLOOKUP(MAX(-5,Strikeprice3-K245),Volsmile,2),0)),($A245-DateToday)+15,IF(Pricetype3=1,1,0),0))),K245)))</f>
        <v> </v>
      </c>
      <c r="U245" s="319" t="str">
        <f aca="false">IF($A245="N/A"," ",Volume3*$AM245)</f>
        <v> </v>
      </c>
      <c r="V245" s="320" t="str">
        <f aca="false">IF($A245="N/A"," ",$U245*(8*($BQ245))*L245)</f>
        <v> </v>
      </c>
      <c r="W245" s="320" t="str">
        <f aca="false">IF($A245="N/A"," ",$U245*(8*($BQ245))*M245)</f>
        <v> </v>
      </c>
      <c r="X245" s="320" t="str">
        <f aca="false">IF($A245="N/A"," ",$U245*(8*($BQ245))*N245)</f>
        <v> </v>
      </c>
      <c r="Y245" s="320" t="str">
        <f aca="false">IF($A245="N/A"," ",$U245*(8*($BR245))*O245)</f>
        <v> </v>
      </c>
      <c r="Z245" s="320" t="str">
        <f aca="false">IF($A245="N/A"," ",$U245*(8*($BR245))*P245)</f>
        <v> </v>
      </c>
      <c r="AA245" s="320" t="str">
        <f aca="false">IF($A245="N/A"," ",$U245*(8*($BR245))*Q245)</f>
        <v> </v>
      </c>
      <c r="AB245" s="320" t="str">
        <f aca="false">IF($A245="N/A"," ",$U245*(8*($BS245))*R245)</f>
        <v> </v>
      </c>
      <c r="AC245" s="320" t="str">
        <f aca="false">IF($A245="N/A"," ",$U245*(8*($BS245))*S245)</f>
        <v> </v>
      </c>
      <c r="AD245" s="320" t="str">
        <f aca="false">IF($A245="N/A"," ",$U245*(8*($BS245))*T245)</f>
        <v> </v>
      </c>
      <c r="AE245" s="320" t="str">
        <f aca="false">IF($A245="N/A"," ",SUM(V245:AD245))</f>
        <v> </v>
      </c>
      <c r="AF245" s="321" t="str">
        <f aca="false">IF(A245="N/A"," ",(VLOOKUP(A245,PowerVolTable,(IF(VolBMO3=2,7,IF(VolBMO3=1,6,8))),FALSE())))</f>
        <v> </v>
      </c>
      <c r="AG245" s="321" t="str">
        <f aca="false">IF(A245="N/A"," ",(VLOOKUP(A245,IntraPowerVol,(IF(VolBMO3=2,3,IF(VolBMO3=1,2,4))),FALSE())*VLOOKUP(MONTH($A245),Volscale,2)))</f>
        <v> </v>
      </c>
      <c r="AH245" s="321" t="str">
        <f aca="false">IF($A245="N/A"," ",IF(VolType3=1,AG245,AF245))</f>
        <v> </v>
      </c>
      <c r="AI245" s="321" t="str">
        <f aca="false">IF($A245="N/A"," ",(VLOOKUP($A245,OffPwrVolTable,(IF(VolBMO3=2,7,IF(VolBMO3=1,6,8))),FALSE())))</f>
        <v> </v>
      </c>
      <c r="AJ245" s="321" t="str">
        <f aca="false">IF($A245="N/A"," ",(VLOOKUP($A245,OffPwrVolTable,(IF(VolBMO3=2,3,IF(VolBMO3=1,2,4))),FALSE())*VLOOKUP(MONTH($A245),Volscale,2)))</f>
        <v> </v>
      </c>
      <c r="AK245" s="321" t="str">
        <f aca="false">IF($A245="N/A"," ",IF(VolType3=1,AJ245,AI245))</f>
        <v> </v>
      </c>
      <c r="AL245" s="321" t="str">
        <f aca="false">IF($A245="N/A"," ",IF(PV=1,0,'Pricing Inputs3'!R278))</f>
        <v> </v>
      </c>
      <c r="AM245" s="323" t="str">
        <f aca="false">IF($A245="N/A"," ",(1+AL245/2)^(-2*((EOMONTH(A245,0)+20)-DateToday)/365.25))</f>
        <v> </v>
      </c>
      <c r="BQ245" s="0" t="str">
        <f aca="false">IF($A245="N/A"," ",(VLOOKUP($A245,NumberofDaysTable,2)))</f>
        <v> </v>
      </c>
      <c r="BR245" s="0" t="str">
        <f aca="false">IF($A245="N/A"," ",(VLOOKUP($A245,NumberofDaysTable,3)))</f>
        <v> </v>
      </c>
      <c r="BS245" s="0" t="str">
        <f aca="false">IF($A245="N/A"," ",(VLOOKUP($A245,NumberofDaysTable,4)))</f>
        <v> </v>
      </c>
    </row>
    <row r="246" customFormat="false" ht="12.75" hidden="false" customHeight="false" outlineLevel="0" collapsed="false">
      <c r="A246" s="315" t="str">
        <f aca="false">IF(A245="N/A","N/A",IF(EDATE(A245,1)&gt;Inputs!$Q$5,"N/A",EDATE(A245,1)))</f>
        <v>N/A</v>
      </c>
      <c r="B246" s="316" t="str">
        <f aca="false">IF(A246="N/A"," ",YEAR(A246))</f>
        <v> </v>
      </c>
      <c r="C246" s="317" t="str">
        <f aca="false">IF($A246="N/A"," ",IF(Dayrun3=10,0,IF(Scaler3=1,(VLOOKUP(A246,ScaledPrice3,4)),(VLOOKUP(A246,ScaledPrice3,2)))))</f>
        <v> </v>
      </c>
      <c r="D246" s="317" t="str">
        <f aca="false">IF(A246="N/A"," ",IF(Dayrun3&gt;=7,0,IF(Scaler3=2,VLOOKUP(A246,ScaledPrice3,2),(VLOOKUP(A246,ScaledPrice3,2))*(2-(VLOOKUP(A246,ScaledPrice3,3))))))</f>
        <v> </v>
      </c>
      <c r="E246" s="317" t="str">
        <f aca="false">IF($A246="N/A"," ",IF(AND(Dayrun3&gt;=4,Dayrun3&lt;=9),0,VLOOKUP($A246,ScaledPrice3,9)))</f>
        <v> </v>
      </c>
      <c r="F246" s="317" t="str">
        <f aca="false">IF(A246="N/A"," ",IF(OR(Dayrun3=2,Dayrun3=3,Dayrun3=5,Dayrun3=6,Dayrun3=8,Dayrun3=9),VLOOKUP(A246,ScaledPrice3,IF(Scaler3=1,6,5)),0))</f>
        <v> </v>
      </c>
      <c r="G246" s="317" t="str">
        <f aca="false">IF(A246="N/A"," ",IF(OR(Dayrun3=2,Dayrun3=3,Dayrun3=5,Dayrun3=6),IF(Scaler3=2,F246,(VLOOKUP(A246,ScaledPrice3,5))*(2-(VLOOKUP(A246,ScaledPrice3,3)))),0))</f>
        <v> </v>
      </c>
      <c r="H246" s="317" t="str">
        <f aca="false">IF($A246="N/A"," ",IF(OR(Dayrun3=2,Dayrun3=3,Dayrun3=10),VLOOKUP($A246,ScaledPrice3,9),0))</f>
        <v> </v>
      </c>
      <c r="I246" s="317" t="str">
        <f aca="false">IF(A246="N/A"," ",IF(OR(Dayrun3=3,Dayrun3=6,Dayrun3=9),(VLOOKUP(A246,ScaledPrice3,IF(Scaler3=2,7,8))),0))</f>
        <v> </v>
      </c>
      <c r="J246" s="317" t="str">
        <f aca="false">IF(A246="N/A"," ",IF(OR(Dayrun3=3,Dayrun3=6),IF(Scaler3=2,I246,(VLOOKUP(A246,ScaledPrice3,7))*(2-(VLOOKUP(A246,ScaledPrice3,3)))),0))</f>
        <v> </v>
      </c>
      <c r="K246" s="317" t="str">
        <f aca="false">IF($A246="N/A"," ",IF(OR(Dayrun3=3,Dayrun3=10),VLOOKUP($A246,ScaledPrice3,9),0))</f>
        <v> </v>
      </c>
      <c r="L246" s="318" t="str">
        <f aca="false">IF($A246="N/A"," ",IF(Pricetype3=2,MAX(C246,0),IF(OR(Pricetype3=1,Pricetype3=4),IF(C246=0,0,(EURO(C246,Strikeprice3,0,0,($AH246+IF(Smile=TRUE(),VLOOKUP(MAX(-5,Strikeprice3-C246),Volsmile,2),0)),($A246-DateToday)+15,IF(Pricetype3=1,1,0),0))),C246)))</f>
        <v> </v>
      </c>
      <c r="M246" s="318" t="str">
        <f aca="false">IF($A246="N/A"," ",IF(Pricetype3=2,MAX(D246,0),IF(OR(Pricetype3=1,Pricetype3=4),IF(D246=0,0,(EURO(D246,Strikeprice3,0,0,($AH246+IF(Smile=TRUE(),VLOOKUP(MAX(-5,Strikeprice3-D246),Volsmile,2),0)),($A246-DateToday)+15,IF(Pricetype3=1,1,0),0))),D246)))</f>
        <v> </v>
      </c>
      <c r="N246" s="318" t="str">
        <f aca="false">IF($A246="N/A"," ",IF(Pricetype3=2,MAX(E246,0),IF(OR(Pricetype3=1,Pricetype3=4),IF(E246=0,0,(EURO(E246,Strikeprice3,0,0,($AK246+IF(Smile=TRUE(),VLOOKUP(MAX(-5,Strikeprice3-E246),Volsmile,2),0)),($A246-DateToday)+15,IF(Pricetype3=1,1,0),0))),E246)))</f>
        <v> </v>
      </c>
      <c r="O246" s="318" t="str">
        <f aca="false">IF($A246="N/A"," ",IF(Pricetype3=2,MAX(F246,0),IF(OR(Pricetype3=1,Pricetype3=4),IF(F246=0,0,(EURO(F246,Strikeprice3,0,0,($AK246+IF(Smile=TRUE(),VLOOKUP(MAX(-5,Strikeprice3-F246),Volsmile,2),0)),($A246-DateToday)+15,IF(Pricetype3=1,1,0),0))),F246)))</f>
        <v> </v>
      </c>
      <c r="P246" s="318" t="str">
        <f aca="false">IF($A246="N/A"," ",IF(Pricetype3=2,MAX(G246,0),IF(OR(Pricetype3=1,Pricetype3=4),IF(G246=0,0,(EURO(G246,Strikeprice3,0,0,($AK246+IF(Smile=TRUE(),VLOOKUP(MAX(-5,Strikeprice3-G246),Volsmile,2),0)),($A246-DateToday)+15,IF(Pricetype3=1,1,0),0))),G246)))</f>
        <v> </v>
      </c>
      <c r="Q246" s="318" t="str">
        <f aca="false">IF($A246="N/A"," ",IF(Pricetype3=2,MAX(H246,0),IF(OR(Pricetype3=1,Pricetype3=4),IF(H246=0,0,(EURO(H246,Strikeprice3,0,0,($AK246+IF(Smile=TRUE(),VLOOKUP(MAX(-5,Strikeprice3-H246),Volsmile,2),0)),($A246-DateToday)+15,IF(Pricetype3=1,1,0),0))),H246)))</f>
        <v> </v>
      </c>
      <c r="R246" s="318" t="str">
        <f aca="false">IF($A246="N/A"," ",IF(Pricetype3=2,MAX(I246,0),IF(OR(Pricetype3=1,Pricetype3=4),IF(I246=0,0,(EURO(I246,Strikeprice3,0,0,($AK246+IF(Smile=TRUE(),VLOOKUP(MAX(-5,Strikeprice3-I246),Volsmile,2),0)),($A246-DateToday)+15,IF(Pricetype3=1,1,0),0))),I246)))</f>
        <v> </v>
      </c>
      <c r="S246" s="318" t="str">
        <f aca="false">IF($A246="N/A"," ",IF(Pricetype3=2,MAX(J246,0),IF(OR(Pricetype3=1,Pricetype3=4),IF(J246=0,0,(EURO(J246,Strikeprice3,0,0,($AK246+IF(Smile=TRUE(),VLOOKUP(MAX(-5,Strikeprice3-J246),Volsmile,2),0)),($A246-DateToday)+15,IF(Pricetype3=1,1,0),0))),J246)))</f>
        <v> </v>
      </c>
      <c r="T246" s="318" t="str">
        <f aca="false">IF($A246="N/A"," ",IF(Pricetype3=2,MAX(K246,0),IF(OR(Pricetype3=1,Pricetype3=4),IF(K246=0,0,(EURO(K246,Strikeprice3,0,0,($AK246+IF(Smile=TRUE(),VLOOKUP(MAX(-5,Strikeprice3-K246),Volsmile,2),0)),($A246-DateToday)+15,IF(Pricetype3=1,1,0),0))),K246)))</f>
        <v> </v>
      </c>
      <c r="U246" s="319" t="str">
        <f aca="false">IF($A246="N/A"," ",Volume3*$AM246)</f>
        <v> </v>
      </c>
      <c r="V246" s="320" t="str">
        <f aca="false">IF($A246="N/A"," ",$U246*(8*($BQ246))*L246)</f>
        <v> </v>
      </c>
      <c r="W246" s="320" t="str">
        <f aca="false">IF($A246="N/A"," ",$U246*(8*($BQ246))*M246)</f>
        <v> </v>
      </c>
      <c r="X246" s="320" t="str">
        <f aca="false">IF($A246="N/A"," ",$U246*(8*($BQ246))*N246)</f>
        <v> </v>
      </c>
      <c r="Y246" s="320" t="str">
        <f aca="false">IF($A246="N/A"," ",$U246*(8*($BR246))*O246)</f>
        <v> </v>
      </c>
      <c r="Z246" s="320" t="str">
        <f aca="false">IF($A246="N/A"," ",$U246*(8*($BR246))*P246)</f>
        <v> </v>
      </c>
      <c r="AA246" s="320" t="str">
        <f aca="false">IF($A246="N/A"," ",$U246*(8*($BR246))*Q246)</f>
        <v> </v>
      </c>
      <c r="AB246" s="320" t="str">
        <f aca="false">IF($A246="N/A"," ",$U246*(8*($BS246))*R246)</f>
        <v> </v>
      </c>
      <c r="AC246" s="320" t="str">
        <f aca="false">IF($A246="N/A"," ",$U246*(8*($BS246))*S246)</f>
        <v> </v>
      </c>
      <c r="AD246" s="320" t="str">
        <f aca="false">IF($A246="N/A"," ",$U246*(8*($BS246))*T246)</f>
        <v> </v>
      </c>
      <c r="AE246" s="320" t="str">
        <f aca="false">IF($A246="N/A"," ",SUM(V246:AD246))</f>
        <v> </v>
      </c>
      <c r="AF246" s="321" t="str">
        <f aca="false">IF(A246="N/A"," ",(VLOOKUP(A246,PowerVolTable,(IF(VolBMO3=2,7,IF(VolBMO3=1,6,8))),FALSE())))</f>
        <v> </v>
      </c>
      <c r="AG246" s="321" t="str">
        <f aca="false">IF(A246="N/A"," ",(VLOOKUP(A246,IntraPowerVol,(IF(VolBMO3=2,3,IF(VolBMO3=1,2,4))),FALSE())*VLOOKUP(MONTH($A246),Volscale,2)))</f>
        <v> </v>
      </c>
      <c r="AH246" s="321" t="str">
        <f aca="false">IF($A246="N/A"," ",IF(VolType3=1,AG246,AF246))</f>
        <v> </v>
      </c>
      <c r="AI246" s="321" t="str">
        <f aca="false">IF($A246="N/A"," ",(VLOOKUP($A246,OffPwrVolTable,(IF(VolBMO3=2,7,IF(VolBMO3=1,6,8))),FALSE())))</f>
        <v> </v>
      </c>
      <c r="AJ246" s="321" t="str">
        <f aca="false">IF($A246="N/A"," ",(VLOOKUP($A246,OffPwrVolTable,(IF(VolBMO3=2,3,IF(VolBMO3=1,2,4))),FALSE())*VLOOKUP(MONTH($A246),Volscale,2)))</f>
        <v> </v>
      </c>
      <c r="AK246" s="321" t="str">
        <f aca="false">IF($A246="N/A"," ",IF(VolType3=1,AJ246,AI246))</f>
        <v> </v>
      </c>
      <c r="AL246" s="321" t="str">
        <f aca="false">IF($A246="N/A"," ",IF(PV=1,0,'Pricing Inputs3'!R279))</f>
        <v> </v>
      </c>
      <c r="AM246" s="323" t="str">
        <f aca="false">IF($A246="N/A"," ",(1+AL246/2)^(-2*((EOMONTH(A246,0)+20)-DateToday)/365.25))</f>
        <v> </v>
      </c>
      <c r="BQ246" s="0" t="str">
        <f aca="false">IF($A246="N/A"," ",(VLOOKUP($A246,NumberofDaysTable,2)))</f>
        <v> </v>
      </c>
      <c r="BR246" s="0" t="str">
        <f aca="false">IF($A246="N/A"," ",(VLOOKUP($A246,NumberofDaysTable,3)))</f>
        <v> </v>
      </c>
      <c r="BS246" s="0" t="str">
        <f aca="false">IF($A246="N/A"," ",(VLOOKUP($A246,NumberofDaysTable,4)))</f>
        <v> </v>
      </c>
    </row>
    <row r="247" customFormat="false" ht="12.75" hidden="false" customHeight="false" outlineLevel="0" collapsed="false">
      <c r="A247" s="315" t="str">
        <f aca="false">IF(A246="N/A","N/A",IF(EDATE(A246,1)&gt;Inputs!$Q$5,"N/A",EDATE(A246,1)))</f>
        <v>N/A</v>
      </c>
      <c r="B247" s="316" t="str">
        <f aca="false">IF(A247="N/A"," ",YEAR(A247))</f>
        <v> </v>
      </c>
      <c r="C247" s="317" t="str">
        <f aca="false">IF($A247="N/A"," ",IF(Dayrun3=10,0,IF(Scaler3=1,(VLOOKUP(A247,ScaledPrice3,4)),(VLOOKUP(A247,ScaledPrice3,2)))))</f>
        <v> </v>
      </c>
      <c r="D247" s="317" t="str">
        <f aca="false">IF(A247="N/A"," ",IF(Dayrun3&gt;=7,0,IF(Scaler3=2,VLOOKUP(A247,ScaledPrice3,2),(VLOOKUP(A247,ScaledPrice3,2))*(2-(VLOOKUP(A247,ScaledPrice3,3))))))</f>
        <v> </v>
      </c>
      <c r="E247" s="317" t="str">
        <f aca="false">IF($A247="N/A"," ",IF(AND(Dayrun3&gt;=4,Dayrun3&lt;=9),0,VLOOKUP($A247,ScaledPrice3,9)))</f>
        <v> </v>
      </c>
      <c r="F247" s="317" t="str">
        <f aca="false">IF(A247="N/A"," ",IF(OR(Dayrun3=2,Dayrun3=3,Dayrun3=5,Dayrun3=6,Dayrun3=8,Dayrun3=9),VLOOKUP(A247,ScaledPrice3,IF(Scaler3=1,6,5)),0))</f>
        <v> </v>
      </c>
      <c r="G247" s="317" t="str">
        <f aca="false">IF(A247="N/A"," ",IF(OR(Dayrun3=2,Dayrun3=3,Dayrun3=5,Dayrun3=6),IF(Scaler3=2,F247,(VLOOKUP(A247,ScaledPrice3,5))*(2-(VLOOKUP(A247,ScaledPrice3,3)))),0))</f>
        <v> </v>
      </c>
      <c r="H247" s="317" t="str">
        <f aca="false">IF($A247="N/A"," ",IF(OR(Dayrun3=2,Dayrun3=3,Dayrun3=10),VLOOKUP($A247,ScaledPrice3,9),0))</f>
        <v> </v>
      </c>
      <c r="I247" s="317" t="str">
        <f aca="false">IF(A247="N/A"," ",IF(OR(Dayrun3=3,Dayrun3=6,Dayrun3=9),(VLOOKUP(A247,ScaledPrice3,IF(Scaler3=2,7,8))),0))</f>
        <v> </v>
      </c>
      <c r="J247" s="317" t="str">
        <f aca="false">IF(A247="N/A"," ",IF(OR(Dayrun3=3,Dayrun3=6),IF(Scaler3=2,I247,(VLOOKUP(A247,ScaledPrice3,7))*(2-(VLOOKUP(A247,ScaledPrice3,3)))),0))</f>
        <v> </v>
      </c>
      <c r="K247" s="317" t="str">
        <f aca="false">IF($A247="N/A"," ",IF(OR(Dayrun3=3,Dayrun3=10),VLOOKUP($A247,ScaledPrice3,9),0))</f>
        <v> </v>
      </c>
      <c r="L247" s="318" t="str">
        <f aca="false">IF($A247="N/A"," ",IF(Pricetype3=2,MAX(C247,0),IF(OR(Pricetype3=1,Pricetype3=4),IF(C247=0,0,(EURO(C247,Strikeprice3,0,0,($AH247+IF(Smile=TRUE(),VLOOKUP(MAX(-5,Strikeprice3-C247),Volsmile,2),0)),($A247-DateToday)+15,IF(Pricetype3=1,1,0),0))),C247)))</f>
        <v> </v>
      </c>
      <c r="M247" s="318" t="str">
        <f aca="false">IF($A247="N/A"," ",IF(Pricetype3=2,MAX(D247,0),IF(OR(Pricetype3=1,Pricetype3=4),IF(D247=0,0,(EURO(D247,Strikeprice3,0,0,($AH247+IF(Smile=TRUE(),VLOOKUP(MAX(-5,Strikeprice3-D247),Volsmile,2),0)),($A247-DateToday)+15,IF(Pricetype3=1,1,0),0))),D247)))</f>
        <v> </v>
      </c>
      <c r="N247" s="318" t="str">
        <f aca="false">IF($A247="N/A"," ",IF(Pricetype3=2,MAX(E247,0),IF(OR(Pricetype3=1,Pricetype3=4),IF(E247=0,0,(EURO(E247,Strikeprice3,0,0,($AK247+IF(Smile=TRUE(),VLOOKUP(MAX(-5,Strikeprice3-E247),Volsmile,2),0)),($A247-DateToday)+15,IF(Pricetype3=1,1,0),0))),E247)))</f>
        <v> </v>
      </c>
      <c r="O247" s="318" t="str">
        <f aca="false">IF($A247="N/A"," ",IF(Pricetype3=2,MAX(F247,0),IF(OR(Pricetype3=1,Pricetype3=4),IF(F247=0,0,(EURO(F247,Strikeprice3,0,0,($AK247+IF(Smile=TRUE(),VLOOKUP(MAX(-5,Strikeprice3-F247),Volsmile,2),0)),($A247-DateToday)+15,IF(Pricetype3=1,1,0),0))),F247)))</f>
        <v> </v>
      </c>
      <c r="P247" s="318" t="str">
        <f aca="false">IF($A247="N/A"," ",IF(Pricetype3=2,MAX(G247,0),IF(OR(Pricetype3=1,Pricetype3=4),IF(G247=0,0,(EURO(G247,Strikeprice3,0,0,($AK247+IF(Smile=TRUE(),VLOOKUP(MAX(-5,Strikeprice3-G247),Volsmile,2),0)),($A247-DateToday)+15,IF(Pricetype3=1,1,0),0))),G247)))</f>
        <v> </v>
      </c>
      <c r="Q247" s="318" t="str">
        <f aca="false">IF($A247="N/A"," ",IF(Pricetype3=2,MAX(H247,0),IF(OR(Pricetype3=1,Pricetype3=4),IF(H247=0,0,(EURO(H247,Strikeprice3,0,0,($AK247+IF(Smile=TRUE(),VLOOKUP(MAX(-5,Strikeprice3-H247),Volsmile,2),0)),($A247-DateToday)+15,IF(Pricetype3=1,1,0),0))),H247)))</f>
        <v> </v>
      </c>
      <c r="R247" s="318" t="str">
        <f aca="false">IF($A247="N/A"," ",IF(Pricetype3=2,MAX(I247,0),IF(OR(Pricetype3=1,Pricetype3=4),IF(I247=0,0,(EURO(I247,Strikeprice3,0,0,($AK247+IF(Smile=TRUE(),VLOOKUP(MAX(-5,Strikeprice3-I247),Volsmile,2),0)),($A247-DateToday)+15,IF(Pricetype3=1,1,0),0))),I247)))</f>
        <v> </v>
      </c>
      <c r="S247" s="318" t="str">
        <f aca="false">IF($A247="N/A"," ",IF(Pricetype3=2,MAX(J247,0),IF(OR(Pricetype3=1,Pricetype3=4),IF(J247=0,0,(EURO(J247,Strikeprice3,0,0,($AK247+IF(Smile=TRUE(),VLOOKUP(MAX(-5,Strikeprice3-J247),Volsmile,2),0)),($A247-DateToday)+15,IF(Pricetype3=1,1,0),0))),J247)))</f>
        <v> </v>
      </c>
      <c r="T247" s="318" t="str">
        <f aca="false">IF($A247="N/A"," ",IF(Pricetype3=2,MAX(K247,0),IF(OR(Pricetype3=1,Pricetype3=4),IF(K247=0,0,(EURO(K247,Strikeprice3,0,0,($AK247+IF(Smile=TRUE(),VLOOKUP(MAX(-5,Strikeprice3-K247),Volsmile,2),0)),($A247-DateToday)+15,IF(Pricetype3=1,1,0),0))),K247)))</f>
        <v> </v>
      </c>
      <c r="U247" s="319" t="str">
        <f aca="false">IF($A247="N/A"," ",Volume3*$AM247)</f>
        <v> </v>
      </c>
      <c r="V247" s="320" t="str">
        <f aca="false">IF($A247="N/A"," ",$U247*(8*($BQ247))*L247)</f>
        <v> </v>
      </c>
      <c r="W247" s="320" t="str">
        <f aca="false">IF($A247="N/A"," ",$U247*(8*($BQ247))*M247)</f>
        <v> </v>
      </c>
      <c r="X247" s="320" t="str">
        <f aca="false">IF($A247="N/A"," ",$U247*(8*($BQ247))*N247)</f>
        <v> </v>
      </c>
      <c r="Y247" s="320" t="str">
        <f aca="false">IF($A247="N/A"," ",$U247*(8*($BR247))*O247)</f>
        <v> </v>
      </c>
      <c r="Z247" s="320" t="str">
        <f aca="false">IF($A247="N/A"," ",$U247*(8*($BR247))*P247)</f>
        <v> </v>
      </c>
      <c r="AA247" s="320" t="str">
        <f aca="false">IF($A247="N/A"," ",$U247*(8*($BR247))*Q247)</f>
        <v> </v>
      </c>
      <c r="AB247" s="320" t="str">
        <f aca="false">IF($A247="N/A"," ",$U247*(8*($BS247))*R247)</f>
        <v> </v>
      </c>
      <c r="AC247" s="320" t="str">
        <f aca="false">IF($A247="N/A"," ",$U247*(8*($BS247))*S247)</f>
        <v> </v>
      </c>
      <c r="AD247" s="320" t="str">
        <f aca="false">IF($A247="N/A"," ",$U247*(8*($BS247))*T247)</f>
        <v> </v>
      </c>
      <c r="AE247" s="320" t="str">
        <f aca="false">IF($A247="N/A"," ",SUM(V247:AD247))</f>
        <v> </v>
      </c>
      <c r="AF247" s="321" t="str">
        <f aca="false">IF(A247="N/A"," ",(VLOOKUP(A247,PowerVolTable,(IF(VolBMO3=2,7,IF(VolBMO3=1,6,8))),FALSE())))</f>
        <v> </v>
      </c>
      <c r="AG247" s="321" t="str">
        <f aca="false">IF(A247="N/A"," ",(VLOOKUP(A247,IntraPowerVol,(IF(VolBMO3=2,3,IF(VolBMO3=1,2,4))),FALSE())*VLOOKUP(MONTH($A247),Volscale,2)))</f>
        <v> </v>
      </c>
      <c r="AH247" s="321" t="str">
        <f aca="false">IF($A247="N/A"," ",IF(VolType3=1,AG247,AF247))</f>
        <v> </v>
      </c>
      <c r="AI247" s="321" t="str">
        <f aca="false">IF($A247="N/A"," ",(VLOOKUP($A247,OffPwrVolTable,(IF(VolBMO3=2,7,IF(VolBMO3=1,6,8))),FALSE())))</f>
        <v> </v>
      </c>
      <c r="AJ247" s="321" t="str">
        <f aca="false">IF($A247="N/A"," ",(VLOOKUP($A247,OffPwrVolTable,(IF(VolBMO3=2,3,IF(VolBMO3=1,2,4))),FALSE())*VLOOKUP(MONTH($A247),Volscale,2)))</f>
        <v> </v>
      </c>
      <c r="AK247" s="321" t="str">
        <f aca="false">IF($A247="N/A"," ",IF(VolType3=1,AJ247,AI247))</f>
        <v> </v>
      </c>
      <c r="AL247" s="321" t="str">
        <f aca="false">IF($A247="N/A"," ",IF(PV=1,0,'Pricing Inputs3'!R280))</f>
        <v> </v>
      </c>
      <c r="AM247" s="323" t="str">
        <f aca="false">IF($A247="N/A"," ",(1+AL247/2)^(-2*((EOMONTH(A247,0)+20)-DateToday)/365.25))</f>
        <v> </v>
      </c>
      <c r="BQ247" s="0" t="str">
        <f aca="false">IF($A247="N/A"," ",(VLOOKUP($A247,NumberofDaysTable,2)))</f>
        <v> </v>
      </c>
      <c r="BR247" s="0" t="str">
        <f aca="false">IF($A247="N/A"," ",(VLOOKUP($A247,NumberofDaysTable,3)))</f>
        <v> </v>
      </c>
      <c r="BS247" s="0" t="str">
        <f aca="false">IF($A247="N/A"," ",(VLOOKUP($A247,NumberofDaysTable,4)))</f>
        <v> </v>
      </c>
    </row>
    <row r="248" customFormat="false" ht="12.75" hidden="false" customHeight="false" outlineLevel="0" collapsed="false">
      <c r="A248" s="315" t="str">
        <f aca="false">IF(A247="N/A","N/A",IF(EDATE(A247,1)&gt;Inputs!$Q$5,"N/A",EDATE(A247,1)))</f>
        <v>N/A</v>
      </c>
      <c r="B248" s="316" t="str">
        <f aca="false">IF(A248="N/A"," ",YEAR(A248))</f>
        <v> </v>
      </c>
      <c r="C248" s="317" t="str">
        <f aca="false">IF($A248="N/A"," ",IF(Dayrun3=10,0,IF(Scaler3=1,(VLOOKUP(A248,ScaledPrice3,4)),(VLOOKUP(A248,ScaledPrice3,2)))))</f>
        <v> </v>
      </c>
      <c r="D248" s="317" t="str">
        <f aca="false">IF(A248="N/A"," ",IF(Dayrun3&gt;=7,0,IF(Scaler3=2,VLOOKUP(A248,ScaledPrice3,2),(VLOOKUP(A248,ScaledPrice3,2))*(2-(VLOOKUP(A248,ScaledPrice3,3))))))</f>
        <v> </v>
      </c>
      <c r="E248" s="317" t="str">
        <f aca="false">IF($A248="N/A"," ",IF(AND(Dayrun3&gt;=4,Dayrun3&lt;=9),0,VLOOKUP($A248,ScaledPrice3,9)))</f>
        <v> </v>
      </c>
      <c r="F248" s="317" t="str">
        <f aca="false">IF(A248="N/A"," ",IF(OR(Dayrun3=2,Dayrun3=3,Dayrun3=5,Dayrun3=6,Dayrun3=8,Dayrun3=9),VLOOKUP(A248,ScaledPrice3,IF(Scaler3=1,6,5)),0))</f>
        <v> </v>
      </c>
      <c r="G248" s="317" t="str">
        <f aca="false">IF(A248="N/A"," ",IF(OR(Dayrun3=2,Dayrun3=3,Dayrun3=5,Dayrun3=6),IF(Scaler3=2,F248,(VLOOKUP(A248,ScaledPrice3,5))*(2-(VLOOKUP(A248,ScaledPrice3,3)))),0))</f>
        <v> </v>
      </c>
      <c r="H248" s="317" t="str">
        <f aca="false">IF($A248="N/A"," ",IF(OR(Dayrun3=2,Dayrun3=3,Dayrun3=10),VLOOKUP($A248,ScaledPrice3,9),0))</f>
        <v> </v>
      </c>
      <c r="I248" s="317" t="str">
        <f aca="false">IF(A248="N/A"," ",IF(OR(Dayrun3=3,Dayrun3=6,Dayrun3=9),(VLOOKUP(A248,ScaledPrice3,IF(Scaler3=2,7,8))),0))</f>
        <v> </v>
      </c>
      <c r="J248" s="317" t="str">
        <f aca="false">IF(A248="N/A"," ",IF(OR(Dayrun3=3,Dayrun3=6),IF(Scaler3=2,I248,(VLOOKUP(A248,ScaledPrice3,7))*(2-(VLOOKUP(A248,ScaledPrice3,3)))),0))</f>
        <v> </v>
      </c>
      <c r="K248" s="317" t="str">
        <f aca="false">IF($A248="N/A"," ",IF(OR(Dayrun3=3,Dayrun3=10),VLOOKUP($A248,ScaledPrice3,9),0))</f>
        <v> </v>
      </c>
      <c r="L248" s="318" t="str">
        <f aca="false">IF($A248="N/A"," ",IF(Pricetype3=2,MAX(C248,0),IF(OR(Pricetype3=1,Pricetype3=4),IF(C248=0,0,(EURO(C248,Strikeprice3,0,0,($AH248+IF(Smile=TRUE(),VLOOKUP(MAX(-5,Strikeprice3-C248),Volsmile,2),0)),($A248-DateToday)+15,IF(Pricetype3=1,1,0),0))),C248)))</f>
        <v> </v>
      </c>
      <c r="M248" s="318" t="str">
        <f aca="false">IF($A248="N/A"," ",IF(Pricetype3=2,MAX(D248,0),IF(OR(Pricetype3=1,Pricetype3=4),IF(D248=0,0,(EURO(D248,Strikeprice3,0,0,($AH248+IF(Smile=TRUE(),VLOOKUP(MAX(-5,Strikeprice3-D248),Volsmile,2),0)),($A248-DateToday)+15,IF(Pricetype3=1,1,0),0))),D248)))</f>
        <v> </v>
      </c>
      <c r="N248" s="318" t="str">
        <f aca="false">IF($A248="N/A"," ",IF(Pricetype3=2,MAX(E248,0),IF(OR(Pricetype3=1,Pricetype3=4),IF(E248=0,0,(EURO(E248,Strikeprice3,0,0,($AK248+IF(Smile=TRUE(),VLOOKUP(MAX(-5,Strikeprice3-E248),Volsmile,2),0)),($A248-DateToday)+15,IF(Pricetype3=1,1,0),0))),E248)))</f>
        <v> </v>
      </c>
      <c r="O248" s="318" t="str">
        <f aca="false">IF($A248="N/A"," ",IF(Pricetype3=2,MAX(F248,0),IF(OR(Pricetype3=1,Pricetype3=4),IF(F248=0,0,(EURO(F248,Strikeprice3,0,0,($AK248+IF(Smile=TRUE(),VLOOKUP(MAX(-5,Strikeprice3-F248),Volsmile,2),0)),($A248-DateToday)+15,IF(Pricetype3=1,1,0),0))),F248)))</f>
        <v> </v>
      </c>
      <c r="P248" s="318" t="str">
        <f aca="false">IF($A248="N/A"," ",IF(Pricetype3=2,MAX(G248,0),IF(OR(Pricetype3=1,Pricetype3=4),IF(G248=0,0,(EURO(G248,Strikeprice3,0,0,($AK248+IF(Smile=TRUE(),VLOOKUP(MAX(-5,Strikeprice3-G248),Volsmile,2),0)),($A248-DateToday)+15,IF(Pricetype3=1,1,0),0))),G248)))</f>
        <v> </v>
      </c>
      <c r="Q248" s="318" t="str">
        <f aca="false">IF($A248="N/A"," ",IF(Pricetype3=2,MAX(H248,0),IF(OR(Pricetype3=1,Pricetype3=4),IF(H248=0,0,(EURO(H248,Strikeprice3,0,0,($AK248+IF(Smile=TRUE(),VLOOKUP(MAX(-5,Strikeprice3-H248),Volsmile,2),0)),($A248-DateToday)+15,IF(Pricetype3=1,1,0),0))),H248)))</f>
        <v> </v>
      </c>
      <c r="R248" s="318" t="str">
        <f aca="false">IF($A248="N/A"," ",IF(Pricetype3=2,MAX(I248,0),IF(OR(Pricetype3=1,Pricetype3=4),IF(I248=0,0,(EURO(I248,Strikeprice3,0,0,($AK248+IF(Smile=TRUE(),VLOOKUP(MAX(-5,Strikeprice3-I248),Volsmile,2),0)),($A248-DateToday)+15,IF(Pricetype3=1,1,0),0))),I248)))</f>
        <v> </v>
      </c>
      <c r="S248" s="318" t="str">
        <f aca="false">IF($A248="N/A"," ",IF(Pricetype3=2,MAX(J248,0),IF(OR(Pricetype3=1,Pricetype3=4),IF(J248=0,0,(EURO(J248,Strikeprice3,0,0,($AK248+IF(Smile=TRUE(),VLOOKUP(MAX(-5,Strikeprice3-J248),Volsmile,2),0)),($A248-DateToday)+15,IF(Pricetype3=1,1,0),0))),J248)))</f>
        <v> </v>
      </c>
      <c r="T248" s="318" t="str">
        <f aca="false">IF($A248="N/A"," ",IF(Pricetype3=2,MAX(K248,0),IF(OR(Pricetype3=1,Pricetype3=4),IF(K248=0,0,(EURO(K248,Strikeprice3,0,0,($AK248+IF(Smile=TRUE(),VLOOKUP(MAX(-5,Strikeprice3-K248),Volsmile,2),0)),($A248-DateToday)+15,IF(Pricetype3=1,1,0),0))),K248)))</f>
        <v> </v>
      </c>
      <c r="U248" s="319" t="str">
        <f aca="false">IF($A248="N/A"," ",Volume3*$AM248)</f>
        <v> </v>
      </c>
      <c r="V248" s="320" t="str">
        <f aca="false">IF($A248="N/A"," ",$U248*(8*($BQ248))*L248)</f>
        <v> </v>
      </c>
      <c r="W248" s="320" t="str">
        <f aca="false">IF($A248="N/A"," ",$U248*(8*($BQ248))*M248)</f>
        <v> </v>
      </c>
      <c r="X248" s="320" t="str">
        <f aca="false">IF($A248="N/A"," ",$U248*(8*($BQ248))*N248)</f>
        <v> </v>
      </c>
      <c r="Y248" s="320" t="str">
        <f aca="false">IF($A248="N/A"," ",$U248*(8*($BR248))*O248)</f>
        <v> </v>
      </c>
      <c r="Z248" s="320" t="str">
        <f aca="false">IF($A248="N/A"," ",$U248*(8*($BR248))*P248)</f>
        <v> </v>
      </c>
      <c r="AA248" s="320" t="str">
        <f aca="false">IF($A248="N/A"," ",$U248*(8*($BR248))*Q248)</f>
        <v> </v>
      </c>
      <c r="AB248" s="320" t="str">
        <f aca="false">IF($A248="N/A"," ",$U248*(8*($BS248))*R248)</f>
        <v> </v>
      </c>
      <c r="AC248" s="320" t="str">
        <f aca="false">IF($A248="N/A"," ",$U248*(8*($BS248))*S248)</f>
        <v> </v>
      </c>
      <c r="AD248" s="320" t="str">
        <f aca="false">IF($A248="N/A"," ",$U248*(8*($BS248))*T248)</f>
        <v> </v>
      </c>
      <c r="AE248" s="320" t="str">
        <f aca="false">IF($A248="N/A"," ",SUM(V248:AD248))</f>
        <v> </v>
      </c>
      <c r="AF248" s="321" t="str">
        <f aca="false">IF(A248="N/A"," ",(VLOOKUP(A248,PowerVolTable,(IF(VolBMO3=2,7,IF(VolBMO3=1,6,8))),FALSE())))</f>
        <v> </v>
      </c>
      <c r="AG248" s="321" t="str">
        <f aca="false">IF(A248="N/A"," ",(VLOOKUP(A248,IntraPowerVol,(IF(VolBMO3=2,3,IF(VolBMO3=1,2,4))),FALSE())*VLOOKUP(MONTH($A248),Volscale,2)))</f>
        <v> </v>
      </c>
      <c r="AH248" s="321" t="str">
        <f aca="false">IF($A248="N/A"," ",IF(VolType3=1,AG248,AF248))</f>
        <v> </v>
      </c>
      <c r="AI248" s="321" t="str">
        <f aca="false">IF($A248="N/A"," ",(VLOOKUP($A248,OffPwrVolTable,(IF(VolBMO3=2,7,IF(VolBMO3=1,6,8))),FALSE())))</f>
        <v> </v>
      </c>
      <c r="AJ248" s="321" t="str">
        <f aca="false">IF($A248="N/A"," ",(VLOOKUP($A248,OffPwrVolTable,(IF(VolBMO3=2,3,IF(VolBMO3=1,2,4))),FALSE())*VLOOKUP(MONTH($A248),Volscale,2)))</f>
        <v> </v>
      </c>
      <c r="AK248" s="321" t="str">
        <f aca="false">IF($A248="N/A"," ",IF(VolType3=1,AJ248,AI248))</f>
        <v> </v>
      </c>
      <c r="AL248" s="321" t="str">
        <f aca="false">IF($A248="N/A"," ",IF(PV=1,0,'Pricing Inputs3'!R281))</f>
        <v> </v>
      </c>
      <c r="AM248" s="323" t="str">
        <f aca="false">IF($A248="N/A"," ",(1+AL248/2)^(-2*((EOMONTH(A248,0)+20)-DateToday)/365.25))</f>
        <v> </v>
      </c>
      <c r="BQ248" s="0" t="str">
        <f aca="false">IF($A248="N/A"," ",(VLOOKUP($A248,NumberofDaysTable,2)))</f>
        <v> </v>
      </c>
      <c r="BR248" s="0" t="str">
        <f aca="false">IF($A248="N/A"," ",(VLOOKUP($A248,NumberofDaysTable,3)))</f>
        <v> </v>
      </c>
      <c r="BS248" s="0" t="str">
        <f aca="false">IF($A248="N/A"," ",(VLOOKUP($A248,NumberofDaysTable,4)))</f>
        <v> </v>
      </c>
    </row>
    <row r="249" customFormat="false" ht="12.75" hidden="false" customHeight="false" outlineLevel="0" collapsed="false">
      <c r="A249" s="315" t="str">
        <f aca="false">IF(A248="N/A","N/A",IF(EDATE(A248,1)&gt;Inputs!$Q$5,"N/A",EDATE(A248,1)))</f>
        <v>N/A</v>
      </c>
      <c r="B249" s="316" t="str">
        <f aca="false">IF(A249="N/A"," ",YEAR(A249))</f>
        <v> </v>
      </c>
      <c r="C249" s="317" t="str">
        <f aca="false">IF($A249="N/A"," ",IF(Dayrun3=10,0,IF(Scaler3=1,(VLOOKUP(A249,ScaledPrice3,4)),(VLOOKUP(A249,ScaledPrice3,2)))))</f>
        <v> </v>
      </c>
      <c r="D249" s="317" t="str">
        <f aca="false">IF(A249="N/A"," ",IF(Dayrun3&gt;=7,0,IF(Scaler3=2,VLOOKUP(A249,ScaledPrice3,2),(VLOOKUP(A249,ScaledPrice3,2))*(2-(VLOOKUP(A249,ScaledPrice3,3))))))</f>
        <v> </v>
      </c>
      <c r="E249" s="317" t="str">
        <f aca="false">IF($A249="N/A"," ",IF(AND(Dayrun3&gt;=4,Dayrun3&lt;=9),0,VLOOKUP($A249,ScaledPrice3,9)))</f>
        <v> </v>
      </c>
      <c r="F249" s="317" t="str">
        <f aca="false">IF(A249="N/A"," ",IF(OR(Dayrun3=2,Dayrun3=3,Dayrun3=5,Dayrun3=6,Dayrun3=8,Dayrun3=9),VLOOKUP(A249,ScaledPrice3,IF(Scaler3=1,6,5)),0))</f>
        <v> </v>
      </c>
      <c r="G249" s="317" t="str">
        <f aca="false">IF(A249="N/A"," ",IF(OR(Dayrun3=2,Dayrun3=3,Dayrun3=5,Dayrun3=6),IF(Scaler3=2,F249,(VLOOKUP(A249,ScaledPrice3,5))*(2-(VLOOKUP(A249,ScaledPrice3,3)))),0))</f>
        <v> </v>
      </c>
      <c r="H249" s="317" t="str">
        <f aca="false">IF($A249="N/A"," ",IF(OR(Dayrun3=2,Dayrun3=3,Dayrun3=10),VLOOKUP($A249,ScaledPrice3,9),0))</f>
        <v> </v>
      </c>
      <c r="I249" s="317" t="str">
        <f aca="false">IF(A249="N/A"," ",IF(OR(Dayrun3=3,Dayrun3=6,Dayrun3=9),(VLOOKUP(A249,ScaledPrice3,IF(Scaler3=2,7,8))),0))</f>
        <v> </v>
      </c>
      <c r="J249" s="317" t="str">
        <f aca="false">IF(A249="N/A"," ",IF(OR(Dayrun3=3,Dayrun3=6),IF(Scaler3=2,I249,(VLOOKUP(A249,ScaledPrice3,7))*(2-(VLOOKUP(A249,ScaledPrice3,3)))),0))</f>
        <v> </v>
      </c>
      <c r="K249" s="317" t="str">
        <f aca="false">IF($A249="N/A"," ",IF(OR(Dayrun3=3,Dayrun3=10),VLOOKUP($A249,ScaledPrice3,9),0))</f>
        <v> </v>
      </c>
      <c r="L249" s="318" t="str">
        <f aca="false">IF($A249="N/A"," ",IF(Pricetype3=2,MAX(C249,0),IF(OR(Pricetype3=1,Pricetype3=4),IF(C249=0,0,(EURO(C249,Strikeprice3,0,0,($AH249+IF(Smile=TRUE(),VLOOKUP(MAX(-5,Strikeprice3-C249),Volsmile,2),0)),($A249-DateToday)+15,IF(Pricetype3=1,1,0),0))),C249)))</f>
        <v> </v>
      </c>
      <c r="M249" s="318" t="str">
        <f aca="false">IF($A249="N/A"," ",IF(Pricetype3=2,MAX(D249,0),IF(OR(Pricetype3=1,Pricetype3=4),IF(D249=0,0,(EURO(D249,Strikeprice3,0,0,($AH249+IF(Smile=TRUE(),VLOOKUP(MAX(-5,Strikeprice3-D249),Volsmile,2),0)),($A249-DateToday)+15,IF(Pricetype3=1,1,0),0))),D249)))</f>
        <v> </v>
      </c>
      <c r="N249" s="318" t="str">
        <f aca="false">IF($A249="N/A"," ",IF(Pricetype3=2,MAX(E249,0),IF(OR(Pricetype3=1,Pricetype3=4),IF(E249=0,0,(EURO(E249,Strikeprice3,0,0,($AK249+IF(Smile=TRUE(),VLOOKUP(MAX(-5,Strikeprice3-E249),Volsmile,2),0)),($A249-DateToday)+15,IF(Pricetype3=1,1,0),0))),E249)))</f>
        <v> </v>
      </c>
      <c r="O249" s="318" t="str">
        <f aca="false">IF($A249="N/A"," ",IF(Pricetype3=2,MAX(F249,0),IF(OR(Pricetype3=1,Pricetype3=4),IF(F249=0,0,(EURO(F249,Strikeprice3,0,0,($AK249+IF(Smile=TRUE(),VLOOKUP(MAX(-5,Strikeprice3-F249),Volsmile,2),0)),($A249-DateToday)+15,IF(Pricetype3=1,1,0),0))),F249)))</f>
        <v> </v>
      </c>
      <c r="P249" s="318" t="str">
        <f aca="false">IF($A249="N/A"," ",IF(Pricetype3=2,MAX(G249,0),IF(OR(Pricetype3=1,Pricetype3=4),IF(G249=0,0,(EURO(G249,Strikeprice3,0,0,($AK249+IF(Smile=TRUE(),VLOOKUP(MAX(-5,Strikeprice3-G249),Volsmile,2),0)),($A249-DateToday)+15,IF(Pricetype3=1,1,0),0))),G249)))</f>
        <v> </v>
      </c>
      <c r="Q249" s="318" t="str">
        <f aca="false">IF($A249="N/A"," ",IF(Pricetype3=2,MAX(H249,0),IF(OR(Pricetype3=1,Pricetype3=4),IF(H249=0,0,(EURO(H249,Strikeprice3,0,0,($AK249+IF(Smile=TRUE(),VLOOKUP(MAX(-5,Strikeprice3-H249),Volsmile,2),0)),($A249-DateToday)+15,IF(Pricetype3=1,1,0),0))),H249)))</f>
        <v> </v>
      </c>
      <c r="R249" s="318" t="str">
        <f aca="false">IF($A249="N/A"," ",IF(Pricetype3=2,MAX(I249,0),IF(OR(Pricetype3=1,Pricetype3=4),IF(I249=0,0,(EURO(I249,Strikeprice3,0,0,($AK249+IF(Smile=TRUE(),VLOOKUP(MAX(-5,Strikeprice3-I249),Volsmile,2),0)),($A249-DateToday)+15,IF(Pricetype3=1,1,0),0))),I249)))</f>
        <v> </v>
      </c>
      <c r="S249" s="318" t="str">
        <f aca="false">IF($A249="N/A"," ",IF(Pricetype3=2,MAX(J249,0),IF(OR(Pricetype3=1,Pricetype3=4),IF(J249=0,0,(EURO(J249,Strikeprice3,0,0,($AK249+IF(Smile=TRUE(),VLOOKUP(MAX(-5,Strikeprice3-J249),Volsmile,2),0)),($A249-DateToday)+15,IF(Pricetype3=1,1,0),0))),J249)))</f>
        <v> </v>
      </c>
      <c r="T249" s="318" t="str">
        <f aca="false">IF($A249="N/A"," ",IF(Pricetype3=2,MAX(K249,0),IF(OR(Pricetype3=1,Pricetype3=4),IF(K249=0,0,(EURO(K249,Strikeprice3,0,0,($AK249+IF(Smile=TRUE(),VLOOKUP(MAX(-5,Strikeprice3-K249),Volsmile,2),0)),($A249-DateToday)+15,IF(Pricetype3=1,1,0),0))),K249)))</f>
        <v> </v>
      </c>
      <c r="U249" s="319" t="str">
        <f aca="false">IF($A249="N/A"," ",Volume3*$AM249)</f>
        <v> </v>
      </c>
      <c r="V249" s="320" t="str">
        <f aca="false">IF($A249="N/A"," ",$U249*(8*($BQ249))*L249)</f>
        <v> </v>
      </c>
      <c r="W249" s="320" t="str">
        <f aca="false">IF($A249="N/A"," ",$U249*(8*($BQ249))*M249)</f>
        <v> </v>
      </c>
      <c r="X249" s="320" t="str">
        <f aca="false">IF($A249="N/A"," ",$U249*(8*($BQ249))*N249)</f>
        <v> </v>
      </c>
      <c r="Y249" s="320" t="str">
        <f aca="false">IF($A249="N/A"," ",$U249*(8*($BR249))*O249)</f>
        <v> </v>
      </c>
      <c r="Z249" s="320" t="str">
        <f aca="false">IF($A249="N/A"," ",$U249*(8*($BR249))*P249)</f>
        <v> </v>
      </c>
      <c r="AA249" s="320" t="str">
        <f aca="false">IF($A249="N/A"," ",$U249*(8*($BR249))*Q249)</f>
        <v> </v>
      </c>
      <c r="AB249" s="320" t="str">
        <f aca="false">IF($A249="N/A"," ",$U249*(8*($BS249))*R249)</f>
        <v> </v>
      </c>
      <c r="AC249" s="320" t="str">
        <f aca="false">IF($A249="N/A"," ",$U249*(8*($BS249))*S249)</f>
        <v> </v>
      </c>
      <c r="AD249" s="320" t="str">
        <f aca="false">IF($A249="N/A"," ",$U249*(8*($BS249))*T249)</f>
        <v> </v>
      </c>
      <c r="AE249" s="320" t="str">
        <f aca="false">IF($A249="N/A"," ",SUM(V249:AD249))</f>
        <v> </v>
      </c>
      <c r="AF249" s="321" t="str">
        <f aca="false">IF(A249="N/A"," ",(VLOOKUP(A249,PowerVolTable,(IF(VolBMO3=2,7,IF(VolBMO3=1,6,8))),FALSE())))</f>
        <v> </v>
      </c>
      <c r="AG249" s="321" t="str">
        <f aca="false">IF(A249="N/A"," ",(VLOOKUP(A249,IntraPowerVol,(IF(VolBMO3=2,3,IF(VolBMO3=1,2,4))),FALSE())*VLOOKUP(MONTH($A249),Volscale,2)))</f>
        <v> </v>
      </c>
      <c r="AH249" s="321" t="str">
        <f aca="false">IF($A249="N/A"," ",IF(VolType3=1,AG249,AF249))</f>
        <v> </v>
      </c>
      <c r="AI249" s="321" t="str">
        <f aca="false">IF($A249="N/A"," ",(VLOOKUP($A249,OffPwrVolTable,(IF(VolBMO3=2,7,IF(VolBMO3=1,6,8))),FALSE())))</f>
        <v> </v>
      </c>
      <c r="AJ249" s="321" t="str">
        <f aca="false">IF($A249="N/A"," ",(VLOOKUP($A249,OffPwrVolTable,(IF(VolBMO3=2,3,IF(VolBMO3=1,2,4))),FALSE())*VLOOKUP(MONTH($A249),Volscale,2)))</f>
        <v> </v>
      </c>
      <c r="AK249" s="321" t="str">
        <f aca="false">IF($A249="N/A"," ",IF(VolType3=1,AJ249,AI249))</f>
        <v> </v>
      </c>
      <c r="AL249" s="321" t="str">
        <f aca="false">IF($A249="N/A"," ",IF(PV=1,0,'Pricing Inputs3'!R282))</f>
        <v> </v>
      </c>
      <c r="AM249" s="323" t="str">
        <f aca="false">IF($A249="N/A"," ",(1+AL249/2)^(-2*((EOMONTH(A249,0)+20)-DateToday)/365.25))</f>
        <v> </v>
      </c>
      <c r="BQ249" s="0" t="str">
        <f aca="false">IF($A249="N/A"," ",(VLOOKUP($A249,NumberofDaysTable,2)))</f>
        <v> </v>
      </c>
      <c r="BR249" s="0" t="str">
        <f aca="false">IF($A249="N/A"," ",(VLOOKUP($A249,NumberofDaysTable,3)))</f>
        <v> </v>
      </c>
      <c r="BS249" s="0" t="str">
        <f aca="false">IF($A249="N/A"," ",(VLOOKUP($A249,NumberofDaysTable,4)))</f>
        <v> </v>
      </c>
    </row>
    <row r="250" customFormat="false" ht="12.75" hidden="false" customHeight="false" outlineLevel="0" collapsed="false">
      <c r="A250" s="315" t="str">
        <f aca="false">IF(A249="N/A","N/A",IF(EDATE(A249,1)&gt;Inputs!$Q$5,"N/A",EDATE(A249,1)))</f>
        <v>N/A</v>
      </c>
      <c r="B250" s="316" t="str">
        <f aca="false">IF(A250="N/A"," ",YEAR(A250))</f>
        <v> </v>
      </c>
      <c r="C250" s="317" t="str">
        <f aca="false">IF($A250="N/A"," ",IF(Dayrun3=10,0,IF(Scaler3=1,(VLOOKUP(A250,ScaledPrice3,4)),(VLOOKUP(A250,ScaledPrice3,2)))))</f>
        <v> </v>
      </c>
      <c r="D250" s="317" t="str">
        <f aca="false">IF(A250="N/A"," ",IF(Dayrun3&gt;=7,0,IF(Scaler3=2,VLOOKUP(A250,ScaledPrice3,2),(VLOOKUP(A250,ScaledPrice3,2))*(2-(VLOOKUP(A250,ScaledPrice3,3))))))</f>
        <v> </v>
      </c>
      <c r="E250" s="317" t="str">
        <f aca="false">IF($A250="N/A"," ",IF(AND(Dayrun3&gt;=4,Dayrun3&lt;=9),0,VLOOKUP($A250,ScaledPrice3,9)))</f>
        <v> </v>
      </c>
      <c r="F250" s="317" t="str">
        <f aca="false">IF(A250="N/A"," ",IF(OR(Dayrun3=2,Dayrun3=3,Dayrun3=5,Dayrun3=6,Dayrun3=8,Dayrun3=9),VLOOKUP(A250,ScaledPrice3,IF(Scaler3=1,6,5)),0))</f>
        <v> </v>
      </c>
      <c r="G250" s="317" t="str">
        <f aca="false">IF(A250="N/A"," ",IF(OR(Dayrun3=2,Dayrun3=3,Dayrun3=5,Dayrun3=6),IF(Scaler3=2,F250,(VLOOKUP(A250,ScaledPrice3,5))*(2-(VLOOKUP(A250,ScaledPrice3,3)))),0))</f>
        <v> </v>
      </c>
      <c r="H250" s="317" t="str">
        <f aca="false">IF($A250="N/A"," ",IF(OR(Dayrun3=2,Dayrun3=3,Dayrun3=10),VLOOKUP($A250,ScaledPrice3,9),0))</f>
        <v> </v>
      </c>
      <c r="I250" s="317" t="str">
        <f aca="false">IF(A250="N/A"," ",IF(OR(Dayrun3=3,Dayrun3=6,Dayrun3=9),(VLOOKUP(A250,ScaledPrice3,IF(Scaler3=2,7,8))),0))</f>
        <v> </v>
      </c>
      <c r="J250" s="317" t="str">
        <f aca="false">IF(A250="N/A"," ",IF(OR(Dayrun3=3,Dayrun3=6),IF(Scaler3=2,I250,(VLOOKUP(A250,ScaledPrice3,7))*(2-(VLOOKUP(A250,ScaledPrice3,3)))),0))</f>
        <v> </v>
      </c>
      <c r="K250" s="317" t="str">
        <f aca="false">IF($A250="N/A"," ",IF(OR(Dayrun3=3,Dayrun3=10),VLOOKUP($A250,ScaledPrice3,9),0))</f>
        <v> </v>
      </c>
      <c r="L250" s="318" t="str">
        <f aca="false">IF($A250="N/A"," ",IF(Pricetype3=2,MAX(C250,0),IF(OR(Pricetype3=1,Pricetype3=4),IF(C250=0,0,(EURO(C250,Strikeprice3,0,0,($AH250+IF(Smile=TRUE(),VLOOKUP(MAX(-5,Strikeprice3-C250),Volsmile,2),0)),($A250-DateToday)+15,IF(Pricetype3=1,1,0),0))),C250)))</f>
        <v> </v>
      </c>
      <c r="M250" s="318" t="str">
        <f aca="false">IF($A250="N/A"," ",IF(Pricetype3=2,MAX(D250,0),IF(OR(Pricetype3=1,Pricetype3=4),IF(D250=0,0,(EURO(D250,Strikeprice3,0,0,($AH250+IF(Smile=TRUE(),VLOOKUP(MAX(-5,Strikeprice3-D250),Volsmile,2),0)),($A250-DateToday)+15,IF(Pricetype3=1,1,0),0))),D250)))</f>
        <v> </v>
      </c>
      <c r="N250" s="318" t="str">
        <f aca="false">IF($A250="N/A"," ",IF(Pricetype3=2,MAX(E250,0),IF(OR(Pricetype3=1,Pricetype3=4),IF(E250=0,0,(EURO(E250,Strikeprice3,0,0,($AK250+IF(Smile=TRUE(),VLOOKUP(MAX(-5,Strikeprice3-E250),Volsmile,2),0)),($A250-DateToday)+15,IF(Pricetype3=1,1,0),0))),E250)))</f>
        <v> </v>
      </c>
      <c r="O250" s="318" t="str">
        <f aca="false">IF($A250="N/A"," ",IF(Pricetype3=2,MAX(F250,0),IF(OR(Pricetype3=1,Pricetype3=4),IF(F250=0,0,(EURO(F250,Strikeprice3,0,0,($AK250+IF(Smile=TRUE(),VLOOKUP(MAX(-5,Strikeprice3-F250),Volsmile,2),0)),($A250-DateToday)+15,IF(Pricetype3=1,1,0),0))),F250)))</f>
        <v> </v>
      </c>
      <c r="P250" s="318" t="str">
        <f aca="false">IF($A250="N/A"," ",IF(Pricetype3=2,MAX(G250,0),IF(OR(Pricetype3=1,Pricetype3=4),IF(G250=0,0,(EURO(G250,Strikeprice3,0,0,($AK250+IF(Smile=TRUE(),VLOOKUP(MAX(-5,Strikeprice3-G250),Volsmile,2),0)),($A250-DateToday)+15,IF(Pricetype3=1,1,0),0))),G250)))</f>
        <v> </v>
      </c>
      <c r="Q250" s="318" t="str">
        <f aca="false">IF($A250="N/A"," ",IF(Pricetype3=2,MAX(H250,0),IF(OR(Pricetype3=1,Pricetype3=4),IF(H250=0,0,(EURO(H250,Strikeprice3,0,0,($AK250+IF(Smile=TRUE(),VLOOKUP(MAX(-5,Strikeprice3-H250),Volsmile,2),0)),($A250-DateToday)+15,IF(Pricetype3=1,1,0),0))),H250)))</f>
        <v> </v>
      </c>
      <c r="R250" s="318" t="str">
        <f aca="false">IF($A250="N/A"," ",IF(Pricetype3=2,MAX(I250,0),IF(OR(Pricetype3=1,Pricetype3=4),IF(I250=0,0,(EURO(I250,Strikeprice3,0,0,($AK250+IF(Smile=TRUE(),VLOOKUP(MAX(-5,Strikeprice3-I250),Volsmile,2),0)),($A250-DateToday)+15,IF(Pricetype3=1,1,0),0))),I250)))</f>
        <v> </v>
      </c>
      <c r="S250" s="318" t="str">
        <f aca="false">IF($A250="N/A"," ",IF(Pricetype3=2,MAX(J250,0),IF(OR(Pricetype3=1,Pricetype3=4),IF(J250=0,0,(EURO(J250,Strikeprice3,0,0,($AK250+IF(Smile=TRUE(),VLOOKUP(MAX(-5,Strikeprice3-J250),Volsmile,2),0)),($A250-DateToday)+15,IF(Pricetype3=1,1,0),0))),J250)))</f>
        <v> </v>
      </c>
      <c r="T250" s="318" t="str">
        <f aca="false">IF($A250="N/A"," ",IF(Pricetype3=2,MAX(K250,0),IF(OR(Pricetype3=1,Pricetype3=4),IF(K250=0,0,(EURO(K250,Strikeprice3,0,0,($AK250+IF(Smile=TRUE(),VLOOKUP(MAX(-5,Strikeprice3-K250),Volsmile,2),0)),($A250-DateToday)+15,IF(Pricetype3=1,1,0),0))),K250)))</f>
        <v> </v>
      </c>
      <c r="U250" s="319" t="str">
        <f aca="false">IF($A250="N/A"," ",Volume3*$AM250)</f>
        <v> </v>
      </c>
      <c r="V250" s="320" t="str">
        <f aca="false">IF($A250="N/A"," ",$U250*(8*($BQ250))*L250)</f>
        <v> </v>
      </c>
      <c r="W250" s="320" t="str">
        <f aca="false">IF($A250="N/A"," ",$U250*(8*($BQ250))*M250)</f>
        <v> </v>
      </c>
      <c r="X250" s="320" t="str">
        <f aca="false">IF($A250="N/A"," ",$U250*(8*($BQ250))*N250)</f>
        <v> </v>
      </c>
      <c r="Y250" s="320" t="str">
        <f aca="false">IF($A250="N/A"," ",$U250*(8*($BR250))*O250)</f>
        <v> </v>
      </c>
      <c r="Z250" s="320" t="str">
        <f aca="false">IF($A250="N/A"," ",$U250*(8*($BR250))*P250)</f>
        <v> </v>
      </c>
      <c r="AA250" s="320" t="str">
        <f aca="false">IF($A250="N/A"," ",$U250*(8*($BR250))*Q250)</f>
        <v> </v>
      </c>
      <c r="AB250" s="320" t="str">
        <f aca="false">IF($A250="N/A"," ",$U250*(8*($BS250))*R250)</f>
        <v> </v>
      </c>
      <c r="AC250" s="320" t="str">
        <f aca="false">IF($A250="N/A"," ",$U250*(8*($BS250))*S250)</f>
        <v> </v>
      </c>
      <c r="AD250" s="320" t="str">
        <f aca="false">IF($A250="N/A"," ",$U250*(8*($BS250))*T250)</f>
        <v> </v>
      </c>
      <c r="AE250" s="320" t="str">
        <f aca="false">IF($A250="N/A"," ",SUM(V250:AD250))</f>
        <v> </v>
      </c>
      <c r="AF250" s="321" t="str">
        <f aca="false">IF(A250="N/A"," ",(VLOOKUP(A250,PowerVolTable,(IF(VolBMO3=2,7,IF(VolBMO3=1,6,8))),FALSE())))</f>
        <v> </v>
      </c>
      <c r="AG250" s="321" t="str">
        <f aca="false">IF(A250="N/A"," ",(VLOOKUP(A250,IntraPowerVol,(IF(VolBMO3=2,3,IF(VolBMO3=1,2,4))),FALSE())*VLOOKUP(MONTH($A250),Volscale,2)))</f>
        <v> </v>
      </c>
      <c r="AH250" s="321" t="str">
        <f aca="false">IF($A250="N/A"," ",IF(VolType3=1,AG250,AF250))</f>
        <v> </v>
      </c>
      <c r="AI250" s="321" t="str">
        <f aca="false">IF($A250="N/A"," ",(VLOOKUP($A250,OffPwrVolTable,(IF(VolBMO3=2,7,IF(VolBMO3=1,6,8))),FALSE())))</f>
        <v> </v>
      </c>
      <c r="AJ250" s="321" t="str">
        <f aca="false">IF($A250="N/A"," ",(VLOOKUP($A250,OffPwrVolTable,(IF(VolBMO3=2,3,IF(VolBMO3=1,2,4))),FALSE())*VLOOKUP(MONTH($A250),Volscale,2)))</f>
        <v> </v>
      </c>
      <c r="AK250" s="321" t="str">
        <f aca="false">IF($A250="N/A"," ",IF(VolType3=1,AJ250,AI250))</f>
        <v> </v>
      </c>
      <c r="AL250" s="321" t="str">
        <f aca="false">IF($A250="N/A"," ",IF(PV=1,0,'Pricing Inputs3'!R283))</f>
        <v> </v>
      </c>
      <c r="AM250" s="323" t="str">
        <f aca="false">IF($A250="N/A"," ",(1+AL250/2)^(-2*((EOMONTH(A250,0)+20)-DateToday)/365.25))</f>
        <v> </v>
      </c>
      <c r="BQ250" s="0" t="str">
        <f aca="false">IF($A250="N/A"," ",(VLOOKUP($A250,NumberofDaysTable,2)))</f>
        <v> </v>
      </c>
      <c r="BR250" s="0" t="str">
        <f aca="false">IF($A250="N/A"," ",(VLOOKUP($A250,NumberofDaysTable,3)))</f>
        <v> </v>
      </c>
      <c r="BS250" s="0" t="str">
        <f aca="false">IF($A250="N/A"," ",(VLOOKUP($A250,NumberofDaysTable,4)))</f>
        <v> </v>
      </c>
    </row>
    <row r="251" customFormat="false" ht="12.75" hidden="false" customHeight="false" outlineLevel="0" collapsed="false">
      <c r="A251" s="315" t="str">
        <f aca="false">IF(A250="N/A","N/A",IF(EDATE(A250,1)&gt;Inputs!$Q$5,"N/A",EDATE(A250,1)))</f>
        <v>N/A</v>
      </c>
      <c r="B251" s="316" t="str">
        <f aca="false">IF(A251="N/A"," ",YEAR(A251))</f>
        <v> </v>
      </c>
      <c r="C251" s="317" t="str">
        <f aca="false">IF($A251="N/A"," ",IF(Dayrun3=10,0,IF(Scaler3=1,(VLOOKUP(A251,ScaledPrice3,4)),(VLOOKUP(A251,ScaledPrice3,2)))))</f>
        <v> </v>
      </c>
      <c r="D251" s="317" t="str">
        <f aca="false">IF(A251="N/A"," ",IF(Dayrun3&gt;=7,0,IF(Scaler3=2,VLOOKUP(A251,ScaledPrice3,2),(VLOOKUP(A251,ScaledPrice3,2))*(2-(VLOOKUP(A251,ScaledPrice3,3))))))</f>
        <v> </v>
      </c>
      <c r="E251" s="317" t="str">
        <f aca="false">IF($A251="N/A"," ",IF(AND(Dayrun3&gt;=4,Dayrun3&lt;=9),0,VLOOKUP($A251,ScaledPrice3,9)))</f>
        <v> </v>
      </c>
      <c r="F251" s="317" t="str">
        <f aca="false">IF(A251="N/A"," ",IF(OR(Dayrun3=2,Dayrun3=3,Dayrun3=5,Dayrun3=6,Dayrun3=8,Dayrun3=9),VLOOKUP(A251,ScaledPrice3,IF(Scaler3=1,6,5)),0))</f>
        <v> </v>
      </c>
      <c r="G251" s="317" t="str">
        <f aca="false">IF(A251="N/A"," ",IF(OR(Dayrun3=2,Dayrun3=3,Dayrun3=5,Dayrun3=6),IF(Scaler3=2,F251,(VLOOKUP(A251,ScaledPrice3,5))*(2-(VLOOKUP(A251,ScaledPrice3,3)))),0))</f>
        <v> </v>
      </c>
      <c r="H251" s="317" t="str">
        <f aca="false">IF($A251="N/A"," ",IF(OR(Dayrun3=2,Dayrun3=3,Dayrun3=10),VLOOKUP($A251,ScaledPrice3,9),0))</f>
        <v> </v>
      </c>
      <c r="I251" s="317" t="str">
        <f aca="false">IF(A251="N/A"," ",IF(OR(Dayrun3=3,Dayrun3=6,Dayrun3=9),(VLOOKUP(A251,ScaledPrice3,IF(Scaler3=2,7,8))),0))</f>
        <v> </v>
      </c>
      <c r="J251" s="317" t="str">
        <f aca="false">IF(A251="N/A"," ",IF(OR(Dayrun3=3,Dayrun3=6),IF(Scaler3=2,I251,(VLOOKUP(A251,ScaledPrice3,7))*(2-(VLOOKUP(A251,ScaledPrice3,3)))),0))</f>
        <v> </v>
      </c>
      <c r="K251" s="317" t="str">
        <f aca="false">IF($A251="N/A"," ",IF(OR(Dayrun3=3,Dayrun3=10),VLOOKUP($A251,ScaledPrice3,9),0))</f>
        <v> </v>
      </c>
      <c r="L251" s="318" t="str">
        <f aca="false">IF($A251="N/A"," ",IF(Pricetype3=2,MAX(C251,0),IF(OR(Pricetype3=1,Pricetype3=4),IF(C251=0,0,(EURO(C251,Strikeprice3,0,0,($AH251+IF(Smile=TRUE(),VLOOKUP(MAX(-5,Strikeprice3-C251),Volsmile,2),0)),($A251-DateToday)+15,IF(Pricetype3=1,1,0),0))),C251)))</f>
        <v> </v>
      </c>
      <c r="M251" s="318" t="str">
        <f aca="false">IF($A251="N/A"," ",IF(Pricetype3=2,MAX(D251,0),IF(OR(Pricetype3=1,Pricetype3=4),IF(D251=0,0,(EURO(D251,Strikeprice3,0,0,($AH251+IF(Smile=TRUE(),VLOOKUP(MAX(-5,Strikeprice3-D251),Volsmile,2),0)),($A251-DateToday)+15,IF(Pricetype3=1,1,0),0))),D251)))</f>
        <v> </v>
      </c>
      <c r="N251" s="318" t="str">
        <f aca="false">IF($A251="N/A"," ",IF(Pricetype3=2,MAX(E251,0),IF(OR(Pricetype3=1,Pricetype3=4),IF(E251=0,0,(EURO(E251,Strikeprice3,0,0,($AK251+IF(Smile=TRUE(),VLOOKUP(MAX(-5,Strikeprice3-E251),Volsmile,2),0)),($A251-DateToday)+15,IF(Pricetype3=1,1,0),0))),E251)))</f>
        <v> </v>
      </c>
      <c r="O251" s="318" t="str">
        <f aca="false">IF($A251="N/A"," ",IF(Pricetype3=2,MAX(F251,0),IF(OR(Pricetype3=1,Pricetype3=4),IF(F251=0,0,(EURO(F251,Strikeprice3,0,0,($AK251+IF(Smile=TRUE(),VLOOKUP(MAX(-5,Strikeprice3-F251),Volsmile,2),0)),($A251-DateToday)+15,IF(Pricetype3=1,1,0),0))),F251)))</f>
        <v> </v>
      </c>
      <c r="P251" s="318" t="str">
        <f aca="false">IF($A251="N/A"," ",IF(Pricetype3=2,MAX(G251,0),IF(OR(Pricetype3=1,Pricetype3=4),IF(G251=0,0,(EURO(G251,Strikeprice3,0,0,($AK251+IF(Smile=TRUE(),VLOOKUP(MAX(-5,Strikeprice3-G251),Volsmile,2),0)),($A251-DateToday)+15,IF(Pricetype3=1,1,0),0))),G251)))</f>
        <v> </v>
      </c>
      <c r="Q251" s="318" t="str">
        <f aca="false">IF($A251="N/A"," ",IF(Pricetype3=2,MAX(H251,0),IF(OR(Pricetype3=1,Pricetype3=4),IF(H251=0,0,(EURO(H251,Strikeprice3,0,0,($AK251+IF(Smile=TRUE(),VLOOKUP(MAX(-5,Strikeprice3-H251),Volsmile,2),0)),($A251-DateToday)+15,IF(Pricetype3=1,1,0),0))),H251)))</f>
        <v> </v>
      </c>
      <c r="R251" s="318" t="str">
        <f aca="false">IF($A251="N/A"," ",IF(Pricetype3=2,MAX(I251,0),IF(OR(Pricetype3=1,Pricetype3=4),IF(I251=0,0,(EURO(I251,Strikeprice3,0,0,($AK251+IF(Smile=TRUE(),VLOOKUP(MAX(-5,Strikeprice3-I251),Volsmile,2),0)),($A251-DateToday)+15,IF(Pricetype3=1,1,0),0))),I251)))</f>
        <v> </v>
      </c>
      <c r="S251" s="318" t="str">
        <f aca="false">IF($A251="N/A"," ",IF(Pricetype3=2,MAX(J251,0),IF(OR(Pricetype3=1,Pricetype3=4),IF(J251=0,0,(EURO(J251,Strikeprice3,0,0,($AK251+IF(Smile=TRUE(),VLOOKUP(MAX(-5,Strikeprice3-J251),Volsmile,2),0)),($A251-DateToday)+15,IF(Pricetype3=1,1,0),0))),J251)))</f>
        <v> </v>
      </c>
      <c r="T251" s="318" t="str">
        <f aca="false">IF($A251="N/A"," ",IF(Pricetype3=2,MAX(K251,0),IF(OR(Pricetype3=1,Pricetype3=4),IF(K251=0,0,(EURO(K251,Strikeprice3,0,0,($AK251+IF(Smile=TRUE(),VLOOKUP(MAX(-5,Strikeprice3-K251),Volsmile,2),0)),($A251-DateToday)+15,IF(Pricetype3=1,1,0),0))),K251)))</f>
        <v> </v>
      </c>
      <c r="U251" s="319" t="str">
        <f aca="false">IF($A251="N/A"," ",Volume3*$AM251)</f>
        <v> </v>
      </c>
      <c r="V251" s="320" t="str">
        <f aca="false">IF($A251="N/A"," ",$U251*(8*($BQ251))*L251)</f>
        <v> </v>
      </c>
      <c r="W251" s="320" t="str">
        <f aca="false">IF($A251="N/A"," ",$U251*(8*($BQ251))*M251)</f>
        <v> </v>
      </c>
      <c r="X251" s="320" t="str">
        <f aca="false">IF($A251="N/A"," ",$U251*(8*($BQ251))*N251)</f>
        <v> </v>
      </c>
      <c r="Y251" s="320" t="str">
        <f aca="false">IF($A251="N/A"," ",$U251*(8*($BR251))*O251)</f>
        <v> </v>
      </c>
      <c r="Z251" s="320" t="str">
        <f aca="false">IF($A251="N/A"," ",$U251*(8*($BR251))*P251)</f>
        <v> </v>
      </c>
      <c r="AA251" s="320" t="str">
        <f aca="false">IF($A251="N/A"," ",$U251*(8*($BR251))*Q251)</f>
        <v> </v>
      </c>
      <c r="AB251" s="320" t="str">
        <f aca="false">IF($A251="N/A"," ",$U251*(8*($BS251))*R251)</f>
        <v> </v>
      </c>
      <c r="AC251" s="320" t="str">
        <f aca="false">IF($A251="N/A"," ",$U251*(8*($BS251))*S251)</f>
        <v> </v>
      </c>
      <c r="AD251" s="320" t="str">
        <f aca="false">IF($A251="N/A"," ",$U251*(8*($BS251))*T251)</f>
        <v> </v>
      </c>
      <c r="AE251" s="320" t="str">
        <f aca="false">IF($A251="N/A"," ",SUM(V251:AD251))</f>
        <v> </v>
      </c>
      <c r="AF251" s="321" t="str">
        <f aca="false">IF(A251="N/A"," ",(VLOOKUP(A251,PowerVolTable,(IF(VolBMO3=2,7,IF(VolBMO3=1,6,8))),FALSE())))</f>
        <v> </v>
      </c>
      <c r="AG251" s="321" t="str">
        <f aca="false">IF(A251="N/A"," ",(VLOOKUP(A251,IntraPowerVol,(IF(VolBMO3=2,3,IF(VolBMO3=1,2,4))),FALSE())*VLOOKUP(MONTH($A251),Volscale,2)))</f>
        <v> </v>
      </c>
      <c r="AH251" s="321" t="str">
        <f aca="false">IF($A251="N/A"," ",IF(VolType3=1,AG251,AF251))</f>
        <v> </v>
      </c>
      <c r="AI251" s="321" t="str">
        <f aca="false">IF($A251="N/A"," ",(VLOOKUP($A251,OffPwrVolTable,(IF(VolBMO3=2,7,IF(VolBMO3=1,6,8))),FALSE())))</f>
        <v> </v>
      </c>
      <c r="AJ251" s="321" t="str">
        <f aca="false">IF($A251="N/A"," ",(VLOOKUP($A251,OffPwrVolTable,(IF(VolBMO3=2,3,IF(VolBMO3=1,2,4))),FALSE())*VLOOKUP(MONTH($A251),Volscale,2)))</f>
        <v> </v>
      </c>
      <c r="AK251" s="321" t="str">
        <f aca="false">IF($A251="N/A"," ",IF(VolType3=1,AJ251,AI251))</f>
        <v> </v>
      </c>
      <c r="AL251" s="321" t="str">
        <f aca="false">IF($A251="N/A"," ",IF(PV=1,0,'Pricing Inputs3'!R284))</f>
        <v> </v>
      </c>
      <c r="AM251" s="323" t="str">
        <f aca="false">IF($A251="N/A"," ",(1+AL251/2)^(-2*((EOMONTH(A251,0)+20)-DateToday)/365.25))</f>
        <v> </v>
      </c>
      <c r="BQ251" s="0" t="str">
        <f aca="false">IF($A251="N/A"," ",(VLOOKUP($A251,NumberofDaysTable,2)))</f>
        <v> </v>
      </c>
      <c r="BR251" s="0" t="str">
        <f aca="false">IF($A251="N/A"," ",(VLOOKUP($A251,NumberofDaysTable,3)))</f>
        <v> </v>
      </c>
      <c r="BS251" s="0" t="str">
        <f aca="false">IF($A251="N/A"," ",(VLOOKUP($A251,NumberofDaysTable,4)))</f>
        <v> </v>
      </c>
    </row>
    <row r="252" customFormat="false" ht="12.75" hidden="false" customHeight="false" outlineLevel="0" collapsed="false">
      <c r="A252" s="315" t="str">
        <f aca="false">IF(A251="N/A","N/A",IF(EDATE(A251,1)&gt;Inputs!$Q$5,"N/A",EDATE(A251,1)))</f>
        <v>N/A</v>
      </c>
      <c r="B252" s="316" t="str">
        <f aca="false">IF(A252="N/A"," ",YEAR(A252))</f>
        <v> </v>
      </c>
      <c r="C252" s="317" t="str">
        <f aca="false">IF($A252="N/A"," ",IF(Dayrun3=10,0,IF(Scaler3=1,(VLOOKUP(A252,ScaledPrice3,4)),(VLOOKUP(A252,ScaledPrice3,2)))))</f>
        <v> </v>
      </c>
      <c r="D252" s="317" t="str">
        <f aca="false">IF(A252="N/A"," ",IF(Dayrun3&gt;=7,0,IF(Scaler3=2,VLOOKUP(A252,ScaledPrice3,2),(VLOOKUP(A252,ScaledPrice3,2))*(2-(VLOOKUP(A252,ScaledPrice3,3))))))</f>
        <v> </v>
      </c>
      <c r="E252" s="317" t="str">
        <f aca="false">IF($A252="N/A"," ",IF(AND(Dayrun3&gt;=4,Dayrun3&lt;=9),0,VLOOKUP($A252,ScaledPrice3,9)))</f>
        <v> </v>
      </c>
      <c r="F252" s="317" t="str">
        <f aca="false">IF(A252="N/A"," ",IF(OR(Dayrun3=2,Dayrun3=3,Dayrun3=5,Dayrun3=6,Dayrun3=8,Dayrun3=9),VLOOKUP(A252,ScaledPrice3,IF(Scaler3=1,6,5)),0))</f>
        <v> </v>
      </c>
      <c r="G252" s="317" t="str">
        <f aca="false">IF(A252="N/A"," ",IF(OR(Dayrun3=2,Dayrun3=3,Dayrun3=5,Dayrun3=6),IF(Scaler3=2,F252,(VLOOKUP(A252,ScaledPrice3,5))*(2-(VLOOKUP(A252,ScaledPrice3,3)))),0))</f>
        <v> </v>
      </c>
      <c r="H252" s="317" t="str">
        <f aca="false">IF($A252="N/A"," ",IF(OR(Dayrun3=2,Dayrun3=3,Dayrun3=10),VLOOKUP($A252,ScaledPrice3,9),0))</f>
        <v> </v>
      </c>
      <c r="I252" s="317" t="str">
        <f aca="false">IF(A252="N/A"," ",IF(OR(Dayrun3=3,Dayrun3=6,Dayrun3=9),(VLOOKUP(A252,ScaledPrice3,IF(Scaler3=2,7,8))),0))</f>
        <v> </v>
      </c>
      <c r="J252" s="317" t="str">
        <f aca="false">IF(A252="N/A"," ",IF(OR(Dayrun3=3,Dayrun3=6),IF(Scaler3=2,I252,(VLOOKUP(A252,ScaledPrice3,7))*(2-(VLOOKUP(A252,ScaledPrice3,3)))),0))</f>
        <v> </v>
      </c>
      <c r="K252" s="317" t="str">
        <f aca="false">IF($A252="N/A"," ",IF(OR(Dayrun3=3,Dayrun3=10),VLOOKUP($A252,ScaledPrice3,9),0))</f>
        <v> </v>
      </c>
      <c r="L252" s="318" t="str">
        <f aca="false">IF($A252="N/A"," ",IF(Pricetype3=2,MAX(C252,0),IF(OR(Pricetype3=1,Pricetype3=4),IF(C252=0,0,(EURO(C252,Strikeprice3,0,0,($AH252+IF(Smile=TRUE(),VLOOKUP(MAX(-5,Strikeprice3-C252),Volsmile,2),0)),($A252-DateToday)+15,IF(Pricetype3=1,1,0),0))),C252)))</f>
        <v> </v>
      </c>
      <c r="M252" s="318" t="str">
        <f aca="false">IF($A252="N/A"," ",IF(Pricetype3=2,MAX(D252,0),IF(OR(Pricetype3=1,Pricetype3=4),IF(D252=0,0,(EURO(D252,Strikeprice3,0,0,($AH252+IF(Smile=TRUE(),VLOOKUP(MAX(-5,Strikeprice3-D252),Volsmile,2),0)),($A252-DateToday)+15,IF(Pricetype3=1,1,0),0))),D252)))</f>
        <v> </v>
      </c>
      <c r="N252" s="318" t="str">
        <f aca="false">IF($A252="N/A"," ",IF(Pricetype3=2,MAX(E252,0),IF(OR(Pricetype3=1,Pricetype3=4),IF(E252=0,0,(EURO(E252,Strikeprice3,0,0,($AK252+IF(Smile=TRUE(),VLOOKUP(MAX(-5,Strikeprice3-E252),Volsmile,2),0)),($A252-DateToday)+15,IF(Pricetype3=1,1,0),0))),E252)))</f>
        <v> </v>
      </c>
      <c r="O252" s="318" t="str">
        <f aca="false">IF($A252="N/A"," ",IF(Pricetype3=2,MAX(F252,0),IF(OR(Pricetype3=1,Pricetype3=4),IF(F252=0,0,(EURO(F252,Strikeprice3,0,0,($AK252+IF(Smile=TRUE(),VLOOKUP(MAX(-5,Strikeprice3-F252),Volsmile,2),0)),($A252-DateToday)+15,IF(Pricetype3=1,1,0),0))),F252)))</f>
        <v> </v>
      </c>
      <c r="P252" s="318" t="str">
        <f aca="false">IF($A252="N/A"," ",IF(Pricetype3=2,MAX(G252,0),IF(OR(Pricetype3=1,Pricetype3=4),IF(G252=0,0,(EURO(G252,Strikeprice3,0,0,($AK252+IF(Smile=TRUE(),VLOOKUP(MAX(-5,Strikeprice3-G252),Volsmile,2),0)),($A252-DateToday)+15,IF(Pricetype3=1,1,0),0))),G252)))</f>
        <v> </v>
      </c>
      <c r="Q252" s="318" t="str">
        <f aca="false">IF($A252="N/A"," ",IF(Pricetype3=2,MAX(H252,0),IF(OR(Pricetype3=1,Pricetype3=4),IF(H252=0,0,(EURO(H252,Strikeprice3,0,0,($AK252+IF(Smile=TRUE(),VLOOKUP(MAX(-5,Strikeprice3-H252),Volsmile,2),0)),($A252-DateToday)+15,IF(Pricetype3=1,1,0),0))),H252)))</f>
        <v> </v>
      </c>
      <c r="R252" s="318" t="str">
        <f aca="false">IF($A252="N/A"," ",IF(Pricetype3=2,MAX(I252,0),IF(OR(Pricetype3=1,Pricetype3=4),IF(I252=0,0,(EURO(I252,Strikeprice3,0,0,($AK252+IF(Smile=TRUE(),VLOOKUP(MAX(-5,Strikeprice3-I252),Volsmile,2),0)),($A252-DateToday)+15,IF(Pricetype3=1,1,0),0))),I252)))</f>
        <v> </v>
      </c>
      <c r="S252" s="318" t="str">
        <f aca="false">IF($A252="N/A"," ",IF(Pricetype3=2,MAX(J252,0),IF(OR(Pricetype3=1,Pricetype3=4),IF(J252=0,0,(EURO(J252,Strikeprice3,0,0,($AK252+IF(Smile=TRUE(),VLOOKUP(MAX(-5,Strikeprice3-J252),Volsmile,2),0)),($A252-DateToday)+15,IF(Pricetype3=1,1,0),0))),J252)))</f>
        <v> </v>
      </c>
      <c r="T252" s="318" t="str">
        <f aca="false">IF($A252="N/A"," ",IF(Pricetype3=2,MAX(K252,0),IF(OR(Pricetype3=1,Pricetype3=4),IF(K252=0,0,(EURO(K252,Strikeprice3,0,0,($AK252+IF(Smile=TRUE(),VLOOKUP(MAX(-5,Strikeprice3-K252),Volsmile,2),0)),($A252-DateToday)+15,IF(Pricetype3=1,1,0),0))),K252)))</f>
        <v> </v>
      </c>
      <c r="U252" s="319" t="str">
        <f aca="false">IF($A252="N/A"," ",Volume3*$AM252)</f>
        <v> </v>
      </c>
      <c r="V252" s="320" t="str">
        <f aca="false">IF($A252="N/A"," ",$U252*(8*($BQ252))*L252)</f>
        <v> </v>
      </c>
      <c r="W252" s="320" t="str">
        <f aca="false">IF($A252="N/A"," ",$U252*(8*($BQ252))*M252)</f>
        <v> </v>
      </c>
      <c r="X252" s="320" t="str">
        <f aca="false">IF($A252="N/A"," ",$U252*(8*($BQ252))*N252)</f>
        <v> </v>
      </c>
      <c r="Y252" s="320" t="str">
        <f aca="false">IF($A252="N/A"," ",$U252*(8*($BR252))*O252)</f>
        <v> </v>
      </c>
      <c r="Z252" s="320" t="str">
        <f aca="false">IF($A252="N/A"," ",$U252*(8*($BR252))*P252)</f>
        <v> </v>
      </c>
      <c r="AA252" s="320" t="str">
        <f aca="false">IF($A252="N/A"," ",$U252*(8*($BR252))*Q252)</f>
        <v> </v>
      </c>
      <c r="AB252" s="320" t="str">
        <f aca="false">IF($A252="N/A"," ",$U252*(8*($BS252))*R252)</f>
        <v> </v>
      </c>
      <c r="AC252" s="320" t="str">
        <f aca="false">IF($A252="N/A"," ",$U252*(8*($BS252))*S252)</f>
        <v> </v>
      </c>
      <c r="AD252" s="320" t="str">
        <f aca="false">IF($A252="N/A"," ",$U252*(8*($BS252))*T252)</f>
        <v> </v>
      </c>
      <c r="AE252" s="320" t="str">
        <f aca="false">IF($A252="N/A"," ",SUM(V252:AD252))</f>
        <v> </v>
      </c>
      <c r="AF252" s="321" t="str">
        <f aca="false">IF(A252="N/A"," ",(VLOOKUP(A252,PowerVolTable,(IF(VolBMO3=2,7,IF(VolBMO3=1,6,8))),FALSE())))</f>
        <v> </v>
      </c>
      <c r="AG252" s="321" t="str">
        <f aca="false">IF(A252="N/A"," ",(VLOOKUP(A252,IntraPowerVol,(IF(VolBMO3=2,3,IF(VolBMO3=1,2,4))),FALSE())*VLOOKUP(MONTH($A252),Volscale,2)))</f>
        <v> </v>
      </c>
      <c r="AH252" s="321" t="str">
        <f aca="false">IF($A252="N/A"," ",IF(VolType3=1,AG252,AF252))</f>
        <v> </v>
      </c>
      <c r="AI252" s="321" t="str">
        <f aca="false">IF($A252="N/A"," ",(VLOOKUP($A252,OffPwrVolTable,(IF(VolBMO3=2,7,IF(VolBMO3=1,6,8))),FALSE())))</f>
        <v> </v>
      </c>
      <c r="AJ252" s="321" t="str">
        <f aca="false">IF($A252="N/A"," ",(VLOOKUP($A252,OffPwrVolTable,(IF(VolBMO3=2,3,IF(VolBMO3=1,2,4))),FALSE())*VLOOKUP(MONTH($A252),Volscale,2)))</f>
        <v> </v>
      </c>
      <c r="AK252" s="321" t="str">
        <f aca="false">IF($A252="N/A"," ",IF(VolType3=1,AJ252,AI252))</f>
        <v> </v>
      </c>
      <c r="AL252" s="321" t="str">
        <f aca="false">IF($A252="N/A"," ",IF(PV=1,0,'Pricing Inputs3'!R285))</f>
        <v> </v>
      </c>
      <c r="AM252" s="323" t="str">
        <f aca="false">IF($A252="N/A"," ",(1+AL252/2)^(-2*((EOMONTH(A252,0)+20)-DateToday)/365.25))</f>
        <v> </v>
      </c>
      <c r="BQ252" s="0" t="str">
        <f aca="false">IF($A252="N/A"," ",(VLOOKUP($A252,NumberofDaysTable,2)))</f>
        <v> </v>
      </c>
      <c r="BR252" s="0" t="str">
        <f aca="false">IF($A252="N/A"," ",(VLOOKUP($A252,NumberofDaysTable,3)))</f>
        <v> </v>
      </c>
      <c r="BS252" s="0" t="str">
        <f aca="false">IF($A252="N/A"," ",(VLOOKUP($A252,NumberofDaysTable,4)))</f>
        <v> </v>
      </c>
    </row>
    <row r="253" customFormat="false" ht="12.75" hidden="false" customHeight="false" outlineLevel="0" collapsed="false">
      <c r="A253" s="315" t="str">
        <f aca="false">IF(A252="N/A","N/A",IF(EDATE(A252,1)&gt;Inputs!$Q$5,"N/A",EDATE(A252,1)))</f>
        <v>N/A</v>
      </c>
      <c r="B253" s="316" t="str">
        <f aca="false">IF(A253="N/A"," ",YEAR(A253))</f>
        <v> </v>
      </c>
      <c r="C253" s="317" t="str">
        <f aca="false">IF($A253="N/A"," ",IF(Dayrun3=10,0,IF(Scaler3=1,(VLOOKUP(A253,ScaledPrice3,4)),(VLOOKUP(A253,ScaledPrice3,2)))))</f>
        <v> </v>
      </c>
      <c r="D253" s="317" t="str">
        <f aca="false">IF(A253="N/A"," ",IF(Dayrun3&gt;=7,0,IF(Scaler3=2,VLOOKUP(A253,ScaledPrice3,2),(VLOOKUP(A253,ScaledPrice3,2))*(2-(VLOOKUP(A253,ScaledPrice3,3))))))</f>
        <v> </v>
      </c>
      <c r="E253" s="317" t="str">
        <f aca="false">IF($A253="N/A"," ",IF(AND(Dayrun3&gt;=4,Dayrun3&lt;=9),0,VLOOKUP($A253,ScaledPrice3,9)))</f>
        <v> </v>
      </c>
      <c r="F253" s="317" t="str">
        <f aca="false">IF(A253="N/A"," ",IF(OR(Dayrun3=2,Dayrun3=3,Dayrun3=5,Dayrun3=6,Dayrun3=8,Dayrun3=9),VLOOKUP(A253,ScaledPrice3,IF(Scaler3=1,6,5)),0))</f>
        <v> </v>
      </c>
      <c r="G253" s="317" t="str">
        <f aca="false">IF(A253="N/A"," ",IF(OR(Dayrun3=2,Dayrun3=3,Dayrun3=5,Dayrun3=6),IF(Scaler3=2,F253,(VLOOKUP(A253,ScaledPrice3,5))*(2-(VLOOKUP(A253,ScaledPrice3,3)))),0))</f>
        <v> </v>
      </c>
      <c r="H253" s="317" t="str">
        <f aca="false">IF($A253="N/A"," ",IF(OR(Dayrun3=2,Dayrun3=3,Dayrun3=10),VLOOKUP($A253,ScaledPrice3,9),0))</f>
        <v> </v>
      </c>
      <c r="I253" s="317" t="str">
        <f aca="false">IF(A253="N/A"," ",IF(OR(Dayrun3=3,Dayrun3=6,Dayrun3=9),(VLOOKUP(A253,ScaledPrice3,IF(Scaler3=2,7,8))),0))</f>
        <v> </v>
      </c>
      <c r="J253" s="317" t="str">
        <f aca="false">IF(A253="N/A"," ",IF(OR(Dayrun3=3,Dayrun3=6),IF(Scaler3=2,I253,(VLOOKUP(A253,ScaledPrice3,7))*(2-(VLOOKUP(A253,ScaledPrice3,3)))),0))</f>
        <v> </v>
      </c>
      <c r="K253" s="317" t="str">
        <f aca="false">IF($A253="N/A"," ",IF(OR(Dayrun3=3,Dayrun3=10),VLOOKUP($A253,ScaledPrice3,9),0))</f>
        <v> </v>
      </c>
      <c r="L253" s="318" t="str">
        <f aca="false">IF($A253="N/A"," ",IF(Pricetype3=2,MAX(C253,0),IF(OR(Pricetype3=1,Pricetype3=4),IF(C253=0,0,(EURO(C253,Strikeprice3,0,0,($AH253+IF(Smile=TRUE(),VLOOKUP(MAX(-5,Strikeprice3-C253),Volsmile,2),0)),($A253-DateToday)+15,IF(Pricetype3=1,1,0),0))),C253)))</f>
        <v> </v>
      </c>
      <c r="M253" s="318" t="str">
        <f aca="false">IF($A253="N/A"," ",IF(Pricetype3=2,MAX(D253,0),IF(OR(Pricetype3=1,Pricetype3=4),IF(D253=0,0,(EURO(D253,Strikeprice3,0,0,($AH253+IF(Smile=TRUE(),VLOOKUP(MAX(-5,Strikeprice3-D253),Volsmile,2),0)),($A253-DateToday)+15,IF(Pricetype3=1,1,0),0))),D253)))</f>
        <v> </v>
      </c>
      <c r="N253" s="318" t="str">
        <f aca="false">IF($A253="N/A"," ",IF(Pricetype3=2,MAX(E253,0),IF(OR(Pricetype3=1,Pricetype3=4),IF(E253=0,0,(EURO(E253,Strikeprice3,0,0,($AK253+IF(Smile=TRUE(),VLOOKUP(MAX(-5,Strikeprice3-E253),Volsmile,2),0)),($A253-DateToday)+15,IF(Pricetype3=1,1,0),0))),E253)))</f>
        <v> </v>
      </c>
      <c r="O253" s="318" t="str">
        <f aca="false">IF($A253="N/A"," ",IF(Pricetype3=2,MAX(F253,0),IF(OR(Pricetype3=1,Pricetype3=4),IF(F253=0,0,(EURO(F253,Strikeprice3,0,0,($AK253+IF(Smile=TRUE(),VLOOKUP(MAX(-5,Strikeprice3-F253),Volsmile,2),0)),($A253-DateToday)+15,IF(Pricetype3=1,1,0),0))),F253)))</f>
        <v> </v>
      </c>
      <c r="P253" s="318" t="str">
        <f aca="false">IF($A253="N/A"," ",IF(Pricetype3=2,MAX(G253,0),IF(OR(Pricetype3=1,Pricetype3=4),IF(G253=0,0,(EURO(G253,Strikeprice3,0,0,($AK253+IF(Smile=TRUE(),VLOOKUP(MAX(-5,Strikeprice3-G253),Volsmile,2),0)),($A253-DateToday)+15,IF(Pricetype3=1,1,0),0))),G253)))</f>
        <v> </v>
      </c>
      <c r="Q253" s="318" t="str">
        <f aca="false">IF($A253="N/A"," ",IF(Pricetype3=2,MAX(H253,0),IF(OR(Pricetype3=1,Pricetype3=4),IF(H253=0,0,(EURO(H253,Strikeprice3,0,0,($AK253+IF(Smile=TRUE(),VLOOKUP(MAX(-5,Strikeprice3-H253),Volsmile,2),0)),($A253-DateToday)+15,IF(Pricetype3=1,1,0),0))),H253)))</f>
        <v> </v>
      </c>
      <c r="R253" s="318" t="str">
        <f aca="false">IF($A253="N/A"," ",IF(Pricetype3=2,MAX(I253,0),IF(OR(Pricetype3=1,Pricetype3=4),IF(I253=0,0,(EURO(I253,Strikeprice3,0,0,($AK253+IF(Smile=TRUE(),VLOOKUP(MAX(-5,Strikeprice3-I253),Volsmile,2),0)),($A253-DateToday)+15,IF(Pricetype3=1,1,0),0))),I253)))</f>
        <v> </v>
      </c>
      <c r="S253" s="318" t="str">
        <f aca="false">IF($A253="N/A"," ",IF(Pricetype3=2,MAX(J253,0),IF(OR(Pricetype3=1,Pricetype3=4),IF(J253=0,0,(EURO(J253,Strikeprice3,0,0,($AK253+IF(Smile=TRUE(),VLOOKUP(MAX(-5,Strikeprice3-J253),Volsmile,2),0)),($A253-DateToday)+15,IF(Pricetype3=1,1,0),0))),J253)))</f>
        <v> </v>
      </c>
      <c r="T253" s="318" t="str">
        <f aca="false">IF($A253="N/A"," ",IF(Pricetype3=2,MAX(K253,0),IF(OR(Pricetype3=1,Pricetype3=4),IF(K253=0,0,(EURO(K253,Strikeprice3,0,0,($AK253+IF(Smile=TRUE(),VLOOKUP(MAX(-5,Strikeprice3-K253),Volsmile,2),0)),($A253-DateToday)+15,IF(Pricetype3=1,1,0),0))),K253)))</f>
        <v> </v>
      </c>
      <c r="U253" s="319" t="str">
        <f aca="false">IF($A253="N/A"," ",Volume3*$AM253)</f>
        <v> </v>
      </c>
      <c r="V253" s="320" t="str">
        <f aca="false">IF($A253="N/A"," ",$U253*(8*($BQ253))*L253)</f>
        <v> </v>
      </c>
      <c r="W253" s="320" t="str">
        <f aca="false">IF($A253="N/A"," ",$U253*(8*($BQ253))*M253)</f>
        <v> </v>
      </c>
      <c r="X253" s="320" t="str">
        <f aca="false">IF($A253="N/A"," ",$U253*(8*($BQ253))*N253)</f>
        <v> </v>
      </c>
      <c r="Y253" s="320" t="str">
        <f aca="false">IF($A253="N/A"," ",$U253*(8*($BR253))*O253)</f>
        <v> </v>
      </c>
      <c r="Z253" s="320" t="str">
        <f aca="false">IF($A253="N/A"," ",$U253*(8*($BR253))*P253)</f>
        <v> </v>
      </c>
      <c r="AA253" s="320" t="str">
        <f aca="false">IF($A253="N/A"," ",$U253*(8*($BR253))*Q253)</f>
        <v> </v>
      </c>
      <c r="AB253" s="320" t="str">
        <f aca="false">IF($A253="N/A"," ",$U253*(8*($BS253))*R253)</f>
        <v> </v>
      </c>
      <c r="AC253" s="320" t="str">
        <f aca="false">IF($A253="N/A"," ",$U253*(8*($BS253))*S253)</f>
        <v> </v>
      </c>
      <c r="AD253" s="320" t="str">
        <f aca="false">IF($A253="N/A"," ",$U253*(8*($BS253))*T253)</f>
        <v> </v>
      </c>
      <c r="AE253" s="320" t="str">
        <f aca="false">IF($A253="N/A"," ",SUM(V253:AD253))</f>
        <v> </v>
      </c>
      <c r="AF253" s="321" t="str">
        <f aca="false">IF(A253="N/A"," ",(VLOOKUP(A253,PowerVolTable,(IF(VolBMO3=2,7,IF(VolBMO3=1,6,8))),FALSE())))</f>
        <v> </v>
      </c>
      <c r="AG253" s="321" t="str">
        <f aca="false">IF(A253="N/A"," ",(VLOOKUP(A253,IntraPowerVol,(IF(VolBMO3=2,3,IF(VolBMO3=1,2,4))),FALSE())*VLOOKUP(MONTH($A253),Volscale,2)))</f>
        <v> </v>
      </c>
      <c r="AH253" s="321" t="str">
        <f aca="false">IF($A253="N/A"," ",IF(VolType3=1,AG253,AF253))</f>
        <v> </v>
      </c>
      <c r="AI253" s="321" t="str">
        <f aca="false">IF($A253="N/A"," ",(VLOOKUP($A253,OffPwrVolTable,(IF(VolBMO3=2,7,IF(VolBMO3=1,6,8))),FALSE())))</f>
        <v> </v>
      </c>
      <c r="AJ253" s="321" t="str">
        <f aca="false">IF($A253="N/A"," ",(VLOOKUP($A253,OffPwrVolTable,(IF(VolBMO3=2,3,IF(VolBMO3=1,2,4))),FALSE())*VLOOKUP(MONTH($A253),Volscale,2)))</f>
        <v> </v>
      </c>
      <c r="AK253" s="321" t="str">
        <f aca="false">IF($A253="N/A"," ",IF(VolType3=1,AJ253,AI253))</f>
        <v> </v>
      </c>
      <c r="AL253" s="321" t="str">
        <f aca="false">IF($A253="N/A"," ",IF(PV=1,0,'Pricing Inputs3'!R286))</f>
        <v> </v>
      </c>
      <c r="AM253" s="323" t="str">
        <f aca="false">IF($A253="N/A"," ",(1+AL253/2)^(-2*((EOMONTH(A253,0)+20)-DateToday)/365.25))</f>
        <v> </v>
      </c>
      <c r="BQ253" s="0" t="str">
        <f aca="false">IF($A253="N/A"," ",(VLOOKUP($A253,NumberofDaysTable,2)))</f>
        <v> </v>
      </c>
      <c r="BR253" s="0" t="str">
        <f aca="false">IF($A253="N/A"," ",(VLOOKUP($A253,NumberofDaysTable,3)))</f>
        <v> </v>
      </c>
      <c r="BS253" s="0" t="str">
        <f aca="false">IF($A253="N/A"," ",(VLOOKUP($A253,NumberofDaysTable,4)))</f>
        <v> </v>
      </c>
    </row>
    <row r="254" customFormat="false" ht="12.75" hidden="false" customHeight="false" outlineLevel="0" collapsed="false">
      <c r="A254" s="315" t="str">
        <f aca="false">IF(A253="N/A","N/A",IF(EDATE(A253,1)&gt;Inputs!$Q$5,"N/A",EDATE(A253,1)))</f>
        <v>N/A</v>
      </c>
      <c r="B254" s="316" t="str">
        <f aca="false">IF(A254="N/A"," ",YEAR(A254))</f>
        <v> </v>
      </c>
      <c r="C254" s="317" t="str">
        <f aca="false">IF($A254="N/A"," ",IF(Dayrun3=10,0,IF(Scaler3=1,(VLOOKUP(A254,ScaledPrice3,4)),(VLOOKUP(A254,ScaledPrice3,2)))))</f>
        <v> </v>
      </c>
      <c r="D254" s="317" t="str">
        <f aca="false">IF(A254="N/A"," ",IF(Dayrun3&gt;=7,0,IF(Scaler3=2,VLOOKUP(A254,ScaledPrice3,2),(VLOOKUP(A254,ScaledPrice3,2))*(2-(VLOOKUP(A254,ScaledPrice3,3))))))</f>
        <v> </v>
      </c>
      <c r="E254" s="317" t="str">
        <f aca="false">IF($A254="N/A"," ",IF(AND(Dayrun3&gt;=4,Dayrun3&lt;=9),0,VLOOKUP($A254,ScaledPrice3,9)))</f>
        <v> </v>
      </c>
      <c r="F254" s="317" t="str">
        <f aca="false">IF(A254="N/A"," ",IF(OR(Dayrun3=2,Dayrun3=3,Dayrun3=5,Dayrun3=6,Dayrun3=8,Dayrun3=9),VLOOKUP(A254,ScaledPrice3,IF(Scaler3=1,6,5)),0))</f>
        <v> </v>
      </c>
      <c r="G254" s="317" t="str">
        <f aca="false">IF(A254="N/A"," ",IF(OR(Dayrun3=2,Dayrun3=3,Dayrun3=5,Dayrun3=6),IF(Scaler3=2,F254,(VLOOKUP(A254,ScaledPrice3,5))*(2-(VLOOKUP(A254,ScaledPrice3,3)))),0))</f>
        <v> </v>
      </c>
      <c r="H254" s="317" t="str">
        <f aca="false">IF($A254="N/A"," ",IF(OR(Dayrun3=2,Dayrun3=3,Dayrun3=10),VLOOKUP($A254,ScaledPrice3,9),0))</f>
        <v> </v>
      </c>
      <c r="I254" s="317" t="str">
        <f aca="false">IF(A254="N/A"," ",IF(OR(Dayrun3=3,Dayrun3=6,Dayrun3=9),(VLOOKUP(A254,ScaledPrice3,IF(Scaler3=2,7,8))),0))</f>
        <v> </v>
      </c>
      <c r="J254" s="317" t="str">
        <f aca="false">IF(A254="N/A"," ",IF(OR(Dayrun3=3,Dayrun3=6),IF(Scaler3=2,I254,(VLOOKUP(A254,ScaledPrice3,7))*(2-(VLOOKUP(A254,ScaledPrice3,3)))),0))</f>
        <v> </v>
      </c>
      <c r="K254" s="317" t="str">
        <f aca="false">IF($A254="N/A"," ",IF(OR(Dayrun3=3,Dayrun3=10),VLOOKUP($A254,ScaledPrice3,9),0))</f>
        <v> </v>
      </c>
      <c r="L254" s="318" t="str">
        <f aca="false">IF($A254="N/A"," ",IF(Pricetype3=2,MAX(C254,0),IF(OR(Pricetype3=1,Pricetype3=4),IF(C254=0,0,(EURO(C254,Strikeprice3,0,0,($AH254+IF(Smile=TRUE(),VLOOKUP(MAX(-5,Strikeprice3-C254),Volsmile,2),0)),($A254-DateToday)+15,IF(Pricetype3=1,1,0),0))),C254)))</f>
        <v> </v>
      </c>
      <c r="M254" s="318" t="str">
        <f aca="false">IF($A254="N/A"," ",IF(Pricetype3=2,MAX(D254,0),IF(OR(Pricetype3=1,Pricetype3=4),IF(D254=0,0,(EURO(D254,Strikeprice3,0,0,($AH254+IF(Smile=TRUE(),VLOOKUP(MAX(-5,Strikeprice3-D254),Volsmile,2),0)),($A254-DateToday)+15,IF(Pricetype3=1,1,0),0))),D254)))</f>
        <v> </v>
      </c>
      <c r="N254" s="318" t="str">
        <f aca="false">IF($A254="N/A"," ",IF(Pricetype3=2,MAX(E254,0),IF(OR(Pricetype3=1,Pricetype3=4),IF(E254=0,0,(EURO(E254,Strikeprice3,0,0,($AK254+IF(Smile=TRUE(),VLOOKUP(MAX(-5,Strikeprice3-E254),Volsmile,2),0)),($A254-DateToday)+15,IF(Pricetype3=1,1,0),0))),E254)))</f>
        <v> </v>
      </c>
      <c r="O254" s="318" t="str">
        <f aca="false">IF($A254="N/A"," ",IF(Pricetype3=2,MAX(F254,0),IF(OR(Pricetype3=1,Pricetype3=4),IF(F254=0,0,(EURO(F254,Strikeprice3,0,0,($AK254+IF(Smile=TRUE(),VLOOKUP(MAX(-5,Strikeprice3-F254),Volsmile,2),0)),($A254-DateToday)+15,IF(Pricetype3=1,1,0),0))),F254)))</f>
        <v> </v>
      </c>
      <c r="P254" s="318" t="str">
        <f aca="false">IF($A254="N/A"," ",IF(Pricetype3=2,MAX(G254,0),IF(OR(Pricetype3=1,Pricetype3=4),IF(G254=0,0,(EURO(G254,Strikeprice3,0,0,($AK254+IF(Smile=TRUE(),VLOOKUP(MAX(-5,Strikeprice3-G254),Volsmile,2),0)),($A254-DateToday)+15,IF(Pricetype3=1,1,0),0))),G254)))</f>
        <v> </v>
      </c>
      <c r="Q254" s="318" t="str">
        <f aca="false">IF($A254="N/A"," ",IF(Pricetype3=2,MAX(H254,0),IF(OR(Pricetype3=1,Pricetype3=4),IF(H254=0,0,(EURO(H254,Strikeprice3,0,0,($AK254+IF(Smile=TRUE(),VLOOKUP(MAX(-5,Strikeprice3-H254),Volsmile,2),0)),($A254-DateToday)+15,IF(Pricetype3=1,1,0),0))),H254)))</f>
        <v> </v>
      </c>
      <c r="R254" s="318" t="str">
        <f aca="false">IF($A254="N/A"," ",IF(Pricetype3=2,MAX(I254,0),IF(OR(Pricetype3=1,Pricetype3=4),IF(I254=0,0,(EURO(I254,Strikeprice3,0,0,($AK254+IF(Smile=TRUE(),VLOOKUP(MAX(-5,Strikeprice3-I254),Volsmile,2),0)),($A254-DateToday)+15,IF(Pricetype3=1,1,0),0))),I254)))</f>
        <v> </v>
      </c>
      <c r="S254" s="318" t="str">
        <f aca="false">IF($A254="N/A"," ",IF(Pricetype3=2,MAX(J254,0),IF(OR(Pricetype3=1,Pricetype3=4),IF(J254=0,0,(EURO(J254,Strikeprice3,0,0,($AK254+IF(Smile=TRUE(),VLOOKUP(MAX(-5,Strikeprice3-J254),Volsmile,2),0)),($A254-DateToday)+15,IF(Pricetype3=1,1,0),0))),J254)))</f>
        <v> </v>
      </c>
      <c r="T254" s="318" t="str">
        <f aca="false">IF($A254="N/A"," ",IF(Pricetype3=2,MAX(K254,0),IF(OR(Pricetype3=1,Pricetype3=4),IF(K254=0,0,(EURO(K254,Strikeprice3,0,0,($AK254+IF(Smile=TRUE(),VLOOKUP(MAX(-5,Strikeprice3-K254),Volsmile,2),0)),($A254-DateToday)+15,IF(Pricetype3=1,1,0),0))),K254)))</f>
        <v> </v>
      </c>
      <c r="U254" s="319" t="str">
        <f aca="false">IF($A254="N/A"," ",Volume3*$AM254)</f>
        <v> </v>
      </c>
      <c r="V254" s="320" t="str">
        <f aca="false">IF($A254="N/A"," ",$U254*(8*($BQ254))*L254)</f>
        <v> </v>
      </c>
      <c r="W254" s="320" t="str">
        <f aca="false">IF($A254="N/A"," ",$U254*(8*($BQ254))*M254)</f>
        <v> </v>
      </c>
      <c r="X254" s="320" t="str">
        <f aca="false">IF($A254="N/A"," ",$U254*(8*($BQ254))*N254)</f>
        <v> </v>
      </c>
      <c r="Y254" s="320" t="str">
        <f aca="false">IF($A254="N/A"," ",$U254*(8*($BR254))*O254)</f>
        <v> </v>
      </c>
      <c r="Z254" s="320" t="str">
        <f aca="false">IF($A254="N/A"," ",$U254*(8*($BR254))*P254)</f>
        <v> </v>
      </c>
      <c r="AA254" s="320" t="str">
        <f aca="false">IF($A254="N/A"," ",$U254*(8*($BR254))*Q254)</f>
        <v> </v>
      </c>
      <c r="AB254" s="320" t="str">
        <f aca="false">IF($A254="N/A"," ",$U254*(8*($BS254))*R254)</f>
        <v> </v>
      </c>
      <c r="AC254" s="320" t="str">
        <f aca="false">IF($A254="N/A"," ",$U254*(8*($BS254))*S254)</f>
        <v> </v>
      </c>
      <c r="AD254" s="320" t="str">
        <f aca="false">IF($A254="N/A"," ",$U254*(8*($BS254))*T254)</f>
        <v> </v>
      </c>
      <c r="AE254" s="320" t="str">
        <f aca="false">IF($A254="N/A"," ",SUM(V254:AD254))</f>
        <v> </v>
      </c>
      <c r="AF254" s="321" t="str">
        <f aca="false">IF(A254="N/A"," ",(VLOOKUP(A254,PowerVolTable,(IF(VolBMO3=2,7,IF(VolBMO3=1,6,8))),FALSE())))</f>
        <v> </v>
      </c>
      <c r="AG254" s="321" t="str">
        <f aca="false">IF(A254="N/A"," ",(VLOOKUP(A254,IntraPowerVol,(IF(VolBMO3=2,3,IF(VolBMO3=1,2,4))),FALSE())*VLOOKUP(MONTH($A254),Volscale,2)))</f>
        <v> </v>
      </c>
      <c r="AH254" s="321" t="str">
        <f aca="false">IF($A254="N/A"," ",IF(VolType3=1,AG254,AF254))</f>
        <v> </v>
      </c>
      <c r="AI254" s="321" t="str">
        <f aca="false">IF($A254="N/A"," ",(VLOOKUP($A254,OffPwrVolTable,(IF(VolBMO3=2,7,IF(VolBMO3=1,6,8))),FALSE())))</f>
        <v> </v>
      </c>
      <c r="AJ254" s="321" t="str">
        <f aca="false">IF($A254="N/A"," ",(VLOOKUP($A254,OffPwrVolTable,(IF(VolBMO3=2,3,IF(VolBMO3=1,2,4))),FALSE())*VLOOKUP(MONTH($A254),Volscale,2)))</f>
        <v> </v>
      </c>
      <c r="AK254" s="321" t="str">
        <f aca="false">IF($A254="N/A"," ",IF(VolType3=1,AJ254,AI254))</f>
        <v> </v>
      </c>
      <c r="AL254" s="321" t="str">
        <f aca="false">IF($A254="N/A"," ",IF(PV=1,0,'Pricing Inputs3'!R287))</f>
        <v> </v>
      </c>
      <c r="AM254" s="323" t="str">
        <f aca="false">IF($A254="N/A"," ",(1+AL254/2)^(-2*((EOMONTH(A254,0)+20)-DateToday)/365.25))</f>
        <v> </v>
      </c>
      <c r="BQ254" s="0" t="str">
        <f aca="false">IF($A254="N/A"," ",(VLOOKUP($A254,NumberofDaysTable,2)))</f>
        <v> </v>
      </c>
      <c r="BR254" s="0" t="str">
        <f aca="false">IF($A254="N/A"," ",(VLOOKUP($A254,NumberofDaysTable,3)))</f>
        <v> </v>
      </c>
      <c r="BS254" s="0" t="str">
        <f aca="false">IF($A254="N/A"," ",(VLOOKUP($A254,NumberofDaysTable,4)))</f>
        <v> </v>
      </c>
    </row>
    <row r="255" customFormat="false" ht="12.75" hidden="false" customHeight="false" outlineLevel="0" collapsed="false">
      <c r="A255" s="315" t="str">
        <f aca="false">IF(A254="N/A","N/A",IF(EDATE(A254,1)&gt;Inputs!$Q$5,"N/A",EDATE(A254,1)))</f>
        <v>N/A</v>
      </c>
      <c r="B255" s="316" t="str">
        <f aca="false">IF(A255="N/A"," ",YEAR(A255))</f>
        <v> </v>
      </c>
      <c r="C255" s="317" t="str">
        <f aca="false">IF($A255="N/A"," ",IF(Dayrun3=10,0,IF(Scaler3=1,(VLOOKUP(A255,ScaledPrice3,4)),(VLOOKUP(A255,ScaledPrice3,2)))))</f>
        <v> </v>
      </c>
      <c r="D255" s="317" t="str">
        <f aca="false">IF(A255="N/A"," ",IF(Dayrun3&gt;=7,0,IF(Scaler3=2,VLOOKUP(A255,ScaledPrice3,2),(VLOOKUP(A255,ScaledPrice3,2))*(2-(VLOOKUP(A255,ScaledPrice3,3))))))</f>
        <v> </v>
      </c>
      <c r="E255" s="317" t="str">
        <f aca="false">IF($A255="N/A"," ",IF(AND(Dayrun3&gt;=4,Dayrun3&lt;=9),0,VLOOKUP($A255,ScaledPrice3,9)))</f>
        <v> </v>
      </c>
      <c r="F255" s="317" t="str">
        <f aca="false">IF(A255="N/A"," ",IF(OR(Dayrun3=2,Dayrun3=3,Dayrun3=5,Dayrun3=6,Dayrun3=8,Dayrun3=9),VLOOKUP(A255,ScaledPrice3,IF(Scaler3=1,6,5)),0))</f>
        <v> </v>
      </c>
      <c r="G255" s="317" t="str">
        <f aca="false">IF(A255="N/A"," ",IF(OR(Dayrun3=2,Dayrun3=3,Dayrun3=5,Dayrun3=6),IF(Scaler3=2,F255,(VLOOKUP(A255,ScaledPrice3,5))*(2-(VLOOKUP(A255,ScaledPrice3,3)))),0))</f>
        <v> </v>
      </c>
      <c r="H255" s="317" t="str">
        <f aca="false">IF($A255="N/A"," ",IF(OR(Dayrun3=2,Dayrun3=3,Dayrun3=10),VLOOKUP($A255,ScaledPrice3,9),0))</f>
        <v> </v>
      </c>
      <c r="I255" s="317" t="str">
        <f aca="false">IF(A255="N/A"," ",IF(OR(Dayrun3=3,Dayrun3=6,Dayrun3=9),(VLOOKUP(A255,ScaledPrice3,IF(Scaler3=2,7,8))),0))</f>
        <v> </v>
      </c>
      <c r="J255" s="317" t="str">
        <f aca="false">IF(A255="N/A"," ",IF(OR(Dayrun3=3,Dayrun3=6),IF(Scaler3=2,I255,(VLOOKUP(A255,ScaledPrice3,7))*(2-(VLOOKUP(A255,ScaledPrice3,3)))),0))</f>
        <v> </v>
      </c>
      <c r="K255" s="317" t="str">
        <f aca="false">IF($A255="N/A"," ",IF(OR(Dayrun3=3,Dayrun3=10),VLOOKUP($A255,ScaledPrice3,9),0))</f>
        <v> </v>
      </c>
      <c r="L255" s="318" t="str">
        <f aca="false">IF($A255="N/A"," ",IF(Pricetype3=2,MAX(C255,0),IF(OR(Pricetype3=1,Pricetype3=4),IF(C255=0,0,(EURO(C255,Strikeprice3,0,0,($AH255+IF(Smile=TRUE(),VLOOKUP(MAX(-5,Strikeprice3-C255),Volsmile,2),0)),($A255-DateToday)+15,IF(Pricetype3=1,1,0),0))),C255)))</f>
        <v> </v>
      </c>
      <c r="M255" s="318" t="str">
        <f aca="false">IF($A255="N/A"," ",IF(Pricetype3=2,MAX(D255,0),IF(OR(Pricetype3=1,Pricetype3=4),IF(D255=0,0,(EURO(D255,Strikeprice3,0,0,($AH255+IF(Smile=TRUE(),VLOOKUP(MAX(-5,Strikeprice3-D255),Volsmile,2),0)),($A255-DateToday)+15,IF(Pricetype3=1,1,0),0))),D255)))</f>
        <v> </v>
      </c>
      <c r="N255" s="318" t="str">
        <f aca="false">IF($A255="N/A"," ",IF(Pricetype3=2,MAX(E255,0),IF(OR(Pricetype3=1,Pricetype3=4),IF(E255=0,0,(EURO(E255,Strikeprice3,0,0,($AK255+IF(Smile=TRUE(),VLOOKUP(MAX(-5,Strikeprice3-E255),Volsmile,2),0)),($A255-DateToday)+15,IF(Pricetype3=1,1,0),0))),E255)))</f>
        <v> </v>
      </c>
      <c r="O255" s="318" t="str">
        <f aca="false">IF($A255="N/A"," ",IF(Pricetype3=2,MAX(F255,0),IF(OR(Pricetype3=1,Pricetype3=4),IF(F255=0,0,(EURO(F255,Strikeprice3,0,0,($AK255+IF(Smile=TRUE(),VLOOKUP(MAX(-5,Strikeprice3-F255),Volsmile,2),0)),($A255-DateToday)+15,IF(Pricetype3=1,1,0),0))),F255)))</f>
        <v> </v>
      </c>
      <c r="P255" s="318" t="str">
        <f aca="false">IF($A255="N/A"," ",IF(Pricetype3=2,MAX(G255,0),IF(OR(Pricetype3=1,Pricetype3=4),IF(G255=0,0,(EURO(G255,Strikeprice3,0,0,($AK255+IF(Smile=TRUE(),VLOOKUP(MAX(-5,Strikeprice3-G255),Volsmile,2),0)),($A255-DateToday)+15,IF(Pricetype3=1,1,0),0))),G255)))</f>
        <v> </v>
      </c>
      <c r="Q255" s="318" t="str">
        <f aca="false">IF($A255="N/A"," ",IF(Pricetype3=2,MAX(H255,0),IF(OR(Pricetype3=1,Pricetype3=4),IF(H255=0,0,(EURO(H255,Strikeprice3,0,0,($AK255+IF(Smile=TRUE(),VLOOKUP(MAX(-5,Strikeprice3-H255),Volsmile,2),0)),($A255-DateToday)+15,IF(Pricetype3=1,1,0),0))),H255)))</f>
        <v> </v>
      </c>
      <c r="R255" s="318" t="str">
        <f aca="false">IF($A255="N/A"," ",IF(Pricetype3=2,MAX(I255,0),IF(OR(Pricetype3=1,Pricetype3=4),IF(I255=0,0,(EURO(I255,Strikeprice3,0,0,($AK255+IF(Smile=TRUE(),VLOOKUP(MAX(-5,Strikeprice3-I255),Volsmile,2),0)),($A255-DateToday)+15,IF(Pricetype3=1,1,0),0))),I255)))</f>
        <v> </v>
      </c>
      <c r="S255" s="318" t="str">
        <f aca="false">IF($A255="N/A"," ",IF(Pricetype3=2,MAX(J255,0),IF(OR(Pricetype3=1,Pricetype3=4),IF(J255=0,0,(EURO(J255,Strikeprice3,0,0,($AK255+IF(Smile=TRUE(),VLOOKUP(MAX(-5,Strikeprice3-J255),Volsmile,2),0)),($A255-DateToday)+15,IF(Pricetype3=1,1,0),0))),J255)))</f>
        <v> </v>
      </c>
      <c r="T255" s="318" t="str">
        <f aca="false">IF($A255="N/A"," ",IF(Pricetype3=2,MAX(K255,0),IF(OR(Pricetype3=1,Pricetype3=4),IF(K255=0,0,(EURO(K255,Strikeprice3,0,0,($AK255+IF(Smile=TRUE(),VLOOKUP(MAX(-5,Strikeprice3-K255),Volsmile,2),0)),($A255-DateToday)+15,IF(Pricetype3=1,1,0),0))),K255)))</f>
        <v> </v>
      </c>
      <c r="U255" s="319" t="str">
        <f aca="false">IF($A255="N/A"," ",Volume3*$AM255)</f>
        <v> </v>
      </c>
      <c r="V255" s="320" t="str">
        <f aca="false">IF($A255="N/A"," ",$U255*(8*($BQ255))*L255)</f>
        <v> </v>
      </c>
      <c r="W255" s="320" t="str">
        <f aca="false">IF($A255="N/A"," ",$U255*(8*($BQ255))*M255)</f>
        <v> </v>
      </c>
      <c r="X255" s="320" t="str">
        <f aca="false">IF($A255="N/A"," ",$U255*(8*($BQ255))*N255)</f>
        <v> </v>
      </c>
      <c r="Y255" s="320" t="str">
        <f aca="false">IF($A255="N/A"," ",$U255*(8*($BR255))*O255)</f>
        <v> </v>
      </c>
      <c r="Z255" s="320" t="str">
        <f aca="false">IF($A255="N/A"," ",$U255*(8*($BR255))*P255)</f>
        <v> </v>
      </c>
      <c r="AA255" s="320" t="str">
        <f aca="false">IF($A255="N/A"," ",$U255*(8*($BR255))*Q255)</f>
        <v> </v>
      </c>
      <c r="AB255" s="320" t="str">
        <f aca="false">IF($A255="N/A"," ",$U255*(8*($BS255))*R255)</f>
        <v> </v>
      </c>
      <c r="AC255" s="320" t="str">
        <f aca="false">IF($A255="N/A"," ",$U255*(8*($BS255))*S255)</f>
        <v> </v>
      </c>
      <c r="AD255" s="320" t="str">
        <f aca="false">IF($A255="N/A"," ",$U255*(8*($BS255))*T255)</f>
        <v> </v>
      </c>
      <c r="AE255" s="320" t="str">
        <f aca="false">IF($A255="N/A"," ",SUM(V255:AD255))</f>
        <v> </v>
      </c>
      <c r="AF255" s="321" t="str">
        <f aca="false">IF(A255="N/A"," ",(VLOOKUP(A255,PowerVolTable,(IF(VolBMO3=2,7,IF(VolBMO3=1,6,8))),FALSE())))</f>
        <v> </v>
      </c>
      <c r="AG255" s="321" t="str">
        <f aca="false">IF(A255="N/A"," ",(VLOOKUP(A255,IntraPowerVol,(IF(VolBMO3=2,3,IF(VolBMO3=1,2,4))),FALSE())*VLOOKUP(MONTH($A255),Volscale,2)))</f>
        <v> </v>
      </c>
      <c r="AH255" s="321" t="str">
        <f aca="false">IF($A255="N/A"," ",IF(VolType3=1,AG255,AF255))</f>
        <v> </v>
      </c>
      <c r="AI255" s="321" t="str">
        <f aca="false">IF($A255="N/A"," ",(VLOOKUP($A255,OffPwrVolTable,(IF(VolBMO3=2,7,IF(VolBMO3=1,6,8))),FALSE())))</f>
        <v> </v>
      </c>
      <c r="AJ255" s="321" t="str">
        <f aca="false">IF($A255="N/A"," ",(VLOOKUP($A255,OffPwrVolTable,(IF(VolBMO3=2,3,IF(VolBMO3=1,2,4))),FALSE())*VLOOKUP(MONTH($A255),Volscale,2)))</f>
        <v> </v>
      </c>
      <c r="AK255" s="321" t="str">
        <f aca="false">IF($A255="N/A"," ",IF(VolType3=1,AJ255,AI255))</f>
        <v> </v>
      </c>
      <c r="AL255" s="321" t="str">
        <f aca="false">IF($A255="N/A"," ",IF(PV=1,0,'Pricing Inputs3'!R288))</f>
        <v> </v>
      </c>
      <c r="AM255" s="323" t="str">
        <f aca="false">IF($A255="N/A"," ",(1+AL255/2)^(-2*((EOMONTH(A255,0)+20)-DateToday)/365.25))</f>
        <v> </v>
      </c>
      <c r="BQ255" s="0" t="str">
        <f aca="false">IF($A255="N/A"," ",(VLOOKUP($A255,NumberofDaysTable,2)))</f>
        <v> </v>
      </c>
      <c r="BR255" s="0" t="str">
        <f aca="false">IF($A255="N/A"," ",(VLOOKUP($A255,NumberofDaysTable,3)))</f>
        <v> </v>
      </c>
      <c r="BS255" s="0" t="str">
        <f aca="false">IF($A255="N/A"," ",(VLOOKUP($A255,NumberofDaysTable,4)))</f>
        <v> </v>
      </c>
    </row>
    <row r="256" customFormat="false" ht="12.75" hidden="false" customHeight="false" outlineLevel="0" collapsed="false">
      <c r="A256" s="325"/>
      <c r="B256" s="326"/>
      <c r="J256" s="73"/>
      <c r="K256" s="327"/>
    </row>
    <row r="257" customFormat="false" ht="12.75" hidden="false" customHeight="false" outlineLevel="0" collapsed="false">
      <c r="A257" s="325"/>
      <c r="B257" s="326"/>
      <c r="J257" s="73"/>
      <c r="K257" s="327"/>
    </row>
    <row r="258" customFormat="false" ht="12.75" hidden="false" customHeight="false" outlineLevel="0" collapsed="false">
      <c r="A258" s="325"/>
      <c r="B258" s="326"/>
      <c r="J258" s="73"/>
      <c r="K258" s="327"/>
    </row>
    <row r="259" customFormat="false" ht="12.75" hidden="false" customHeight="false" outlineLevel="0" collapsed="false">
      <c r="A259" s="325"/>
      <c r="B259" s="326"/>
      <c r="J259" s="73"/>
      <c r="K259" s="327"/>
    </row>
    <row r="260" customFormat="false" ht="12.75" hidden="false" customHeight="false" outlineLevel="0" collapsed="false">
      <c r="A260" s="325"/>
      <c r="B260" s="326"/>
      <c r="J260" s="73"/>
      <c r="K260" s="327"/>
    </row>
    <row r="261" customFormat="false" ht="12.75" hidden="false" customHeight="false" outlineLevel="0" collapsed="false">
      <c r="A261" s="325"/>
      <c r="B261" s="326"/>
      <c r="J261" s="73"/>
      <c r="K261" s="327"/>
    </row>
    <row r="262" customFormat="false" ht="12.75" hidden="false" customHeight="false" outlineLevel="0" collapsed="false">
      <c r="A262" s="325"/>
      <c r="B262" s="326"/>
      <c r="J262" s="73"/>
      <c r="K262" s="327"/>
    </row>
    <row r="263" customFormat="false" ht="12.75" hidden="false" customHeight="false" outlineLevel="0" collapsed="false">
      <c r="A263" s="325"/>
      <c r="B263" s="326"/>
      <c r="J263" s="73"/>
      <c r="K263" s="327"/>
    </row>
    <row r="264" customFormat="false" ht="12.75" hidden="false" customHeight="false" outlineLevel="0" collapsed="false">
      <c r="A264" s="325"/>
      <c r="B264" s="326"/>
      <c r="J264" s="73"/>
      <c r="K264" s="327"/>
    </row>
    <row r="265" customFormat="false" ht="12.75" hidden="false" customHeight="false" outlineLevel="0" collapsed="false">
      <c r="A265" s="325"/>
      <c r="B265" s="326"/>
      <c r="J265" s="73"/>
      <c r="K265" s="327"/>
    </row>
    <row r="266" customFormat="false" ht="12.75" hidden="false" customHeight="false" outlineLevel="0" collapsed="false">
      <c r="A266" s="325"/>
      <c r="B266" s="326"/>
      <c r="J266" s="73"/>
      <c r="K266" s="327"/>
    </row>
    <row r="267" customFormat="false" ht="12.75" hidden="false" customHeight="false" outlineLevel="0" collapsed="false">
      <c r="A267" s="325"/>
      <c r="B267" s="326"/>
      <c r="J267" s="73"/>
      <c r="K267" s="327"/>
    </row>
    <row r="268" customFormat="false" ht="12.75" hidden="false" customHeight="false" outlineLevel="0" collapsed="false">
      <c r="A268" s="325"/>
      <c r="B268" s="326"/>
      <c r="J268" s="73"/>
      <c r="K268" s="327"/>
    </row>
    <row r="269" customFormat="false" ht="12.75" hidden="false" customHeight="false" outlineLevel="0" collapsed="false">
      <c r="A269" s="325"/>
      <c r="B269" s="326"/>
      <c r="J269" s="73"/>
      <c r="K269" s="327"/>
    </row>
    <row r="270" customFormat="false" ht="12.75" hidden="false" customHeight="false" outlineLevel="0" collapsed="false">
      <c r="A270" s="325"/>
      <c r="B270" s="326"/>
      <c r="J270" s="73"/>
      <c r="K270" s="327"/>
    </row>
    <row r="271" customFormat="false" ht="12.75" hidden="false" customHeight="false" outlineLevel="0" collapsed="false">
      <c r="A271" s="325"/>
      <c r="B271" s="326"/>
      <c r="J271" s="73"/>
      <c r="K271" s="327"/>
    </row>
    <row r="272" customFormat="false" ht="12.75" hidden="false" customHeight="false" outlineLevel="0" collapsed="false">
      <c r="A272" s="325"/>
      <c r="B272" s="326"/>
      <c r="J272" s="73"/>
      <c r="K272" s="327"/>
    </row>
    <row r="273" customFormat="false" ht="12.75" hidden="false" customHeight="false" outlineLevel="0" collapsed="false">
      <c r="A273" s="325"/>
      <c r="B273" s="326"/>
      <c r="J273" s="73"/>
      <c r="K273" s="327"/>
    </row>
    <row r="274" customFormat="false" ht="12.75" hidden="false" customHeight="false" outlineLevel="0" collapsed="false">
      <c r="A274" s="325"/>
      <c r="B274" s="326"/>
      <c r="J274" s="73"/>
      <c r="K274" s="327"/>
    </row>
    <row r="275" customFormat="false" ht="12.75" hidden="false" customHeight="false" outlineLevel="0" collapsed="false">
      <c r="A275" s="325"/>
      <c r="B275" s="326"/>
      <c r="J275" s="73"/>
      <c r="K275" s="327"/>
    </row>
    <row r="276" customFormat="false" ht="12.75" hidden="false" customHeight="false" outlineLevel="0" collapsed="false">
      <c r="A276" s="325"/>
      <c r="B276" s="326"/>
      <c r="J276" s="73"/>
      <c r="K276" s="327"/>
    </row>
    <row r="277" customFormat="false" ht="12.75" hidden="false" customHeight="false" outlineLevel="0" collapsed="false">
      <c r="A277" s="325"/>
      <c r="B277" s="326"/>
      <c r="J277" s="73"/>
      <c r="K277" s="327"/>
    </row>
    <row r="278" customFormat="false" ht="12.75" hidden="false" customHeight="false" outlineLevel="0" collapsed="false">
      <c r="A278" s="325"/>
      <c r="B278" s="326"/>
      <c r="J278" s="73"/>
      <c r="K278" s="327"/>
    </row>
    <row r="279" customFormat="false" ht="12.75" hidden="false" customHeight="false" outlineLevel="0" collapsed="false">
      <c r="A279" s="325"/>
      <c r="B279" s="326"/>
      <c r="J279" s="73"/>
      <c r="K279" s="327"/>
    </row>
    <row r="280" customFormat="false" ht="12.75" hidden="false" customHeight="false" outlineLevel="0" collapsed="false">
      <c r="A280" s="325"/>
      <c r="B280" s="326"/>
      <c r="J280" s="73"/>
      <c r="K280" s="327"/>
    </row>
    <row r="281" customFormat="false" ht="12.75" hidden="false" customHeight="false" outlineLevel="0" collapsed="false">
      <c r="A281" s="325"/>
      <c r="B281" s="326"/>
      <c r="J281" s="73"/>
      <c r="K281" s="327"/>
    </row>
    <row r="282" customFormat="false" ht="12.75" hidden="false" customHeight="false" outlineLevel="0" collapsed="false">
      <c r="A282" s="325"/>
      <c r="B282" s="326"/>
      <c r="J282" s="73"/>
      <c r="K282" s="327"/>
    </row>
    <row r="283" customFormat="false" ht="12.75" hidden="false" customHeight="false" outlineLevel="0" collapsed="false">
      <c r="A283" s="325"/>
      <c r="B283" s="326"/>
      <c r="J283" s="73"/>
      <c r="K283" s="327"/>
    </row>
    <row r="284" customFormat="false" ht="12.75" hidden="false" customHeight="false" outlineLevel="0" collapsed="false">
      <c r="A284" s="325"/>
      <c r="B284" s="326"/>
      <c r="J284" s="73"/>
      <c r="K284" s="327"/>
    </row>
    <row r="285" customFormat="false" ht="12.75" hidden="false" customHeight="false" outlineLevel="0" collapsed="false">
      <c r="A285" s="325"/>
      <c r="B285" s="326"/>
      <c r="J285" s="73"/>
      <c r="K285" s="327"/>
    </row>
    <row r="286" customFormat="false" ht="12.75" hidden="false" customHeight="false" outlineLevel="0" collapsed="false">
      <c r="A286" s="325"/>
      <c r="B286" s="326"/>
      <c r="J286" s="73"/>
      <c r="K286" s="327"/>
    </row>
    <row r="287" customFormat="false" ht="12.75" hidden="false" customHeight="false" outlineLevel="0" collapsed="false">
      <c r="A287" s="325"/>
      <c r="B287" s="326"/>
      <c r="J287" s="73"/>
      <c r="K287" s="327"/>
    </row>
    <row r="288" customFormat="false" ht="12.75" hidden="false" customHeight="false" outlineLevel="0" collapsed="false">
      <c r="A288" s="325"/>
      <c r="B288" s="326"/>
      <c r="J288" s="73"/>
      <c r="K288" s="327"/>
    </row>
    <row r="289" customFormat="false" ht="12.75" hidden="false" customHeight="false" outlineLevel="0" collapsed="false">
      <c r="A289" s="325"/>
      <c r="B289" s="326"/>
      <c r="J289" s="73"/>
      <c r="K289" s="327"/>
    </row>
    <row r="290" customFormat="false" ht="12.75" hidden="false" customHeight="false" outlineLevel="0" collapsed="false">
      <c r="A290" s="325"/>
      <c r="B290" s="326"/>
      <c r="J290" s="73"/>
      <c r="K290" s="327"/>
    </row>
    <row r="291" customFormat="false" ht="12.75" hidden="false" customHeight="false" outlineLevel="0" collapsed="false">
      <c r="A291" s="325"/>
      <c r="B291" s="326"/>
      <c r="J291" s="73"/>
      <c r="K291" s="327"/>
    </row>
    <row r="292" customFormat="false" ht="12.75" hidden="false" customHeight="false" outlineLevel="0" collapsed="false">
      <c r="A292" s="325"/>
      <c r="B292" s="326"/>
      <c r="J292" s="73"/>
      <c r="K292" s="327"/>
    </row>
    <row r="293" customFormat="false" ht="12.75" hidden="false" customHeight="false" outlineLevel="0" collapsed="false">
      <c r="A293" s="325"/>
      <c r="B293" s="326"/>
      <c r="J293" s="73"/>
      <c r="K293" s="327"/>
    </row>
    <row r="294" customFormat="false" ht="12.75" hidden="false" customHeight="false" outlineLevel="0" collapsed="false">
      <c r="A294" s="325"/>
      <c r="B294" s="326"/>
      <c r="J294" s="73"/>
      <c r="K294" s="327"/>
    </row>
    <row r="295" customFormat="false" ht="12.75" hidden="false" customHeight="false" outlineLevel="0" collapsed="false">
      <c r="A295" s="325"/>
      <c r="B295" s="326"/>
      <c r="J295" s="73"/>
      <c r="K295" s="327"/>
    </row>
    <row r="296" customFormat="false" ht="12.75" hidden="false" customHeight="false" outlineLevel="0" collapsed="false">
      <c r="A296" s="325"/>
      <c r="B296" s="326"/>
      <c r="J296" s="73"/>
      <c r="K296" s="327"/>
    </row>
    <row r="297" customFormat="false" ht="12.75" hidden="false" customHeight="false" outlineLevel="0" collapsed="false">
      <c r="A297" s="325"/>
      <c r="B297" s="326"/>
      <c r="J297" s="73"/>
      <c r="K297" s="327"/>
    </row>
    <row r="298" customFormat="false" ht="12.75" hidden="false" customHeight="false" outlineLevel="0" collapsed="false">
      <c r="A298" s="325"/>
      <c r="B298" s="326"/>
      <c r="J298" s="73"/>
      <c r="K298" s="327"/>
    </row>
    <row r="299" customFormat="false" ht="12.75" hidden="false" customHeight="false" outlineLevel="0" collapsed="false">
      <c r="A299" s="325"/>
      <c r="B299" s="326"/>
      <c r="J299" s="73"/>
      <c r="K299" s="327"/>
    </row>
    <row r="300" customFormat="false" ht="12.75" hidden="false" customHeight="false" outlineLevel="0" collapsed="false">
      <c r="A300" s="325"/>
      <c r="B300" s="326"/>
      <c r="J300" s="73"/>
      <c r="K300" s="327"/>
    </row>
    <row r="301" customFormat="false" ht="12.75" hidden="false" customHeight="false" outlineLevel="0" collapsed="false">
      <c r="A301" s="325"/>
      <c r="B301" s="326"/>
      <c r="J301" s="73"/>
      <c r="K301" s="327"/>
    </row>
    <row r="302" customFormat="false" ht="12.75" hidden="false" customHeight="false" outlineLevel="0" collapsed="false">
      <c r="A302" s="325"/>
      <c r="B302" s="326"/>
      <c r="J302" s="73"/>
      <c r="K302" s="327"/>
    </row>
    <row r="303" customFormat="false" ht="12.75" hidden="false" customHeight="false" outlineLevel="0" collapsed="false">
      <c r="A303" s="325"/>
      <c r="B303" s="326"/>
      <c r="J303" s="73"/>
      <c r="K303" s="327"/>
    </row>
    <row r="304" customFormat="false" ht="12.75" hidden="false" customHeight="false" outlineLevel="0" collapsed="false">
      <c r="A304" s="325"/>
      <c r="B304" s="326"/>
      <c r="J304" s="73"/>
      <c r="K304" s="327"/>
    </row>
    <row r="305" customFormat="false" ht="12.75" hidden="false" customHeight="false" outlineLevel="0" collapsed="false">
      <c r="A305" s="325"/>
      <c r="B305" s="326"/>
      <c r="J305" s="73"/>
      <c r="K305" s="327"/>
    </row>
    <row r="306" customFormat="false" ht="12.75" hidden="false" customHeight="false" outlineLevel="0" collapsed="false">
      <c r="A306" s="325"/>
      <c r="B306" s="326"/>
      <c r="J306" s="73"/>
      <c r="K306" s="327"/>
    </row>
    <row r="307" customFormat="false" ht="12.75" hidden="false" customHeight="false" outlineLevel="0" collapsed="false">
      <c r="A307" s="325"/>
      <c r="B307" s="326"/>
      <c r="J307" s="73"/>
      <c r="K307" s="327"/>
    </row>
    <row r="308" customFormat="false" ht="12.75" hidden="false" customHeight="false" outlineLevel="0" collapsed="false">
      <c r="A308" s="325"/>
      <c r="B308" s="326"/>
      <c r="J308" s="73"/>
      <c r="K308" s="327"/>
    </row>
    <row r="309" customFormat="false" ht="12.75" hidden="false" customHeight="false" outlineLevel="0" collapsed="false">
      <c r="A309" s="325"/>
      <c r="B309" s="326"/>
      <c r="J309" s="73"/>
      <c r="K309" s="327"/>
    </row>
    <row r="310" customFormat="false" ht="12.75" hidden="false" customHeight="false" outlineLevel="0" collapsed="false">
      <c r="A310" s="325"/>
      <c r="B310" s="326"/>
      <c r="J310" s="73"/>
      <c r="K310" s="327"/>
    </row>
    <row r="311" customFormat="false" ht="12.75" hidden="false" customHeight="false" outlineLevel="0" collapsed="false">
      <c r="A311" s="325"/>
      <c r="B311" s="326"/>
      <c r="J311" s="73"/>
      <c r="K311" s="327"/>
    </row>
    <row r="312" customFormat="false" ht="12.75" hidden="false" customHeight="false" outlineLevel="0" collapsed="false">
      <c r="A312" s="325"/>
      <c r="B312" s="326"/>
      <c r="J312" s="73"/>
      <c r="K312" s="327"/>
    </row>
    <row r="313" customFormat="false" ht="12.75" hidden="false" customHeight="false" outlineLevel="0" collapsed="false">
      <c r="A313" s="325"/>
      <c r="B313" s="326"/>
      <c r="J313" s="73"/>
      <c r="K313" s="327"/>
    </row>
    <row r="314" customFormat="false" ht="12.75" hidden="false" customHeight="false" outlineLevel="0" collapsed="false">
      <c r="A314" s="325"/>
      <c r="B314" s="326"/>
      <c r="J314" s="73"/>
      <c r="K314" s="327"/>
    </row>
    <row r="315" customFormat="false" ht="12.75" hidden="false" customHeight="false" outlineLevel="0" collapsed="false">
      <c r="A315" s="325"/>
      <c r="B315" s="326"/>
      <c r="J315" s="73"/>
      <c r="K315" s="327"/>
    </row>
    <row r="316" customFormat="false" ht="12.75" hidden="false" customHeight="false" outlineLevel="0" collapsed="false">
      <c r="A316" s="325"/>
      <c r="B316" s="326"/>
      <c r="J316" s="73"/>
      <c r="K316" s="327"/>
    </row>
    <row r="317" customFormat="false" ht="12.75" hidden="false" customHeight="false" outlineLevel="0" collapsed="false">
      <c r="A317" s="325"/>
      <c r="B317" s="326"/>
      <c r="J317" s="73"/>
      <c r="K317" s="327"/>
    </row>
    <row r="318" customFormat="false" ht="12.75" hidden="false" customHeight="false" outlineLevel="0" collapsed="false">
      <c r="A318" s="325"/>
      <c r="B318" s="326"/>
      <c r="J318" s="73"/>
      <c r="K318" s="327"/>
    </row>
    <row r="319" customFormat="false" ht="12.75" hidden="false" customHeight="false" outlineLevel="0" collapsed="false">
      <c r="A319" s="325"/>
      <c r="B319" s="326"/>
      <c r="J319" s="73"/>
      <c r="K319" s="327"/>
    </row>
    <row r="320" customFormat="false" ht="12.75" hidden="false" customHeight="false" outlineLevel="0" collapsed="false">
      <c r="A320" s="325"/>
      <c r="B320" s="326"/>
      <c r="J320" s="73"/>
      <c r="K320" s="327"/>
    </row>
    <row r="321" customFormat="false" ht="12.75" hidden="false" customHeight="false" outlineLevel="0" collapsed="false">
      <c r="A321" s="325"/>
      <c r="B321" s="326"/>
      <c r="J321" s="73"/>
      <c r="K321" s="327"/>
    </row>
    <row r="322" customFormat="false" ht="12.75" hidden="false" customHeight="false" outlineLevel="0" collapsed="false">
      <c r="A322" s="325"/>
      <c r="B322" s="326"/>
      <c r="J322" s="73"/>
      <c r="K322" s="327"/>
    </row>
    <row r="323" customFormat="false" ht="12.75" hidden="false" customHeight="false" outlineLevel="0" collapsed="false">
      <c r="A323" s="325"/>
      <c r="B323" s="326"/>
      <c r="J323" s="73"/>
      <c r="K323" s="327"/>
    </row>
    <row r="324" customFormat="false" ht="12.75" hidden="false" customHeight="false" outlineLevel="0" collapsed="false">
      <c r="A324" s="325"/>
      <c r="B324" s="326"/>
      <c r="J324" s="73"/>
      <c r="K324" s="327"/>
    </row>
    <row r="325" customFormat="false" ht="12.75" hidden="false" customHeight="false" outlineLevel="0" collapsed="false">
      <c r="A325" s="325"/>
      <c r="B325" s="326"/>
      <c r="J325" s="73"/>
      <c r="K325" s="327"/>
    </row>
    <row r="326" customFormat="false" ht="12.75" hidden="false" customHeight="false" outlineLevel="0" collapsed="false">
      <c r="A326" s="325"/>
      <c r="B326" s="326"/>
      <c r="J326" s="73"/>
      <c r="K326" s="327"/>
    </row>
    <row r="327" customFormat="false" ht="12.75" hidden="false" customHeight="false" outlineLevel="0" collapsed="false">
      <c r="A327" s="325"/>
      <c r="B327" s="326"/>
      <c r="J327" s="73"/>
      <c r="K327" s="327"/>
    </row>
    <row r="328" customFormat="false" ht="12.75" hidden="false" customHeight="false" outlineLevel="0" collapsed="false">
      <c r="A328" s="325"/>
      <c r="B328" s="326"/>
      <c r="J328" s="73"/>
      <c r="K328" s="327"/>
    </row>
    <row r="329" customFormat="false" ht="12.75" hidden="false" customHeight="false" outlineLevel="0" collapsed="false">
      <c r="A329" s="325"/>
      <c r="B329" s="326"/>
      <c r="J329" s="73"/>
      <c r="K329" s="327"/>
    </row>
    <row r="330" customFormat="false" ht="12.75" hidden="false" customHeight="false" outlineLevel="0" collapsed="false">
      <c r="A330" s="325"/>
      <c r="B330" s="326"/>
      <c r="J330" s="73"/>
      <c r="K330" s="327"/>
    </row>
    <row r="331" customFormat="false" ht="12.75" hidden="false" customHeight="false" outlineLevel="0" collapsed="false">
      <c r="A331" s="325"/>
      <c r="B331" s="326"/>
      <c r="J331" s="73"/>
      <c r="K331" s="327"/>
    </row>
    <row r="332" customFormat="false" ht="12.75" hidden="false" customHeight="false" outlineLevel="0" collapsed="false">
      <c r="A332" s="325"/>
      <c r="B332" s="326"/>
      <c r="J332" s="73"/>
      <c r="K332" s="327"/>
    </row>
    <row r="333" customFormat="false" ht="12.75" hidden="false" customHeight="false" outlineLevel="0" collapsed="false">
      <c r="A333" s="325"/>
      <c r="B333" s="326"/>
      <c r="J333" s="73"/>
      <c r="K333" s="327"/>
    </row>
    <row r="334" customFormat="false" ht="12.75" hidden="false" customHeight="false" outlineLevel="0" collapsed="false">
      <c r="A334" s="325"/>
      <c r="B334" s="326"/>
      <c r="J334" s="73"/>
      <c r="K334" s="327"/>
    </row>
    <row r="335" customFormat="false" ht="12.75" hidden="false" customHeight="false" outlineLevel="0" collapsed="false">
      <c r="A335" s="325"/>
      <c r="B335" s="326"/>
      <c r="J335" s="73"/>
      <c r="K335" s="327"/>
    </row>
    <row r="336" customFormat="false" ht="12.75" hidden="false" customHeight="false" outlineLevel="0" collapsed="false">
      <c r="A336" s="325"/>
      <c r="B336" s="326"/>
      <c r="J336" s="73"/>
      <c r="K336" s="327"/>
    </row>
    <row r="337" customFormat="false" ht="12.75" hidden="false" customHeight="false" outlineLevel="0" collapsed="false">
      <c r="A337" s="325"/>
      <c r="B337" s="326"/>
      <c r="J337" s="73"/>
      <c r="K337" s="327"/>
    </row>
    <row r="338" customFormat="false" ht="12.75" hidden="false" customHeight="false" outlineLevel="0" collapsed="false">
      <c r="A338" s="325"/>
      <c r="B338" s="326"/>
      <c r="J338" s="73"/>
      <c r="K338" s="327"/>
    </row>
    <row r="339" customFormat="false" ht="12.75" hidden="false" customHeight="false" outlineLevel="0" collapsed="false">
      <c r="A339" s="325"/>
      <c r="B339" s="326"/>
      <c r="J339" s="73"/>
      <c r="K339" s="327"/>
    </row>
    <row r="340" customFormat="false" ht="12.75" hidden="false" customHeight="false" outlineLevel="0" collapsed="false">
      <c r="A340" s="325"/>
      <c r="B340" s="326"/>
      <c r="J340" s="73"/>
      <c r="K340" s="327"/>
    </row>
    <row r="341" customFormat="false" ht="12.75" hidden="false" customHeight="false" outlineLevel="0" collapsed="false">
      <c r="A341" s="325"/>
      <c r="B341" s="326"/>
      <c r="J341" s="73"/>
      <c r="K341" s="327"/>
    </row>
    <row r="342" customFormat="false" ht="12.75" hidden="false" customHeight="false" outlineLevel="0" collapsed="false">
      <c r="A342" s="325"/>
      <c r="B342" s="326"/>
      <c r="J342" s="73"/>
      <c r="K342" s="327"/>
    </row>
    <row r="343" customFormat="false" ht="12.75" hidden="false" customHeight="false" outlineLevel="0" collapsed="false">
      <c r="A343" s="325"/>
      <c r="B343" s="326"/>
      <c r="J343" s="73"/>
      <c r="K343" s="327"/>
    </row>
    <row r="344" customFormat="false" ht="12.75" hidden="false" customHeight="false" outlineLevel="0" collapsed="false">
      <c r="A344" s="325"/>
      <c r="B344" s="326"/>
      <c r="J344" s="73"/>
      <c r="K344" s="327"/>
    </row>
    <row r="345" customFormat="false" ht="12.75" hidden="false" customHeight="false" outlineLevel="0" collapsed="false">
      <c r="A345" s="325"/>
      <c r="B345" s="326"/>
      <c r="J345" s="73"/>
      <c r="K345" s="327"/>
    </row>
    <row r="346" customFormat="false" ht="12.75" hidden="false" customHeight="false" outlineLevel="0" collapsed="false">
      <c r="A346" s="325"/>
      <c r="B346" s="326"/>
      <c r="J346" s="73"/>
      <c r="K346" s="327"/>
    </row>
    <row r="347" customFormat="false" ht="12.75" hidden="false" customHeight="false" outlineLevel="0" collapsed="false">
      <c r="A347" s="325"/>
      <c r="B347" s="326"/>
      <c r="J347" s="73"/>
      <c r="K347" s="327"/>
    </row>
    <row r="348" customFormat="false" ht="12.75" hidden="false" customHeight="false" outlineLevel="0" collapsed="false">
      <c r="A348" s="325"/>
      <c r="B348" s="326"/>
      <c r="J348" s="73"/>
      <c r="K348" s="327"/>
    </row>
    <row r="349" customFormat="false" ht="12.75" hidden="false" customHeight="false" outlineLevel="0" collapsed="false">
      <c r="A349" s="325"/>
      <c r="B349" s="326"/>
      <c r="J349" s="73"/>
      <c r="K349" s="327"/>
    </row>
    <row r="350" customFormat="false" ht="12.75" hidden="false" customHeight="false" outlineLevel="0" collapsed="false">
      <c r="A350" s="325"/>
      <c r="B350" s="326"/>
      <c r="J350" s="73"/>
      <c r="K350" s="327"/>
    </row>
    <row r="351" customFormat="false" ht="12.75" hidden="false" customHeight="false" outlineLevel="0" collapsed="false">
      <c r="A351" s="325"/>
      <c r="B351" s="326"/>
      <c r="J351" s="73"/>
      <c r="K351" s="327"/>
    </row>
    <row r="352" customFormat="false" ht="12.75" hidden="false" customHeight="false" outlineLevel="0" collapsed="false">
      <c r="A352" s="325"/>
      <c r="B352" s="326"/>
      <c r="J352" s="73"/>
      <c r="K352" s="327"/>
    </row>
    <row r="353" customFormat="false" ht="12.75" hidden="false" customHeight="false" outlineLevel="0" collapsed="false">
      <c r="A353" s="325"/>
      <c r="B353" s="326"/>
      <c r="J353" s="73"/>
      <c r="K353" s="327"/>
    </row>
    <row r="354" customFormat="false" ht="12.75" hidden="false" customHeight="false" outlineLevel="0" collapsed="false">
      <c r="A354" s="325"/>
      <c r="B354" s="326"/>
      <c r="J354" s="73"/>
      <c r="K354" s="327"/>
    </row>
    <row r="355" customFormat="false" ht="12.75" hidden="false" customHeight="false" outlineLevel="0" collapsed="false">
      <c r="A355" s="325"/>
      <c r="B355" s="326"/>
      <c r="J355" s="73"/>
      <c r="K355" s="327"/>
    </row>
    <row r="356" customFormat="false" ht="12.75" hidden="false" customHeight="false" outlineLevel="0" collapsed="false">
      <c r="A356" s="325"/>
      <c r="B356" s="326"/>
      <c r="J356" s="73"/>
      <c r="K356" s="327"/>
    </row>
    <row r="357" customFormat="false" ht="12.75" hidden="false" customHeight="false" outlineLevel="0" collapsed="false">
      <c r="A357" s="325"/>
      <c r="B357" s="326"/>
      <c r="J357" s="73"/>
      <c r="K357" s="327"/>
    </row>
    <row r="358" customFormat="false" ht="12.75" hidden="false" customHeight="false" outlineLevel="0" collapsed="false">
      <c r="A358" s="325"/>
      <c r="B358" s="326"/>
      <c r="J358" s="73"/>
      <c r="K358" s="327"/>
    </row>
    <row r="359" customFormat="false" ht="12.75" hidden="false" customHeight="false" outlineLevel="0" collapsed="false">
      <c r="A359" s="325"/>
      <c r="B359" s="326"/>
      <c r="J359" s="73"/>
      <c r="K359" s="327"/>
    </row>
    <row r="360" customFormat="false" ht="12.75" hidden="false" customHeight="false" outlineLevel="0" collapsed="false">
      <c r="A360" s="325"/>
      <c r="B360" s="326"/>
      <c r="J360" s="73"/>
      <c r="K360" s="327"/>
    </row>
    <row r="361" customFormat="false" ht="12.75" hidden="false" customHeight="false" outlineLevel="0" collapsed="false">
      <c r="A361" s="325"/>
      <c r="B361" s="326"/>
      <c r="J361" s="73"/>
      <c r="K361" s="327"/>
    </row>
    <row r="362" customFormat="false" ht="12.75" hidden="false" customHeight="false" outlineLevel="0" collapsed="false">
      <c r="A362" s="325"/>
      <c r="B362" s="326"/>
      <c r="J362" s="73"/>
      <c r="K362" s="327"/>
    </row>
    <row r="363" customFormat="false" ht="12.75" hidden="false" customHeight="false" outlineLevel="0" collapsed="false">
      <c r="A363" s="325"/>
      <c r="B363" s="326"/>
      <c r="J363" s="73"/>
      <c r="K363" s="327"/>
    </row>
    <row r="364" customFormat="false" ht="12.75" hidden="false" customHeight="false" outlineLevel="0" collapsed="false">
      <c r="A364" s="325"/>
      <c r="B364" s="326"/>
      <c r="J364" s="73"/>
      <c r="K364" s="327"/>
    </row>
    <row r="365" customFormat="false" ht="12.75" hidden="false" customHeight="false" outlineLevel="0" collapsed="false">
      <c r="A365" s="325"/>
      <c r="B365" s="326"/>
      <c r="J365" s="73"/>
      <c r="K365" s="327"/>
    </row>
    <row r="366" customFormat="false" ht="12.75" hidden="false" customHeight="false" outlineLevel="0" collapsed="false">
      <c r="A366" s="325"/>
      <c r="B366" s="326"/>
      <c r="J366" s="73"/>
      <c r="K366" s="327"/>
    </row>
    <row r="367" customFormat="false" ht="12.75" hidden="false" customHeight="false" outlineLevel="0" collapsed="false">
      <c r="A367" s="325"/>
      <c r="B367" s="326"/>
      <c r="J367" s="73"/>
      <c r="K367" s="327"/>
    </row>
    <row r="368" customFormat="false" ht="12.75" hidden="false" customHeight="false" outlineLevel="0" collapsed="false">
      <c r="A368" s="325"/>
      <c r="B368" s="326"/>
      <c r="J368" s="73"/>
      <c r="K368" s="327"/>
    </row>
    <row r="369" customFormat="false" ht="12.75" hidden="false" customHeight="false" outlineLevel="0" collapsed="false">
      <c r="A369" s="325"/>
      <c r="B369" s="326"/>
      <c r="J369" s="73"/>
      <c r="K369" s="327"/>
    </row>
    <row r="370" customFormat="false" ht="12.75" hidden="false" customHeight="false" outlineLevel="0" collapsed="false">
      <c r="A370" s="325"/>
      <c r="B370" s="326"/>
      <c r="J370" s="73"/>
      <c r="K370" s="327"/>
    </row>
    <row r="371" customFormat="false" ht="12.75" hidden="false" customHeight="false" outlineLevel="0" collapsed="false">
      <c r="A371" s="325"/>
      <c r="B371" s="326"/>
      <c r="J371" s="73"/>
      <c r="K371" s="327"/>
    </row>
    <row r="372" customFormat="false" ht="12.75" hidden="false" customHeight="false" outlineLevel="0" collapsed="false">
      <c r="A372" s="325"/>
      <c r="B372" s="326"/>
      <c r="J372" s="73"/>
      <c r="K372" s="327"/>
    </row>
    <row r="373" customFormat="false" ht="12.75" hidden="false" customHeight="false" outlineLevel="0" collapsed="false">
      <c r="A373" s="325"/>
      <c r="B373" s="326"/>
      <c r="J373" s="73"/>
      <c r="K373" s="327"/>
    </row>
    <row r="374" customFormat="false" ht="12.75" hidden="false" customHeight="false" outlineLevel="0" collapsed="false">
      <c r="A374" s="325"/>
      <c r="B374" s="326"/>
      <c r="J374" s="73"/>
      <c r="K374" s="327"/>
    </row>
    <row r="375" customFormat="false" ht="12.75" hidden="false" customHeight="false" outlineLevel="0" collapsed="false">
      <c r="A375" s="325"/>
      <c r="B375" s="326"/>
      <c r="J375" s="73"/>
      <c r="K375" s="327"/>
    </row>
    <row r="376" customFormat="false" ht="12.75" hidden="false" customHeight="false" outlineLevel="0" collapsed="false">
      <c r="A376" s="325"/>
      <c r="B376" s="326"/>
      <c r="J376" s="73"/>
      <c r="K376" s="327"/>
    </row>
    <row r="377" customFormat="false" ht="12.75" hidden="false" customHeight="false" outlineLevel="0" collapsed="false">
      <c r="A377" s="325"/>
      <c r="B377" s="326"/>
      <c r="J377" s="73"/>
      <c r="K377" s="327"/>
    </row>
    <row r="378" customFormat="false" ht="12.75" hidden="false" customHeight="false" outlineLevel="0" collapsed="false">
      <c r="A378" s="325"/>
      <c r="B378" s="326"/>
      <c r="J378" s="73"/>
      <c r="K378" s="327"/>
    </row>
    <row r="379" customFormat="false" ht="12.75" hidden="false" customHeight="false" outlineLevel="0" collapsed="false">
      <c r="A379" s="325"/>
      <c r="B379" s="326"/>
      <c r="J379" s="73"/>
      <c r="K379" s="327"/>
    </row>
    <row r="380" customFormat="false" ht="12.75" hidden="false" customHeight="false" outlineLevel="0" collapsed="false">
      <c r="A380" s="325"/>
      <c r="B380" s="326"/>
      <c r="J380" s="73"/>
      <c r="K380" s="327"/>
    </row>
    <row r="381" customFormat="false" ht="12.75" hidden="false" customHeight="false" outlineLevel="0" collapsed="false">
      <c r="A381" s="325"/>
      <c r="B381" s="326"/>
      <c r="J381" s="73"/>
      <c r="K381" s="327"/>
    </row>
    <row r="382" customFormat="false" ht="12.75" hidden="false" customHeight="false" outlineLevel="0" collapsed="false">
      <c r="A382" s="325"/>
      <c r="B382" s="326"/>
      <c r="J382" s="73"/>
      <c r="K382" s="327"/>
    </row>
    <row r="383" customFormat="false" ht="12.75" hidden="false" customHeight="false" outlineLevel="0" collapsed="false">
      <c r="A383" s="325"/>
      <c r="B383" s="326"/>
      <c r="J383" s="73"/>
      <c r="K383" s="327"/>
    </row>
    <row r="384" customFormat="false" ht="12.75" hidden="false" customHeight="false" outlineLevel="0" collapsed="false">
      <c r="A384" s="325"/>
      <c r="B384" s="326"/>
      <c r="J384" s="73"/>
      <c r="K384" s="327"/>
    </row>
    <row r="385" customFormat="false" ht="12.75" hidden="false" customHeight="false" outlineLevel="0" collapsed="false">
      <c r="A385" s="325"/>
      <c r="B385" s="326"/>
      <c r="J385" s="73"/>
      <c r="K385" s="327"/>
    </row>
    <row r="386" customFormat="false" ht="12.75" hidden="false" customHeight="false" outlineLevel="0" collapsed="false">
      <c r="A386" s="325"/>
      <c r="B386" s="326"/>
      <c r="J386" s="73"/>
      <c r="K386" s="327"/>
    </row>
    <row r="387" customFormat="false" ht="12.75" hidden="false" customHeight="false" outlineLevel="0" collapsed="false">
      <c r="A387" s="325"/>
      <c r="B387" s="326"/>
      <c r="J387" s="73"/>
      <c r="K387" s="327"/>
    </row>
    <row r="388" customFormat="false" ht="12.75" hidden="false" customHeight="false" outlineLevel="0" collapsed="false">
      <c r="A388" s="325"/>
      <c r="B388" s="326"/>
      <c r="J388" s="73"/>
      <c r="K388" s="327"/>
    </row>
    <row r="389" customFormat="false" ht="12.75" hidden="false" customHeight="false" outlineLevel="0" collapsed="false">
      <c r="A389" s="325"/>
      <c r="B389" s="326"/>
      <c r="J389" s="73"/>
      <c r="K389" s="327"/>
    </row>
    <row r="390" customFormat="false" ht="12.75" hidden="false" customHeight="false" outlineLevel="0" collapsed="false">
      <c r="A390" s="325"/>
      <c r="B390" s="326"/>
      <c r="J390" s="73"/>
      <c r="K390" s="327"/>
    </row>
    <row r="391" customFormat="false" ht="12.75" hidden="false" customHeight="false" outlineLevel="0" collapsed="false">
      <c r="A391" s="325"/>
      <c r="B391" s="326"/>
      <c r="J391" s="73"/>
      <c r="K391" s="327"/>
    </row>
    <row r="392" customFormat="false" ht="12.75" hidden="false" customHeight="false" outlineLevel="0" collapsed="false">
      <c r="A392" s="325"/>
      <c r="B392" s="326"/>
      <c r="J392" s="73"/>
      <c r="K392" s="327"/>
    </row>
    <row r="393" customFormat="false" ht="12.75" hidden="false" customHeight="false" outlineLevel="0" collapsed="false">
      <c r="A393" s="325"/>
      <c r="B393" s="326"/>
      <c r="J393" s="73"/>
      <c r="K393" s="327"/>
    </row>
    <row r="394" customFormat="false" ht="12.75" hidden="false" customHeight="false" outlineLevel="0" collapsed="false">
      <c r="A394" s="325"/>
      <c r="B394" s="326"/>
      <c r="J394" s="73"/>
      <c r="K394" s="327"/>
    </row>
    <row r="395" customFormat="false" ht="12.75" hidden="false" customHeight="false" outlineLevel="0" collapsed="false">
      <c r="A395" s="325"/>
      <c r="B395" s="326"/>
      <c r="J395" s="73"/>
      <c r="K395" s="327"/>
    </row>
    <row r="396" customFormat="false" ht="12.75" hidden="false" customHeight="false" outlineLevel="0" collapsed="false">
      <c r="A396" s="325"/>
      <c r="B396" s="326"/>
      <c r="J396" s="73"/>
      <c r="K396" s="327"/>
    </row>
    <row r="397" customFormat="false" ht="12.75" hidden="false" customHeight="false" outlineLevel="0" collapsed="false">
      <c r="A397" s="325"/>
      <c r="B397" s="326"/>
      <c r="J397" s="73"/>
      <c r="K397" s="327"/>
    </row>
    <row r="398" customFormat="false" ht="12.75" hidden="false" customHeight="false" outlineLevel="0" collapsed="false">
      <c r="A398" s="325"/>
      <c r="B398" s="326"/>
      <c r="J398" s="73"/>
      <c r="K398" s="327"/>
    </row>
    <row r="399" customFormat="false" ht="12.75" hidden="false" customHeight="false" outlineLevel="0" collapsed="false">
      <c r="A399" s="325"/>
      <c r="B399" s="326"/>
      <c r="J399" s="73"/>
      <c r="K399" s="327"/>
    </row>
    <row r="400" customFormat="false" ht="12.75" hidden="false" customHeight="false" outlineLevel="0" collapsed="false">
      <c r="A400" s="325"/>
      <c r="B400" s="326"/>
      <c r="J400" s="73"/>
      <c r="K400" s="327"/>
    </row>
    <row r="401" customFormat="false" ht="12.75" hidden="false" customHeight="false" outlineLevel="0" collapsed="false">
      <c r="A401" s="325"/>
      <c r="B401" s="326"/>
      <c r="J401" s="73"/>
      <c r="K401" s="327"/>
    </row>
    <row r="402" customFormat="false" ht="12.75" hidden="false" customHeight="false" outlineLevel="0" collapsed="false">
      <c r="A402" s="325"/>
      <c r="B402" s="326"/>
      <c r="J402" s="73"/>
      <c r="K402" s="327"/>
    </row>
    <row r="403" customFormat="false" ht="12.75" hidden="false" customHeight="false" outlineLevel="0" collapsed="false">
      <c r="A403" s="325"/>
      <c r="B403" s="326"/>
      <c r="J403" s="73"/>
      <c r="K403" s="327"/>
    </row>
    <row r="404" customFormat="false" ht="12.75" hidden="false" customHeight="false" outlineLevel="0" collapsed="false">
      <c r="A404" s="325"/>
      <c r="B404" s="326"/>
      <c r="J404" s="73"/>
      <c r="K404" s="327"/>
    </row>
    <row r="405" customFormat="false" ht="12.75" hidden="false" customHeight="false" outlineLevel="0" collapsed="false">
      <c r="A405" s="325"/>
      <c r="B405" s="326"/>
      <c r="J405" s="73"/>
      <c r="K405" s="327"/>
    </row>
    <row r="406" customFormat="false" ht="12.75" hidden="false" customHeight="false" outlineLevel="0" collapsed="false">
      <c r="A406" s="325"/>
      <c r="B406" s="326"/>
      <c r="J406" s="73"/>
      <c r="K406" s="327"/>
    </row>
    <row r="407" customFormat="false" ht="12.75" hidden="false" customHeight="false" outlineLevel="0" collapsed="false">
      <c r="A407" s="325"/>
      <c r="B407" s="326"/>
      <c r="J407" s="73"/>
      <c r="K407" s="327"/>
    </row>
    <row r="408" customFormat="false" ht="12.75" hidden="false" customHeight="false" outlineLevel="0" collapsed="false">
      <c r="A408" s="325"/>
      <c r="B408" s="326"/>
      <c r="J408" s="73"/>
      <c r="K408" s="327"/>
    </row>
    <row r="409" customFormat="false" ht="12.75" hidden="false" customHeight="false" outlineLevel="0" collapsed="false">
      <c r="A409" s="325"/>
      <c r="B409" s="326"/>
      <c r="J409" s="73"/>
      <c r="K409" s="327"/>
    </row>
    <row r="410" customFormat="false" ht="12.75" hidden="false" customHeight="false" outlineLevel="0" collapsed="false">
      <c r="A410" s="325"/>
      <c r="B410" s="326"/>
      <c r="J410" s="73"/>
      <c r="K410" s="327"/>
    </row>
    <row r="411" customFormat="false" ht="12.75" hidden="false" customHeight="false" outlineLevel="0" collapsed="false">
      <c r="A411" s="325"/>
      <c r="B411" s="326"/>
      <c r="J411" s="73"/>
      <c r="K411" s="327"/>
    </row>
    <row r="412" customFormat="false" ht="12.75" hidden="false" customHeight="false" outlineLevel="0" collapsed="false">
      <c r="A412" s="325"/>
      <c r="B412" s="326"/>
      <c r="J412" s="73"/>
      <c r="K412" s="327"/>
    </row>
    <row r="413" customFormat="false" ht="12.75" hidden="false" customHeight="false" outlineLevel="0" collapsed="false">
      <c r="A413" s="325"/>
      <c r="B413" s="326"/>
      <c r="J413" s="73"/>
      <c r="K413" s="327"/>
    </row>
    <row r="414" customFormat="false" ht="12.75" hidden="false" customHeight="false" outlineLevel="0" collapsed="false">
      <c r="A414" s="325"/>
      <c r="B414" s="326"/>
      <c r="J414" s="73"/>
      <c r="K414" s="327"/>
    </row>
    <row r="415" customFormat="false" ht="12.75" hidden="false" customHeight="false" outlineLevel="0" collapsed="false">
      <c r="A415" s="325"/>
      <c r="B415" s="326"/>
      <c r="J415" s="73"/>
      <c r="K415" s="327"/>
    </row>
    <row r="416" customFormat="false" ht="12.75" hidden="false" customHeight="false" outlineLevel="0" collapsed="false">
      <c r="A416" s="325"/>
      <c r="B416" s="326"/>
      <c r="J416" s="73"/>
      <c r="K416" s="327"/>
    </row>
    <row r="417" customFormat="false" ht="12.75" hidden="false" customHeight="false" outlineLevel="0" collapsed="false">
      <c r="A417" s="325"/>
      <c r="B417" s="326"/>
      <c r="J417" s="73"/>
      <c r="K417" s="327"/>
    </row>
    <row r="418" customFormat="false" ht="12.75" hidden="false" customHeight="false" outlineLevel="0" collapsed="false">
      <c r="A418" s="325"/>
      <c r="B418" s="326"/>
      <c r="J418" s="73"/>
      <c r="K418" s="327"/>
    </row>
    <row r="419" customFormat="false" ht="12.75" hidden="false" customHeight="false" outlineLevel="0" collapsed="false">
      <c r="A419" s="325"/>
      <c r="B419" s="326"/>
      <c r="J419" s="73"/>
      <c r="K419" s="327"/>
    </row>
    <row r="420" customFormat="false" ht="12.75" hidden="false" customHeight="false" outlineLevel="0" collapsed="false">
      <c r="A420" s="325"/>
      <c r="B420" s="326"/>
      <c r="J420" s="73"/>
      <c r="K420" s="327"/>
    </row>
    <row r="421" customFormat="false" ht="12.75" hidden="false" customHeight="false" outlineLevel="0" collapsed="false">
      <c r="A421" s="325"/>
      <c r="B421" s="326"/>
      <c r="J421" s="73"/>
      <c r="K421" s="327"/>
    </row>
    <row r="422" customFormat="false" ht="12.75" hidden="false" customHeight="false" outlineLevel="0" collapsed="false">
      <c r="A422" s="325"/>
      <c r="B422" s="326"/>
      <c r="J422" s="73"/>
      <c r="K422" s="327"/>
    </row>
    <row r="423" customFormat="false" ht="12.75" hidden="false" customHeight="false" outlineLevel="0" collapsed="false">
      <c r="A423" s="325"/>
      <c r="B423" s="326"/>
      <c r="J423" s="73"/>
      <c r="K423" s="327"/>
    </row>
    <row r="424" customFormat="false" ht="12.75" hidden="false" customHeight="false" outlineLevel="0" collapsed="false">
      <c r="A424" s="325"/>
      <c r="B424" s="326"/>
      <c r="J424" s="73"/>
      <c r="K424" s="327"/>
    </row>
    <row r="425" customFormat="false" ht="12.75" hidden="false" customHeight="false" outlineLevel="0" collapsed="false">
      <c r="A425" s="325"/>
      <c r="B425" s="326"/>
      <c r="J425" s="73"/>
      <c r="K425" s="327"/>
    </row>
    <row r="426" customFormat="false" ht="12.75" hidden="false" customHeight="false" outlineLevel="0" collapsed="false">
      <c r="A426" s="325"/>
      <c r="B426" s="326"/>
      <c r="J426" s="73"/>
      <c r="K426" s="327"/>
    </row>
    <row r="427" customFormat="false" ht="12.75" hidden="false" customHeight="false" outlineLevel="0" collapsed="false">
      <c r="A427" s="325"/>
      <c r="B427" s="326"/>
      <c r="J427" s="73"/>
      <c r="K427" s="327"/>
    </row>
    <row r="428" customFormat="false" ht="12.75" hidden="false" customHeight="false" outlineLevel="0" collapsed="false">
      <c r="A428" s="325"/>
      <c r="B428" s="326"/>
      <c r="J428" s="73"/>
      <c r="K428" s="327"/>
    </row>
    <row r="429" customFormat="false" ht="12.75" hidden="false" customHeight="false" outlineLevel="0" collapsed="false">
      <c r="A429" s="325"/>
      <c r="B429" s="326"/>
      <c r="J429" s="73"/>
      <c r="K429" s="327"/>
    </row>
    <row r="430" customFormat="false" ht="12.75" hidden="false" customHeight="false" outlineLevel="0" collapsed="false">
      <c r="A430" s="325"/>
      <c r="B430" s="326"/>
      <c r="J430" s="73"/>
      <c r="K430" s="327"/>
    </row>
    <row r="431" customFormat="false" ht="12.75" hidden="false" customHeight="false" outlineLevel="0" collapsed="false">
      <c r="A431" s="325"/>
      <c r="B431" s="326"/>
      <c r="J431" s="73"/>
      <c r="K431" s="327"/>
    </row>
    <row r="432" customFormat="false" ht="12.75" hidden="false" customHeight="false" outlineLevel="0" collapsed="false">
      <c r="A432" s="325"/>
      <c r="B432" s="326"/>
      <c r="J432" s="73"/>
      <c r="K432" s="327"/>
    </row>
    <row r="433" customFormat="false" ht="12.75" hidden="false" customHeight="false" outlineLevel="0" collapsed="false">
      <c r="A433" s="325"/>
      <c r="B433" s="326"/>
      <c r="J433" s="73"/>
      <c r="K433" s="327"/>
    </row>
    <row r="434" customFormat="false" ht="12.75" hidden="false" customHeight="false" outlineLevel="0" collapsed="false">
      <c r="A434" s="325"/>
      <c r="B434" s="326"/>
      <c r="J434" s="73"/>
      <c r="K434" s="327"/>
    </row>
    <row r="435" customFormat="false" ht="12.75" hidden="false" customHeight="false" outlineLevel="0" collapsed="false">
      <c r="A435" s="325"/>
      <c r="B435" s="326"/>
      <c r="J435" s="73"/>
      <c r="K435" s="327"/>
    </row>
    <row r="436" customFormat="false" ht="12.75" hidden="false" customHeight="false" outlineLevel="0" collapsed="false">
      <c r="A436" s="325"/>
      <c r="B436" s="326"/>
      <c r="J436" s="73"/>
      <c r="K436" s="327"/>
    </row>
    <row r="437" customFormat="false" ht="12.75" hidden="false" customHeight="false" outlineLevel="0" collapsed="false">
      <c r="A437" s="325"/>
      <c r="B437" s="326"/>
      <c r="J437" s="73"/>
      <c r="K437" s="327"/>
    </row>
    <row r="438" customFormat="false" ht="12.75" hidden="false" customHeight="false" outlineLevel="0" collapsed="false">
      <c r="A438" s="325"/>
      <c r="B438" s="326"/>
      <c r="J438" s="73"/>
      <c r="K438" s="327"/>
    </row>
    <row r="439" customFormat="false" ht="12.75" hidden="false" customHeight="false" outlineLevel="0" collapsed="false">
      <c r="A439" s="325"/>
      <c r="B439" s="326"/>
      <c r="J439" s="73"/>
      <c r="K439" s="327"/>
    </row>
    <row r="440" customFormat="false" ht="12.75" hidden="false" customHeight="false" outlineLevel="0" collapsed="false">
      <c r="A440" s="325"/>
      <c r="B440" s="326"/>
      <c r="J440" s="73"/>
      <c r="K440" s="327"/>
    </row>
    <row r="441" customFormat="false" ht="12.75" hidden="false" customHeight="false" outlineLevel="0" collapsed="false">
      <c r="A441" s="325"/>
      <c r="B441" s="326"/>
      <c r="J441" s="73"/>
      <c r="K441" s="327"/>
    </row>
    <row r="442" customFormat="false" ht="12.75" hidden="false" customHeight="false" outlineLevel="0" collapsed="false">
      <c r="A442" s="325"/>
      <c r="B442" s="326"/>
      <c r="J442" s="73"/>
      <c r="K442" s="327"/>
    </row>
    <row r="443" customFormat="false" ht="12.75" hidden="false" customHeight="false" outlineLevel="0" collapsed="false">
      <c r="A443" s="325"/>
      <c r="B443" s="326"/>
      <c r="J443" s="73"/>
      <c r="K443" s="327"/>
    </row>
    <row r="444" customFormat="false" ht="12.75" hidden="false" customHeight="false" outlineLevel="0" collapsed="false">
      <c r="A444" s="325"/>
      <c r="B444" s="326"/>
      <c r="J444" s="73"/>
      <c r="K444" s="327"/>
    </row>
    <row r="445" customFormat="false" ht="12.75" hidden="false" customHeight="false" outlineLevel="0" collapsed="false">
      <c r="A445" s="325"/>
      <c r="B445" s="326"/>
      <c r="J445" s="73"/>
      <c r="K445" s="327"/>
    </row>
    <row r="446" customFormat="false" ht="12.75" hidden="false" customHeight="false" outlineLevel="0" collapsed="false">
      <c r="A446" s="325"/>
      <c r="B446" s="326"/>
      <c r="J446" s="73"/>
      <c r="K446" s="327"/>
    </row>
    <row r="447" customFormat="false" ht="12.75" hidden="false" customHeight="false" outlineLevel="0" collapsed="false">
      <c r="A447" s="325"/>
      <c r="B447" s="326"/>
      <c r="J447" s="73"/>
      <c r="K447" s="327"/>
    </row>
    <row r="448" customFormat="false" ht="12.75" hidden="false" customHeight="false" outlineLevel="0" collapsed="false">
      <c r="A448" s="325"/>
      <c r="B448" s="326"/>
      <c r="J448" s="73"/>
      <c r="K448" s="327"/>
    </row>
    <row r="449" customFormat="false" ht="12.75" hidden="false" customHeight="false" outlineLevel="0" collapsed="false">
      <c r="A449" s="325"/>
      <c r="B449" s="326"/>
      <c r="J449" s="73"/>
      <c r="K449" s="327"/>
    </row>
    <row r="450" customFormat="false" ht="12.75" hidden="false" customHeight="false" outlineLevel="0" collapsed="false">
      <c r="A450" s="325"/>
      <c r="B450" s="326"/>
      <c r="J450" s="73"/>
      <c r="K450" s="327"/>
    </row>
    <row r="451" customFormat="false" ht="12.75" hidden="false" customHeight="false" outlineLevel="0" collapsed="false">
      <c r="A451" s="325"/>
      <c r="B451" s="326"/>
      <c r="J451" s="73"/>
      <c r="K451" s="327"/>
    </row>
    <row r="452" customFormat="false" ht="12.75" hidden="false" customHeight="false" outlineLevel="0" collapsed="false">
      <c r="A452" s="325"/>
      <c r="B452" s="326"/>
      <c r="J452" s="73"/>
      <c r="K452" s="327"/>
    </row>
    <row r="453" customFormat="false" ht="12.75" hidden="false" customHeight="false" outlineLevel="0" collapsed="false">
      <c r="A453" s="325"/>
      <c r="B453" s="326"/>
      <c r="J453" s="73"/>
      <c r="K453" s="327"/>
    </row>
    <row r="454" customFormat="false" ht="12.75" hidden="false" customHeight="false" outlineLevel="0" collapsed="false">
      <c r="A454" s="325"/>
      <c r="B454" s="326"/>
      <c r="J454" s="73"/>
      <c r="K454" s="327"/>
    </row>
    <row r="455" customFormat="false" ht="12.75" hidden="false" customHeight="false" outlineLevel="0" collapsed="false">
      <c r="A455" s="325"/>
      <c r="B455" s="326"/>
      <c r="J455" s="73"/>
      <c r="K455" s="327"/>
    </row>
    <row r="456" customFormat="false" ht="12.75" hidden="false" customHeight="false" outlineLevel="0" collapsed="false">
      <c r="A456" s="325"/>
      <c r="B456" s="326"/>
      <c r="J456" s="73"/>
      <c r="K456" s="327"/>
    </row>
    <row r="457" customFormat="false" ht="12.75" hidden="false" customHeight="false" outlineLevel="0" collapsed="false">
      <c r="A457" s="325"/>
      <c r="B457" s="326"/>
      <c r="J457" s="73"/>
      <c r="K457" s="327"/>
    </row>
    <row r="458" customFormat="false" ht="12.75" hidden="false" customHeight="false" outlineLevel="0" collapsed="false">
      <c r="A458" s="325"/>
      <c r="B458" s="326"/>
      <c r="J458" s="73"/>
      <c r="K458" s="327"/>
    </row>
    <row r="459" customFormat="false" ht="12.75" hidden="false" customHeight="false" outlineLevel="0" collapsed="false">
      <c r="A459" s="325"/>
      <c r="B459" s="326"/>
      <c r="J459" s="73"/>
      <c r="K459" s="327"/>
    </row>
    <row r="460" customFormat="false" ht="12.75" hidden="false" customHeight="false" outlineLevel="0" collapsed="false">
      <c r="A460" s="325"/>
      <c r="B460" s="326"/>
      <c r="J460" s="73"/>
      <c r="K460" s="327"/>
    </row>
    <row r="461" customFormat="false" ht="12.75" hidden="false" customHeight="false" outlineLevel="0" collapsed="false">
      <c r="A461" s="325"/>
      <c r="B461" s="326"/>
      <c r="J461" s="73"/>
      <c r="K461" s="327"/>
    </row>
    <row r="462" customFormat="false" ht="12.75" hidden="false" customHeight="false" outlineLevel="0" collapsed="false">
      <c r="A462" s="325"/>
      <c r="B462" s="326"/>
      <c r="J462" s="73"/>
      <c r="K462" s="327"/>
    </row>
    <row r="463" customFormat="false" ht="12.75" hidden="false" customHeight="false" outlineLevel="0" collapsed="false">
      <c r="A463" s="325"/>
      <c r="B463" s="326"/>
      <c r="J463" s="73"/>
      <c r="K463" s="327"/>
    </row>
    <row r="464" customFormat="false" ht="12.75" hidden="false" customHeight="false" outlineLevel="0" collapsed="false">
      <c r="A464" s="325"/>
      <c r="B464" s="326"/>
      <c r="J464" s="73"/>
      <c r="K464" s="327"/>
    </row>
    <row r="465" customFormat="false" ht="12.75" hidden="false" customHeight="false" outlineLevel="0" collapsed="false">
      <c r="A465" s="325"/>
      <c r="B465" s="326"/>
      <c r="J465" s="73"/>
      <c r="K465" s="327"/>
    </row>
    <row r="466" customFormat="false" ht="12.75" hidden="false" customHeight="false" outlineLevel="0" collapsed="false">
      <c r="A466" s="325"/>
      <c r="B466" s="326"/>
      <c r="J466" s="73"/>
      <c r="K466" s="327"/>
    </row>
    <row r="467" customFormat="false" ht="12.75" hidden="false" customHeight="false" outlineLevel="0" collapsed="false">
      <c r="A467" s="325"/>
      <c r="B467" s="326"/>
      <c r="J467" s="73"/>
      <c r="K467" s="327"/>
    </row>
    <row r="468" customFormat="false" ht="12.75" hidden="false" customHeight="false" outlineLevel="0" collapsed="false">
      <c r="A468" s="325"/>
      <c r="B468" s="326"/>
      <c r="J468" s="73"/>
      <c r="K468" s="327"/>
    </row>
    <row r="469" customFormat="false" ht="12.75" hidden="false" customHeight="false" outlineLevel="0" collapsed="false">
      <c r="A469" s="325"/>
      <c r="B469" s="326"/>
      <c r="J469" s="73"/>
      <c r="K469" s="327"/>
    </row>
    <row r="470" customFormat="false" ht="12.75" hidden="false" customHeight="false" outlineLevel="0" collapsed="false">
      <c r="A470" s="325"/>
      <c r="B470" s="326"/>
      <c r="J470" s="73"/>
      <c r="K470" s="327"/>
    </row>
    <row r="471" customFormat="false" ht="12.75" hidden="false" customHeight="false" outlineLevel="0" collapsed="false">
      <c r="A471" s="325"/>
      <c r="B471" s="326"/>
      <c r="J471" s="73"/>
      <c r="K471" s="327"/>
    </row>
    <row r="472" customFormat="false" ht="12.75" hidden="false" customHeight="false" outlineLevel="0" collapsed="false">
      <c r="A472" s="325"/>
      <c r="B472" s="326"/>
      <c r="J472" s="73"/>
      <c r="K472" s="327"/>
    </row>
    <row r="473" customFormat="false" ht="12.75" hidden="false" customHeight="false" outlineLevel="0" collapsed="false">
      <c r="A473" s="325"/>
      <c r="B473" s="326"/>
      <c r="J473" s="73"/>
      <c r="K473" s="327"/>
    </row>
    <row r="474" customFormat="false" ht="12.75" hidden="false" customHeight="false" outlineLevel="0" collapsed="false">
      <c r="A474" s="325"/>
      <c r="B474" s="326"/>
      <c r="J474" s="73"/>
      <c r="K474" s="327"/>
    </row>
    <row r="475" customFormat="false" ht="12.75" hidden="false" customHeight="false" outlineLevel="0" collapsed="false">
      <c r="A475" s="325"/>
      <c r="B475" s="326"/>
      <c r="J475" s="73"/>
      <c r="K475" s="327"/>
    </row>
    <row r="476" customFormat="false" ht="12.75" hidden="false" customHeight="false" outlineLevel="0" collapsed="false">
      <c r="A476" s="325"/>
      <c r="B476" s="326"/>
      <c r="J476" s="73"/>
      <c r="K476" s="327"/>
    </row>
    <row r="477" customFormat="false" ht="12.75" hidden="false" customHeight="false" outlineLevel="0" collapsed="false">
      <c r="A477" s="325"/>
      <c r="B477" s="326"/>
      <c r="J477" s="73"/>
      <c r="K477" s="327"/>
    </row>
    <row r="478" customFormat="false" ht="12.75" hidden="false" customHeight="false" outlineLevel="0" collapsed="false">
      <c r="A478" s="325"/>
      <c r="B478" s="326"/>
      <c r="J478" s="73"/>
      <c r="K478" s="327"/>
    </row>
    <row r="479" customFormat="false" ht="12.75" hidden="false" customHeight="false" outlineLevel="0" collapsed="false">
      <c r="A479" s="325"/>
      <c r="B479" s="326"/>
      <c r="J479" s="73"/>
      <c r="K479" s="327"/>
    </row>
    <row r="480" customFormat="false" ht="12.75" hidden="false" customHeight="false" outlineLevel="0" collapsed="false">
      <c r="A480" s="325"/>
      <c r="B480" s="326"/>
      <c r="J480" s="73"/>
      <c r="K480" s="327"/>
    </row>
    <row r="481" customFormat="false" ht="12.75" hidden="false" customHeight="false" outlineLevel="0" collapsed="false">
      <c r="A481" s="325"/>
      <c r="B481" s="326"/>
      <c r="J481" s="73"/>
      <c r="K481" s="327"/>
    </row>
    <row r="482" customFormat="false" ht="12.75" hidden="false" customHeight="false" outlineLevel="0" collapsed="false">
      <c r="A482" s="325"/>
      <c r="B482" s="326"/>
      <c r="J482" s="73"/>
      <c r="K482" s="327"/>
    </row>
    <row r="483" customFormat="false" ht="12.75" hidden="false" customHeight="false" outlineLevel="0" collapsed="false">
      <c r="A483" s="325"/>
      <c r="B483" s="326"/>
      <c r="J483" s="73"/>
      <c r="K483" s="327"/>
    </row>
    <row r="484" customFormat="false" ht="12.75" hidden="false" customHeight="false" outlineLevel="0" collapsed="false">
      <c r="A484" s="325"/>
      <c r="B484" s="326"/>
      <c r="J484" s="73"/>
      <c r="K484" s="327"/>
    </row>
    <row r="485" customFormat="false" ht="12.75" hidden="false" customHeight="false" outlineLevel="0" collapsed="false">
      <c r="A485" s="325"/>
      <c r="B485" s="326"/>
      <c r="J485" s="73"/>
      <c r="K485" s="327"/>
    </row>
    <row r="486" customFormat="false" ht="12.75" hidden="false" customHeight="false" outlineLevel="0" collapsed="false">
      <c r="A486" s="325"/>
      <c r="B486" s="326"/>
      <c r="J486" s="73"/>
      <c r="K486" s="327"/>
    </row>
    <row r="487" customFormat="false" ht="12.75" hidden="false" customHeight="false" outlineLevel="0" collapsed="false">
      <c r="A487" s="325"/>
      <c r="B487" s="326"/>
      <c r="J487" s="73"/>
      <c r="K487" s="327"/>
    </row>
    <row r="488" customFormat="false" ht="12.75" hidden="false" customHeight="false" outlineLevel="0" collapsed="false">
      <c r="A488" s="325"/>
      <c r="B488" s="326"/>
      <c r="J488" s="73"/>
      <c r="K488" s="327"/>
    </row>
    <row r="489" customFormat="false" ht="12.75" hidden="false" customHeight="false" outlineLevel="0" collapsed="false">
      <c r="A489" s="325"/>
      <c r="B489" s="326"/>
      <c r="J489" s="73"/>
      <c r="K489" s="327"/>
    </row>
    <row r="490" customFormat="false" ht="12.75" hidden="false" customHeight="false" outlineLevel="0" collapsed="false">
      <c r="A490" s="325"/>
      <c r="B490" s="326"/>
      <c r="J490" s="73"/>
      <c r="K490" s="327"/>
    </row>
    <row r="491" customFormat="false" ht="12.75" hidden="false" customHeight="false" outlineLevel="0" collapsed="false">
      <c r="A491" s="325"/>
      <c r="B491" s="326"/>
      <c r="J491" s="73"/>
      <c r="K491" s="327"/>
    </row>
    <row r="492" customFormat="false" ht="12.75" hidden="false" customHeight="false" outlineLevel="0" collapsed="false">
      <c r="A492" s="325"/>
      <c r="B492" s="326"/>
      <c r="J492" s="73"/>
      <c r="K492" s="327"/>
    </row>
    <row r="493" customFormat="false" ht="12.75" hidden="false" customHeight="false" outlineLevel="0" collapsed="false">
      <c r="A493" s="325"/>
      <c r="B493" s="326"/>
      <c r="J493" s="73"/>
      <c r="K493" s="327"/>
    </row>
    <row r="494" customFormat="false" ht="12.75" hidden="false" customHeight="false" outlineLevel="0" collapsed="false">
      <c r="A494" s="325"/>
      <c r="B494" s="326"/>
      <c r="J494" s="73"/>
      <c r="K494" s="327"/>
    </row>
    <row r="495" customFormat="false" ht="12.75" hidden="false" customHeight="false" outlineLevel="0" collapsed="false">
      <c r="A495" s="325"/>
      <c r="B495" s="326"/>
      <c r="J495" s="73"/>
      <c r="K495" s="327"/>
    </row>
    <row r="496" customFormat="false" ht="12.75" hidden="false" customHeight="false" outlineLevel="0" collapsed="false">
      <c r="A496" s="325"/>
      <c r="B496" s="326"/>
      <c r="J496" s="73"/>
      <c r="K496" s="327"/>
    </row>
    <row r="497" customFormat="false" ht="12.75" hidden="false" customHeight="false" outlineLevel="0" collapsed="false">
      <c r="A497" s="325"/>
      <c r="B497" s="326"/>
      <c r="J497" s="73"/>
      <c r="K497" s="327"/>
    </row>
    <row r="498" customFormat="false" ht="12.75" hidden="false" customHeight="false" outlineLevel="0" collapsed="false">
      <c r="A498" s="325"/>
      <c r="B498" s="326"/>
      <c r="J498" s="73"/>
      <c r="K498" s="327"/>
    </row>
    <row r="499" customFormat="false" ht="12.75" hidden="false" customHeight="false" outlineLevel="0" collapsed="false">
      <c r="A499" s="325"/>
      <c r="B499" s="326"/>
      <c r="J499" s="73"/>
      <c r="K499" s="327"/>
    </row>
    <row r="500" customFormat="false" ht="12.75" hidden="false" customHeight="false" outlineLevel="0" collapsed="false">
      <c r="A500" s="325"/>
      <c r="B500" s="326"/>
      <c r="J500" s="73"/>
      <c r="K500" s="327"/>
    </row>
    <row r="501" customFormat="false" ht="12.75" hidden="false" customHeight="false" outlineLevel="0" collapsed="false">
      <c r="A501" s="325"/>
      <c r="B501" s="326"/>
      <c r="J501" s="73"/>
      <c r="K501" s="327"/>
    </row>
    <row r="502" customFormat="false" ht="12.75" hidden="false" customHeight="false" outlineLevel="0" collapsed="false">
      <c r="A502" s="325"/>
      <c r="B502" s="326"/>
      <c r="J502" s="73"/>
      <c r="K502" s="327"/>
    </row>
    <row r="503" customFormat="false" ht="12.75" hidden="false" customHeight="false" outlineLevel="0" collapsed="false">
      <c r="A503" s="325"/>
      <c r="B503" s="326"/>
      <c r="J503" s="73"/>
      <c r="K503" s="327"/>
    </row>
    <row r="504" customFormat="false" ht="12.75" hidden="false" customHeight="false" outlineLevel="0" collapsed="false">
      <c r="A504" s="325"/>
      <c r="B504" s="326"/>
      <c r="J504" s="73"/>
      <c r="K504" s="327"/>
    </row>
    <row r="505" customFormat="false" ht="12.75" hidden="false" customHeight="false" outlineLevel="0" collapsed="false">
      <c r="A505" s="325"/>
      <c r="B505" s="326"/>
      <c r="J505" s="73"/>
      <c r="K505" s="327"/>
    </row>
    <row r="506" customFormat="false" ht="12.75" hidden="false" customHeight="false" outlineLevel="0" collapsed="false">
      <c r="A506" s="325"/>
      <c r="B506" s="326"/>
      <c r="J506" s="73"/>
      <c r="K506" s="327"/>
    </row>
    <row r="507" customFormat="false" ht="12.75" hidden="false" customHeight="false" outlineLevel="0" collapsed="false">
      <c r="A507" s="325"/>
      <c r="B507" s="326"/>
      <c r="J507" s="73"/>
      <c r="K507" s="327"/>
    </row>
    <row r="508" customFormat="false" ht="12.75" hidden="false" customHeight="false" outlineLevel="0" collapsed="false">
      <c r="A508" s="325"/>
      <c r="B508" s="326"/>
      <c r="J508" s="73"/>
      <c r="K508" s="327"/>
    </row>
    <row r="509" customFormat="false" ht="12.75" hidden="false" customHeight="false" outlineLevel="0" collapsed="false">
      <c r="A509" s="325"/>
      <c r="B509" s="326"/>
      <c r="J509" s="73"/>
      <c r="K509" s="327"/>
    </row>
    <row r="510" customFormat="false" ht="12.75" hidden="false" customHeight="false" outlineLevel="0" collapsed="false">
      <c r="A510" s="325"/>
      <c r="B510" s="326"/>
      <c r="J510" s="73"/>
      <c r="K510" s="327"/>
    </row>
    <row r="511" customFormat="false" ht="12.75" hidden="false" customHeight="false" outlineLevel="0" collapsed="false">
      <c r="A511" s="325"/>
      <c r="B511" s="326"/>
      <c r="J511" s="73"/>
      <c r="K511" s="327"/>
    </row>
    <row r="512" customFormat="false" ht="12.75" hidden="false" customHeight="false" outlineLevel="0" collapsed="false">
      <c r="A512" s="325"/>
      <c r="B512" s="326"/>
      <c r="J512" s="73"/>
      <c r="K512" s="327"/>
    </row>
    <row r="513" customFormat="false" ht="12.75" hidden="false" customHeight="false" outlineLevel="0" collapsed="false">
      <c r="A513" s="325"/>
      <c r="B513" s="326"/>
      <c r="J513" s="73"/>
      <c r="K513" s="327"/>
    </row>
    <row r="514" customFormat="false" ht="12.75" hidden="false" customHeight="false" outlineLevel="0" collapsed="false">
      <c r="A514" s="325"/>
      <c r="B514" s="326"/>
      <c r="J514" s="73"/>
      <c r="K514" s="327"/>
    </row>
    <row r="515" customFormat="false" ht="12.75" hidden="false" customHeight="false" outlineLevel="0" collapsed="false">
      <c r="A515" s="325"/>
      <c r="B515" s="326"/>
      <c r="J515" s="73"/>
      <c r="K515" s="327"/>
    </row>
    <row r="516" customFormat="false" ht="12.75" hidden="false" customHeight="false" outlineLevel="0" collapsed="false">
      <c r="A516" s="325"/>
      <c r="B516" s="326"/>
      <c r="J516" s="73"/>
      <c r="K516" s="327"/>
    </row>
    <row r="517" customFormat="false" ht="12.75" hidden="false" customHeight="false" outlineLevel="0" collapsed="false">
      <c r="A517" s="325"/>
      <c r="B517" s="326"/>
      <c r="J517" s="73"/>
      <c r="K517" s="327"/>
    </row>
    <row r="518" customFormat="false" ht="12.75" hidden="false" customHeight="false" outlineLevel="0" collapsed="false">
      <c r="A518" s="325"/>
      <c r="B518" s="326"/>
      <c r="J518" s="73"/>
      <c r="K518" s="327"/>
    </row>
    <row r="519" customFormat="false" ht="12.75" hidden="false" customHeight="false" outlineLevel="0" collapsed="false">
      <c r="A519" s="325"/>
      <c r="B519" s="326"/>
      <c r="J519" s="73"/>
      <c r="K519" s="327"/>
    </row>
    <row r="520" customFormat="false" ht="12.75" hidden="false" customHeight="false" outlineLevel="0" collapsed="false">
      <c r="A520" s="325"/>
      <c r="B520" s="326"/>
      <c r="J520" s="73"/>
      <c r="K520" s="327"/>
    </row>
    <row r="521" customFormat="false" ht="12.75" hidden="false" customHeight="false" outlineLevel="0" collapsed="false">
      <c r="A521" s="325"/>
      <c r="B521" s="326"/>
      <c r="J521" s="73"/>
      <c r="K521" s="327"/>
    </row>
    <row r="522" customFormat="false" ht="12.75" hidden="false" customHeight="false" outlineLevel="0" collapsed="false">
      <c r="A522" s="325"/>
      <c r="B522" s="326"/>
      <c r="J522" s="73"/>
      <c r="K522" s="327"/>
    </row>
    <row r="523" customFormat="false" ht="12.75" hidden="false" customHeight="false" outlineLevel="0" collapsed="false">
      <c r="A523" s="325"/>
      <c r="B523" s="326"/>
      <c r="J523" s="73"/>
      <c r="K523" s="327"/>
    </row>
    <row r="524" customFormat="false" ht="12.75" hidden="false" customHeight="false" outlineLevel="0" collapsed="false">
      <c r="A524" s="325"/>
      <c r="B524" s="326"/>
      <c r="J524" s="73"/>
      <c r="K524" s="327"/>
    </row>
    <row r="525" customFormat="false" ht="12.75" hidden="false" customHeight="false" outlineLevel="0" collapsed="false">
      <c r="A525" s="325"/>
      <c r="B525" s="326"/>
      <c r="J525" s="73"/>
      <c r="K525" s="327"/>
    </row>
    <row r="526" customFormat="false" ht="12.75" hidden="false" customHeight="false" outlineLevel="0" collapsed="false">
      <c r="A526" s="325"/>
      <c r="B526" s="326"/>
      <c r="J526" s="73"/>
      <c r="K526" s="327"/>
    </row>
    <row r="527" customFormat="false" ht="12.75" hidden="false" customHeight="false" outlineLevel="0" collapsed="false">
      <c r="A527" s="325"/>
      <c r="B527" s="326"/>
      <c r="J527" s="73"/>
      <c r="K527" s="327"/>
    </row>
    <row r="528" customFormat="false" ht="12.75" hidden="false" customHeight="false" outlineLevel="0" collapsed="false">
      <c r="A528" s="325"/>
      <c r="B528" s="326"/>
      <c r="J528" s="73"/>
      <c r="K528" s="327"/>
    </row>
    <row r="529" customFormat="false" ht="12.75" hidden="false" customHeight="false" outlineLevel="0" collapsed="false">
      <c r="A529" s="325"/>
      <c r="B529" s="326"/>
      <c r="J529" s="73"/>
      <c r="K529" s="327"/>
    </row>
    <row r="530" customFormat="false" ht="12.75" hidden="false" customHeight="false" outlineLevel="0" collapsed="false">
      <c r="A530" s="325"/>
      <c r="B530" s="326"/>
      <c r="J530" s="73"/>
      <c r="K530" s="327"/>
    </row>
    <row r="531" customFormat="false" ht="12.75" hidden="false" customHeight="false" outlineLevel="0" collapsed="false">
      <c r="A531" s="325"/>
      <c r="B531" s="326"/>
      <c r="J531" s="73"/>
      <c r="K531" s="327"/>
    </row>
    <row r="532" customFormat="false" ht="12.75" hidden="false" customHeight="false" outlineLevel="0" collapsed="false">
      <c r="A532" s="325"/>
      <c r="B532" s="326"/>
      <c r="J532" s="73"/>
      <c r="K532" s="327"/>
    </row>
    <row r="533" customFormat="false" ht="12.75" hidden="false" customHeight="false" outlineLevel="0" collapsed="false">
      <c r="A533" s="325"/>
      <c r="B533" s="326"/>
      <c r="J533" s="73"/>
      <c r="K533" s="327"/>
    </row>
    <row r="534" customFormat="false" ht="12.75" hidden="false" customHeight="false" outlineLevel="0" collapsed="false">
      <c r="A534" s="325"/>
      <c r="B534" s="326"/>
      <c r="J534" s="73"/>
      <c r="K534" s="327"/>
    </row>
    <row r="535" customFormat="false" ht="12.75" hidden="false" customHeight="false" outlineLevel="0" collapsed="false">
      <c r="A535" s="325"/>
      <c r="B535" s="326"/>
      <c r="J535" s="73"/>
      <c r="K535" s="327"/>
    </row>
    <row r="536" customFormat="false" ht="12.75" hidden="false" customHeight="false" outlineLevel="0" collapsed="false">
      <c r="A536" s="325"/>
      <c r="B536" s="326"/>
      <c r="J536" s="73"/>
      <c r="K536" s="327"/>
    </row>
    <row r="537" customFormat="false" ht="12.75" hidden="false" customHeight="false" outlineLevel="0" collapsed="false">
      <c r="A537" s="325"/>
      <c r="B537" s="326"/>
      <c r="J537" s="73"/>
      <c r="K537" s="327"/>
    </row>
    <row r="538" customFormat="false" ht="12.75" hidden="false" customHeight="false" outlineLevel="0" collapsed="false">
      <c r="A538" s="325"/>
      <c r="B538" s="326"/>
      <c r="J538" s="73"/>
      <c r="K538" s="327"/>
    </row>
    <row r="539" customFormat="false" ht="12.75" hidden="false" customHeight="false" outlineLevel="0" collapsed="false">
      <c r="A539" s="325"/>
      <c r="B539" s="326"/>
      <c r="J539" s="73"/>
      <c r="K539" s="327"/>
    </row>
    <row r="540" customFormat="false" ht="12.75" hidden="false" customHeight="false" outlineLevel="0" collapsed="false">
      <c r="A540" s="325"/>
      <c r="B540" s="326"/>
      <c r="J540" s="73"/>
      <c r="K540" s="327"/>
    </row>
    <row r="541" customFormat="false" ht="12.75" hidden="false" customHeight="false" outlineLevel="0" collapsed="false">
      <c r="A541" s="325"/>
      <c r="B541" s="326"/>
      <c r="J541" s="73"/>
      <c r="K541" s="327"/>
    </row>
    <row r="542" customFormat="false" ht="12.75" hidden="false" customHeight="false" outlineLevel="0" collapsed="false">
      <c r="A542" s="325"/>
      <c r="B542" s="326"/>
      <c r="J542" s="73"/>
      <c r="K542" s="327"/>
    </row>
    <row r="543" customFormat="false" ht="12.75" hidden="false" customHeight="false" outlineLevel="0" collapsed="false">
      <c r="A543" s="325"/>
      <c r="B543" s="326"/>
      <c r="J543" s="73"/>
      <c r="K543" s="327"/>
    </row>
    <row r="544" customFormat="false" ht="12.75" hidden="false" customHeight="false" outlineLevel="0" collapsed="false">
      <c r="A544" s="325"/>
      <c r="B544" s="326"/>
      <c r="J544" s="73"/>
      <c r="K544" s="327"/>
    </row>
    <row r="545" customFormat="false" ht="12.75" hidden="false" customHeight="false" outlineLevel="0" collapsed="false">
      <c r="A545" s="325"/>
      <c r="B545" s="326"/>
      <c r="J545" s="73"/>
      <c r="K545" s="327"/>
    </row>
    <row r="546" customFormat="false" ht="12.75" hidden="false" customHeight="false" outlineLevel="0" collapsed="false">
      <c r="A546" s="325"/>
      <c r="B546" s="326"/>
      <c r="J546" s="73"/>
      <c r="K546" s="327"/>
    </row>
    <row r="547" customFormat="false" ht="12.75" hidden="false" customHeight="false" outlineLevel="0" collapsed="false">
      <c r="A547" s="325"/>
      <c r="B547" s="326"/>
      <c r="J547" s="73"/>
      <c r="K547" s="327"/>
    </row>
    <row r="548" customFormat="false" ht="12.75" hidden="false" customHeight="false" outlineLevel="0" collapsed="false">
      <c r="A548" s="325"/>
      <c r="B548" s="326"/>
      <c r="J548" s="73"/>
      <c r="K548" s="327"/>
    </row>
    <row r="549" customFormat="false" ht="12.75" hidden="false" customHeight="false" outlineLevel="0" collapsed="false">
      <c r="A549" s="325"/>
      <c r="B549" s="326"/>
      <c r="J549" s="73"/>
      <c r="K549" s="327"/>
    </row>
    <row r="550" customFormat="false" ht="12.75" hidden="false" customHeight="false" outlineLevel="0" collapsed="false">
      <c r="A550" s="325"/>
      <c r="B550" s="326"/>
      <c r="J550" s="73"/>
      <c r="K550" s="327"/>
    </row>
    <row r="551" customFormat="false" ht="12.75" hidden="false" customHeight="false" outlineLevel="0" collapsed="false">
      <c r="A551" s="325"/>
      <c r="B551" s="326"/>
      <c r="J551" s="73"/>
      <c r="K551" s="327"/>
    </row>
    <row r="552" customFormat="false" ht="12.75" hidden="false" customHeight="false" outlineLevel="0" collapsed="false">
      <c r="A552" s="325"/>
      <c r="B552" s="326"/>
      <c r="J552" s="73"/>
      <c r="K552" s="327"/>
    </row>
    <row r="553" customFormat="false" ht="12.75" hidden="false" customHeight="false" outlineLevel="0" collapsed="false">
      <c r="A553" s="325"/>
      <c r="B553" s="326"/>
      <c r="J553" s="73"/>
      <c r="K553" s="327"/>
    </row>
    <row r="554" customFormat="false" ht="12.75" hidden="false" customHeight="false" outlineLevel="0" collapsed="false">
      <c r="A554" s="325"/>
      <c r="B554" s="326"/>
      <c r="J554" s="73"/>
      <c r="K554" s="327"/>
    </row>
    <row r="555" customFormat="false" ht="12.75" hidden="false" customHeight="false" outlineLevel="0" collapsed="false">
      <c r="A555" s="325"/>
      <c r="B555" s="326"/>
      <c r="J555" s="73"/>
      <c r="K555" s="327"/>
    </row>
    <row r="556" customFormat="false" ht="12.75" hidden="false" customHeight="false" outlineLevel="0" collapsed="false">
      <c r="A556" s="325"/>
      <c r="B556" s="326"/>
      <c r="J556" s="73"/>
      <c r="K556" s="327"/>
    </row>
    <row r="557" customFormat="false" ht="12.75" hidden="false" customHeight="false" outlineLevel="0" collapsed="false">
      <c r="A557" s="325"/>
      <c r="B557" s="326"/>
      <c r="J557" s="73"/>
      <c r="K557" s="327"/>
    </row>
    <row r="558" customFormat="false" ht="12.75" hidden="false" customHeight="false" outlineLevel="0" collapsed="false">
      <c r="A558" s="325"/>
      <c r="B558" s="326"/>
      <c r="J558" s="73"/>
      <c r="K558" s="327"/>
    </row>
    <row r="559" customFormat="false" ht="12.75" hidden="false" customHeight="false" outlineLevel="0" collapsed="false">
      <c r="A559" s="325"/>
      <c r="B559" s="326"/>
      <c r="J559" s="73"/>
      <c r="K559" s="327"/>
    </row>
    <row r="560" customFormat="false" ht="12.75" hidden="false" customHeight="false" outlineLevel="0" collapsed="false">
      <c r="A560" s="325"/>
      <c r="B560" s="326"/>
      <c r="J560" s="73"/>
      <c r="K560" s="327"/>
    </row>
    <row r="561" customFormat="false" ht="12.75" hidden="false" customHeight="false" outlineLevel="0" collapsed="false">
      <c r="A561" s="325"/>
      <c r="B561" s="326"/>
      <c r="J561" s="73"/>
      <c r="K561" s="327"/>
    </row>
    <row r="562" customFormat="false" ht="12.75" hidden="false" customHeight="false" outlineLevel="0" collapsed="false">
      <c r="A562" s="325"/>
      <c r="B562" s="326"/>
      <c r="J562" s="73"/>
      <c r="K562" s="327"/>
    </row>
    <row r="563" customFormat="false" ht="12.75" hidden="false" customHeight="false" outlineLevel="0" collapsed="false">
      <c r="A563" s="325"/>
      <c r="B563" s="326"/>
      <c r="J563" s="73"/>
      <c r="K563" s="327"/>
    </row>
    <row r="564" customFormat="false" ht="12.75" hidden="false" customHeight="false" outlineLevel="0" collapsed="false">
      <c r="A564" s="325"/>
      <c r="B564" s="326"/>
      <c r="J564" s="73"/>
      <c r="K564" s="327"/>
    </row>
    <row r="565" customFormat="false" ht="12.75" hidden="false" customHeight="false" outlineLevel="0" collapsed="false">
      <c r="A565" s="325"/>
      <c r="B565" s="326"/>
      <c r="J565" s="73"/>
      <c r="K565" s="327"/>
    </row>
    <row r="566" customFormat="false" ht="12.75" hidden="false" customHeight="false" outlineLevel="0" collapsed="false">
      <c r="A566" s="325"/>
      <c r="B566" s="326"/>
      <c r="J566" s="73"/>
      <c r="K566" s="327"/>
    </row>
    <row r="567" customFormat="false" ht="12.75" hidden="false" customHeight="false" outlineLevel="0" collapsed="false">
      <c r="A567" s="325"/>
      <c r="B567" s="326"/>
      <c r="J567" s="73"/>
      <c r="K567" s="327"/>
    </row>
    <row r="568" customFormat="false" ht="12.75" hidden="false" customHeight="false" outlineLevel="0" collapsed="false">
      <c r="A568" s="325"/>
      <c r="B568" s="326"/>
      <c r="J568" s="73"/>
      <c r="K568" s="327"/>
    </row>
    <row r="569" customFormat="false" ht="12.75" hidden="false" customHeight="false" outlineLevel="0" collapsed="false">
      <c r="A569" s="325"/>
      <c r="B569" s="326"/>
      <c r="J569" s="73"/>
      <c r="K569" s="327"/>
    </row>
    <row r="570" customFormat="false" ht="12.75" hidden="false" customHeight="false" outlineLevel="0" collapsed="false">
      <c r="A570" s="325"/>
      <c r="B570" s="326"/>
      <c r="J570" s="73"/>
      <c r="K570" s="327"/>
    </row>
    <row r="571" customFormat="false" ht="12.75" hidden="false" customHeight="false" outlineLevel="0" collapsed="false">
      <c r="A571" s="325"/>
      <c r="B571" s="326"/>
      <c r="J571" s="73"/>
      <c r="K571" s="327"/>
    </row>
    <row r="572" customFormat="false" ht="12.75" hidden="false" customHeight="false" outlineLevel="0" collapsed="false">
      <c r="A572" s="325"/>
      <c r="B572" s="326"/>
      <c r="J572" s="73"/>
      <c r="K572" s="327"/>
    </row>
    <row r="573" customFormat="false" ht="12.75" hidden="false" customHeight="false" outlineLevel="0" collapsed="false">
      <c r="A573" s="325"/>
      <c r="B573" s="326"/>
      <c r="J573" s="73"/>
      <c r="K573" s="327"/>
    </row>
    <row r="574" customFormat="false" ht="12.75" hidden="false" customHeight="false" outlineLevel="0" collapsed="false">
      <c r="A574" s="325"/>
      <c r="B574" s="326"/>
      <c r="J574" s="73"/>
      <c r="K574" s="327"/>
    </row>
    <row r="575" customFormat="false" ht="12.75" hidden="false" customHeight="false" outlineLevel="0" collapsed="false">
      <c r="A575" s="325"/>
      <c r="B575" s="326"/>
      <c r="J575" s="73"/>
      <c r="K575" s="327"/>
    </row>
    <row r="576" customFormat="false" ht="12.75" hidden="false" customHeight="false" outlineLevel="0" collapsed="false">
      <c r="A576" s="325"/>
      <c r="B576" s="326"/>
      <c r="J576" s="73"/>
      <c r="K576" s="327"/>
    </row>
    <row r="577" customFormat="false" ht="12.75" hidden="false" customHeight="false" outlineLevel="0" collapsed="false">
      <c r="A577" s="325"/>
      <c r="B577" s="326"/>
      <c r="J577" s="73"/>
      <c r="K577" s="327"/>
    </row>
    <row r="578" customFormat="false" ht="12.75" hidden="false" customHeight="false" outlineLevel="0" collapsed="false">
      <c r="A578" s="325"/>
      <c r="B578" s="326"/>
      <c r="J578" s="73"/>
      <c r="K578" s="327"/>
    </row>
    <row r="579" customFormat="false" ht="12.75" hidden="false" customHeight="false" outlineLevel="0" collapsed="false">
      <c r="A579" s="325"/>
      <c r="B579" s="326"/>
      <c r="J579" s="73"/>
      <c r="K579" s="327"/>
    </row>
    <row r="580" customFormat="false" ht="12.75" hidden="false" customHeight="false" outlineLevel="0" collapsed="false">
      <c r="A580" s="325"/>
      <c r="B580" s="326"/>
      <c r="J580" s="73"/>
      <c r="K580" s="327"/>
    </row>
    <row r="581" customFormat="false" ht="12.75" hidden="false" customHeight="false" outlineLevel="0" collapsed="false">
      <c r="A581" s="325"/>
      <c r="B581" s="326"/>
      <c r="J581" s="73"/>
      <c r="K581" s="327"/>
    </row>
    <row r="582" customFormat="false" ht="12.75" hidden="false" customHeight="false" outlineLevel="0" collapsed="false">
      <c r="A582" s="325"/>
      <c r="B582" s="326"/>
      <c r="J582" s="73"/>
      <c r="K582" s="327"/>
    </row>
    <row r="583" customFormat="false" ht="12.75" hidden="false" customHeight="false" outlineLevel="0" collapsed="false">
      <c r="A583" s="325"/>
      <c r="B583" s="326"/>
      <c r="J583" s="73"/>
      <c r="K583" s="327"/>
    </row>
    <row r="584" customFormat="false" ht="12.75" hidden="false" customHeight="false" outlineLevel="0" collapsed="false">
      <c r="A584" s="325"/>
      <c r="B584" s="326"/>
      <c r="J584" s="73"/>
      <c r="K584" s="327"/>
    </row>
    <row r="585" customFormat="false" ht="12.75" hidden="false" customHeight="false" outlineLevel="0" collapsed="false">
      <c r="A585" s="325"/>
      <c r="B585" s="326"/>
      <c r="J585" s="73"/>
      <c r="K585" s="327"/>
    </row>
    <row r="586" customFormat="false" ht="12.75" hidden="false" customHeight="false" outlineLevel="0" collapsed="false">
      <c r="A586" s="325"/>
      <c r="B586" s="326"/>
      <c r="J586" s="73"/>
      <c r="K586" s="327"/>
    </row>
    <row r="587" customFormat="false" ht="12.75" hidden="false" customHeight="false" outlineLevel="0" collapsed="false">
      <c r="A587" s="325"/>
      <c r="B587" s="326"/>
      <c r="J587" s="73"/>
      <c r="K587" s="327"/>
    </row>
    <row r="588" customFormat="false" ht="12.75" hidden="false" customHeight="false" outlineLevel="0" collapsed="false">
      <c r="A588" s="325"/>
      <c r="B588" s="326"/>
      <c r="J588" s="73"/>
      <c r="K588" s="327"/>
    </row>
    <row r="589" customFormat="false" ht="12.75" hidden="false" customHeight="false" outlineLevel="0" collapsed="false">
      <c r="A589" s="325"/>
      <c r="B589" s="326"/>
      <c r="J589" s="73"/>
      <c r="K589" s="327"/>
    </row>
    <row r="590" customFormat="false" ht="12.75" hidden="false" customHeight="false" outlineLevel="0" collapsed="false">
      <c r="A590" s="325"/>
      <c r="B590" s="326"/>
      <c r="J590" s="73"/>
      <c r="K590" s="327"/>
    </row>
    <row r="591" customFormat="false" ht="12.75" hidden="false" customHeight="false" outlineLevel="0" collapsed="false">
      <c r="A591" s="325"/>
      <c r="B591" s="326"/>
      <c r="J591" s="73"/>
      <c r="K591" s="327"/>
    </row>
    <row r="592" customFormat="false" ht="12.75" hidden="false" customHeight="false" outlineLevel="0" collapsed="false">
      <c r="A592" s="325"/>
      <c r="B592" s="326"/>
      <c r="J592" s="73"/>
      <c r="K592" s="327"/>
    </row>
    <row r="593" customFormat="false" ht="12.75" hidden="false" customHeight="false" outlineLevel="0" collapsed="false">
      <c r="A593" s="325"/>
      <c r="B593" s="326"/>
      <c r="J593" s="73"/>
      <c r="K593" s="327"/>
    </row>
    <row r="594" customFormat="false" ht="12.75" hidden="false" customHeight="false" outlineLevel="0" collapsed="false">
      <c r="A594" s="325"/>
      <c r="B594" s="326"/>
      <c r="J594" s="73"/>
      <c r="K594" s="327"/>
    </row>
    <row r="595" customFormat="false" ht="12.75" hidden="false" customHeight="false" outlineLevel="0" collapsed="false">
      <c r="A595" s="325"/>
      <c r="B595" s="326"/>
      <c r="J595" s="73"/>
      <c r="K595" s="327"/>
    </row>
    <row r="596" customFormat="false" ht="12.75" hidden="false" customHeight="false" outlineLevel="0" collapsed="false">
      <c r="A596" s="325"/>
      <c r="B596" s="326"/>
      <c r="J596" s="73"/>
      <c r="K596" s="327"/>
    </row>
    <row r="597" customFormat="false" ht="12.75" hidden="false" customHeight="false" outlineLevel="0" collapsed="false">
      <c r="A597" s="325"/>
      <c r="B597" s="326"/>
      <c r="J597" s="73"/>
      <c r="K597" s="327"/>
    </row>
    <row r="598" customFormat="false" ht="12.75" hidden="false" customHeight="false" outlineLevel="0" collapsed="false">
      <c r="A598" s="325"/>
      <c r="B598" s="326"/>
      <c r="J598" s="73"/>
      <c r="K598" s="327"/>
    </row>
    <row r="599" customFormat="false" ht="12.75" hidden="false" customHeight="false" outlineLevel="0" collapsed="false">
      <c r="A599" s="325"/>
      <c r="B599" s="326"/>
      <c r="J599" s="73"/>
      <c r="K599" s="327"/>
    </row>
    <row r="600" customFormat="false" ht="12.75" hidden="false" customHeight="false" outlineLevel="0" collapsed="false">
      <c r="A600" s="325"/>
      <c r="B600" s="326"/>
      <c r="J600" s="73"/>
      <c r="K600" s="327"/>
    </row>
    <row r="601" customFormat="false" ht="12.75" hidden="false" customHeight="false" outlineLevel="0" collapsed="false">
      <c r="A601" s="325"/>
      <c r="B601" s="326"/>
      <c r="J601" s="73"/>
      <c r="K601" s="327"/>
    </row>
    <row r="602" customFormat="false" ht="12.75" hidden="false" customHeight="false" outlineLevel="0" collapsed="false">
      <c r="A602" s="325"/>
      <c r="B602" s="326"/>
      <c r="J602" s="73"/>
      <c r="K602" s="327"/>
    </row>
    <row r="603" customFormat="false" ht="12.75" hidden="false" customHeight="false" outlineLevel="0" collapsed="false">
      <c r="A603" s="325"/>
      <c r="B603" s="326"/>
      <c r="J603" s="73"/>
      <c r="K603" s="327"/>
    </row>
    <row r="604" customFormat="false" ht="12.75" hidden="false" customHeight="false" outlineLevel="0" collapsed="false">
      <c r="A604" s="325"/>
      <c r="B604" s="326"/>
      <c r="J604" s="73"/>
      <c r="K604" s="327"/>
    </row>
    <row r="605" customFormat="false" ht="12.75" hidden="false" customHeight="false" outlineLevel="0" collapsed="false">
      <c r="A605" s="325"/>
      <c r="B605" s="326"/>
      <c r="J605" s="73"/>
      <c r="K605" s="327"/>
    </row>
    <row r="606" customFormat="false" ht="12.75" hidden="false" customHeight="false" outlineLevel="0" collapsed="false">
      <c r="A606" s="325"/>
      <c r="B606" s="326"/>
      <c r="J606" s="73"/>
      <c r="K606" s="327"/>
    </row>
    <row r="607" customFormat="false" ht="12.75" hidden="false" customHeight="false" outlineLevel="0" collapsed="false">
      <c r="A607" s="325"/>
      <c r="B607" s="326"/>
      <c r="J607" s="73"/>
      <c r="K607" s="327"/>
    </row>
    <row r="608" customFormat="false" ht="12.75" hidden="false" customHeight="false" outlineLevel="0" collapsed="false">
      <c r="A608" s="325"/>
      <c r="B608" s="326"/>
      <c r="J608" s="73"/>
      <c r="K608" s="327"/>
    </row>
    <row r="609" customFormat="false" ht="12.75" hidden="false" customHeight="false" outlineLevel="0" collapsed="false">
      <c r="A609" s="325"/>
      <c r="B609" s="326"/>
      <c r="J609" s="73"/>
      <c r="K609" s="327"/>
    </row>
    <row r="610" customFormat="false" ht="12.75" hidden="false" customHeight="false" outlineLevel="0" collapsed="false">
      <c r="A610" s="325"/>
      <c r="B610" s="326"/>
      <c r="J610" s="73"/>
      <c r="K610" s="327"/>
    </row>
    <row r="611" customFormat="false" ht="12.75" hidden="false" customHeight="false" outlineLevel="0" collapsed="false">
      <c r="A611" s="325"/>
      <c r="B611" s="326"/>
      <c r="J611" s="73"/>
      <c r="K611" s="327"/>
    </row>
    <row r="612" customFormat="false" ht="12.75" hidden="false" customHeight="false" outlineLevel="0" collapsed="false">
      <c r="A612" s="325"/>
      <c r="B612" s="326"/>
      <c r="J612" s="73"/>
      <c r="K612" s="327"/>
    </row>
    <row r="613" customFormat="false" ht="12.75" hidden="false" customHeight="false" outlineLevel="0" collapsed="false">
      <c r="A613" s="325"/>
      <c r="B613" s="326"/>
      <c r="J613" s="73"/>
      <c r="K613" s="327"/>
    </row>
    <row r="614" customFormat="false" ht="12.75" hidden="false" customHeight="false" outlineLevel="0" collapsed="false">
      <c r="A614" s="325"/>
      <c r="B614" s="326"/>
      <c r="J614" s="73"/>
      <c r="K614" s="327"/>
    </row>
    <row r="615" customFormat="false" ht="12.75" hidden="false" customHeight="false" outlineLevel="0" collapsed="false">
      <c r="A615" s="325"/>
      <c r="B615" s="326"/>
      <c r="J615" s="73"/>
      <c r="K615" s="327"/>
    </row>
    <row r="616" customFormat="false" ht="12.75" hidden="false" customHeight="false" outlineLevel="0" collapsed="false">
      <c r="A616" s="325"/>
      <c r="B616" s="326"/>
      <c r="J616" s="73"/>
      <c r="K616" s="327"/>
    </row>
    <row r="617" customFormat="false" ht="12.75" hidden="false" customHeight="false" outlineLevel="0" collapsed="false">
      <c r="A617" s="325"/>
      <c r="B617" s="326"/>
      <c r="J617" s="73"/>
      <c r="K617" s="327"/>
    </row>
    <row r="618" customFormat="false" ht="12.75" hidden="false" customHeight="false" outlineLevel="0" collapsed="false">
      <c r="A618" s="325"/>
      <c r="B618" s="326"/>
      <c r="J618" s="73"/>
      <c r="K618" s="327"/>
    </row>
    <row r="619" customFormat="false" ht="12.75" hidden="false" customHeight="false" outlineLevel="0" collapsed="false">
      <c r="A619" s="325"/>
      <c r="B619" s="326"/>
      <c r="J619" s="73"/>
      <c r="K619" s="327"/>
    </row>
    <row r="620" customFormat="false" ht="12.75" hidden="false" customHeight="false" outlineLevel="0" collapsed="false">
      <c r="A620" s="325"/>
      <c r="B620" s="326"/>
      <c r="J620" s="73"/>
      <c r="K620" s="327"/>
    </row>
    <row r="621" customFormat="false" ht="12.75" hidden="false" customHeight="false" outlineLevel="0" collapsed="false">
      <c r="A621" s="325"/>
      <c r="B621" s="326"/>
      <c r="J621" s="73"/>
      <c r="K621" s="327"/>
    </row>
    <row r="622" customFormat="false" ht="12.75" hidden="false" customHeight="false" outlineLevel="0" collapsed="false">
      <c r="A622" s="325"/>
      <c r="B622" s="326"/>
      <c r="J622" s="73"/>
      <c r="K622" s="327"/>
    </row>
    <row r="623" customFormat="false" ht="12.75" hidden="false" customHeight="false" outlineLevel="0" collapsed="false">
      <c r="A623" s="325"/>
      <c r="B623" s="326"/>
      <c r="J623" s="73"/>
      <c r="K623" s="327"/>
    </row>
    <row r="624" customFormat="false" ht="12.75" hidden="false" customHeight="false" outlineLevel="0" collapsed="false">
      <c r="A624" s="325"/>
      <c r="B624" s="326"/>
      <c r="J624" s="73"/>
      <c r="K624" s="327"/>
    </row>
    <row r="625" customFormat="false" ht="12.75" hidden="false" customHeight="false" outlineLevel="0" collapsed="false">
      <c r="A625" s="325"/>
      <c r="B625" s="326"/>
      <c r="J625" s="73"/>
      <c r="K625" s="327"/>
    </row>
    <row r="626" customFormat="false" ht="12.75" hidden="false" customHeight="false" outlineLevel="0" collapsed="false">
      <c r="A626" s="325"/>
      <c r="B626" s="326"/>
      <c r="J626" s="73"/>
      <c r="K626" s="327"/>
    </row>
    <row r="627" customFormat="false" ht="12.75" hidden="false" customHeight="false" outlineLevel="0" collapsed="false">
      <c r="A627" s="325"/>
      <c r="B627" s="326"/>
      <c r="J627" s="73"/>
      <c r="K627" s="327"/>
    </row>
    <row r="628" customFormat="false" ht="12.75" hidden="false" customHeight="false" outlineLevel="0" collapsed="false">
      <c r="A628" s="325"/>
      <c r="B628" s="326"/>
      <c r="J628" s="73"/>
      <c r="K628" s="327"/>
    </row>
    <row r="629" customFormat="false" ht="12.75" hidden="false" customHeight="false" outlineLevel="0" collapsed="false">
      <c r="A629" s="325"/>
      <c r="B629" s="326"/>
      <c r="J629" s="73"/>
      <c r="K629" s="327"/>
    </row>
    <row r="630" customFormat="false" ht="12.75" hidden="false" customHeight="false" outlineLevel="0" collapsed="false">
      <c r="A630" s="325"/>
      <c r="B630" s="326"/>
      <c r="J630" s="73"/>
      <c r="K630" s="327"/>
    </row>
    <row r="631" customFormat="false" ht="12.75" hidden="false" customHeight="false" outlineLevel="0" collapsed="false">
      <c r="A631" s="325"/>
      <c r="B631" s="326"/>
      <c r="J631" s="73"/>
      <c r="K631" s="327"/>
    </row>
    <row r="632" customFormat="false" ht="12.75" hidden="false" customHeight="false" outlineLevel="0" collapsed="false">
      <c r="A632" s="325"/>
      <c r="B632" s="326"/>
      <c r="J632" s="73"/>
      <c r="K632" s="327"/>
    </row>
    <row r="633" customFormat="false" ht="12.75" hidden="false" customHeight="false" outlineLevel="0" collapsed="false">
      <c r="A633" s="325"/>
      <c r="B633" s="326"/>
      <c r="J633" s="73"/>
      <c r="K633" s="327"/>
    </row>
    <row r="634" customFormat="false" ht="12.75" hidden="false" customHeight="false" outlineLevel="0" collapsed="false">
      <c r="A634" s="325"/>
      <c r="B634" s="326"/>
      <c r="J634" s="73"/>
      <c r="K634" s="327"/>
    </row>
    <row r="635" customFormat="false" ht="12.75" hidden="false" customHeight="false" outlineLevel="0" collapsed="false">
      <c r="A635" s="325"/>
      <c r="B635" s="326"/>
      <c r="J635" s="73"/>
      <c r="K635" s="327"/>
    </row>
    <row r="636" customFormat="false" ht="12.75" hidden="false" customHeight="false" outlineLevel="0" collapsed="false">
      <c r="A636" s="325"/>
      <c r="B636" s="326"/>
      <c r="J636" s="73"/>
      <c r="K636" s="327"/>
    </row>
    <row r="637" customFormat="false" ht="12.75" hidden="false" customHeight="false" outlineLevel="0" collapsed="false">
      <c r="A637" s="325"/>
      <c r="B637" s="326"/>
      <c r="J637" s="73"/>
      <c r="K637" s="327"/>
    </row>
    <row r="638" customFormat="false" ht="12.75" hidden="false" customHeight="false" outlineLevel="0" collapsed="false">
      <c r="A638" s="325"/>
      <c r="B638" s="326"/>
      <c r="J638" s="73"/>
      <c r="K638" s="327"/>
    </row>
    <row r="639" customFormat="false" ht="12.75" hidden="false" customHeight="false" outlineLevel="0" collapsed="false">
      <c r="A639" s="325"/>
      <c r="B639" s="326"/>
      <c r="J639" s="73"/>
      <c r="K639" s="327"/>
    </row>
    <row r="640" customFormat="false" ht="12.75" hidden="false" customHeight="false" outlineLevel="0" collapsed="false">
      <c r="A640" s="325"/>
      <c r="B640" s="326"/>
      <c r="J640" s="73"/>
      <c r="K640" s="327"/>
    </row>
    <row r="641" customFormat="false" ht="12.75" hidden="false" customHeight="false" outlineLevel="0" collapsed="false">
      <c r="A641" s="325"/>
      <c r="B641" s="326"/>
      <c r="J641" s="73"/>
      <c r="K641" s="327"/>
    </row>
    <row r="642" customFormat="false" ht="12.75" hidden="false" customHeight="false" outlineLevel="0" collapsed="false">
      <c r="A642" s="325"/>
      <c r="B642" s="326"/>
      <c r="J642" s="73"/>
      <c r="K642" s="327"/>
    </row>
    <row r="643" customFormat="false" ht="12.75" hidden="false" customHeight="false" outlineLevel="0" collapsed="false">
      <c r="A643" s="325"/>
      <c r="B643" s="326"/>
      <c r="J643" s="73"/>
      <c r="K643" s="327"/>
    </row>
    <row r="644" customFormat="false" ht="12.75" hidden="false" customHeight="false" outlineLevel="0" collapsed="false">
      <c r="A644" s="325"/>
      <c r="B644" s="326"/>
      <c r="J644" s="73"/>
      <c r="K644" s="327"/>
    </row>
    <row r="645" customFormat="false" ht="12.75" hidden="false" customHeight="false" outlineLevel="0" collapsed="false">
      <c r="A645" s="325"/>
      <c r="B645" s="326"/>
      <c r="J645" s="73"/>
      <c r="K645" s="327"/>
    </row>
    <row r="646" customFormat="false" ht="12.75" hidden="false" customHeight="false" outlineLevel="0" collapsed="false">
      <c r="A646" s="325"/>
      <c r="B646" s="326"/>
      <c r="J646" s="73"/>
      <c r="K646" s="327"/>
    </row>
    <row r="647" customFormat="false" ht="12.75" hidden="false" customHeight="false" outlineLevel="0" collapsed="false">
      <c r="A647" s="325"/>
      <c r="B647" s="326"/>
      <c r="J647" s="73"/>
      <c r="K647" s="327"/>
    </row>
    <row r="648" customFormat="false" ht="12.75" hidden="false" customHeight="false" outlineLevel="0" collapsed="false">
      <c r="A648" s="325"/>
      <c r="B648" s="326"/>
      <c r="J648" s="73"/>
      <c r="K648" s="327"/>
    </row>
    <row r="649" customFormat="false" ht="12.75" hidden="false" customHeight="false" outlineLevel="0" collapsed="false">
      <c r="A649" s="325"/>
      <c r="B649" s="326"/>
      <c r="J649" s="73"/>
      <c r="K649" s="327"/>
    </row>
    <row r="650" customFormat="false" ht="12.75" hidden="false" customHeight="false" outlineLevel="0" collapsed="false">
      <c r="A650" s="325"/>
      <c r="B650" s="326"/>
      <c r="J650" s="73"/>
      <c r="K650" s="327"/>
    </row>
    <row r="651" customFormat="false" ht="12.75" hidden="false" customHeight="false" outlineLevel="0" collapsed="false">
      <c r="A651" s="325"/>
      <c r="B651" s="326"/>
      <c r="J651" s="73"/>
      <c r="K651" s="327"/>
    </row>
    <row r="652" customFormat="false" ht="12.75" hidden="false" customHeight="false" outlineLevel="0" collapsed="false">
      <c r="A652" s="325"/>
      <c r="B652" s="326"/>
      <c r="J652" s="73"/>
      <c r="K652" s="327"/>
    </row>
    <row r="653" customFormat="false" ht="12.75" hidden="false" customHeight="false" outlineLevel="0" collapsed="false">
      <c r="A653" s="325"/>
      <c r="B653" s="326"/>
      <c r="J653" s="73"/>
      <c r="K653" s="327"/>
    </row>
    <row r="654" customFormat="false" ht="12.75" hidden="false" customHeight="false" outlineLevel="0" collapsed="false">
      <c r="A654" s="325"/>
      <c r="B654" s="326"/>
      <c r="J654" s="73"/>
      <c r="K654" s="327"/>
    </row>
    <row r="655" customFormat="false" ht="12.75" hidden="false" customHeight="false" outlineLevel="0" collapsed="false">
      <c r="A655" s="325"/>
      <c r="B655" s="326"/>
      <c r="J655" s="73"/>
      <c r="K655" s="327"/>
    </row>
    <row r="656" customFormat="false" ht="12.75" hidden="false" customHeight="false" outlineLevel="0" collapsed="false">
      <c r="A656" s="325"/>
      <c r="B656" s="326"/>
      <c r="J656" s="73"/>
      <c r="K656" s="327"/>
    </row>
    <row r="657" customFormat="false" ht="12.75" hidden="false" customHeight="false" outlineLevel="0" collapsed="false">
      <c r="A657" s="325"/>
      <c r="B657" s="326"/>
      <c r="J657" s="73"/>
      <c r="K657" s="327"/>
    </row>
    <row r="658" customFormat="false" ht="12.75" hidden="false" customHeight="false" outlineLevel="0" collapsed="false">
      <c r="A658" s="325"/>
      <c r="B658" s="326"/>
      <c r="J658" s="73"/>
      <c r="K658" s="327"/>
    </row>
    <row r="659" customFormat="false" ht="12.75" hidden="false" customHeight="false" outlineLevel="0" collapsed="false">
      <c r="A659" s="325"/>
      <c r="B659" s="326"/>
      <c r="J659" s="73"/>
      <c r="K659" s="327"/>
    </row>
    <row r="660" customFormat="false" ht="12.75" hidden="false" customHeight="false" outlineLevel="0" collapsed="false">
      <c r="A660" s="325"/>
      <c r="B660" s="326"/>
      <c r="J660" s="73"/>
      <c r="K660" s="327"/>
    </row>
    <row r="661" customFormat="false" ht="12.75" hidden="false" customHeight="false" outlineLevel="0" collapsed="false">
      <c r="A661" s="325"/>
      <c r="B661" s="326"/>
      <c r="J661" s="73"/>
      <c r="K661" s="327"/>
    </row>
    <row r="662" customFormat="false" ht="12.75" hidden="false" customHeight="false" outlineLevel="0" collapsed="false">
      <c r="A662" s="325"/>
      <c r="B662" s="326"/>
      <c r="J662" s="73"/>
      <c r="K662" s="327"/>
    </row>
    <row r="663" customFormat="false" ht="12.75" hidden="false" customHeight="false" outlineLevel="0" collapsed="false">
      <c r="A663" s="325"/>
      <c r="B663" s="326"/>
      <c r="J663" s="73"/>
      <c r="K663" s="327"/>
    </row>
    <row r="664" customFormat="false" ht="12.75" hidden="false" customHeight="false" outlineLevel="0" collapsed="false">
      <c r="A664" s="325"/>
      <c r="B664" s="326"/>
      <c r="J664" s="73"/>
      <c r="K664" s="327"/>
    </row>
    <row r="665" customFormat="false" ht="12.75" hidden="false" customHeight="false" outlineLevel="0" collapsed="false">
      <c r="A665" s="325"/>
      <c r="B665" s="326"/>
      <c r="J665" s="73"/>
      <c r="K665" s="327"/>
    </row>
    <row r="666" customFormat="false" ht="12.75" hidden="false" customHeight="false" outlineLevel="0" collapsed="false">
      <c r="A666" s="325"/>
      <c r="B666" s="326"/>
      <c r="J666" s="73"/>
      <c r="K666" s="327"/>
    </row>
    <row r="667" customFormat="false" ht="12.75" hidden="false" customHeight="false" outlineLevel="0" collapsed="false">
      <c r="A667" s="325"/>
      <c r="B667" s="326"/>
      <c r="J667" s="73"/>
      <c r="K667" s="327"/>
    </row>
    <row r="668" customFormat="false" ht="12.75" hidden="false" customHeight="false" outlineLevel="0" collapsed="false">
      <c r="A668" s="325"/>
      <c r="B668" s="326"/>
      <c r="J668" s="73"/>
      <c r="K668" s="327"/>
    </row>
    <row r="669" customFormat="false" ht="12.75" hidden="false" customHeight="false" outlineLevel="0" collapsed="false">
      <c r="A669" s="325"/>
      <c r="B669" s="326"/>
      <c r="J669" s="73"/>
      <c r="K669" s="327"/>
    </row>
    <row r="670" customFormat="false" ht="12.75" hidden="false" customHeight="false" outlineLevel="0" collapsed="false">
      <c r="A670" s="325"/>
      <c r="B670" s="326"/>
      <c r="J670" s="73"/>
      <c r="K670" s="327"/>
    </row>
    <row r="671" customFormat="false" ht="12.75" hidden="false" customHeight="false" outlineLevel="0" collapsed="false">
      <c r="A671" s="325"/>
      <c r="B671" s="326"/>
      <c r="J671" s="73"/>
      <c r="K671" s="327"/>
    </row>
    <row r="672" customFormat="false" ht="12.75" hidden="false" customHeight="false" outlineLevel="0" collapsed="false">
      <c r="A672" s="325"/>
      <c r="B672" s="326"/>
      <c r="J672" s="73"/>
      <c r="K672" s="327"/>
    </row>
    <row r="673" customFormat="false" ht="12.75" hidden="false" customHeight="false" outlineLevel="0" collapsed="false">
      <c r="A673" s="325"/>
      <c r="B673" s="326"/>
      <c r="J673" s="73"/>
      <c r="K673" s="327"/>
    </row>
    <row r="674" customFormat="false" ht="12.75" hidden="false" customHeight="false" outlineLevel="0" collapsed="false">
      <c r="A674" s="325"/>
      <c r="B674" s="326"/>
      <c r="J674" s="73"/>
      <c r="K674" s="327"/>
    </row>
    <row r="675" customFormat="false" ht="12.75" hidden="false" customHeight="false" outlineLevel="0" collapsed="false">
      <c r="A675" s="325"/>
      <c r="B675" s="326"/>
      <c r="J675" s="73"/>
      <c r="K675" s="327"/>
    </row>
    <row r="676" customFormat="false" ht="12.75" hidden="false" customHeight="false" outlineLevel="0" collapsed="false">
      <c r="A676" s="325"/>
      <c r="B676" s="326"/>
      <c r="J676" s="73"/>
      <c r="K676" s="327"/>
    </row>
    <row r="677" customFormat="false" ht="12.75" hidden="false" customHeight="false" outlineLevel="0" collapsed="false">
      <c r="A677" s="325"/>
      <c r="B677" s="326"/>
      <c r="J677" s="73"/>
      <c r="K677" s="327"/>
    </row>
    <row r="678" customFormat="false" ht="12.75" hidden="false" customHeight="false" outlineLevel="0" collapsed="false">
      <c r="A678" s="325"/>
      <c r="B678" s="326"/>
      <c r="J678" s="73"/>
      <c r="K678" s="327"/>
    </row>
    <row r="679" customFormat="false" ht="12.75" hidden="false" customHeight="false" outlineLevel="0" collapsed="false">
      <c r="A679" s="325"/>
      <c r="B679" s="326"/>
      <c r="J679" s="73"/>
      <c r="K679" s="327"/>
    </row>
    <row r="680" customFormat="false" ht="12.75" hidden="false" customHeight="false" outlineLevel="0" collapsed="false">
      <c r="A680" s="325"/>
      <c r="B680" s="326"/>
      <c r="J680" s="73"/>
      <c r="K680" s="327"/>
    </row>
    <row r="681" customFormat="false" ht="12.75" hidden="false" customHeight="false" outlineLevel="0" collapsed="false">
      <c r="A681" s="325"/>
      <c r="B681" s="326"/>
      <c r="J681" s="73"/>
      <c r="K681" s="327"/>
    </row>
    <row r="682" customFormat="false" ht="12.75" hidden="false" customHeight="false" outlineLevel="0" collapsed="false">
      <c r="A682" s="325"/>
      <c r="B682" s="326"/>
      <c r="J682" s="73"/>
      <c r="K682" s="327"/>
    </row>
    <row r="683" customFormat="false" ht="12.75" hidden="false" customHeight="false" outlineLevel="0" collapsed="false">
      <c r="A683" s="325"/>
      <c r="B683" s="326"/>
      <c r="J683" s="73"/>
      <c r="K683" s="327"/>
    </row>
    <row r="684" customFormat="false" ht="12.75" hidden="false" customHeight="false" outlineLevel="0" collapsed="false">
      <c r="A684" s="325"/>
      <c r="B684" s="326"/>
      <c r="J684" s="73"/>
      <c r="K684" s="327"/>
    </row>
    <row r="685" customFormat="false" ht="12.75" hidden="false" customHeight="false" outlineLevel="0" collapsed="false">
      <c r="A685" s="325"/>
      <c r="B685" s="326"/>
      <c r="J685" s="73"/>
      <c r="K685" s="327"/>
    </row>
    <row r="686" customFormat="false" ht="12.75" hidden="false" customHeight="false" outlineLevel="0" collapsed="false">
      <c r="A686" s="325"/>
      <c r="B686" s="326"/>
      <c r="J686" s="73"/>
      <c r="K686" s="327"/>
    </row>
    <row r="687" customFormat="false" ht="12.75" hidden="false" customHeight="false" outlineLevel="0" collapsed="false">
      <c r="A687" s="325"/>
      <c r="B687" s="326"/>
      <c r="J687" s="73"/>
      <c r="K687" s="327"/>
    </row>
    <row r="688" customFormat="false" ht="12.75" hidden="false" customHeight="false" outlineLevel="0" collapsed="false">
      <c r="A688" s="325"/>
      <c r="B688" s="326"/>
      <c r="J688" s="73"/>
      <c r="K688" s="327"/>
    </row>
    <row r="689" customFormat="false" ht="12.75" hidden="false" customHeight="false" outlineLevel="0" collapsed="false">
      <c r="A689" s="325"/>
      <c r="B689" s="326"/>
      <c r="J689" s="73"/>
      <c r="K689" s="327"/>
    </row>
    <row r="690" customFormat="false" ht="12.75" hidden="false" customHeight="false" outlineLevel="0" collapsed="false">
      <c r="A690" s="325"/>
      <c r="B690" s="326"/>
      <c r="J690" s="73"/>
      <c r="K690" s="327"/>
    </row>
    <row r="691" customFormat="false" ht="12.75" hidden="false" customHeight="false" outlineLevel="0" collapsed="false">
      <c r="A691" s="325"/>
      <c r="B691" s="326"/>
      <c r="J691" s="73"/>
      <c r="K691" s="327"/>
    </row>
    <row r="692" customFormat="false" ht="12.75" hidden="false" customHeight="false" outlineLevel="0" collapsed="false">
      <c r="A692" s="325"/>
      <c r="B692" s="326"/>
      <c r="J692" s="73"/>
      <c r="K692" s="327"/>
    </row>
    <row r="693" customFormat="false" ht="12.75" hidden="false" customHeight="false" outlineLevel="0" collapsed="false">
      <c r="A693" s="325"/>
      <c r="B693" s="326"/>
      <c r="J693" s="73"/>
      <c r="K693" s="327"/>
    </row>
    <row r="694" customFormat="false" ht="12.75" hidden="false" customHeight="false" outlineLevel="0" collapsed="false">
      <c r="A694" s="325"/>
      <c r="B694" s="326"/>
      <c r="J694" s="73"/>
      <c r="K694" s="327"/>
    </row>
    <row r="695" customFormat="false" ht="12.75" hidden="false" customHeight="false" outlineLevel="0" collapsed="false">
      <c r="A695" s="325"/>
      <c r="B695" s="326"/>
      <c r="J695" s="73"/>
      <c r="K695" s="327"/>
    </row>
    <row r="696" customFormat="false" ht="12.75" hidden="false" customHeight="false" outlineLevel="0" collapsed="false">
      <c r="A696" s="325"/>
      <c r="B696" s="326"/>
      <c r="J696" s="73"/>
      <c r="K696" s="327"/>
    </row>
    <row r="697" customFormat="false" ht="12.75" hidden="false" customHeight="false" outlineLevel="0" collapsed="false">
      <c r="A697" s="325"/>
      <c r="B697" s="326"/>
      <c r="J697" s="73"/>
      <c r="K697" s="327"/>
    </row>
    <row r="698" customFormat="false" ht="12.75" hidden="false" customHeight="false" outlineLevel="0" collapsed="false">
      <c r="A698" s="325"/>
      <c r="B698" s="326"/>
      <c r="J698" s="73"/>
      <c r="K698" s="327"/>
    </row>
    <row r="699" customFormat="false" ht="12.75" hidden="false" customHeight="false" outlineLevel="0" collapsed="false">
      <c r="A699" s="325"/>
      <c r="B699" s="326"/>
      <c r="J699" s="73"/>
      <c r="K699" s="327"/>
    </row>
    <row r="700" customFormat="false" ht="12.75" hidden="false" customHeight="false" outlineLevel="0" collapsed="false">
      <c r="A700" s="325"/>
      <c r="B700" s="326"/>
      <c r="J700" s="73"/>
      <c r="K700" s="327"/>
    </row>
    <row r="701" customFormat="false" ht="12.75" hidden="false" customHeight="false" outlineLevel="0" collapsed="false">
      <c r="A701" s="325"/>
      <c r="B701" s="326"/>
      <c r="J701" s="73"/>
      <c r="K701" s="327"/>
    </row>
    <row r="702" customFormat="false" ht="12.75" hidden="false" customHeight="false" outlineLevel="0" collapsed="false">
      <c r="A702" s="325"/>
      <c r="B702" s="326"/>
      <c r="J702" s="73"/>
      <c r="K702" s="327"/>
    </row>
    <row r="703" customFormat="false" ht="12.75" hidden="false" customHeight="false" outlineLevel="0" collapsed="false">
      <c r="A703" s="325"/>
      <c r="B703" s="326"/>
      <c r="J703" s="73"/>
      <c r="K703" s="327"/>
    </row>
    <row r="704" customFormat="false" ht="12.75" hidden="false" customHeight="false" outlineLevel="0" collapsed="false">
      <c r="A704" s="325"/>
      <c r="B704" s="326"/>
      <c r="J704" s="73"/>
      <c r="K704" s="327"/>
    </row>
    <row r="705" customFormat="false" ht="12.75" hidden="false" customHeight="false" outlineLevel="0" collapsed="false">
      <c r="A705" s="325"/>
      <c r="B705" s="326"/>
      <c r="J705" s="73"/>
      <c r="K705" s="327"/>
    </row>
    <row r="706" customFormat="false" ht="12.75" hidden="false" customHeight="false" outlineLevel="0" collapsed="false">
      <c r="A706" s="325"/>
      <c r="B706" s="326"/>
      <c r="J706" s="73"/>
      <c r="K706" s="327"/>
    </row>
    <row r="707" customFormat="false" ht="12.75" hidden="false" customHeight="false" outlineLevel="0" collapsed="false">
      <c r="A707" s="325"/>
      <c r="B707" s="326"/>
      <c r="J707" s="73"/>
      <c r="K707" s="327"/>
    </row>
    <row r="708" customFormat="false" ht="12.75" hidden="false" customHeight="false" outlineLevel="0" collapsed="false">
      <c r="A708" s="325"/>
      <c r="B708" s="326"/>
      <c r="J708" s="73"/>
      <c r="K708" s="327"/>
    </row>
    <row r="709" customFormat="false" ht="12.75" hidden="false" customHeight="false" outlineLevel="0" collapsed="false">
      <c r="A709" s="325"/>
      <c r="B709" s="326"/>
      <c r="J709" s="73"/>
      <c r="K709" s="327"/>
    </row>
    <row r="710" customFormat="false" ht="12.75" hidden="false" customHeight="false" outlineLevel="0" collapsed="false">
      <c r="A710" s="325"/>
      <c r="B710" s="326"/>
      <c r="J710" s="73"/>
      <c r="K710" s="327"/>
    </row>
    <row r="711" customFormat="false" ht="12.75" hidden="false" customHeight="false" outlineLevel="0" collapsed="false">
      <c r="A711" s="325"/>
      <c r="B711" s="326"/>
      <c r="J711" s="73"/>
      <c r="K711" s="327"/>
    </row>
    <row r="712" customFormat="false" ht="12.75" hidden="false" customHeight="false" outlineLevel="0" collapsed="false">
      <c r="A712" s="325"/>
      <c r="B712" s="326"/>
      <c r="J712" s="73"/>
      <c r="K712" s="327"/>
    </row>
    <row r="713" customFormat="false" ht="12.75" hidden="false" customHeight="false" outlineLevel="0" collapsed="false">
      <c r="A713" s="325"/>
      <c r="B713" s="326"/>
      <c r="J713" s="73"/>
      <c r="K713" s="327"/>
    </row>
    <row r="714" customFormat="false" ht="12.75" hidden="false" customHeight="false" outlineLevel="0" collapsed="false">
      <c r="A714" s="325"/>
      <c r="B714" s="326"/>
      <c r="J714" s="73"/>
      <c r="K714" s="327"/>
    </row>
    <row r="715" customFormat="false" ht="12.75" hidden="false" customHeight="false" outlineLevel="0" collapsed="false">
      <c r="A715" s="325"/>
      <c r="B715" s="326"/>
      <c r="J715" s="73"/>
      <c r="K715" s="327"/>
    </row>
    <row r="716" customFormat="false" ht="12.75" hidden="false" customHeight="false" outlineLevel="0" collapsed="false">
      <c r="A716" s="325"/>
      <c r="B716" s="326"/>
      <c r="J716" s="73"/>
      <c r="K716" s="327"/>
    </row>
    <row r="717" customFormat="false" ht="12.75" hidden="false" customHeight="false" outlineLevel="0" collapsed="false">
      <c r="A717" s="325"/>
      <c r="B717" s="326"/>
      <c r="J717" s="73"/>
      <c r="K717" s="327"/>
    </row>
    <row r="718" customFormat="false" ht="12.75" hidden="false" customHeight="false" outlineLevel="0" collapsed="false">
      <c r="A718" s="325"/>
      <c r="B718" s="326"/>
      <c r="J718" s="73"/>
      <c r="K718" s="327"/>
    </row>
    <row r="719" customFormat="false" ht="12.75" hidden="false" customHeight="false" outlineLevel="0" collapsed="false">
      <c r="A719" s="325"/>
      <c r="B719" s="326"/>
      <c r="J719" s="73"/>
      <c r="K719" s="327"/>
    </row>
    <row r="720" customFormat="false" ht="12.75" hidden="false" customHeight="false" outlineLevel="0" collapsed="false">
      <c r="A720" s="325"/>
      <c r="B720" s="326"/>
      <c r="J720" s="73"/>
      <c r="K720" s="327"/>
    </row>
    <row r="721" customFormat="false" ht="12.75" hidden="false" customHeight="false" outlineLevel="0" collapsed="false">
      <c r="A721" s="325"/>
      <c r="B721" s="326"/>
      <c r="J721" s="73"/>
      <c r="K721" s="327"/>
    </row>
    <row r="722" customFormat="false" ht="12.75" hidden="false" customHeight="false" outlineLevel="0" collapsed="false">
      <c r="A722" s="325"/>
      <c r="B722" s="326"/>
      <c r="J722" s="73"/>
      <c r="K722" s="327"/>
    </row>
    <row r="723" customFormat="false" ht="12.75" hidden="false" customHeight="false" outlineLevel="0" collapsed="false">
      <c r="A723" s="325"/>
      <c r="B723" s="326"/>
      <c r="J723" s="73"/>
      <c r="K723" s="327"/>
    </row>
    <row r="724" customFormat="false" ht="12.75" hidden="false" customHeight="false" outlineLevel="0" collapsed="false">
      <c r="A724" s="325"/>
      <c r="B724" s="326"/>
      <c r="J724" s="73"/>
      <c r="K724" s="327"/>
    </row>
    <row r="725" customFormat="false" ht="12.75" hidden="false" customHeight="false" outlineLevel="0" collapsed="false">
      <c r="A725" s="325"/>
      <c r="B725" s="326"/>
      <c r="J725" s="73"/>
      <c r="K725" s="327"/>
    </row>
    <row r="726" customFormat="false" ht="12.75" hidden="false" customHeight="false" outlineLevel="0" collapsed="false">
      <c r="A726" s="325"/>
      <c r="B726" s="326"/>
      <c r="J726" s="73"/>
      <c r="K726" s="327"/>
    </row>
    <row r="727" customFormat="false" ht="12.75" hidden="false" customHeight="false" outlineLevel="0" collapsed="false">
      <c r="A727" s="325"/>
      <c r="B727" s="326"/>
      <c r="J727" s="73"/>
      <c r="K727" s="327"/>
    </row>
    <row r="728" customFormat="false" ht="12.75" hidden="false" customHeight="false" outlineLevel="0" collapsed="false">
      <c r="A728" s="325"/>
      <c r="B728" s="326"/>
      <c r="J728" s="73"/>
      <c r="K728" s="327"/>
    </row>
    <row r="729" customFormat="false" ht="12.75" hidden="false" customHeight="false" outlineLevel="0" collapsed="false">
      <c r="A729" s="325"/>
      <c r="B729" s="326"/>
      <c r="J729" s="73"/>
      <c r="K729" s="327"/>
    </row>
    <row r="730" customFormat="false" ht="12.75" hidden="false" customHeight="false" outlineLevel="0" collapsed="false">
      <c r="A730" s="325"/>
      <c r="B730" s="326"/>
      <c r="J730" s="73"/>
      <c r="K730" s="327"/>
    </row>
    <row r="731" customFormat="false" ht="12.75" hidden="false" customHeight="false" outlineLevel="0" collapsed="false">
      <c r="A731" s="325"/>
      <c r="B731" s="326"/>
      <c r="J731" s="73"/>
      <c r="K731" s="327"/>
    </row>
    <row r="732" customFormat="false" ht="12.75" hidden="false" customHeight="false" outlineLevel="0" collapsed="false">
      <c r="A732" s="325"/>
      <c r="B732" s="326"/>
      <c r="J732" s="73"/>
      <c r="K732" s="327"/>
    </row>
    <row r="733" customFormat="false" ht="12.75" hidden="false" customHeight="false" outlineLevel="0" collapsed="false">
      <c r="A733" s="325"/>
      <c r="B733" s="326"/>
      <c r="J733" s="73"/>
      <c r="K733" s="327"/>
    </row>
    <row r="734" customFormat="false" ht="12.75" hidden="false" customHeight="false" outlineLevel="0" collapsed="false">
      <c r="A734" s="325"/>
      <c r="B734" s="326"/>
      <c r="J734" s="73"/>
      <c r="K734" s="327"/>
    </row>
    <row r="735" customFormat="false" ht="12.75" hidden="false" customHeight="false" outlineLevel="0" collapsed="false">
      <c r="A735" s="325"/>
      <c r="B735" s="326"/>
      <c r="J735" s="73"/>
      <c r="K735" s="327"/>
    </row>
    <row r="736" customFormat="false" ht="12.75" hidden="false" customHeight="false" outlineLevel="0" collapsed="false">
      <c r="A736" s="325"/>
      <c r="B736" s="326"/>
      <c r="J736" s="73"/>
      <c r="K736" s="327"/>
    </row>
    <row r="737" customFormat="false" ht="12.75" hidden="false" customHeight="false" outlineLevel="0" collapsed="false">
      <c r="A737" s="325"/>
      <c r="B737" s="326"/>
      <c r="J737" s="73"/>
      <c r="K737" s="327"/>
    </row>
    <row r="738" customFormat="false" ht="12.75" hidden="false" customHeight="false" outlineLevel="0" collapsed="false">
      <c r="A738" s="325"/>
      <c r="B738" s="326"/>
      <c r="J738" s="73"/>
      <c r="K738" s="327"/>
    </row>
    <row r="739" customFormat="false" ht="12.75" hidden="false" customHeight="false" outlineLevel="0" collapsed="false">
      <c r="A739" s="325"/>
      <c r="B739" s="326"/>
      <c r="J739" s="73"/>
      <c r="K739" s="327"/>
    </row>
    <row r="740" customFormat="false" ht="12.75" hidden="false" customHeight="false" outlineLevel="0" collapsed="false">
      <c r="A740" s="325"/>
      <c r="B740" s="326"/>
      <c r="J740" s="73"/>
      <c r="K740" s="327"/>
    </row>
    <row r="741" customFormat="false" ht="12.75" hidden="false" customHeight="false" outlineLevel="0" collapsed="false">
      <c r="A741" s="325"/>
      <c r="B741" s="326"/>
      <c r="J741" s="73"/>
      <c r="K741" s="327"/>
    </row>
    <row r="742" customFormat="false" ht="12.75" hidden="false" customHeight="false" outlineLevel="0" collapsed="false">
      <c r="A742" s="325"/>
      <c r="B742" s="326"/>
      <c r="J742" s="73"/>
      <c r="K742" s="327"/>
    </row>
    <row r="743" customFormat="false" ht="12.75" hidden="false" customHeight="false" outlineLevel="0" collapsed="false">
      <c r="A743" s="325"/>
      <c r="B743" s="326"/>
      <c r="J743" s="73"/>
      <c r="K743" s="327"/>
    </row>
    <row r="744" customFormat="false" ht="12.75" hidden="false" customHeight="false" outlineLevel="0" collapsed="false">
      <c r="A744" s="325"/>
      <c r="B744" s="326"/>
      <c r="J744" s="73"/>
      <c r="K744" s="327"/>
    </row>
    <row r="745" customFormat="false" ht="12.75" hidden="false" customHeight="false" outlineLevel="0" collapsed="false">
      <c r="A745" s="325"/>
      <c r="B745" s="326"/>
      <c r="J745" s="73"/>
      <c r="K745" s="327"/>
    </row>
    <row r="746" customFormat="false" ht="12.75" hidden="false" customHeight="false" outlineLevel="0" collapsed="false">
      <c r="A746" s="325"/>
      <c r="B746" s="326"/>
      <c r="J746" s="73"/>
      <c r="K746" s="327"/>
    </row>
    <row r="747" customFormat="false" ht="12.75" hidden="false" customHeight="false" outlineLevel="0" collapsed="false">
      <c r="A747" s="325"/>
      <c r="B747" s="326"/>
      <c r="J747" s="73"/>
      <c r="K747" s="327"/>
    </row>
    <row r="748" customFormat="false" ht="12.75" hidden="false" customHeight="false" outlineLevel="0" collapsed="false">
      <c r="A748" s="325"/>
      <c r="B748" s="326"/>
      <c r="J748" s="73"/>
      <c r="K748" s="327"/>
    </row>
    <row r="749" customFormat="false" ht="12.75" hidden="false" customHeight="false" outlineLevel="0" collapsed="false">
      <c r="A749" s="325"/>
      <c r="B749" s="326"/>
      <c r="J749" s="73"/>
      <c r="K749" s="327"/>
    </row>
    <row r="750" customFormat="false" ht="12.75" hidden="false" customHeight="false" outlineLevel="0" collapsed="false">
      <c r="A750" s="325"/>
      <c r="B750" s="326"/>
      <c r="J750" s="73"/>
      <c r="K750" s="327"/>
    </row>
    <row r="751" customFormat="false" ht="12.75" hidden="false" customHeight="false" outlineLevel="0" collapsed="false">
      <c r="A751" s="325"/>
      <c r="B751" s="326"/>
      <c r="J751" s="73"/>
      <c r="K751" s="327"/>
    </row>
    <row r="752" customFormat="false" ht="12.75" hidden="false" customHeight="false" outlineLevel="0" collapsed="false">
      <c r="A752" s="325"/>
      <c r="B752" s="326"/>
      <c r="J752" s="73"/>
      <c r="K752" s="327"/>
    </row>
    <row r="753" customFormat="false" ht="12.75" hidden="false" customHeight="false" outlineLevel="0" collapsed="false">
      <c r="A753" s="325"/>
      <c r="B753" s="326"/>
      <c r="J753" s="73"/>
      <c r="K753" s="327"/>
    </row>
    <row r="754" customFormat="false" ht="12.75" hidden="false" customHeight="false" outlineLevel="0" collapsed="false">
      <c r="A754" s="325"/>
      <c r="B754" s="326"/>
      <c r="J754" s="73"/>
      <c r="K754" s="327"/>
    </row>
    <row r="755" customFormat="false" ht="12.75" hidden="false" customHeight="false" outlineLevel="0" collapsed="false">
      <c r="A755" s="325"/>
      <c r="B755" s="326"/>
      <c r="J755" s="73"/>
      <c r="K755" s="327"/>
    </row>
    <row r="756" customFormat="false" ht="12.75" hidden="false" customHeight="false" outlineLevel="0" collapsed="false">
      <c r="A756" s="325"/>
      <c r="B756" s="326"/>
      <c r="J756" s="73"/>
      <c r="K756" s="327"/>
    </row>
    <row r="757" customFormat="false" ht="12.75" hidden="false" customHeight="false" outlineLevel="0" collapsed="false">
      <c r="A757" s="325"/>
      <c r="B757" s="326"/>
      <c r="J757" s="73"/>
      <c r="K757" s="327"/>
    </row>
    <row r="758" customFormat="false" ht="12.75" hidden="false" customHeight="false" outlineLevel="0" collapsed="false">
      <c r="A758" s="325"/>
      <c r="B758" s="326"/>
      <c r="J758" s="73"/>
      <c r="K758" s="327"/>
    </row>
    <row r="759" customFormat="false" ht="12.75" hidden="false" customHeight="false" outlineLevel="0" collapsed="false">
      <c r="A759" s="325"/>
      <c r="B759" s="326"/>
      <c r="J759" s="73"/>
      <c r="K759" s="327"/>
    </row>
    <row r="760" customFormat="false" ht="12.75" hidden="false" customHeight="false" outlineLevel="0" collapsed="false">
      <c r="A760" s="325"/>
      <c r="B760" s="326"/>
      <c r="J760" s="73"/>
      <c r="K760" s="327"/>
    </row>
    <row r="761" customFormat="false" ht="12.75" hidden="false" customHeight="false" outlineLevel="0" collapsed="false">
      <c r="A761" s="325"/>
      <c r="B761" s="326"/>
      <c r="J761" s="73"/>
      <c r="K761" s="327"/>
    </row>
    <row r="762" customFormat="false" ht="12.75" hidden="false" customHeight="false" outlineLevel="0" collapsed="false">
      <c r="A762" s="325"/>
      <c r="B762" s="326"/>
      <c r="J762" s="73"/>
      <c r="K762" s="327"/>
    </row>
    <row r="763" customFormat="false" ht="12.75" hidden="false" customHeight="false" outlineLevel="0" collapsed="false">
      <c r="A763" s="325"/>
      <c r="B763" s="326"/>
      <c r="J763" s="73"/>
      <c r="K763" s="327"/>
    </row>
    <row r="764" customFormat="false" ht="12.75" hidden="false" customHeight="false" outlineLevel="0" collapsed="false">
      <c r="A764" s="325"/>
      <c r="B764" s="326"/>
      <c r="J764" s="73"/>
      <c r="K764" s="327"/>
    </row>
    <row r="765" customFormat="false" ht="12.75" hidden="false" customHeight="false" outlineLevel="0" collapsed="false">
      <c r="A765" s="325"/>
      <c r="B765" s="326"/>
      <c r="J765" s="73"/>
      <c r="K765" s="327"/>
    </row>
    <row r="766" customFormat="false" ht="12.75" hidden="false" customHeight="false" outlineLevel="0" collapsed="false">
      <c r="A766" s="325"/>
      <c r="B766" s="326"/>
      <c r="J766" s="73"/>
      <c r="K766" s="327"/>
    </row>
    <row r="767" customFormat="false" ht="12.75" hidden="false" customHeight="false" outlineLevel="0" collapsed="false">
      <c r="A767" s="325"/>
      <c r="B767" s="326"/>
      <c r="J767" s="73"/>
      <c r="K767" s="327"/>
    </row>
    <row r="768" customFormat="false" ht="12.75" hidden="false" customHeight="false" outlineLevel="0" collapsed="false">
      <c r="A768" s="325"/>
      <c r="B768" s="326"/>
      <c r="J768" s="73"/>
      <c r="K768" s="327"/>
    </row>
    <row r="769" customFormat="false" ht="12.75" hidden="false" customHeight="false" outlineLevel="0" collapsed="false">
      <c r="A769" s="325"/>
      <c r="B769" s="326"/>
      <c r="J769" s="73"/>
      <c r="K769" s="327"/>
    </row>
    <row r="770" customFormat="false" ht="12.75" hidden="false" customHeight="false" outlineLevel="0" collapsed="false">
      <c r="A770" s="325"/>
      <c r="B770" s="326"/>
      <c r="J770" s="73"/>
      <c r="K770" s="327"/>
    </row>
    <row r="771" customFormat="false" ht="12.75" hidden="false" customHeight="false" outlineLevel="0" collapsed="false">
      <c r="A771" s="325"/>
      <c r="B771" s="326"/>
      <c r="J771" s="73"/>
      <c r="K771" s="327"/>
    </row>
    <row r="772" customFormat="false" ht="12.75" hidden="false" customHeight="false" outlineLevel="0" collapsed="false">
      <c r="A772" s="325"/>
      <c r="B772" s="326"/>
      <c r="J772" s="73"/>
      <c r="K772" s="327"/>
    </row>
    <row r="773" customFormat="false" ht="12.75" hidden="false" customHeight="false" outlineLevel="0" collapsed="false">
      <c r="A773" s="325"/>
      <c r="B773" s="326"/>
      <c r="J773" s="73"/>
      <c r="K773" s="327"/>
    </row>
    <row r="774" customFormat="false" ht="12.75" hidden="false" customHeight="false" outlineLevel="0" collapsed="false">
      <c r="A774" s="325"/>
      <c r="B774" s="326"/>
      <c r="J774" s="73"/>
      <c r="K774" s="327"/>
    </row>
    <row r="775" customFormat="false" ht="12.75" hidden="false" customHeight="false" outlineLevel="0" collapsed="false">
      <c r="A775" s="325"/>
      <c r="B775" s="326"/>
      <c r="J775" s="73"/>
      <c r="K775" s="327"/>
    </row>
    <row r="776" customFormat="false" ht="12.75" hidden="false" customHeight="false" outlineLevel="0" collapsed="false">
      <c r="A776" s="325"/>
      <c r="B776" s="326"/>
      <c r="J776" s="73"/>
      <c r="K776" s="327"/>
    </row>
    <row r="777" customFormat="false" ht="12.75" hidden="false" customHeight="false" outlineLevel="0" collapsed="false">
      <c r="A777" s="325"/>
      <c r="B777" s="326"/>
      <c r="J777" s="73"/>
      <c r="K777" s="327"/>
    </row>
    <row r="778" customFormat="false" ht="12.75" hidden="false" customHeight="false" outlineLevel="0" collapsed="false">
      <c r="A778" s="325"/>
      <c r="B778" s="326"/>
      <c r="J778" s="73"/>
      <c r="K778" s="327"/>
    </row>
    <row r="779" customFormat="false" ht="12.75" hidden="false" customHeight="false" outlineLevel="0" collapsed="false">
      <c r="A779" s="325"/>
      <c r="B779" s="326"/>
      <c r="J779" s="73"/>
      <c r="K779" s="327"/>
    </row>
    <row r="780" customFormat="false" ht="12.75" hidden="false" customHeight="false" outlineLevel="0" collapsed="false">
      <c r="A780" s="325"/>
      <c r="B780" s="326"/>
      <c r="J780" s="73"/>
      <c r="K780" s="327"/>
    </row>
    <row r="781" customFormat="false" ht="12.75" hidden="false" customHeight="false" outlineLevel="0" collapsed="false">
      <c r="A781" s="325"/>
      <c r="B781" s="326"/>
      <c r="J781" s="73"/>
      <c r="K781" s="327"/>
    </row>
    <row r="782" customFormat="false" ht="12.75" hidden="false" customHeight="false" outlineLevel="0" collapsed="false">
      <c r="A782" s="325"/>
      <c r="B782" s="326"/>
      <c r="J782" s="73"/>
      <c r="K782" s="327"/>
    </row>
    <row r="783" customFormat="false" ht="12.75" hidden="false" customHeight="false" outlineLevel="0" collapsed="false">
      <c r="A783" s="325"/>
      <c r="B783" s="326"/>
      <c r="J783" s="73"/>
      <c r="K783" s="327"/>
    </row>
    <row r="784" customFormat="false" ht="12.75" hidden="false" customHeight="false" outlineLevel="0" collapsed="false">
      <c r="A784" s="325"/>
      <c r="B784" s="326"/>
      <c r="J784" s="73"/>
      <c r="K784" s="327"/>
    </row>
    <row r="785" customFormat="false" ht="12.75" hidden="false" customHeight="false" outlineLevel="0" collapsed="false">
      <c r="A785" s="325"/>
      <c r="B785" s="326"/>
      <c r="J785" s="73"/>
      <c r="K785" s="327"/>
    </row>
    <row r="786" customFormat="false" ht="12.75" hidden="false" customHeight="false" outlineLevel="0" collapsed="false">
      <c r="A786" s="325"/>
      <c r="B786" s="326"/>
      <c r="J786" s="73"/>
      <c r="K786" s="327"/>
    </row>
    <row r="787" customFormat="false" ht="12.75" hidden="false" customHeight="false" outlineLevel="0" collapsed="false">
      <c r="A787" s="325"/>
      <c r="B787" s="326"/>
      <c r="J787" s="73"/>
      <c r="K787" s="327"/>
    </row>
    <row r="788" customFormat="false" ht="12.75" hidden="false" customHeight="false" outlineLevel="0" collapsed="false">
      <c r="A788" s="325"/>
      <c r="B788" s="326"/>
      <c r="J788" s="73"/>
      <c r="K788" s="327"/>
    </row>
    <row r="789" customFormat="false" ht="12.75" hidden="false" customHeight="false" outlineLevel="0" collapsed="false">
      <c r="A789" s="325"/>
      <c r="B789" s="326"/>
      <c r="J789" s="73"/>
      <c r="K789" s="327"/>
    </row>
    <row r="790" customFormat="false" ht="12.75" hidden="false" customHeight="false" outlineLevel="0" collapsed="false">
      <c r="A790" s="325"/>
      <c r="B790" s="326"/>
      <c r="J790" s="73"/>
      <c r="K790" s="327"/>
    </row>
    <row r="791" customFormat="false" ht="12.75" hidden="false" customHeight="false" outlineLevel="0" collapsed="false">
      <c r="A791" s="325"/>
      <c r="B791" s="326"/>
      <c r="J791" s="73"/>
      <c r="K791" s="327"/>
    </row>
    <row r="792" customFormat="false" ht="12.75" hidden="false" customHeight="false" outlineLevel="0" collapsed="false">
      <c r="A792" s="325"/>
      <c r="B792" s="326"/>
      <c r="J792" s="73"/>
      <c r="K792" s="327"/>
    </row>
    <row r="793" customFormat="false" ht="12.75" hidden="false" customHeight="false" outlineLevel="0" collapsed="false">
      <c r="A793" s="325"/>
      <c r="B793" s="326"/>
      <c r="J793" s="73"/>
      <c r="K793" s="327"/>
    </row>
    <row r="794" customFormat="false" ht="12.75" hidden="false" customHeight="false" outlineLevel="0" collapsed="false">
      <c r="A794" s="325"/>
      <c r="B794" s="326"/>
      <c r="J794" s="73"/>
      <c r="K794" s="327"/>
    </row>
    <row r="795" customFormat="false" ht="12.75" hidden="false" customHeight="false" outlineLevel="0" collapsed="false">
      <c r="A795" s="325"/>
      <c r="B795" s="326"/>
      <c r="J795" s="73"/>
      <c r="K795" s="327"/>
    </row>
    <row r="796" customFormat="false" ht="12.75" hidden="false" customHeight="false" outlineLevel="0" collapsed="false">
      <c r="A796" s="325"/>
      <c r="B796" s="326"/>
      <c r="J796" s="73"/>
      <c r="K796" s="327"/>
    </row>
    <row r="797" customFormat="false" ht="12.75" hidden="false" customHeight="false" outlineLevel="0" collapsed="false">
      <c r="A797" s="325"/>
      <c r="B797" s="326"/>
      <c r="J797" s="73"/>
      <c r="K797" s="327"/>
    </row>
    <row r="798" customFormat="false" ht="12.75" hidden="false" customHeight="false" outlineLevel="0" collapsed="false">
      <c r="A798" s="325"/>
      <c r="B798" s="326"/>
      <c r="J798" s="73"/>
      <c r="K798" s="327"/>
    </row>
    <row r="799" customFormat="false" ht="12.75" hidden="false" customHeight="false" outlineLevel="0" collapsed="false">
      <c r="A799" s="325"/>
      <c r="B799" s="326"/>
      <c r="J799" s="73"/>
      <c r="K799" s="327"/>
    </row>
    <row r="800" customFormat="false" ht="12.75" hidden="false" customHeight="false" outlineLevel="0" collapsed="false">
      <c r="A800" s="325"/>
      <c r="B800" s="326"/>
      <c r="J800" s="73"/>
      <c r="K800" s="327"/>
    </row>
    <row r="801" customFormat="false" ht="12.75" hidden="false" customHeight="false" outlineLevel="0" collapsed="false">
      <c r="A801" s="325"/>
      <c r="B801" s="326"/>
      <c r="J801" s="73"/>
      <c r="K801" s="327"/>
    </row>
    <row r="802" customFormat="false" ht="12.75" hidden="false" customHeight="false" outlineLevel="0" collapsed="false">
      <c r="A802" s="325"/>
      <c r="B802" s="326"/>
      <c r="J802" s="73"/>
      <c r="K802" s="327"/>
    </row>
    <row r="803" customFormat="false" ht="12.75" hidden="false" customHeight="false" outlineLevel="0" collapsed="false">
      <c r="A803" s="325"/>
      <c r="B803" s="326"/>
      <c r="J803" s="73"/>
      <c r="K803" s="327"/>
    </row>
    <row r="804" customFormat="false" ht="12.75" hidden="false" customHeight="false" outlineLevel="0" collapsed="false">
      <c r="A804" s="325"/>
      <c r="B804" s="326"/>
      <c r="J804" s="73"/>
      <c r="K804" s="327"/>
    </row>
    <row r="805" customFormat="false" ht="12.75" hidden="false" customHeight="false" outlineLevel="0" collapsed="false">
      <c r="A805" s="325"/>
      <c r="B805" s="326"/>
      <c r="J805" s="73"/>
      <c r="K805" s="327"/>
    </row>
    <row r="806" customFormat="false" ht="12.75" hidden="false" customHeight="false" outlineLevel="0" collapsed="false">
      <c r="A806" s="325"/>
      <c r="B806" s="326"/>
      <c r="J806" s="73"/>
      <c r="K806" s="327"/>
    </row>
    <row r="807" customFormat="false" ht="12.75" hidden="false" customHeight="false" outlineLevel="0" collapsed="false">
      <c r="A807" s="325"/>
      <c r="B807" s="326"/>
      <c r="J807" s="73"/>
      <c r="K807" s="327"/>
    </row>
    <row r="808" customFormat="false" ht="12.75" hidden="false" customHeight="false" outlineLevel="0" collapsed="false">
      <c r="A808" s="325"/>
      <c r="B808" s="326"/>
      <c r="J808" s="73"/>
      <c r="K808" s="327"/>
    </row>
    <row r="809" customFormat="false" ht="12.75" hidden="false" customHeight="false" outlineLevel="0" collapsed="false">
      <c r="A809" s="325"/>
      <c r="B809" s="326"/>
      <c r="J809" s="73"/>
      <c r="K809" s="327"/>
    </row>
    <row r="810" customFormat="false" ht="12.75" hidden="false" customHeight="false" outlineLevel="0" collapsed="false">
      <c r="A810" s="325"/>
      <c r="B810" s="326"/>
      <c r="J810" s="73"/>
      <c r="K810" s="327"/>
    </row>
    <row r="811" customFormat="false" ht="12.75" hidden="false" customHeight="false" outlineLevel="0" collapsed="false">
      <c r="A811" s="325"/>
      <c r="B811" s="326"/>
      <c r="J811" s="73"/>
      <c r="K811" s="327"/>
    </row>
    <row r="812" customFormat="false" ht="12.75" hidden="false" customHeight="false" outlineLevel="0" collapsed="false">
      <c r="A812" s="325"/>
      <c r="B812" s="326"/>
      <c r="J812" s="73"/>
      <c r="K812" s="327"/>
    </row>
    <row r="813" customFormat="false" ht="12.75" hidden="false" customHeight="false" outlineLevel="0" collapsed="false">
      <c r="A813" s="325"/>
      <c r="B813" s="326"/>
      <c r="J813" s="73"/>
      <c r="K813" s="327"/>
    </row>
    <row r="814" customFormat="false" ht="12.75" hidden="false" customHeight="false" outlineLevel="0" collapsed="false">
      <c r="A814" s="325"/>
      <c r="B814" s="326"/>
      <c r="J814" s="73"/>
      <c r="K814" s="327"/>
    </row>
    <row r="815" customFormat="false" ht="12.75" hidden="false" customHeight="false" outlineLevel="0" collapsed="false">
      <c r="A815" s="325"/>
      <c r="B815" s="326"/>
      <c r="J815" s="73"/>
      <c r="K815" s="327"/>
    </row>
    <row r="816" customFormat="false" ht="12.75" hidden="false" customHeight="false" outlineLevel="0" collapsed="false">
      <c r="A816" s="325"/>
      <c r="B816" s="326"/>
      <c r="J816" s="73"/>
      <c r="K816" s="327"/>
    </row>
    <row r="817" customFormat="false" ht="12.75" hidden="false" customHeight="false" outlineLevel="0" collapsed="false">
      <c r="A817" s="325"/>
      <c r="B817" s="326"/>
      <c r="J817" s="73"/>
      <c r="K817" s="327"/>
    </row>
    <row r="818" customFormat="false" ht="12.75" hidden="false" customHeight="false" outlineLevel="0" collapsed="false">
      <c r="A818" s="325"/>
      <c r="B818" s="326"/>
      <c r="J818" s="73"/>
      <c r="K818" s="327"/>
    </row>
    <row r="819" customFormat="false" ht="12.75" hidden="false" customHeight="false" outlineLevel="0" collapsed="false">
      <c r="A819" s="325"/>
      <c r="B819" s="326"/>
      <c r="J819" s="73"/>
      <c r="K819" s="327"/>
    </row>
    <row r="820" customFormat="false" ht="12.75" hidden="false" customHeight="false" outlineLevel="0" collapsed="false">
      <c r="A820" s="325"/>
      <c r="B820" s="326"/>
      <c r="J820" s="73"/>
      <c r="K820" s="327"/>
    </row>
    <row r="821" customFormat="false" ht="12.75" hidden="false" customHeight="false" outlineLevel="0" collapsed="false">
      <c r="A821" s="325"/>
      <c r="B821" s="326"/>
      <c r="J821" s="73"/>
      <c r="K821" s="327"/>
    </row>
    <row r="822" customFormat="false" ht="12.75" hidden="false" customHeight="false" outlineLevel="0" collapsed="false">
      <c r="A822" s="325"/>
      <c r="B822" s="326"/>
      <c r="J822" s="73"/>
      <c r="K822" s="327"/>
    </row>
    <row r="823" customFormat="false" ht="12.75" hidden="false" customHeight="false" outlineLevel="0" collapsed="false">
      <c r="A823" s="325"/>
      <c r="B823" s="326"/>
      <c r="J823" s="73"/>
      <c r="K823" s="327"/>
    </row>
    <row r="824" customFormat="false" ht="12.75" hidden="false" customHeight="false" outlineLevel="0" collapsed="false">
      <c r="A824" s="325"/>
      <c r="B824" s="326"/>
      <c r="J824" s="73"/>
      <c r="K824" s="327"/>
    </row>
    <row r="825" customFormat="false" ht="12.75" hidden="false" customHeight="false" outlineLevel="0" collapsed="false">
      <c r="A825" s="325"/>
      <c r="B825" s="326"/>
      <c r="J825" s="73"/>
      <c r="K825" s="327"/>
    </row>
    <row r="826" customFormat="false" ht="12.75" hidden="false" customHeight="false" outlineLevel="0" collapsed="false">
      <c r="A826" s="325"/>
      <c r="B826" s="326"/>
      <c r="J826" s="73"/>
      <c r="K826" s="327"/>
    </row>
    <row r="827" customFormat="false" ht="12.75" hidden="false" customHeight="false" outlineLevel="0" collapsed="false">
      <c r="A827" s="325"/>
      <c r="B827" s="326"/>
      <c r="J827" s="73"/>
      <c r="K827" s="327"/>
    </row>
    <row r="828" customFormat="false" ht="12.75" hidden="false" customHeight="false" outlineLevel="0" collapsed="false">
      <c r="A828" s="325"/>
      <c r="B828" s="326"/>
      <c r="J828" s="73"/>
      <c r="K828" s="327"/>
    </row>
    <row r="829" customFormat="false" ht="12.75" hidden="false" customHeight="false" outlineLevel="0" collapsed="false">
      <c r="A829" s="325"/>
      <c r="B829" s="326"/>
      <c r="J829" s="73"/>
      <c r="K829" s="327"/>
    </row>
    <row r="830" customFormat="false" ht="12.75" hidden="false" customHeight="false" outlineLevel="0" collapsed="false">
      <c r="A830" s="325"/>
      <c r="B830" s="326"/>
      <c r="J830" s="73"/>
      <c r="K830" s="327"/>
    </row>
    <row r="831" customFormat="false" ht="12.75" hidden="false" customHeight="false" outlineLevel="0" collapsed="false">
      <c r="A831" s="325"/>
      <c r="B831" s="326"/>
      <c r="J831" s="73"/>
      <c r="K831" s="327"/>
    </row>
    <row r="832" customFormat="false" ht="12.75" hidden="false" customHeight="false" outlineLevel="0" collapsed="false">
      <c r="A832" s="325"/>
      <c r="B832" s="326"/>
      <c r="J832" s="73"/>
      <c r="K832" s="327"/>
    </row>
    <row r="833" customFormat="false" ht="12.75" hidden="false" customHeight="false" outlineLevel="0" collapsed="false">
      <c r="A833" s="325"/>
      <c r="B833" s="326"/>
      <c r="J833" s="73"/>
      <c r="K833" s="327"/>
    </row>
    <row r="834" customFormat="false" ht="12.75" hidden="false" customHeight="false" outlineLevel="0" collapsed="false">
      <c r="A834" s="325"/>
      <c r="B834" s="326"/>
      <c r="J834" s="73"/>
      <c r="K834" s="327"/>
    </row>
    <row r="835" customFormat="false" ht="12.75" hidden="false" customHeight="false" outlineLevel="0" collapsed="false">
      <c r="A835" s="325"/>
      <c r="B835" s="326"/>
      <c r="J835" s="73"/>
      <c r="K835" s="327"/>
    </row>
    <row r="836" customFormat="false" ht="12.75" hidden="false" customHeight="false" outlineLevel="0" collapsed="false">
      <c r="A836" s="325"/>
      <c r="B836" s="326"/>
      <c r="J836" s="73"/>
      <c r="K836" s="327"/>
    </row>
    <row r="837" customFormat="false" ht="12.75" hidden="false" customHeight="false" outlineLevel="0" collapsed="false">
      <c r="A837" s="325"/>
      <c r="B837" s="326"/>
      <c r="J837" s="73"/>
      <c r="K837" s="327"/>
    </row>
    <row r="838" customFormat="false" ht="12.75" hidden="false" customHeight="false" outlineLevel="0" collapsed="false">
      <c r="A838" s="325"/>
      <c r="B838" s="326"/>
      <c r="J838" s="73"/>
      <c r="K838" s="327"/>
    </row>
    <row r="839" customFormat="false" ht="12.75" hidden="false" customHeight="false" outlineLevel="0" collapsed="false">
      <c r="A839" s="325"/>
      <c r="B839" s="326"/>
      <c r="J839" s="73"/>
      <c r="K839" s="327"/>
    </row>
    <row r="840" customFormat="false" ht="12.75" hidden="false" customHeight="false" outlineLevel="0" collapsed="false">
      <c r="A840" s="325"/>
      <c r="B840" s="326"/>
      <c r="J840" s="73"/>
      <c r="K840" s="327"/>
    </row>
    <row r="841" customFormat="false" ht="12.75" hidden="false" customHeight="false" outlineLevel="0" collapsed="false">
      <c r="A841" s="325"/>
      <c r="B841" s="326"/>
      <c r="J841" s="73"/>
      <c r="K841" s="327"/>
    </row>
    <row r="842" customFormat="false" ht="12.75" hidden="false" customHeight="false" outlineLevel="0" collapsed="false">
      <c r="A842" s="325"/>
      <c r="B842" s="326"/>
      <c r="J842" s="73"/>
      <c r="K842" s="327"/>
    </row>
    <row r="843" customFormat="false" ht="12.75" hidden="false" customHeight="false" outlineLevel="0" collapsed="false">
      <c r="A843" s="325"/>
      <c r="B843" s="326"/>
      <c r="J843" s="73"/>
      <c r="K843" s="327"/>
    </row>
    <row r="844" customFormat="false" ht="12.75" hidden="false" customHeight="false" outlineLevel="0" collapsed="false">
      <c r="A844" s="325"/>
      <c r="B844" s="326"/>
      <c r="J844" s="73"/>
      <c r="K844" s="327"/>
    </row>
    <row r="845" customFormat="false" ht="12.75" hidden="false" customHeight="false" outlineLevel="0" collapsed="false">
      <c r="A845" s="325"/>
      <c r="B845" s="326"/>
      <c r="J845" s="73"/>
      <c r="K845" s="327"/>
    </row>
    <row r="846" customFormat="false" ht="12.75" hidden="false" customHeight="false" outlineLevel="0" collapsed="false">
      <c r="A846" s="325"/>
      <c r="B846" s="326"/>
      <c r="J846" s="73"/>
      <c r="K846" s="327"/>
    </row>
    <row r="847" customFormat="false" ht="12.75" hidden="false" customHeight="false" outlineLevel="0" collapsed="false">
      <c r="A847" s="325"/>
      <c r="B847" s="326"/>
      <c r="J847" s="73"/>
      <c r="K847" s="327"/>
    </row>
    <row r="848" customFormat="false" ht="12.75" hidden="false" customHeight="false" outlineLevel="0" collapsed="false">
      <c r="A848" s="325"/>
      <c r="B848" s="326"/>
      <c r="J848" s="73"/>
      <c r="K848" s="327"/>
    </row>
    <row r="849" customFormat="false" ht="12.75" hidden="false" customHeight="false" outlineLevel="0" collapsed="false">
      <c r="A849" s="325"/>
      <c r="B849" s="326"/>
      <c r="J849" s="73"/>
      <c r="K849" s="327"/>
    </row>
    <row r="850" customFormat="false" ht="12.75" hidden="false" customHeight="false" outlineLevel="0" collapsed="false">
      <c r="A850" s="325"/>
      <c r="B850" s="326"/>
      <c r="J850" s="73"/>
      <c r="K850" s="327"/>
    </row>
    <row r="851" customFormat="false" ht="12.75" hidden="false" customHeight="false" outlineLevel="0" collapsed="false">
      <c r="A851" s="325"/>
      <c r="B851" s="326"/>
      <c r="J851" s="73"/>
      <c r="K851" s="327"/>
    </row>
    <row r="852" customFormat="false" ht="12.75" hidden="false" customHeight="false" outlineLevel="0" collapsed="false">
      <c r="A852" s="325"/>
      <c r="B852" s="326"/>
      <c r="J852" s="73"/>
      <c r="K852" s="327"/>
    </row>
    <row r="853" customFormat="false" ht="12.75" hidden="false" customHeight="false" outlineLevel="0" collapsed="false">
      <c r="A853" s="325"/>
      <c r="B853" s="326"/>
      <c r="J853" s="73"/>
      <c r="K853" s="327"/>
    </row>
    <row r="854" customFormat="false" ht="12.75" hidden="false" customHeight="false" outlineLevel="0" collapsed="false">
      <c r="A854" s="325"/>
      <c r="B854" s="326"/>
      <c r="J854" s="73"/>
      <c r="K854" s="327"/>
    </row>
    <row r="855" customFormat="false" ht="12.75" hidden="false" customHeight="false" outlineLevel="0" collapsed="false">
      <c r="A855" s="325"/>
      <c r="B855" s="326"/>
      <c r="J855" s="73"/>
      <c r="K855" s="327"/>
    </row>
    <row r="856" customFormat="false" ht="12.75" hidden="false" customHeight="false" outlineLevel="0" collapsed="false">
      <c r="A856" s="325"/>
      <c r="B856" s="326"/>
      <c r="J856" s="73"/>
      <c r="K856" s="327"/>
    </row>
    <row r="857" customFormat="false" ht="12.75" hidden="false" customHeight="false" outlineLevel="0" collapsed="false">
      <c r="A857" s="325"/>
      <c r="B857" s="326"/>
      <c r="J857" s="73"/>
      <c r="K857" s="327"/>
    </row>
    <row r="858" customFormat="false" ht="12.75" hidden="false" customHeight="false" outlineLevel="0" collapsed="false">
      <c r="A858" s="325"/>
      <c r="B858" s="326"/>
      <c r="J858" s="73"/>
      <c r="K858" s="327"/>
    </row>
    <row r="859" customFormat="false" ht="12.75" hidden="false" customHeight="false" outlineLevel="0" collapsed="false">
      <c r="A859" s="325"/>
      <c r="B859" s="326"/>
      <c r="J859" s="73"/>
      <c r="K859" s="327"/>
    </row>
    <row r="860" customFormat="false" ht="12.75" hidden="false" customHeight="false" outlineLevel="0" collapsed="false">
      <c r="A860" s="325"/>
      <c r="B860" s="326"/>
      <c r="J860" s="73"/>
      <c r="K860" s="327"/>
    </row>
    <row r="861" customFormat="false" ht="12.75" hidden="false" customHeight="false" outlineLevel="0" collapsed="false">
      <c r="A861" s="325"/>
      <c r="B861" s="326"/>
      <c r="J861" s="73"/>
      <c r="K861" s="327"/>
    </row>
    <row r="862" customFormat="false" ht="12.75" hidden="false" customHeight="false" outlineLevel="0" collapsed="false">
      <c r="A862" s="325"/>
      <c r="B862" s="326"/>
      <c r="J862" s="73"/>
      <c r="K862" s="327"/>
    </row>
    <row r="863" customFormat="false" ht="12.75" hidden="false" customHeight="false" outlineLevel="0" collapsed="false">
      <c r="A863" s="325"/>
      <c r="B863" s="326"/>
      <c r="J863" s="73"/>
      <c r="K863" s="327"/>
    </row>
    <row r="864" customFormat="false" ht="12.75" hidden="false" customHeight="false" outlineLevel="0" collapsed="false">
      <c r="A864" s="325"/>
      <c r="B864" s="326"/>
      <c r="J864" s="73"/>
      <c r="K864" s="327"/>
    </row>
    <row r="865" customFormat="false" ht="12.75" hidden="false" customHeight="false" outlineLevel="0" collapsed="false">
      <c r="A865" s="325"/>
      <c r="B865" s="326"/>
      <c r="J865" s="73"/>
      <c r="K865" s="327"/>
    </row>
    <row r="866" customFormat="false" ht="12.75" hidden="false" customHeight="false" outlineLevel="0" collapsed="false">
      <c r="A866" s="325"/>
      <c r="B866" s="326"/>
      <c r="J866" s="73"/>
      <c r="K866" s="327"/>
    </row>
    <row r="867" customFormat="false" ht="12.75" hidden="false" customHeight="false" outlineLevel="0" collapsed="false">
      <c r="A867" s="325"/>
      <c r="B867" s="326"/>
      <c r="J867" s="73"/>
      <c r="K867" s="327"/>
    </row>
    <row r="868" customFormat="false" ht="12.75" hidden="false" customHeight="false" outlineLevel="0" collapsed="false">
      <c r="A868" s="325"/>
      <c r="B868" s="326"/>
      <c r="J868" s="73"/>
      <c r="K868" s="327"/>
    </row>
    <row r="869" customFormat="false" ht="12.75" hidden="false" customHeight="false" outlineLevel="0" collapsed="false">
      <c r="A869" s="325"/>
      <c r="B869" s="326"/>
      <c r="J869" s="73"/>
      <c r="K869" s="327"/>
    </row>
    <row r="870" customFormat="false" ht="12.75" hidden="false" customHeight="false" outlineLevel="0" collapsed="false">
      <c r="A870" s="325"/>
      <c r="B870" s="326"/>
      <c r="J870" s="73"/>
      <c r="K870" s="327"/>
    </row>
    <row r="871" customFormat="false" ht="12.75" hidden="false" customHeight="false" outlineLevel="0" collapsed="false">
      <c r="A871" s="325"/>
      <c r="B871" s="326"/>
      <c r="J871" s="73"/>
      <c r="K871" s="327"/>
    </row>
    <row r="872" customFormat="false" ht="12.75" hidden="false" customHeight="false" outlineLevel="0" collapsed="false">
      <c r="A872" s="325"/>
      <c r="B872" s="326"/>
      <c r="J872" s="73"/>
      <c r="K872" s="327"/>
    </row>
    <row r="873" customFormat="false" ht="12.75" hidden="false" customHeight="false" outlineLevel="0" collapsed="false">
      <c r="A873" s="325"/>
      <c r="B873" s="326"/>
      <c r="J873" s="73"/>
      <c r="K873" s="327"/>
    </row>
    <row r="874" customFormat="false" ht="12.75" hidden="false" customHeight="false" outlineLevel="0" collapsed="false">
      <c r="A874" s="325"/>
      <c r="B874" s="326"/>
      <c r="J874" s="73"/>
      <c r="K874" s="327"/>
    </row>
    <row r="875" customFormat="false" ht="12.75" hidden="false" customHeight="false" outlineLevel="0" collapsed="false">
      <c r="A875" s="325"/>
      <c r="B875" s="326"/>
      <c r="J875" s="73"/>
      <c r="K875" s="327"/>
    </row>
    <row r="876" customFormat="false" ht="12.75" hidden="false" customHeight="false" outlineLevel="0" collapsed="false">
      <c r="A876" s="325"/>
      <c r="B876" s="326"/>
      <c r="J876" s="73"/>
      <c r="K876" s="327"/>
    </row>
    <row r="877" customFormat="false" ht="12.75" hidden="false" customHeight="false" outlineLevel="0" collapsed="false">
      <c r="A877" s="325"/>
      <c r="B877" s="326"/>
      <c r="J877" s="73"/>
      <c r="K877" s="327"/>
    </row>
    <row r="878" customFormat="false" ht="12.75" hidden="false" customHeight="false" outlineLevel="0" collapsed="false">
      <c r="A878" s="325"/>
      <c r="B878" s="326"/>
      <c r="J878" s="73"/>
      <c r="K878" s="327"/>
    </row>
    <row r="879" customFormat="false" ht="12.75" hidden="false" customHeight="false" outlineLevel="0" collapsed="false">
      <c r="A879" s="325"/>
      <c r="B879" s="326"/>
      <c r="J879" s="73"/>
      <c r="K879" s="327"/>
    </row>
    <row r="880" customFormat="false" ht="12.75" hidden="false" customHeight="false" outlineLevel="0" collapsed="false">
      <c r="A880" s="325"/>
      <c r="B880" s="326"/>
      <c r="J880" s="73"/>
      <c r="K880" s="327"/>
    </row>
    <row r="881" customFormat="false" ht="12.75" hidden="false" customHeight="false" outlineLevel="0" collapsed="false">
      <c r="A881" s="325"/>
      <c r="B881" s="326"/>
      <c r="J881" s="73"/>
      <c r="K881" s="327"/>
    </row>
    <row r="882" customFormat="false" ht="12.75" hidden="false" customHeight="false" outlineLevel="0" collapsed="false">
      <c r="A882" s="325"/>
      <c r="B882" s="326"/>
      <c r="J882" s="73"/>
      <c r="K882" s="327"/>
    </row>
    <row r="883" customFormat="false" ht="12.75" hidden="false" customHeight="false" outlineLevel="0" collapsed="false">
      <c r="A883" s="325"/>
      <c r="B883" s="326"/>
      <c r="J883" s="73"/>
      <c r="K883" s="327"/>
    </row>
    <row r="884" customFormat="false" ht="12.75" hidden="false" customHeight="false" outlineLevel="0" collapsed="false">
      <c r="A884" s="325"/>
      <c r="B884" s="326"/>
      <c r="J884" s="73"/>
      <c r="K884" s="327"/>
    </row>
    <row r="885" customFormat="false" ht="12.75" hidden="false" customHeight="false" outlineLevel="0" collapsed="false">
      <c r="A885" s="325"/>
      <c r="B885" s="326"/>
      <c r="J885" s="73"/>
      <c r="K885" s="327"/>
    </row>
    <row r="886" customFormat="false" ht="12.75" hidden="false" customHeight="false" outlineLevel="0" collapsed="false">
      <c r="A886" s="325"/>
      <c r="B886" s="326"/>
      <c r="J886" s="73"/>
      <c r="K886" s="327"/>
    </row>
    <row r="887" customFormat="false" ht="12.75" hidden="false" customHeight="false" outlineLevel="0" collapsed="false">
      <c r="A887" s="325"/>
      <c r="B887" s="326"/>
      <c r="J887" s="73"/>
      <c r="K887" s="327"/>
    </row>
    <row r="888" customFormat="false" ht="12.75" hidden="false" customHeight="false" outlineLevel="0" collapsed="false">
      <c r="A888" s="325"/>
      <c r="B888" s="326"/>
      <c r="J888" s="73"/>
      <c r="K888" s="327"/>
    </row>
    <row r="889" customFormat="false" ht="12.75" hidden="false" customHeight="false" outlineLevel="0" collapsed="false">
      <c r="A889" s="325"/>
      <c r="B889" s="326"/>
      <c r="J889" s="73"/>
      <c r="K889" s="327"/>
    </row>
    <row r="890" customFormat="false" ht="12.75" hidden="false" customHeight="false" outlineLevel="0" collapsed="false">
      <c r="A890" s="325"/>
      <c r="B890" s="326"/>
      <c r="J890" s="73"/>
      <c r="K890" s="327"/>
    </row>
    <row r="891" customFormat="false" ht="12.75" hidden="false" customHeight="false" outlineLevel="0" collapsed="false">
      <c r="A891" s="325"/>
      <c r="B891" s="326"/>
      <c r="J891" s="73"/>
      <c r="K891" s="327"/>
    </row>
    <row r="892" customFormat="false" ht="12.75" hidden="false" customHeight="false" outlineLevel="0" collapsed="false">
      <c r="A892" s="325"/>
      <c r="B892" s="326"/>
      <c r="J892" s="73"/>
      <c r="K892" s="327"/>
    </row>
    <row r="893" customFormat="false" ht="12.75" hidden="false" customHeight="false" outlineLevel="0" collapsed="false">
      <c r="A893" s="325"/>
      <c r="B893" s="326"/>
      <c r="J893" s="73"/>
      <c r="K893" s="327"/>
    </row>
    <row r="894" customFormat="false" ht="12.75" hidden="false" customHeight="false" outlineLevel="0" collapsed="false">
      <c r="A894" s="325"/>
      <c r="B894" s="326"/>
      <c r="J894" s="73"/>
      <c r="K894" s="327"/>
    </row>
    <row r="895" customFormat="false" ht="12.75" hidden="false" customHeight="false" outlineLevel="0" collapsed="false">
      <c r="A895" s="325"/>
      <c r="B895" s="326"/>
      <c r="J895" s="73"/>
      <c r="K895" s="327"/>
    </row>
    <row r="896" customFormat="false" ht="12.75" hidden="false" customHeight="false" outlineLevel="0" collapsed="false">
      <c r="A896" s="325"/>
      <c r="B896" s="326"/>
      <c r="J896" s="73"/>
      <c r="K896" s="327"/>
    </row>
    <row r="897" customFormat="false" ht="12.75" hidden="false" customHeight="false" outlineLevel="0" collapsed="false">
      <c r="A897" s="325"/>
      <c r="B897" s="326"/>
      <c r="J897" s="73"/>
      <c r="K897" s="327"/>
    </row>
    <row r="898" customFormat="false" ht="12.75" hidden="false" customHeight="false" outlineLevel="0" collapsed="false">
      <c r="A898" s="325"/>
      <c r="B898" s="326"/>
      <c r="J898" s="73"/>
      <c r="K898" s="327"/>
    </row>
    <row r="899" customFormat="false" ht="12.75" hidden="false" customHeight="false" outlineLevel="0" collapsed="false">
      <c r="A899" s="325"/>
      <c r="B899" s="326"/>
      <c r="J899" s="73"/>
      <c r="K899" s="327"/>
    </row>
    <row r="900" customFormat="false" ht="12.75" hidden="false" customHeight="false" outlineLevel="0" collapsed="false">
      <c r="A900" s="325"/>
      <c r="B900" s="326"/>
      <c r="J900" s="73"/>
      <c r="K900" s="327"/>
    </row>
    <row r="901" customFormat="false" ht="12.75" hidden="false" customHeight="false" outlineLevel="0" collapsed="false">
      <c r="A901" s="325"/>
      <c r="B901" s="326"/>
      <c r="J901" s="73"/>
      <c r="K901" s="327"/>
    </row>
    <row r="902" customFormat="false" ht="12.75" hidden="false" customHeight="false" outlineLevel="0" collapsed="false">
      <c r="A902" s="325"/>
      <c r="B902" s="326"/>
      <c r="J902" s="73"/>
      <c r="K902" s="327"/>
    </row>
    <row r="903" customFormat="false" ht="12.75" hidden="false" customHeight="false" outlineLevel="0" collapsed="false">
      <c r="A903" s="325"/>
      <c r="B903" s="326"/>
      <c r="J903" s="73"/>
      <c r="K903" s="327"/>
    </row>
    <row r="904" customFormat="false" ht="12.75" hidden="false" customHeight="false" outlineLevel="0" collapsed="false">
      <c r="A904" s="325"/>
      <c r="B904" s="326"/>
      <c r="J904" s="73"/>
      <c r="K904" s="327"/>
    </row>
    <row r="905" customFormat="false" ht="12.75" hidden="false" customHeight="false" outlineLevel="0" collapsed="false">
      <c r="A905" s="325"/>
      <c r="B905" s="326"/>
      <c r="J905" s="73"/>
      <c r="K905" s="327"/>
    </row>
    <row r="906" customFormat="false" ht="12.75" hidden="false" customHeight="false" outlineLevel="0" collapsed="false">
      <c r="A906" s="325"/>
      <c r="B906" s="326"/>
      <c r="J906" s="73"/>
      <c r="K906" s="327"/>
    </row>
    <row r="907" customFormat="false" ht="12.75" hidden="false" customHeight="false" outlineLevel="0" collapsed="false">
      <c r="A907" s="325"/>
      <c r="B907" s="326"/>
      <c r="J907" s="73"/>
      <c r="K907" s="327"/>
    </row>
    <row r="908" customFormat="false" ht="12.75" hidden="false" customHeight="false" outlineLevel="0" collapsed="false">
      <c r="A908" s="325"/>
      <c r="B908" s="326"/>
      <c r="J908" s="73"/>
      <c r="K908" s="327"/>
    </row>
    <row r="909" customFormat="false" ht="12.75" hidden="false" customHeight="false" outlineLevel="0" collapsed="false">
      <c r="A909" s="325"/>
      <c r="B909" s="326"/>
      <c r="J909" s="73"/>
      <c r="K909" s="327"/>
    </row>
    <row r="910" customFormat="false" ht="12.75" hidden="false" customHeight="false" outlineLevel="0" collapsed="false">
      <c r="A910" s="325"/>
      <c r="B910" s="326"/>
      <c r="J910" s="73"/>
      <c r="K910" s="327"/>
    </row>
    <row r="911" customFormat="false" ht="12.75" hidden="false" customHeight="false" outlineLevel="0" collapsed="false">
      <c r="A911" s="325"/>
      <c r="B911" s="326"/>
      <c r="J911" s="73"/>
      <c r="K911" s="327"/>
    </row>
    <row r="912" customFormat="false" ht="12.75" hidden="false" customHeight="false" outlineLevel="0" collapsed="false">
      <c r="A912" s="325"/>
      <c r="B912" s="326"/>
      <c r="J912" s="73"/>
      <c r="K912" s="327"/>
    </row>
    <row r="913" customFormat="false" ht="12.75" hidden="false" customHeight="false" outlineLevel="0" collapsed="false">
      <c r="A913" s="325"/>
      <c r="B913" s="326"/>
      <c r="J913" s="73"/>
      <c r="K913" s="327"/>
    </row>
    <row r="914" customFormat="false" ht="12.75" hidden="false" customHeight="false" outlineLevel="0" collapsed="false">
      <c r="A914" s="325"/>
      <c r="B914" s="326"/>
      <c r="J914" s="73"/>
      <c r="K914" s="327"/>
    </row>
    <row r="915" customFormat="false" ht="12.75" hidden="false" customHeight="false" outlineLevel="0" collapsed="false">
      <c r="A915" s="325"/>
      <c r="B915" s="326"/>
      <c r="J915" s="73"/>
      <c r="K915" s="327"/>
    </row>
    <row r="916" customFormat="false" ht="12.75" hidden="false" customHeight="false" outlineLevel="0" collapsed="false">
      <c r="A916" s="325"/>
      <c r="B916" s="326"/>
      <c r="J916" s="73"/>
      <c r="K916" s="327"/>
    </row>
    <row r="917" customFormat="false" ht="12.75" hidden="false" customHeight="false" outlineLevel="0" collapsed="false">
      <c r="A917" s="325"/>
      <c r="B917" s="326"/>
      <c r="J917" s="73"/>
      <c r="K917" s="327"/>
    </row>
    <row r="918" customFormat="false" ht="12.75" hidden="false" customHeight="false" outlineLevel="0" collapsed="false">
      <c r="A918" s="325"/>
      <c r="B918" s="326"/>
      <c r="J918" s="73"/>
      <c r="K918" s="327"/>
    </row>
    <row r="919" customFormat="false" ht="12.75" hidden="false" customHeight="false" outlineLevel="0" collapsed="false">
      <c r="A919" s="325"/>
      <c r="B919" s="326"/>
      <c r="J919" s="73"/>
      <c r="K919" s="327"/>
    </row>
    <row r="920" customFormat="false" ht="12.75" hidden="false" customHeight="false" outlineLevel="0" collapsed="false">
      <c r="A920" s="325"/>
      <c r="B920" s="326"/>
      <c r="J920" s="73"/>
      <c r="K920" s="327"/>
    </row>
    <row r="921" customFormat="false" ht="12.75" hidden="false" customHeight="false" outlineLevel="0" collapsed="false">
      <c r="A921" s="325"/>
      <c r="B921" s="326"/>
      <c r="J921" s="73"/>
      <c r="K921" s="327"/>
    </row>
    <row r="922" customFormat="false" ht="12.75" hidden="false" customHeight="false" outlineLevel="0" collapsed="false">
      <c r="A922" s="325"/>
      <c r="B922" s="326"/>
      <c r="J922" s="73"/>
      <c r="K922" s="327"/>
    </row>
    <row r="923" customFormat="false" ht="12.75" hidden="false" customHeight="false" outlineLevel="0" collapsed="false">
      <c r="A923" s="325"/>
      <c r="B923" s="326"/>
      <c r="J923" s="73"/>
      <c r="K923" s="327"/>
    </row>
    <row r="924" customFormat="false" ht="12.75" hidden="false" customHeight="false" outlineLevel="0" collapsed="false">
      <c r="A924" s="325"/>
      <c r="B924" s="326"/>
      <c r="J924" s="73"/>
      <c r="K924" s="327"/>
    </row>
    <row r="925" customFormat="false" ht="12.75" hidden="false" customHeight="false" outlineLevel="0" collapsed="false">
      <c r="A925" s="325"/>
      <c r="B925" s="326"/>
      <c r="J925" s="73"/>
      <c r="K925" s="327"/>
    </row>
    <row r="926" customFormat="false" ht="12.75" hidden="false" customHeight="false" outlineLevel="0" collapsed="false">
      <c r="A926" s="325"/>
      <c r="B926" s="326"/>
      <c r="J926" s="73"/>
      <c r="K926" s="327"/>
    </row>
    <row r="927" customFormat="false" ht="12.75" hidden="false" customHeight="false" outlineLevel="0" collapsed="false">
      <c r="A927" s="325"/>
      <c r="B927" s="326"/>
      <c r="J927" s="73"/>
      <c r="K927" s="327"/>
    </row>
    <row r="928" customFormat="false" ht="12.75" hidden="false" customHeight="false" outlineLevel="0" collapsed="false">
      <c r="A928" s="325"/>
      <c r="B928" s="326"/>
      <c r="J928" s="73"/>
      <c r="K928" s="327"/>
    </row>
    <row r="929" customFormat="false" ht="12.75" hidden="false" customHeight="false" outlineLevel="0" collapsed="false">
      <c r="A929" s="325"/>
      <c r="B929" s="326"/>
      <c r="J929" s="73"/>
      <c r="K929" s="327"/>
    </row>
    <row r="930" customFormat="false" ht="12.75" hidden="false" customHeight="false" outlineLevel="0" collapsed="false">
      <c r="A930" s="325"/>
      <c r="B930" s="326"/>
      <c r="J930" s="73"/>
      <c r="K930" s="327"/>
    </row>
    <row r="931" customFormat="false" ht="12.75" hidden="false" customHeight="false" outlineLevel="0" collapsed="false">
      <c r="A931" s="325"/>
      <c r="B931" s="326"/>
      <c r="J931" s="73"/>
      <c r="K931" s="327"/>
    </row>
    <row r="932" customFormat="false" ht="12.75" hidden="false" customHeight="false" outlineLevel="0" collapsed="false">
      <c r="A932" s="325"/>
      <c r="B932" s="326"/>
      <c r="J932" s="73"/>
      <c r="K932" s="327"/>
    </row>
    <row r="933" customFormat="false" ht="12.75" hidden="false" customHeight="false" outlineLevel="0" collapsed="false">
      <c r="A933" s="325"/>
      <c r="B933" s="326"/>
      <c r="J933" s="73"/>
      <c r="K933" s="327"/>
    </row>
    <row r="934" customFormat="false" ht="12.75" hidden="false" customHeight="false" outlineLevel="0" collapsed="false">
      <c r="A934" s="325"/>
      <c r="B934" s="326"/>
      <c r="J934" s="73"/>
      <c r="K934" s="327"/>
    </row>
    <row r="935" customFormat="false" ht="12.75" hidden="false" customHeight="false" outlineLevel="0" collapsed="false">
      <c r="A935" s="325"/>
      <c r="B935" s="326"/>
      <c r="J935" s="73"/>
      <c r="K935" s="327"/>
    </row>
    <row r="936" customFormat="false" ht="12.75" hidden="false" customHeight="false" outlineLevel="0" collapsed="false">
      <c r="A936" s="325"/>
      <c r="B936" s="326"/>
      <c r="J936" s="73"/>
      <c r="K936" s="327"/>
    </row>
    <row r="937" customFormat="false" ht="12.75" hidden="false" customHeight="false" outlineLevel="0" collapsed="false">
      <c r="A937" s="325"/>
      <c r="B937" s="326"/>
      <c r="J937" s="73"/>
      <c r="K937" s="327"/>
    </row>
    <row r="938" customFormat="false" ht="12.75" hidden="false" customHeight="false" outlineLevel="0" collapsed="false">
      <c r="A938" s="325"/>
      <c r="B938" s="326"/>
      <c r="J938" s="73"/>
      <c r="K938" s="327"/>
    </row>
    <row r="939" customFormat="false" ht="12.75" hidden="false" customHeight="false" outlineLevel="0" collapsed="false">
      <c r="A939" s="325"/>
      <c r="B939" s="326"/>
      <c r="J939" s="73"/>
      <c r="K939" s="327"/>
    </row>
    <row r="940" customFormat="false" ht="12.75" hidden="false" customHeight="false" outlineLevel="0" collapsed="false">
      <c r="A940" s="325"/>
      <c r="B940" s="326"/>
      <c r="J940" s="73"/>
      <c r="K940" s="327"/>
    </row>
    <row r="941" customFormat="false" ht="12.75" hidden="false" customHeight="false" outlineLevel="0" collapsed="false">
      <c r="A941" s="325"/>
      <c r="B941" s="326"/>
      <c r="J941" s="73"/>
      <c r="K941" s="327"/>
    </row>
    <row r="942" customFormat="false" ht="12.75" hidden="false" customHeight="false" outlineLevel="0" collapsed="false">
      <c r="A942" s="325"/>
      <c r="B942" s="326"/>
      <c r="J942" s="73"/>
      <c r="K942" s="327"/>
    </row>
    <row r="943" customFormat="false" ht="12.75" hidden="false" customHeight="false" outlineLevel="0" collapsed="false">
      <c r="A943" s="325"/>
      <c r="B943" s="326"/>
      <c r="J943" s="73"/>
      <c r="K943" s="327"/>
    </row>
    <row r="944" customFormat="false" ht="12.75" hidden="false" customHeight="false" outlineLevel="0" collapsed="false">
      <c r="A944" s="325"/>
      <c r="B944" s="326"/>
      <c r="J944" s="73"/>
      <c r="K944" s="327"/>
    </row>
    <row r="945" customFormat="false" ht="12.75" hidden="false" customHeight="false" outlineLevel="0" collapsed="false">
      <c r="A945" s="325"/>
      <c r="B945" s="326"/>
      <c r="J945" s="73"/>
      <c r="K945" s="327"/>
    </row>
    <row r="946" customFormat="false" ht="12.75" hidden="false" customHeight="false" outlineLevel="0" collapsed="false">
      <c r="A946" s="325"/>
      <c r="B946" s="326"/>
      <c r="J946" s="73"/>
      <c r="K946" s="327"/>
    </row>
    <row r="947" customFormat="false" ht="12.75" hidden="false" customHeight="false" outlineLevel="0" collapsed="false">
      <c r="A947" s="325"/>
      <c r="B947" s="326"/>
      <c r="J947" s="73"/>
      <c r="K947" s="327"/>
    </row>
    <row r="948" customFormat="false" ht="12.75" hidden="false" customHeight="false" outlineLevel="0" collapsed="false">
      <c r="A948" s="325"/>
      <c r="B948" s="326"/>
      <c r="J948" s="73"/>
      <c r="K948" s="327"/>
    </row>
    <row r="949" customFormat="false" ht="12.75" hidden="false" customHeight="false" outlineLevel="0" collapsed="false">
      <c r="A949" s="325"/>
      <c r="B949" s="326"/>
      <c r="J949" s="73"/>
      <c r="K949" s="327"/>
    </row>
    <row r="950" customFormat="false" ht="12.75" hidden="false" customHeight="false" outlineLevel="0" collapsed="false">
      <c r="A950" s="325"/>
      <c r="B950" s="326"/>
      <c r="J950" s="73"/>
      <c r="K950" s="327"/>
    </row>
    <row r="951" customFormat="false" ht="12.75" hidden="false" customHeight="false" outlineLevel="0" collapsed="false">
      <c r="A951" s="325"/>
      <c r="B951" s="326"/>
      <c r="J951" s="73"/>
      <c r="K951" s="327"/>
    </row>
    <row r="952" customFormat="false" ht="12.75" hidden="false" customHeight="false" outlineLevel="0" collapsed="false">
      <c r="A952" s="325"/>
      <c r="B952" s="326"/>
      <c r="J952" s="73"/>
      <c r="K952" s="327"/>
    </row>
    <row r="953" customFormat="false" ht="12.75" hidden="false" customHeight="false" outlineLevel="0" collapsed="false">
      <c r="A953" s="325"/>
      <c r="B953" s="326"/>
      <c r="J953" s="73"/>
      <c r="K953" s="327"/>
    </row>
    <row r="954" customFormat="false" ht="12.75" hidden="false" customHeight="false" outlineLevel="0" collapsed="false">
      <c r="A954" s="325"/>
      <c r="B954" s="326"/>
      <c r="J954" s="73"/>
      <c r="K954" s="327"/>
    </row>
    <row r="955" customFormat="false" ht="12.75" hidden="false" customHeight="false" outlineLevel="0" collapsed="false">
      <c r="A955" s="325"/>
      <c r="B955" s="326"/>
      <c r="J955" s="73"/>
      <c r="K955" s="327"/>
    </row>
    <row r="956" customFormat="false" ht="12.75" hidden="false" customHeight="false" outlineLevel="0" collapsed="false">
      <c r="A956" s="325"/>
      <c r="B956" s="326"/>
      <c r="J956" s="73"/>
      <c r="K956" s="327"/>
    </row>
    <row r="957" customFormat="false" ht="12.75" hidden="false" customHeight="false" outlineLevel="0" collapsed="false">
      <c r="A957" s="325"/>
      <c r="B957" s="326"/>
      <c r="J957" s="73"/>
      <c r="K957" s="327"/>
    </row>
    <row r="958" customFormat="false" ht="12.75" hidden="false" customHeight="false" outlineLevel="0" collapsed="false">
      <c r="A958" s="325"/>
      <c r="B958" s="326"/>
      <c r="J958" s="73"/>
      <c r="K958" s="327"/>
    </row>
    <row r="959" customFormat="false" ht="12.75" hidden="false" customHeight="false" outlineLevel="0" collapsed="false">
      <c r="A959" s="325"/>
      <c r="B959" s="326"/>
      <c r="J959" s="73"/>
      <c r="K959" s="327"/>
    </row>
    <row r="960" customFormat="false" ht="12.75" hidden="false" customHeight="false" outlineLevel="0" collapsed="false">
      <c r="A960" s="325"/>
      <c r="B960" s="326"/>
      <c r="J960" s="73"/>
      <c r="K960" s="327"/>
    </row>
    <row r="961" customFormat="false" ht="12.75" hidden="false" customHeight="false" outlineLevel="0" collapsed="false">
      <c r="A961" s="325"/>
      <c r="B961" s="326"/>
      <c r="J961" s="73"/>
      <c r="K961" s="327"/>
    </row>
    <row r="962" customFormat="false" ht="12.75" hidden="false" customHeight="false" outlineLevel="0" collapsed="false">
      <c r="A962" s="325"/>
      <c r="B962" s="326"/>
      <c r="J962" s="73"/>
      <c r="K962" s="327"/>
    </row>
    <row r="963" customFormat="false" ht="12.75" hidden="false" customHeight="false" outlineLevel="0" collapsed="false">
      <c r="A963" s="325"/>
      <c r="B963" s="326"/>
      <c r="J963" s="73"/>
      <c r="K963" s="327"/>
    </row>
    <row r="964" customFormat="false" ht="12.75" hidden="false" customHeight="false" outlineLevel="0" collapsed="false">
      <c r="A964" s="325"/>
      <c r="B964" s="326"/>
      <c r="J964" s="73"/>
      <c r="K964" s="327"/>
    </row>
    <row r="965" customFormat="false" ht="12.75" hidden="false" customHeight="false" outlineLevel="0" collapsed="false">
      <c r="A965" s="325"/>
      <c r="B965" s="326"/>
      <c r="J965" s="73"/>
      <c r="K965" s="327"/>
    </row>
    <row r="966" customFormat="false" ht="12.75" hidden="false" customHeight="false" outlineLevel="0" collapsed="false">
      <c r="A966" s="325"/>
      <c r="B966" s="326"/>
      <c r="J966" s="73"/>
      <c r="K966" s="327"/>
    </row>
    <row r="967" customFormat="false" ht="12.75" hidden="false" customHeight="false" outlineLevel="0" collapsed="false">
      <c r="A967" s="325"/>
      <c r="B967" s="326"/>
      <c r="J967" s="73"/>
      <c r="K967" s="327"/>
    </row>
    <row r="968" customFormat="false" ht="12.75" hidden="false" customHeight="false" outlineLevel="0" collapsed="false">
      <c r="A968" s="325"/>
      <c r="B968" s="326"/>
      <c r="J968" s="73"/>
      <c r="K968" s="327"/>
    </row>
    <row r="969" customFormat="false" ht="12.75" hidden="false" customHeight="false" outlineLevel="0" collapsed="false">
      <c r="A969" s="325"/>
      <c r="B969" s="326"/>
      <c r="J969" s="73"/>
      <c r="K969" s="327"/>
    </row>
    <row r="970" customFormat="false" ht="12.75" hidden="false" customHeight="false" outlineLevel="0" collapsed="false">
      <c r="A970" s="325"/>
      <c r="B970" s="326"/>
      <c r="J970" s="73"/>
      <c r="K970" s="327"/>
    </row>
    <row r="971" customFormat="false" ht="12.75" hidden="false" customHeight="false" outlineLevel="0" collapsed="false">
      <c r="A971" s="325"/>
      <c r="B971" s="326"/>
      <c r="J971" s="73"/>
      <c r="K971" s="327"/>
    </row>
    <row r="972" customFormat="false" ht="12.75" hidden="false" customHeight="false" outlineLevel="0" collapsed="false">
      <c r="A972" s="325"/>
      <c r="B972" s="326"/>
      <c r="J972" s="73"/>
      <c r="K972" s="327"/>
    </row>
    <row r="973" customFormat="false" ht="12.75" hidden="false" customHeight="false" outlineLevel="0" collapsed="false">
      <c r="A973" s="325"/>
      <c r="B973" s="326"/>
      <c r="J973" s="73"/>
      <c r="K973" s="327"/>
    </row>
    <row r="974" customFormat="false" ht="12.75" hidden="false" customHeight="false" outlineLevel="0" collapsed="false">
      <c r="A974" s="325"/>
      <c r="B974" s="326"/>
      <c r="J974" s="73"/>
      <c r="K974" s="327"/>
    </row>
    <row r="975" customFormat="false" ht="12.75" hidden="false" customHeight="false" outlineLevel="0" collapsed="false">
      <c r="A975" s="325"/>
      <c r="B975" s="326"/>
      <c r="J975" s="73"/>
      <c r="K975" s="327"/>
    </row>
    <row r="976" customFormat="false" ht="12.75" hidden="false" customHeight="false" outlineLevel="0" collapsed="false">
      <c r="A976" s="325"/>
      <c r="B976" s="326"/>
      <c r="J976" s="73"/>
      <c r="K976" s="327"/>
    </row>
    <row r="977" customFormat="false" ht="12.75" hidden="false" customHeight="false" outlineLevel="0" collapsed="false">
      <c r="A977" s="325"/>
      <c r="B977" s="326"/>
      <c r="J977" s="73"/>
      <c r="K977" s="327"/>
    </row>
    <row r="978" customFormat="false" ht="12.75" hidden="false" customHeight="false" outlineLevel="0" collapsed="false">
      <c r="A978" s="325"/>
      <c r="B978" s="326"/>
      <c r="J978" s="73"/>
      <c r="K978" s="327"/>
    </row>
    <row r="979" customFormat="false" ht="12.75" hidden="false" customHeight="false" outlineLevel="0" collapsed="false">
      <c r="A979" s="325"/>
      <c r="B979" s="326"/>
      <c r="J979" s="73"/>
      <c r="K979" s="327"/>
    </row>
    <row r="980" customFormat="false" ht="12.75" hidden="false" customHeight="false" outlineLevel="0" collapsed="false">
      <c r="A980" s="325"/>
      <c r="B980" s="326"/>
      <c r="J980" s="73"/>
      <c r="K980" s="327"/>
    </row>
    <row r="981" customFormat="false" ht="12.75" hidden="false" customHeight="false" outlineLevel="0" collapsed="false">
      <c r="A981" s="325"/>
      <c r="B981" s="326"/>
      <c r="J981" s="73"/>
      <c r="K981" s="327"/>
    </row>
    <row r="982" customFormat="false" ht="12.75" hidden="false" customHeight="false" outlineLevel="0" collapsed="false">
      <c r="A982" s="325"/>
      <c r="B982" s="326"/>
      <c r="J982" s="73"/>
      <c r="K982" s="327"/>
    </row>
    <row r="983" customFormat="false" ht="12.75" hidden="false" customHeight="false" outlineLevel="0" collapsed="false">
      <c r="A983" s="325"/>
      <c r="B983" s="326"/>
      <c r="J983" s="73"/>
      <c r="K983" s="327"/>
    </row>
    <row r="984" customFormat="false" ht="12.75" hidden="false" customHeight="false" outlineLevel="0" collapsed="false">
      <c r="A984" s="325"/>
      <c r="B984" s="326"/>
      <c r="J984" s="73"/>
      <c r="K984" s="327"/>
    </row>
    <row r="985" customFormat="false" ht="12.75" hidden="false" customHeight="false" outlineLevel="0" collapsed="false">
      <c r="A985" s="325"/>
      <c r="B985" s="326"/>
      <c r="J985" s="73"/>
      <c r="K985" s="327"/>
    </row>
    <row r="986" customFormat="false" ht="12.75" hidden="false" customHeight="false" outlineLevel="0" collapsed="false">
      <c r="A986" s="325"/>
      <c r="B986" s="326"/>
      <c r="J986" s="73"/>
      <c r="K986" s="327"/>
    </row>
    <row r="987" customFormat="false" ht="12.75" hidden="false" customHeight="false" outlineLevel="0" collapsed="false">
      <c r="A987" s="325"/>
      <c r="B987" s="326"/>
      <c r="J987" s="73"/>
      <c r="K987" s="327"/>
    </row>
    <row r="988" customFormat="false" ht="12.75" hidden="false" customHeight="false" outlineLevel="0" collapsed="false">
      <c r="A988" s="325"/>
      <c r="B988" s="326"/>
      <c r="J988" s="73"/>
      <c r="K988" s="327"/>
    </row>
    <row r="989" customFormat="false" ht="12.75" hidden="false" customHeight="false" outlineLevel="0" collapsed="false">
      <c r="A989" s="325"/>
      <c r="B989" s="326"/>
      <c r="J989" s="73"/>
      <c r="K989" s="327"/>
    </row>
    <row r="990" customFormat="false" ht="12.75" hidden="false" customHeight="false" outlineLevel="0" collapsed="false">
      <c r="A990" s="325"/>
      <c r="B990" s="326"/>
      <c r="J990" s="73"/>
      <c r="K990" s="327"/>
    </row>
    <row r="991" customFormat="false" ht="12.75" hidden="false" customHeight="false" outlineLevel="0" collapsed="false">
      <c r="A991" s="325"/>
      <c r="B991" s="326"/>
      <c r="J991" s="73"/>
      <c r="K991" s="327"/>
    </row>
    <row r="992" customFormat="false" ht="12.75" hidden="false" customHeight="false" outlineLevel="0" collapsed="false">
      <c r="A992" s="325"/>
      <c r="B992" s="326"/>
      <c r="J992" s="73"/>
      <c r="K992" s="327"/>
    </row>
    <row r="993" customFormat="false" ht="12.75" hidden="false" customHeight="false" outlineLevel="0" collapsed="false">
      <c r="A993" s="325"/>
      <c r="B993" s="326"/>
      <c r="J993" s="73"/>
      <c r="K993" s="327"/>
    </row>
    <row r="994" customFormat="false" ht="12.75" hidden="false" customHeight="false" outlineLevel="0" collapsed="false">
      <c r="A994" s="325"/>
      <c r="B994" s="326"/>
      <c r="J994" s="73"/>
      <c r="K994" s="327"/>
    </row>
    <row r="995" customFormat="false" ht="12.75" hidden="false" customHeight="false" outlineLevel="0" collapsed="false">
      <c r="A995" s="325"/>
      <c r="B995" s="326"/>
      <c r="J995" s="73"/>
      <c r="K995" s="327"/>
    </row>
    <row r="996" customFormat="false" ht="12.75" hidden="false" customHeight="false" outlineLevel="0" collapsed="false">
      <c r="A996" s="325"/>
      <c r="B996" s="326"/>
      <c r="J996" s="73"/>
      <c r="K996" s="327"/>
    </row>
    <row r="997" customFormat="false" ht="12.75" hidden="false" customHeight="false" outlineLevel="0" collapsed="false">
      <c r="A997" s="325"/>
      <c r="B997" s="326"/>
      <c r="J997" s="73"/>
      <c r="K997" s="327"/>
    </row>
    <row r="998" customFormat="false" ht="12.75" hidden="false" customHeight="false" outlineLevel="0" collapsed="false">
      <c r="A998" s="325"/>
      <c r="B998" s="326"/>
      <c r="J998" s="73"/>
      <c r="K998" s="327"/>
    </row>
    <row r="999" customFormat="false" ht="12.75" hidden="false" customHeight="false" outlineLevel="0" collapsed="false">
      <c r="A999" s="325"/>
      <c r="B999" s="326"/>
      <c r="J999" s="73"/>
      <c r="K999" s="327"/>
    </row>
    <row r="1000" customFormat="false" ht="12.75" hidden="false" customHeight="false" outlineLevel="0" collapsed="false">
      <c r="A1000" s="325"/>
      <c r="B1000" s="326"/>
      <c r="J1000" s="73"/>
      <c r="K1000" s="327"/>
    </row>
    <row r="1001" customFormat="false" ht="12.75" hidden="false" customHeight="false" outlineLevel="0" collapsed="false">
      <c r="A1001" s="325"/>
      <c r="B1001" s="326"/>
      <c r="J1001" s="73"/>
      <c r="K1001" s="327"/>
    </row>
    <row r="1002" customFormat="false" ht="12.75" hidden="false" customHeight="false" outlineLevel="0" collapsed="false">
      <c r="A1002" s="325"/>
      <c r="B1002" s="326"/>
      <c r="J1002" s="73"/>
      <c r="K1002" s="327"/>
    </row>
    <row r="1003" customFormat="false" ht="12.75" hidden="false" customHeight="false" outlineLevel="0" collapsed="false">
      <c r="A1003" s="325"/>
      <c r="B1003" s="326"/>
      <c r="J1003" s="73"/>
      <c r="K1003" s="327"/>
    </row>
    <row r="1004" customFormat="false" ht="12.75" hidden="false" customHeight="false" outlineLevel="0" collapsed="false">
      <c r="A1004" s="325"/>
      <c r="B1004" s="326"/>
      <c r="J1004" s="73"/>
      <c r="K1004" s="327"/>
    </row>
    <row r="1005" customFormat="false" ht="12.75" hidden="false" customHeight="false" outlineLevel="0" collapsed="false">
      <c r="A1005" s="325"/>
      <c r="B1005" s="326"/>
      <c r="J1005" s="73"/>
      <c r="K1005" s="327"/>
    </row>
    <row r="1006" customFormat="false" ht="12.75" hidden="false" customHeight="false" outlineLevel="0" collapsed="false">
      <c r="A1006" s="325"/>
      <c r="B1006" s="326"/>
      <c r="J1006" s="73"/>
      <c r="K1006" s="327"/>
    </row>
    <row r="1007" customFormat="false" ht="12.75" hidden="false" customHeight="false" outlineLevel="0" collapsed="false">
      <c r="A1007" s="325"/>
      <c r="B1007" s="326"/>
      <c r="J1007" s="73"/>
      <c r="K1007" s="327"/>
    </row>
    <row r="1008" customFormat="false" ht="12.75" hidden="false" customHeight="false" outlineLevel="0" collapsed="false">
      <c r="A1008" s="325"/>
      <c r="B1008" s="326"/>
      <c r="J1008" s="73"/>
      <c r="K1008" s="327"/>
    </row>
    <row r="1009" customFormat="false" ht="12.75" hidden="false" customHeight="false" outlineLevel="0" collapsed="false">
      <c r="A1009" s="325"/>
      <c r="B1009" s="326"/>
      <c r="J1009" s="73"/>
      <c r="K1009" s="327"/>
    </row>
    <row r="1010" customFormat="false" ht="12.75" hidden="false" customHeight="false" outlineLevel="0" collapsed="false">
      <c r="A1010" s="325"/>
      <c r="B1010" s="326"/>
      <c r="J1010" s="73"/>
      <c r="K1010" s="327"/>
    </row>
    <row r="1011" customFormat="false" ht="12.75" hidden="false" customHeight="false" outlineLevel="0" collapsed="false">
      <c r="A1011" s="325"/>
      <c r="B1011" s="326"/>
      <c r="J1011" s="73"/>
      <c r="K1011" s="327"/>
    </row>
    <row r="1012" customFormat="false" ht="12.75" hidden="false" customHeight="false" outlineLevel="0" collapsed="false">
      <c r="A1012" s="325"/>
      <c r="B1012" s="326"/>
      <c r="J1012" s="73"/>
      <c r="K1012" s="327"/>
    </row>
    <row r="1013" customFormat="false" ht="12.75" hidden="false" customHeight="false" outlineLevel="0" collapsed="false">
      <c r="A1013" s="325"/>
      <c r="B1013" s="326"/>
      <c r="J1013" s="73"/>
      <c r="K1013" s="327"/>
    </row>
    <row r="1014" customFormat="false" ht="12.75" hidden="false" customHeight="false" outlineLevel="0" collapsed="false">
      <c r="A1014" s="325"/>
      <c r="B1014" s="326"/>
      <c r="J1014" s="73"/>
      <c r="K1014" s="327"/>
    </row>
    <row r="1015" customFormat="false" ht="12.75" hidden="false" customHeight="false" outlineLevel="0" collapsed="false">
      <c r="A1015" s="325"/>
      <c r="B1015" s="326"/>
      <c r="J1015" s="73"/>
      <c r="K1015" s="327"/>
    </row>
    <row r="1016" customFormat="false" ht="12.75" hidden="false" customHeight="false" outlineLevel="0" collapsed="false">
      <c r="A1016" s="325"/>
      <c r="B1016" s="326"/>
      <c r="J1016" s="73"/>
      <c r="K1016" s="327"/>
    </row>
    <row r="1017" customFormat="false" ht="12.75" hidden="false" customHeight="false" outlineLevel="0" collapsed="false">
      <c r="A1017" s="325"/>
      <c r="B1017" s="326"/>
      <c r="J1017" s="73"/>
      <c r="K1017" s="327"/>
    </row>
    <row r="1018" customFormat="false" ht="12.75" hidden="false" customHeight="false" outlineLevel="0" collapsed="false">
      <c r="A1018" s="325"/>
      <c r="B1018" s="326"/>
      <c r="J1018" s="73"/>
      <c r="K1018" s="327"/>
    </row>
    <row r="1019" customFormat="false" ht="12.75" hidden="false" customHeight="false" outlineLevel="0" collapsed="false">
      <c r="A1019" s="325"/>
      <c r="B1019" s="326"/>
      <c r="J1019" s="73"/>
      <c r="K1019" s="327"/>
    </row>
    <row r="1020" customFormat="false" ht="12.75" hidden="false" customHeight="false" outlineLevel="0" collapsed="false">
      <c r="A1020" s="325"/>
      <c r="B1020" s="326"/>
      <c r="J1020" s="73"/>
      <c r="K1020" s="327"/>
    </row>
    <row r="1021" customFormat="false" ht="12.75" hidden="false" customHeight="false" outlineLevel="0" collapsed="false">
      <c r="A1021" s="325"/>
      <c r="B1021" s="326"/>
      <c r="J1021" s="73"/>
      <c r="K1021" s="327"/>
    </row>
    <row r="1022" customFormat="false" ht="12.75" hidden="false" customHeight="false" outlineLevel="0" collapsed="false">
      <c r="A1022" s="325"/>
      <c r="B1022" s="326"/>
      <c r="J1022" s="73"/>
      <c r="K1022" s="327"/>
    </row>
    <row r="1023" customFormat="false" ht="12.75" hidden="false" customHeight="false" outlineLevel="0" collapsed="false">
      <c r="A1023" s="325"/>
      <c r="B1023" s="326"/>
      <c r="J1023" s="73"/>
      <c r="K1023" s="327"/>
    </row>
    <row r="1024" customFormat="false" ht="12.75" hidden="false" customHeight="false" outlineLevel="0" collapsed="false">
      <c r="A1024" s="325"/>
      <c r="B1024" s="326"/>
      <c r="J1024" s="73"/>
      <c r="K1024" s="327"/>
    </row>
    <row r="1025" customFormat="false" ht="12.75" hidden="false" customHeight="false" outlineLevel="0" collapsed="false">
      <c r="A1025" s="325"/>
      <c r="B1025" s="326"/>
      <c r="J1025" s="73"/>
      <c r="K1025" s="327"/>
    </row>
    <row r="1026" customFormat="false" ht="12.75" hidden="false" customHeight="false" outlineLevel="0" collapsed="false">
      <c r="A1026" s="325"/>
      <c r="B1026" s="326"/>
      <c r="J1026" s="73"/>
      <c r="K1026" s="327"/>
    </row>
    <row r="1027" customFormat="false" ht="12.75" hidden="false" customHeight="false" outlineLevel="0" collapsed="false">
      <c r="A1027" s="325"/>
      <c r="B1027" s="326"/>
      <c r="J1027" s="73"/>
      <c r="K1027" s="327"/>
    </row>
    <row r="1028" customFormat="false" ht="12.75" hidden="false" customHeight="false" outlineLevel="0" collapsed="false">
      <c r="A1028" s="325"/>
      <c r="B1028" s="326"/>
      <c r="J1028" s="73"/>
      <c r="K1028" s="327"/>
    </row>
    <row r="1029" customFormat="false" ht="12.75" hidden="false" customHeight="false" outlineLevel="0" collapsed="false">
      <c r="A1029" s="325"/>
      <c r="B1029" s="326"/>
      <c r="J1029" s="73"/>
      <c r="K1029" s="327"/>
    </row>
    <row r="1030" customFormat="false" ht="12.75" hidden="false" customHeight="false" outlineLevel="0" collapsed="false">
      <c r="A1030" s="325"/>
      <c r="B1030" s="326"/>
      <c r="J1030" s="73"/>
      <c r="K1030" s="327"/>
    </row>
    <row r="1031" customFormat="false" ht="12.75" hidden="false" customHeight="false" outlineLevel="0" collapsed="false">
      <c r="A1031" s="325"/>
      <c r="B1031" s="326"/>
      <c r="J1031" s="73"/>
      <c r="K1031" s="327"/>
    </row>
    <row r="1032" customFormat="false" ht="12.75" hidden="false" customHeight="false" outlineLevel="0" collapsed="false">
      <c r="A1032" s="325"/>
      <c r="B1032" s="326"/>
      <c r="J1032" s="73"/>
      <c r="K1032" s="327"/>
    </row>
    <row r="1033" customFormat="false" ht="12.75" hidden="false" customHeight="false" outlineLevel="0" collapsed="false">
      <c r="A1033" s="325"/>
      <c r="B1033" s="326"/>
      <c r="J1033" s="73"/>
      <c r="K1033" s="327"/>
    </row>
    <row r="1034" customFormat="false" ht="12.75" hidden="false" customHeight="false" outlineLevel="0" collapsed="false">
      <c r="A1034" s="325"/>
      <c r="B1034" s="326"/>
      <c r="J1034" s="73"/>
      <c r="K1034" s="327"/>
    </row>
    <row r="1035" customFormat="false" ht="12.75" hidden="false" customHeight="false" outlineLevel="0" collapsed="false">
      <c r="A1035" s="325"/>
      <c r="B1035" s="326"/>
      <c r="J1035" s="73"/>
      <c r="K1035" s="327"/>
    </row>
    <row r="1036" customFormat="false" ht="12.75" hidden="false" customHeight="false" outlineLevel="0" collapsed="false">
      <c r="A1036" s="325"/>
      <c r="B1036" s="326"/>
      <c r="J1036" s="73"/>
      <c r="K1036" s="327"/>
    </row>
    <row r="1037" customFormat="false" ht="12.75" hidden="false" customHeight="false" outlineLevel="0" collapsed="false">
      <c r="A1037" s="325"/>
      <c r="B1037" s="326"/>
      <c r="J1037" s="73"/>
      <c r="K1037" s="327"/>
    </row>
    <row r="1038" customFormat="false" ht="12.75" hidden="false" customHeight="false" outlineLevel="0" collapsed="false">
      <c r="A1038" s="325"/>
      <c r="B1038" s="326"/>
      <c r="J1038" s="73"/>
      <c r="K1038" s="327"/>
    </row>
    <row r="1039" customFormat="false" ht="12.75" hidden="false" customHeight="false" outlineLevel="0" collapsed="false">
      <c r="A1039" s="325"/>
      <c r="B1039" s="326"/>
      <c r="J1039" s="73"/>
      <c r="K1039" s="327"/>
    </row>
    <row r="1040" customFormat="false" ht="12.75" hidden="false" customHeight="false" outlineLevel="0" collapsed="false">
      <c r="A1040" s="325"/>
      <c r="B1040" s="326"/>
      <c r="J1040" s="73"/>
      <c r="K1040" s="327"/>
    </row>
    <row r="1041" customFormat="false" ht="12.75" hidden="false" customHeight="false" outlineLevel="0" collapsed="false">
      <c r="A1041" s="325"/>
      <c r="B1041" s="326"/>
      <c r="J1041" s="73"/>
      <c r="K1041" s="327"/>
    </row>
    <row r="1042" customFormat="false" ht="12.75" hidden="false" customHeight="false" outlineLevel="0" collapsed="false">
      <c r="A1042" s="325"/>
      <c r="B1042" s="326"/>
      <c r="J1042" s="73"/>
      <c r="K1042" s="327"/>
    </row>
    <row r="1043" customFormat="false" ht="12.75" hidden="false" customHeight="false" outlineLevel="0" collapsed="false">
      <c r="A1043" s="325"/>
      <c r="B1043" s="326"/>
      <c r="J1043" s="73"/>
      <c r="K1043" s="327"/>
    </row>
    <row r="1044" customFormat="false" ht="12.75" hidden="false" customHeight="false" outlineLevel="0" collapsed="false">
      <c r="A1044" s="325"/>
      <c r="B1044" s="326"/>
      <c r="J1044" s="73"/>
      <c r="K1044" s="327"/>
    </row>
    <row r="1045" customFormat="false" ht="12.75" hidden="false" customHeight="false" outlineLevel="0" collapsed="false">
      <c r="A1045" s="325"/>
      <c r="B1045" s="326"/>
      <c r="J1045" s="73"/>
      <c r="K1045" s="327"/>
    </row>
    <row r="1046" customFormat="false" ht="12.75" hidden="false" customHeight="false" outlineLevel="0" collapsed="false">
      <c r="A1046" s="325"/>
      <c r="B1046" s="326"/>
      <c r="J1046" s="73"/>
      <c r="K1046" s="327"/>
    </row>
    <row r="1047" customFormat="false" ht="12.75" hidden="false" customHeight="false" outlineLevel="0" collapsed="false">
      <c r="A1047" s="325"/>
      <c r="B1047" s="326"/>
      <c r="J1047" s="73"/>
      <c r="K1047" s="327"/>
    </row>
    <row r="1048" customFormat="false" ht="12.75" hidden="false" customHeight="false" outlineLevel="0" collapsed="false">
      <c r="A1048" s="325"/>
      <c r="B1048" s="326"/>
      <c r="J1048" s="73"/>
      <c r="K1048" s="327"/>
    </row>
    <row r="1049" customFormat="false" ht="12.75" hidden="false" customHeight="false" outlineLevel="0" collapsed="false">
      <c r="A1049" s="325"/>
      <c r="B1049" s="326"/>
      <c r="J1049" s="73"/>
      <c r="K1049" s="327"/>
    </row>
    <row r="1050" customFormat="false" ht="12.75" hidden="false" customHeight="false" outlineLevel="0" collapsed="false">
      <c r="A1050" s="325"/>
      <c r="B1050" s="326"/>
      <c r="J1050" s="73"/>
      <c r="K1050" s="327"/>
    </row>
    <row r="1051" customFormat="false" ht="12.75" hidden="false" customHeight="false" outlineLevel="0" collapsed="false">
      <c r="A1051" s="325"/>
      <c r="B1051" s="326"/>
      <c r="J1051" s="73"/>
      <c r="K1051" s="327"/>
    </row>
    <row r="1052" customFormat="false" ht="12.75" hidden="false" customHeight="false" outlineLevel="0" collapsed="false">
      <c r="A1052" s="325"/>
      <c r="B1052" s="326"/>
      <c r="J1052" s="73"/>
      <c r="K1052" s="327"/>
    </row>
    <row r="1053" customFormat="false" ht="12.75" hidden="false" customHeight="false" outlineLevel="0" collapsed="false">
      <c r="A1053" s="325"/>
      <c r="B1053" s="326"/>
      <c r="J1053" s="73"/>
      <c r="K1053" s="327"/>
    </row>
    <row r="1054" customFormat="false" ht="12.75" hidden="false" customHeight="false" outlineLevel="0" collapsed="false">
      <c r="A1054" s="325"/>
      <c r="B1054" s="326"/>
      <c r="J1054" s="73"/>
      <c r="K1054" s="327"/>
    </row>
    <row r="1055" customFormat="false" ht="12.75" hidden="false" customHeight="false" outlineLevel="0" collapsed="false">
      <c r="A1055" s="325"/>
      <c r="B1055" s="326"/>
      <c r="J1055" s="73"/>
      <c r="K1055" s="327"/>
    </row>
    <row r="1056" customFormat="false" ht="12.75" hidden="false" customHeight="false" outlineLevel="0" collapsed="false">
      <c r="A1056" s="325"/>
      <c r="B1056" s="326"/>
      <c r="J1056" s="73"/>
      <c r="K1056" s="327"/>
    </row>
    <row r="1057" customFormat="false" ht="12.75" hidden="false" customHeight="false" outlineLevel="0" collapsed="false">
      <c r="A1057" s="325"/>
      <c r="B1057" s="326"/>
      <c r="J1057" s="73"/>
      <c r="K1057" s="327"/>
    </row>
    <row r="1058" customFormat="false" ht="12.75" hidden="false" customHeight="false" outlineLevel="0" collapsed="false">
      <c r="A1058" s="325"/>
      <c r="B1058" s="326"/>
      <c r="J1058" s="73"/>
      <c r="K1058" s="327"/>
    </row>
    <row r="1059" customFormat="false" ht="12.75" hidden="false" customHeight="false" outlineLevel="0" collapsed="false">
      <c r="A1059" s="325"/>
      <c r="B1059" s="326"/>
      <c r="J1059" s="73"/>
      <c r="K1059" s="327"/>
    </row>
    <row r="1060" customFormat="false" ht="12.75" hidden="false" customHeight="false" outlineLevel="0" collapsed="false">
      <c r="A1060" s="325"/>
      <c r="B1060" s="326"/>
      <c r="J1060" s="73"/>
      <c r="K1060" s="327"/>
    </row>
    <row r="1061" customFormat="false" ht="12.75" hidden="false" customHeight="false" outlineLevel="0" collapsed="false">
      <c r="A1061" s="325"/>
      <c r="B1061" s="326"/>
      <c r="J1061" s="73"/>
      <c r="K1061" s="327"/>
    </row>
    <row r="1062" customFormat="false" ht="12.75" hidden="false" customHeight="false" outlineLevel="0" collapsed="false">
      <c r="A1062" s="325"/>
      <c r="B1062" s="326"/>
      <c r="J1062" s="73"/>
      <c r="K1062" s="327"/>
    </row>
    <row r="1063" customFormat="false" ht="12.75" hidden="false" customHeight="false" outlineLevel="0" collapsed="false">
      <c r="A1063" s="325"/>
      <c r="B1063" s="326"/>
      <c r="J1063" s="73"/>
      <c r="K1063" s="327"/>
    </row>
    <row r="1064" customFormat="false" ht="12.75" hidden="false" customHeight="false" outlineLevel="0" collapsed="false">
      <c r="A1064" s="325"/>
      <c r="B1064" s="326"/>
      <c r="J1064" s="73"/>
      <c r="K1064" s="327"/>
    </row>
    <row r="1065" customFormat="false" ht="12.75" hidden="false" customHeight="false" outlineLevel="0" collapsed="false">
      <c r="A1065" s="325"/>
      <c r="B1065" s="326"/>
      <c r="J1065" s="73"/>
      <c r="K1065" s="327"/>
    </row>
    <row r="1066" customFormat="false" ht="12.75" hidden="false" customHeight="false" outlineLevel="0" collapsed="false">
      <c r="A1066" s="325"/>
      <c r="B1066" s="326"/>
      <c r="J1066" s="73"/>
      <c r="K1066" s="327"/>
    </row>
    <row r="1067" customFormat="false" ht="12.75" hidden="false" customHeight="false" outlineLevel="0" collapsed="false">
      <c r="A1067" s="325"/>
      <c r="B1067" s="326"/>
      <c r="J1067" s="73"/>
      <c r="K1067" s="327"/>
    </row>
    <row r="1068" customFormat="false" ht="12.75" hidden="false" customHeight="false" outlineLevel="0" collapsed="false">
      <c r="A1068" s="325"/>
      <c r="B1068" s="326"/>
      <c r="J1068" s="73"/>
      <c r="K1068" s="327"/>
    </row>
    <row r="1069" customFormat="false" ht="12.75" hidden="false" customHeight="false" outlineLevel="0" collapsed="false">
      <c r="A1069" s="325"/>
      <c r="B1069" s="326"/>
      <c r="J1069" s="73"/>
      <c r="K1069" s="327"/>
    </row>
    <row r="1070" customFormat="false" ht="12.75" hidden="false" customHeight="false" outlineLevel="0" collapsed="false">
      <c r="A1070" s="325"/>
      <c r="B1070" s="326"/>
      <c r="J1070" s="73"/>
      <c r="K1070" s="327"/>
    </row>
    <row r="1071" customFormat="false" ht="12.75" hidden="false" customHeight="false" outlineLevel="0" collapsed="false">
      <c r="A1071" s="325"/>
      <c r="B1071" s="326"/>
      <c r="J1071" s="73"/>
      <c r="K1071" s="327"/>
    </row>
    <row r="1072" customFormat="false" ht="12.75" hidden="false" customHeight="false" outlineLevel="0" collapsed="false">
      <c r="A1072" s="325"/>
      <c r="B1072" s="326"/>
      <c r="J1072" s="73"/>
      <c r="K1072" s="327"/>
    </row>
    <row r="1073" customFormat="false" ht="12.75" hidden="false" customHeight="false" outlineLevel="0" collapsed="false">
      <c r="A1073" s="325"/>
      <c r="B1073" s="326"/>
      <c r="J1073" s="73"/>
      <c r="K1073" s="327"/>
    </row>
    <row r="1074" customFormat="false" ht="12.75" hidden="false" customHeight="false" outlineLevel="0" collapsed="false">
      <c r="A1074" s="325"/>
      <c r="B1074" s="326"/>
      <c r="J1074" s="73"/>
      <c r="K1074" s="327"/>
    </row>
    <row r="1075" customFormat="false" ht="12.75" hidden="false" customHeight="false" outlineLevel="0" collapsed="false">
      <c r="A1075" s="325"/>
      <c r="B1075" s="326"/>
      <c r="J1075" s="73"/>
      <c r="K1075" s="327"/>
    </row>
    <row r="1076" customFormat="false" ht="12.75" hidden="false" customHeight="false" outlineLevel="0" collapsed="false">
      <c r="A1076" s="325"/>
      <c r="B1076" s="326"/>
      <c r="J1076" s="73"/>
      <c r="K1076" s="327"/>
    </row>
    <row r="1077" customFormat="false" ht="12.75" hidden="false" customHeight="false" outlineLevel="0" collapsed="false">
      <c r="A1077" s="325"/>
      <c r="B1077" s="326"/>
      <c r="J1077" s="73"/>
      <c r="K1077" s="327"/>
    </row>
    <row r="1078" customFormat="false" ht="12.75" hidden="false" customHeight="false" outlineLevel="0" collapsed="false">
      <c r="A1078" s="325"/>
      <c r="B1078" s="326"/>
      <c r="J1078" s="73"/>
      <c r="K1078" s="327"/>
    </row>
    <row r="1079" customFormat="false" ht="12.75" hidden="false" customHeight="false" outlineLevel="0" collapsed="false">
      <c r="A1079" s="325"/>
      <c r="B1079" s="326"/>
      <c r="J1079" s="73"/>
      <c r="K1079" s="327"/>
    </row>
    <row r="1080" customFormat="false" ht="12.75" hidden="false" customHeight="false" outlineLevel="0" collapsed="false">
      <c r="A1080" s="325"/>
      <c r="B1080" s="326"/>
      <c r="J1080" s="73"/>
      <c r="K1080" s="327"/>
    </row>
    <row r="1081" customFormat="false" ht="12.75" hidden="false" customHeight="false" outlineLevel="0" collapsed="false">
      <c r="A1081" s="325"/>
      <c r="B1081" s="326"/>
      <c r="J1081" s="73"/>
      <c r="K1081" s="327"/>
    </row>
    <row r="1082" customFormat="false" ht="12.75" hidden="false" customHeight="false" outlineLevel="0" collapsed="false">
      <c r="A1082" s="325"/>
      <c r="B1082" s="326"/>
      <c r="J1082" s="73"/>
      <c r="K1082" s="327"/>
    </row>
    <row r="1083" customFormat="false" ht="12.75" hidden="false" customHeight="false" outlineLevel="0" collapsed="false">
      <c r="A1083" s="325"/>
      <c r="B1083" s="326"/>
      <c r="J1083" s="73"/>
      <c r="K1083" s="327"/>
    </row>
    <row r="1084" customFormat="false" ht="12.75" hidden="false" customHeight="false" outlineLevel="0" collapsed="false">
      <c r="A1084" s="325"/>
      <c r="B1084" s="326"/>
      <c r="J1084" s="73"/>
      <c r="K1084" s="327"/>
    </row>
    <row r="1085" customFormat="false" ht="12.75" hidden="false" customHeight="false" outlineLevel="0" collapsed="false">
      <c r="A1085" s="325"/>
      <c r="B1085" s="326"/>
      <c r="J1085" s="73"/>
      <c r="K1085" s="327"/>
    </row>
    <row r="1086" customFormat="false" ht="12.75" hidden="false" customHeight="false" outlineLevel="0" collapsed="false">
      <c r="A1086" s="325"/>
      <c r="B1086" s="326"/>
      <c r="J1086" s="73"/>
      <c r="K1086" s="327"/>
    </row>
    <row r="1087" customFormat="false" ht="12.75" hidden="false" customHeight="false" outlineLevel="0" collapsed="false">
      <c r="A1087" s="325"/>
      <c r="B1087" s="326"/>
      <c r="J1087" s="73"/>
      <c r="K1087" s="327"/>
    </row>
    <row r="1088" customFormat="false" ht="12.75" hidden="false" customHeight="false" outlineLevel="0" collapsed="false">
      <c r="A1088" s="325"/>
      <c r="B1088" s="326"/>
      <c r="J1088" s="73"/>
      <c r="K1088" s="327"/>
    </row>
    <row r="1089" customFormat="false" ht="12.75" hidden="false" customHeight="false" outlineLevel="0" collapsed="false">
      <c r="A1089" s="325"/>
      <c r="B1089" s="326"/>
      <c r="J1089" s="73"/>
      <c r="K1089" s="327"/>
    </row>
    <row r="1090" customFormat="false" ht="12.75" hidden="false" customHeight="false" outlineLevel="0" collapsed="false">
      <c r="A1090" s="325"/>
      <c r="B1090" s="326"/>
      <c r="J1090" s="73"/>
      <c r="K1090" s="327"/>
    </row>
    <row r="1091" customFormat="false" ht="12.75" hidden="false" customHeight="false" outlineLevel="0" collapsed="false">
      <c r="A1091" s="325"/>
      <c r="B1091" s="326"/>
      <c r="J1091" s="73"/>
      <c r="K1091" s="327"/>
    </row>
    <row r="1092" customFormat="false" ht="12.75" hidden="false" customHeight="false" outlineLevel="0" collapsed="false">
      <c r="A1092" s="325"/>
      <c r="B1092" s="326"/>
      <c r="J1092" s="73"/>
      <c r="K1092" s="327"/>
    </row>
    <row r="1093" customFormat="false" ht="12.75" hidden="false" customHeight="false" outlineLevel="0" collapsed="false">
      <c r="A1093" s="325"/>
      <c r="B1093" s="326"/>
      <c r="J1093" s="73"/>
      <c r="K1093" s="327"/>
    </row>
    <row r="1094" customFormat="false" ht="12.75" hidden="false" customHeight="false" outlineLevel="0" collapsed="false">
      <c r="A1094" s="325"/>
      <c r="B1094" s="326"/>
      <c r="J1094" s="73"/>
      <c r="K1094" s="327"/>
    </row>
    <row r="1095" customFormat="false" ht="12.75" hidden="false" customHeight="false" outlineLevel="0" collapsed="false">
      <c r="A1095" s="325"/>
      <c r="B1095" s="326"/>
      <c r="J1095" s="73"/>
      <c r="K1095" s="327"/>
    </row>
    <row r="1096" customFormat="false" ht="12.75" hidden="false" customHeight="false" outlineLevel="0" collapsed="false">
      <c r="A1096" s="325"/>
      <c r="B1096" s="326"/>
      <c r="J1096" s="73"/>
      <c r="K1096" s="327"/>
    </row>
    <row r="1097" customFormat="false" ht="12.75" hidden="false" customHeight="false" outlineLevel="0" collapsed="false">
      <c r="A1097" s="325"/>
      <c r="B1097" s="326"/>
      <c r="J1097" s="73"/>
      <c r="K1097" s="327"/>
    </row>
    <row r="1098" customFormat="false" ht="12.75" hidden="false" customHeight="false" outlineLevel="0" collapsed="false">
      <c r="A1098" s="325"/>
      <c r="B1098" s="326"/>
      <c r="J1098" s="73"/>
      <c r="K1098" s="327"/>
    </row>
    <row r="1099" customFormat="false" ht="12.75" hidden="false" customHeight="false" outlineLevel="0" collapsed="false">
      <c r="A1099" s="325"/>
      <c r="B1099" s="326"/>
      <c r="J1099" s="73"/>
      <c r="K1099" s="327"/>
    </row>
    <row r="1100" customFormat="false" ht="12.75" hidden="false" customHeight="false" outlineLevel="0" collapsed="false">
      <c r="A1100" s="325"/>
      <c r="B1100" s="326"/>
      <c r="J1100" s="73"/>
      <c r="K1100" s="327"/>
    </row>
    <row r="1101" customFormat="false" ht="12.75" hidden="false" customHeight="false" outlineLevel="0" collapsed="false">
      <c r="A1101" s="325"/>
      <c r="B1101" s="326"/>
      <c r="J1101" s="73"/>
      <c r="K1101" s="327"/>
    </row>
    <row r="1102" customFormat="false" ht="12.75" hidden="false" customHeight="false" outlineLevel="0" collapsed="false">
      <c r="A1102" s="325"/>
      <c r="B1102" s="326"/>
      <c r="J1102" s="73"/>
      <c r="K1102" s="327"/>
    </row>
    <row r="1103" customFormat="false" ht="12.75" hidden="false" customHeight="false" outlineLevel="0" collapsed="false">
      <c r="A1103" s="325"/>
      <c r="B1103" s="326"/>
      <c r="J1103" s="73"/>
      <c r="K1103" s="327"/>
    </row>
    <row r="1104" customFormat="false" ht="12.75" hidden="false" customHeight="false" outlineLevel="0" collapsed="false">
      <c r="A1104" s="325"/>
      <c r="B1104" s="326"/>
      <c r="J1104" s="73"/>
      <c r="K1104" s="327"/>
    </row>
    <row r="1105" customFormat="false" ht="12.75" hidden="false" customHeight="false" outlineLevel="0" collapsed="false">
      <c r="A1105" s="325"/>
      <c r="B1105" s="326"/>
      <c r="J1105" s="73"/>
      <c r="K1105" s="327"/>
    </row>
    <row r="1106" customFormat="false" ht="12.75" hidden="false" customHeight="false" outlineLevel="0" collapsed="false">
      <c r="A1106" s="325"/>
      <c r="B1106" s="326"/>
      <c r="J1106" s="73"/>
      <c r="K1106" s="327"/>
    </row>
    <row r="1107" customFormat="false" ht="12.75" hidden="false" customHeight="false" outlineLevel="0" collapsed="false">
      <c r="A1107" s="325"/>
      <c r="B1107" s="326"/>
      <c r="J1107" s="73"/>
      <c r="K1107" s="327"/>
    </row>
    <row r="1108" customFormat="false" ht="12.75" hidden="false" customHeight="false" outlineLevel="0" collapsed="false">
      <c r="A1108" s="325"/>
      <c r="B1108" s="326"/>
      <c r="J1108" s="73"/>
      <c r="K1108" s="327"/>
    </row>
    <row r="1109" customFormat="false" ht="12.75" hidden="false" customHeight="false" outlineLevel="0" collapsed="false">
      <c r="A1109" s="325"/>
      <c r="B1109" s="326"/>
      <c r="J1109" s="73"/>
      <c r="K1109" s="327"/>
    </row>
    <row r="1110" customFormat="false" ht="12.75" hidden="false" customHeight="false" outlineLevel="0" collapsed="false">
      <c r="A1110" s="325"/>
      <c r="B1110" s="326"/>
      <c r="J1110" s="73"/>
      <c r="K1110" s="327"/>
    </row>
    <row r="1111" customFormat="false" ht="12.75" hidden="false" customHeight="false" outlineLevel="0" collapsed="false">
      <c r="A1111" s="325"/>
      <c r="B1111" s="326"/>
      <c r="J1111" s="73"/>
      <c r="K1111" s="327"/>
    </row>
    <row r="1112" customFormat="false" ht="12.75" hidden="false" customHeight="false" outlineLevel="0" collapsed="false">
      <c r="A1112" s="325"/>
      <c r="B1112" s="326"/>
      <c r="J1112" s="73"/>
      <c r="K1112" s="327"/>
    </row>
    <row r="1113" customFormat="false" ht="12.75" hidden="false" customHeight="false" outlineLevel="0" collapsed="false">
      <c r="A1113" s="325"/>
      <c r="B1113" s="326"/>
      <c r="J1113" s="73"/>
      <c r="K1113" s="327"/>
    </row>
    <row r="1114" customFormat="false" ht="12.75" hidden="false" customHeight="false" outlineLevel="0" collapsed="false">
      <c r="A1114" s="325"/>
      <c r="B1114" s="326"/>
      <c r="J1114" s="73"/>
      <c r="K1114" s="327"/>
    </row>
    <row r="1115" customFormat="false" ht="12.75" hidden="false" customHeight="false" outlineLevel="0" collapsed="false">
      <c r="A1115" s="325"/>
      <c r="B1115" s="326"/>
      <c r="J1115" s="73"/>
      <c r="K1115" s="327"/>
    </row>
    <row r="1116" customFormat="false" ht="12.75" hidden="false" customHeight="false" outlineLevel="0" collapsed="false">
      <c r="A1116" s="325"/>
      <c r="B1116" s="326"/>
      <c r="J1116" s="73"/>
      <c r="K1116" s="327"/>
    </row>
    <row r="1117" customFormat="false" ht="12.75" hidden="false" customHeight="false" outlineLevel="0" collapsed="false">
      <c r="A1117" s="325"/>
      <c r="B1117" s="326"/>
      <c r="J1117" s="73"/>
      <c r="K1117" s="327"/>
    </row>
    <row r="1118" customFormat="false" ht="12.75" hidden="false" customHeight="false" outlineLevel="0" collapsed="false">
      <c r="A1118" s="325"/>
      <c r="B1118" s="326"/>
      <c r="J1118" s="73"/>
      <c r="K1118" s="327"/>
    </row>
    <row r="1119" customFormat="false" ht="12.75" hidden="false" customHeight="false" outlineLevel="0" collapsed="false">
      <c r="A1119" s="325"/>
      <c r="B1119" s="326"/>
      <c r="J1119" s="73"/>
      <c r="K1119" s="327"/>
    </row>
    <row r="1120" customFormat="false" ht="12.75" hidden="false" customHeight="false" outlineLevel="0" collapsed="false">
      <c r="A1120" s="325"/>
      <c r="B1120" s="326"/>
      <c r="J1120" s="73"/>
      <c r="K1120" s="327"/>
    </row>
    <row r="1121" customFormat="false" ht="12.75" hidden="false" customHeight="false" outlineLevel="0" collapsed="false">
      <c r="A1121" s="325"/>
      <c r="B1121" s="326"/>
      <c r="J1121" s="73"/>
      <c r="K1121" s="327"/>
    </row>
    <row r="1122" customFormat="false" ht="12.75" hidden="false" customHeight="false" outlineLevel="0" collapsed="false">
      <c r="A1122" s="325"/>
      <c r="B1122" s="326"/>
      <c r="J1122" s="73"/>
      <c r="K1122" s="327"/>
    </row>
    <row r="1123" customFormat="false" ht="12.75" hidden="false" customHeight="false" outlineLevel="0" collapsed="false">
      <c r="A1123" s="325"/>
      <c r="B1123" s="326"/>
      <c r="J1123" s="73"/>
      <c r="K1123" s="327"/>
    </row>
    <row r="1124" customFormat="false" ht="12.75" hidden="false" customHeight="false" outlineLevel="0" collapsed="false">
      <c r="A1124" s="325"/>
      <c r="B1124" s="326"/>
      <c r="J1124" s="73"/>
      <c r="K1124" s="327"/>
    </row>
    <row r="1125" customFormat="false" ht="12.75" hidden="false" customHeight="false" outlineLevel="0" collapsed="false">
      <c r="A1125" s="325"/>
      <c r="B1125" s="326"/>
      <c r="J1125" s="73"/>
      <c r="K1125" s="327"/>
    </row>
    <row r="1126" customFormat="false" ht="12.75" hidden="false" customHeight="false" outlineLevel="0" collapsed="false">
      <c r="A1126" s="325"/>
      <c r="B1126" s="326"/>
      <c r="J1126" s="73"/>
      <c r="K1126" s="327"/>
    </row>
    <row r="1127" customFormat="false" ht="12.75" hidden="false" customHeight="false" outlineLevel="0" collapsed="false">
      <c r="A1127" s="325"/>
      <c r="B1127" s="326"/>
      <c r="J1127" s="73"/>
      <c r="K1127" s="327"/>
    </row>
    <row r="1128" customFormat="false" ht="12.75" hidden="false" customHeight="false" outlineLevel="0" collapsed="false">
      <c r="A1128" s="325"/>
      <c r="B1128" s="326"/>
      <c r="J1128" s="73"/>
      <c r="K1128" s="327"/>
    </row>
    <row r="1129" customFormat="false" ht="12.75" hidden="false" customHeight="false" outlineLevel="0" collapsed="false">
      <c r="A1129" s="325"/>
      <c r="B1129" s="326"/>
      <c r="J1129" s="73"/>
      <c r="K1129" s="327"/>
    </row>
    <row r="1130" customFormat="false" ht="12.75" hidden="false" customHeight="false" outlineLevel="0" collapsed="false">
      <c r="A1130" s="325"/>
      <c r="B1130" s="326"/>
      <c r="J1130" s="73"/>
      <c r="K1130" s="327"/>
    </row>
    <row r="1131" customFormat="false" ht="12.75" hidden="false" customHeight="false" outlineLevel="0" collapsed="false">
      <c r="A1131" s="325"/>
      <c r="B1131" s="326"/>
      <c r="J1131" s="73"/>
      <c r="K1131" s="327"/>
    </row>
    <row r="1132" customFormat="false" ht="12.75" hidden="false" customHeight="false" outlineLevel="0" collapsed="false">
      <c r="A1132" s="325"/>
      <c r="B1132" s="326"/>
      <c r="J1132" s="73"/>
      <c r="K1132" s="327"/>
    </row>
    <row r="1133" customFormat="false" ht="12.75" hidden="false" customHeight="false" outlineLevel="0" collapsed="false">
      <c r="A1133" s="325"/>
      <c r="B1133" s="326"/>
      <c r="J1133" s="73"/>
      <c r="K1133" s="327"/>
    </row>
    <row r="1134" customFormat="false" ht="12.75" hidden="false" customHeight="false" outlineLevel="0" collapsed="false">
      <c r="A1134" s="325"/>
      <c r="B1134" s="326"/>
      <c r="J1134" s="73"/>
      <c r="K1134" s="327"/>
    </row>
    <row r="1135" customFormat="false" ht="12.75" hidden="false" customHeight="false" outlineLevel="0" collapsed="false">
      <c r="A1135" s="325"/>
      <c r="B1135" s="326"/>
      <c r="J1135" s="73"/>
      <c r="K1135" s="327"/>
    </row>
    <row r="1136" customFormat="false" ht="12.75" hidden="false" customHeight="false" outlineLevel="0" collapsed="false">
      <c r="A1136" s="325"/>
      <c r="B1136" s="326"/>
      <c r="J1136" s="73"/>
      <c r="K1136" s="327"/>
    </row>
    <row r="1137" customFormat="false" ht="12.75" hidden="false" customHeight="false" outlineLevel="0" collapsed="false">
      <c r="A1137" s="325"/>
      <c r="B1137" s="326"/>
      <c r="J1137" s="73"/>
      <c r="K1137" s="327"/>
    </row>
    <row r="1138" customFormat="false" ht="12.75" hidden="false" customHeight="false" outlineLevel="0" collapsed="false">
      <c r="A1138" s="325"/>
      <c r="B1138" s="326"/>
      <c r="J1138" s="73"/>
      <c r="K1138" s="327"/>
    </row>
    <row r="1139" customFormat="false" ht="12.75" hidden="false" customHeight="false" outlineLevel="0" collapsed="false">
      <c r="A1139" s="325"/>
      <c r="B1139" s="326"/>
      <c r="J1139" s="73"/>
      <c r="K1139" s="327"/>
    </row>
    <row r="1140" customFormat="false" ht="12.75" hidden="false" customHeight="false" outlineLevel="0" collapsed="false">
      <c r="A1140" s="325"/>
      <c r="B1140" s="326"/>
      <c r="J1140" s="73"/>
      <c r="K1140" s="327"/>
    </row>
    <row r="1141" customFormat="false" ht="12.75" hidden="false" customHeight="false" outlineLevel="0" collapsed="false">
      <c r="A1141" s="325"/>
      <c r="B1141" s="326"/>
      <c r="J1141" s="73"/>
      <c r="K1141" s="327"/>
    </row>
    <row r="1142" customFormat="false" ht="12.75" hidden="false" customHeight="false" outlineLevel="0" collapsed="false">
      <c r="A1142" s="325"/>
      <c r="B1142" s="326"/>
      <c r="J1142" s="73"/>
      <c r="K1142" s="327"/>
    </row>
    <row r="1143" customFormat="false" ht="12.75" hidden="false" customHeight="false" outlineLevel="0" collapsed="false">
      <c r="A1143" s="325"/>
      <c r="B1143" s="326"/>
      <c r="J1143" s="73"/>
      <c r="K1143" s="327"/>
    </row>
    <row r="1144" customFormat="false" ht="12.75" hidden="false" customHeight="false" outlineLevel="0" collapsed="false">
      <c r="A1144" s="325"/>
      <c r="B1144" s="326"/>
      <c r="J1144" s="73"/>
      <c r="K1144" s="327"/>
    </row>
    <row r="1145" customFormat="false" ht="12.75" hidden="false" customHeight="false" outlineLevel="0" collapsed="false">
      <c r="A1145" s="325"/>
      <c r="B1145" s="326"/>
      <c r="J1145" s="73"/>
      <c r="K1145" s="327"/>
    </row>
    <row r="1146" customFormat="false" ht="12.75" hidden="false" customHeight="false" outlineLevel="0" collapsed="false">
      <c r="A1146" s="325"/>
      <c r="B1146" s="326"/>
      <c r="J1146" s="73"/>
      <c r="K1146" s="327"/>
    </row>
    <row r="1147" customFormat="false" ht="12.75" hidden="false" customHeight="false" outlineLevel="0" collapsed="false">
      <c r="A1147" s="325"/>
      <c r="B1147" s="326"/>
      <c r="J1147" s="73"/>
      <c r="K1147" s="327"/>
    </row>
    <row r="1148" customFormat="false" ht="12.75" hidden="false" customHeight="false" outlineLevel="0" collapsed="false">
      <c r="A1148" s="325"/>
      <c r="B1148" s="326"/>
      <c r="J1148" s="73"/>
      <c r="K1148" s="327"/>
    </row>
    <row r="1149" customFormat="false" ht="12.75" hidden="false" customHeight="false" outlineLevel="0" collapsed="false">
      <c r="A1149" s="325"/>
      <c r="B1149" s="326"/>
      <c r="J1149" s="73"/>
      <c r="K1149" s="327"/>
    </row>
    <row r="1150" customFormat="false" ht="12.75" hidden="false" customHeight="false" outlineLevel="0" collapsed="false">
      <c r="A1150" s="325"/>
      <c r="B1150" s="326"/>
      <c r="J1150" s="73"/>
      <c r="K1150" s="327"/>
    </row>
    <row r="1151" customFormat="false" ht="12.75" hidden="false" customHeight="false" outlineLevel="0" collapsed="false">
      <c r="A1151" s="325"/>
      <c r="B1151" s="326"/>
      <c r="J1151" s="73"/>
      <c r="K1151" s="327"/>
    </row>
    <row r="1152" customFormat="false" ht="12.75" hidden="false" customHeight="false" outlineLevel="0" collapsed="false">
      <c r="A1152" s="325"/>
      <c r="B1152" s="326"/>
      <c r="J1152" s="73"/>
      <c r="K1152" s="327"/>
    </row>
    <row r="1153" customFormat="false" ht="12.75" hidden="false" customHeight="false" outlineLevel="0" collapsed="false">
      <c r="A1153" s="325"/>
      <c r="B1153" s="326"/>
      <c r="J1153" s="73"/>
      <c r="K1153" s="327"/>
    </row>
    <row r="1154" customFormat="false" ht="12.75" hidden="false" customHeight="false" outlineLevel="0" collapsed="false">
      <c r="A1154" s="325"/>
      <c r="B1154" s="326"/>
      <c r="J1154" s="73"/>
      <c r="K1154" s="327"/>
    </row>
    <row r="1155" customFormat="false" ht="12.75" hidden="false" customHeight="false" outlineLevel="0" collapsed="false">
      <c r="A1155" s="325"/>
      <c r="B1155" s="326"/>
      <c r="J1155" s="73"/>
      <c r="K1155" s="327"/>
    </row>
    <row r="1156" customFormat="false" ht="12.75" hidden="false" customHeight="false" outlineLevel="0" collapsed="false">
      <c r="A1156" s="325"/>
      <c r="B1156" s="326"/>
      <c r="J1156" s="73"/>
      <c r="K1156" s="327"/>
    </row>
    <row r="1157" customFormat="false" ht="12.75" hidden="false" customHeight="false" outlineLevel="0" collapsed="false">
      <c r="A1157" s="325"/>
      <c r="B1157" s="326"/>
      <c r="J1157" s="73"/>
      <c r="K1157" s="327"/>
    </row>
    <row r="1158" customFormat="false" ht="12.75" hidden="false" customHeight="false" outlineLevel="0" collapsed="false">
      <c r="A1158" s="325"/>
      <c r="B1158" s="326"/>
      <c r="J1158" s="73"/>
      <c r="K1158" s="327"/>
    </row>
    <row r="1159" customFormat="false" ht="12.75" hidden="false" customHeight="false" outlineLevel="0" collapsed="false">
      <c r="A1159" s="325"/>
      <c r="B1159" s="326"/>
      <c r="J1159" s="73"/>
      <c r="K1159" s="327"/>
    </row>
    <row r="1160" customFormat="false" ht="12.75" hidden="false" customHeight="false" outlineLevel="0" collapsed="false">
      <c r="A1160" s="325"/>
      <c r="B1160" s="326"/>
      <c r="J1160" s="73"/>
      <c r="K1160" s="327"/>
    </row>
    <row r="1161" customFormat="false" ht="12.75" hidden="false" customHeight="false" outlineLevel="0" collapsed="false">
      <c r="A1161" s="325"/>
      <c r="B1161" s="326"/>
      <c r="J1161" s="73"/>
      <c r="K1161" s="327"/>
    </row>
    <row r="1162" customFormat="false" ht="12.75" hidden="false" customHeight="false" outlineLevel="0" collapsed="false">
      <c r="A1162" s="325"/>
      <c r="B1162" s="326"/>
      <c r="J1162" s="73"/>
      <c r="K1162" s="327"/>
    </row>
    <row r="1163" customFormat="false" ht="12.75" hidden="false" customHeight="false" outlineLevel="0" collapsed="false">
      <c r="A1163" s="325"/>
      <c r="B1163" s="326"/>
      <c r="J1163" s="73"/>
      <c r="K1163" s="327"/>
    </row>
    <row r="1164" customFormat="false" ht="12.75" hidden="false" customHeight="false" outlineLevel="0" collapsed="false">
      <c r="A1164" s="325"/>
      <c r="B1164" s="326"/>
      <c r="J1164" s="73"/>
      <c r="K1164" s="327"/>
    </row>
    <row r="1165" customFormat="false" ht="12.75" hidden="false" customHeight="false" outlineLevel="0" collapsed="false">
      <c r="A1165" s="325"/>
      <c r="B1165" s="326"/>
      <c r="J1165" s="73"/>
      <c r="K1165" s="327"/>
    </row>
    <row r="1166" customFormat="false" ht="12.75" hidden="false" customHeight="false" outlineLevel="0" collapsed="false">
      <c r="A1166" s="325"/>
      <c r="B1166" s="326"/>
      <c r="J1166" s="73"/>
      <c r="K1166" s="327"/>
    </row>
    <row r="1167" customFormat="false" ht="12.75" hidden="false" customHeight="false" outlineLevel="0" collapsed="false">
      <c r="A1167" s="325"/>
      <c r="B1167" s="326"/>
      <c r="J1167" s="73"/>
      <c r="K1167" s="327"/>
    </row>
    <row r="1168" customFormat="false" ht="12.75" hidden="false" customHeight="false" outlineLevel="0" collapsed="false">
      <c r="A1168" s="325"/>
      <c r="B1168" s="326"/>
      <c r="J1168" s="73"/>
      <c r="K1168" s="327"/>
    </row>
    <row r="1169" customFormat="false" ht="12.75" hidden="false" customHeight="false" outlineLevel="0" collapsed="false">
      <c r="A1169" s="325"/>
      <c r="B1169" s="326"/>
      <c r="J1169" s="73"/>
      <c r="K1169" s="327"/>
    </row>
    <row r="1170" customFormat="false" ht="12.75" hidden="false" customHeight="false" outlineLevel="0" collapsed="false">
      <c r="A1170" s="325"/>
      <c r="B1170" s="326"/>
      <c r="J1170" s="73"/>
      <c r="K1170" s="327"/>
    </row>
    <row r="1171" customFormat="false" ht="12.75" hidden="false" customHeight="false" outlineLevel="0" collapsed="false">
      <c r="A1171" s="325"/>
      <c r="B1171" s="326"/>
      <c r="J1171" s="73"/>
      <c r="K1171" s="327"/>
    </row>
    <row r="1172" customFormat="false" ht="12.75" hidden="false" customHeight="false" outlineLevel="0" collapsed="false">
      <c r="A1172" s="325"/>
      <c r="B1172" s="326"/>
      <c r="J1172" s="73"/>
      <c r="K1172" s="327"/>
    </row>
    <row r="1173" customFormat="false" ht="12.75" hidden="false" customHeight="false" outlineLevel="0" collapsed="false">
      <c r="A1173" s="325"/>
      <c r="B1173" s="326"/>
      <c r="J1173" s="73"/>
      <c r="K1173" s="327"/>
    </row>
    <row r="1174" customFormat="false" ht="12.75" hidden="false" customHeight="false" outlineLevel="0" collapsed="false">
      <c r="A1174" s="325"/>
      <c r="B1174" s="326"/>
      <c r="J1174" s="73"/>
      <c r="K1174" s="327"/>
    </row>
    <row r="1175" customFormat="false" ht="12.75" hidden="false" customHeight="false" outlineLevel="0" collapsed="false">
      <c r="A1175" s="325"/>
      <c r="B1175" s="326"/>
      <c r="J1175" s="73"/>
      <c r="K1175" s="327"/>
    </row>
    <row r="1176" customFormat="false" ht="12.75" hidden="false" customHeight="false" outlineLevel="0" collapsed="false">
      <c r="A1176" s="325"/>
      <c r="B1176" s="326"/>
      <c r="J1176" s="73"/>
      <c r="K1176" s="327"/>
    </row>
    <row r="1177" customFormat="false" ht="12.75" hidden="false" customHeight="false" outlineLevel="0" collapsed="false">
      <c r="A1177" s="325"/>
      <c r="B1177" s="326"/>
      <c r="J1177" s="73"/>
      <c r="K1177" s="327"/>
    </row>
    <row r="1178" customFormat="false" ht="12.75" hidden="false" customHeight="false" outlineLevel="0" collapsed="false">
      <c r="A1178" s="325"/>
      <c r="B1178" s="326"/>
      <c r="J1178" s="73"/>
      <c r="K1178" s="327"/>
    </row>
    <row r="1179" customFormat="false" ht="12.75" hidden="false" customHeight="false" outlineLevel="0" collapsed="false">
      <c r="A1179" s="325"/>
      <c r="B1179" s="326"/>
      <c r="J1179" s="73"/>
      <c r="K1179" s="327"/>
    </row>
    <row r="1180" customFormat="false" ht="12.75" hidden="false" customHeight="false" outlineLevel="0" collapsed="false">
      <c r="A1180" s="325"/>
      <c r="B1180" s="326"/>
      <c r="J1180" s="73"/>
      <c r="K1180" s="327"/>
    </row>
    <row r="1181" customFormat="false" ht="12.75" hidden="false" customHeight="false" outlineLevel="0" collapsed="false">
      <c r="A1181" s="325"/>
      <c r="B1181" s="326"/>
      <c r="J1181" s="73"/>
      <c r="K1181" s="327"/>
    </row>
    <row r="1182" customFormat="false" ht="12.75" hidden="false" customHeight="false" outlineLevel="0" collapsed="false">
      <c r="A1182" s="325"/>
      <c r="B1182" s="326"/>
      <c r="J1182" s="73"/>
      <c r="K1182" s="327"/>
    </row>
    <row r="1183" customFormat="false" ht="12.75" hidden="false" customHeight="false" outlineLevel="0" collapsed="false">
      <c r="A1183" s="325"/>
      <c r="B1183" s="326"/>
      <c r="J1183" s="73"/>
      <c r="K1183" s="327"/>
    </row>
    <row r="1184" customFormat="false" ht="12.75" hidden="false" customHeight="false" outlineLevel="0" collapsed="false">
      <c r="A1184" s="325"/>
      <c r="B1184" s="326"/>
      <c r="J1184" s="73"/>
      <c r="K1184" s="327"/>
    </row>
    <row r="1185" customFormat="false" ht="12.75" hidden="false" customHeight="false" outlineLevel="0" collapsed="false">
      <c r="A1185" s="325"/>
      <c r="B1185" s="326"/>
      <c r="J1185" s="73"/>
      <c r="K1185" s="327"/>
    </row>
    <row r="1186" customFormat="false" ht="12.75" hidden="false" customHeight="false" outlineLevel="0" collapsed="false">
      <c r="A1186" s="325"/>
      <c r="B1186" s="326"/>
      <c r="J1186" s="73"/>
      <c r="K1186" s="327"/>
    </row>
    <row r="1187" customFormat="false" ht="12.75" hidden="false" customHeight="false" outlineLevel="0" collapsed="false">
      <c r="A1187" s="325"/>
      <c r="B1187" s="326"/>
      <c r="J1187" s="73"/>
      <c r="K1187" s="327"/>
    </row>
    <row r="1188" customFormat="false" ht="12.75" hidden="false" customHeight="false" outlineLevel="0" collapsed="false">
      <c r="A1188" s="325"/>
      <c r="B1188" s="326"/>
      <c r="J1188" s="73"/>
      <c r="K1188" s="327"/>
    </row>
    <row r="1189" customFormat="false" ht="12.75" hidden="false" customHeight="false" outlineLevel="0" collapsed="false">
      <c r="A1189" s="325"/>
      <c r="B1189" s="326"/>
      <c r="J1189" s="73"/>
      <c r="K1189" s="327"/>
    </row>
    <row r="1190" customFormat="false" ht="12.75" hidden="false" customHeight="false" outlineLevel="0" collapsed="false">
      <c r="A1190" s="325"/>
      <c r="B1190" s="326"/>
      <c r="J1190" s="73"/>
      <c r="K1190" s="327"/>
    </row>
    <row r="1191" customFormat="false" ht="12.75" hidden="false" customHeight="false" outlineLevel="0" collapsed="false">
      <c r="A1191" s="325"/>
      <c r="B1191" s="326"/>
      <c r="J1191" s="73"/>
      <c r="K1191" s="327"/>
    </row>
    <row r="1192" customFormat="false" ht="12.75" hidden="false" customHeight="false" outlineLevel="0" collapsed="false">
      <c r="A1192" s="325"/>
      <c r="B1192" s="326"/>
      <c r="J1192" s="73"/>
      <c r="K1192" s="327"/>
    </row>
    <row r="1193" customFormat="false" ht="12.75" hidden="false" customHeight="false" outlineLevel="0" collapsed="false">
      <c r="A1193" s="325"/>
      <c r="B1193" s="326"/>
      <c r="J1193" s="73"/>
      <c r="K1193" s="327"/>
    </row>
    <row r="1194" customFormat="false" ht="12.75" hidden="false" customHeight="false" outlineLevel="0" collapsed="false">
      <c r="A1194" s="325"/>
      <c r="B1194" s="326"/>
      <c r="J1194" s="73"/>
      <c r="K1194" s="327"/>
    </row>
    <row r="1195" customFormat="false" ht="12.75" hidden="false" customHeight="false" outlineLevel="0" collapsed="false">
      <c r="A1195" s="325"/>
      <c r="B1195" s="326"/>
      <c r="J1195" s="73"/>
      <c r="K1195" s="327"/>
    </row>
    <row r="1196" customFormat="false" ht="12.75" hidden="false" customHeight="false" outlineLevel="0" collapsed="false">
      <c r="A1196" s="325"/>
      <c r="B1196" s="326"/>
      <c r="J1196" s="73"/>
      <c r="K1196" s="327"/>
    </row>
    <row r="1197" customFormat="false" ht="12.75" hidden="false" customHeight="false" outlineLevel="0" collapsed="false">
      <c r="A1197" s="325"/>
      <c r="B1197" s="326"/>
      <c r="J1197" s="73"/>
      <c r="K1197" s="327"/>
    </row>
    <row r="1198" customFormat="false" ht="12.75" hidden="false" customHeight="false" outlineLevel="0" collapsed="false">
      <c r="A1198" s="325"/>
      <c r="B1198" s="326"/>
      <c r="J1198" s="73"/>
      <c r="K1198" s="327"/>
    </row>
    <row r="1199" customFormat="false" ht="12.75" hidden="false" customHeight="false" outlineLevel="0" collapsed="false">
      <c r="A1199" s="325"/>
      <c r="B1199" s="326"/>
      <c r="J1199" s="73"/>
      <c r="K1199" s="327"/>
    </row>
    <row r="1200" customFormat="false" ht="12.75" hidden="false" customHeight="false" outlineLevel="0" collapsed="false">
      <c r="A1200" s="325"/>
      <c r="B1200" s="326"/>
      <c r="J1200" s="73"/>
      <c r="K1200" s="327"/>
    </row>
    <row r="1201" customFormat="false" ht="12.75" hidden="false" customHeight="false" outlineLevel="0" collapsed="false">
      <c r="A1201" s="325"/>
      <c r="B1201" s="326"/>
      <c r="J1201" s="73"/>
      <c r="K1201" s="327"/>
    </row>
    <row r="1202" customFormat="false" ht="12.75" hidden="false" customHeight="false" outlineLevel="0" collapsed="false">
      <c r="A1202" s="325"/>
      <c r="B1202" s="326"/>
      <c r="J1202" s="73"/>
      <c r="K1202" s="327"/>
    </row>
    <row r="1203" customFormat="false" ht="12.75" hidden="false" customHeight="false" outlineLevel="0" collapsed="false">
      <c r="A1203" s="325"/>
      <c r="B1203" s="326"/>
      <c r="J1203" s="73"/>
      <c r="K1203" s="327"/>
    </row>
    <row r="1204" customFormat="false" ht="12.75" hidden="false" customHeight="false" outlineLevel="0" collapsed="false">
      <c r="A1204" s="325"/>
      <c r="B1204" s="326"/>
      <c r="J1204" s="73"/>
      <c r="K1204" s="327"/>
    </row>
    <row r="1205" customFormat="false" ht="12.75" hidden="false" customHeight="false" outlineLevel="0" collapsed="false">
      <c r="A1205" s="325"/>
      <c r="B1205" s="326"/>
      <c r="J1205" s="73"/>
      <c r="K1205" s="327"/>
    </row>
    <row r="1206" customFormat="false" ht="12.75" hidden="false" customHeight="false" outlineLevel="0" collapsed="false">
      <c r="A1206" s="325"/>
      <c r="B1206" s="326"/>
      <c r="J1206" s="73"/>
      <c r="K1206" s="327"/>
    </row>
    <row r="1207" customFormat="false" ht="12.75" hidden="false" customHeight="false" outlineLevel="0" collapsed="false">
      <c r="A1207" s="325"/>
      <c r="B1207" s="326"/>
      <c r="J1207" s="73"/>
      <c r="K1207" s="327"/>
    </row>
    <row r="1208" customFormat="false" ht="12.75" hidden="false" customHeight="false" outlineLevel="0" collapsed="false">
      <c r="A1208" s="325"/>
      <c r="B1208" s="326"/>
      <c r="J1208" s="73"/>
      <c r="K1208" s="327"/>
    </row>
    <row r="1209" customFormat="false" ht="12.75" hidden="false" customHeight="false" outlineLevel="0" collapsed="false">
      <c r="A1209" s="325"/>
      <c r="B1209" s="326"/>
      <c r="J1209" s="73"/>
      <c r="K1209" s="327"/>
    </row>
    <row r="1210" customFormat="false" ht="12.75" hidden="false" customHeight="false" outlineLevel="0" collapsed="false">
      <c r="A1210" s="325"/>
      <c r="B1210" s="326"/>
      <c r="J1210" s="73"/>
      <c r="K1210" s="327"/>
    </row>
    <row r="1211" customFormat="false" ht="12.75" hidden="false" customHeight="false" outlineLevel="0" collapsed="false">
      <c r="A1211" s="325"/>
      <c r="B1211" s="326"/>
      <c r="J1211" s="73"/>
      <c r="K1211" s="327"/>
    </row>
    <row r="1212" customFormat="false" ht="12.75" hidden="false" customHeight="false" outlineLevel="0" collapsed="false">
      <c r="A1212" s="325"/>
      <c r="B1212" s="326"/>
      <c r="J1212" s="73"/>
      <c r="K1212" s="327"/>
    </row>
    <row r="1213" customFormat="false" ht="12.75" hidden="false" customHeight="false" outlineLevel="0" collapsed="false">
      <c r="A1213" s="325"/>
      <c r="B1213" s="326"/>
      <c r="J1213" s="73"/>
      <c r="K1213" s="327"/>
    </row>
    <row r="1214" customFormat="false" ht="12.75" hidden="false" customHeight="false" outlineLevel="0" collapsed="false">
      <c r="A1214" s="325"/>
      <c r="B1214" s="326"/>
      <c r="J1214" s="73"/>
      <c r="K1214" s="327"/>
    </row>
    <row r="1215" customFormat="false" ht="12.75" hidden="false" customHeight="false" outlineLevel="0" collapsed="false">
      <c r="A1215" s="325"/>
      <c r="B1215" s="326"/>
      <c r="J1215" s="73"/>
      <c r="K1215" s="327"/>
    </row>
    <row r="1216" customFormat="false" ht="12.75" hidden="false" customHeight="false" outlineLevel="0" collapsed="false">
      <c r="A1216" s="325"/>
      <c r="B1216" s="326"/>
      <c r="J1216" s="73"/>
      <c r="K1216" s="327"/>
    </row>
    <row r="1217" customFormat="false" ht="12.75" hidden="false" customHeight="false" outlineLevel="0" collapsed="false">
      <c r="A1217" s="325"/>
      <c r="B1217" s="326"/>
      <c r="J1217" s="73"/>
      <c r="K1217" s="327"/>
    </row>
    <row r="1218" customFormat="false" ht="12.75" hidden="false" customHeight="false" outlineLevel="0" collapsed="false">
      <c r="A1218" s="325"/>
      <c r="B1218" s="326"/>
      <c r="J1218" s="73"/>
      <c r="K1218" s="327"/>
    </row>
    <row r="1219" customFormat="false" ht="12.75" hidden="false" customHeight="false" outlineLevel="0" collapsed="false">
      <c r="A1219" s="325"/>
      <c r="B1219" s="326"/>
      <c r="J1219" s="73"/>
      <c r="K1219" s="327"/>
    </row>
    <row r="1220" customFormat="false" ht="12.75" hidden="false" customHeight="false" outlineLevel="0" collapsed="false">
      <c r="A1220" s="325"/>
      <c r="B1220" s="326"/>
      <c r="J1220" s="73"/>
      <c r="K1220" s="327"/>
    </row>
    <row r="1221" customFormat="false" ht="12.75" hidden="false" customHeight="false" outlineLevel="0" collapsed="false">
      <c r="A1221" s="325"/>
      <c r="B1221" s="326"/>
      <c r="J1221" s="73"/>
      <c r="K1221" s="327"/>
    </row>
    <row r="1222" customFormat="false" ht="12.75" hidden="false" customHeight="false" outlineLevel="0" collapsed="false">
      <c r="A1222" s="325"/>
      <c r="B1222" s="326"/>
      <c r="J1222" s="73"/>
      <c r="K1222" s="327"/>
    </row>
    <row r="1223" customFormat="false" ht="12.75" hidden="false" customHeight="false" outlineLevel="0" collapsed="false">
      <c r="A1223" s="325"/>
      <c r="B1223" s="326"/>
      <c r="J1223" s="73"/>
      <c r="K1223" s="327"/>
    </row>
    <row r="1224" customFormat="false" ht="12.75" hidden="false" customHeight="false" outlineLevel="0" collapsed="false">
      <c r="A1224" s="325"/>
      <c r="B1224" s="326"/>
      <c r="J1224" s="73"/>
      <c r="K1224" s="327"/>
    </row>
    <row r="1225" customFormat="false" ht="12.75" hidden="false" customHeight="false" outlineLevel="0" collapsed="false">
      <c r="A1225" s="325"/>
      <c r="B1225" s="326"/>
      <c r="J1225" s="73"/>
      <c r="K1225" s="327"/>
    </row>
    <row r="1226" customFormat="false" ht="12.75" hidden="false" customHeight="false" outlineLevel="0" collapsed="false">
      <c r="A1226" s="325"/>
      <c r="B1226" s="326"/>
      <c r="J1226" s="73"/>
      <c r="K1226" s="327"/>
    </row>
    <row r="1227" customFormat="false" ht="12.75" hidden="false" customHeight="false" outlineLevel="0" collapsed="false">
      <c r="A1227" s="325"/>
      <c r="B1227" s="326"/>
      <c r="J1227" s="73"/>
      <c r="K1227" s="327"/>
    </row>
    <row r="1228" customFormat="false" ht="12.75" hidden="false" customHeight="false" outlineLevel="0" collapsed="false">
      <c r="A1228" s="325"/>
      <c r="B1228" s="326"/>
      <c r="J1228" s="73"/>
      <c r="K1228" s="327"/>
    </row>
    <row r="1229" customFormat="false" ht="12.75" hidden="false" customHeight="false" outlineLevel="0" collapsed="false">
      <c r="A1229" s="325"/>
      <c r="B1229" s="326"/>
      <c r="J1229" s="73"/>
      <c r="K1229" s="327"/>
    </row>
    <row r="1230" customFormat="false" ht="12.75" hidden="false" customHeight="false" outlineLevel="0" collapsed="false">
      <c r="A1230" s="325"/>
      <c r="B1230" s="326"/>
      <c r="J1230" s="73"/>
      <c r="K1230" s="327"/>
    </row>
    <row r="1231" customFormat="false" ht="12.75" hidden="false" customHeight="false" outlineLevel="0" collapsed="false">
      <c r="A1231" s="325"/>
      <c r="B1231" s="326"/>
      <c r="J1231" s="73"/>
      <c r="K1231" s="327"/>
    </row>
    <row r="1232" customFormat="false" ht="12.75" hidden="false" customHeight="false" outlineLevel="0" collapsed="false">
      <c r="A1232" s="325"/>
      <c r="B1232" s="326"/>
      <c r="J1232" s="73"/>
      <c r="K1232" s="327"/>
    </row>
    <row r="1233" customFormat="false" ht="12.75" hidden="false" customHeight="false" outlineLevel="0" collapsed="false">
      <c r="A1233" s="325"/>
      <c r="B1233" s="326"/>
      <c r="J1233" s="73"/>
      <c r="K1233" s="327"/>
    </row>
    <row r="1234" customFormat="false" ht="12.75" hidden="false" customHeight="false" outlineLevel="0" collapsed="false">
      <c r="A1234" s="325"/>
      <c r="B1234" s="326"/>
      <c r="J1234" s="73"/>
      <c r="K1234" s="327"/>
    </row>
    <row r="1235" customFormat="false" ht="12.75" hidden="false" customHeight="false" outlineLevel="0" collapsed="false">
      <c r="A1235" s="325"/>
      <c r="B1235" s="326"/>
      <c r="J1235" s="73"/>
      <c r="K1235" s="327"/>
    </row>
    <row r="1236" customFormat="false" ht="12.75" hidden="false" customHeight="false" outlineLevel="0" collapsed="false">
      <c r="A1236" s="325"/>
      <c r="B1236" s="326"/>
      <c r="J1236" s="73"/>
      <c r="K1236" s="327"/>
    </row>
    <row r="1237" customFormat="false" ht="12.75" hidden="false" customHeight="false" outlineLevel="0" collapsed="false">
      <c r="A1237" s="325"/>
      <c r="B1237" s="326"/>
      <c r="J1237" s="73"/>
      <c r="K1237" s="327"/>
    </row>
    <row r="1238" customFormat="false" ht="12.75" hidden="false" customHeight="false" outlineLevel="0" collapsed="false">
      <c r="A1238" s="325"/>
      <c r="B1238" s="326"/>
      <c r="J1238" s="73"/>
      <c r="K1238" s="327"/>
    </row>
    <row r="1239" customFormat="false" ht="12.75" hidden="false" customHeight="false" outlineLevel="0" collapsed="false">
      <c r="A1239" s="325"/>
      <c r="B1239" s="326"/>
      <c r="J1239" s="73"/>
      <c r="K1239" s="327"/>
    </row>
    <row r="1240" customFormat="false" ht="12.75" hidden="false" customHeight="false" outlineLevel="0" collapsed="false">
      <c r="A1240" s="325"/>
      <c r="B1240" s="326"/>
      <c r="J1240" s="73"/>
      <c r="K1240" s="327"/>
    </row>
    <row r="1241" customFormat="false" ht="12.75" hidden="false" customHeight="false" outlineLevel="0" collapsed="false">
      <c r="A1241" s="325"/>
      <c r="B1241" s="326"/>
      <c r="J1241" s="73"/>
      <c r="K1241" s="327"/>
    </row>
    <row r="1242" customFormat="false" ht="12.75" hidden="false" customHeight="false" outlineLevel="0" collapsed="false">
      <c r="A1242" s="325"/>
      <c r="B1242" s="326"/>
      <c r="J1242" s="73"/>
      <c r="K1242" s="327"/>
    </row>
    <row r="1243" customFormat="false" ht="12.75" hidden="false" customHeight="false" outlineLevel="0" collapsed="false">
      <c r="A1243" s="325"/>
      <c r="B1243" s="326"/>
      <c r="J1243" s="73"/>
      <c r="K1243" s="327"/>
    </row>
    <row r="1244" customFormat="false" ht="12.75" hidden="false" customHeight="false" outlineLevel="0" collapsed="false">
      <c r="A1244" s="325"/>
      <c r="B1244" s="326"/>
      <c r="J1244" s="73"/>
      <c r="K1244" s="327"/>
    </row>
    <row r="1245" customFormat="false" ht="12.75" hidden="false" customHeight="false" outlineLevel="0" collapsed="false">
      <c r="A1245" s="325"/>
      <c r="B1245" s="326"/>
      <c r="J1245" s="73"/>
      <c r="K1245" s="327"/>
    </row>
    <row r="1246" customFormat="false" ht="12.75" hidden="false" customHeight="false" outlineLevel="0" collapsed="false">
      <c r="A1246" s="325"/>
      <c r="B1246" s="326"/>
      <c r="J1246" s="73"/>
      <c r="K1246" s="327"/>
    </row>
    <row r="1247" customFormat="false" ht="12.75" hidden="false" customHeight="false" outlineLevel="0" collapsed="false">
      <c r="A1247" s="325"/>
      <c r="B1247" s="326"/>
      <c r="J1247" s="73"/>
      <c r="K1247" s="327"/>
    </row>
    <row r="1248" customFormat="false" ht="12.75" hidden="false" customHeight="false" outlineLevel="0" collapsed="false">
      <c r="A1248" s="325"/>
      <c r="B1248" s="326"/>
      <c r="J1248" s="73"/>
      <c r="K1248" s="327"/>
    </row>
    <row r="1249" customFormat="false" ht="12.75" hidden="false" customHeight="false" outlineLevel="0" collapsed="false">
      <c r="A1249" s="325"/>
      <c r="B1249" s="326"/>
      <c r="J1249" s="73"/>
      <c r="K1249" s="327"/>
    </row>
    <row r="1250" customFormat="false" ht="12.75" hidden="false" customHeight="false" outlineLevel="0" collapsed="false">
      <c r="A1250" s="325"/>
      <c r="B1250" s="326"/>
      <c r="J1250" s="73"/>
      <c r="K1250" s="327"/>
    </row>
    <row r="1251" customFormat="false" ht="12.75" hidden="false" customHeight="false" outlineLevel="0" collapsed="false">
      <c r="A1251" s="325"/>
      <c r="B1251" s="326"/>
      <c r="J1251" s="73"/>
      <c r="K1251" s="327"/>
    </row>
    <row r="1252" customFormat="false" ht="12.75" hidden="false" customHeight="false" outlineLevel="0" collapsed="false">
      <c r="A1252" s="325"/>
      <c r="B1252" s="326"/>
      <c r="J1252" s="73"/>
      <c r="K1252" s="327"/>
    </row>
    <row r="1253" customFormat="false" ht="12.75" hidden="false" customHeight="false" outlineLevel="0" collapsed="false">
      <c r="A1253" s="325"/>
      <c r="B1253" s="326"/>
      <c r="J1253" s="73"/>
      <c r="K1253" s="327"/>
    </row>
    <row r="1254" customFormat="false" ht="12.75" hidden="false" customHeight="false" outlineLevel="0" collapsed="false">
      <c r="A1254" s="325"/>
      <c r="B1254" s="326"/>
      <c r="J1254" s="73"/>
      <c r="K1254" s="327"/>
    </row>
    <row r="1255" customFormat="false" ht="12.75" hidden="false" customHeight="false" outlineLevel="0" collapsed="false">
      <c r="A1255" s="325"/>
      <c r="B1255" s="326"/>
      <c r="J1255" s="73"/>
      <c r="K1255" s="327"/>
    </row>
  </sheetData>
  <mergeCells count="5">
    <mergeCell ref="A1:B1"/>
    <mergeCell ref="C1:K1"/>
    <mergeCell ref="L1:T1"/>
    <mergeCell ref="U1:AE1"/>
    <mergeCell ref="AF1:AM1"/>
  </mergeCells>
  <printOptions headings="false" gridLines="false" gridLinesSet="true" horizontalCentered="false" verticalCentered="false"/>
  <pageMargins left="0.25" right="0.25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1999-11-15T17:38:29Z</dcterms:created>
  <dc:creator>nhiemst</dc:creator>
  <dc:description/>
  <dc:language>en-US</dc:language>
  <cp:lastModifiedBy>jgualy</cp:lastModifiedBy>
  <cp:lastPrinted>2000-12-07T17:22:05Z</cp:lastPrinted>
  <dcterms:modified xsi:type="dcterms:W3CDTF">2001-07-30T19:33:15Z</dcterms:modified>
  <cp:revision>0</cp:revision>
  <dc:subject/>
  <dc:title>Euro Call Option Model</dc:title>
</cp:coreProperties>
</file>